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C:\Users\Admin\Dropbox (Dalberg)\COSAI Investment Estimation\06 Deliverables\20210802 FINAL Deliverables (Post Editing)\20210802 Excel Deliverables\"/>
    </mc:Choice>
  </mc:AlternateContent>
  <xr:revisionPtr revIDLastSave="0" documentId="8_{AC88EEC2-ED7A-4F6B-9C81-EA548FE742D8}" xr6:coauthVersionLast="47" xr6:coauthVersionMax="47" xr10:uidLastSave="{00000000-0000-0000-0000-000000000000}"/>
  <bookViews>
    <workbookView xWindow="-110" yWindow="-110" windowWidth="19420" windowHeight="10420" xr2:uid="{00000000-000D-0000-FFFF-FFFF00000000}"/>
  </bookViews>
  <sheets>
    <sheet name="Cover" sheetId="14" r:id="rId1"/>
    <sheet name="Intro" sheetId="15" r:id="rId2"/>
    <sheet name="Dashboard" sheetId="21" r:id="rId3"/>
    <sheet name="Top-Down estimates" sheetId="19" r:id="rId4"/>
    <sheet name="Bottom-up tagging" sheetId="8" r:id="rId5"/>
    <sheet name="Analysis of bottom-up tags" sheetId="22" r:id="rId6"/>
    <sheet name="Sheet1" sheetId="26" state="hidden" r:id="rId7"/>
    <sheet name="Top-Down Assumptions" sheetId="20" state="hidden" r:id="rId8"/>
    <sheet name="1.2" sheetId="2" state="hidden" r:id="rId9"/>
    <sheet name="Bottom-up Tagging Assumptions" sheetId="12" r:id="rId10"/>
    <sheet name="Investments 1.1" sheetId="1" state="hidden" r:id="rId11"/>
    <sheet name="Companies covered restructured" sheetId="11" r:id="rId12"/>
    <sheet name="Sheet6" sheetId="17" state="hidden" r:id="rId13"/>
    <sheet name="Companies Covered 2.1" sheetId="3" state="hidden" r:id="rId14"/>
    <sheet name="Split Formula" sheetId="6" state="hidden" r:id="rId15"/>
    <sheet name="Formulae" sheetId="7" state="hidden" r:id="rId16"/>
    <sheet name="Lists" sheetId="9" r:id="rId17"/>
    <sheet name="Framework" sheetId="24" r:id="rId18"/>
    <sheet name="GDP deflators" sheetId="23" r:id="rId19"/>
    <sheet name="exch rate" sheetId="25" r:id="rId20"/>
  </sheets>
  <externalReferences>
    <externalReference r:id="rId21"/>
    <externalReference r:id="rId22"/>
  </externalReferences>
  <definedNames>
    <definedName name="_xlnm._FilterDatabase" localSheetId="8" hidden="1">'1.2'!$A$6:$R$2033</definedName>
    <definedName name="_xlnm._FilterDatabase" localSheetId="4" hidden="1">'Bottom-up tagging'!$B$11:$BR$577</definedName>
    <definedName name="_xlnm._FilterDatabase" localSheetId="9" hidden="1">'Bottom-up Tagging Assumptions'!$B$11:$F$56</definedName>
    <definedName name="_xlnm._FilterDatabase" localSheetId="13" hidden="1">'Companies Covered 2.1'!$X$6:$BE$556</definedName>
    <definedName name="_xlnm._FilterDatabase" localSheetId="11" hidden="1">'Companies covered restructured'!$A$6:$J$470</definedName>
    <definedName name="_xlnm._FilterDatabase" localSheetId="10" hidden="1">'Investments 1.1'!$B$2:$U$891</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1" i="26" l="1"/>
  <c r="D21" i="26"/>
  <c r="O9" i="26"/>
  <c r="O8" i="26"/>
  <c r="O7" i="26"/>
  <c r="D18" i="26"/>
  <c r="M14" i="26"/>
  <c r="L14" i="26"/>
  <c r="K14" i="26"/>
  <c r="J14" i="26"/>
  <c r="I14" i="26"/>
  <c r="H14" i="26"/>
  <c r="G14" i="26"/>
  <c r="F14" i="26"/>
  <c r="E14" i="26"/>
  <c r="D14" i="26"/>
  <c r="O14" i="26" s="1"/>
  <c r="O18" i="26" s="1"/>
  <c r="M13" i="26"/>
  <c r="L13" i="26"/>
  <c r="K13" i="26"/>
  <c r="J13" i="26"/>
  <c r="I13" i="26"/>
  <c r="H13" i="26"/>
  <c r="G13" i="26"/>
  <c r="F13" i="26"/>
  <c r="M12" i="26"/>
  <c r="L12" i="26"/>
  <c r="K12" i="26"/>
  <c r="J12" i="26"/>
  <c r="I12" i="26"/>
  <c r="H12" i="26"/>
  <c r="G12" i="26"/>
  <c r="F12" i="26"/>
  <c r="E13" i="26"/>
  <c r="E12" i="26"/>
  <c r="D13" i="26"/>
  <c r="O13" i="26" s="1"/>
  <c r="O17" i="26" s="1"/>
  <c r="D12" i="26"/>
  <c r="O12" i="26" s="1"/>
  <c r="O16" i="26" s="1"/>
  <c r="B16" i="21" l="1"/>
  <c r="J40" i="23"/>
  <c r="I40" i="23"/>
  <c r="H40" i="23" s="1"/>
  <c r="G40" i="23" s="1"/>
  <c r="F40" i="23" s="1"/>
  <c r="E40" i="23" s="1"/>
  <c r="D40" i="23" s="1"/>
  <c r="C40" i="23" s="1"/>
  <c r="K40" i="23"/>
  <c r="M23" i="19"/>
  <c r="M29" i="19" s="1"/>
  <c r="M39" i="19" s="1"/>
  <c r="L23" i="19"/>
  <c r="L29" i="19" s="1"/>
  <c r="L39" i="19" s="1"/>
  <c r="K23" i="19"/>
  <c r="K29" i="19" s="1"/>
  <c r="K39" i="19" s="1"/>
  <c r="J23" i="19"/>
  <c r="J29" i="19" s="1"/>
  <c r="J39" i="19" s="1"/>
  <c r="I23" i="19"/>
  <c r="I29" i="19" s="1"/>
  <c r="I39" i="19" s="1"/>
  <c r="H23" i="19"/>
  <c r="H29" i="19" s="1"/>
  <c r="H39" i="19" s="1"/>
  <c r="G23" i="19"/>
  <c r="G29" i="19" s="1"/>
  <c r="G39" i="19" s="1"/>
  <c r="F23" i="19"/>
  <c r="E23" i="19"/>
  <c r="M21" i="19"/>
  <c r="M27" i="19" s="1"/>
  <c r="M37" i="19" s="1"/>
  <c r="L21" i="19"/>
  <c r="L27" i="19" s="1"/>
  <c r="L37" i="19" s="1"/>
  <c r="K21" i="19"/>
  <c r="K27" i="19" s="1"/>
  <c r="K37" i="19" s="1"/>
  <c r="J21" i="19"/>
  <c r="J27" i="19" s="1"/>
  <c r="J37" i="19" s="1"/>
  <c r="I21" i="19"/>
  <c r="I27" i="19" s="1"/>
  <c r="I37" i="19" s="1"/>
  <c r="H21" i="19"/>
  <c r="H27" i="19" s="1"/>
  <c r="H37" i="19" s="1"/>
  <c r="G21" i="19"/>
  <c r="G27" i="19" s="1"/>
  <c r="G37" i="19" s="1"/>
  <c r="F21" i="19"/>
  <c r="E21" i="19"/>
  <c r="I48" i="19" l="1"/>
  <c r="I46" i="19"/>
  <c r="L46" i="19"/>
  <c r="M48" i="19"/>
  <c r="L48" i="19"/>
  <c r="J46" i="19"/>
  <c r="K46" i="19"/>
  <c r="M46" i="19"/>
  <c r="G48" i="19"/>
  <c r="H48" i="19"/>
  <c r="J48" i="19"/>
  <c r="G46" i="19"/>
  <c r="K48" i="19"/>
  <c r="H46" i="19"/>
  <c r="Y76" i="23" l="1"/>
  <c r="X76" i="23"/>
  <c r="W76" i="23"/>
  <c r="V76" i="23"/>
  <c r="U76" i="23"/>
  <c r="T76" i="23"/>
  <c r="S76" i="23"/>
  <c r="R76" i="23"/>
  <c r="Q76" i="23"/>
  <c r="P76" i="23"/>
  <c r="Y75" i="23"/>
  <c r="X75" i="23"/>
  <c r="W75" i="23"/>
  <c r="V75" i="23"/>
  <c r="U75" i="23"/>
  <c r="T75" i="23"/>
  <c r="S75" i="23"/>
  <c r="R75" i="23"/>
  <c r="Q75" i="23"/>
  <c r="P75" i="23"/>
  <c r="Y74" i="23"/>
  <c r="X74" i="23"/>
  <c r="W74" i="23"/>
  <c r="V74" i="23"/>
  <c r="U74" i="23"/>
  <c r="T74" i="23"/>
  <c r="S74" i="23"/>
  <c r="R74" i="23"/>
  <c r="Q74" i="23"/>
  <c r="P74" i="23"/>
  <c r="Y73" i="23"/>
  <c r="X73" i="23"/>
  <c r="W73" i="23"/>
  <c r="V73" i="23"/>
  <c r="U73" i="23"/>
  <c r="T73" i="23"/>
  <c r="S73" i="23"/>
  <c r="R73" i="23"/>
  <c r="Q73" i="23"/>
  <c r="P73" i="23"/>
  <c r="Y72" i="23"/>
  <c r="X72" i="23"/>
  <c r="W72" i="23"/>
  <c r="V72" i="23"/>
  <c r="U72" i="23"/>
  <c r="T72" i="23"/>
  <c r="S72" i="23"/>
  <c r="R72" i="23"/>
  <c r="Q72" i="23"/>
  <c r="P72" i="23"/>
  <c r="Y71" i="23"/>
  <c r="X71" i="23"/>
  <c r="W71" i="23"/>
  <c r="V71" i="23"/>
  <c r="U71" i="23"/>
  <c r="T71" i="23"/>
  <c r="S71" i="23"/>
  <c r="R71" i="23"/>
  <c r="Q71" i="23"/>
  <c r="P71" i="23"/>
  <c r="Y70" i="23"/>
  <c r="X70" i="23"/>
  <c r="W70" i="23"/>
  <c r="V70" i="23"/>
  <c r="U70" i="23"/>
  <c r="T70" i="23"/>
  <c r="S70" i="23"/>
  <c r="R70" i="23"/>
  <c r="Q70" i="23"/>
  <c r="P70" i="23"/>
  <c r="Y69" i="23"/>
  <c r="X69" i="23"/>
  <c r="W69" i="23"/>
  <c r="V69" i="23"/>
  <c r="U69" i="23"/>
  <c r="T69" i="23"/>
  <c r="S69" i="23"/>
  <c r="R69" i="23"/>
  <c r="Q69" i="23"/>
  <c r="P69" i="23"/>
  <c r="Y68" i="23"/>
  <c r="X68" i="23"/>
  <c r="W68" i="23"/>
  <c r="V68" i="23"/>
  <c r="U68" i="23"/>
  <c r="T68" i="23"/>
  <c r="S68" i="23"/>
  <c r="R68" i="23"/>
  <c r="Q68" i="23"/>
  <c r="P68" i="23"/>
  <c r="Y67" i="23"/>
  <c r="X67" i="23"/>
  <c r="W67" i="23"/>
  <c r="V67" i="23"/>
  <c r="U67" i="23"/>
  <c r="T67" i="23"/>
  <c r="S67" i="23"/>
  <c r="R67" i="23"/>
  <c r="Q67" i="23"/>
  <c r="P67" i="23"/>
  <c r="Y66" i="23"/>
  <c r="X66" i="23"/>
  <c r="W66" i="23"/>
  <c r="V66" i="23"/>
  <c r="U66" i="23"/>
  <c r="T66" i="23"/>
  <c r="S66" i="23"/>
  <c r="R66" i="23"/>
  <c r="Q66" i="23"/>
  <c r="P66" i="23"/>
  <c r="Y65" i="23"/>
  <c r="X65" i="23"/>
  <c r="W65" i="23"/>
  <c r="V65" i="23"/>
  <c r="U65" i="23"/>
  <c r="T65" i="23"/>
  <c r="S65" i="23"/>
  <c r="R65" i="23"/>
  <c r="Q65" i="23"/>
  <c r="P65" i="23"/>
  <c r="Y64" i="23"/>
  <c r="X64" i="23"/>
  <c r="W64" i="23"/>
  <c r="V64" i="23"/>
  <c r="U64" i="23"/>
  <c r="T64" i="23"/>
  <c r="S64" i="23"/>
  <c r="R64" i="23"/>
  <c r="Q64" i="23"/>
  <c r="P64" i="23"/>
  <c r="Y63" i="23"/>
  <c r="X63" i="23"/>
  <c r="W63" i="23"/>
  <c r="V63" i="23"/>
  <c r="U63" i="23"/>
  <c r="T63" i="23"/>
  <c r="S63" i="23"/>
  <c r="R63" i="23"/>
  <c r="Q63" i="23"/>
  <c r="P63" i="23"/>
  <c r="Y62" i="23"/>
  <c r="X62" i="23"/>
  <c r="W62" i="23"/>
  <c r="V62" i="23"/>
  <c r="U62" i="23"/>
  <c r="T62" i="23"/>
  <c r="S62" i="23"/>
  <c r="R62" i="23"/>
  <c r="Q62" i="23"/>
  <c r="P62" i="23"/>
  <c r="Y61" i="23"/>
  <c r="X61" i="23"/>
  <c r="W61" i="23"/>
  <c r="V61" i="23"/>
  <c r="U61" i="23"/>
  <c r="T61" i="23"/>
  <c r="S61" i="23"/>
  <c r="R61" i="23"/>
  <c r="Q61" i="23"/>
  <c r="P61" i="23"/>
  <c r="Y60" i="23"/>
  <c r="X60" i="23"/>
  <c r="W60" i="23"/>
  <c r="V60" i="23"/>
  <c r="U60" i="23"/>
  <c r="T60" i="23"/>
  <c r="S60" i="23"/>
  <c r="R60" i="23"/>
  <c r="Q60" i="23"/>
  <c r="P60" i="23"/>
  <c r="Y59" i="23"/>
  <c r="X59" i="23"/>
  <c r="W59" i="23"/>
  <c r="V59" i="23"/>
  <c r="U59" i="23"/>
  <c r="T59" i="23"/>
  <c r="S59" i="23"/>
  <c r="R59" i="23"/>
  <c r="Q59" i="23"/>
  <c r="P59" i="23"/>
  <c r="Y58" i="23"/>
  <c r="X58" i="23"/>
  <c r="W58" i="23"/>
  <c r="V58" i="23"/>
  <c r="U58" i="23"/>
  <c r="T58" i="23"/>
  <c r="S58" i="23"/>
  <c r="R58" i="23"/>
  <c r="Q58" i="23"/>
  <c r="P58" i="23"/>
  <c r="Y57" i="23"/>
  <c r="X57" i="23"/>
  <c r="W57" i="23"/>
  <c r="V57" i="23"/>
  <c r="U57" i="23"/>
  <c r="T57" i="23"/>
  <c r="S57" i="23"/>
  <c r="R57" i="23"/>
  <c r="Q57" i="23"/>
  <c r="P57" i="23"/>
  <c r="Y56" i="23"/>
  <c r="X56" i="23"/>
  <c r="W56" i="23"/>
  <c r="V56" i="23"/>
  <c r="U56" i="23"/>
  <c r="T56" i="23"/>
  <c r="S56" i="23"/>
  <c r="R56" i="23"/>
  <c r="Q56" i="23"/>
  <c r="P56" i="23"/>
  <c r="Y55" i="23"/>
  <c r="X55" i="23"/>
  <c r="W55" i="23"/>
  <c r="V55" i="23"/>
  <c r="U55" i="23"/>
  <c r="T55" i="23"/>
  <c r="S55" i="23"/>
  <c r="R55" i="23"/>
  <c r="Q55" i="23"/>
  <c r="P55" i="23"/>
  <c r="Y54" i="23"/>
  <c r="X54" i="23"/>
  <c r="W54" i="23"/>
  <c r="V54" i="23"/>
  <c r="U54" i="23"/>
  <c r="T54" i="23"/>
  <c r="S54" i="23"/>
  <c r="R54" i="23"/>
  <c r="Q54" i="23"/>
  <c r="P54" i="23"/>
  <c r="Y53" i="23"/>
  <c r="X53" i="23"/>
  <c r="W53" i="23"/>
  <c r="V53" i="23"/>
  <c r="U53" i="23"/>
  <c r="T53" i="23"/>
  <c r="S53" i="23"/>
  <c r="R53" i="23"/>
  <c r="Q53" i="23"/>
  <c r="P53" i="23"/>
  <c r="Y52" i="23"/>
  <c r="X52" i="23"/>
  <c r="W52" i="23"/>
  <c r="V52" i="23"/>
  <c r="U52" i="23"/>
  <c r="T52" i="23"/>
  <c r="S52" i="23"/>
  <c r="R52" i="23"/>
  <c r="Q52" i="23"/>
  <c r="P52" i="23"/>
  <c r="Y51" i="23"/>
  <c r="X51" i="23"/>
  <c r="W51" i="23"/>
  <c r="V51" i="23"/>
  <c r="U51" i="23"/>
  <c r="T51" i="23"/>
  <c r="S51" i="23"/>
  <c r="R51" i="23"/>
  <c r="Q51" i="23"/>
  <c r="P51" i="23"/>
  <c r="Y50" i="23"/>
  <c r="X50" i="23"/>
  <c r="W50" i="23"/>
  <c r="V50" i="23"/>
  <c r="U50" i="23"/>
  <c r="T50" i="23"/>
  <c r="S50" i="23"/>
  <c r="R50" i="23"/>
  <c r="Q50" i="23"/>
  <c r="P50" i="23"/>
  <c r="Y48" i="23"/>
  <c r="X48" i="23"/>
  <c r="W48" i="23"/>
  <c r="V48" i="23"/>
  <c r="U48" i="23"/>
  <c r="T48" i="23"/>
  <c r="S48" i="23"/>
  <c r="S79" i="23" s="1"/>
  <c r="R48" i="23"/>
  <c r="R79" i="23" s="1"/>
  <c r="Q48" i="23"/>
  <c r="P48" i="23"/>
  <c r="Y47" i="23"/>
  <c r="X47" i="23"/>
  <c r="W47" i="23"/>
  <c r="V47" i="23"/>
  <c r="U47" i="23"/>
  <c r="U79" i="23" s="1"/>
  <c r="T47" i="23"/>
  <c r="T79" i="23" s="1"/>
  <c r="S47" i="23"/>
  <c r="R47" i="23"/>
  <c r="Q47" i="23"/>
  <c r="P47" i="23"/>
  <c r="Y46" i="23"/>
  <c r="X46" i="23"/>
  <c r="X79" i="23" s="1"/>
  <c r="W46" i="23"/>
  <c r="W79" i="23" s="1"/>
  <c r="V46" i="23"/>
  <c r="V79" i="23" s="1"/>
  <c r="U46" i="23"/>
  <c r="T46" i="23"/>
  <c r="S46" i="23"/>
  <c r="R46" i="23"/>
  <c r="Q46" i="23"/>
  <c r="P46" i="23"/>
  <c r="P79" i="23" s="1"/>
  <c r="Z79" i="23"/>
  <c r="Y79" i="23"/>
  <c r="Q79" i="23"/>
  <c r="Y39" i="23"/>
  <c r="X39" i="23"/>
  <c r="W39" i="23"/>
  <c r="V39" i="23"/>
  <c r="U39" i="23"/>
  <c r="T39" i="23"/>
  <c r="S39" i="23"/>
  <c r="R39" i="23"/>
  <c r="Q39" i="23"/>
  <c r="P39" i="23"/>
  <c r="X36" i="23"/>
  <c r="W36" i="23"/>
  <c r="V36" i="23"/>
  <c r="U36" i="23"/>
  <c r="T36" i="23"/>
  <c r="S36" i="23"/>
  <c r="R36" i="23"/>
  <c r="Q36" i="23"/>
  <c r="P36" i="23"/>
  <c r="X35" i="23"/>
  <c r="W35" i="23"/>
  <c r="V35" i="23"/>
  <c r="U35" i="23"/>
  <c r="T35" i="23"/>
  <c r="S35" i="23"/>
  <c r="R35" i="23"/>
  <c r="Q35" i="23"/>
  <c r="P35" i="23"/>
  <c r="X34" i="23"/>
  <c r="W34" i="23"/>
  <c r="V34" i="23"/>
  <c r="U34" i="23"/>
  <c r="T34" i="23"/>
  <c r="S34" i="23"/>
  <c r="R34" i="23"/>
  <c r="Q34" i="23"/>
  <c r="P34" i="23"/>
  <c r="X33" i="23"/>
  <c r="W33" i="23"/>
  <c r="V33" i="23"/>
  <c r="U33" i="23"/>
  <c r="T33" i="23"/>
  <c r="S33" i="23"/>
  <c r="R33" i="23"/>
  <c r="Q33" i="23"/>
  <c r="P33" i="23"/>
  <c r="X32" i="23"/>
  <c r="W32" i="23"/>
  <c r="V32" i="23"/>
  <c r="U32" i="23"/>
  <c r="T32" i="23"/>
  <c r="S32" i="23"/>
  <c r="R32" i="23"/>
  <c r="Q32" i="23"/>
  <c r="P32" i="23"/>
  <c r="X31" i="23"/>
  <c r="W31" i="23"/>
  <c r="V31" i="23"/>
  <c r="U31" i="23"/>
  <c r="T31" i="23"/>
  <c r="S31" i="23"/>
  <c r="R31" i="23"/>
  <c r="Q31" i="23"/>
  <c r="P31" i="23"/>
  <c r="X30" i="23"/>
  <c r="W30" i="23"/>
  <c r="V30" i="23"/>
  <c r="U30" i="23"/>
  <c r="T30" i="23"/>
  <c r="S30" i="23"/>
  <c r="R30" i="23"/>
  <c r="Q30" i="23"/>
  <c r="P30" i="23"/>
  <c r="X29" i="23"/>
  <c r="W29" i="23"/>
  <c r="V29" i="23"/>
  <c r="U29" i="23"/>
  <c r="T29" i="23"/>
  <c r="S29" i="23"/>
  <c r="R29" i="23"/>
  <c r="Q29" i="23"/>
  <c r="P29" i="23"/>
  <c r="X28" i="23"/>
  <c r="W28" i="23"/>
  <c r="V28" i="23"/>
  <c r="U28" i="23"/>
  <c r="T28" i="23"/>
  <c r="S28" i="23"/>
  <c r="R28" i="23"/>
  <c r="Q28" i="23"/>
  <c r="P28" i="23"/>
  <c r="X27" i="23"/>
  <c r="W27" i="23"/>
  <c r="V27" i="23"/>
  <c r="U27" i="23"/>
  <c r="T27" i="23"/>
  <c r="S27" i="23"/>
  <c r="R27" i="23"/>
  <c r="Q27" i="23"/>
  <c r="P27" i="23"/>
  <c r="X26" i="23"/>
  <c r="W26" i="23"/>
  <c r="V26" i="23"/>
  <c r="U26" i="23"/>
  <c r="T26" i="23"/>
  <c r="S26" i="23"/>
  <c r="R26" i="23"/>
  <c r="Q26" i="23"/>
  <c r="P26" i="23"/>
  <c r="X25" i="23"/>
  <c r="W25" i="23"/>
  <c r="V25" i="23"/>
  <c r="U25" i="23"/>
  <c r="T25" i="23"/>
  <c r="S25" i="23"/>
  <c r="R25" i="23"/>
  <c r="Q25" i="23"/>
  <c r="P25" i="23"/>
  <c r="X24" i="23"/>
  <c r="W24" i="23"/>
  <c r="V24" i="23"/>
  <c r="U24" i="23"/>
  <c r="T24" i="23"/>
  <c r="S24" i="23"/>
  <c r="R24" i="23"/>
  <c r="Q24" i="23"/>
  <c r="P24" i="23"/>
  <c r="X23" i="23"/>
  <c r="W23" i="23"/>
  <c r="V23" i="23"/>
  <c r="U23" i="23"/>
  <c r="T23" i="23"/>
  <c r="S23" i="23"/>
  <c r="R23" i="23"/>
  <c r="Q23" i="23"/>
  <c r="P23" i="23"/>
  <c r="X22" i="23"/>
  <c r="W22" i="23"/>
  <c r="V22" i="23"/>
  <c r="U22" i="23"/>
  <c r="T22" i="23"/>
  <c r="S22" i="23"/>
  <c r="R22" i="23"/>
  <c r="Q22" i="23"/>
  <c r="P22" i="23"/>
  <c r="X21" i="23"/>
  <c r="W21" i="23"/>
  <c r="V21" i="23"/>
  <c r="U21" i="23"/>
  <c r="T21" i="23"/>
  <c r="S21" i="23"/>
  <c r="R21" i="23"/>
  <c r="Q21" i="23"/>
  <c r="P21" i="23"/>
  <c r="X20" i="23"/>
  <c r="W20" i="23"/>
  <c r="V20" i="23"/>
  <c r="U20" i="23"/>
  <c r="T20" i="23"/>
  <c r="S20" i="23"/>
  <c r="R20" i="23"/>
  <c r="Q20" i="23"/>
  <c r="P20" i="23"/>
  <c r="X19" i="23"/>
  <c r="W19" i="23"/>
  <c r="V19" i="23"/>
  <c r="U19" i="23"/>
  <c r="T19" i="23"/>
  <c r="S19" i="23"/>
  <c r="R19" i="23"/>
  <c r="Q19" i="23"/>
  <c r="P19" i="23"/>
  <c r="X18" i="23"/>
  <c r="W18" i="23"/>
  <c r="V18" i="23"/>
  <c r="U18" i="23"/>
  <c r="T18" i="23"/>
  <c r="S18" i="23"/>
  <c r="R18" i="23"/>
  <c r="Q18" i="23"/>
  <c r="P18" i="23"/>
  <c r="X17" i="23"/>
  <c r="W17" i="23"/>
  <c r="V17" i="23"/>
  <c r="U17" i="23"/>
  <c r="T17" i="23"/>
  <c r="S17" i="23"/>
  <c r="R17" i="23"/>
  <c r="Q17" i="23"/>
  <c r="P17" i="23"/>
  <c r="X16" i="23"/>
  <c r="W16" i="23"/>
  <c r="V16" i="23"/>
  <c r="U16" i="23"/>
  <c r="T16" i="23"/>
  <c r="S16" i="23"/>
  <c r="R16" i="23"/>
  <c r="Q16" i="23"/>
  <c r="P16" i="23"/>
  <c r="X15" i="23"/>
  <c r="W15" i="23"/>
  <c r="V15" i="23"/>
  <c r="U15" i="23"/>
  <c r="T15" i="23"/>
  <c r="S15" i="23"/>
  <c r="R15" i="23"/>
  <c r="Q15" i="23"/>
  <c r="P15" i="23"/>
  <c r="X14" i="23"/>
  <c r="W14" i="23"/>
  <c r="V14" i="23"/>
  <c r="U14" i="23"/>
  <c r="T14" i="23"/>
  <c r="S14" i="23"/>
  <c r="R14" i="23"/>
  <c r="Q14" i="23"/>
  <c r="P14" i="23"/>
  <c r="X13" i="23"/>
  <c r="W13" i="23"/>
  <c r="V13" i="23"/>
  <c r="U13" i="23"/>
  <c r="T13" i="23"/>
  <c r="S13" i="23"/>
  <c r="R13" i="23"/>
  <c r="Q13" i="23"/>
  <c r="P13" i="23"/>
  <c r="X12" i="23"/>
  <c r="W12" i="23"/>
  <c r="V12" i="23"/>
  <c r="U12" i="23"/>
  <c r="T12" i="23"/>
  <c r="S12" i="23"/>
  <c r="R12" i="23"/>
  <c r="Q12" i="23"/>
  <c r="P12" i="23"/>
  <c r="X11" i="23"/>
  <c r="W11" i="23"/>
  <c r="V11" i="23"/>
  <c r="U11" i="23"/>
  <c r="T11" i="23"/>
  <c r="S11" i="23"/>
  <c r="R11" i="23"/>
  <c r="Q11" i="23"/>
  <c r="P11" i="23"/>
  <c r="X10" i="23"/>
  <c r="W10" i="23"/>
  <c r="V10" i="23"/>
  <c r="U10" i="23"/>
  <c r="T10" i="23"/>
  <c r="S10" i="23"/>
  <c r="R10" i="23"/>
  <c r="Q10" i="23"/>
  <c r="P10" i="23"/>
  <c r="X9" i="23"/>
  <c r="W9" i="23"/>
  <c r="V9" i="23"/>
  <c r="U9" i="23"/>
  <c r="T9" i="23"/>
  <c r="S9" i="23"/>
  <c r="R9" i="23"/>
  <c r="Q9" i="23"/>
  <c r="P9" i="23"/>
  <c r="X8" i="23"/>
  <c r="W8" i="23"/>
  <c r="V8" i="23"/>
  <c r="U8" i="23"/>
  <c r="T8" i="23"/>
  <c r="S8" i="23"/>
  <c r="R8" i="23"/>
  <c r="Q8" i="23"/>
  <c r="P8" i="23"/>
  <c r="X7" i="23"/>
  <c r="W7" i="23"/>
  <c r="V7" i="23"/>
  <c r="U7" i="23"/>
  <c r="T7" i="23"/>
  <c r="S7" i="23"/>
  <c r="R7" i="23"/>
  <c r="Q7" i="23"/>
  <c r="P7" i="23"/>
  <c r="W6" i="23"/>
  <c r="V6" i="23"/>
  <c r="U6" i="23"/>
  <c r="T6" i="23"/>
  <c r="S6" i="23"/>
  <c r="R6" i="23"/>
  <c r="Q6" i="23"/>
  <c r="P6" i="23"/>
  <c r="X6" i="23"/>
  <c r="M79" i="23" l="1"/>
  <c r="L76" i="23"/>
  <c r="K76" i="23"/>
  <c r="J76" i="23"/>
  <c r="I76" i="23"/>
  <c r="H76" i="23"/>
  <c r="G76" i="23"/>
  <c r="F76" i="23"/>
  <c r="E76" i="23"/>
  <c r="D76" i="23"/>
  <c r="C76" i="23"/>
  <c r="L75" i="23"/>
  <c r="K75" i="23"/>
  <c r="J75" i="23"/>
  <c r="I75" i="23"/>
  <c r="H75" i="23"/>
  <c r="G75" i="23"/>
  <c r="F75" i="23"/>
  <c r="E75" i="23"/>
  <c r="D75" i="23"/>
  <c r="C75" i="23"/>
  <c r="L74" i="23"/>
  <c r="K74" i="23"/>
  <c r="J74" i="23"/>
  <c r="I74" i="23"/>
  <c r="H74" i="23"/>
  <c r="G74" i="23"/>
  <c r="F74" i="23"/>
  <c r="E74" i="23"/>
  <c r="D74" i="23"/>
  <c r="C74" i="23"/>
  <c r="L73" i="23"/>
  <c r="K73" i="23"/>
  <c r="J73" i="23"/>
  <c r="I73" i="23"/>
  <c r="H73" i="23"/>
  <c r="G73" i="23"/>
  <c r="F73" i="23"/>
  <c r="E73" i="23"/>
  <c r="D73" i="23"/>
  <c r="C73" i="23"/>
  <c r="L72" i="23"/>
  <c r="K72" i="23"/>
  <c r="J72" i="23"/>
  <c r="I72" i="23"/>
  <c r="H72" i="23"/>
  <c r="G72" i="23"/>
  <c r="F72" i="23"/>
  <c r="E72" i="23"/>
  <c r="D72" i="23"/>
  <c r="C72" i="23"/>
  <c r="L71" i="23"/>
  <c r="K71" i="23"/>
  <c r="J71" i="23"/>
  <c r="I71" i="23"/>
  <c r="H71" i="23"/>
  <c r="G71" i="23"/>
  <c r="F71" i="23"/>
  <c r="E71" i="23"/>
  <c r="D71" i="23"/>
  <c r="C71" i="23"/>
  <c r="L70" i="23"/>
  <c r="K70" i="23"/>
  <c r="J70" i="23"/>
  <c r="I70" i="23"/>
  <c r="H70" i="23"/>
  <c r="G70" i="23"/>
  <c r="F70" i="23"/>
  <c r="E70" i="23"/>
  <c r="D70" i="23"/>
  <c r="C70" i="23"/>
  <c r="L69" i="23"/>
  <c r="K69" i="23"/>
  <c r="J69" i="23"/>
  <c r="I69" i="23"/>
  <c r="H69" i="23"/>
  <c r="G69" i="23"/>
  <c r="F69" i="23"/>
  <c r="E69" i="23"/>
  <c r="D69" i="23"/>
  <c r="C69" i="23"/>
  <c r="L68" i="23"/>
  <c r="K68" i="23"/>
  <c r="J68" i="23"/>
  <c r="I68" i="23"/>
  <c r="H68" i="23"/>
  <c r="G68" i="23"/>
  <c r="F68" i="23"/>
  <c r="E68" i="23"/>
  <c r="D68" i="23"/>
  <c r="C68" i="23"/>
  <c r="L67" i="23"/>
  <c r="K67" i="23"/>
  <c r="J67" i="23"/>
  <c r="I67" i="23"/>
  <c r="H67" i="23"/>
  <c r="G67" i="23"/>
  <c r="F67" i="23"/>
  <c r="E67" i="23"/>
  <c r="D67" i="23"/>
  <c r="C67" i="23"/>
  <c r="L66" i="23"/>
  <c r="K66" i="23"/>
  <c r="J66" i="23"/>
  <c r="I66" i="23"/>
  <c r="H66" i="23"/>
  <c r="G66" i="23"/>
  <c r="F66" i="23"/>
  <c r="E66" i="23"/>
  <c r="D66" i="23"/>
  <c r="C66" i="23"/>
  <c r="L65" i="23"/>
  <c r="K65" i="23"/>
  <c r="J65" i="23"/>
  <c r="I65" i="23"/>
  <c r="H65" i="23"/>
  <c r="G65" i="23"/>
  <c r="F65" i="23"/>
  <c r="E65" i="23"/>
  <c r="D65" i="23"/>
  <c r="C65" i="23"/>
  <c r="L64" i="23"/>
  <c r="K64" i="23"/>
  <c r="J64" i="23"/>
  <c r="I64" i="23"/>
  <c r="H64" i="23"/>
  <c r="G64" i="23"/>
  <c r="F64" i="23"/>
  <c r="E64" i="23"/>
  <c r="D64" i="23"/>
  <c r="C64" i="23"/>
  <c r="L63" i="23"/>
  <c r="K63" i="23"/>
  <c r="J63" i="23"/>
  <c r="I63" i="23"/>
  <c r="H63" i="23"/>
  <c r="G63" i="23"/>
  <c r="F63" i="23"/>
  <c r="E63" i="23"/>
  <c r="D63" i="23"/>
  <c r="C63" i="23"/>
  <c r="L62" i="23"/>
  <c r="K62" i="23"/>
  <c r="J62" i="23"/>
  <c r="I62" i="23"/>
  <c r="H62" i="23"/>
  <c r="G62" i="23"/>
  <c r="F62" i="23"/>
  <c r="E62" i="23"/>
  <c r="D62" i="23"/>
  <c r="C62" i="23"/>
  <c r="L61" i="23"/>
  <c r="K61" i="23"/>
  <c r="J61" i="23"/>
  <c r="I61" i="23"/>
  <c r="H61" i="23"/>
  <c r="G61" i="23"/>
  <c r="F61" i="23"/>
  <c r="E61" i="23"/>
  <c r="D61" i="23"/>
  <c r="C61" i="23"/>
  <c r="L60" i="23"/>
  <c r="K60" i="23"/>
  <c r="J60" i="23"/>
  <c r="I60" i="23"/>
  <c r="H60" i="23"/>
  <c r="G60" i="23"/>
  <c r="F60" i="23"/>
  <c r="E60" i="23"/>
  <c r="D60" i="23"/>
  <c r="C60" i="23"/>
  <c r="L59" i="23"/>
  <c r="K59" i="23"/>
  <c r="J59" i="23"/>
  <c r="I59" i="23"/>
  <c r="H59" i="23"/>
  <c r="G59" i="23"/>
  <c r="F59" i="23"/>
  <c r="E59" i="23"/>
  <c r="D59" i="23"/>
  <c r="C59" i="23"/>
  <c r="L58" i="23"/>
  <c r="K58" i="23"/>
  <c r="J58" i="23"/>
  <c r="I58" i="23"/>
  <c r="H58" i="23"/>
  <c r="G58" i="23"/>
  <c r="F58" i="23"/>
  <c r="E58" i="23"/>
  <c r="D58" i="23"/>
  <c r="C58" i="23"/>
  <c r="L57" i="23"/>
  <c r="K57" i="23"/>
  <c r="J57" i="23"/>
  <c r="I57" i="23"/>
  <c r="H57" i="23"/>
  <c r="G57" i="23"/>
  <c r="F57" i="23"/>
  <c r="E57" i="23"/>
  <c r="D57" i="23"/>
  <c r="C57" i="23"/>
  <c r="L56" i="23"/>
  <c r="K56" i="23"/>
  <c r="J56" i="23"/>
  <c r="I56" i="23"/>
  <c r="H56" i="23"/>
  <c r="G56" i="23"/>
  <c r="F56" i="23"/>
  <c r="E56" i="23"/>
  <c r="D56" i="23"/>
  <c r="C56" i="23"/>
  <c r="L55" i="23"/>
  <c r="K55" i="23"/>
  <c r="J55" i="23"/>
  <c r="I55" i="23"/>
  <c r="H55" i="23"/>
  <c r="G55" i="23"/>
  <c r="F55" i="23"/>
  <c r="E55" i="23"/>
  <c r="D55" i="23"/>
  <c r="C55" i="23"/>
  <c r="L54" i="23"/>
  <c r="K54" i="23"/>
  <c r="J54" i="23"/>
  <c r="I54" i="23"/>
  <c r="H54" i="23"/>
  <c r="G54" i="23"/>
  <c r="F54" i="23"/>
  <c r="E54" i="23"/>
  <c r="D54" i="23"/>
  <c r="C54" i="23"/>
  <c r="L53" i="23"/>
  <c r="K53" i="23"/>
  <c r="J53" i="23"/>
  <c r="I53" i="23"/>
  <c r="H53" i="23"/>
  <c r="G53" i="23"/>
  <c r="F53" i="23"/>
  <c r="E53" i="23"/>
  <c r="D53" i="23"/>
  <c r="C53" i="23"/>
  <c r="L52" i="23"/>
  <c r="K52" i="23"/>
  <c r="J52" i="23"/>
  <c r="I52" i="23"/>
  <c r="H52" i="23"/>
  <c r="G52" i="23"/>
  <c r="F52" i="23"/>
  <c r="E52" i="23"/>
  <c r="D52" i="23"/>
  <c r="C52" i="23"/>
  <c r="L51" i="23"/>
  <c r="K51" i="23"/>
  <c r="J51" i="23"/>
  <c r="I51" i="23"/>
  <c r="H51" i="23"/>
  <c r="G51" i="23"/>
  <c r="F51" i="23"/>
  <c r="E51" i="23"/>
  <c r="D51" i="23"/>
  <c r="C51" i="23"/>
  <c r="L50" i="23"/>
  <c r="K50" i="23"/>
  <c r="J50" i="23"/>
  <c r="I50" i="23"/>
  <c r="H50" i="23"/>
  <c r="G50" i="23"/>
  <c r="F50" i="23"/>
  <c r="E50" i="23"/>
  <c r="D50" i="23"/>
  <c r="C50" i="23"/>
  <c r="L48" i="23"/>
  <c r="K48" i="23"/>
  <c r="J48" i="23"/>
  <c r="I48" i="23"/>
  <c r="H48" i="23"/>
  <c r="G48" i="23"/>
  <c r="F48" i="23"/>
  <c r="E48" i="23"/>
  <c r="D48" i="23"/>
  <c r="C48" i="23"/>
  <c r="L47" i="23"/>
  <c r="K47" i="23"/>
  <c r="J47" i="23"/>
  <c r="I47" i="23"/>
  <c r="H47" i="23"/>
  <c r="G47" i="23"/>
  <c r="F47" i="23"/>
  <c r="E47" i="23"/>
  <c r="D47" i="23"/>
  <c r="C47" i="23"/>
  <c r="L46" i="23"/>
  <c r="L79" i="23" s="1"/>
  <c r="K46" i="23"/>
  <c r="K79" i="23" s="1"/>
  <c r="J46" i="23"/>
  <c r="J79" i="23" s="1"/>
  <c r="I46" i="23"/>
  <c r="I79" i="23" s="1"/>
  <c r="H46" i="23"/>
  <c r="H79" i="23" s="1"/>
  <c r="G46" i="23"/>
  <c r="G79" i="23" s="1"/>
  <c r="F46" i="23"/>
  <c r="F79" i="23" s="1"/>
  <c r="E46" i="23"/>
  <c r="E79" i="23" s="1"/>
  <c r="D46" i="23"/>
  <c r="D79" i="23" s="1"/>
  <c r="C46" i="23"/>
  <c r="C79" i="23" s="1"/>
  <c r="BL268" i="25"/>
  <c r="BK268" i="25"/>
  <c r="BJ268" i="25"/>
  <c r="BI268" i="25"/>
  <c r="BH268" i="25"/>
  <c r="BG268" i="25"/>
  <c r="BF268" i="25"/>
  <c r="BE268" i="25"/>
  <c r="BD268" i="25"/>
  <c r="BC268" i="25"/>
  <c r="F708" i="21" l="1" a="1"/>
  <c r="F708" i="21" s="1"/>
  <c r="F707" i="21" a="1"/>
  <c r="F707" i="21" s="1"/>
  <c r="F706" i="21" a="1"/>
  <c r="F706" i="21" s="1"/>
  <c r="F705" i="21" a="1"/>
  <c r="F705" i="21" s="1"/>
  <c r="F704" i="21" a="1"/>
  <c r="F704" i="21" s="1"/>
  <c r="F703" i="21" a="1"/>
  <c r="F703" i="21" s="1"/>
  <c r="F702" i="21" a="1"/>
  <c r="F702" i="21" s="1"/>
  <c r="F701" i="21" a="1"/>
  <c r="F701" i="21" s="1"/>
  <c r="F700" i="21" a="1"/>
  <c r="F700" i="21" s="1"/>
  <c r="F699" i="21" a="1"/>
  <c r="F699" i="21" s="1"/>
  <c r="F698" i="21" a="1"/>
  <c r="F698" i="21" s="1"/>
  <c r="F697" i="21" a="1"/>
  <c r="F697" i="21" s="1"/>
  <c r="F696" i="21" a="1"/>
  <c r="F696" i="21" s="1"/>
  <c r="F695" i="21" a="1"/>
  <c r="F695" i="21" s="1"/>
  <c r="F694" i="21" a="1"/>
  <c r="F694" i="21" s="1"/>
  <c r="F693" i="21" a="1"/>
  <c r="F693" i="21" s="1"/>
  <c r="F692" i="21" a="1"/>
  <c r="F692" i="21" s="1"/>
  <c r="F691" i="21" a="1"/>
  <c r="F691" i="21" s="1"/>
  <c r="F690" i="21" a="1"/>
  <c r="F690" i="21" s="1"/>
  <c r="F689" i="21" a="1"/>
  <c r="F689" i="21" s="1"/>
  <c r="F688" i="21" a="1"/>
  <c r="F688" i="21" s="1"/>
  <c r="F687" i="21" a="1"/>
  <c r="F687" i="21" s="1"/>
  <c r="F686" i="21" a="1"/>
  <c r="F686" i="21" s="1"/>
  <c r="F685" i="21" a="1"/>
  <c r="F685" i="21" s="1"/>
  <c r="F684" i="21" a="1"/>
  <c r="F684" i="21" s="1"/>
  <c r="F683" i="21" a="1"/>
  <c r="F683" i="21" s="1"/>
  <c r="F682" i="21" a="1"/>
  <c r="F682" i="21" s="1"/>
  <c r="F681" i="21" a="1"/>
  <c r="F681" i="21" s="1"/>
  <c r="F680" i="21" a="1"/>
  <c r="F680" i="21" s="1"/>
  <c r="F679" i="21" a="1"/>
  <c r="F679" i="21" s="1"/>
  <c r="F678" i="21" a="1"/>
  <c r="F678" i="21" s="1"/>
  <c r="F677" i="21" a="1"/>
  <c r="F677" i="21" s="1"/>
  <c r="F675" i="21" a="1"/>
  <c r="F675" i="21" s="1"/>
  <c r="F674" i="21" a="1"/>
  <c r="F674" i="21" s="1"/>
  <c r="F673" i="21" a="1"/>
  <c r="F673" i="21" s="1"/>
  <c r="F672" i="21" a="1"/>
  <c r="F672" i="21" s="1"/>
  <c r="F671" i="21" a="1"/>
  <c r="F671" i="21" s="1"/>
  <c r="F670" i="21" a="1"/>
  <c r="F670" i="21" s="1"/>
  <c r="F669" i="21" a="1"/>
  <c r="F669" i="21" s="1"/>
  <c r="F668" i="21" a="1"/>
  <c r="F668" i="21" s="1"/>
  <c r="F667" i="21" a="1"/>
  <c r="F667" i="21" s="1"/>
  <c r="P12" i="8" l="1"/>
  <c r="Y539" i="8" l="1"/>
  <c r="Y477" i="8"/>
  <c r="N557" i="21" l="1" a="1"/>
  <c r="N557" i="21" s="1"/>
  <c r="N556" i="21" a="1"/>
  <c r="N556" i="21" s="1"/>
  <c r="N555" i="21" a="1"/>
  <c r="N555" i="21" s="1"/>
  <c r="N554" i="21" a="1"/>
  <c r="N554" i="21" s="1"/>
  <c r="N553" i="21" a="1"/>
  <c r="N553" i="21" s="1"/>
  <c r="N552" i="21" a="1"/>
  <c r="N552" i="21" s="1"/>
  <c r="N551" i="21" a="1"/>
  <c r="N551" i="21" s="1"/>
  <c r="N550" i="21" a="1"/>
  <c r="N550" i="21" s="1"/>
  <c r="N549" i="21" a="1"/>
  <c r="N549" i="21" s="1"/>
  <c r="N548" i="21" a="1"/>
  <c r="N548" i="21" s="1"/>
  <c r="N547" i="21" a="1"/>
  <c r="N547" i="21" s="1"/>
  <c r="N546" i="21" a="1"/>
  <c r="N546" i="21" s="1"/>
  <c r="N545" i="21" a="1"/>
  <c r="N545" i="21" s="1"/>
  <c r="N544" i="21" a="1"/>
  <c r="N544" i="21" s="1"/>
  <c r="N543" i="21" a="1"/>
  <c r="N543" i="21" s="1"/>
  <c r="N542" i="21" a="1"/>
  <c r="N542" i="21" s="1"/>
  <c r="N541" i="21" a="1"/>
  <c r="N541" i="21" s="1"/>
  <c r="N540" i="21" a="1"/>
  <c r="N540" i="21" s="1"/>
  <c r="N539" i="21" a="1"/>
  <c r="N539" i="21" s="1"/>
  <c r="N538" i="21" a="1"/>
  <c r="N538" i="21" s="1"/>
  <c r="N537" i="21" a="1"/>
  <c r="N537" i="21" s="1"/>
  <c r="N536" i="21" a="1"/>
  <c r="N536" i="21" s="1"/>
  <c r="N535" i="21" a="1"/>
  <c r="N535" i="21" s="1"/>
  <c r="N534" i="21" a="1"/>
  <c r="N534" i="21" s="1"/>
  <c r="N533" i="21" a="1"/>
  <c r="N533" i="21" s="1"/>
  <c r="N532" i="21" a="1"/>
  <c r="N532" i="21" s="1"/>
  <c r="N531" i="21" a="1"/>
  <c r="N531" i="21" s="1"/>
  <c r="N530" i="21" a="1"/>
  <c r="N530" i="21" s="1"/>
  <c r="N529" i="21" a="1"/>
  <c r="N529" i="21" s="1"/>
  <c r="N528" i="21" a="1"/>
  <c r="N528" i="21" s="1"/>
  <c r="N527" i="21" a="1"/>
  <c r="N527" i="21" s="1"/>
  <c r="N526" i="21" a="1"/>
  <c r="N526" i="21" s="1"/>
  <c r="N524" i="21" a="1"/>
  <c r="N524" i="21" s="1"/>
  <c r="N523" i="21" a="1"/>
  <c r="N523" i="21" s="1"/>
  <c r="N522" i="21" a="1"/>
  <c r="N522" i="21" s="1"/>
  <c r="N521" i="21" a="1"/>
  <c r="N521" i="21" s="1"/>
  <c r="N520" i="21" a="1"/>
  <c r="N520" i="21" s="1"/>
  <c r="N519" i="21" a="1"/>
  <c r="N519" i="21" s="1"/>
  <c r="N518" i="21" a="1"/>
  <c r="N518" i="21" s="1"/>
  <c r="N517" i="21" a="1"/>
  <c r="N517" i="21" s="1"/>
  <c r="N516" i="21" a="1"/>
  <c r="N516" i="21" s="1"/>
  <c r="N137" i="21" a="1"/>
  <c r="N137" i="21" s="1"/>
  <c r="N136" i="21" a="1"/>
  <c r="N136" i="21" s="1"/>
  <c r="N135" i="21" a="1"/>
  <c r="N135" i="21" s="1"/>
  <c r="N134" i="21" a="1"/>
  <c r="N134" i="21" s="1"/>
  <c r="N133" i="21" a="1"/>
  <c r="N133" i="21" s="1"/>
  <c r="N132" i="21" a="1"/>
  <c r="N132" i="21" s="1"/>
  <c r="N131" i="21" a="1"/>
  <c r="N131" i="21" s="1"/>
  <c r="N130" i="21" a="1"/>
  <c r="N130" i="21" s="1"/>
  <c r="N129" i="21" a="1"/>
  <c r="N129" i="21" s="1"/>
  <c r="N128" i="21" a="1"/>
  <c r="N128" i="21" s="1"/>
  <c r="N127" i="21" a="1"/>
  <c r="N127" i="21" s="1"/>
  <c r="N126" i="21" a="1"/>
  <c r="N126" i="21" s="1"/>
  <c r="N125" i="21" a="1"/>
  <c r="N125" i="21" s="1"/>
  <c r="N124" i="21" a="1"/>
  <c r="N124" i="21" s="1"/>
  <c r="N123" i="21" a="1"/>
  <c r="N123" i="21" s="1"/>
  <c r="N122" i="21" a="1"/>
  <c r="N122" i="21" s="1"/>
  <c r="N121" i="21" a="1"/>
  <c r="N121" i="21" s="1"/>
  <c r="N120" i="21" a="1"/>
  <c r="N120" i="21" s="1"/>
  <c r="N119" i="21" a="1"/>
  <c r="N119" i="21" s="1"/>
  <c r="N118" i="21" a="1"/>
  <c r="N118" i="21" s="1"/>
  <c r="N117" i="21" a="1"/>
  <c r="N117" i="21" s="1"/>
  <c r="N116" i="21" a="1"/>
  <c r="N116" i="21" s="1"/>
  <c r="N115" i="21" a="1"/>
  <c r="N115" i="21" s="1"/>
  <c r="N114" i="21" a="1"/>
  <c r="N114" i="21" s="1"/>
  <c r="N113" i="21" a="1"/>
  <c r="N113" i="21" s="1"/>
  <c r="N112" i="21" a="1"/>
  <c r="N112" i="21" s="1"/>
  <c r="N111" i="21" a="1"/>
  <c r="N111" i="21" s="1"/>
  <c r="N110" i="21" a="1"/>
  <c r="N110" i="21" s="1"/>
  <c r="N109" i="21" a="1"/>
  <c r="N109" i="21" s="1"/>
  <c r="N108" i="21" a="1"/>
  <c r="N108" i="21" s="1"/>
  <c r="N107" i="21" a="1"/>
  <c r="N107" i="21" s="1"/>
  <c r="N106" i="21" a="1"/>
  <c r="N106" i="21" s="1"/>
  <c r="N104" i="21" a="1"/>
  <c r="N104" i="21" s="1"/>
  <c r="N103" i="21" a="1"/>
  <c r="N103" i="21" s="1"/>
  <c r="N102" i="21" a="1"/>
  <c r="N102" i="21" s="1"/>
  <c r="N101" i="21" a="1"/>
  <c r="N101" i="21" s="1"/>
  <c r="N100" i="21" a="1"/>
  <c r="N100" i="21" s="1"/>
  <c r="N99" i="21" a="1"/>
  <c r="N99" i="21" s="1"/>
  <c r="N98" i="21" a="1"/>
  <c r="N98" i="21" s="1"/>
  <c r="N97" i="21" a="1"/>
  <c r="N97" i="21" s="1"/>
  <c r="N96" i="21" a="1"/>
  <c r="N96" i="21" s="1"/>
  <c r="N347" i="21" a="1"/>
  <c r="N347" i="21" s="1"/>
  <c r="N346" i="21" a="1"/>
  <c r="N346" i="21" s="1"/>
  <c r="N345" i="21" a="1"/>
  <c r="N345" i="21" s="1"/>
  <c r="N344" i="21" a="1"/>
  <c r="N344" i="21" s="1"/>
  <c r="N343" i="21" a="1"/>
  <c r="N343" i="21" s="1"/>
  <c r="N342" i="21" a="1"/>
  <c r="N342" i="21" s="1"/>
  <c r="N341" i="21" a="1"/>
  <c r="N341" i="21" s="1"/>
  <c r="N340" i="21" a="1"/>
  <c r="N340" i="21" s="1"/>
  <c r="N339" i="21" a="1"/>
  <c r="N339" i="21" s="1"/>
  <c r="N338" i="21" a="1"/>
  <c r="N338" i="21" s="1"/>
  <c r="N337" i="21" a="1"/>
  <c r="N337" i="21" s="1"/>
  <c r="N336" i="21" a="1"/>
  <c r="N336" i="21" s="1"/>
  <c r="N335" i="21" a="1"/>
  <c r="N335" i="21" s="1"/>
  <c r="N334" i="21" a="1"/>
  <c r="N334" i="21" s="1"/>
  <c r="N333" i="21" a="1"/>
  <c r="N333" i="21" s="1"/>
  <c r="N332" i="21" a="1"/>
  <c r="N332" i="21" s="1"/>
  <c r="N331" i="21" a="1"/>
  <c r="N331" i="21" s="1"/>
  <c r="N330" i="21" a="1"/>
  <c r="N330" i="21" s="1"/>
  <c r="N329" i="21" a="1"/>
  <c r="N329" i="21" s="1"/>
  <c r="N328" i="21" a="1"/>
  <c r="N328" i="21" s="1"/>
  <c r="N327" i="21" a="1"/>
  <c r="N327" i="21" s="1"/>
  <c r="N326" i="21" a="1"/>
  <c r="N326" i="21" s="1"/>
  <c r="N325" i="21" a="1"/>
  <c r="N325" i="21" s="1"/>
  <c r="N324" i="21" a="1"/>
  <c r="N324" i="21" s="1"/>
  <c r="N323" i="21" a="1"/>
  <c r="N323" i="21" s="1"/>
  <c r="N322" i="21" a="1"/>
  <c r="N322" i="21" s="1"/>
  <c r="N321" i="21" a="1"/>
  <c r="N321" i="21" s="1"/>
  <c r="N320" i="21" a="1"/>
  <c r="N320" i="21" s="1"/>
  <c r="N319" i="21" a="1"/>
  <c r="N319" i="21" s="1"/>
  <c r="N318" i="21" a="1"/>
  <c r="N318" i="21" s="1"/>
  <c r="N317" i="21" a="1"/>
  <c r="N317" i="21" s="1"/>
  <c r="N316" i="21" a="1"/>
  <c r="N316" i="21" s="1"/>
  <c r="N314" i="21" a="1"/>
  <c r="N314" i="21" s="1"/>
  <c r="N313" i="21" a="1"/>
  <c r="N313" i="21" s="1"/>
  <c r="N312" i="21" a="1"/>
  <c r="N312" i="21" s="1"/>
  <c r="N311" i="21" a="1"/>
  <c r="N311" i="21" s="1"/>
  <c r="N310" i="21" a="1"/>
  <c r="N310" i="21" s="1"/>
  <c r="N309" i="21" a="1"/>
  <c r="N309" i="21" s="1"/>
  <c r="N308" i="21" a="1"/>
  <c r="N308" i="21" s="1"/>
  <c r="N307" i="21" a="1"/>
  <c r="N307" i="21" s="1"/>
  <c r="N306" i="21" a="1"/>
  <c r="N306" i="21" s="1"/>
  <c r="C6" i="14" l="1"/>
  <c r="BQ577" i="8" l="1"/>
  <c r="I577" i="8" s="1"/>
  <c r="BQ576" i="8"/>
  <c r="I576" i="8" s="1"/>
  <c r="BQ575" i="8"/>
  <c r="I575" i="8" s="1"/>
  <c r="BQ574" i="8"/>
  <c r="I574" i="8" s="1"/>
  <c r="BQ573" i="8"/>
  <c r="I573" i="8" s="1"/>
  <c r="BQ572" i="8"/>
  <c r="I572" i="8" s="1"/>
  <c r="BQ571" i="8"/>
  <c r="I571" i="8" s="1"/>
  <c r="BQ570" i="8"/>
  <c r="I570" i="8" s="1"/>
  <c r="BQ569" i="8"/>
  <c r="I569" i="8" s="1"/>
  <c r="BQ568" i="8"/>
  <c r="I568" i="8" s="1"/>
  <c r="BQ567" i="8"/>
  <c r="I567" i="8" s="1"/>
  <c r="BQ566" i="8"/>
  <c r="I566" i="8" s="1"/>
  <c r="BQ565" i="8"/>
  <c r="I565" i="8" s="1"/>
  <c r="BQ564" i="8"/>
  <c r="I564" i="8" s="1"/>
  <c r="BQ563" i="8"/>
  <c r="I563" i="8" s="1"/>
  <c r="BQ562" i="8"/>
  <c r="I562" i="8" s="1"/>
  <c r="BQ561" i="8"/>
  <c r="I561" i="8" s="1"/>
  <c r="BQ560" i="8"/>
  <c r="I560" i="8" s="1"/>
  <c r="BQ559" i="8"/>
  <c r="I559" i="8" s="1"/>
  <c r="BQ558" i="8"/>
  <c r="I558" i="8" s="1"/>
  <c r="BQ557" i="8"/>
  <c r="I557" i="8" s="1"/>
  <c r="BQ556" i="8"/>
  <c r="I556" i="8" s="1"/>
  <c r="BQ555" i="8"/>
  <c r="I555" i="8" s="1"/>
  <c r="BQ554" i="8"/>
  <c r="I554" i="8" s="1"/>
  <c r="BQ553" i="8"/>
  <c r="I553" i="8" s="1"/>
  <c r="BQ552" i="8"/>
  <c r="I552" i="8" s="1"/>
  <c r="BQ551" i="8"/>
  <c r="I551" i="8" s="1"/>
  <c r="BQ550" i="8"/>
  <c r="I550" i="8" s="1"/>
  <c r="BQ549" i="8"/>
  <c r="I549" i="8" s="1"/>
  <c r="BQ548" i="8"/>
  <c r="I548" i="8" s="1"/>
  <c r="BQ547" i="8"/>
  <c r="I547" i="8" s="1"/>
  <c r="BQ546" i="8"/>
  <c r="I546" i="8" s="1"/>
  <c r="BQ545" i="8"/>
  <c r="I545" i="8" s="1"/>
  <c r="BQ544" i="8"/>
  <c r="I544" i="8" s="1"/>
  <c r="BQ543" i="8"/>
  <c r="BQ542" i="8"/>
  <c r="I542" i="8" s="1"/>
  <c r="BQ541" i="8"/>
  <c r="I541" i="8" s="1"/>
  <c r="BQ540" i="8"/>
  <c r="I540" i="8" s="1"/>
  <c r="BQ539" i="8"/>
  <c r="I539" i="8" s="1"/>
  <c r="BQ538" i="8"/>
  <c r="I538" i="8" s="1"/>
  <c r="BQ537" i="8"/>
  <c r="BQ536" i="8"/>
  <c r="I536" i="8" s="1"/>
  <c r="BQ535" i="8"/>
  <c r="I535" i="8" s="1"/>
  <c r="BQ534" i="8"/>
  <c r="I534" i="8" s="1"/>
  <c r="BQ533" i="8"/>
  <c r="I533" i="8" s="1"/>
  <c r="BQ532" i="8"/>
  <c r="I532" i="8" s="1"/>
  <c r="BQ531" i="8"/>
  <c r="I531" i="8" s="1"/>
  <c r="BQ530" i="8"/>
  <c r="I530" i="8" s="1"/>
  <c r="BQ529" i="8"/>
  <c r="I529" i="8" s="1"/>
  <c r="BQ528" i="8"/>
  <c r="I528" i="8" s="1"/>
  <c r="BQ527" i="8"/>
  <c r="I527" i="8" s="1"/>
  <c r="BQ526" i="8"/>
  <c r="I526" i="8" s="1"/>
  <c r="BQ525" i="8"/>
  <c r="I525" i="8" s="1"/>
  <c r="BQ524" i="8"/>
  <c r="I524" i="8" s="1"/>
  <c r="BQ523" i="8"/>
  <c r="I523" i="8" s="1"/>
  <c r="BQ522" i="8"/>
  <c r="I522" i="8" s="1"/>
  <c r="BQ521" i="8"/>
  <c r="I521" i="8" s="1"/>
  <c r="BQ520" i="8"/>
  <c r="I520" i="8" s="1"/>
  <c r="BQ519" i="8"/>
  <c r="I519" i="8" s="1"/>
  <c r="BQ518" i="8"/>
  <c r="I518" i="8" s="1"/>
  <c r="BQ517" i="8"/>
  <c r="I517" i="8" s="1"/>
  <c r="BQ516" i="8"/>
  <c r="I516" i="8" s="1"/>
  <c r="BQ515" i="8"/>
  <c r="I515" i="8" s="1"/>
  <c r="BQ514" i="8"/>
  <c r="I514" i="8" s="1"/>
  <c r="BQ513" i="8"/>
  <c r="I513" i="8" s="1"/>
  <c r="BQ512" i="8"/>
  <c r="I512" i="8" s="1"/>
  <c r="BQ511" i="8"/>
  <c r="I511" i="8" s="1"/>
  <c r="BQ510" i="8"/>
  <c r="I510" i="8" s="1"/>
  <c r="BQ509" i="8"/>
  <c r="I509" i="8" s="1"/>
  <c r="BQ508" i="8"/>
  <c r="I508" i="8" s="1"/>
  <c r="BQ507" i="8"/>
  <c r="I507" i="8" s="1"/>
  <c r="BQ506" i="8"/>
  <c r="I506" i="8" s="1"/>
  <c r="BQ505" i="8"/>
  <c r="I505" i="8" s="1"/>
  <c r="BQ504" i="8"/>
  <c r="I504" i="8" s="1"/>
  <c r="BQ503" i="8"/>
  <c r="I503" i="8" s="1"/>
  <c r="BQ502" i="8"/>
  <c r="I502" i="8" s="1"/>
  <c r="BQ501" i="8"/>
  <c r="I501" i="8" s="1"/>
  <c r="BQ500" i="8"/>
  <c r="I500" i="8" s="1"/>
  <c r="BQ499" i="8"/>
  <c r="I499" i="8" s="1"/>
  <c r="BQ498" i="8"/>
  <c r="I498" i="8" s="1"/>
  <c r="BQ497" i="8"/>
  <c r="BQ496" i="8"/>
  <c r="I496" i="8" s="1"/>
  <c r="BQ495" i="8"/>
  <c r="I495" i="8" s="1"/>
  <c r="BQ494" i="8"/>
  <c r="I494" i="8" s="1"/>
  <c r="BQ493" i="8"/>
  <c r="I493" i="8" s="1"/>
  <c r="BQ492" i="8"/>
  <c r="I492" i="8" s="1"/>
  <c r="BQ491" i="8"/>
  <c r="I491" i="8" s="1"/>
  <c r="BQ490" i="8"/>
  <c r="I490" i="8" s="1"/>
  <c r="BQ489" i="8"/>
  <c r="BQ488" i="8"/>
  <c r="I488" i="8" s="1"/>
  <c r="BQ487" i="8"/>
  <c r="BQ486" i="8"/>
  <c r="I486" i="8" s="1"/>
  <c r="BQ485" i="8"/>
  <c r="I485" i="8" s="1"/>
  <c r="BQ484" i="8"/>
  <c r="I484" i="8" s="1"/>
  <c r="BQ483" i="8"/>
  <c r="I483" i="8" s="1"/>
  <c r="BQ482" i="8"/>
  <c r="BQ481" i="8"/>
  <c r="I481" i="8" s="1"/>
  <c r="BQ480" i="8"/>
  <c r="I480" i="8" s="1"/>
  <c r="BQ479" i="8"/>
  <c r="I479" i="8" s="1"/>
  <c r="BQ478" i="8"/>
  <c r="I478" i="8" s="1"/>
  <c r="BQ477" i="8"/>
  <c r="I477" i="8" s="1"/>
  <c r="BQ476" i="8"/>
  <c r="I476" i="8" s="1"/>
  <c r="BQ475" i="8"/>
  <c r="I475" i="8" s="1"/>
  <c r="BQ474" i="8"/>
  <c r="I474" i="8" s="1"/>
  <c r="BQ473" i="8"/>
  <c r="I473" i="8" s="1"/>
  <c r="BQ472" i="8"/>
  <c r="I472" i="8" s="1"/>
  <c r="BQ471" i="8"/>
  <c r="I471" i="8" s="1"/>
  <c r="BQ470" i="8"/>
  <c r="I470" i="8" s="1"/>
  <c r="BQ469" i="8"/>
  <c r="I469" i="8" s="1"/>
  <c r="BQ468" i="8"/>
  <c r="I468" i="8" s="1"/>
  <c r="BQ467" i="8"/>
  <c r="I467" i="8" s="1"/>
  <c r="BQ466" i="8"/>
  <c r="I466" i="8" s="1"/>
  <c r="BQ465" i="8"/>
  <c r="I465" i="8" s="1"/>
  <c r="BQ464" i="8"/>
  <c r="I464" i="8" s="1"/>
  <c r="BQ463" i="8"/>
  <c r="I463" i="8" s="1"/>
  <c r="BQ462" i="8"/>
  <c r="I462" i="8" s="1"/>
  <c r="BQ461" i="8"/>
  <c r="I461" i="8" s="1"/>
  <c r="BQ460" i="8"/>
  <c r="I460" i="8" s="1"/>
  <c r="BQ459" i="8"/>
  <c r="I459" i="8" s="1"/>
  <c r="BQ458" i="8"/>
  <c r="I458" i="8" s="1"/>
  <c r="BQ457" i="8"/>
  <c r="I457" i="8" s="1"/>
  <c r="BQ456" i="8"/>
  <c r="I456" i="8" s="1"/>
  <c r="BQ455" i="8"/>
  <c r="I455" i="8" s="1"/>
  <c r="BQ454" i="8"/>
  <c r="I454" i="8" s="1"/>
  <c r="BQ453" i="8"/>
  <c r="I453" i="8" s="1"/>
  <c r="BQ452" i="8"/>
  <c r="BQ451" i="8"/>
  <c r="I451" i="8" s="1"/>
  <c r="BQ450" i="8"/>
  <c r="BQ449" i="8"/>
  <c r="I449" i="8" s="1"/>
  <c r="BQ448" i="8"/>
  <c r="I448" i="8" s="1"/>
  <c r="BQ447" i="8"/>
  <c r="I447" i="8" s="1"/>
  <c r="BQ446" i="8"/>
  <c r="BQ445" i="8"/>
  <c r="I445" i="8" s="1"/>
  <c r="BQ444" i="8"/>
  <c r="BQ443" i="8"/>
  <c r="I443" i="8" s="1"/>
  <c r="BQ442" i="8"/>
  <c r="I442" i="8" s="1"/>
  <c r="BQ441" i="8"/>
  <c r="I441" i="8" s="1"/>
  <c r="BQ440" i="8"/>
  <c r="I440" i="8" s="1"/>
  <c r="BQ439" i="8"/>
  <c r="I439" i="8" s="1"/>
  <c r="BQ438" i="8"/>
  <c r="I438" i="8" s="1"/>
  <c r="BQ437" i="8"/>
  <c r="I437" i="8" s="1"/>
  <c r="BQ436" i="8"/>
  <c r="I436" i="8" s="1"/>
  <c r="BQ435" i="8"/>
  <c r="I435" i="8" s="1"/>
  <c r="BQ434" i="8"/>
  <c r="I434" i="8" s="1"/>
  <c r="BQ433" i="8"/>
  <c r="I433" i="8" s="1"/>
  <c r="BQ432" i="8"/>
  <c r="I432" i="8" s="1"/>
  <c r="BQ431" i="8"/>
  <c r="I431" i="8" s="1"/>
  <c r="BQ430" i="8"/>
  <c r="I430" i="8" s="1"/>
  <c r="BQ429" i="8"/>
  <c r="BQ428" i="8"/>
  <c r="I428" i="8" s="1"/>
  <c r="BQ427" i="8"/>
  <c r="I427" i="8" s="1"/>
  <c r="BQ426" i="8"/>
  <c r="I426" i="8" s="1"/>
  <c r="BQ425" i="8"/>
  <c r="I425" i="8" s="1"/>
  <c r="BQ424" i="8"/>
  <c r="I424" i="8" s="1"/>
  <c r="BQ423" i="8"/>
  <c r="I423" i="8" s="1"/>
  <c r="BQ422" i="8"/>
  <c r="I422" i="8" s="1"/>
  <c r="BQ421" i="8"/>
  <c r="BQ420" i="8"/>
  <c r="I420" i="8" s="1"/>
  <c r="BQ419" i="8"/>
  <c r="I419" i="8" s="1"/>
  <c r="BQ418" i="8"/>
  <c r="I418" i="8" s="1"/>
  <c r="BQ417" i="8"/>
  <c r="I417" i="8" s="1"/>
  <c r="BQ416" i="8"/>
  <c r="I416" i="8" s="1"/>
  <c r="BQ415" i="8"/>
  <c r="I415" i="8" s="1"/>
  <c r="BQ414" i="8"/>
  <c r="BQ413" i="8"/>
  <c r="I413" i="8" s="1"/>
  <c r="BQ412" i="8"/>
  <c r="I412" i="8" s="1"/>
  <c r="BQ411" i="8"/>
  <c r="I411" i="8" s="1"/>
  <c r="BQ410" i="8"/>
  <c r="I410" i="8" s="1"/>
  <c r="BQ409" i="8"/>
  <c r="I409" i="8" s="1"/>
  <c r="BQ408" i="8"/>
  <c r="BQ407" i="8"/>
  <c r="I407" i="8" s="1"/>
  <c r="BQ406" i="8"/>
  <c r="I406" i="8" s="1"/>
  <c r="BQ405" i="8"/>
  <c r="I405" i="8" s="1"/>
  <c r="BQ404" i="8"/>
  <c r="I404" i="8" s="1"/>
  <c r="BQ403" i="8"/>
  <c r="I403" i="8" s="1"/>
  <c r="BQ402" i="8"/>
  <c r="BQ401" i="8"/>
  <c r="I401" i="8" s="1"/>
  <c r="BQ400" i="8"/>
  <c r="I400" i="8" s="1"/>
  <c r="BQ399" i="8"/>
  <c r="I399" i="8" s="1"/>
  <c r="BQ398" i="8"/>
  <c r="I398" i="8" s="1"/>
  <c r="BQ397" i="8"/>
  <c r="BQ396" i="8"/>
  <c r="I396" i="8" s="1"/>
  <c r="BQ395" i="8"/>
  <c r="I395" i="8" s="1"/>
  <c r="BQ394" i="8"/>
  <c r="I394" i="8" s="1"/>
  <c r="BQ393" i="8"/>
  <c r="I393" i="8" s="1"/>
  <c r="BQ392" i="8"/>
  <c r="I392" i="8" s="1"/>
  <c r="BQ391" i="8"/>
  <c r="I391" i="8" s="1"/>
  <c r="BQ390" i="8"/>
  <c r="I390" i="8" s="1"/>
  <c r="BQ389" i="8"/>
  <c r="I389" i="8" s="1"/>
  <c r="BQ388" i="8"/>
  <c r="I388" i="8" s="1"/>
  <c r="BQ387" i="8"/>
  <c r="I387" i="8" s="1"/>
  <c r="BQ386" i="8"/>
  <c r="I386" i="8" s="1"/>
  <c r="BQ385" i="8"/>
  <c r="BQ384" i="8"/>
  <c r="BQ383" i="8"/>
  <c r="BQ382" i="8"/>
  <c r="I382" i="8" s="1"/>
  <c r="BQ381" i="8"/>
  <c r="I381" i="8" s="1"/>
  <c r="BQ380" i="8"/>
  <c r="I380" i="8" s="1"/>
  <c r="BQ379" i="8"/>
  <c r="I379" i="8" s="1"/>
  <c r="BQ378" i="8"/>
  <c r="I378" i="8" s="1"/>
  <c r="BQ377" i="8"/>
  <c r="I377" i="8" s="1"/>
  <c r="BQ376" i="8"/>
  <c r="I376" i="8" s="1"/>
  <c r="BQ375" i="8"/>
  <c r="I375" i="8" s="1"/>
  <c r="BQ374" i="8"/>
  <c r="I374" i="8" s="1"/>
  <c r="BQ373" i="8"/>
  <c r="I373" i="8" s="1"/>
  <c r="BQ372" i="8"/>
  <c r="BQ371" i="8"/>
  <c r="I371" i="8" s="1"/>
  <c r="BQ370" i="8"/>
  <c r="I370" i="8" s="1"/>
  <c r="BQ369" i="8"/>
  <c r="I369" i="8" s="1"/>
  <c r="BQ368" i="8"/>
  <c r="I368" i="8" s="1"/>
  <c r="BQ367" i="8"/>
  <c r="I367" i="8" s="1"/>
  <c r="BQ366" i="8"/>
  <c r="I366" i="8" s="1"/>
  <c r="BQ365" i="8"/>
  <c r="BQ364" i="8"/>
  <c r="BQ363" i="8"/>
  <c r="BQ362" i="8"/>
  <c r="I362" i="8" s="1"/>
  <c r="BQ361" i="8"/>
  <c r="I361" i="8" s="1"/>
  <c r="BQ360" i="8"/>
  <c r="I360" i="8" s="1"/>
  <c r="BQ359" i="8"/>
  <c r="I359" i="8" s="1"/>
  <c r="BQ358" i="8"/>
  <c r="I358" i="8" s="1"/>
  <c r="BQ357" i="8"/>
  <c r="I357" i="8" s="1"/>
  <c r="BQ356" i="8"/>
  <c r="I356" i="8" s="1"/>
  <c r="BQ355" i="8"/>
  <c r="I355" i="8" s="1"/>
  <c r="BQ354" i="8"/>
  <c r="I354" i="8" s="1"/>
  <c r="BQ353" i="8"/>
  <c r="I353" i="8" s="1"/>
  <c r="BQ352" i="8"/>
  <c r="I352" i="8" s="1"/>
  <c r="BQ351" i="8"/>
  <c r="BQ350" i="8"/>
  <c r="I350" i="8" s="1"/>
  <c r="BQ349" i="8"/>
  <c r="I349" i="8" s="1"/>
  <c r="BQ348" i="8"/>
  <c r="I348" i="8" s="1"/>
  <c r="BQ347" i="8"/>
  <c r="I347" i="8" s="1"/>
  <c r="BQ346" i="8"/>
  <c r="BQ345" i="8"/>
  <c r="I345" i="8" s="1"/>
  <c r="BQ344" i="8"/>
  <c r="I344" i="8" s="1"/>
  <c r="BQ343" i="8"/>
  <c r="BQ342" i="8"/>
  <c r="I342" i="8" s="1"/>
  <c r="BQ341" i="8"/>
  <c r="I341" i="8" s="1"/>
  <c r="BQ340" i="8"/>
  <c r="I340" i="8" s="1"/>
  <c r="BQ339" i="8"/>
  <c r="I339" i="8" s="1"/>
  <c r="BQ338" i="8"/>
  <c r="I338" i="8" s="1"/>
  <c r="BQ337" i="8"/>
  <c r="I337" i="8" s="1"/>
  <c r="BQ336" i="8"/>
  <c r="I336" i="8" s="1"/>
  <c r="BQ335" i="8"/>
  <c r="BQ334" i="8"/>
  <c r="I334" i="8" s="1"/>
  <c r="BQ333" i="8"/>
  <c r="I333" i="8" s="1"/>
  <c r="BQ332" i="8"/>
  <c r="I332" i="8" s="1"/>
  <c r="BQ331" i="8"/>
  <c r="BQ330" i="8"/>
  <c r="I330" i="8" s="1"/>
  <c r="BQ329" i="8"/>
  <c r="I329" i="8" s="1"/>
  <c r="BQ328" i="8"/>
  <c r="I328" i="8" s="1"/>
  <c r="BQ327" i="8"/>
  <c r="I327" i="8" s="1"/>
  <c r="BQ326" i="8"/>
  <c r="I326" i="8" s="1"/>
  <c r="BQ325" i="8"/>
  <c r="I325" i="8" s="1"/>
  <c r="BQ324" i="8"/>
  <c r="I324" i="8" s="1"/>
  <c r="BQ323" i="8"/>
  <c r="I323" i="8" s="1"/>
  <c r="BQ322" i="8"/>
  <c r="I322" i="8" s="1"/>
  <c r="BQ321" i="8"/>
  <c r="I321" i="8" s="1"/>
  <c r="BQ320" i="8"/>
  <c r="BQ319" i="8"/>
  <c r="BQ318" i="8"/>
  <c r="I318" i="8" s="1"/>
  <c r="BQ317" i="8"/>
  <c r="I317" i="8" s="1"/>
  <c r="BQ316" i="8"/>
  <c r="I316" i="8" s="1"/>
  <c r="BQ315" i="8"/>
  <c r="I315" i="8" s="1"/>
  <c r="BQ314" i="8"/>
  <c r="I314" i="8" s="1"/>
  <c r="BQ313" i="8"/>
  <c r="I313" i="8" s="1"/>
  <c r="BQ312" i="8"/>
  <c r="BQ311" i="8"/>
  <c r="I311" i="8" s="1"/>
  <c r="BQ310" i="8"/>
  <c r="I310" i="8" s="1"/>
  <c r="BQ309" i="8"/>
  <c r="I309" i="8" s="1"/>
  <c r="BQ308" i="8"/>
  <c r="I308" i="8" s="1"/>
  <c r="BQ307" i="8"/>
  <c r="I307" i="8" s="1"/>
  <c r="BQ306" i="8"/>
  <c r="I306" i="8" s="1"/>
  <c r="BQ305" i="8"/>
  <c r="BQ304" i="8"/>
  <c r="BQ303" i="8"/>
  <c r="I303" i="8" s="1"/>
  <c r="BQ302" i="8"/>
  <c r="I302" i="8" s="1"/>
  <c r="BQ301" i="8"/>
  <c r="I301" i="8" s="1"/>
  <c r="BQ300" i="8"/>
  <c r="I300" i="8" s="1"/>
  <c r="BQ299" i="8"/>
  <c r="I299" i="8" s="1"/>
  <c r="BQ298" i="8"/>
  <c r="I298" i="8" s="1"/>
  <c r="BQ297" i="8"/>
  <c r="I297" i="8" s="1"/>
  <c r="BQ296" i="8"/>
  <c r="BQ295" i="8"/>
  <c r="I295" i="8" s="1"/>
  <c r="BQ294" i="8"/>
  <c r="I294" i="8" s="1"/>
  <c r="BQ293" i="8"/>
  <c r="I293" i="8" s="1"/>
  <c r="BQ292" i="8"/>
  <c r="I292" i="8" s="1"/>
  <c r="BQ291" i="8"/>
  <c r="I291" i="8" s="1"/>
  <c r="BQ290" i="8"/>
  <c r="I290" i="8" s="1"/>
  <c r="BQ289" i="8"/>
  <c r="I289" i="8" s="1"/>
  <c r="BQ288" i="8"/>
  <c r="I288" i="8" s="1"/>
  <c r="BQ287" i="8"/>
  <c r="I287" i="8" s="1"/>
  <c r="BQ286" i="8"/>
  <c r="BQ285" i="8"/>
  <c r="I285" i="8" s="1"/>
  <c r="BQ284" i="8"/>
  <c r="I284" i="8" s="1"/>
  <c r="BQ283" i="8"/>
  <c r="I283" i="8" s="1"/>
  <c r="BQ282" i="8"/>
  <c r="I282" i="8" s="1"/>
  <c r="BQ281" i="8"/>
  <c r="I281" i="8" s="1"/>
  <c r="BQ280" i="8"/>
  <c r="I280" i="8" s="1"/>
  <c r="BQ279" i="8"/>
  <c r="I279" i="8" s="1"/>
  <c r="BQ278" i="8"/>
  <c r="I278" i="8" s="1"/>
  <c r="BQ277" i="8"/>
  <c r="I277" i="8" s="1"/>
  <c r="BQ276" i="8"/>
  <c r="I276" i="8" s="1"/>
  <c r="BQ275" i="8"/>
  <c r="I275" i="8" s="1"/>
  <c r="BQ274" i="8"/>
  <c r="BQ273" i="8"/>
  <c r="I273" i="8" s="1"/>
  <c r="BQ272" i="8"/>
  <c r="I272" i="8" s="1"/>
  <c r="BQ271" i="8"/>
  <c r="I271" i="8" s="1"/>
  <c r="BQ270" i="8"/>
  <c r="BQ269" i="8"/>
  <c r="I269" i="8" s="1"/>
  <c r="BQ268" i="8"/>
  <c r="I268" i="8" s="1"/>
  <c r="BQ267" i="8"/>
  <c r="I267" i="8" s="1"/>
  <c r="BQ266" i="8"/>
  <c r="I266" i="8" s="1"/>
  <c r="BQ265" i="8"/>
  <c r="I265" i="8" s="1"/>
  <c r="BQ264" i="8"/>
  <c r="I264" i="8" s="1"/>
  <c r="BQ263" i="8"/>
  <c r="BQ262" i="8"/>
  <c r="I262" i="8" s="1"/>
  <c r="BQ261" i="8"/>
  <c r="I261" i="8" s="1"/>
  <c r="BQ260" i="8"/>
  <c r="I260" i="8" s="1"/>
  <c r="BQ259" i="8"/>
  <c r="I259" i="8" s="1"/>
  <c r="BQ258" i="8"/>
  <c r="I258" i="8" s="1"/>
  <c r="BQ257" i="8"/>
  <c r="I257" i="8" s="1"/>
  <c r="BQ256" i="8"/>
  <c r="I256" i="8" s="1"/>
  <c r="BQ255" i="8"/>
  <c r="I255" i="8" s="1"/>
  <c r="BQ254" i="8"/>
  <c r="I254" i="8" s="1"/>
  <c r="BQ253" i="8"/>
  <c r="BQ252" i="8"/>
  <c r="BQ251" i="8"/>
  <c r="BQ250" i="8"/>
  <c r="BQ249" i="8"/>
  <c r="BQ248" i="8"/>
  <c r="BQ247" i="8"/>
  <c r="I247" i="8" s="1"/>
  <c r="BQ246" i="8"/>
  <c r="BQ245" i="8"/>
  <c r="I245" i="8" s="1"/>
  <c r="BQ244" i="8"/>
  <c r="I244" i="8" s="1"/>
  <c r="BQ243" i="8"/>
  <c r="I243" i="8" s="1"/>
  <c r="BQ242" i="8"/>
  <c r="I242" i="8" s="1"/>
  <c r="BQ241" i="8"/>
  <c r="I241" i="8" s="1"/>
  <c r="BQ240" i="8"/>
  <c r="I240" i="8" s="1"/>
  <c r="BQ239" i="8"/>
  <c r="I239" i="8" s="1"/>
  <c r="BQ238" i="8"/>
  <c r="I238" i="8" s="1"/>
  <c r="BQ237" i="8"/>
  <c r="I237" i="8" s="1"/>
  <c r="BQ236" i="8"/>
  <c r="I236" i="8" s="1"/>
  <c r="BQ235" i="8"/>
  <c r="I235" i="8" s="1"/>
  <c r="BQ234" i="8"/>
  <c r="I234" i="8" s="1"/>
  <c r="BQ233" i="8"/>
  <c r="I233" i="8" s="1"/>
  <c r="BQ232" i="8"/>
  <c r="I232" i="8" s="1"/>
  <c r="BQ231" i="8"/>
  <c r="I231" i="8" s="1"/>
  <c r="BQ230" i="8"/>
  <c r="I230" i="8" s="1"/>
  <c r="BQ229" i="8"/>
  <c r="I229" i="8" s="1"/>
  <c r="BQ228" i="8"/>
  <c r="BQ227" i="8"/>
  <c r="BQ226" i="8"/>
  <c r="I226" i="8" s="1"/>
  <c r="BQ225" i="8"/>
  <c r="BQ224" i="8"/>
  <c r="I224" i="8" s="1"/>
  <c r="BQ223" i="8"/>
  <c r="I223" i="8" s="1"/>
  <c r="BQ222" i="8"/>
  <c r="I222" i="8" s="1"/>
  <c r="BQ221" i="8"/>
  <c r="I221" i="8" s="1"/>
  <c r="BQ220" i="8"/>
  <c r="BQ219" i="8"/>
  <c r="I219" i="8" s="1"/>
  <c r="BQ218" i="8"/>
  <c r="I218" i="8" s="1"/>
  <c r="BQ217" i="8"/>
  <c r="I217" i="8" s="1"/>
  <c r="BQ216" i="8"/>
  <c r="I216" i="8" s="1"/>
  <c r="BQ215" i="8"/>
  <c r="I215" i="8" s="1"/>
  <c r="BQ214" i="8"/>
  <c r="I214" i="8" s="1"/>
  <c r="BQ213" i="8"/>
  <c r="I213" i="8" s="1"/>
  <c r="BQ212" i="8"/>
  <c r="I212" i="8" s="1"/>
  <c r="BQ211" i="8"/>
  <c r="I211" i="8" s="1"/>
  <c r="BQ210" i="8"/>
  <c r="I210" i="8" s="1"/>
  <c r="BQ209" i="8"/>
  <c r="I209" i="8" s="1"/>
  <c r="BQ208" i="8"/>
  <c r="I208" i="8" s="1"/>
  <c r="BQ207" i="8"/>
  <c r="BQ206" i="8"/>
  <c r="I206" i="8" s="1"/>
  <c r="BQ205" i="8"/>
  <c r="I205" i="8" s="1"/>
  <c r="BQ204" i="8"/>
  <c r="BQ203" i="8"/>
  <c r="I203" i="8" s="1"/>
  <c r="BQ202" i="8"/>
  <c r="I202" i="8" s="1"/>
  <c r="BQ201" i="8"/>
  <c r="I201" i="8" s="1"/>
  <c r="BQ200" i="8"/>
  <c r="BQ199" i="8"/>
  <c r="I199" i="8" s="1"/>
  <c r="BQ198" i="8"/>
  <c r="BQ197" i="8"/>
  <c r="I197" i="8" s="1"/>
  <c r="BQ196" i="8"/>
  <c r="I196" i="8" s="1"/>
  <c r="BQ195" i="8"/>
  <c r="I195" i="8" s="1"/>
  <c r="BQ194" i="8"/>
  <c r="I194" i="8" s="1"/>
  <c r="BQ193" i="8"/>
  <c r="I193" i="8" s="1"/>
  <c r="BQ192" i="8"/>
  <c r="I192" i="8" s="1"/>
  <c r="BQ191" i="8"/>
  <c r="I191" i="8" s="1"/>
  <c r="BQ190" i="8"/>
  <c r="I190" i="8" s="1"/>
  <c r="BQ189" i="8"/>
  <c r="I189" i="8" s="1"/>
  <c r="BQ188" i="8"/>
  <c r="I188" i="8" s="1"/>
  <c r="BQ187" i="8"/>
  <c r="I187" i="8" s="1"/>
  <c r="BQ186" i="8"/>
  <c r="BQ185" i="8"/>
  <c r="I185" i="8" s="1"/>
  <c r="BQ184" i="8"/>
  <c r="I184" i="8" s="1"/>
  <c r="BQ183" i="8"/>
  <c r="I183" i="8" s="1"/>
  <c r="BQ182" i="8"/>
  <c r="I182" i="8" s="1"/>
  <c r="BQ181" i="8"/>
  <c r="I181" i="8" s="1"/>
  <c r="BQ180" i="8"/>
  <c r="I180" i="8" s="1"/>
  <c r="BQ179" i="8"/>
  <c r="I179" i="8" s="1"/>
  <c r="BQ178" i="8"/>
  <c r="BQ177" i="8"/>
  <c r="BQ176" i="8"/>
  <c r="BQ175" i="8"/>
  <c r="I175" i="8" s="1"/>
  <c r="BQ174" i="8"/>
  <c r="I174" i="8" s="1"/>
  <c r="BQ173" i="8"/>
  <c r="I173" i="8" s="1"/>
  <c r="BQ172" i="8"/>
  <c r="I172" i="8" s="1"/>
  <c r="BQ171" i="8"/>
  <c r="I171" i="8" s="1"/>
  <c r="BQ170" i="8"/>
  <c r="I170" i="8" s="1"/>
  <c r="BQ169" i="8"/>
  <c r="I169" i="8" s="1"/>
  <c r="BQ168" i="8"/>
  <c r="I168" i="8" s="1"/>
  <c r="BQ167" i="8"/>
  <c r="I167" i="8" s="1"/>
  <c r="BQ166" i="8"/>
  <c r="I166" i="8" s="1"/>
  <c r="BQ165" i="8"/>
  <c r="I165" i="8" s="1"/>
  <c r="BQ164" i="8"/>
  <c r="BQ163" i="8"/>
  <c r="I163" i="8" s="1"/>
  <c r="BQ162" i="8"/>
  <c r="I162" i="8" s="1"/>
  <c r="BQ161" i="8"/>
  <c r="I161" i="8" s="1"/>
  <c r="BQ160" i="8"/>
  <c r="I160" i="8" s="1"/>
  <c r="BQ159" i="8"/>
  <c r="I159" i="8" s="1"/>
  <c r="BQ158" i="8"/>
  <c r="I158" i="8" s="1"/>
  <c r="BQ157" i="8"/>
  <c r="I157" i="8" s="1"/>
  <c r="BQ156" i="8"/>
  <c r="BQ155" i="8"/>
  <c r="I155" i="8" s="1"/>
  <c r="BQ154" i="8"/>
  <c r="I154" i="8" s="1"/>
  <c r="BQ153" i="8"/>
  <c r="BQ152" i="8"/>
  <c r="BQ151" i="8"/>
  <c r="I151" i="8" s="1"/>
  <c r="BQ150" i="8"/>
  <c r="I150" i="8" s="1"/>
  <c r="BQ149" i="8"/>
  <c r="I149" i="8" s="1"/>
  <c r="BQ148" i="8"/>
  <c r="BQ147" i="8"/>
  <c r="I147" i="8" s="1"/>
  <c r="BQ146" i="8"/>
  <c r="I146" i="8" s="1"/>
  <c r="BQ145" i="8"/>
  <c r="I145" i="8" s="1"/>
  <c r="BQ144" i="8"/>
  <c r="I144" i="8" s="1"/>
  <c r="BQ143" i="8"/>
  <c r="BQ142" i="8"/>
  <c r="I142" i="8" s="1"/>
  <c r="BQ141" i="8"/>
  <c r="I141" i="8" s="1"/>
  <c r="BQ140" i="8"/>
  <c r="I140" i="8" s="1"/>
  <c r="BQ139" i="8"/>
  <c r="BQ138" i="8"/>
  <c r="BQ137" i="8"/>
  <c r="I137" i="8" s="1"/>
  <c r="BQ136" i="8"/>
  <c r="I136" i="8" s="1"/>
  <c r="BQ135" i="8"/>
  <c r="I135" i="8" s="1"/>
  <c r="BQ134" i="8"/>
  <c r="I134" i="8" s="1"/>
  <c r="BQ133" i="8"/>
  <c r="I133" i="8" s="1"/>
  <c r="BQ132" i="8"/>
  <c r="I132" i="8" s="1"/>
  <c r="BQ131" i="8"/>
  <c r="I131" i="8" s="1"/>
  <c r="BQ130" i="8"/>
  <c r="I130" i="8" s="1"/>
  <c r="BQ129" i="8"/>
  <c r="I129" i="8" s="1"/>
  <c r="BQ128" i="8"/>
  <c r="I128" i="8" s="1"/>
  <c r="BQ127" i="8"/>
  <c r="BQ126" i="8"/>
  <c r="I126" i="8" s="1"/>
  <c r="BQ125" i="8"/>
  <c r="I125" i="8" s="1"/>
  <c r="BQ124" i="8"/>
  <c r="I124" i="8" s="1"/>
  <c r="BQ123" i="8"/>
  <c r="I123" i="8" s="1"/>
  <c r="BQ122" i="8"/>
  <c r="I122" i="8" s="1"/>
  <c r="BQ121" i="8"/>
  <c r="I121" i="8" s="1"/>
  <c r="BQ120" i="8"/>
  <c r="I120" i="8" s="1"/>
  <c r="BQ119" i="8"/>
  <c r="I119" i="8" s="1"/>
  <c r="BQ118" i="8"/>
  <c r="BQ117" i="8"/>
  <c r="BQ116" i="8"/>
  <c r="I116" i="8" s="1"/>
  <c r="BQ115" i="8"/>
  <c r="BQ114" i="8"/>
  <c r="I114" i="8" s="1"/>
  <c r="BQ113" i="8"/>
  <c r="BQ112" i="8"/>
  <c r="BQ111" i="8"/>
  <c r="BQ110" i="8"/>
  <c r="I110" i="8" s="1"/>
  <c r="BQ109" i="8"/>
  <c r="I109" i="8" s="1"/>
  <c r="BQ108" i="8"/>
  <c r="BQ107" i="8"/>
  <c r="I107" i="8" s="1"/>
  <c r="BQ106" i="8"/>
  <c r="I106" i="8" s="1"/>
  <c r="BQ105" i="8"/>
  <c r="I105" i="8" s="1"/>
  <c r="BQ104" i="8"/>
  <c r="I104" i="8" s="1"/>
  <c r="BQ103" i="8"/>
  <c r="BQ102" i="8"/>
  <c r="I102" i="8" s="1"/>
  <c r="BQ101" i="8"/>
  <c r="I101" i="8" s="1"/>
  <c r="BQ100" i="8"/>
  <c r="I100" i="8" s="1"/>
  <c r="BQ99" i="8"/>
  <c r="I99" i="8" s="1"/>
  <c r="BQ98" i="8"/>
  <c r="I98" i="8" s="1"/>
  <c r="BQ97" i="8"/>
  <c r="I97" i="8" s="1"/>
  <c r="BQ96" i="8"/>
  <c r="I96" i="8" s="1"/>
  <c r="BQ95" i="8"/>
  <c r="I95" i="8" s="1"/>
  <c r="BQ94" i="8"/>
  <c r="I94" i="8" s="1"/>
  <c r="BQ93" i="8"/>
  <c r="I93" i="8" s="1"/>
  <c r="BQ92" i="8"/>
  <c r="I92" i="8" s="1"/>
  <c r="BQ91" i="8"/>
  <c r="I91" i="8" s="1"/>
  <c r="BQ90" i="8"/>
  <c r="I90" i="8" s="1"/>
  <c r="BQ89" i="8"/>
  <c r="I89" i="8" s="1"/>
  <c r="BQ88" i="8"/>
  <c r="I88" i="8" s="1"/>
  <c r="BQ87" i="8"/>
  <c r="I87" i="8" s="1"/>
  <c r="BQ86" i="8"/>
  <c r="I86" i="8" s="1"/>
  <c r="BQ85" i="8"/>
  <c r="I85" i="8" s="1"/>
  <c r="BQ84" i="8"/>
  <c r="I84" i="8" s="1"/>
  <c r="BQ83" i="8"/>
  <c r="I83" i="8" s="1"/>
  <c r="BQ82" i="8"/>
  <c r="I82" i="8" s="1"/>
  <c r="BQ81" i="8"/>
  <c r="I81" i="8" s="1"/>
  <c r="BQ80" i="8"/>
  <c r="I80" i="8" s="1"/>
  <c r="BQ79" i="8"/>
  <c r="I79" i="8" s="1"/>
  <c r="BQ78" i="8"/>
  <c r="I78" i="8" s="1"/>
  <c r="BQ77" i="8"/>
  <c r="BQ76" i="8"/>
  <c r="BQ75" i="8"/>
  <c r="I75" i="8" s="1"/>
  <c r="BQ74" i="8"/>
  <c r="I74" i="8" s="1"/>
  <c r="BQ73" i="8"/>
  <c r="I73" i="8" s="1"/>
  <c r="BQ72" i="8"/>
  <c r="I72" i="8" s="1"/>
  <c r="BQ71" i="8"/>
  <c r="I71" i="8" s="1"/>
  <c r="BQ70" i="8"/>
  <c r="BQ69" i="8"/>
  <c r="I69" i="8" s="1"/>
  <c r="BQ68" i="8"/>
  <c r="I68" i="8" s="1"/>
  <c r="BQ67" i="8"/>
  <c r="I67" i="8" s="1"/>
  <c r="BQ66" i="8"/>
  <c r="BQ65" i="8"/>
  <c r="BQ64" i="8"/>
  <c r="BQ63" i="8"/>
  <c r="I63" i="8" s="1"/>
  <c r="BQ62" i="8"/>
  <c r="I62" i="8" s="1"/>
  <c r="BQ61" i="8"/>
  <c r="BQ60" i="8"/>
  <c r="BQ59" i="8"/>
  <c r="I59" i="8" s="1"/>
  <c r="BQ58" i="8"/>
  <c r="I58" i="8" s="1"/>
  <c r="BQ57" i="8"/>
  <c r="I57" i="8" s="1"/>
  <c r="BQ56" i="8"/>
  <c r="I56" i="8" s="1"/>
  <c r="BQ55" i="8"/>
  <c r="I55" i="8" s="1"/>
  <c r="BQ54" i="8"/>
  <c r="I54" i="8" s="1"/>
  <c r="BQ53" i="8"/>
  <c r="I53" i="8" s="1"/>
  <c r="BQ52" i="8"/>
  <c r="I52" i="8" s="1"/>
  <c r="BQ51" i="8"/>
  <c r="BQ50" i="8"/>
  <c r="BQ49" i="8"/>
  <c r="BQ48" i="8"/>
  <c r="I48" i="8" s="1"/>
  <c r="BQ47" i="8"/>
  <c r="I47" i="8" s="1"/>
  <c r="BQ46" i="8"/>
  <c r="I46" i="8" s="1"/>
  <c r="BQ45" i="8"/>
  <c r="I45" i="8" s="1"/>
  <c r="BQ44" i="8"/>
  <c r="BQ43" i="8"/>
  <c r="BQ42" i="8"/>
  <c r="I42" i="8" s="1"/>
  <c r="BQ41" i="8"/>
  <c r="BQ40" i="8"/>
  <c r="I40" i="8" s="1"/>
  <c r="BQ39" i="8"/>
  <c r="I39" i="8" s="1"/>
  <c r="BQ38" i="8"/>
  <c r="I38" i="8" s="1"/>
  <c r="BQ37" i="8"/>
  <c r="I37" i="8" s="1"/>
  <c r="BQ36" i="8"/>
  <c r="BQ35" i="8"/>
  <c r="I35" i="8" s="1"/>
  <c r="BQ34" i="8"/>
  <c r="I34" i="8" s="1"/>
  <c r="BQ33" i="8"/>
  <c r="I33" i="8" s="1"/>
  <c r="BQ32" i="8"/>
  <c r="I32" i="8" s="1"/>
  <c r="BQ31" i="8"/>
  <c r="I31" i="8" s="1"/>
  <c r="BQ30" i="8"/>
  <c r="BQ29" i="8"/>
  <c r="I29" i="8" s="1"/>
  <c r="BQ28" i="8"/>
  <c r="I28" i="8" s="1"/>
  <c r="BQ27" i="8"/>
  <c r="I27" i="8" s="1"/>
  <c r="BQ26" i="8"/>
  <c r="BQ25" i="8"/>
  <c r="I25" i="8" s="1"/>
  <c r="BQ24" i="8"/>
  <c r="BQ23" i="8"/>
  <c r="BQ22" i="8"/>
  <c r="I22" i="8" s="1"/>
  <c r="BQ21" i="8"/>
  <c r="I21" i="8" s="1"/>
  <c r="BQ20" i="8"/>
  <c r="I20" i="8" s="1"/>
  <c r="BQ19" i="8"/>
  <c r="I19" i="8" s="1"/>
  <c r="BQ18" i="8"/>
  <c r="I18" i="8" s="1"/>
  <c r="BQ17" i="8"/>
  <c r="I17" i="8" s="1"/>
  <c r="BQ16" i="8"/>
  <c r="I16" i="8" s="1"/>
  <c r="BQ15" i="8"/>
  <c r="I15" i="8" s="1"/>
  <c r="BQ14" i="8"/>
  <c r="I14" i="8" s="1"/>
  <c r="BQ13" i="8"/>
  <c r="I13" i="8" s="1"/>
  <c r="BQ12" i="8"/>
  <c r="I12" i="8" s="1"/>
  <c r="I286" i="8" l="1"/>
  <c r="I414" i="8"/>
  <c r="I207" i="8"/>
  <c r="I351" i="8"/>
  <c r="I186" i="8"/>
  <c r="I76" i="8"/>
  <c r="I148" i="8"/>
  <c r="I204" i="8"/>
  <c r="I220" i="8"/>
  <c r="I429" i="8"/>
  <c r="I263" i="8"/>
  <c r="I335" i="8"/>
  <c r="I543" i="8"/>
  <c r="I200" i="8"/>
  <c r="I312" i="8"/>
  <c r="I225" i="8"/>
  <c r="I385" i="8"/>
  <c r="I489" i="8"/>
  <c r="I537" i="8"/>
  <c r="I274" i="8"/>
  <c r="I482" i="8"/>
  <c r="I77" i="8"/>
  <c r="D237" i="21"/>
  <c r="E237" i="21" s="1"/>
  <c r="F237" i="21" s="1"/>
  <c r="G237" i="21" s="1"/>
  <c r="H237" i="21" s="1"/>
  <c r="I237" i="21" s="1"/>
  <c r="J237" i="21" s="1"/>
  <c r="K237" i="21" s="1"/>
  <c r="L237" i="21" s="1"/>
  <c r="L39" i="23" l="1"/>
  <c r="H39" i="23"/>
  <c r="G39" i="23"/>
  <c r="E39" i="23"/>
  <c r="D39" i="23"/>
  <c r="F39" i="23"/>
  <c r="K39" i="23"/>
  <c r="M39" i="23"/>
  <c r="C39" i="23"/>
  <c r="J39" i="23"/>
  <c r="I39" i="23"/>
  <c r="Z539" i="8" l="1"/>
  <c r="Z477" i="8"/>
  <c r="C123" i="22"/>
  <c r="D123" i="22"/>
  <c r="E123" i="22"/>
  <c r="F123" i="22"/>
  <c r="G123" i="22"/>
  <c r="H123" i="22"/>
  <c r="I123" i="22"/>
  <c r="J123" i="22"/>
  <c r="K123" i="22"/>
  <c r="L123" i="22"/>
  <c r="C124" i="22"/>
  <c r="D124" i="22"/>
  <c r="E124" i="22"/>
  <c r="F124" i="22"/>
  <c r="G124" i="22"/>
  <c r="H124" i="22"/>
  <c r="I124" i="22"/>
  <c r="J124" i="22"/>
  <c r="K124" i="22"/>
  <c r="L124" i="22"/>
  <c r="C125" i="22"/>
  <c r="D125" i="22"/>
  <c r="E125" i="22"/>
  <c r="F125" i="22"/>
  <c r="G125" i="22"/>
  <c r="H125" i="22"/>
  <c r="I125" i="22"/>
  <c r="J125" i="22"/>
  <c r="K125" i="22"/>
  <c r="L125" i="22"/>
  <c r="C126" i="22"/>
  <c r="D126" i="22"/>
  <c r="E126" i="22"/>
  <c r="F126" i="22"/>
  <c r="G126" i="22"/>
  <c r="H126" i="22"/>
  <c r="I126" i="22"/>
  <c r="J126" i="22"/>
  <c r="K126" i="22"/>
  <c r="L126" i="22"/>
  <c r="C127" i="22"/>
  <c r="D127" i="22"/>
  <c r="E127" i="22"/>
  <c r="F127" i="22"/>
  <c r="G127" i="22"/>
  <c r="H127" i="22"/>
  <c r="I127" i="22"/>
  <c r="J127" i="22"/>
  <c r="K127" i="22"/>
  <c r="L127" i="22"/>
  <c r="C128" i="22"/>
  <c r="D128" i="22"/>
  <c r="E128" i="22"/>
  <c r="F128" i="22"/>
  <c r="G128" i="22"/>
  <c r="H128" i="22"/>
  <c r="I128" i="22"/>
  <c r="J128" i="22"/>
  <c r="K128" i="22"/>
  <c r="L128" i="22"/>
  <c r="C129" i="22"/>
  <c r="D129" i="22"/>
  <c r="E129" i="22"/>
  <c r="F129" i="22"/>
  <c r="G129" i="22"/>
  <c r="H129" i="22"/>
  <c r="I129" i="22"/>
  <c r="J129" i="22"/>
  <c r="K129" i="22"/>
  <c r="L129" i="22"/>
  <c r="C130" i="22"/>
  <c r="D130" i="22"/>
  <c r="E130" i="22"/>
  <c r="F130" i="22"/>
  <c r="G130" i="22"/>
  <c r="H130" i="22"/>
  <c r="I130" i="22"/>
  <c r="J130" i="22"/>
  <c r="K130" i="22"/>
  <c r="L130" i="22"/>
  <c r="C131" i="22"/>
  <c r="D131" i="22"/>
  <c r="E131" i="22"/>
  <c r="F131" i="22"/>
  <c r="G131" i="22"/>
  <c r="H131" i="22"/>
  <c r="I131" i="22"/>
  <c r="J131" i="22"/>
  <c r="K131" i="22"/>
  <c r="L131" i="22"/>
  <c r="C132" i="22"/>
  <c r="D132" i="22"/>
  <c r="E132" i="22"/>
  <c r="F132" i="22"/>
  <c r="G132" i="22"/>
  <c r="H132" i="22"/>
  <c r="I132" i="22"/>
  <c r="J132" i="22"/>
  <c r="K132" i="22"/>
  <c r="L132" i="22"/>
  <c r="C133" i="22"/>
  <c r="D133" i="22"/>
  <c r="E133" i="22"/>
  <c r="F133" i="22"/>
  <c r="G133" i="22"/>
  <c r="H133" i="22"/>
  <c r="I133" i="22"/>
  <c r="J133" i="22"/>
  <c r="K133" i="22"/>
  <c r="L133" i="22"/>
  <c r="C134" i="22"/>
  <c r="D134" i="22"/>
  <c r="E134" i="22"/>
  <c r="F134" i="22"/>
  <c r="G134" i="22"/>
  <c r="H134" i="22"/>
  <c r="I134" i="22"/>
  <c r="J134" i="22"/>
  <c r="K134" i="22"/>
  <c r="L134" i="22"/>
  <c r="C135" i="22"/>
  <c r="D135" i="22"/>
  <c r="E135" i="22"/>
  <c r="F135" i="22"/>
  <c r="G135" i="22"/>
  <c r="H135" i="22"/>
  <c r="I135" i="22"/>
  <c r="J135" i="22"/>
  <c r="K135" i="22"/>
  <c r="L135" i="22"/>
  <c r="C136" i="22"/>
  <c r="D136" i="22"/>
  <c r="E136" i="22"/>
  <c r="F136" i="22"/>
  <c r="G136" i="22"/>
  <c r="H136" i="22"/>
  <c r="I136" i="22"/>
  <c r="J136" i="22"/>
  <c r="K136" i="22"/>
  <c r="L136" i="22"/>
  <c r="C137" i="22"/>
  <c r="D137" i="22"/>
  <c r="E137" i="22"/>
  <c r="F137" i="22"/>
  <c r="G137" i="22"/>
  <c r="H137" i="22"/>
  <c r="I137" i="22"/>
  <c r="J137" i="22"/>
  <c r="K137" i="22"/>
  <c r="L137" i="22"/>
  <c r="C138" i="22"/>
  <c r="D138" i="22"/>
  <c r="E138" i="22"/>
  <c r="F138" i="22"/>
  <c r="G138" i="22"/>
  <c r="H138" i="22"/>
  <c r="I138" i="22"/>
  <c r="J138" i="22"/>
  <c r="K138" i="22"/>
  <c r="L138" i="22"/>
  <c r="C139" i="22"/>
  <c r="D139" i="22"/>
  <c r="E139" i="22"/>
  <c r="F139" i="22"/>
  <c r="G139" i="22"/>
  <c r="H139" i="22"/>
  <c r="I139" i="22"/>
  <c r="J139" i="22"/>
  <c r="K139" i="22"/>
  <c r="L139" i="22"/>
  <c r="C140" i="22"/>
  <c r="D140" i="22"/>
  <c r="E140" i="22"/>
  <c r="F140" i="22"/>
  <c r="G140" i="22"/>
  <c r="H140" i="22"/>
  <c r="I140" i="22"/>
  <c r="J140" i="22"/>
  <c r="K140" i="22"/>
  <c r="L140" i="22"/>
  <c r="C141" i="22"/>
  <c r="D141" i="22"/>
  <c r="E141" i="22"/>
  <c r="F141" i="22"/>
  <c r="G141" i="22"/>
  <c r="H141" i="22"/>
  <c r="I141" i="22"/>
  <c r="J141" i="22"/>
  <c r="K141" i="22"/>
  <c r="L141" i="22"/>
  <c r="C142" i="22"/>
  <c r="D142" i="22"/>
  <c r="E142" i="22"/>
  <c r="F142" i="22"/>
  <c r="G142" i="22"/>
  <c r="H142" i="22"/>
  <c r="I142" i="22"/>
  <c r="J142" i="22"/>
  <c r="K142" i="22"/>
  <c r="L142" i="22"/>
  <c r="C143" i="22"/>
  <c r="D143" i="22"/>
  <c r="E143" i="22"/>
  <c r="F143" i="22"/>
  <c r="G143" i="22"/>
  <c r="H143" i="22"/>
  <c r="I143" i="22"/>
  <c r="J143" i="22"/>
  <c r="K143" i="22"/>
  <c r="L143" i="22"/>
  <c r="C144" i="22"/>
  <c r="D144" i="22"/>
  <c r="E144" i="22"/>
  <c r="F144" i="22"/>
  <c r="G144" i="22"/>
  <c r="H144" i="22"/>
  <c r="I144" i="22"/>
  <c r="J144" i="22"/>
  <c r="K144" i="22"/>
  <c r="L144" i="22"/>
  <c r="C145" i="22"/>
  <c r="D145" i="22"/>
  <c r="E145" i="22"/>
  <c r="F145" i="22"/>
  <c r="G145" i="22"/>
  <c r="H145" i="22"/>
  <c r="I145" i="22"/>
  <c r="J145" i="22"/>
  <c r="K145" i="22"/>
  <c r="L145" i="22"/>
  <c r="C146" i="22"/>
  <c r="D146" i="22"/>
  <c r="E146" i="22"/>
  <c r="F146" i="22"/>
  <c r="G146" i="22"/>
  <c r="H146" i="22"/>
  <c r="I146" i="22"/>
  <c r="J146" i="22"/>
  <c r="K146" i="22"/>
  <c r="L146" i="22"/>
  <c r="C147" i="22"/>
  <c r="D147" i="22"/>
  <c r="E147" i="22"/>
  <c r="F147" i="22"/>
  <c r="G147" i="22"/>
  <c r="H147" i="22"/>
  <c r="I147" i="22"/>
  <c r="J147" i="22"/>
  <c r="K147" i="22"/>
  <c r="L147" i="22"/>
  <c r="C148" i="22"/>
  <c r="D148" i="22"/>
  <c r="E148" i="22"/>
  <c r="F148" i="22"/>
  <c r="G148" i="22"/>
  <c r="H148" i="22"/>
  <c r="I148" i="22"/>
  <c r="J148" i="22"/>
  <c r="K148" i="22"/>
  <c r="L148" i="22"/>
  <c r="C149" i="22"/>
  <c r="D149" i="22"/>
  <c r="E149" i="22"/>
  <c r="F149" i="22"/>
  <c r="G149" i="22"/>
  <c r="H149" i="22"/>
  <c r="I149" i="22"/>
  <c r="J149" i="22"/>
  <c r="K149" i="22"/>
  <c r="L149" i="22"/>
  <c r="D122" i="22"/>
  <c r="E122" i="22"/>
  <c r="F122" i="22"/>
  <c r="G122" i="22"/>
  <c r="H122" i="22"/>
  <c r="I122" i="22"/>
  <c r="J122" i="22"/>
  <c r="K122" i="22"/>
  <c r="L122" i="22"/>
  <c r="C122" i="22"/>
  <c r="E52" i="19" l="1"/>
  <c r="F52" i="19"/>
  <c r="G52" i="19"/>
  <c r="H52" i="19"/>
  <c r="I52" i="19"/>
  <c r="J52" i="19"/>
  <c r="K52" i="19"/>
  <c r="L52" i="19"/>
  <c r="M52" i="19"/>
  <c r="N52" i="19"/>
  <c r="N12" i="19"/>
  <c r="AA477" i="8"/>
  <c r="AA539" i="8"/>
  <c r="R14" i="8"/>
  <c r="R15" i="8"/>
  <c r="R19" i="8"/>
  <c r="R20" i="8"/>
  <c r="R21" i="8"/>
  <c r="R22" i="8"/>
  <c r="R23" i="8"/>
  <c r="R25" i="8"/>
  <c r="R27" i="8"/>
  <c r="R28" i="8"/>
  <c r="R30" i="8"/>
  <c r="R34" i="8"/>
  <c r="R35" i="8"/>
  <c r="R36" i="8"/>
  <c r="R37" i="8"/>
  <c r="R40" i="8"/>
  <c r="R42" i="8"/>
  <c r="R43" i="8"/>
  <c r="R44" i="8"/>
  <c r="R46" i="8"/>
  <c r="R47" i="8"/>
  <c r="R48" i="8"/>
  <c r="R49" i="8"/>
  <c r="R50" i="8"/>
  <c r="R51" i="8"/>
  <c r="R53" i="8"/>
  <c r="R54" i="8"/>
  <c r="R56" i="8"/>
  <c r="R57" i="8"/>
  <c r="R59" i="8"/>
  <c r="R61" i="8"/>
  <c r="R62" i="8"/>
  <c r="R69" i="8"/>
  <c r="R72" i="8"/>
  <c r="R75" i="8"/>
  <c r="R76" i="8"/>
  <c r="R77" i="8"/>
  <c r="R78" i="8"/>
  <c r="R81" i="8"/>
  <c r="R82" i="8"/>
  <c r="R83" i="8"/>
  <c r="R84" i="8"/>
  <c r="R85" i="8"/>
  <c r="R86" i="8"/>
  <c r="R87" i="8"/>
  <c r="R88" i="8"/>
  <c r="R90" i="8"/>
  <c r="R92" i="8"/>
  <c r="R93" i="8"/>
  <c r="R94" i="8"/>
  <c r="R95" i="8"/>
  <c r="R96" i="8"/>
  <c r="R97" i="8"/>
  <c r="R101" i="8"/>
  <c r="R102" i="8"/>
  <c r="R109" i="8"/>
  <c r="R112" i="8"/>
  <c r="R113" i="8"/>
  <c r="R116" i="8"/>
  <c r="R117" i="8"/>
  <c r="R119" i="8"/>
  <c r="R120" i="8"/>
  <c r="R122" i="8"/>
  <c r="R124" i="8"/>
  <c r="R125" i="8"/>
  <c r="R128" i="8"/>
  <c r="R130" i="8"/>
  <c r="R131" i="8"/>
  <c r="R134" i="8"/>
  <c r="R135" i="8"/>
  <c r="R140" i="8"/>
  <c r="R142" i="8"/>
  <c r="R143" i="8"/>
  <c r="R144" i="8"/>
  <c r="R146" i="8"/>
  <c r="R151" i="8"/>
  <c r="R152" i="8"/>
  <c r="R154" i="8"/>
  <c r="R155" i="8"/>
  <c r="R156" i="8"/>
  <c r="R157" i="8"/>
  <c r="R158" i="8"/>
  <c r="R160" i="8"/>
  <c r="R163" i="8"/>
  <c r="R164" i="8"/>
  <c r="R166" i="8"/>
  <c r="R168" i="8"/>
  <c r="R169" i="8"/>
  <c r="R171" i="8"/>
  <c r="R174" i="8"/>
  <c r="R176" i="8"/>
  <c r="R179" i="8"/>
  <c r="R183" i="8"/>
  <c r="R184" i="8"/>
  <c r="R187" i="8"/>
  <c r="R188" i="8"/>
  <c r="R190" i="8"/>
  <c r="R191" i="8"/>
  <c r="R192" i="8"/>
  <c r="R193" i="8"/>
  <c r="R194" i="8"/>
  <c r="R195" i="8"/>
  <c r="R196" i="8"/>
  <c r="R199" i="8"/>
  <c r="R200" i="8"/>
  <c r="R201" i="8"/>
  <c r="R202" i="8"/>
  <c r="R204" i="8"/>
  <c r="R206" i="8"/>
  <c r="R207" i="8"/>
  <c r="R209" i="8"/>
  <c r="R213" i="8"/>
  <c r="R214" i="8"/>
  <c r="R215" i="8"/>
  <c r="R216" i="8"/>
  <c r="R219" i="8"/>
  <c r="R220" i="8"/>
  <c r="R223" i="8"/>
  <c r="R224" i="8"/>
  <c r="R226" i="8"/>
  <c r="R227" i="8"/>
  <c r="R231" i="8"/>
  <c r="R232" i="8"/>
  <c r="R233" i="8"/>
  <c r="R234" i="8"/>
  <c r="R235" i="8"/>
  <c r="R236" i="8"/>
  <c r="R239" i="8"/>
  <c r="R240" i="8"/>
  <c r="R241" i="8"/>
  <c r="R243" i="8"/>
  <c r="R244" i="8"/>
  <c r="R246" i="8"/>
  <c r="R251" i="8"/>
  <c r="R255" i="8"/>
  <c r="R257" i="8"/>
  <c r="R259" i="8"/>
  <c r="R260" i="8"/>
  <c r="R261" i="8"/>
  <c r="R265" i="8"/>
  <c r="R266" i="8"/>
  <c r="R270" i="8"/>
  <c r="R272" i="8"/>
  <c r="R273" i="8"/>
  <c r="R274" i="8"/>
  <c r="R276" i="8"/>
  <c r="R277" i="8"/>
  <c r="R278" i="8"/>
  <c r="R279" i="8"/>
  <c r="R283" i="8"/>
  <c r="R286" i="8"/>
  <c r="R287" i="8"/>
  <c r="R291" i="8"/>
  <c r="R292" i="8"/>
  <c r="R293" i="8"/>
  <c r="R294" i="8"/>
  <c r="R295" i="8"/>
  <c r="R297" i="8"/>
  <c r="R298" i="8"/>
  <c r="R299" i="8"/>
  <c r="R300" i="8"/>
  <c r="R301" i="8"/>
  <c r="R303" i="8"/>
  <c r="R305" i="8"/>
  <c r="R306" i="8"/>
  <c r="R307" i="8"/>
  <c r="R308" i="8"/>
  <c r="R309" i="8"/>
  <c r="R312" i="8"/>
  <c r="R314" i="8"/>
  <c r="R321" i="8"/>
  <c r="R323" i="8"/>
  <c r="R324" i="8"/>
  <c r="R326" i="8"/>
  <c r="R327" i="8"/>
  <c r="R330" i="8"/>
  <c r="R332" i="8"/>
  <c r="R333" i="8"/>
  <c r="R335" i="8"/>
  <c r="R336" i="8"/>
  <c r="R337" i="8"/>
  <c r="R344" i="8"/>
  <c r="R346" i="8"/>
  <c r="R347" i="8"/>
  <c r="R348" i="8"/>
  <c r="R350" i="8"/>
  <c r="R351" i="8"/>
  <c r="R354" i="8"/>
  <c r="R355" i="8"/>
  <c r="R356" i="8"/>
  <c r="R358" i="8"/>
  <c r="R359" i="8"/>
  <c r="R360" i="8"/>
  <c r="R362" i="8"/>
  <c r="R363" i="8"/>
  <c r="R364" i="8"/>
  <c r="R365" i="8"/>
  <c r="R366" i="8"/>
  <c r="R367" i="8"/>
  <c r="R369" i="8"/>
  <c r="R370" i="8"/>
  <c r="R372" i="8"/>
  <c r="R374" i="8"/>
  <c r="R375" i="8"/>
  <c r="R376" i="8"/>
  <c r="R377" i="8"/>
  <c r="R378" i="8"/>
  <c r="R380" i="8"/>
  <c r="R382" i="8"/>
  <c r="R383" i="8"/>
  <c r="R384" i="8"/>
  <c r="R385" i="8"/>
  <c r="R387" i="8"/>
  <c r="R390" i="8"/>
  <c r="R391" i="8"/>
  <c r="R392" i="8"/>
  <c r="R393" i="8"/>
  <c r="R394" i="8"/>
  <c r="R395" i="8"/>
  <c r="R398" i="8"/>
  <c r="R399" i="8"/>
  <c r="R405" i="8"/>
  <c r="R406" i="8"/>
  <c r="R407" i="8"/>
  <c r="R408" i="8"/>
  <c r="R410" i="8"/>
  <c r="R411" i="8"/>
  <c r="R414" i="8"/>
  <c r="R415" i="8"/>
  <c r="R416" i="8"/>
  <c r="R417" i="8"/>
  <c r="R420" i="8"/>
  <c r="R423" i="8"/>
  <c r="R424" i="8"/>
  <c r="R425" i="8"/>
  <c r="R427" i="8"/>
  <c r="R428" i="8"/>
  <c r="R429" i="8"/>
  <c r="R433" i="8"/>
  <c r="R435" i="8"/>
  <c r="R437" i="8"/>
  <c r="R438" i="8"/>
  <c r="R440" i="8"/>
  <c r="R441" i="8"/>
  <c r="R444" i="8"/>
  <c r="R446" i="8"/>
  <c r="R450" i="8"/>
  <c r="R451" i="8"/>
  <c r="R458" i="8"/>
  <c r="R459" i="8"/>
  <c r="R460" i="8"/>
  <c r="R462" i="8"/>
  <c r="R465" i="8"/>
  <c r="R466" i="8"/>
  <c r="R467" i="8"/>
  <c r="R468" i="8"/>
  <c r="R469" i="8"/>
  <c r="R470" i="8"/>
  <c r="R471" i="8"/>
  <c r="R475" i="8"/>
  <c r="R477" i="8"/>
  <c r="R478" i="8"/>
  <c r="R479" i="8"/>
  <c r="R482" i="8"/>
  <c r="R485" i="8"/>
  <c r="R487" i="8"/>
  <c r="R493" i="8"/>
  <c r="R495" i="8"/>
  <c r="R506" i="8"/>
  <c r="R507" i="8"/>
  <c r="R508" i="8"/>
  <c r="R509" i="8"/>
  <c r="R511" i="8"/>
  <c r="R513" i="8"/>
  <c r="R514" i="8"/>
  <c r="R515" i="8"/>
  <c r="R516" i="8"/>
  <c r="R517" i="8"/>
  <c r="R518" i="8"/>
  <c r="R519" i="8"/>
  <c r="R520" i="8"/>
  <c r="R521" i="8"/>
  <c r="R522" i="8"/>
  <c r="R523" i="8"/>
  <c r="R524" i="8"/>
  <c r="R527" i="8"/>
  <c r="R530" i="8"/>
  <c r="R531" i="8"/>
  <c r="R532" i="8"/>
  <c r="R533" i="8"/>
  <c r="R535" i="8"/>
  <c r="R536" i="8"/>
  <c r="R537" i="8"/>
  <c r="R538" i="8"/>
  <c r="R539" i="8"/>
  <c r="R540" i="8"/>
  <c r="R541" i="8"/>
  <c r="R542" i="8"/>
  <c r="R543" i="8"/>
  <c r="R547" i="8"/>
  <c r="R549" i="8"/>
  <c r="R550" i="8"/>
  <c r="R553" i="8"/>
  <c r="R554" i="8"/>
  <c r="R555" i="8"/>
  <c r="R556" i="8"/>
  <c r="R559" i="8"/>
  <c r="R560" i="8"/>
  <c r="R561" i="8"/>
  <c r="R563" i="8"/>
  <c r="R564" i="8"/>
  <c r="R565" i="8"/>
  <c r="R566" i="8"/>
  <c r="R567" i="8"/>
  <c r="R568" i="8"/>
  <c r="R569" i="8"/>
  <c r="R572" i="8"/>
  <c r="R573" i="8"/>
  <c r="R574" i="8"/>
  <c r="R576" i="8"/>
  <c r="R577" i="8"/>
  <c r="Q13" i="8"/>
  <c r="Q14" i="8"/>
  <c r="Q15" i="8"/>
  <c r="Q16" i="8"/>
  <c r="Q17" i="8"/>
  <c r="Q18" i="8"/>
  <c r="Q19" i="8"/>
  <c r="Q20" i="8"/>
  <c r="Q21" i="8"/>
  <c r="Q22" i="8"/>
  <c r="Q23" i="8"/>
  <c r="Q24" i="8"/>
  <c r="Q25" i="8"/>
  <c r="Q26" i="8"/>
  <c r="Q27" i="8"/>
  <c r="Q28" i="8"/>
  <c r="Q29" i="8"/>
  <c r="Q30" i="8"/>
  <c r="Q31" i="8"/>
  <c r="Q32" i="8"/>
  <c r="Q33" i="8"/>
  <c r="Q34" i="8"/>
  <c r="Q35" i="8"/>
  <c r="Q36" i="8"/>
  <c r="Q37" i="8"/>
  <c r="Q38" i="8"/>
  <c r="Q39" i="8"/>
  <c r="Q40" i="8"/>
  <c r="Q41" i="8"/>
  <c r="Q42" i="8"/>
  <c r="AV42" i="8" s="1"/>
  <c r="Q43" i="8"/>
  <c r="Q44" i="8"/>
  <c r="Q45" i="8"/>
  <c r="Q46" i="8"/>
  <c r="Q47" i="8"/>
  <c r="Q48" i="8"/>
  <c r="Q49" i="8"/>
  <c r="Q50" i="8"/>
  <c r="Q51" i="8"/>
  <c r="Q52" i="8"/>
  <c r="Q53" i="8"/>
  <c r="Q54" i="8"/>
  <c r="Q55" i="8"/>
  <c r="Q56" i="8"/>
  <c r="Q57" i="8"/>
  <c r="Q58" i="8"/>
  <c r="Q59" i="8"/>
  <c r="Q60" i="8"/>
  <c r="Q61" i="8"/>
  <c r="Q62" i="8"/>
  <c r="Q63" i="8"/>
  <c r="Q64" i="8"/>
  <c r="Q65" i="8"/>
  <c r="Q66" i="8"/>
  <c r="Q67" i="8"/>
  <c r="Q68" i="8"/>
  <c r="Q69" i="8"/>
  <c r="Q70" i="8"/>
  <c r="Q71" i="8"/>
  <c r="Q72" i="8"/>
  <c r="Q73" i="8"/>
  <c r="Q74" i="8"/>
  <c r="Q75" i="8"/>
  <c r="Q76" i="8"/>
  <c r="Q77" i="8"/>
  <c r="Q78" i="8"/>
  <c r="Q79" i="8"/>
  <c r="Q80" i="8"/>
  <c r="Q81" i="8"/>
  <c r="Q82" i="8"/>
  <c r="Q83" i="8"/>
  <c r="Q84" i="8"/>
  <c r="Q85" i="8"/>
  <c r="Q86" i="8"/>
  <c r="Q87" i="8"/>
  <c r="Q88" i="8"/>
  <c r="Q89" i="8"/>
  <c r="Q90" i="8"/>
  <c r="Q91" i="8"/>
  <c r="Q92" i="8"/>
  <c r="Q93" i="8"/>
  <c r="Q94" i="8"/>
  <c r="Q95" i="8"/>
  <c r="Q96" i="8"/>
  <c r="Q97" i="8"/>
  <c r="Q98" i="8"/>
  <c r="Q99" i="8"/>
  <c r="Q100" i="8"/>
  <c r="Q101" i="8"/>
  <c r="Q102" i="8"/>
  <c r="Q103" i="8"/>
  <c r="Q104" i="8"/>
  <c r="Q105" i="8"/>
  <c r="Q106" i="8"/>
  <c r="Q107" i="8"/>
  <c r="Q108" i="8"/>
  <c r="Q109" i="8"/>
  <c r="Q110" i="8"/>
  <c r="Q111" i="8"/>
  <c r="Q112" i="8"/>
  <c r="Q113" i="8"/>
  <c r="Q114" i="8"/>
  <c r="Q115" i="8"/>
  <c r="Q116" i="8"/>
  <c r="Q117" i="8"/>
  <c r="Q118" i="8"/>
  <c r="Q119" i="8"/>
  <c r="Q120" i="8"/>
  <c r="Q121" i="8"/>
  <c r="Q122" i="8"/>
  <c r="Q123" i="8"/>
  <c r="Q124" i="8"/>
  <c r="Q125" i="8"/>
  <c r="Q126" i="8"/>
  <c r="Q127" i="8"/>
  <c r="Q128" i="8"/>
  <c r="Q129" i="8"/>
  <c r="Q130" i="8"/>
  <c r="Q131" i="8"/>
  <c r="Q132" i="8"/>
  <c r="Q133" i="8"/>
  <c r="Q134" i="8"/>
  <c r="Q135" i="8"/>
  <c r="Q136" i="8"/>
  <c r="Q137" i="8"/>
  <c r="Q138" i="8"/>
  <c r="Q139" i="8"/>
  <c r="Q140" i="8"/>
  <c r="Q141" i="8"/>
  <c r="Q142" i="8"/>
  <c r="Q143" i="8"/>
  <c r="Q144" i="8"/>
  <c r="Q145" i="8"/>
  <c r="Q146" i="8"/>
  <c r="Q147" i="8"/>
  <c r="Q148" i="8"/>
  <c r="Q149" i="8"/>
  <c r="Q150" i="8"/>
  <c r="Q151" i="8"/>
  <c r="Q152" i="8"/>
  <c r="Q153" i="8"/>
  <c r="Q154" i="8"/>
  <c r="Q155" i="8"/>
  <c r="Q156" i="8"/>
  <c r="Q157" i="8"/>
  <c r="Q158" i="8"/>
  <c r="Q159" i="8"/>
  <c r="Q160" i="8"/>
  <c r="Q161" i="8"/>
  <c r="Q162" i="8"/>
  <c r="Q163" i="8"/>
  <c r="Q164" i="8"/>
  <c r="Q165" i="8"/>
  <c r="Q166" i="8"/>
  <c r="Q167" i="8"/>
  <c r="Q168" i="8"/>
  <c r="Q169" i="8"/>
  <c r="Q170" i="8"/>
  <c r="Q171" i="8"/>
  <c r="Q172" i="8"/>
  <c r="Q173" i="8"/>
  <c r="Q174" i="8"/>
  <c r="Q175" i="8"/>
  <c r="Q176" i="8"/>
  <c r="Q177" i="8"/>
  <c r="Q178" i="8"/>
  <c r="Q179" i="8"/>
  <c r="Q180" i="8"/>
  <c r="Q181" i="8"/>
  <c r="Q182" i="8"/>
  <c r="Q183" i="8"/>
  <c r="Q184" i="8"/>
  <c r="Q185" i="8"/>
  <c r="Q186" i="8"/>
  <c r="Q187" i="8"/>
  <c r="Q188" i="8"/>
  <c r="Q189" i="8"/>
  <c r="Q190" i="8"/>
  <c r="Q191" i="8"/>
  <c r="Q192" i="8"/>
  <c r="Q193" i="8"/>
  <c r="Q194" i="8"/>
  <c r="Q195" i="8"/>
  <c r="Q196" i="8"/>
  <c r="Q197" i="8"/>
  <c r="Q198" i="8"/>
  <c r="Q199" i="8"/>
  <c r="Q200" i="8"/>
  <c r="Q201" i="8"/>
  <c r="Q202" i="8"/>
  <c r="Q203" i="8"/>
  <c r="Q204" i="8"/>
  <c r="Q205" i="8"/>
  <c r="Q206" i="8"/>
  <c r="Q207" i="8"/>
  <c r="Q208" i="8"/>
  <c r="Q209" i="8"/>
  <c r="Q210" i="8"/>
  <c r="Q211" i="8"/>
  <c r="Q212" i="8"/>
  <c r="Q213" i="8"/>
  <c r="Q214" i="8"/>
  <c r="Q215" i="8"/>
  <c r="Q216" i="8"/>
  <c r="Q217" i="8"/>
  <c r="Q218" i="8"/>
  <c r="Q219" i="8"/>
  <c r="Q220" i="8"/>
  <c r="Q221" i="8"/>
  <c r="Q222" i="8"/>
  <c r="Q223" i="8"/>
  <c r="Q224" i="8"/>
  <c r="Q225" i="8"/>
  <c r="Q226" i="8"/>
  <c r="Q227" i="8"/>
  <c r="Q228" i="8"/>
  <c r="Q229" i="8"/>
  <c r="Q230" i="8"/>
  <c r="Q231" i="8"/>
  <c r="Q232" i="8"/>
  <c r="Q233" i="8"/>
  <c r="Q234" i="8"/>
  <c r="Q235" i="8"/>
  <c r="Q236" i="8"/>
  <c r="Q237" i="8"/>
  <c r="Q238" i="8"/>
  <c r="Q239" i="8"/>
  <c r="Q240" i="8"/>
  <c r="Q241" i="8"/>
  <c r="Q242" i="8"/>
  <c r="Q243" i="8"/>
  <c r="Q244" i="8"/>
  <c r="Q245" i="8"/>
  <c r="Q246" i="8"/>
  <c r="Q247" i="8"/>
  <c r="Q248" i="8"/>
  <c r="Q249" i="8"/>
  <c r="Q250" i="8"/>
  <c r="Q251" i="8"/>
  <c r="Q252" i="8"/>
  <c r="Q253" i="8"/>
  <c r="Q254" i="8"/>
  <c r="Q255" i="8"/>
  <c r="Q256" i="8"/>
  <c r="Q257" i="8"/>
  <c r="Q258" i="8"/>
  <c r="Q259" i="8"/>
  <c r="Q260" i="8"/>
  <c r="Q261" i="8"/>
  <c r="Q262" i="8"/>
  <c r="Q263" i="8"/>
  <c r="Q264" i="8"/>
  <c r="Q265" i="8"/>
  <c r="Q266" i="8"/>
  <c r="Q267" i="8"/>
  <c r="Q268" i="8"/>
  <c r="Q269" i="8"/>
  <c r="Q270" i="8"/>
  <c r="Q271" i="8"/>
  <c r="Q272" i="8"/>
  <c r="Q273" i="8"/>
  <c r="Q274" i="8"/>
  <c r="Q275" i="8"/>
  <c r="Q276" i="8"/>
  <c r="Q277" i="8"/>
  <c r="Q278" i="8"/>
  <c r="Q279" i="8"/>
  <c r="Q280" i="8"/>
  <c r="Q281" i="8"/>
  <c r="Q282" i="8"/>
  <c r="Q283" i="8"/>
  <c r="Q284" i="8"/>
  <c r="Q285" i="8"/>
  <c r="Q286" i="8"/>
  <c r="Q287" i="8"/>
  <c r="Q288" i="8"/>
  <c r="Q289" i="8"/>
  <c r="Q290" i="8"/>
  <c r="Q291" i="8"/>
  <c r="Q292" i="8"/>
  <c r="Q293" i="8"/>
  <c r="Q294" i="8"/>
  <c r="Q295" i="8"/>
  <c r="Q296" i="8"/>
  <c r="Q297" i="8"/>
  <c r="Q298" i="8"/>
  <c r="Q299" i="8"/>
  <c r="Q300" i="8"/>
  <c r="Q301" i="8"/>
  <c r="Q302" i="8"/>
  <c r="Q303" i="8"/>
  <c r="Q304" i="8"/>
  <c r="Q305" i="8"/>
  <c r="Q306" i="8"/>
  <c r="Q307" i="8"/>
  <c r="Q308" i="8"/>
  <c r="Q309" i="8"/>
  <c r="Q310" i="8"/>
  <c r="Q311" i="8"/>
  <c r="Q312" i="8"/>
  <c r="Q313" i="8"/>
  <c r="Q314" i="8"/>
  <c r="Q315" i="8"/>
  <c r="Q316" i="8"/>
  <c r="Q317" i="8"/>
  <c r="Q318" i="8"/>
  <c r="Q319" i="8"/>
  <c r="Q320" i="8"/>
  <c r="Q321" i="8"/>
  <c r="Q322" i="8"/>
  <c r="Q323" i="8"/>
  <c r="Q324" i="8"/>
  <c r="Q325" i="8"/>
  <c r="Q326" i="8"/>
  <c r="Q327" i="8"/>
  <c r="Q328" i="8"/>
  <c r="Q329" i="8"/>
  <c r="Q330" i="8"/>
  <c r="Q331" i="8"/>
  <c r="Q332" i="8"/>
  <c r="Q333" i="8"/>
  <c r="Q334" i="8"/>
  <c r="Q335" i="8"/>
  <c r="Q336" i="8"/>
  <c r="Q337" i="8"/>
  <c r="Q338" i="8"/>
  <c r="Q339" i="8"/>
  <c r="Q340" i="8"/>
  <c r="Q341" i="8"/>
  <c r="Q342" i="8"/>
  <c r="Q343" i="8"/>
  <c r="Q344" i="8"/>
  <c r="Q345" i="8"/>
  <c r="Q346" i="8"/>
  <c r="Q347" i="8"/>
  <c r="Q348" i="8"/>
  <c r="Q349" i="8"/>
  <c r="Q350" i="8"/>
  <c r="Q351" i="8"/>
  <c r="Q352" i="8"/>
  <c r="Q353" i="8"/>
  <c r="Q354" i="8"/>
  <c r="Q355" i="8"/>
  <c r="Q356" i="8"/>
  <c r="Q357" i="8"/>
  <c r="Q358" i="8"/>
  <c r="Q359" i="8"/>
  <c r="Q360" i="8"/>
  <c r="Q361" i="8"/>
  <c r="Q362" i="8"/>
  <c r="Q363" i="8"/>
  <c r="Q364" i="8"/>
  <c r="Q365" i="8"/>
  <c r="Q366" i="8"/>
  <c r="Q367" i="8"/>
  <c r="Q368" i="8"/>
  <c r="Q369" i="8"/>
  <c r="Q370" i="8"/>
  <c r="Q371" i="8"/>
  <c r="Q372" i="8"/>
  <c r="Q373" i="8"/>
  <c r="Q374" i="8"/>
  <c r="Q375" i="8"/>
  <c r="Q376" i="8"/>
  <c r="Q377" i="8"/>
  <c r="Q378" i="8"/>
  <c r="Q379" i="8"/>
  <c r="Q380" i="8"/>
  <c r="Q381" i="8"/>
  <c r="Q382" i="8"/>
  <c r="Q383" i="8"/>
  <c r="Q384" i="8"/>
  <c r="Q385" i="8"/>
  <c r="Q386" i="8"/>
  <c r="Q387" i="8"/>
  <c r="Q388" i="8"/>
  <c r="Q389" i="8"/>
  <c r="Q390" i="8"/>
  <c r="Q391" i="8"/>
  <c r="Q392" i="8"/>
  <c r="Q393" i="8"/>
  <c r="Q394" i="8"/>
  <c r="Q395" i="8"/>
  <c r="Q396" i="8"/>
  <c r="Q397" i="8"/>
  <c r="Q398" i="8"/>
  <c r="Q399" i="8"/>
  <c r="Q400" i="8"/>
  <c r="Q401" i="8"/>
  <c r="Q402" i="8"/>
  <c r="Q403" i="8"/>
  <c r="Q404" i="8"/>
  <c r="Q405" i="8"/>
  <c r="Q406" i="8"/>
  <c r="Q407" i="8"/>
  <c r="Q408" i="8"/>
  <c r="Q409" i="8"/>
  <c r="Q410" i="8"/>
  <c r="Q411" i="8"/>
  <c r="Q412" i="8"/>
  <c r="Q413" i="8"/>
  <c r="Q414" i="8"/>
  <c r="Q415" i="8"/>
  <c r="Q416" i="8"/>
  <c r="Q417" i="8"/>
  <c r="Q418" i="8"/>
  <c r="Q419" i="8"/>
  <c r="Q420" i="8"/>
  <c r="Q421" i="8"/>
  <c r="Q422" i="8"/>
  <c r="Q423" i="8"/>
  <c r="Q424" i="8"/>
  <c r="Q425" i="8"/>
  <c r="Q426" i="8"/>
  <c r="Q427" i="8"/>
  <c r="Q428" i="8"/>
  <c r="Q429" i="8"/>
  <c r="Q430" i="8"/>
  <c r="Q431" i="8"/>
  <c r="Q432" i="8"/>
  <c r="Q433" i="8"/>
  <c r="Q434" i="8"/>
  <c r="Q435" i="8"/>
  <c r="Q436" i="8"/>
  <c r="Q437" i="8"/>
  <c r="Q438" i="8"/>
  <c r="Q439" i="8"/>
  <c r="Q440" i="8"/>
  <c r="Q441" i="8"/>
  <c r="Q442" i="8"/>
  <c r="Q443" i="8"/>
  <c r="Q444" i="8"/>
  <c r="Q445" i="8"/>
  <c r="Q446" i="8"/>
  <c r="Q447" i="8"/>
  <c r="Q448" i="8"/>
  <c r="Q449" i="8"/>
  <c r="Q450" i="8"/>
  <c r="Q451" i="8"/>
  <c r="Q452" i="8"/>
  <c r="Q453" i="8"/>
  <c r="Q454" i="8"/>
  <c r="Q455" i="8"/>
  <c r="Q456" i="8"/>
  <c r="Q457" i="8"/>
  <c r="Q458" i="8"/>
  <c r="Q459" i="8"/>
  <c r="Q460" i="8"/>
  <c r="Q461" i="8"/>
  <c r="Q462" i="8"/>
  <c r="Q463" i="8"/>
  <c r="Q464" i="8"/>
  <c r="Q465" i="8"/>
  <c r="Q466" i="8"/>
  <c r="Q467" i="8"/>
  <c r="Q468" i="8"/>
  <c r="Q469" i="8"/>
  <c r="Q470" i="8"/>
  <c r="Q471" i="8"/>
  <c r="Q472" i="8"/>
  <c r="Q473" i="8"/>
  <c r="Q474" i="8"/>
  <c r="Q475" i="8"/>
  <c r="Q476" i="8"/>
  <c r="Q477" i="8"/>
  <c r="Q478" i="8"/>
  <c r="Q479" i="8"/>
  <c r="Q480" i="8"/>
  <c r="Q481" i="8"/>
  <c r="Q482" i="8"/>
  <c r="Q483" i="8"/>
  <c r="Q484" i="8"/>
  <c r="Q485" i="8"/>
  <c r="Q486" i="8"/>
  <c r="Q487" i="8"/>
  <c r="Q488" i="8"/>
  <c r="Q489" i="8"/>
  <c r="Q490" i="8"/>
  <c r="Q491" i="8"/>
  <c r="Q492" i="8"/>
  <c r="Q493" i="8"/>
  <c r="Q494" i="8"/>
  <c r="Q495" i="8"/>
  <c r="Q496" i="8"/>
  <c r="Q497" i="8"/>
  <c r="Q498" i="8"/>
  <c r="Q499" i="8"/>
  <c r="Q500" i="8"/>
  <c r="Q501" i="8"/>
  <c r="Q502" i="8"/>
  <c r="Q503" i="8"/>
  <c r="Q504" i="8"/>
  <c r="Q505" i="8"/>
  <c r="Q506" i="8"/>
  <c r="Q507" i="8"/>
  <c r="Q508" i="8"/>
  <c r="Q509" i="8"/>
  <c r="Q510" i="8"/>
  <c r="Q511" i="8"/>
  <c r="Q512" i="8"/>
  <c r="Q513" i="8"/>
  <c r="Q514" i="8"/>
  <c r="Q515" i="8"/>
  <c r="Q516" i="8"/>
  <c r="Q517" i="8"/>
  <c r="Q518" i="8"/>
  <c r="Q519" i="8"/>
  <c r="Q520" i="8"/>
  <c r="Q521" i="8"/>
  <c r="Q522" i="8"/>
  <c r="Q523" i="8"/>
  <c r="Q524" i="8"/>
  <c r="Q525" i="8"/>
  <c r="Q526" i="8"/>
  <c r="Q527" i="8"/>
  <c r="Q528" i="8"/>
  <c r="Q529" i="8"/>
  <c r="Q530" i="8"/>
  <c r="Q531" i="8"/>
  <c r="Q532" i="8"/>
  <c r="Q533" i="8"/>
  <c r="Q534" i="8"/>
  <c r="Q535" i="8"/>
  <c r="Q536" i="8"/>
  <c r="Q537" i="8"/>
  <c r="Q538" i="8"/>
  <c r="Q539" i="8"/>
  <c r="Q540" i="8"/>
  <c r="Q541" i="8"/>
  <c r="Q542" i="8"/>
  <c r="Q543" i="8"/>
  <c r="Q544" i="8"/>
  <c r="Q545" i="8"/>
  <c r="Q546" i="8"/>
  <c r="Q547" i="8"/>
  <c r="Q548" i="8"/>
  <c r="Q549" i="8"/>
  <c r="Q550" i="8"/>
  <c r="Q551" i="8"/>
  <c r="Q552" i="8"/>
  <c r="Q553" i="8"/>
  <c r="Q554" i="8"/>
  <c r="Q555" i="8"/>
  <c r="Q556" i="8"/>
  <c r="Q557" i="8"/>
  <c r="Q558" i="8"/>
  <c r="Q559" i="8"/>
  <c r="Q560" i="8"/>
  <c r="Q561" i="8"/>
  <c r="Q562" i="8"/>
  <c r="Q563" i="8"/>
  <c r="Q564" i="8"/>
  <c r="Q565" i="8"/>
  <c r="Q566" i="8"/>
  <c r="Q567" i="8"/>
  <c r="Q568" i="8"/>
  <c r="Q569" i="8"/>
  <c r="Q570" i="8"/>
  <c r="Q571" i="8"/>
  <c r="Q572" i="8"/>
  <c r="Q573" i="8"/>
  <c r="Q574" i="8"/>
  <c r="Q575" i="8"/>
  <c r="Q576" i="8"/>
  <c r="Q577" i="8"/>
  <c r="P13" i="8"/>
  <c r="P14" i="8"/>
  <c r="AA14" i="8" s="1"/>
  <c r="P15" i="8"/>
  <c r="AA15" i="8" s="1"/>
  <c r="P16" i="8"/>
  <c r="P17" i="8"/>
  <c r="AA17" i="8" s="1"/>
  <c r="P18" i="8"/>
  <c r="AA18" i="8" s="1"/>
  <c r="P19" i="8"/>
  <c r="AA19" i="8" s="1"/>
  <c r="P20" i="8"/>
  <c r="Y20" i="8" s="1"/>
  <c r="P21" i="8"/>
  <c r="Y21" i="8" s="1"/>
  <c r="P22" i="8"/>
  <c r="Y22" i="8" s="1"/>
  <c r="P23" i="8"/>
  <c r="P24" i="8"/>
  <c r="P25" i="8"/>
  <c r="Y25" i="8" s="1"/>
  <c r="P26" i="8"/>
  <c r="Y26" i="8" s="1"/>
  <c r="P27" i="8"/>
  <c r="Y27" i="8" s="1"/>
  <c r="P28" i="8"/>
  <c r="Y28" i="8" s="1"/>
  <c r="P29" i="8"/>
  <c r="Y29" i="8" s="1"/>
  <c r="P30" i="8"/>
  <c r="P31" i="8"/>
  <c r="Y31" i="8" s="1"/>
  <c r="P32" i="8"/>
  <c r="Y32" i="8" s="1"/>
  <c r="P33" i="8"/>
  <c r="Y33" i="8" s="1"/>
  <c r="P34" i="8"/>
  <c r="Y34" i="8" s="1"/>
  <c r="P35" i="8"/>
  <c r="Y35" i="8" s="1"/>
  <c r="P36" i="8"/>
  <c r="P37" i="8"/>
  <c r="Y37" i="8" s="1"/>
  <c r="P38" i="8"/>
  <c r="Y38" i="8" s="1"/>
  <c r="P39" i="8"/>
  <c r="Y39" i="8" s="1"/>
  <c r="P40" i="8"/>
  <c r="Y40" i="8" s="1"/>
  <c r="P41" i="8"/>
  <c r="P42" i="8"/>
  <c r="Y42" i="8" s="1"/>
  <c r="P43" i="8"/>
  <c r="P44" i="8"/>
  <c r="P45" i="8"/>
  <c r="Y45" i="8" s="1"/>
  <c r="P46" i="8"/>
  <c r="Y46" i="8" s="1"/>
  <c r="P47" i="8"/>
  <c r="Y47" i="8" s="1"/>
  <c r="P48" i="8"/>
  <c r="Y48" i="8" s="1"/>
  <c r="P49" i="8"/>
  <c r="Y49" i="8" s="1"/>
  <c r="P50" i="8"/>
  <c r="Y50" i="8" s="1"/>
  <c r="P51" i="8"/>
  <c r="P52" i="8"/>
  <c r="Y52" i="8" s="1"/>
  <c r="P53" i="8"/>
  <c r="Y53" i="8" s="1"/>
  <c r="P54" i="8"/>
  <c r="Y54" i="8" s="1"/>
  <c r="P55" i="8"/>
  <c r="Y55" i="8" s="1"/>
  <c r="P56" i="8"/>
  <c r="Y56" i="8" s="1"/>
  <c r="P57" i="8"/>
  <c r="Y57" i="8" s="1"/>
  <c r="P58" i="8"/>
  <c r="Y58" i="8" s="1"/>
  <c r="P59" i="8"/>
  <c r="Y59" i="8" s="1"/>
  <c r="P60" i="8"/>
  <c r="P61" i="8"/>
  <c r="P62" i="8"/>
  <c r="Y62" i="8" s="1"/>
  <c r="P63" i="8"/>
  <c r="Y63" i="8" s="1"/>
  <c r="P64" i="8"/>
  <c r="P65" i="8"/>
  <c r="Y65" i="8" s="1"/>
  <c r="P66" i="8"/>
  <c r="Y66" i="8" s="1"/>
  <c r="P67" i="8"/>
  <c r="Y67" i="8" s="1"/>
  <c r="P68" i="8"/>
  <c r="Y68" i="8" s="1"/>
  <c r="P69" i="8"/>
  <c r="Y69" i="8" s="1"/>
  <c r="P70" i="8"/>
  <c r="P71" i="8"/>
  <c r="Y71" i="8" s="1"/>
  <c r="P72" i="8"/>
  <c r="Y72" i="8" s="1"/>
  <c r="P73" i="8"/>
  <c r="Y73" i="8" s="1"/>
  <c r="P74" i="8"/>
  <c r="Y74" i="8" s="1"/>
  <c r="P75" i="8"/>
  <c r="Y75" i="8" s="1"/>
  <c r="P76" i="8"/>
  <c r="Y76" i="8" s="1"/>
  <c r="P77" i="8"/>
  <c r="Y77" i="8" s="1"/>
  <c r="P78" i="8"/>
  <c r="Y78" i="8" s="1"/>
  <c r="P79" i="8"/>
  <c r="Y79" i="8" s="1"/>
  <c r="P80" i="8"/>
  <c r="Y80" i="8" s="1"/>
  <c r="P81" i="8"/>
  <c r="Y81" i="8" s="1"/>
  <c r="P82" i="8"/>
  <c r="Y82" i="8" s="1"/>
  <c r="P83" i="8"/>
  <c r="Y83" i="8" s="1"/>
  <c r="P84" i="8"/>
  <c r="Y84" i="8" s="1"/>
  <c r="P85" i="8"/>
  <c r="Y85" i="8" s="1"/>
  <c r="P86" i="8"/>
  <c r="Y86" i="8" s="1"/>
  <c r="P87" i="8"/>
  <c r="Y87" i="8" s="1"/>
  <c r="P88" i="8"/>
  <c r="Y88" i="8" s="1"/>
  <c r="P89" i="8"/>
  <c r="Y89" i="8" s="1"/>
  <c r="P90" i="8"/>
  <c r="Y90" i="8" s="1"/>
  <c r="P91" i="8"/>
  <c r="Y91" i="8" s="1"/>
  <c r="P92" i="8"/>
  <c r="Y92" i="8" s="1"/>
  <c r="P93" i="8"/>
  <c r="Y93" i="8" s="1"/>
  <c r="P94" i="8"/>
  <c r="Y94" i="8" s="1"/>
  <c r="P95" i="8"/>
  <c r="Y95" i="8" s="1"/>
  <c r="P96" i="8"/>
  <c r="Y96" i="8" s="1"/>
  <c r="P97" i="8"/>
  <c r="Y97" i="8" s="1"/>
  <c r="P98" i="8"/>
  <c r="Y98" i="8" s="1"/>
  <c r="P99" i="8"/>
  <c r="Y99" i="8" s="1"/>
  <c r="P100" i="8"/>
  <c r="Y100" i="8" s="1"/>
  <c r="P101" i="8"/>
  <c r="Y101" i="8" s="1"/>
  <c r="P102" i="8"/>
  <c r="Y102" i="8" s="1"/>
  <c r="P103" i="8"/>
  <c r="P104" i="8"/>
  <c r="Y104" i="8" s="1"/>
  <c r="P105" i="8"/>
  <c r="Y105" i="8" s="1"/>
  <c r="P106" i="8"/>
  <c r="Y106" i="8" s="1"/>
  <c r="P107" i="8"/>
  <c r="Y107" i="8" s="1"/>
  <c r="P108" i="8"/>
  <c r="P109" i="8"/>
  <c r="Y109" i="8" s="1"/>
  <c r="P110" i="8"/>
  <c r="Y110" i="8" s="1"/>
  <c r="P111" i="8"/>
  <c r="P112" i="8"/>
  <c r="Y112" i="8" s="1"/>
  <c r="P113" i="8"/>
  <c r="Y113" i="8" s="1"/>
  <c r="P114" i="8"/>
  <c r="Y114" i="8" s="1"/>
  <c r="P115" i="8"/>
  <c r="P116" i="8"/>
  <c r="Y116" i="8" s="1"/>
  <c r="P117" i="8"/>
  <c r="P118" i="8"/>
  <c r="P119" i="8"/>
  <c r="Y119" i="8" s="1"/>
  <c r="P120" i="8"/>
  <c r="Y120" i="8" s="1"/>
  <c r="P121" i="8"/>
  <c r="Y121" i="8" s="1"/>
  <c r="P122" i="8"/>
  <c r="Y122" i="8" s="1"/>
  <c r="P123" i="8"/>
  <c r="Y123" i="8" s="1"/>
  <c r="P124" i="8"/>
  <c r="Y124" i="8" s="1"/>
  <c r="P125" i="8"/>
  <c r="Y125" i="8" s="1"/>
  <c r="P126" i="8"/>
  <c r="Y126" i="8" s="1"/>
  <c r="P127" i="8"/>
  <c r="P128" i="8"/>
  <c r="Y128" i="8" s="1"/>
  <c r="P129" i="8"/>
  <c r="Y129" i="8" s="1"/>
  <c r="P130" i="8"/>
  <c r="Y130" i="8" s="1"/>
  <c r="P131" i="8"/>
  <c r="Y131" i="8" s="1"/>
  <c r="P132" i="8"/>
  <c r="Y132" i="8" s="1"/>
  <c r="P133" i="8"/>
  <c r="Y133" i="8" s="1"/>
  <c r="P134" i="8"/>
  <c r="Y134" i="8" s="1"/>
  <c r="P135" i="8"/>
  <c r="Y135" i="8" s="1"/>
  <c r="P136" i="8"/>
  <c r="Y136" i="8" s="1"/>
  <c r="P137" i="8"/>
  <c r="Y137" i="8" s="1"/>
  <c r="P138" i="8"/>
  <c r="P139" i="8"/>
  <c r="P140" i="8"/>
  <c r="Y140" i="8" s="1"/>
  <c r="P141" i="8"/>
  <c r="Y141" i="8" s="1"/>
  <c r="P142" i="8"/>
  <c r="Y142" i="8" s="1"/>
  <c r="P143" i="8"/>
  <c r="Y143" i="8" s="1"/>
  <c r="P144" i="8"/>
  <c r="Y144" i="8" s="1"/>
  <c r="P145" i="8"/>
  <c r="Y145" i="8" s="1"/>
  <c r="P146" i="8"/>
  <c r="Y146" i="8" s="1"/>
  <c r="P147" i="8"/>
  <c r="Y147" i="8" s="1"/>
  <c r="P148" i="8"/>
  <c r="Y148" i="8" s="1"/>
  <c r="P149" i="8"/>
  <c r="Y149" i="8" s="1"/>
  <c r="P150" i="8"/>
  <c r="Y150" i="8" s="1"/>
  <c r="P151" i="8"/>
  <c r="Y151" i="8" s="1"/>
  <c r="P152" i="8"/>
  <c r="Y152" i="8" s="1"/>
  <c r="P153" i="8"/>
  <c r="Y153" i="8" s="1"/>
  <c r="P154" i="8"/>
  <c r="Y154" i="8" s="1"/>
  <c r="P155" i="8"/>
  <c r="Y155" i="8" s="1"/>
  <c r="P156" i="8"/>
  <c r="P157" i="8"/>
  <c r="Y157" i="8" s="1"/>
  <c r="P158" i="8"/>
  <c r="Y158" i="8" s="1"/>
  <c r="P159" i="8"/>
  <c r="Y159" i="8" s="1"/>
  <c r="P160" i="8"/>
  <c r="Y160" i="8" s="1"/>
  <c r="P161" i="8"/>
  <c r="Y161" i="8" s="1"/>
  <c r="P162" i="8"/>
  <c r="Y162" i="8" s="1"/>
  <c r="P163" i="8"/>
  <c r="Y163" i="8" s="1"/>
  <c r="P164" i="8"/>
  <c r="P165" i="8"/>
  <c r="Y165" i="8" s="1"/>
  <c r="P166" i="8"/>
  <c r="Y166" i="8" s="1"/>
  <c r="P167" i="8"/>
  <c r="Y167" i="8" s="1"/>
  <c r="P168" i="8"/>
  <c r="Y168" i="8" s="1"/>
  <c r="P169" i="8"/>
  <c r="Y169" i="8" s="1"/>
  <c r="P170" i="8"/>
  <c r="Y170" i="8" s="1"/>
  <c r="P171" i="8"/>
  <c r="Y171" i="8" s="1"/>
  <c r="P172" i="8"/>
  <c r="Y172" i="8" s="1"/>
  <c r="P173" i="8"/>
  <c r="Y173" i="8" s="1"/>
  <c r="P174" i="8"/>
  <c r="Y174" i="8" s="1"/>
  <c r="P175" i="8"/>
  <c r="Y175" i="8" s="1"/>
  <c r="P176" i="8"/>
  <c r="P177" i="8"/>
  <c r="Y177" i="8" s="1"/>
  <c r="P178" i="8"/>
  <c r="P179" i="8"/>
  <c r="Y179" i="8" s="1"/>
  <c r="P180" i="8"/>
  <c r="Y180" i="8" s="1"/>
  <c r="P181" i="8"/>
  <c r="Y181" i="8" s="1"/>
  <c r="P182" i="8"/>
  <c r="Y182" i="8" s="1"/>
  <c r="P183" i="8"/>
  <c r="Y183" i="8" s="1"/>
  <c r="P184" i="8"/>
  <c r="Y184" i="8" s="1"/>
  <c r="P185" i="8"/>
  <c r="Y185" i="8" s="1"/>
  <c r="P186" i="8"/>
  <c r="Y186" i="8" s="1"/>
  <c r="P187" i="8"/>
  <c r="Y187" i="8" s="1"/>
  <c r="P188" i="8"/>
  <c r="Y188" i="8" s="1"/>
  <c r="P189" i="8"/>
  <c r="Y189" i="8" s="1"/>
  <c r="P190" i="8"/>
  <c r="Y190" i="8" s="1"/>
  <c r="P191" i="8"/>
  <c r="Y191" i="8" s="1"/>
  <c r="P192" i="8"/>
  <c r="Y192" i="8" s="1"/>
  <c r="P193" i="8"/>
  <c r="Y193" i="8" s="1"/>
  <c r="P194" i="8"/>
  <c r="Y194" i="8" s="1"/>
  <c r="P195" i="8"/>
  <c r="Y195" i="8" s="1"/>
  <c r="P196" i="8"/>
  <c r="Y196" i="8" s="1"/>
  <c r="P197" i="8"/>
  <c r="Y197" i="8" s="1"/>
  <c r="P198" i="8"/>
  <c r="P199" i="8"/>
  <c r="Y199" i="8" s="1"/>
  <c r="P200" i="8"/>
  <c r="Y200" i="8" s="1"/>
  <c r="P201" i="8"/>
  <c r="Y201" i="8" s="1"/>
  <c r="P202" i="8"/>
  <c r="Y202" i="8" s="1"/>
  <c r="P203" i="8"/>
  <c r="Y203" i="8" s="1"/>
  <c r="P204" i="8"/>
  <c r="Y204" i="8" s="1"/>
  <c r="P205" i="8"/>
  <c r="Y205" i="8" s="1"/>
  <c r="P206" i="8"/>
  <c r="Y206" i="8" s="1"/>
  <c r="P207" i="8"/>
  <c r="Y207" i="8" s="1"/>
  <c r="P208" i="8"/>
  <c r="Y208" i="8" s="1"/>
  <c r="P209" i="8"/>
  <c r="Y209" i="8" s="1"/>
  <c r="P210" i="8"/>
  <c r="Y210" i="8" s="1"/>
  <c r="P211" i="8"/>
  <c r="Y211" i="8" s="1"/>
  <c r="P212" i="8"/>
  <c r="Y212" i="8" s="1"/>
  <c r="P213" i="8"/>
  <c r="Y213" i="8" s="1"/>
  <c r="P214" i="8"/>
  <c r="Y214" i="8" s="1"/>
  <c r="P215" i="8"/>
  <c r="Y215" i="8" s="1"/>
  <c r="P216" i="8"/>
  <c r="Y216" i="8" s="1"/>
  <c r="P217" i="8"/>
  <c r="Y217" i="8" s="1"/>
  <c r="P218" i="8"/>
  <c r="Y218" i="8" s="1"/>
  <c r="P219" i="8"/>
  <c r="Y219" i="8" s="1"/>
  <c r="P220" i="8"/>
  <c r="Y220" i="8" s="1"/>
  <c r="P221" i="8"/>
  <c r="Y221" i="8" s="1"/>
  <c r="P222" i="8"/>
  <c r="Y222" i="8" s="1"/>
  <c r="P223" i="8"/>
  <c r="Y223" i="8" s="1"/>
  <c r="P224" i="8"/>
  <c r="Y224" i="8" s="1"/>
  <c r="P225" i="8"/>
  <c r="Y225" i="8" s="1"/>
  <c r="P226" i="8"/>
  <c r="Y226" i="8" s="1"/>
  <c r="P227" i="8"/>
  <c r="P228" i="8"/>
  <c r="P229" i="8"/>
  <c r="Y229" i="8" s="1"/>
  <c r="P230" i="8"/>
  <c r="Y230" i="8" s="1"/>
  <c r="P231" i="8"/>
  <c r="Y231" i="8" s="1"/>
  <c r="P232" i="8"/>
  <c r="Y232" i="8" s="1"/>
  <c r="P233" i="8"/>
  <c r="Y233" i="8" s="1"/>
  <c r="P234" i="8"/>
  <c r="Y234" i="8" s="1"/>
  <c r="P235" i="8"/>
  <c r="Y235" i="8" s="1"/>
  <c r="P236" i="8"/>
  <c r="Y236" i="8" s="1"/>
  <c r="P237" i="8"/>
  <c r="Y237" i="8" s="1"/>
  <c r="P238" i="8"/>
  <c r="Y238" i="8" s="1"/>
  <c r="P239" i="8"/>
  <c r="Y239" i="8" s="1"/>
  <c r="P240" i="8"/>
  <c r="Y240" i="8" s="1"/>
  <c r="P241" i="8"/>
  <c r="Y241" i="8" s="1"/>
  <c r="P242" i="8"/>
  <c r="Y242" i="8" s="1"/>
  <c r="P243" i="8"/>
  <c r="Y243" i="8" s="1"/>
  <c r="P244" i="8"/>
  <c r="Y244" i="8" s="1"/>
  <c r="P245" i="8"/>
  <c r="Y245" i="8" s="1"/>
  <c r="P246" i="8"/>
  <c r="P247" i="8"/>
  <c r="Y247" i="8" s="1"/>
  <c r="P248" i="8"/>
  <c r="P249" i="8"/>
  <c r="P250" i="8"/>
  <c r="P251" i="8"/>
  <c r="P252" i="8"/>
  <c r="P253" i="8"/>
  <c r="P254" i="8"/>
  <c r="Y254" i="8" s="1"/>
  <c r="P255" i="8"/>
  <c r="Y255" i="8" s="1"/>
  <c r="P256" i="8"/>
  <c r="Y256" i="8" s="1"/>
  <c r="P257" i="8"/>
  <c r="Y257" i="8" s="1"/>
  <c r="P258" i="8"/>
  <c r="Y258" i="8" s="1"/>
  <c r="P259" i="8"/>
  <c r="Y259" i="8" s="1"/>
  <c r="P260" i="8"/>
  <c r="Y260" i="8" s="1"/>
  <c r="P261" i="8"/>
  <c r="Y261" i="8" s="1"/>
  <c r="P262" i="8"/>
  <c r="Y262" i="8" s="1"/>
  <c r="P263" i="8"/>
  <c r="Y263" i="8" s="1"/>
  <c r="P264" i="8"/>
  <c r="Y264" i="8" s="1"/>
  <c r="P265" i="8"/>
  <c r="Y265" i="8" s="1"/>
  <c r="P266" i="8"/>
  <c r="Y266" i="8" s="1"/>
  <c r="P267" i="8"/>
  <c r="Y267" i="8" s="1"/>
  <c r="P268" i="8"/>
  <c r="Y268" i="8" s="1"/>
  <c r="P269" i="8"/>
  <c r="Y269" i="8" s="1"/>
  <c r="P270" i="8"/>
  <c r="P271" i="8"/>
  <c r="Y271" i="8" s="1"/>
  <c r="P272" i="8"/>
  <c r="Y272" i="8" s="1"/>
  <c r="P273" i="8"/>
  <c r="Y273" i="8" s="1"/>
  <c r="P274" i="8"/>
  <c r="Y274" i="8" s="1"/>
  <c r="P275" i="8"/>
  <c r="Y275" i="8" s="1"/>
  <c r="P276" i="8"/>
  <c r="Y276" i="8" s="1"/>
  <c r="P277" i="8"/>
  <c r="Y277" i="8" s="1"/>
  <c r="P278" i="8"/>
  <c r="Y278" i="8" s="1"/>
  <c r="P279" i="8"/>
  <c r="Y279" i="8" s="1"/>
  <c r="P280" i="8"/>
  <c r="Y280" i="8" s="1"/>
  <c r="P281" i="8"/>
  <c r="Y281" i="8" s="1"/>
  <c r="P282" i="8"/>
  <c r="Y282" i="8" s="1"/>
  <c r="P283" i="8"/>
  <c r="Y283" i="8" s="1"/>
  <c r="P284" i="8"/>
  <c r="Y284" i="8" s="1"/>
  <c r="P285" i="8"/>
  <c r="Y285" i="8" s="1"/>
  <c r="P286" i="8"/>
  <c r="Y286" i="8" s="1"/>
  <c r="P287" i="8"/>
  <c r="Y287" i="8" s="1"/>
  <c r="P288" i="8"/>
  <c r="Y288" i="8" s="1"/>
  <c r="P289" i="8"/>
  <c r="Y289" i="8" s="1"/>
  <c r="P290" i="8"/>
  <c r="Y290" i="8" s="1"/>
  <c r="P291" i="8"/>
  <c r="Y291" i="8" s="1"/>
  <c r="P292" i="8"/>
  <c r="Y292" i="8" s="1"/>
  <c r="P293" i="8"/>
  <c r="Y293" i="8" s="1"/>
  <c r="P294" i="8"/>
  <c r="Y294" i="8" s="1"/>
  <c r="P295" i="8"/>
  <c r="Y295" i="8" s="1"/>
  <c r="P296" i="8"/>
  <c r="Y296" i="8" s="1"/>
  <c r="P297" i="8"/>
  <c r="Y297" i="8" s="1"/>
  <c r="P298" i="8"/>
  <c r="Y298" i="8" s="1"/>
  <c r="P299" i="8"/>
  <c r="Y299" i="8" s="1"/>
  <c r="P300" i="8"/>
  <c r="Y300" i="8" s="1"/>
  <c r="P301" i="8"/>
  <c r="Y301" i="8" s="1"/>
  <c r="P302" i="8"/>
  <c r="Y302" i="8" s="1"/>
  <c r="P303" i="8"/>
  <c r="Y303" i="8" s="1"/>
  <c r="P304" i="8"/>
  <c r="P305" i="8"/>
  <c r="Y305" i="8" s="1"/>
  <c r="P306" i="8"/>
  <c r="Y306" i="8" s="1"/>
  <c r="P307" i="8"/>
  <c r="Y307" i="8" s="1"/>
  <c r="P308" i="8"/>
  <c r="Y308" i="8" s="1"/>
  <c r="P309" i="8"/>
  <c r="Y309" i="8" s="1"/>
  <c r="P310" i="8"/>
  <c r="Y310" i="8" s="1"/>
  <c r="P311" i="8"/>
  <c r="Y311" i="8" s="1"/>
  <c r="P312" i="8"/>
  <c r="Y312" i="8" s="1"/>
  <c r="P313" i="8"/>
  <c r="Y313" i="8" s="1"/>
  <c r="P314" i="8"/>
  <c r="Y314" i="8" s="1"/>
  <c r="P315" i="8"/>
  <c r="Y315" i="8" s="1"/>
  <c r="P316" i="8"/>
  <c r="Y316" i="8" s="1"/>
  <c r="P317" i="8"/>
  <c r="Y317" i="8" s="1"/>
  <c r="P318" i="8"/>
  <c r="Y318" i="8" s="1"/>
  <c r="P319" i="8"/>
  <c r="P320" i="8"/>
  <c r="P321" i="8"/>
  <c r="Y321" i="8" s="1"/>
  <c r="P322" i="8"/>
  <c r="Y322" i="8" s="1"/>
  <c r="P323" i="8"/>
  <c r="Y323" i="8" s="1"/>
  <c r="P324" i="8"/>
  <c r="Y324" i="8" s="1"/>
  <c r="P325" i="8"/>
  <c r="Y325" i="8" s="1"/>
  <c r="P326" i="8"/>
  <c r="Y326" i="8" s="1"/>
  <c r="P327" i="8"/>
  <c r="Y327" i="8" s="1"/>
  <c r="P328" i="8"/>
  <c r="Y328" i="8" s="1"/>
  <c r="P329" i="8"/>
  <c r="Y329" i="8" s="1"/>
  <c r="P330" i="8"/>
  <c r="Y330" i="8" s="1"/>
  <c r="P331" i="8"/>
  <c r="Y331" i="8" s="1"/>
  <c r="P332" i="8"/>
  <c r="Y332" i="8" s="1"/>
  <c r="P333" i="8"/>
  <c r="Y333" i="8" s="1"/>
  <c r="P334" i="8"/>
  <c r="Y334" i="8" s="1"/>
  <c r="P335" i="8"/>
  <c r="Y335" i="8" s="1"/>
  <c r="P336" i="8"/>
  <c r="Y336" i="8" s="1"/>
  <c r="P337" i="8"/>
  <c r="Y337" i="8" s="1"/>
  <c r="P338" i="8"/>
  <c r="Y338" i="8" s="1"/>
  <c r="P339" i="8"/>
  <c r="Y339" i="8" s="1"/>
  <c r="P340" i="8"/>
  <c r="Y340" i="8" s="1"/>
  <c r="P341" i="8"/>
  <c r="Y341" i="8" s="1"/>
  <c r="P342" i="8"/>
  <c r="Y342" i="8" s="1"/>
  <c r="P343" i="8"/>
  <c r="P344" i="8"/>
  <c r="Y344" i="8" s="1"/>
  <c r="P345" i="8"/>
  <c r="Y345" i="8" s="1"/>
  <c r="P346" i="8"/>
  <c r="Y346" i="8" s="1"/>
  <c r="P347" i="8"/>
  <c r="Y347" i="8" s="1"/>
  <c r="P348" i="8"/>
  <c r="Y348" i="8" s="1"/>
  <c r="P349" i="8"/>
  <c r="Y349" i="8" s="1"/>
  <c r="P350" i="8"/>
  <c r="Y350" i="8" s="1"/>
  <c r="P351" i="8"/>
  <c r="Y351" i="8" s="1"/>
  <c r="P352" i="8"/>
  <c r="Y352" i="8" s="1"/>
  <c r="P353" i="8"/>
  <c r="Y353" i="8" s="1"/>
  <c r="P354" i="8"/>
  <c r="Y354" i="8" s="1"/>
  <c r="P355" i="8"/>
  <c r="Y355" i="8" s="1"/>
  <c r="P356" i="8"/>
  <c r="Y356" i="8" s="1"/>
  <c r="P357" i="8"/>
  <c r="Y357" i="8" s="1"/>
  <c r="P358" i="8"/>
  <c r="Y358" i="8" s="1"/>
  <c r="P359" i="8"/>
  <c r="Y359" i="8" s="1"/>
  <c r="P360" i="8"/>
  <c r="Y360" i="8" s="1"/>
  <c r="P361" i="8"/>
  <c r="Y361" i="8" s="1"/>
  <c r="P362" i="8"/>
  <c r="Y362" i="8" s="1"/>
  <c r="P363" i="8"/>
  <c r="Y363" i="8" s="1"/>
  <c r="P364" i="8"/>
  <c r="P365" i="8"/>
  <c r="P366" i="8"/>
  <c r="Y366" i="8" s="1"/>
  <c r="P367" i="8"/>
  <c r="Y367" i="8" s="1"/>
  <c r="P368" i="8"/>
  <c r="Y368" i="8" s="1"/>
  <c r="P369" i="8"/>
  <c r="Y369" i="8" s="1"/>
  <c r="P370" i="8"/>
  <c r="Y370" i="8" s="1"/>
  <c r="P371" i="8"/>
  <c r="Y371" i="8" s="1"/>
  <c r="P372" i="8"/>
  <c r="P373" i="8"/>
  <c r="Y373" i="8" s="1"/>
  <c r="P374" i="8"/>
  <c r="Y374" i="8" s="1"/>
  <c r="P375" i="8"/>
  <c r="Y375" i="8" s="1"/>
  <c r="P376" i="8"/>
  <c r="Y376" i="8" s="1"/>
  <c r="P377" i="8"/>
  <c r="Y377" i="8" s="1"/>
  <c r="P378" i="8"/>
  <c r="Y378" i="8" s="1"/>
  <c r="P379" i="8"/>
  <c r="Y379" i="8" s="1"/>
  <c r="P380" i="8"/>
  <c r="Y380" i="8" s="1"/>
  <c r="P381" i="8"/>
  <c r="Y381" i="8" s="1"/>
  <c r="P382" i="8"/>
  <c r="Y382" i="8" s="1"/>
  <c r="P383" i="8"/>
  <c r="P384" i="8"/>
  <c r="P385" i="8"/>
  <c r="Y385" i="8" s="1"/>
  <c r="P386" i="8"/>
  <c r="Y386" i="8" s="1"/>
  <c r="P387" i="8"/>
  <c r="Y387" i="8" s="1"/>
  <c r="P388" i="8"/>
  <c r="Y388" i="8" s="1"/>
  <c r="P389" i="8"/>
  <c r="Y389" i="8" s="1"/>
  <c r="P390" i="8"/>
  <c r="Y390" i="8" s="1"/>
  <c r="P391" i="8"/>
  <c r="Y391" i="8" s="1"/>
  <c r="P392" i="8"/>
  <c r="Y392" i="8" s="1"/>
  <c r="P393" i="8"/>
  <c r="Y393" i="8" s="1"/>
  <c r="P394" i="8"/>
  <c r="Y394" i="8" s="1"/>
  <c r="P395" i="8"/>
  <c r="Y395" i="8" s="1"/>
  <c r="P396" i="8"/>
  <c r="Y396" i="8" s="1"/>
  <c r="P397" i="8"/>
  <c r="P398" i="8"/>
  <c r="Y398" i="8" s="1"/>
  <c r="P399" i="8"/>
  <c r="Y399" i="8" s="1"/>
  <c r="P400" i="8"/>
  <c r="Y400" i="8" s="1"/>
  <c r="P401" i="8"/>
  <c r="Y401" i="8" s="1"/>
  <c r="P402" i="8"/>
  <c r="P403" i="8"/>
  <c r="Y403" i="8" s="1"/>
  <c r="P404" i="8"/>
  <c r="Y404" i="8" s="1"/>
  <c r="P405" i="8"/>
  <c r="Y405" i="8" s="1"/>
  <c r="P406" i="8"/>
  <c r="Y406" i="8" s="1"/>
  <c r="P407" i="8"/>
  <c r="Y407" i="8" s="1"/>
  <c r="P408" i="8"/>
  <c r="Y408" i="8" s="1"/>
  <c r="P409" i="8"/>
  <c r="Y409" i="8" s="1"/>
  <c r="P410" i="8"/>
  <c r="Y410" i="8" s="1"/>
  <c r="P411" i="8"/>
  <c r="Y411" i="8" s="1"/>
  <c r="P412" i="8"/>
  <c r="Y412" i="8" s="1"/>
  <c r="P413" i="8"/>
  <c r="Y413" i="8" s="1"/>
  <c r="P414" i="8"/>
  <c r="Y414" i="8" s="1"/>
  <c r="P415" i="8"/>
  <c r="Y415" i="8" s="1"/>
  <c r="P416" i="8"/>
  <c r="Y416" i="8" s="1"/>
  <c r="P417" i="8"/>
  <c r="Y417" i="8" s="1"/>
  <c r="P418" i="8"/>
  <c r="Y418" i="8" s="1"/>
  <c r="P419" i="8"/>
  <c r="Y419" i="8" s="1"/>
  <c r="P420" i="8"/>
  <c r="Y420" i="8" s="1"/>
  <c r="P421" i="8"/>
  <c r="P422" i="8"/>
  <c r="Y422" i="8" s="1"/>
  <c r="P423" i="8"/>
  <c r="Y423" i="8" s="1"/>
  <c r="P424" i="8"/>
  <c r="Y424" i="8" s="1"/>
  <c r="P425" i="8"/>
  <c r="Y425" i="8" s="1"/>
  <c r="P426" i="8"/>
  <c r="Y426" i="8" s="1"/>
  <c r="P427" i="8"/>
  <c r="Y427" i="8" s="1"/>
  <c r="P428" i="8"/>
  <c r="Y428" i="8" s="1"/>
  <c r="P429" i="8"/>
  <c r="Y429" i="8" s="1"/>
  <c r="P430" i="8"/>
  <c r="Y430" i="8" s="1"/>
  <c r="P431" i="8"/>
  <c r="Y431" i="8" s="1"/>
  <c r="P432" i="8"/>
  <c r="Y432" i="8" s="1"/>
  <c r="P433" i="8"/>
  <c r="Y433" i="8" s="1"/>
  <c r="P434" i="8"/>
  <c r="Y434" i="8" s="1"/>
  <c r="P435" i="8"/>
  <c r="Y435" i="8" s="1"/>
  <c r="P436" i="8"/>
  <c r="Y436" i="8" s="1"/>
  <c r="P437" i="8"/>
  <c r="Y437" i="8" s="1"/>
  <c r="P438" i="8"/>
  <c r="Y438" i="8" s="1"/>
  <c r="P439" i="8"/>
  <c r="Y439" i="8" s="1"/>
  <c r="P440" i="8"/>
  <c r="Y440" i="8" s="1"/>
  <c r="P441" i="8"/>
  <c r="Y441" i="8" s="1"/>
  <c r="P442" i="8"/>
  <c r="Y442" i="8" s="1"/>
  <c r="P443" i="8"/>
  <c r="Y443" i="8" s="1"/>
  <c r="P444" i="8"/>
  <c r="P445" i="8"/>
  <c r="Y445" i="8" s="1"/>
  <c r="P446" i="8"/>
  <c r="P447" i="8"/>
  <c r="Y447" i="8" s="1"/>
  <c r="P448" i="8"/>
  <c r="Y448" i="8" s="1"/>
  <c r="P449" i="8"/>
  <c r="Y449" i="8" s="1"/>
  <c r="P450" i="8"/>
  <c r="Y450" i="8" s="1"/>
  <c r="P451" i="8"/>
  <c r="Y451" i="8" s="1"/>
  <c r="P452" i="8"/>
  <c r="P453" i="8"/>
  <c r="Y453" i="8" s="1"/>
  <c r="P454" i="8"/>
  <c r="Y454" i="8" s="1"/>
  <c r="P455" i="8"/>
  <c r="Y455" i="8" s="1"/>
  <c r="P456" i="8"/>
  <c r="Y456" i="8" s="1"/>
  <c r="P457" i="8"/>
  <c r="Y457" i="8" s="1"/>
  <c r="P458" i="8"/>
  <c r="Y458" i="8" s="1"/>
  <c r="P459" i="8"/>
  <c r="Y459" i="8" s="1"/>
  <c r="P460" i="8"/>
  <c r="Y460" i="8" s="1"/>
  <c r="P461" i="8"/>
  <c r="Y461" i="8" s="1"/>
  <c r="P462" i="8"/>
  <c r="Y462" i="8" s="1"/>
  <c r="P463" i="8"/>
  <c r="Y463" i="8" s="1"/>
  <c r="P464" i="8"/>
  <c r="Y464" i="8" s="1"/>
  <c r="P465" i="8"/>
  <c r="Y465" i="8" s="1"/>
  <c r="P466" i="8"/>
  <c r="Y466" i="8" s="1"/>
  <c r="P467" i="8"/>
  <c r="Y467" i="8" s="1"/>
  <c r="P468" i="8"/>
  <c r="Y468" i="8" s="1"/>
  <c r="P469" i="8"/>
  <c r="Y469" i="8" s="1"/>
  <c r="P470" i="8"/>
  <c r="Y470" i="8" s="1"/>
  <c r="P471" i="8"/>
  <c r="Y471" i="8" s="1"/>
  <c r="P472" i="8"/>
  <c r="Y472" i="8" s="1"/>
  <c r="P473" i="8"/>
  <c r="Y473" i="8" s="1"/>
  <c r="P474" i="8"/>
  <c r="Y474" i="8" s="1"/>
  <c r="P475" i="8"/>
  <c r="Y475" i="8" s="1"/>
  <c r="P476" i="8"/>
  <c r="Y476" i="8" s="1"/>
  <c r="P478" i="8"/>
  <c r="Y478" i="8" s="1"/>
  <c r="P479" i="8"/>
  <c r="Y479" i="8" s="1"/>
  <c r="P480" i="8"/>
  <c r="Y480" i="8" s="1"/>
  <c r="P481" i="8"/>
  <c r="Y481" i="8" s="1"/>
  <c r="P482" i="8"/>
  <c r="Y482" i="8" s="1"/>
  <c r="P483" i="8"/>
  <c r="Y483" i="8" s="1"/>
  <c r="P484" i="8"/>
  <c r="Y484" i="8" s="1"/>
  <c r="P485" i="8"/>
  <c r="Y485" i="8" s="1"/>
  <c r="P486" i="8"/>
  <c r="Y486" i="8" s="1"/>
  <c r="P487" i="8"/>
  <c r="P488" i="8"/>
  <c r="Y488" i="8" s="1"/>
  <c r="P489" i="8"/>
  <c r="Y489" i="8" s="1"/>
  <c r="P490" i="8"/>
  <c r="Y490" i="8" s="1"/>
  <c r="P491" i="8"/>
  <c r="Y491" i="8" s="1"/>
  <c r="P492" i="8"/>
  <c r="Y492" i="8" s="1"/>
  <c r="P493" i="8"/>
  <c r="Y493" i="8" s="1"/>
  <c r="P494" i="8"/>
  <c r="Y494" i="8" s="1"/>
  <c r="P495" i="8"/>
  <c r="Y495" i="8" s="1"/>
  <c r="P496" i="8"/>
  <c r="Y496" i="8" s="1"/>
  <c r="P497" i="8"/>
  <c r="Y497" i="8" s="1"/>
  <c r="P498" i="8"/>
  <c r="Y498" i="8" s="1"/>
  <c r="P499" i="8"/>
  <c r="Y499" i="8" s="1"/>
  <c r="P500" i="8"/>
  <c r="Y500" i="8" s="1"/>
  <c r="P501" i="8"/>
  <c r="Y501" i="8" s="1"/>
  <c r="P502" i="8"/>
  <c r="Y502" i="8" s="1"/>
  <c r="P503" i="8"/>
  <c r="Y503" i="8" s="1"/>
  <c r="P504" i="8"/>
  <c r="Y504" i="8" s="1"/>
  <c r="P505" i="8"/>
  <c r="Y505" i="8" s="1"/>
  <c r="P506" i="8"/>
  <c r="Y506" i="8" s="1"/>
  <c r="P507" i="8"/>
  <c r="Y507" i="8" s="1"/>
  <c r="P508" i="8"/>
  <c r="Y508" i="8" s="1"/>
  <c r="P509" i="8"/>
  <c r="Y509" i="8" s="1"/>
  <c r="P510" i="8"/>
  <c r="Y510" i="8" s="1"/>
  <c r="P511" i="8"/>
  <c r="Y511" i="8" s="1"/>
  <c r="P512" i="8"/>
  <c r="Y512" i="8" s="1"/>
  <c r="P513" i="8"/>
  <c r="Y513" i="8" s="1"/>
  <c r="P514" i="8"/>
  <c r="Y514" i="8" s="1"/>
  <c r="P515" i="8"/>
  <c r="Y515" i="8" s="1"/>
  <c r="P516" i="8"/>
  <c r="Y516" i="8" s="1"/>
  <c r="P517" i="8"/>
  <c r="Y517" i="8" s="1"/>
  <c r="P518" i="8"/>
  <c r="Y518" i="8" s="1"/>
  <c r="P519" i="8"/>
  <c r="Y519" i="8" s="1"/>
  <c r="P520" i="8"/>
  <c r="Y520" i="8" s="1"/>
  <c r="P521" i="8"/>
  <c r="Y521" i="8" s="1"/>
  <c r="P522" i="8"/>
  <c r="Y522" i="8" s="1"/>
  <c r="P523" i="8"/>
  <c r="Y523" i="8" s="1"/>
  <c r="P524" i="8"/>
  <c r="Y524" i="8" s="1"/>
  <c r="P525" i="8"/>
  <c r="Y525" i="8" s="1"/>
  <c r="P526" i="8"/>
  <c r="Y526" i="8" s="1"/>
  <c r="P527" i="8"/>
  <c r="Y527" i="8" s="1"/>
  <c r="P528" i="8"/>
  <c r="Y528" i="8" s="1"/>
  <c r="P529" i="8"/>
  <c r="Y529" i="8" s="1"/>
  <c r="P530" i="8"/>
  <c r="Y530" i="8" s="1"/>
  <c r="P531" i="8"/>
  <c r="Y531" i="8" s="1"/>
  <c r="P532" i="8"/>
  <c r="Y532" i="8" s="1"/>
  <c r="P533" i="8"/>
  <c r="Y533" i="8" s="1"/>
  <c r="P534" i="8"/>
  <c r="Y534" i="8" s="1"/>
  <c r="P535" i="8"/>
  <c r="Y535" i="8" s="1"/>
  <c r="P536" i="8"/>
  <c r="Y536" i="8" s="1"/>
  <c r="P537" i="8"/>
  <c r="Y537" i="8" s="1"/>
  <c r="P538" i="8"/>
  <c r="Y538" i="8" s="1"/>
  <c r="P540" i="8"/>
  <c r="Y540" i="8" s="1"/>
  <c r="P541" i="8"/>
  <c r="Y541" i="8" s="1"/>
  <c r="P542" i="8"/>
  <c r="Y542" i="8" s="1"/>
  <c r="P543" i="8"/>
  <c r="Y543" i="8" s="1"/>
  <c r="P544" i="8"/>
  <c r="Y544" i="8" s="1"/>
  <c r="P545" i="8"/>
  <c r="Y545" i="8" s="1"/>
  <c r="P546" i="8"/>
  <c r="Y546" i="8" s="1"/>
  <c r="P547" i="8"/>
  <c r="Y547" i="8" s="1"/>
  <c r="P548" i="8"/>
  <c r="Y548" i="8" s="1"/>
  <c r="P549" i="8"/>
  <c r="Y549" i="8" s="1"/>
  <c r="P550" i="8"/>
  <c r="Y550" i="8" s="1"/>
  <c r="P551" i="8"/>
  <c r="Y551" i="8" s="1"/>
  <c r="P552" i="8"/>
  <c r="Y552" i="8" s="1"/>
  <c r="P553" i="8"/>
  <c r="Y553" i="8" s="1"/>
  <c r="P554" i="8"/>
  <c r="Y554" i="8" s="1"/>
  <c r="P555" i="8"/>
  <c r="Y555" i="8" s="1"/>
  <c r="P556" i="8"/>
  <c r="Y556" i="8" s="1"/>
  <c r="P557" i="8"/>
  <c r="Y557" i="8" s="1"/>
  <c r="P558" i="8"/>
  <c r="Y558" i="8" s="1"/>
  <c r="P559" i="8"/>
  <c r="Y559" i="8" s="1"/>
  <c r="P560" i="8"/>
  <c r="Y560" i="8" s="1"/>
  <c r="P561" i="8"/>
  <c r="Y561" i="8" s="1"/>
  <c r="P562" i="8"/>
  <c r="Y562" i="8" s="1"/>
  <c r="P563" i="8"/>
  <c r="Y563" i="8" s="1"/>
  <c r="P564" i="8"/>
  <c r="Y564" i="8" s="1"/>
  <c r="P565" i="8"/>
  <c r="Y565" i="8" s="1"/>
  <c r="P566" i="8"/>
  <c r="Y566" i="8" s="1"/>
  <c r="P567" i="8"/>
  <c r="Y567" i="8" s="1"/>
  <c r="P568" i="8"/>
  <c r="Y568" i="8" s="1"/>
  <c r="P569" i="8"/>
  <c r="Y569" i="8" s="1"/>
  <c r="P570" i="8"/>
  <c r="Y570" i="8" s="1"/>
  <c r="P571" i="8"/>
  <c r="Y571" i="8" s="1"/>
  <c r="P572" i="8"/>
  <c r="Y572" i="8" s="1"/>
  <c r="P573" i="8"/>
  <c r="Y573" i="8" s="1"/>
  <c r="P574" i="8"/>
  <c r="Y574" i="8" s="1"/>
  <c r="P575" i="8"/>
  <c r="Y575" i="8" s="1"/>
  <c r="P576" i="8"/>
  <c r="Y576" i="8" s="1"/>
  <c r="P577" i="8"/>
  <c r="Y577" i="8" s="1"/>
  <c r="N23" i="19" l="1"/>
  <c r="N29" i="19" s="1"/>
  <c r="N39" i="19" s="1"/>
  <c r="N48" i="19" s="1"/>
  <c r="N21" i="19"/>
  <c r="N27" i="19" s="1"/>
  <c r="N37" i="19" s="1"/>
  <c r="N46" i="19" s="1"/>
  <c r="E260" i="22"/>
  <c r="E227" i="22"/>
  <c r="E259" i="22"/>
  <c r="E251" i="22"/>
  <c r="E247" i="22"/>
  <c r="E253" i="22"/>
  <c r="E228" i="22"/>
  <c r="E257" i="22"/>
  <c r="E249" i="22"/>
  <c r="E223" i="22"/>
  <c r="E248" i="22"/>
  <c r="E254" i="22"/>
  <c r="E243" i="22"/>
  <c r="E237" i="22"/>
  <c r="E256" i="22"/>
  <c r="E241" i="22"/>
  <c r="E221" i="22"/>
  <c r="E258" i="22"/>
  <c r="E250" i="22"/>
  <c r="E255" i="22"/>
  <c r="E252" i="22"/>
  <c r="E240" i="22"/>
  <c r="E232" i="22"/>
  <c r="E242" i="22"/>
  <c r="E246" i="22"/>
  <c r="E234" i="22"/>
  <c r="E236" i="22"/>
  <c r="E239" i="22"/>
  <c r="E229" i="22"/>
  <c r="E233" i="22"/>
  <c r="E224" i="22"/>
  <c r="E226" i="22"/>
  <c r="E219" i="22"/>
  <c r="E238" i="22"/>
  <c r="E225" i="22"/>
  <c r="E222" i="22"/>
  <c r="E230" i="22"/>
  <c r="E231" i="22"/>
  <c r="E245" i="22"/>
  <c r="E235" i="22"/>
  <c r="E220" i="22"/>
  <c r="E244" i="22"/>
  <c r="D249" i="22"/>
  <c r="D232" i="22"/>
  <c r="D255" i="22"/>
  <c r="D239" i="22"/>
  <c r="D258" i="22"/>
  <c r="D253" i="22"/>
  <c r="D247" i="22"/>
  <c r="D220" i="22"/>
  <c r="D242" i="22"/>
  <c r="C256" i="22"/>
  <c r="D259" i="22"/>
  <c r="C250" i="22"/>
  <c r="D256" i="22"/>
  <c r="D221" i="22"/>
  <c r="D248" i="22"/>
  <c r="D235" i="22"/>
  <c r="D233" i="22"/>
  <c r="C258" i="22"/>
  <c r="D223" i="22"/>
  <c r="D260" i="22"/>
  <c r="D243" i="22"/>
  <c r="C259" i="22"/>
  <c r="D231" i="22"/>
  <c r="D227" i="22"/>
  <c r="D241" i="22"/>
  <c r="C260" i="22"/>
  <c r="D254" i="22"/>
  <c r="C257" i="22"/>
  <c r="D224" i="22"/>
  <c r="D237" i="22"/>
  <c r="D250" i="22"/>
  <c r="D252" i="22"/>
  <c r="D257" i="22"/>
  <c r="C255" i="22"/>
  <c r="D251" i="22"/>
  <c r="D244" i="22"/>
  <c r="D230" i="22"/>
  <c r="D234" i="22"/>
  <c r="C251" i="22"/>
  <c r="C252" i="22"/>
  <c r="C223" i="22"/>
  <c r="C226" i="22"/>
  <c r="C240" i="22"/>
  <c r="D245" i="22"/>
  <c r="C254" i="22"/>
  <c r="D225" i="22"/>
  <c r="C224" i="22"/>
  <c r="C242" i="22"/>
  <c r="C228" i="22"/>
  <c r="D229" i="22"/>
  <c r="C238" i="22"/>
  <c r="C219" i="22"/>
  <c r="C222" i="22"/>
  <c r="D238" i="22"/>
  <c r="D226" i="22"/>
  <c r="C237" i="22"/>
  <c r="C221" i="22"/>
  <c r="D219" i="22"/>
  <c r="D240" i="22"/>
  <c r="C229" i="22"/>
  <c r="D222" i="22"/>
  <c r="C227" i="22"/>
  <c r="C248" i="22"/>
  <c r="C231" i="22"/>
  <c r="C245" i="22"/>
  <c r="D228" i="22"/>
  <c r="C246" i="22"/>
  <c r="C253" i="22"/>
  <c r="C243" i="22"/>
  <c r="D236" i="22"/>
  <c r="C235" i="22"/>
  <c r="C249" i="22"/>
  <c r="C241" i="22"/>
  <c r="C232" i="22"/>
  <c r="C239" i="22"/>
  <c r="C230" i="22"/>
  <c r="C225" i="22"/>
  <c r="C233" i="22"/>
  <c r="D246" i="22"/>
  <c r="C247" i="22"/>
  <c r="C236" i="22"/>
  <c r="C244" i="22"/>
  <c r="C220" i="22"/>
  <c r="C234" i="22"/>
  <c r="AA13" i="8"/>
  <c r="C77" i="22"/>
  <c r="AA567" i="8"/>
  <c r="AA534" i="8"/>
  <c r="AA566" i="8"/>
  <c r="AA572" i="8"/>
  <c r="AA556" i="8"/>
  <c r="AA548" i="8"/>
  <c r="AA531" i="8"/>
  <c r="AA442" i="8"/>
  <c r="AA434" i="8"/>
  <c r="AA418" i="8"/>
  <c r="AA402" i="8"/>
  <c r="Y402" i="8"/>
  <c r="AA386" i="8"/>
  <c r="AA370" i="8"/>
  <c r="AA354" i="8"/>
  <c r="AA338" i="8"/>
  <c r="AA322" i="8"/>
  <c r="AA306" i="8"/>
  <c r="AA290" i="8"/>
  <c r="AA274" i="8"/>
  <c r="AA258" i="8"/>
  <c r="AA250" i="8"/>
  <c r="Y250" i="8"/>
  <c r="AA242" i="8"/>
  <c r="AA234" i="8"/>
  <c r="AA226" i="8"/>
  <c r="AA210" i="8"/>
  <c r="AA202" i="8"/>
  <c r="AA194" i="8"/>
  <c r="AA186" i="8"/>
  <c r="Z178" i="8"/>
  <c r="Y178" i="8"/>
  <c r="AA170" i="8"/>
  <c r="AA162" i="8"/>
  <c r="AA154" i="8"/>
  <c r="AA146" i="8"/>
  <c r="AA138" i="8"/>
  <c r="Y138" i="8"/>
  <c r="AL138" i="8" s="1"/>
  <c r="Z130" i="8"/>
  <c r="AA122" i="8"/>
  <c r="AA114" i="8"/>
  <c r="AA106" i="8"/>
  <c r="AA98" i="8"/>
  <c r="AA82" i="8"/>
  <c r="AA58" i="8"/>
  <c r="AA42" i="8"/>
  <c r="AA575" i="8"/>
  <c r="AA550" i="8"/>
  <c r="AA525" i="8"/>
  <c r="AA564" i="8"/>
  <c r="AA540" i="8"/>
  <c r="AA523" i="8"/>
  <c r="AA515" i="8"/>
  <c r="AA474" i="8"/>
  <c r="AA547" i="8"/>
  <c r="AA538" i="8"/>
  <c r="AA530" i="8"/>
  <c r="AA522" i="8"/>
  <c r="AA490" i="8"/>
  <c r="AA482" i="8"/>
  <c r="AA473" i="8"/>
  <c r="AA465" i="8"/>
  <c r="AA257" i="8"/>
  <c r="AA249" i="8"/>
  <c r="Y249" i="8"/>
  <c r="AA233" i="8"/>
  <c r="AA209" i="8"/>
  <c r="AA185" i="8"/>
  <c r="AA169" i="8"/>
  <c r="AA145" i="8"/>
  <c r="AA121" i="8"/>
  <c r="AA105" i="8"/>
  <c r="AA81" i="8"/>
  <c r="AA41" i="8"/>
  <c r="Y41" i="8"/>
  <c r="AA25" i="8"/>
  <c r="AA544" i="8"/>
  <c r="AA481" i="8"/>
  <c r="AA472" i="8"/>
  <c r="AA464" i="8"/>
  <c r="AA456" i="8"/>
  <c r="AA432" i="8"/>
  <c r="AA416" i="8"/>
  <c r="AA400" i="8"/>
  <c r="AA384" i="8"/>
  <c r="Y384" i="8"/>
  <c r="AA368" i="8"/>
  <c r="AA352" i="8"/>
  <c r="AA336" i="8"/>
  <c r="AA320" i="8"/>
  <c r="Y320" i="8"/>
  <c r="AL320" i="8" s="1"/>
  <c r="AA304" i="8"/>
  <c r="Y304" i="8"/>
  <c r="AA288" i="8"/>
  <c r="AA272" i="8"/>
  <c r="AA256" i="8"/>
  <c r="AA248" i="8"/>
  <c r="Y248" i="8"/>
  <c r="AA240" i="8"/>
  <c r="AA224" i="8"/>
  <c r="AA208" i="8"/>
  <c r="AA192" i="8"/>
  <c r="AA176" i="8"/>
  <c r="Y176" i="8"/>
  <c r="AA168" i="8"/>
  <c r="AA160" i="8"/>
  <c r="AA144" i="8"/>
  <c r="AA128" i="8"/>
  <c r="AA104" i="8"/>
  <c r="AA96" i="8"/>
  <c r="AA88" i="8"/>
  <c r="AA72" i="8"/>
  <c r="AA64" i="8"/>
  <c r="Y64" i="8"/>
  <c r="AA56" i="8"/>
  <c r="AA48" i="8"/>
  <c r="AA40" i="8"/>
  <c r="AA32" i="8"/>
  <c r="AA24" i="8"/>
  <c r="Y24" i="8"/>
  <c r="AA560" i="8"/>
  <c r="Z559" i="8"/>
  <c r="AA570" i="8"/>
  <c r="AA562" i="8"/>
  <c r="AA554" i="8"/>
  <c r="AA546" i="8"/>
  <c r="Z536" i="8"/>
  <c r="AA528" i="8"/>
  <c r="AA520" i="8"/>
  <c r="AA512" i="8"/>
  <c r="AA504" i="8"/>
  <c r="AA496" i="8"/>
  <c r="AA488" i="8"/>
  <c r="AA480" i="8"/>
  <c r="AA471" i="8"/>
  <c r="AA463" i="8"/>
  <c r="AA455" i="8"/>
  <c r="AA447" i="8"/>
  <c r="AA439" i="8"/>
  <c r="AA431" i="8"/>
  <c r="AA423" i="8"/>
  <c r="AA415" i="8"/>
  <c r="AA407" i="8"/>
  <c r="AA399" i="8"/>
  <c r="AA391" i="8"/>
  <c r="AA383" i="8"/>
  <c r="Y383" i="8"/>
  <c r="AA375" i="8"/>
  <c r="AA367" i="8"/>
  <c r="AA359" i="8"/>
  <c r="AA351" i="8"/>
  <c r="AA343" i="8"/>
  <c r="Y343" i="8"/>
  <c r="AJ343" i="8" s="1"/>
  <c r="AA335" i="8"/>
  <c r="AA327" i="8"/>
  <c r="Z319" i="8"/>
  <c r="Y319" i="8"/>
  <c r="AA311" i="8"/>
  <c r="AA303" i="8"/>
  <c r="AA295" i="8"/>
  <c r="AA287" i="8"/>
  <c r="AA279" i="8"/>
  <c r="AA271" i="8"/>
  <c r="AA263" i="8"/>
  <c r="AA255" i="8"/>
  <c r="AA247" i="8"/>
  <c r="AA239" i="8"/>
  <c r="AA231" i="8"/>
  <c r="AA223" i="8"/>
  <c r="AA215" i="8"/>
  <c r="AA199" i="8"/>
  <c r="AA191" i="8"/>
  <c r="AA183" i="8"/>
  <c r="AA175" i="8"/>
  <c r="AA167" i="8"/>
  <c r="AA159" i="8"/>
  <c r="AA151" i="8"/>
  <c r="AA135" i="8"/>
  <c r="AA127" i="8"/>
  <c r="Y127" i="8"/>
  <c r="AA119" i="8"/>
  <c r="AA111" i="8"/>
  <c r="Y111" i="8"/>
  <c r="AA103" i="8"/>
  <c r="Y103" i="8"/>
  <c r="AA95" i="8"/>
  <c r="AA87" i="8"/>
  <c r="AA79" i="8"/>
  <c r="AA71" i="8"/>
  <c r="AA63" i="8"/>
  <c r="AA55" i="8"/>
  <c r="AA47" i="8"/>
  <c r="AA39" i="8"/>
  <c r="AA31" i="8"/>
  <c r="AA23" i="8"/>
  <c r="Y23" i="8"/>
  <c r="AA568" i="8"/>
  <c r="AA535" i="8"/>
  <c r="AA527" i="8"/>
  <c r="AA519" i="8"/>
  <c r="AA511" i="8"/>
  <c r="AA503" i="8"/>
  <c r="AA495" i="8"/>
  <c r="AA487" i="8"/>
  <c r="Y487" i="8"/>
  <c r="AA479" i="8"/>
  <c r="AA470" i="8"/>
  <c r="AA462" i="8"/>
  <c r="AA454" i="8"/>
  <c r="AA446" i="8"/>
  <c r="Y446" i="8"/>
  <c r="AA438" i="8"/>
  <c r="AA430" i="8"/>
  <c r="AA422" i="8"/>
  <c r="AA414" i="8"/>
  <c r="AA406" i="8"/>
  <c r="AA398" i="8"/>
  <c r="AA390" i="8"/>
  <c r="AA382" i="8"/>
  <c r="AA374" i="8"/>
  <c r="AA366" i="8"/>
  <c r="AA358" i="8"/>
  <c r="AA350" i="8"/>
  <c r="AA342" i="8"/>
  <c r="AA334" i="8"/>
  <c r="AA326" i="8"/>
  <c r="AA318" i="8"/>
  <c r="AA310" i="8"/>
  <c r="AA302" i="8"/>
  <c r="AA294" i="8"/>
  <c r="AA286" i="8"/>
  <c r="AA278" i="8"/>
  <c r="AA270" i="8"/>
  <c r="Y270" i="8"/>
  <c r="AA262" i="8"/>
  <c r="AA254" i="8"/>
  <c r="AA246" i="8"/>
  <c r="Y246" i="8"/>
  <c r="AH246" i="8" s="1"/>
  <c r="AA238" i="8"/>
  <c r="AA230" i="8"/>
  <c r="AA222" i="8"/>
  <c r="AA214" i="8"/>
  <c r="AA206" i="8"/>
  <c r="AA198" i="8"/>
  <c r="Y198" i="8"/>
  <c r="AA190" i="8"/>
  <c r="AA182" i="8"/>
  <c r="AA174" i="8"/>
  <c r="AA166" i="8"/>
  <c r="AA158" i="8"/>
  <c r="AA150" i="8"/>
  <c r="AA142" i="8"/>
  <c r="AA134" i="8"/>
  <c r="AA126" i="8"/>
  <c r="AA118" i="8"/>
  <c r="Y118" i="8"/>
  <c r="AA110" i="8"/>
  <c r="AA102" i="8"/>
  <c r="AA94" i="8"/>
  <c r="AA86" i="8"/>
  <c r="AA78" i="8"/>
  <c r="AA70" i="8"/>
  <c r="Y70" i="8"/>
  <c r="AJ70" i="8" s="1"/>
  <c r="AA62" i="8"/>
  <c r="AA54" i="8"/>
  <c r="AA46" i="8"/>
  <c r="AA38" i="8"/>
  <c r="AA30" i="8"/>
  <c r="Y30" i="8"/>
  <c r="AA22" i="8"/>
  <c r="AA576" i="8"/>
  <c r="AA543" i="8"/>
  <c r="AA526" i="8"/>
  <c r="Z518" i="8"/>
  <c r="AA510" i="8"/>
  <c r="AA502" i="8"/>
  <c r="AA494" i="8"/>
  <c r="AA486" i="8"/>
  <c r="AA478" i="8"/>
  <c r="AA469" i="8"/>
  <c r="AA461" i="8"/>
  <c r="AA453" i="8"/>
  <c r="AA445" i="8"/>
  <c r="AA437" i="8"/>
  <c r="AA429" i="8"/>
  <c r="AA421" i="8"/>
  <c r="Y421" i="8"/>
  <c r="AA413" i="8"/>
  <c r="AA405" i="8"/>
  <c r="AA397" i="8"/>
  <c r="Y397" i="8"/>
  <c r="AA389" i="8"/>
  <c r="AA381" i="8"/>
  <c r="AA373" i="8"/>
  <c r="AA365" i="8"/>
  <c r="Y365" i="8"/>
  <c r="AA357" i="8"/>
  <c r="AA349" i="8"/>
  <c r="AA341" i="8"/>
  <c r="AA333" i="8"/>
  <c r="AA325" i="8"/>
  <c r="AA317" i="8"/>
  <c r="AA309" i="8"/>
  <c r="AA301" i="8"/>
  <c r="AA293" i="8"/>
  <c r="AA285" i="8"/>
  <c r="AA277" i="8"/>
  <c r="AA269" i="8"/>
  <c r="AA261" i="8"/>
  <c r="AA253" i="8"/>
  <c r="Y253" i="8"/>
  <c r="AL253" i="8" s="1"/>
  <c r="AA237" i="8"/>
  <c r="AA229" i="8"/>
  <c r="AA221" i="8"/>
  <c r="AA213" i="8"/>
  <c r="AA205" i="8"/>
  <c r="AA197" i="8"/>
  <c r="AA189" i="8"/>
  <c r="AA181" i="8"/>
  <c r="AA173" i="8"/>
  <c r="AA165" i="8"/>
  <c r="AA157" i="8"/>
  <c r="AA149" i="8"/>
  <c r="AA141" i="8"/>
  <c r="AA133" i="8"/>
  <c r="AA125" i="8"/>
  <c r="AA117" i="8"/>
  <c r="Y117" i="8"/>
  <c r="AA109" i="8"/>
  <c r="AA101" i="8"/>
  <c r="AA93" i="8"/>
  <c r="AA85" i="8"/>
  <c r="AA77" i="8"/>
  <c r="AA69" i="8"/>
  <c r="AA61" i="8"/>
  <c r="Y61" i="8"/>
  <c r="AI61" i="8" s="1"/>
  <c r="AA53" i="8"/>
  <c r="AA45" i="8"/>
  <c r="AA37" i="8"/>
  <c r="AA29" i="8"/>
  <c r="AA21" i="8"/>
  <c r="AA551" i="8"/>
  <c r="AA574" i="8"/>
  <c r="AA542" i="8"/>
  <c r="AA517" i="8"/>
  <c r="AA509" i="8"/>
  <c r="AA501" i="8"/>
  <c r="AA493" i="8"/>
  <c r="AA485" i="8"/>
  <c r="AA476" i="8"/>
  <c r="AA468" i="8"/>
  <c r="AA460" i="8"/>
  <c r="AA452" i="8"/>
  <c r="Y452" i="8"/>
  <c r="AA444" i="8"/>
  <c r="Y444" i="8"/>
  <c r="AI444" i="8" s="1"/>
  <c r="AA436" i="8"/>
  <c r="AA428" i="8"/>
  <c r="AA420" i="8"/>
  <c r="AA412" i="8"/>
  <c r="AA404" i="8"/>
  <c r="AA396" i="8"/>
  <c r="AA388" i="8"/>
  <c r="AA380" i="8"/>
  <c r="AA372" i="8"/>
  <c r="Y372" i="8"/>
  <c r="AA364" i="8"/>
  <c r="Y364" i="8"/>
  <c r="AA356" i="8"/>
  <c r="AA348" i="8"/>
  <c r="AA340" i="8"/>
  <c r="AA332" i="8"/>
  <c r="AA324" i="8"/>
  <c r="AA316" i="8"/>
  <c r="AA308" i="8"/>
  <c r="AA300" i="8"/>
  <c r="AA292" i="8"/>
  <c r="AA284" i="8"/>
  <c r="Z276" i="8"/>
  <c r="Z268" i="8"/>
  <c r="AA260" i="8"/>
  <c r="AA252" i="8"/>
  <c r="Y252" i="8"/>
  <c r="AA244" i="8"/>
  <c r="AA236" i="8"/>
  <c r="AA228" i="8"/>
  <c r="Y228" i="8"/>
  <c r="AA220" i="8"/>
  <c r="AA212" i="8"/>
  <c r="AA204" i="8"/>
  <c r="AA196" i="8"/>
  <c r="AA188" i="8"/>
  <c r="AA180" i="8"/>
  <c r="AA172" i="8"/>
  <c r="AA164" i="8"/>
  <c r="Y164" i="8"/>
  <c r="AA156" i="8"/>
  <c r="Y156" i="8"/>
  <c r="AA148" i="8"/>
  <c r="AA140" i="8"/>
  <c r="AA132" i="8"/>
  <c r="AA124" i="8"/>
  <c r="AA116" i="8"/>
  <c r="AA108" i="8"/>
  <c r="Y108" i="8"/>
  <c r="AK108" i="8" s="1"/>
  <c r="AA100" i="8"/>
  <c r="AA92" i="8"/>
  <c r="AA84" i="8"/>
  <c r="AA76" i="8"/>
  <c r="AA68" i="8"/>
  <c r="AA60" i="8"/>
  <c r="Y60" i="8"/>
  <c r="AA52" i="8"/>
  <c r="AA44" i="8"/>
  <c r="Y44" i="8"/>
  <c r="AA36" i="8"/>
  <c r="Y36" i="8"/>
  <c r="AA28" i="8"/>
  <c r="AA20" i="8"/>
  <c r="AA552" i="8"/>
  <c r="AA558" i="8"/>
  <c r="AA533" i="8"/>
  <c r="AA573" i="8"/>
  <c r="AA565" i="8"/>
  <c r="AA557" i="8"/>
  <c r="AA549" i="8"/>
  <c r="AA541" i="8"/>
  <c r="AA532" i="8"/>
  <c r="AA524" i="8"/>
  <c r="AA516" i="8"/>
  <c r="AA508" i="8"/>
  <c r="AA500" i="8"/>
  <c r="AA492" i="8"/>
  <c r="AA484" i="8"/>
  <c r="Z267" i="8"/>
  <c r="AA259" i="8"/>
  <c r="AA251" i="8"/>
  <c r="Y251" i="8"/>
  <c r="AA243" i="8"/>
  <c r="AA235" i="8"/>
  <c r="AA227" i="8"/>
  <c r="Y227" i="8"/>
  <c r="AL227" i="8" s="1"/>
  <c r="AA219" i="8"/>
  <c r="AA211" i="8"/>
  <c r="AA203" i="8"/>
  <c r="AA195" i="8"/>
  <c r="AA187" i="8"/>
  <c r="AA179" i="8"/>
  <c r="AA171" i="8"/>
  <c r="AA163" i="8"/>
  <c r="AA155" i="8"/>
  <c r="AA147" i="8"/>
  <c r="AA139" i="8"/>
  <c r="Y139" i="8"/>
  <c r="AA131" i="8"/>
  <c r="AA123" i="8"/>
  <c r="AA115" i="8"/>
  <c r="Y115" i="8"/>
  <c r="AA107" i="8"/>
  <c r="AA99" i="8"/>
  <c r="AA91" i="8"/>
  <c r="AA83" i="8"/>
  <c r="AA75" i="8"/>
  <c r="AA67" i="8"/>
  <c r="AA59" i="8"/>
  <c r="AA51" i="8"/>
  <c r="Y51" i="8"/>
  <c r="AA43" i="8"/>
  <c r="Y43" i="8"/>
  <c r="AA35" i="8"/>
  <c r="AA27" i="8"/>
  <c r="AA518" i="8"/>
  <c r="AA245" i="8"/>
  <c r="AA276" i="8"/>
  <c r="AA268" i="8"/>
  <c r="AA571" i="8"/>
  <c r="AA563" i="8"/>
  <c r="AA555" i="8"/>
  <c r="AA507" i="8"/>
  <c r="AA499" i="8"/>
  <c r="AA491" i="8"/>
  <c r="AA483" i="8"/>
  <c r="AA475" i="8"/>
  <c r="AA467" i="8"/>
  <c r="AA459" i="8"/>
  <c r="AA451" i="8"/>
  <c r="AA443" i="8"/>
  <c r="AA435" i="8"/>
  <c r="AA427" i="8"/>
  <c r="AA419" i="8"/>
  <c r="AA411" i="8"/>
  <c r="AA403" i="8"/>
  <c r="AA395" i="8"/>
  <c r="AA387" i="8"/>
  <c r="AA379" i="8"/>
  <c r="AA371" i="8"/>
  <c r="AA363" i="8"/>
  <c r="AA355" i="8"/>
  <c r="AA347" i="8"/>
  <c r="AA339" i="8"/>
  <c r="AA331" i="8"/>
  <c r="AA323" i="8"/>
  <c r="AA315" i="8"/>
  <c r="AA307" i="8"/>
  <c r="AA299" i="8"/>
  <c r="AA291" i="8"/>
  <c r="AA283" i="8"/>
  <c r="AA275" i="8"/>
  <c r="AA267" i="8"/>
  <c r="AA514" i="8"/>
  <c r="AA506" i="8"/>
  <c r="AA498" i="8"/>
  <c r="AA466" i="8"/>
  <c r="AA458" i="8"/>
  <c r="AA450" i="8"/>
  <c r="AA426" i="8"/>
  <c r="AA410" i="8"/>
  <c r="AA394" i="8"/>
  <c r="AA378" i="8"/>
  <c r="AA362" i="8"/>
  <c r="AA346" i="8"/>
  <c r="AA330" i="8"/>
  <c r="AA314" i="8"/>
  <c r="AA298" i="8"/>
  <c r="AA282" i="8"/>
  <c r="AA266" i="8"/>
  <c r="AA218" i="8"/>
  <c r="AA178" i="8"/>
  <c r="AA130" i="8"/>
  <c r="AA90" i="8"/>
  <c r="AA74" i="8"/>
  <c r="AA66" i="8"/>
  <c r="AA50" i="8"/>
  <c r="AA34" i="8"/>
  <c r="AA26" i="8"/>
  <c r="AA577" i="8"/>
  <c r="AA569" i="8"/>
  <c r="AA561" i="8"/>
  <c r="AA553" i="8"/>
  <c r="AA545" i="8"/>
  <c r="AA537" i="8"/>
  <c r="AA529" i="8"/>
  <c r="AA521" i="8"/>
  <c r="AA513" i="8"/>
  <c r="AA505" i="8"/>
  <c r="AA497" i="8"/>
  <c r="AA489" i="8"/>
  <c r="AA457" i="8"/>
  <c r="AA449" i="8"/>
  <c r="AA441" i="8"/>
  <c r="AA433" i="8"/>
  <c r="AA425" i="8"/>
  <c r="AA417" i="8"/>
  <c r="AA409" i="8"/>
  <c r="AA401" i="8"/>
  <c r="AA393" i="8"/>
  <c r="AA385" i="8"/>
  <c r="AA377" i="8"/>
  <c r="AA369" i="8"/>
  <c r="AA361" i="8"/>
  <c r="AA353" i="8"/>
  <c r="AA345" i="8"/>
  <c r="AA337" i="8"/>
  <c r="AA329" i="8"/>
  <c r="AA321" i="8"/>
  <c r="AA313" i="8"/>
  <c r="AA305" i="8"/>
  <c r="AA297" i="8"/>
  <c r="AA289" i="8"/>
  <c r="AA281" i="8"/>
  <c r="AA273" i="8"/>
  <c r="AA265" i="8"/>
  <c r="AA241" i="8"/>
  <c r="AA225" i="8"/>
  <c r="AA217" i="8"/>
  <c r="AA201" i="8"/>
  <c r="AA193" i="8"/>
  <c r="AA177" i="8"/>
  <c r="AA161" i="8"/>
  <c r="AA153" i="8"/>
  <c r="AA137" i="8"/>
  <c r="AA129" i="8"/>
  <c r="AA113" i="8"/>
  <c r="AA97" i="8"/>
  <c r="AA89" i="8"/>
  <c r="AA73" i="8"/>
  <c r="AA65" i="8"/>
  <c r="AA57" i="8"/>
  <c r="AA49" i="8"/>
  <c r="AA33" i="8"/>
  <c r="AA536" i="8"/>
  <c r="AA448" i="8"/>
  <c r="AA440" i="8"/>
  <c r="AA424" i="8"/>
  <c r="AA408" i="8"/>
  <c r="AA392" i="8"/>
  <c r="AA376" i="8"/>
  <c r="AA360" i="8"/>
  <c r="AA344" i="8"/>
  <c r="AA328" i="8"/>
  <c r="AA312" i="8"/>
  <c r="AA296" i="8"/>
  <c r="AA280" i="8"/>
  <c r="AA264" i="8"/>
  <c r="AA232" i="8"/>
  <c r="AA216" i="8"/>
  <c r="AA200" i="8"/>
  <c r="AA184" i="8"/>
  <c r="AA152" i="8"/>
  <c r="AA136" i="8"/>
  <c r="AA120" i="8"/>
  <c r="AA112" i="8"/>
  <c r="AA80" i="8"/>
  <c r="AA16" i="8"/>
  <c r="AA559" i="8"/>
  <c r="AA319" i="8"/>
  <c r="AA207" i="8"/>
  <c r="AA143" i="8"/>
  <c r="Z272" i="8"/>
  <c r="Z226" i="8"/>
  <c r="Z144" i="8"/>
  <c r="Z465" i="8"/>
  <c r="Z81" i="8"/>
  <c r="Z442" i="8"/>
  <c r="Z25" i="8"/>
  <c r="Z400" i="8"/>
  <c r="Z354" i="8"/>
  <c r="Z503" i="8"/>
  <c r="Z550" i="8"/>
  <c r="Z502" i="8"/>
  <c r="Z478" i="8"/>
  <c r="Z454" i="8"/>
  <c r="Z374" i="8"/>
  <c r="Z358" i="8"/>
  <c r="Z302" i="8"/>
  <c r="Z198" i="8"/>
  <c r="Z182" i="8"/>
  <c r="Z150" i="8"/>
  <c r="Z573" i="8"/>
  <c r="Z517" i="8"/>
  <c r="Z493" i="8"/>
  <c r="Z461" i="8"/>
  <c r="Z421" i="8"/>
  <c r="Z413" i="8"/>
  <c r="Z405" i="8"/>
  <c r="Z365" i="8"/>
  <c r="Z349" i="8"/>
  <c r="Z333" i="8"/>
  <c r="Z285" i="8"/>
  <c r="Z205" i="8"/>
  <c r="Z189" i="8"/>
  <c r="Z165" i="8"/>
  <c r="Z157" i="8"/>
  <c r="Z141" i="8"/>
  <c r="Z101" i="8"/>
  <c r="Z54" i="8"/>
  <c r="Z30" i="8"/>
  <c r="Z564" i="8"/>
  <c r="Z548" i="8"/>
  <c r="Z516" i="8"/>
  <c r="Z460" i="8"/>
  <c r="Z444" i="8"/>
  <c r="Z412" i="8"/>
  <c r="Z396" i="8"/>
  <c r="Z388" i="8"/>
  <c r="Z356" i="8"/>
  <c r="Z348" i="8"/>
  <c r="Z340" i="8"/>
  <c r="Z332" i="8"/>
  <c r="Z324" i="8"/>
  <c r="Z316" i="8"/>
  <c r="Z308" i="8"/>
  <c r="Z535" i="8"/>
  <c r="Z479" i="8"/>
  <c r="Z566" i="8"/>
  <c r="Z534" i="8"/>
  <c r="Z470" i="8"/>
  <c r="Z414" i="8"/>
  <c r="Z286" i="8"/>
  <c r="Z190" i="8"/>
  <c r="Z174" i="8"/>
  <c r="Z126" i="8"/>
  <c r="Z102" i="8"/>
  <c r="Z79" i="8"/>
  <c r="Z541" i="8"/>
  <c r="Z485" i="8"/>
  <c r="Z437" i="8"/>
  <c r="Z389" i="8"/>
  <c r="Z325" i="8"/>
  <c r="Z277" i="8"/>
  <c r="Z197" i="8"/>
  <c r="Z181" i="8"/>
  <c r="Z125" i="8"/>
  <c r="Z94" i="8"/>
  <c r="Z62" i="8"/>
  <c r="Z46" i="8"/>
  <c r="Z38" i="8"/>
  <c r="Z22" i="8"/>
  <c r="Z14" i="8"/>
  <c r="Z524" i="8"/>
  <c r="Z484" i="8"/>
  <c r="Z452" i="8"/>
  <c r="Z428" i="8"/>
  <c r="Z404" i="8"/>
  <c r="Z364" i="8"/>
  <c r="Z571" i="8"/>
  <c r="Z547" i="8"/>
  <c r="Z531" i="8"/>
  <c r="Z523" i="8"/>
  <c r="Z515" i="8"/>
  <c r="Z507" i="8"/>
  <c r="Z551" i="8"/>
  <c r="Z519" i="8"/>
  <c r="Z463" i="8"/>
  <c r="Z447" i="8"/>
  <c r="Z574" i="8"/>
  <c r="Z510" i="8"/>
  <c r="Z486" i="8"/>
  <c r="Z462" i="8"/>
  <c r="Z446" i="8"/>
  <c r="Z406" i="8"/>
  <c r="Z390" i="8"/>
  <c r="Z326" i="8"/>
  <c r="Z254" i="8"/>
  <c r="Z206" i="8"/>
  <c r="Z158" i="8"/>
  <c r="Z110" i="8"/>
  <c r="Z71" i="8"/>
  <c r="Z47" i="8"/>
  <c r="Z549" i="8"/>
  <c r="Z509" i="8"/>
  <c r="Z429" i="8"/>
  <c r="Z317" i="8"/>
  <c r="Z309" i="8"/>
  <c r="Z261" i="8"/>
  <c r="Z213" i="8"/>
  <c r="Z173" i="8"/>
  <c r="Z133" i="8"/>
  <c r="Z78" i="8"/>
  <c r="Z70" i="8"/>
  <c r="Z556" i="8"/>
  <c r="Z532" i="8"/>
  <c r="Z476" i="8"/>
  <c r="Z468" i="8"/>
  <c r="Z436" i="8"/>
  <c r="Z372" i="8"/>
  <c r="Z555" i="8"/>
  <c r="Z562" i="8"/>
  <c r="Z554" i="8"/>
  <c r="Z546" i="8"/>
  <c r="Z538" i="8"/>
  <c r="Z530" i="8"/>
  <c r="Z522" i="8"/>
  <c r="Z495" i="8"/>
  <c r="Z455" i="8"/>
  <c r="Z494" i="8"/>
  <c r="Z422" i="8"/>
  <c r="Z342" i="8"/>
  <c r="Z334" i="8"/>
  <c r="Z318" i="8"/>
  <c r="Z310" i="8"/>
  <c r="Z278" i="8"/>
  <c r="Z262" i="8"/>
  <c r="Z238" i="8"/>
  <c r="Z134" i="8"/>
  <c r="Z95" i="8"/>
  <c r="Z63" i="8"/>
  <c r="Z39" i="8"/>
  <c r="Z565" i="8"/>
  <c r="Z533" i="8"/>
  <c r="Z469" i="8"/>
  <c r="Z445" i="8"/>
  <c r="Z397" i="8"/>
  <c r="Z381" i="8"/>
  <c r="Z373" i="8"/>
  <c r="Z341" i="8"/>
  <c r="Z293" i="8"/>
  <c r="Z253" i="8"/>
  <c r="Z229" i="8"/>
  <c r="Z149" i="8"/>
  <c r="Z117" i="8"/>
  <c r="Z109" i="8"/>
  <c r="Z86" i="8"/>
  <c r="Z572" i="8"/>
  <c r="Z540" i="8"/>
  <c r="Z508" i="8"/>
  <c r="Z500" i="8"/>
  <c r="Z420" i="8"/>
  <c r="Z380" i="8"/>
  <c r="Z563" i="8"/>
  <c r="Z570" i="8"/>
  <c r="Z567" i="8"/>
  <c r="Z527" i="8"/>
  <c r="Z558" i="8"/>
  <c r="Z526" i="8"/>
  <c r="Z438" i="8"/>
  <c r="Z382" i="8"/>
  <c r="Z366" i="8"/>
  <c r="Z294" i="8"/>
  <c r="Z270" i="8"/>
  <c r="Z214" i="8"/>
  <c r="Z142" i="8"/>
  <c r="Z118" i="8"/>
  <c r="Z87" i="8"/>
  <c r="Z55" i="8"/>
  <c r="Z31" i="8"/>
  <c r="Z23" i="8"/>
  <c r="Z15" i="8"/>
  <c r="Z557" i="8"/>
  <c r="Z525" i="8"/>
  <c r="Z501" i="8"/>
  <c r="Z453" i="8"/>
  <c r="Z357" i="8"/>
  <c r="Z301" i="8"/>
  <c r="Z269" i="8"/>
  <c r="Z245" i="8"/>
  <c r="Z237" i="8"/>
  <c r="Z221" i="8"/>
  <c r="Z576" i="8"/>
  <c r="Z568" i="8"/>
  <c r="Z560" i="8"/>
  <c r="Z552" i="8"/>
  <c r="Z544" i="8"/>
  <c r="Z528" i="8"/>
  <c r="Z520" i="8"/>
  <c r="Z512" i="8"/>
  <c r="Z504" i="8"/>
  <c r="Z496" i="8"/>
  <c r="Z488" i="8"/>
  <c r="Z480" i="8"/>
  <c r="Z472" i="8"/>
  <c r="Z464" i="8"/>
  <c r="Z575" i="8"/>
  <c r="Z487" i="8"/>
  <c r="Z439" i="8"/>
  <c r="Z431" i="8"/>
  <c r="Z423" i="8"/>
  <c r="Z415" i="8"/>
  <c r="Z407" i="8"/>
  <c r="Z399" i="8"/>
  <c r="Z391" i="8"/>
  <c r="Z383" i="8"/>
  <c r="Z375" i="8"/>
  <c r="Z367" i="8"/>
  <c r="Z359" i="8"/>
  <c r="Z351" i="8"/>
  <c r="Z343" i="8"/>
  <c r="Z335" i="8"/>
  <c r="Z327" i="8"/>
  <c r="Z311" i="8"/>
  <c r="Z303" i="8"/>
  <c r="Z295" i="8"/>
  <c r="Z287" i="8"/>
  <c r="Z279" i="8"/>
  <c r="Z271" i="8"/>
  <c r="Z263" i="8"/>
  <c r="Z255" i="8"/>
  <c r="Z247" i="8"/>
  <c r="Z239" i="8"/>
  <c r="Z231" i="8"/>
  <c r="Z223" i="8"/>
  <c r="Z215" i="8"/>
  <c r="Z207" i="8"/>
  <c r="Z199" i="8"/>
  <c r="Z183" i="8"/>
  <c r="Z175" i="8"/>
  <c r="Z167" i="8"/>
  <c r="Z159" i="8"/>
  <c r="Z151" i="8"/>
  <c r="Z143" i="8"/>
  <c r="Z135" i="8"/>
  <c r="Z127" i="8"/>
  <c r="Z119" i="8"/>
  <c r="Z111" i="8"/>
  <c r="Z103" i="8"/>
  <c r="Z96" i="8"/>
  <c r="Z88" i="8"/>
  <c r="Z80" i="8"/>
  <c r="Z72" i="8"/>
  <c r="Z64" i="8"/>
  <c r="Z56" i="8"/>
  <c r="Z48" i="8"/>
  <c r="Z40" i="8"/>
  <c r="Z32" i="8"/>
  <c r="Z24" i="8"/>
  <c r="Z16" i="8"/>
  <c r="Z492" i="8"/>
  <c r="Z191" i="8"/>
  <c r="Z543" i="8"/>
  <c r="Z511" i="8"/>
  <c r="Z471" i="8"/>
  <c r="Z542" i="8"/>
  <c r="Z430" i="8"/>
  <c r="Z398" i="8"/>
  <c r="Z350" i="8"/>
  <c r="Z246" i="8"/>
  <c r="Z230" i="8"/>
  <c r="Z222" i="8"/>
  <c r="Z166" i="8"/>
  <c r="Z490" i="8"/>
  <c r="Z434" i="8"/>
  <c r="Z352" i="8"/>
  <c r="Z306" i="8"/>
  <c r="Z224" i="8"/>
  <c r="Z300" i="8"/>
  <c r="Z292" i="8"/>
  <c r="Z284" i="8"/>
  <c r="Z260" i="8"/>
  <c r="Z252" i="8"/>
  <c r="Z244" i="8"/>
  <c r="Z236" i="8"/>
  <c r="Z228" i="8"/>
  <c r="Z220" i="8"/>
  <c r="Z212" i="8"/>
  <c r="Z204" i="8"/>
  <c r="Z196" i="8"/>
  <c r="Z188" i="8"/>
  <c r="Z180" i="8"/>
  <c r="Z172" i="8"/>
  <c r="Z164" i="8"/>
  <c r="Z156" i="8"/>
  <c r="Z148" i="8"/>
  <c r="Z140" i="8"/>
  <c r="Z132" i="8"/>
  <c r="Z124" i="8"/>
  <c r="Z116" i="8"/>
  <c r="Z100" i="8"/>
  <c r="Z93" i="8"/>
  <c r="Z85" i="8"/>
  <c r="Z77" i="8"/>
  <c r="Z69" i="8"/>
  <c r="Z61" i="8"/>
  <c r="Z45" i="8"/>
  <c r="Z37" i="8"/>
  <c r="Z21" i="8"/>
  <c r="Z13" i="8"/>
  <c r="Z432" i="8"/>
  <c r="Z386" i="8"/>
  <c r="Z304" i="8"/>
  <c r="Z258" i="8"/>
  <c r="Z176" i="8"/>
  <c r="Z499" i="8"/>
  <c r="Z491" i="8"/>
  <c r="Z483" i="8"/>
  <c r="Z475" i="8"/>
  <c r="Z467" i="8"/>
  <c r="Z459" i="8"/>
  <c r="Z451" i="8"/>
  <c r="Z443" i="8"/>
  <c r="Z435" i="8"/>
  <c r="Z427" i="8"/>
  <c r="Z419" i="8"/>
  <c r="Z411" i="8"/>
  <c r="Z403" i="8"/>
  <c r="Z395" i="8"/>
  <c r="Z387" i="8"/>
  <c r="Z379" i="8"/>
  <c r="Z371" i="8"/>
  <c r="Z363" i="8"/>
  <c r="Z355" i="8"/>
  <c r="Z347" i="8"/>
  <c r="Z339" i="8"/>
  <c r="Z331" i="8"/>
  <c r="Z323" i="8"/>
  <c r="Z315" i="8"/>
  <c r="Z307" i="8"/>
  <c r="Z299" i="8"/>
  <c r="Z291" i="8"/>
  <c r="Z283" i="8"/>
  <c r="Z275" i="8"/>
  <c r="Z259" i="8"/>
  <c r="Z251" i="8"/>
  <c r="Z243" i="8"/>
  <c r="Z235" i="8"/>
  <c r="Z227" i="8"/>
  <c r="Z219" i="8"/>
  <c r="Z211" i="8"/>
  <c r="Z203" i="8"/>
  <c r="Z195" i="8"/>
  <c r="Z187" i="8"/>
  <c r="Z179" i="8"/>
  <c r="Z171" i="8"/>
  <c r="Z163" i="8"/>
  <c r="Z155" i="8"/>
  <c r="Z147" i="8"/>
  <c r="Z139" i="8"/>
  <c r="Z131" i="8"/>
  <c r="Z123" i="8"/>
  <c r="Z115" i="8"/>
  <c r="Z107" i="8"/>
  <c r="Z99" i="8"/>
  <c r="Z92" i="8"/>
  <c r="Z84" i="8"/>
  <c r="Z76" i="8"/>
  <c r="Z68" i="8"/>
  <c r="Z60" i="8"/>
  <c r="Z52" i="8"/>
  <c r="Z44" i="8"/>
  <c r="Z36" i="8"/>
  <c r="Z28" i="8"/>
  <c r="Z20" i="8"/>
  <c r="Z482" i="8"/>
  <c r="Z456" i="8"/>
  <c r="Z384" i="8"/>
  <c r="Z338" i="8"/>
  <c r="Z256" i="8"/>
  <c r="Z210" i="8"/>
  <c r="Z128" i="8"/>
  <c r="Z514" i="8"/>
  <c r="Z506" i="8"/>
  <c r="Z498" i="8"/>
  <c r="Z466" i="8"/>
  <c r="Z458" i="8"/>
  <c r="Z450" i="8"/>
  <c r="Z426" i="8"/>
  <c r="Z410" i="8"/>
  <c r="Z394" i="8"/>
  <c r="Z378" i="8"/>
  <c r="Z362" i="8"/>
  <c r="Z346" i="8"/>
  <c r="Z330" i="8"/>
  <c r="Z314" i="8"/>
  <c r="Z298" i="8"/>
  <c r="Z282" i="8"/>
  <c r="Z266" i="8"/>
  <c r="Z250" i="8"/>
  <c r="Z234" i="8"/>
  <c r="Z218" i="8"/>
  <c r="Z202" i="8"/>
  <c r="Z186" i="8"/>
  <c r="Z170" i="8"/>
  <c r="Z154" i="8"/>
  <c r="Z138" i="8"/>
  <c r="Z122" i="8"/>
  <c r="Z114" i="8"/>
  <c r="Z106" i="8"/>
  <c r="Z98" i="8"/>
  <c r="Z91" i="8"/>
  <c r="Z83" i="8"/>
  <c r="Z75" i="8"/>
  <c r="Z67" i="8"/>
  <c r="Z59" i="8"/>
  <c r="Z51" i="8"/>
  <c r="Z43" i="8"/>
  <c r="Z35" i="8"/>
  <c r="Z27" i="8"/>
  <c r="Z19" i="8"/>
  <c r="Z481" i="8"/>
  <c r="Z418" i="8"/>
  <c r="Z336" i="8"/>
  <c r="Z290" i="8"/>
  <c r="Z208" i="8"/>
  <c r="Z162" i="8"/>
  <c r="Z577" i="8"/>
  <c r="Z569" i="8"/>
  <c r="Z561" i="8"/>
  <c r="Z553" i="8"/>
  <c r="Z545" i="8"/>
  <c r="Z537" i="8"/>
  <c r="Z529" i="8"/>
  <c r="Z521" i="8"/>
  <c r="Z513" i="8"/>
  <c r="Z505" i="8"/>
  <c r="Z497" i="8"/>
  <c r="Z489" i="8"/>
  <c r="Z457" i="8"/>
  <c r="Z449" i="8"/>
  <c r="Z441" i="8"/>
  <c r="Z433" i="8"/>
  <c r="Z425" i="8"/>
  <c r="Z417" i="8"/>
  <c r="Z409" i="8"/>
  <c r="Z401" i="8"/>
  <c r="Z393" i="8"/>
  <c r="Z385" i="8"/>
  <c r="Z377" i="8"/>
  <c r="Z369" i="8"/>
  <c r="Z361" i="8"/>
  <c r="Z353" i="8"/>
  <c r="Z345" i="8"/>
  <c r="Z337" i="8"/>
  <c r="Z329" i="8"/>
  <c r="Z321" i="8"/>
  <c r="Z313" i="8"/>
  <c r="Z305" i="8"/>
  <c r="Z297" i="8"/>
  <c r="Z289" i="8"/>
  <c r="Z281" i="8"/>
  <c r="Z273" i="8"/>
  <c r="Z265" i="8"/>
  <c r="Z257" i="8"/>
  <c r="Z249" i="8"/>
  <c r="Z241" i="8"/>
  <c r="Z233" i="8"/>
  <c r="Z225" i="8"/>
  <c r="Z217" i="8"/>
  <c r="Z209" i="8"/>
  <c r="Z201" i="8"/>
  <c r="Z193" i="8"/>
  <c r="Z185" i="8"/>
  <c r="Z177" i="8"/>
  <c r="Z169" i="8"/>
  <c r="Z161" i="8"/>
  <c r="Z153" i="8"/>
  <c r="Z145" i="8"/>
  <c r="Z137" i="8"/>
  <c r="Z129" i="8"/>
  <c r="Z121" i="8"/>
  <c r="Z113" i="8"/>
  <c r="Z105" i="8"/>
  <c r="Z97" i="8"/>
  <c r="Z90" i="8"/>
  <c r="Z82" i="8"/>
  <c r="Z74" i="8"/>
  <c r="Z66" i="8"/>
  <c r="Z58" i="8"/>
  <c r="Z50" i="8"/>
  <c r="Z42" i="8"/>
  <c r="Z34" i="8"/>
  <c r="Z26" i="8"/>
  <c r="Z18" i="8"/>
  <c r="Z474" i="8"/>
  <c r="Z416" i="8"/>
  <c r="Z370" i="8"/>
  <c r="Z288" i="8"/>
  <c r="Z242" i="8"/>
  <c r="Z160" i="8"/>
  <c r="Z108" i="8"/>
  <c r="Z53" i="8"/>
  <c r="Z448" i="8"/>
  <c r="Z440" i="8"/>
  <c r="Z424" i="8"/>
  <c r="Z408" i="8"/>
  <c r="Z392" i="8"/>
  <c r="Z376" i="8"/>
  <c r="Z360" i="8"/>
  <c r="Z344" i="8"/>
  <c r="Z328" i="8"/>
  <c r="Z312" i="8"/>
  <c r="Z296" i="8"/>
  <c r="Z280" i="8"/>
  <c r="Z264" i="8"/>
  <c r="Z248" i="8"/>
  <c r="Z232" i="8"/>
  <c r="Z216" i="8"/>
  <c r="Z200" i="8"/>
  <c r="Z184" i="8"/>
  <c r="Z168" i="8"/>
  <c r="Z152" i="8"/>
  <c r="Z136" i="8"/>
  <c r="Z120" i="8"/>
  <c r="Z112" i="8"/>
  <c r="Z104" i="8"/>
  <c r="Z89" i="8"/>
  <c r="Z73" i="8"/>
  <c r="Z65" i="8"/>
  <c r="Z57" i="8"/>
  <c r="Z49" i="8"/>
  <c r="Z41" i="8"/>
  <c r="Z33" i="8"/>
  <c r="Z17" i="8"/>
  <c r="Z473" i="8"/>
  <c r="Z368" i="8"/>
  <c r="Z322" i="8"/>
  <c r="Z240" i="8"/>
  <c r="Z194" i="8"/>
  <c r="Z402" i="8"/>
  <c r="Z320" i="8"/>
  <c r="Z274" i="8"/>
  <c r="Z192" i="8"/>
  <c r="Z146" i="8"/>
  <c r="Z29" i="8"/>
  <c r="O6" i="22"/>
  <c r="C7" i="22"/>
  <c r="C32" i="22"/>
  <c r="C29" i="22"/>
  <c r="C28" i="22"/>
  <c r="C27" i="22"/>
  <c r="C24" i="22"/>
  <c r="V23" i="8"/>
  <c r="AX23" i="8"/>
  <c r="BB23" i="8" s="1"/>
  <c r="W23" i="8"/>
  <c r="AX24" i="8"/>
  <c r="BB24" i="8" s="1"/>
  <c r="W24" i="8"/>
  <c r="AE24" i="8"/>
  <c r="R24" i="8" s="1"/>
  <c r="AW26" i="8"/>
  <c r="BA26" i="8" s="1"/>
  <c r="W26" i="8"/>
  <c r="AE26" i="8"/>
  <c r="R26" i="8" s="1"/>
  <c r="V30" i="8"/>
  <c r="AY30" i="8"/>
  <c r="BC30" i="8" s="1"/>
  <c r="W30" i="8"/>
  <c r="AX36" i="8"/>
  <c r="BB36" i="8" s="1"/>
  <c r="W36" i="8"/>
  <c r="X36" i="8"/>
  <c r="V41" i="8"/>
  <c r="AV41" i="8"/>
  <c r="W41" i="8"/>
  <c r="AE41" i="8"/>
  <c r="R41" i="8" s="1"/>
  <c r="V43" i="8"/>
  <c r="AW43" i="8"/>
  <c r="BA43" i="8" s="1"/>
  <c r="W43" i="8"/>
  <c r="AW44" i="8"/>
  <c r="BA44" i="8" s="1"/>
  <c r="W44" i="8"/>
  <c r="V49" i="8"/>
  <c r="AV49" i="8"/>
  <c r="W49" i="8"/>
  <c r="AX50" i="8"/>
  <c r="BB50" i="8" s="1"/>
  <c r="W50" i="8"/>
  <c r="AW51" i="8"/>
  <c r="BA51" i="8" s="1"/>
  <c r="W51" i="8"/>
  <c r="AV60" i="8"/>
  <c r="W60" i="8"/>
  <c r="AE60" i="8"/>
  <c r="R60" i="8" s="1"/>
  <c r="AW61" i="8"/>
  <c r="BA61" i="8" s="1"/>
  <c r="W61" i="8"/>
  <c r="V64" i="8"/>
  <c r="AX64" i="8"/>
  <c r="BB64" i="8" s="1"/>
  <c r="W64" i="8"/>
  <c r="AE64" i="8"/>
  <c r="R64" i="8" s="1"/>
  <c r="V65" i="8"/>
  <c r="AT65" i="8"/>
  <c r="W65" i="8"/>
  <c r="AE65" i="8"/>
  <c r="R65" i="8" s="1"/>
  <c r="AU66" i="8"/>
  <c r="W66" i="8"/>
  <c r="AE66" i="8"/>
  <c r="R66" i="8" s="1"/>
  <c r="AV70" i="8"/>
  <c r="W70" i="8"/>
  <c r="AE70" i="8"/>
  <c r="R70" i="8" s="1"/>
  <c r="AU103" i="8"/>
  <c r="W103" i="8"/>
  <c r="AE103" i="8"/>
  <c r="R103" i="8" s="1"/>
  <c r="AX108" i="8"/>
  <c r="BB108" i="8" s="1"/>
  <c r="W108" i="8"/>
  <c r="AE108" i="8"/>
  <c r="R108" i="8" s="1"/>
  <c r="AV111" i="8"/>
  <c r="W111" i="8"/>
  <c r="AE111" i="8"/>
  <c r="R111" i="8" s="1"/>
  <c r="AK112" i="8"/>
  <c r="AW112" i="8"/>
  <c r="BA112" i="8" s="1"/>
  <c r="W112" i="8"/>
  <c r="V113" i="8"/>
  <c r="AV113" i="8"/>
  <c r="W113" i="8"/>
  <c r="AV115" i="8"/>
  <c r="W115" i="8"/>
  <c r="AE115" i="8"/>
  <c r="R115" i="8" s="1"/>
  <c r="V117" i="8"/>
  <c r="AW117" i="8"/>
  <c r="BA117" i="8" s="1"/>
  <c r="W117" i="8"/>
  <c r="AS118" i="8"/>
  <c r="W118" i="8"/>
  <c r="AE118" i="8"/>
  <c r="R118" i="8" s="1"/>
  <c r="AW127" i="8"/>
  <c r="BA127" i="8" s="1"/>
  <c r="W127" i="8"/>
  <c r="AE127" i="8"/>
  <c r="R127" i="8" s="1"/>
  <c r="AS138" i="8"/>
  <c r="W138" i="8"/>
  <c r="AE138" i="8"/>
  <c r="R138" i="8" s="1"/>
  <c r="AV139" i="8"/>
  <c r="W139" i="8"/>
  <c r="AE139" i="8"/>
  <c r="R139" i="8" s="1"/>
  <c r="AI143" i="8"/>
  <c r="AS143" i="8"/>
  <c r="W143" i="8"/>
  <c r="V152" i="8"/>
  <c r="AY152" i="8"/>
  <c r="BC152" i="8" s="1"/>
  <c r="W152" i="8"/>
  <c r="AV153" i="8"/>
  <c r="W153" i="8"/>
  <c r="AE153" i="8"/>
  <c r="R153" i="8" s="1"/>
  <c r="W156" i="8"/>
  <c r="V164" i="8"/>
  <c r="AX164" i="8"/>
  <c r="BB164" i="8" s="1"/>
  <c r="W164" i="8"/>
  <c r="V176" i="8"/>
  <c r="AX176" i="8"/>
  <c r="BB176" i="8" s="1"/>
  <c r="W176" i="8"/>
  <c r="V177" i="8"/>
  <c r="AV177" i="8"/>
  <c r="W177" i="8"/>
  <c r="X177" i="8"/>
  <c r="AE177" i="8"/>
  <c r="R177" i="8" s="1"/>
  <c r="AV178" i="8"/>
  <c r="W178" i="8"/>
  <c r="AE178" i="8"/>
  <c r="R178" i="8" s="1"/>
  <c r="AU198" i="8"/>
  <c r="W198" i="8"/>
  <c r="AE198" i="8"/>
  <c r="R198" i="8" s="1"/>
  <c r="AY227" i="8"/>
  <c r="BC227" i="8" s="1"/>
  <c r="W227" i="8"/>
  <c r="V228" i="8"/>
  <c r="AX228" i="8"/>
  <c r="BB228" i="8" s="1"/>
  <c r="W228" i="8"/>
  <c r="AE228" i="8"/>
  <c r="R228" i="8" s="1"/>
  <c r="AW246" i="8"/>
  <c r="BA246" i="8" s="1"/>
  <c r="W246" i="8"/>
  <c r="V248" i="8"/>
  <c r="AW248" i="8"/>
  <c r="BA248" i="8" s="1"/>
  <c r="W248" i="8"/>
  <c r="AE248" i="8"/>
  <c r="R248" i="8" s="1"/>
  <c r="V249" i="8"/>
  <c r="AZ249" i="8"/>
  <c r="BD249" i="8" s="1"/>
  <c r="W249" i="8"/>
  <c r="AE249" i="8"/>
  <c r="R249" i="8" s="1"/>
  <c r="AX250" i="8"/>
  <c r="BB250" i="8" s="1"/>
  <c r="W250" i="8"/>
  <c r="AE250" i="8"/>
  <c r="R250" i="8" s="1"/>
  <c r="V251" i="8"/>
  <c r="AW251" i="8"/>
  <c r="BA251" i="8" s="1"/>
  <c r="W251" i="8"/>
  <c r="AU252" i="8"/>
  <c r="W252" i="8"/>
  <c r="AE252" i="8"/>
  <c r="R252" i="8" s="1"/>
  <c r="AT253" i="8"/>
  <c r="W253" i="8"/>
  <c r="AE253" i="8"/>
  <c r="R253" i="8" s="1"/>
  <c r="V270" i="8"/>
  <c r="AS270" i="8"/>
  <c r="W270" i="8"/>
  <c r="V296" i="8"/>
  <c r="AV296" i="8"/>
  <c r="W296" i="8"/>
  <c r="AE296" i="8"/>
  <c r="R296" i="8" s="1"/>
  <c r="AY304" i="8"/>
  <c r="BC304" i="8" s="1"/>
  <c r="W304" i="8"/>
  <c r="AE304" i="8"/>
  <c r="R304" i="8" s="1"/>
  <c r="V305" i="8"/>
  <c r="AX305" i="8"/>
  <c r="BB305" i="8" s="1"/>
  <c r="W305" i="8"/>
  <c r="V319" i="8"/>
  <c r="AS319" i="8"/>
  <c r="W319" i="8"/>
  <c r="AE319" i="8"/>
  <c r="R319" i="8" s="1"/>
  <c r="AV320" i="8"/>
  <c r="W320" i="8"/>
  <c r="X320" i="8"/>
  <c r="AE320" i="8"/>
  <c r="R320" i="8" s="1"/>
  <c r="AU331" i="8"/>
  <c r="W331" i="8"/>
  <c r="AE331" i="8"/>
  <c r="R331" i="8" s="1"/>
  <c r="AT343" i="8"/>
  <c r="W343" i="8"/>
  <c r="AE343" i="8"/>
  <c r="R343" i="8" s="1"/>
  <c r="V346" i="8"/>
  <c r="AZ346" i="8"/>
  <c r="BD346" i="8" s="1"/>
  <c r="W346" i="8"/>
  <c r="AZ363" i="8"/>
  <c r="BD363" i="8" s="1"/>
  <c r="W363" i="8"/>
  <c r="X363" i="8"/>
  <c r="V364" i="8"/>
  <c r="AW364" i="8"/>
  <c r="BA364" i="8" s="1"/>
  <c r="W364" i="8"/>
  <c r="AX365" i="8"/>
  <c r="BB365" i="8" s="1"/>
  <c r="W365" i="8"/>
  <c r="V372" i="8"/>
  <c r="AV372" i="8"/>
  <c r="W372" i="8"/>
  <c r="AX383" i="8"/>
  <c r="BB383" i="8" s="1"/>
  <c r="W383" i="8"/>
  <c r="V384" i="8"/>
  <c r="AY384" i="8"/>
  <c r="BC384" i="8" s="1"/>
  <c r="W384" i="8"/>
  <c r="V397" i="8"/>
  <c r="AW397" i="8"/>
  <c r="BA397" i="8" s="1"/>
  <c r="W397" i="8"/>
  <c r="AE397" i="8"/>
  <c r="R397" i="8" s="1"/>
  <c r="AW402" i="8"/>
  <c r="BA402" i="8" s="1"/>
  <c r="W402" i="8"/>
  <c r="AE402" i="8"/>
  <c r="R402" i="8" s="1"/>
  <c r="V408" i="8"/>
  <c r="AZ408" i="8"/>
  <c r="BD408" i="8" s="1"/>
  <c r="W408" i="8"/>
  <c r="AT421" i="8"/>
  <c r="W421" i="8"/>
  <c r="AE421" i="8"/>
  <c r="R421" i="8" s="1"/>
  <c r="AV444" i="8"/>
  <c r="W444" i="8"/>
  <c r="V446" i="8"/>
  <c r="AW446" i="8"/>
  <c r="BA446" i="8" s="1"/>
  <c r="W446" i="8"/>
  <c r="AZ450" i="8"/>
  <c r="BD450" i="8" s="1"/>
  <c r="W450" i="8"/>
  <c r="V452" i="8"/>
  <c r="AY452" i="8"/>
  <c r="BC452" i="8" s="1"/>
  <c r="W452" i="8"/>
  <c r="X452" i="8"/>
  <c r="AE452" i="8"/>
  <c r="R452" i="8" s="1"/>
  <c r="AY487" i="8"/>
  <c r="BC487" i="8" s="1"/>
  <c r="AX497" i="8"/>
  <c r="BB497" i="8" s="1"/>
  <c r="W497" i="8"/>
  <c r="X497" i="8"/>
  <c r="AE497" i="8"/>
  <c r="R497" i="8" s="1"/>
  <c r="D6" i="22"/>
  <c r="D7" i="22" s="1"/>
  <c r="X574" i="8"/>
  <c r="X573" i="8"/>
  <c r="X567" i="8"/>
  <c r="X566" i="8"/>
  <c r="X563" i="8"/>
  <c r="X561" i="8"/>
  <c r="X560" i="8"/>
  <c r="X555" i="8"/>
  <c r="X554" i="8"/>
  <c r="X549" i="8"/>
  <c r="X540" i="8"/>
  <c r="X537" i="8"/>
  <c r="X536" i="8"/>
  <c r="X532" i="8"/>
  <c r="X531" i="8"/>
  <c r="X530" i="8"/>
  <c r="X525" i="8"/>
  <c r="X524" i="8"/>
  <c r="X523" i="8"/>
  <c r="X522" i="8"/>
  <c r="X519" i="8"/>
  <c r="X518" i="8"/>
  <c r="X516" i="8"/>
  <c r="X514" i="8"/>
  <c r="X513" i="8"/>
  <c r="X512" i="8"/>
  <c r="X509" i="8"/>
  <c r="X508" i="8"/>
  <c r="X507" i="8"/>
  <c r="X501" i="8"/>
  <c r="X499" i="8"/>
  <c r="X496" i="8"/>
  <c r="X495" i="8"/>
  <c r="X494" i="8"/>
  <c r="X492" i="8"/>
  <c r="X489" i="8"/>
  <c r="X488" i="8"/>
  <c r="X485" i="8"/>
  <c r="X484" i="8"/>
  <c r="X482" i="8"/>
  <c r="X479" i="8"/>
  <c r="X476" i="8"/>
  <c r="X473" i="8"/>
  <c r="X470" i="8"/>
  <c r="X469" i="8"/>
  <c r="X467" i="8"/>
  <c r="X466" i="8"/>
  <c r="X465" i="8"/>
  <c r="X460" i="8"/>
  <c r="X455" i="8"/>
  <c r="X451" i="8"/>
  <c r="X449" i="8"/>
  <c r="X448" i="8"/>
  <c r="X445" i="8"/>
  <c r="X443" i="8"/>
  <c r="X441" i="8"/>
  <c r="X437" i="8"/>
  <c r="X436" i="8"/>
  <c r="X432" i="8"/>
  <c r="X430" i="8"/>
  <c r="X429" i="8"/>
  <c r="X428" i="8"/>
  <c r="X427" i="8"/>
  <c r="X425" i="8"/>
  <c r="X424" i="8"/>
  <c r="X420" i="8"/>
  <c r="X417" i="8"/>
  <c r="X415" i="8"/>
  <c r="X414" i="8"/>
  <c r="X412" i="8"/>
  <c r="X404" i="8"/>
  <c r="X403" i="8"/>
  <c r="X400" i="8"/>
  <c r="X395" i="8"/>
  <c r="X390" i="8"/>
  <c r="X388" i="8"/>
  <c r="X378" i="8"/>
  <c r="X376" i="8"/>
  <c r="X375" i="8"/>
  <c r="X374" i="8"/>
  <c r="X371" i="8"/>
  <c r="X370" i="8"/>
  <c r="X369" i="8"/>
  <c r="X368" i="8"/>
  <c r="X362" i="8"/>
  <c r="X361" i="8"/>
  <c r="X360" i="8"/>
  <c r="X359" i="8"/>
  <c r="X357" i="8"/>
  <c r="X356" i="8"/>
  <c r="X355" i="8"/>
  <c r="X354" i="8"/>
  <c r="X353" i="8"/>
  <c r="X352" i="8"/>
  <c r="X351" i="8"/>
  <c r="X348" i="8"/>
  <c r="X344" i="8"/>
  <c r="X339" i="8"/>
  <c r="X337" i="8"/>
  <c r="X336" i="8"/>
  <c r="X335" i="8"/>
  <c r="X330" i="8"/>
  <c r="X328" i="8"/>
  <c r="X327" i="8"/>
  <c r="X317" i="8"/>
  <c r="X312" i="8"/>
  <c r="X307" i="8"/>
  <c r="X306" i="8"/>
  <c r="X303" i="8"/>
  <c r="X301" i="8"/>
  <c r="X300" i="8"/>
  <c r="X298" i="8"/>
  <c r="X294" i="8"/>
  <c r="X292" i="8"/>
  <c r="X287" i="8"/>
  <c r="X284" i="8"/>
  <c r="X283" i="8"/>
  <c r="X280" i="8"/>
  <c r="X277" i="8"/>
  <c r="X276" i="8"/>
  <c r="X274" i="8"/>
  <c r="X273" i="8"/>
  <c r="X272" i="8"/>
  <c r="X268" i="8"/>
  <c r="X266" i="8"/>
  <c r="X261" i="8"/>
  <c r="X260" i="8"/>
  <c r="X258" i="8"/>
  <c r="X245" i="8"/>
  <c r="X239" i="8"/>
  <c r="X236" i="8"/>
  <c r="X232" i="8"/>
  <c r="X231" i="8"/>
  <c r="X229" i="8"/>
  <c r="X224" i="8"/>
  <c r="X223" i="8"/>
  <c r="X216" i="8"/>
  <c r="X215" i="8"/>
  <c r="X214" i="8"/>
  <c r="X213" i="8"/>
  <c r="X212" i="8"/>
  <c r="X210" i="8"/>
  <c r="X208" i="8"/>
  <c r="X207" i="8"/>
  <c r="X206" i="8"/>
  <c r="X204" i="8"/>
  <c r="X200" i="8"/>
  <c r="X199" i="8"/>
  <c r="X196" i="8"/>
  <c r="X194" i="8"/>
  <c r="X188" i="8"/>
  <c r="X185" i="8"/>
  <c r="X175" i="8"/>
  <c r="X172" i="8"/>
  <c r="X171" i="8"/>
  <c r="X170" i="8"/>
  <c r="X168" i="8"/>
  <c r="X158" i="8"/>
  <c r="X154" i="8"/>
  <c r="X151" i="8"/>
  <c r="X147" i="8"/>
  <c r="X142" i="8"/>
  <c r="X140" i="8"/>
  <c r="X134" i="8"/>
  <c r="X131" i="8"/>
  <c r="X124" i="8"/>
  <c r="X123" i="8"/>
  <c r="X120" i="8"/>
  <c r="X107" i="8"/>
  <c r="X102" i="8"/>
  <c r="X98" i="8"/>
  <c r="X96" i="8"/>
  <c r="X84" i="8"/>
  <c r="X83" i="8"/>
  <c r="X82" i="8"/>
  <c r="X81" i="8"/>
  <c r="X80" i="8"/>
  <c r="X79" i="8"/>
  <c r="X78" i="8"/>
  <c r="X77" i="8"/>
  <c r="X76" i="8"/>
  <c r="X57" i="8"/>
  <c r="X56" i="8"/>
  <c r="X54" i="8"/>
  <c r="X47" i="8"/>
  <c r="X46" i="8"/>
  <c r="X42" i="8"/>
  <c r="X35" i="8"/>
  <c r="X33" i="8"/>
  <c r="X20" i="8"/>
  <c r="X18" i="8"/>
  <c r="X17" i="8"/>
  <c r="X15" i="8"/>
  <c r="W577" i="8"/>
  <c r="W576" i="8"/>
  <c r="W575" i="8"/>
  <c r="W574" i="8"/>
  <c r="W573" i="8"/>
  <c r="W572" i="8"/>
  <c r="W571" i="8"/>
  <c r="W570" i="8"/>
  <c r="W569" i="8"/>
  <c r="W568" i="8"/>
  <c r="W567" i="8"/>
  <c r="W566" i="8"/>
  <c r="W565" i="8"/>
  <c r="W564" i="8"/>
  <c r="W563" i="8"/>
  <c r="W562" i="8"/>
  <c r="W561" i="8"/>
  <c r="W560" i="8"/>
  <c r="W559" i="8"/>
  <c r="W558" i="8"/>
  <c r="W557" i="8"/>
  <c r="W556" i="8"/>
  <c r="W555" i="8"/>
  <c r="W554" i="8"/>
  <c r="W553" i="8"/>
  <c r="W552" i="8"/>
  <c r="W551" i="8"/>
  <c r="W550" i="8"/>
  <c r="W549" i="8"/>
  <c r="W548" i="8"/>
  <c r="W547" i="8"/>
  <c r="W546" i="8"/>
  <c r="W545" i="8"/>
  <c r="W543" i="8"/>
  <c r="W542" i="8"/>
  <c r="W541" i="8"/>
  <c r="W540" i="8"/>
  <c r="W539" i="8"/>
  <c r="W538" i="8"/>
  <c r="W537" i="8"/>
  <c r="W536" i="8"/>
  <c r="W535" i="8"/>
  <c r="W534" i="8"/>
  <c r="W533" i="8"/>
  <c r="W532" i="8"/>
  <c r="W531" i="8"/>
  <c r="W530" i="8"/>
  <c r="W529" i="8"/>
  <c r="W528" i="8"/>
  <c r="W527" i="8"/>
  <c r="W526" i="8"/>
  <c r="W525" i="8"/>
  <c r="W524" i="8"/>
  <c r="W523" i="8"/>
  <c r="W522" i="8"/>
  <c r="W521" i="8"/>
  <c r="W520" i="8"/>
  <c r="W519" i="8"/>
  <c r="W518" i="8"/>
  <c r="W517" i="8"/>
  <c r="W516" i="8"/>
  <c r="W515" i="8"/>
  <c r="W514" i="8"/>
  <c r="W513" i="8"/>
  <c r="W512" i="8"/>
  <c r="W511" i="8"/>
  <c r="W510" i="8"/>
  <c r="W509" i="8"/>
  <c r="W508" i="8"/>
  <c r="W507" i="8"/>
  <c r="W505" i="8"/>
  <c r="W504" i="8"/>
  <c r="W503" i="8"/>
  <c r="W502" i="8"/>
  <c r="W501" i="8"/>
  <c r="W500" i="8"/>
  <c r="W499" i="8"/>
  <c r="W498" i="8"/>
  <c r="W496" i="8"/>
  <c r="W495" i="8"/>
  <c r="W494" i="8"/>
  <c r="W493" i="8"/>
  <c r="W492" i="8"/>
  <c r="W491" i="8"/>
  <c r="W490" i="8"/>
  <c r="W489" i="8"/>
  <c r="W488" i="8"/>
  <c r="W486" i="8"/>
  <c r="W485" i="8"/>
  <c r="W484" i="8"/>
  <c r="W483" i="8"/>
  <c r="W482" i="8"/>
  <c r="W481" i="8"/>
  <c r="W480" i="8"/>
  <c r="W479" i="8"/>
  <c r="W478" i="8"/>
  <c r="W477" i="8"/>
  <c r="W476" i="8"/>
  <c r="W475" i="8"/>
  <c r="W474" i="8"/>
  <c r="W473" i="8"/>
  <c r="W472" i="8"/>
  <c r="W471" i="8"/>
  <c r="W470" i="8"/>
  <c r="W469" i="8"/>
  <c r="W468" i="8"/>
  <c r="W467" i="8"/>
  <c r="W466" i="8"/>
  <c r="W465" i="8"/>
  <c r="W464" i="8"/>
  <c r="W463" i="8"/>
  <c r="W462" i="8"/>
  <c r="W461" i="8"/>
  <c r="W460" i="8"/>
  <c r="W459" i="8"/>
  <c r="W458" i="8"/>
  <c r="W457" i="8"/>
  <c r="W455" i="8"/>
  <c r="W454" i="8"/>
  <c r="W453" i="8"/>
  <c r="W451" i="8"/>
  <c r="W449" i="8"/>
  <c r="W448" i="8"/>
  <c r="W447" i="8"/>
  <c r="W445" i="8"/>
  <c r="W443" i="8"/>
  <c r="W442" i="8"/>
  <c r="W441" i="8"/>
  <c r="W440" i="8"/>
  <c r="W439" i="8"/>
  <c r="W438" i="8"/>
  <c r="W437" i="8"/>
  <c r="W436" i="8"/>
  <c r="W435" i="8"/>
  <c r="W434" i="8"/>
  <c r="W433" i="8"/>
  <c r="W432" i="8"/>
  <c r="W431" i="8"/>
  <c r="W430" i="8"/>
  <c r="W429" i="8"/>
  <c r="W428" i="8"/>
  <c r="W427" i="8"/>
  <c r="W426" i="8"/>
  <c r="W425" i="8"/>
  <c r="W424" i="8"/>
  <c r="W423" i="8"/>
  <c r="W422" i="8"/>
  <c r="W420" i="8"/>
  <c r="W419" i="8"/>
  <c r="W418" i="8"/>
  <c r="W417" i="8"/>
  <c r="W416" i="8"/>
  <c r="W415" i="8"/>
  <c r="W414" i="8"/>
  <c r="W413" i="8"/>
  <c r="W412" i="8"/>
  <c r="W411" i="8"/>
  <c r="W410" i="8"/>
  <c r="W409" i="8"/>
  <c r="W407" i="8"/>
  <c r="W406" i="8"/>
  <c r="W405" i="8"/>
  <c r="W404" i="8"/>
  <c r="W403" i="8"/>
  <c r="W401" i="8"/>
  <c r="W400" i="8"/>
  <c r="W399" i="8"/>
  <c r="W398" i="8"/>
  <c r="W396" i="8"/>
  <c r="W395" i="8"/>
  <c r="W394" i="8"/>
  <c r="W393" i="8"/>
  <c r="W392" i="8"/>
  <c r="W391" i="8"/>
  <c r="W390" i="8"/>
  <c r="W389" i="8"/>
  <c r="W388" i="8"/>
  <c r="W387" i="8"/>
  <c r="W386" i="8"/>
  <c r="W385" i="8"/>
  <c r="W382" i="8"/>
  <c r="W381" i="8"/>
  <c r="W380" i="8"/>
  <c r="W379" i="8"/>
  <c r="W378" i="8"/>
  <c r="W377" i="8"/>
  <c r="W376" i="8"/>
  <c r="W375" i="8"/>
  <c r="W374" i="8"/>
  <c r="W373" i="8"/>
  <c r="W371" i="8"/>
  <c r="W370" i="8"/>
  <c r="W369" i="8"/>
  <c r="W368" i="8"/>
  <c r="W367" i="8"/>
  <c r="W366" i="8"/>
  <c r="W362" i="8"/>
  <c r="W361" i="8"/>
  <c r="W360" i="8"/>
  <c r="W359" i="8"/>
  <c r="W358" i="8"/>
  <c r="W357" i="8"/>
  <c r="W356" i="8"/>
  <c r="W355" i="8"/>
  <c r="W354" i="8"/>
  <c r="W353" i="8"/>
  <c r="W352" i="8"/>
  <c r="W351" i="8"/>
  <c r="W350" i="8"/>
  <c r="W349" i="8"/>
  <c r="W348" i="8"/>
  <c r="W347" i="8"/>
  <c r="W345" i="8"/>
  <c r="W344" i="8"/>
  <c r="W342" i="8"/>
  <c r="W341" i="8"/>
  <c r="W340" i="8"/>
  <c r="W339" i="8"/>
  <c r="W338" i="8"/>
  <c r="W337" i="8"/>
  <c r="W336" i="8"/>
  <c r="W335" i="8"/>
  <c r="W334" i="8"/>
  <c r="W333" i="8"/>
  <c r="W332" i="8"/>
  <c r="W330" i="8"/>
  <c r="W329" i="8"/>
  <c r="W328" i="8"/>
  <c r="W327" i="8"/>
  <c r="W326" i="8"/>
  <c r="W325" i="8"/>
  <c r="W324" i="8"/>
  <c r="W323" i="8"/>
  <c r="W322" i="8"/>
  <c r="W321" i="8"/>
  <c r="W318" i="8"/>
  <c r="W317" i="8"/>
  <c r="W316" i="8"/>
  <c r="W315" i="8"/>
  <c r="W314" i="8"/>
  <c r="W313" i="8"/>
  <c r="W312" i="8"/>
  <c r="W311" i="8"/>
  <c r="W310" i="8"/>
  <c r="W309" i="8"/>
  <c r="W308" i="8"/>
  <c r="W307" i="8"/>
  <c r="W306" i="8"/>
  <c r="W303" i="8"/>
  <c r="W302" i="8"/>
  <c r="W301" i="8"/>
  <c r="W300" i="8"/>
  <c r="W299" i="8"/>
  <c r="W298" i="8"/>
  <c r="W297" i="8"/>
  <c r="W295" i="8"/>
  <c r="W294" i="8"/>
  <c r="W293" i="8"/>
  <c r="W292" i="8"/>
  <c r="W291" i="8"/>
  <c r="W290" i="8"/>
  <c r="W289" i="8"/>
  <c r="W288" i="8"/>
  <c r="W287" i="8"/>
  <c r="W286" i="8"/>
  <c r="W285" i="8"/>
  <c r="W284" i="8"/>
  <c r="W283" i="8"/>
  <c r="W282" i="8"/>
  <c r="W281" i="8"/>
  <c r="W280" i="8"/>
  <c r="W279" i="8"/>
  <c r="W278" i="8"/>
  <c r="W277" i="8"/>
  <c r="W276" i="8"/>
  <c r="W275" i="8"/>
  <c r="W274" i="8"/>
  <c r="W273" i="8"/>
  <c r="W272" i="8"/>
  <c r="W271" i="8"/>
  <c r="W269" i="8"/>
  <c r="W268" i="8"/>
  <c r="W267" i="8"/>
  <c r="W266" i="8"/>
  <c r="W265" i="8"/>
  <c r="W264" i="8"/>
  <c r="W263" i="8"/>
  <c r="W262" i="8"/>
  <c r="W261" i="8"/>
  <c r="W260" i="8"/>
  <c r="W259" i="8"/>
  <c r="W258" i="8"/>
  <c r="W257" i="8"/>
  <c r="W256" i="8"/>
  <c r="W255" i="8"/>
  <c r="W254" i="8"/>
  <c r="W247" i="8"/>
  <c r="W245" i="8"/>
  <c r="W244" i="8"/>
  <c r="W243" i="8"/>
  <c r="W242" i="8"/>
  <c r="W241" i="8"/>
  <c r="W240" i="8"/>
  <c r="W239" i="8"/>
  <c r="W238" i="8"/>
  <c r="W237" i="8"/>
  <c r="W236" i="8"/>
  <c r="W235" i="8"/>
  <c r="W234" i="8"/>
  <c r="W233" i="8"/>
  <c r="W232" i="8"/>
  <c r="W231" i="8"/>
  <c r="W230" i="8"/>
  <c r="W229" i="8"/>
  <c r="W226" i="8"/>
  <c r="W225" i="8"/>
  <c r="W224" i="8"/>
  <c r="W223" i="8"/>
  <c r="W222" i="8"/>
  <c r="W221" i="8"/>
  <c r="W220" i="8"/>
  <c r="W219" i="8"/>
  <c r="W218" i="8"/>
  <c r="W217" i="8"/>
  <c r="W216" i="8"/>
  <c r="W215" i="8"/>
  <c r="W214" i="8"/>
  <c r="W213" i="8"/>
  <c r="W212" i="8"/>
  <c r="W211" i="8"/>
  <c r="W210" i="8"/>
  <c r="W209" i="8"/>
  <c r="W208" i="8"/>
  <c r="W207" i="8"/>
  <c r="W206" i="8"/>
  <c r="W205" i="8"/>
  <c r="W204" i="8"/>
  <c r="W203" i="8"/>
  <c r="W202" i="8"/>
  <c r="W201" i="8"/>
  <c r="W200" i="8"/>
  <c r="W199" i="8"/>
  <c r="W197" i="8"/>
  <c r="W196" i="8"/>
  <c r="W195" i="8"/>
  <c r="W194" i="8"/>
  <c r="W193" i="8"/>
  <c r="W192" i="8"/>
  <c r="W191" i="8"/>
  <c r="W190" i="8"/>
  <c r="W189" i="8"/>
  <c r="W188" i="8"/>
  <c r="W187" i="8"/>
  <c r="W186" i="8"/>
  <c r="W185" i="8"/>
  <c r="W184" i="8"/>
  <c r="W183" i="8"/>
  <c r="W182" i="8"/>
  <c r="W181" i="8"/>
  <c r="W180" i="8"/>
  <c r="W179" i="8"/>
  <c r="W175" i="8"/>
  <c r="W174" i="8"/>
  <c r="W173" i="8"/>
  <c r="W172" i="8"/>
  <c r="W171" i="8"/>
  <c r="W170" i="8"/>
  <c r="W169" i="8"/>
  <c r="W168" i="8"/>
  <c r="W167" i="8"/>
  <c r="W166" i="8"/>
  <c r="W165" i="8"/>
  <c r="W163" i="8"/>
  <c r="W162" i="8"/>
  <c r="W161" i="8"/>
  <c r="W160" i="8"/>
  <c r="W159" i="8"/>
  <c r="W158" i="8"/>
  <c r="W157" i="8"/>
  <c r="W155" i="8"/>
  <c r="W154" i="8"/>
  <c r="W151" i="8"/>
  <c r="W150" i="8"/>
  <c r="W149" i="8"/>
  <c r="W148" i="8"/>
  <c r="W147" i="8"/>
  <c r="W146" i="8"/>
  <c r="W145" i="8"/>
  <c r="W144" i="8"/>
  <c r="W142" i="8"/>
  <c r="W141" i="8"/>
  <c r="W140" i="8"/>
  <c r="W137" i="8"/>
  <c r="W136" i="8"/>
  <c r="W135" i="8"/>
  <c r="W134" i="8"/>
  <c r="W133" i="8"/>
  <c r="W132" i="8"/>
  <c r="W131" i="8"/>
  <c r="W130" i="8"/>
  <c r="W129" i="8"/>
  <c r="W128" i="8"/>
  <c r="W126" i="8"/>
  <c r="W125" i="8"/>
  <c r="W124" i="8"/>
  <c r="W123" i="8"/>
  <c r="W122" i="8"/>
  <c r="W121" i="8"/>
  <c r="W120" i="8"/>
  <c r="W119" i="8"/>
  <c r="W116" i="8"/>
  <c r="W114" i="8"/>
  <c r="W110" i="8"/>
  <c r="W109" i="8"/>
  <c r="W107" i="8"/>
  <c r="W106" i="8"/>
  <c r="W105" i="8"/>
  <c r="W104" i="8"/>
  <c r="W102" i="8"/>
  <c r="W101" i="8"/>
  <c r="W100" i="8"/>
  <c r="W99" i="8"/>
  <c r="W98" i="8"/>
  <c r="W97" i="8"/>
  <c r="W96" i="8"/>
  <c r="W95" i="8"/>
  <c r="W94" i="8"/>
  <c r="W93" i="8"/>
  <c r="W92" i="8"/>
  <c r="W91" i="8"/>
  <c r="W90" i="8"/>
  <c r="W89" i="8"/>
  <c r="W88" i="8"/>
  <c r="W87" i="8"/>
  <c r="W86" i="8"/>
  <c r="W85" i="8"/>
  <c r="W84" i="8"/>
  <c r="W83" i="8"/>
  <c r="W82" i="8"/>
  <c r="W81" i="8"/>
  <c r="W80" i="8"/>
  <c r="W79" i="8"/>
  <c r="W78" i="8"/>
  <c r="W77" i="8"/>
  <c r="W76" i="8"/>
  <c r="W75" i="8"/>
  <c r="W74" i="8"/>
  <c r="W73" i="8"/>
  <c r="W72" i="8"/>
  <c r="W71" i="8"/>
  <c r="W69" i="8"/>
  <c r="W68" i="8"/>
  <c r="W67" i="8"/>
  <c r="W63" i="8"/>
  <c r="W62" i="8"/>
  <c r="W59" i="8"/>
  <c r="W58" i="8"/>
  <c r="W57" i="8"/>
  <c r="W56" i="8"/>
  <c r="W55" i="8"/>
  <c r="W54" i="8"/>
  <c r="W53" i="8"/>
  <c r="W52" i="8"/>
  <c r="W48" i="8"/>
  <c r="W47" i="8"/>
  <c r="W46" i="8"/>
  <c r="W45" i="8"/>
  <c r="W42" i="8"/>
  <c r="W40" i="8"/>
  <c r="W39" i="8"/>
  <c r="W38" i="8"/>
  <c r="W37" i="8"/>
  <c r="W35" i="8"/>
  <c r="W34" i="8"/>
  <c r="W33" i="8"/>
  <c r="W32" i="8"/>
  <c r="W31" i="8"/>
  <c r="W29" i="8"/>
  <c r="W28" i="8"/>
  <c r="W27" i="8"/>
  <c r="W25" i="8"/>
  <c r="W22" i="8"/>
  <c r="W21" i="8"/>
  <c r="W20" i="8"/>
  <c r="W19" i="8"/>
  <c r="W18" i="8"/>
  <c r="W17" i="8"/>
  <c r="W16" i="8"/>
  <c r="W15" i="8"/>
  <c r="W14" i="8"/>
  <c r="W13" i="8"/>
  <c r="W12" i="8"/>
  <c r="G222" i="22" l="1"/>
  <c r="G240" i="22"/>
  <c r="F248" i="22"/>
  <c r="I248" i="22" s="1"/>
  <c r="F241" i="22"/>
  <c r="I241" i="22" s="1"/>
  <c r="F242" i="22"/>
  <c r="I242" i="22" s="1"/>
  <c r="F233" i="22"/>
  <c r="I233" i="22" s="1"/>
  <c r="F227" i="22"/>
  <c r="I227" i="22" s="1"/>
  <c r="F225" i="22"/>
  <c r="I225" i="22" s="1"/>
  <c r="F239" i="22"/>
  <c r="I239" i="22" s="1"/>
  <c r="G219" i="22"/>
  <c r="F260" i="22"/>
  <c r="I260" i="22" s="1"/>
  <c r="F235" i="22"/>
  <c r="I235" i="22" s="1"/>
  <c r="F257" i="22"/>
  <c r="I257" i="22" s="1"/>
  <c r="F244" i="22"/>
  <c r="I244" i="22" s="1"/>
  <c r="F221" i="22"/>
  <c r="I221" i="22" s="1"/>
  <c r="F220" i="22"/>
  <c r="I220" i="22" s="1"/>
  <c r="E69" i="22"/>
  <c r="G228" i="22"/>
  <c r="F226" i="22"/>
  <c r="I226" i="22" s="1"/>
  <c r="L69" i="22"/>
  <c r="F236" i="22"/>
  <c r="I236" i="22" s="1"/>
  <c r="F238" i="22"/>
  <c r="I238" i="22" s="1"/>
  <c r="G251" i="22"/>
  <c r="G259" i="22"/>
  <c r="G255" i="22"/>
  <c r="H230" i="22"/>
  <c r="H229" i="22"/>
  <c r="H252" i="22"/>
  <c r="F232" i="22"/>
  <c r="I232" i="22" s="1"/>
  <c r="G229" i="22"/>
  <c r="F258" i="22"/>
  <c r="I258" i="22" s="1"/>
  <c r="F256" i="22"/>
  <c r="I256" i="22" s="1"/>
  <c r="F245" i="22"/>
  <c r="I245" i="22" s="1"/>
  <c r="G250" i="22"/>
  <c r="K69" i="22"/>
  <c r="F69" i="22"/>
  <c r="G236" i="22"/>
  <c r="G238" i="22"/>
  <c r="G225" i="22"/>
  <c r="G237" i="22"/>
  <c r="F259" i="22"/>
  <c r="I259" i="22" s="1"/>
  <c r="G221" i="22"/>
  <c r="G253" i="22"/>
  <c r="H235" i="22"/>
  <c r="H226" i="22"/>
  <c r="H242" i="22"/>
  <c r="H241" i="22"/>
  <c r="H257" i="22"/>
  <c r="I69" i="22"/>
  <c r="G69" i="22"/>
  <c r="G243" i="22"/>
  <c r="F243" i="22"/>
  <c r="I243" i="22" s="1"/>
  <c r="F222" i="22"/>
  <c r="I222" i="22" s="1"/>
  <c r="G254" i="22"/>
  <c r="F254" i="22"/>
  <c r="I254" i="22" s="1"/>
  <c r="G256" i="22"/>
  <c r="G258" i="22"/>
  <c r="H245" i="22"/>
  <c r="H224" i="22"/>
  <c r="H232" i="22"/>
  <c r="H256" i="22"/>
  <c r="J69" i="22"/>
  <c r="G234" i="22"/>
  <c r="F234" i="22"/>
  <c r="I234" i="22" s="1"/>
  <c r="G230" i="22"/>
  <c r="F230" i="22"/>
  <c r="I230" i="22" s="1"/>
  <c r="H253" i="22"/>
  <c r="F253" i="22"/>
  <c r="I253" i="22" s="1"/>
  <c r="F229" i="22"/>
  <c r="I229" i="22" s="1"/>
  <c r="F219" i="22"/>
  <c r="I219" i="22" s="1"/>
  <c r="G245" i="22"/>
  <c r="G244" i="22"/>
  <c r="G260" i="22"/>
  <c r="F250" i="22"/>
  <c r="I250" i="22" s="1"/>
  <c r="G239" i="22"/>
  <c r="H231" i="22"/>
  <c r="H233" i="22"/>
  <c r="H240" i="22"/>
  <c r="H246" i="22"/>
  <c r="F246" i="22"/>
  <c r="I246" i="22" s="1"/>
  <c r="F240" i="22"/>
  <c r="I240" i="22" s="1"/>
  <c r="H243" i="22"/>
  <c r="H247" i="22"/>
  <c r="H69" i="22"/>
  <c r="F255" i="22"/>
  <c r="I255" i="22" s="1"/>
  <c r="G232" i="22"/>
  <c r="H222" i="22"/>
  <c r="H239" i="22"/>
  <c r="H255" i="22"/>
  <c r="H254" i="22"/>
  <c r="H251" i="22"/>
  <c r="C69" i="22"/>
  <c r="N69" i="22" s="1"/>
  <c r="H228" i="22"/>
  <c r="F228" i="22"/>
  <c r="I228" i="22" s="1"/>
  <c r="G223" i="22"/>
  <c r="F223" i="22"/>
  <c r="I223" i="22" s="1"/>
  <c r="G257" i="22"/>
  <c r="G241" i="22"/>
  <c r="G233" i="22"/>
  <c r="G242" i="22"/>
  <c r="H225" i="22"/>
  <c r="H236" i="22"/>
  <c r="H250" i="22"/>
  <c r="H248" i="22"/>
  <c r="H259" i="22"/>
  <c r="D69" i="22"/>
  <c r="O69" i="22" s="1"/>
  <c r="G247" i="22"/>
  <c r="F247" i="22"/>
  <c r="I247" i="22" s="1"/>
  <c r="G249" i="22"/>
  <c r="F249" i="22"/>
  <c r="I249" i="22" s="1"/>
  <c r="G231" i="22"/>
  <c r="F231" i="22"/>
  <c r="I231" i="22" s="1"/>
  <c r="H237" i="22"/>
  <c r="F237" i="22"/>
  <c r="I237" i="22" s="1"/>
  <c r="F252" i="22"/>
  <c r="I252" i="22" s="1"/>
  <c r="G252" i="22"/>
  <c r="G227" i="22"/>
  <c r="G235" i="22"/>
  <c r="G220" i="22"/>
  <c r="H244" i="22"/>
  <c r="H238" i="22"/>
  <c r="H234" i="22"/>
  <c r="H258" i="22"/>
  <c r="H223" i="22"/>
  <c r="H227" i="22"/>
  <c r="G246" i="22"/>
  <c r="G226" i="22"/>
  <c r="G224" i="22"/>
  <c r="F224" i="22"/>
  <c r="I224" i="22" s="1"/>
  <c r="F251" i="22"/>
  <c r="I251" i="22" s="1"/>
  <c r="G248" i="22"/>
  <c r="H220" i="22"/>
  <c r="H219" i="22"/>
  <c r="H221" i="22"/>
  <c r="H249" i="22"/>
  <c r="H260" i="22"/>
  <c r="N7" i="22"/>
  <c r="N126" i="22"/>
  <c r="N130" i="22"/>
  <c r="N134" i="22"/>
  <c r="N138" i="22"/>
  <c r="N142" i="22"/>
  <c r="N146" i="22"/>
  <c r="N122" i="22"/>
  <c r="N123" i="22"/>
  <c r="N141" i="22"/>
  <c r="N139" i="22"/>
  <c r="N125" i="22"/>
  <c r="N135" i="22"/>
  <c r="N136" i="22"/>
  <c r="N137" i="22"/>
  <c r="N124" i="22"/>
  <c r="N131" i="22"/>
  <c r="N132" i="22"/>
  <c r="N133" i="22"/>
  <c r="N147" i="22"/>
  <c r="N148" i="22"/>
  <c r="N149" i="22"/>
  <c r="N127" i="22"/>
  <c r="N128" i="22"/>
  <c r="N129" i="22"/>
  <c r="N143" i="22"/>
  <c r="N144" i="22"/>
  <c r="N145" i="22"/>
  <c r="N140" i="22"/>
  <c r="O7" i="22"/>
  <c r="O122" i="22"/>
  <c r="O126" i="22"/>
  <c r="O130" i="22"/>
  <c r="O134" i="22"/>
  <c r="O138" i="22"/>
  <c r="O142" i="22"/>
  <c r="O146" i="22"/>
  <c r="O144" i="22"/>
  <c r="O139" i="22"/>
  <c r="O140" i="22"/>
  <c r="O141" i="22"/>
  <c r="O125" i="22"/>
  <c r="O135" i="22"/>
  <c r="O136" i="22"/>
  <c r="O137" i="22"/>
  <c r="O124" i="22"/>
  <c r="O123" i="22"/>
  <c r="O131" i="22"/>
  <c r="O132" i="22"/>
  <c r="O133" i="22"/>
  <c r="O147" i="22"/>
  <c r="O148" i="22"/>
  <c r="O149" i="22"/>
  <c r="O127" i="22"/>
  <c r="O128" i="22"/>
  <c r="O129" i="22"/>
  <c r="O143" i="22"/>
  <c r="O145" i="22"/>
  <c r="P6" i="22"/>
  <c r="Q6" i="22" s="1"/>
  <c r="R6" i="22" s="1"/>
  <c r="S6" i="22" s="1"/>
  <c r="T6" i="22" s="1"/>
  <c r="U6" i="22" s="1"/>
  <c r="V6" i="22" s="1"/>
  <c r="W6" i="22" s="1"/>
  <c r="N28" i="22"/>
  <c r="D28" i="22"/>
  <c r="O28" i="22" s="1"/>
  <c r="E6" i="22"/>
  <c r="E42" i="22" s="1"/>
  <c r="D24" i="22"/>
  <c r="O24" i="22" s="1"/>
  <c r="D32" i="22"/>
  <c r="O32" i="22" s="1"/>
  <c r="D29" i="22"/>
  <c r="O29" i="22" s="1"/>
  <c r="D27" i="22"/>
  <c r="O27" i="22" s="1"/>
  <c r="D42" i="22"/>
  <c r="O42" i="22" s="1"/>
  <c r="D43" i="22"/>
  <c r="O43" i="22" s="1"/>
  <c r="D45" i="22"/>
  <c r="O45" i="22" s="1"/>
  <c r="E43" i="22"/>
  <c r="E44" i="22"/>
  <c r="E45" i="22"/>
  <c r="C48" i="22"/>
  <c r="N48" i="22" s="1"/>
  <c r="C42" i="22"/>
  <c r="N42" i="22" s="1"/>
  <c r="C49" i="22"/>
  <c r="N49" i="22" s="1"/>
  <c r="D44" i="22"/>
  <c r="O44" i="22" s="1"/>
  <c r="C43" i="22"/>
  <c r="N43" i="22" s="1"/>
  <c r="C50" i="22"/>
  <c r="N50" i="22" s="1"/>
  <c r="D51" i="22"/>
  <c r="O51" i="22" s="1"/>
  <c r="C44" i="22"/>
  <c r="N44" i="22" s="1"/>
  <c r="C51" i="22"/>
  <c r="N51" i="22" s="1"/>
  <c r="D48" i="22"/>
  <c r="O48" i="22" s="1"/>
  <c r="D49" i="22"/>
  <c r="O49" i="22" s="1"/>
  <c r="D50" i="22"/>
  <c r="O50" i="22" s="1"/>
  <c r="E51" i="22"/>
  <c r="C45" i="22"/>
  <c r="N45" i="22" s="1"/>
  <c r="E48" i="22"/>
  <c r="E49" i="22"/>
  <c r="E50" i="22"/>
  <c r="N29" i="22"/>
  <c r="N24" i="22"/>
  <c r="N32" i="22"/>
  <c r="N27" i="22"/>
  <c r="AV64" i="8"/>
  <c r="AY444" i="8"/>
  <c r="BC444" i="8" s="1"/>
  <c r="AY64" i="8"/>
  <c r="BC64" i="8" s="1"/>
  <c r="AZ343" i="8"/>
  <c r="BD343" i="8" s="1"/>
  <c r="AY319" i="8"/>
  <c r="BC319" i="8" s="1"/>
  <c r="AW319" i="8"/>
  <c r="BA319" i="8" s="1"/>
  <c r="AW103" i="8"/>
  <c r="BA103" i="8" s="1"/>
  <c r="AU65" i="8"/>
  <c r="AX446" i="8"/>
  <c r="BB446" i="8" s="1"/>
  <c r="AS113" i="8"/>
  <c r="AK103" i="8"/>
  <c r="AU397" i="8"/>
  <c r="AJ296" i="8"/>
  <c r="AX26" i="8"/>
  <c r="BB26" i="8" s="1"/>
  <c r="AX177" i="8"/>
  <c r="BB177" i="8" s="1"/>
  <c r="AY70" i="8"/>
  <c r="BC70" i="8" s="1"/>
  <c r="AL43" i="8"/>
  <c r="AW296" i="8"/>
  <c r="BA296" i="8" s="1"/>
  <c r="AW304" i="8"/>
  <c r="BA304" i="8" s="1"/>
  <c r="AV446" i="8"/>
  <c r="AX444" i="8"/>
  <c r="BB444" i="8" s="1"/>
  <c r="AX363" i="8"/>
  <c r="BB363" i="8" s="1"/>
  <c r="AY178" i="8"/>
  <c r="BC178" i="8" s="1"/>
  <c r="AS65" i="8"/>
  <c r="AT64" i="8"/>
  <c r="AZ30" i="8"/>
  <c r="BD30" i="8" s="1"/>
  <c r="AT446" i="8"/>
  <c r="AU444" i="8"/>
  <c r="AV363" i="8"/>
  <c r="AX319" i="8"/>
  <c r="BB319" i="8" s="1"/>
  <c r="AY177" i="8"/>
  <c r="BC177" i="8" s="1"/>
  <c r="AS64" i="8"/>
  <c r="AV50" i="8"/>
  <c r="AZ36" i="8"/>
  <c r="BD36" i="8" s="1"/>
  <c r="AH444" i="8"/>
  <c r="AO444" i="8" s="1"/>
  <c r="AR444" i="8" s="1"/>
  <c r="AW383" i="8"/>
  <c r="BA383" i="8" s="1"/>
  <c r="AU363" i="8"/>
  <c r="AT320" i="8"/>
  <c r="AZ51" i="8"/>
  <c r="BD51" i="8" s="1"/>
  <c r="AT50" i="8"/>
  <c r="AT43" i="8"/>
  <c r="AY41" i="8"/>
  <c r="BC41" i="8" s="1"/>
  <c r="AS36" i="8"/>
  <c r="AL364" i="8"/>
  <c r="AT363" i="8"/>
  <c r="AW250" i="8"/>
  <c r="BA250" i="8" s="1"/>
  <c r="AY246" i="8"/>
  <c r="BC246" i="8" s="1"/>
  <c r="AH178" i="8"/>
  <c r="AW177" i="8"/>
  <c r="BA177" i="8" s="1"/>
  <c r="AT51" i="8"/>
  <c r="AW41" i="8"/>
  <c r="BA41" i="8" s="1"/>
  <c r="V178" i="8"/>
  <c r="V444" i="8"/>
  <c r="AW331" i="8"/>
  <c r="BA331" i="8" s="1"/>
  <c r="AU319" i="8"/>
  <c r="AT117" i="8"/>
  <c r="AL115" i="8"/>
  <c r="AH108" i="8"/>
  <c r="AV103" i="8"/>
  <c r="AH64" i="8"/>
  <c r="AK444" i="8"/>
  <c r="AX227" i="8"/>
  <c r="BB227" i="8" s="1"/>
  <c r="AK113" i="8"/>
  <c r="AT103" i="8"/>
  <c r="AZ70" i="8"/>
  <c r="BD70" i="8" s="1"/>
  <c r="AW64" i="8"/>
  <c r="BA64" i="8" s="1"/>
  <c r="AS51" i="8"/>
  <c r="AU50" i="8"/>
  <c r="AS23" i="8"/>
  <c r="AY24" i="8"/>
  <c r="BC24" i="8" s="1"/>
  <c r="AI408" i="8"/>
  <c r="AZ384" i="8"/>
  <c r="BD384" i="8" s="1"/>
  <c r="AV383" i="8"/>
  <c r="AU251" i="8"/>
  <c r="AW228" i="8"/>
  <c r="BA228" i="8" s="1"/>
  <c r="AL65" i="8"/>
  <c r="AX41" i="8"/>
  <c r="BB41" i="8" s="1"/>
  <c r="AY36" i="8"/>
  <c r="BC36" i="8" s="1"/>
  <c r="AX30" i="8"/>
  <c r="BB30" i="8" s="1"/>
  <c r="AV26" i="8"/>
  <c r="AU24" i="8"/>
  <c r="AT384" i="8"/>
  <c r="AU383" i="8"/>
  <c r="V118" i="8"/>
  <c r="AX487" i="8"/>
  <c r="BB487" i="8" s="1"/>
  <c r="AS305" i="8"/>
  <c r="AH250" i="8"/>
  <c r="AY103" i="8"/>
  <c r="BC103" i="8" s="1"/>
  <c r="AV117" i="8"/>
  <c r="V108" i="8"/>
  <c r="AZ41" i="8"/>
  <c r="BD41" i="8" s="1"/>
  <c r="AU36" i="8"/>
  <c r="AX402" i="8"/>
  <c r="BB402" i="8" s="1"/>
  <c r="AX346" i="8"/>
  <c r="BB346" i="8" s="1"/>
  <c r="AS296" i="8"/>
  <c r="AX246" i="8"/>
  <c r="BB246" i="8" s="1"/>
  <c r="AW227" i="8"/>
  <c r="BA227" i="8" s="1"/>
  <c r="AU117" i="8"/>
  <c r="AU26" i="8"/>
  <c r="AV24" i="8"/>
  <c r="AV23" i="8"/>
  <c r="AV346" i="8"/>
  <c r="AK251" i="8"/>
  <c r="AV246" i="8"/>
  <c r="AS227" i="8"/>
  <c r="AX198" i="8"/>
  <c r="BB198" i="8" s="1"/>
  <c r="AY402" i="8"/>
  <c r="BC402" i="8" s="1"/>
  <c r="AV402" i="8"/>
  <c r="AW487" i="8"/>
  <c r="BA487" i="8" s="1"/>
  <c r="AZ452" i="8"/>
  <c r="BD452" i="8" s="1"/>
  <c r="AH446" i="8"/>
  <c r="AS444" i="8"/>
  <c r="AU402" i="8"/>
  <c r="AS397" i="8"/>
  <c r="AS383" i="8"/>
  <c r="AU346" i="8"/>
  <c r="AX331" i="8"/>
  <c r="BB331" i="8" s="1"/>
  <c r="AT319" i="8"/>
  <c r="AV251" i="8"/>
  <c r="AZ250" i="8"/>
  <c r="BD250" i="8" s="1"/>
  <c r="AU246" i="8"/>
  <c r="AH227" i="8"/>
  <c r="AW198" i="8"/>
  <c r="BA198" i="8" s="1"/>
  <c r="AU178" i="8"/>
  <c r="AU177" i="8"/>
  <c r="AW164" i="8"/>
  <c r="BA164" i="8" s="1"/>
  <c r="AV127" i="8"/>
  <c r="AS117" i="8"/>
  <c r="AZ49" i="8"/>
  <c r="BD49" i="8" s="1"/>
  <c r="AY346" i="8"/>
  <c r="BC346" i="8" s="1"/>
  <c r="AT452" i="8"/>
  <c r="AT402" i="8"/>
  <c r="AT346" i="8"/>
  <c r="AY270" i="8"/>
  <c r="BC270" i="8" s="1"/>
  <c r="AT198" i="8"/>
  <c r="AT177" i="8"/>
  <c r="AV176" i="8"/>
  <c r="AV164" i="8"/>
  <c r="AZ138" i="8"/>
  <c r="BD138" i="8" s="1"/>
  <c r="AU127" i="8"/>
  <c r="AZ118" i="8"/>
  <c r="BD118" i="8" s="1"/>
  <c r="AZ117" i="8"/>
  <c r="BD117" i="8" s="1"/>
  <c r="AT115" i="8"/>
  <c r="AU113" i="8"/>
  <c r="AX103" i="8"/>
  <c r="BB103" i="8" s="1"/>
  <c r="AW65" i="8"/>
  <c r="BA65" i="8" s="1"/>
  <c r="AU64" i="8"/>
  <c r="AV51" i="8"/>
  <c r="V51" i="8"/>
  <c r="AW49" i="8"/>
  <c r="BA49" i="8" s="1"/>
  <c r="AV44" i="8"/>
  <c r="AU41" i="8"/>
  <c r="AL24" i="8"/>
  <c r="AY363" i="8"/>
  <c r="BC363" i="8" s="1"/>
  <c r="AV331" i="8"/>
  <c r="AX270" i="8"/>
  <c r="BB270" i="8" s="1"/>
  <c r="AZ253" i="8"/>
  <c r="BD253" i="8" s="1"/>
  <c r="AV250" i="8"/>
  <c r="AS177" i="8"/>
  <c r="AU164" i="8"/>
  <c r="AX138" i="8"/>
  <c r="BB138" i="8" s="1"/>
  <c r="AT127" i="8"/>
  <c r="AW118" i="8"/>
  <c r="BA118" i="8" s="1"/>
  <c r="AY117" i="8"/>
  <c r="BC117" i="8" s="1"/>
  <c r="AT113" i="8"/>
  <c r="AX60" i="8"/>
  <c r="BB60" i="8" s="1"/>
  <c r="AU51" i="8"/>
  <c r="AU49" i="8"/>
  <c r="AU44" i="8"/>
  <c r="AT41" i="8"/>
  <c r="AT331" i="8"/>
  <c r="AY320" i="8"/>
  <c r="BC320" i="8" s="1"/>
  <c r="AU270" i="8"/>
  <c r="AW253" i="8"/>
  <c r="BA253" i="8" s="1"/>
  <c r="AU250" i="8"/>
  <c r="AS127" i="8"/>
  <c r="AX117" i="8"/>
  <c r="BB117" i="8" s="1"/>
  <c r="AS49" i="8"/>
  <c r="AT44" i="8"/>
  <c r="AS41" i="8"/>
  <c r="V497" i="8"/>
  <c r="AZ402" i="8"/>
  <c r="BD402" i="8" s="1"/>
  <c r="AW365" i="8"/>
  <c r="BA365" i="8" s="1"/>
  <c r="AS331" i="8"/>
  <c r="AW320" i="8"/>
  <c r="BA320" i="8" s="1"/>
  <c r="AX296" i="8"/>
  <c r="BB296" i="8" s="1"/>
  <c r="AV253" i="8"/>
  <c r="AS250" i="8"/>
  <c r="V246" i="8"/>
  <c r="V227" i="8"/>
  <c r="AZ177" i="8"/>
  <c r="BD177" i="8" s="1"/>
  <c r="AU61" i="8"/>
  <c r="AW36" i="8"/>
  <c r="BA36" i="8" s="1"/>
  <c r="AH118" i="8"/>
  <c r="AL118" i="8"/>
  <c r="AK118" i="8"/>
  <c r="AI118" i="8"/>
  <c r="AJ118" i="8"/>
  <c r="AJ363" i="8"/>
  <c r="AL363" i="8"/>
  <c r="AK363" i="8"/>
  <c r="AH363" i="8"/>
  <c r="AI363" i="8"/>
  <c r="AX408" i="8"/>
  <c r="BB408" i="8" s="1"/>
  <c r="AS384" i="8"/>
  <c r="AT372" i="8"/>
  <c r="V363" i="8"/>
  <c r="AX252" i="8"/>
  <c r="BB252" i="8" s="1"/>
  <c r="AT249" i="8"/>
  <c r="AT178" i="8"/>
  <c r="AU112" i="8"/>
  <c r="AT66" i="8"/>
  <c r="AZ60" i="8"/>
  <c r="BD60" i="8" s="1"/>
  <c r="AS44" i="8"/>
  <c r="AW30" i="8"/>
  <c r="BA30" i="8" s="1"/>
  <c r="AV487" i="8"/>
  <c r="AI452" i="8"/>
  <c r="AU408" i="8"/>
  <c r="AS402" i="8"/>
  <c r="AT397" i="8"/>
  <c r="AT383" i="8"/>
  <c r="AS372" i="8"/>
  <c r="AW363" i="8"/>
  <c r="BA363" i="8" s="1"/>
  <c r="AW346" i="8"/>
  <c r="BA346" i="8" s="1"/>
  <c r="AJ331" i="8"/>
  <c r="AU320" i="8"/>
  <c r="V320" i="8"/>
  <c r="AV319" i="8"/>
  <c r="AZ296" i="8"/>
  <c r="BD296" i="8" s="1"/>
  <c r="AY253" i="8"/>
  <c r="BC253" i="8" s="1"/>
  <c r="AW252" i="8"/>
  <c r="BA252" i="8" s="1"/>
  <c r="AT251" i="8"/>
  <c r="AT250" i="8"/>
  <c r="AS249" i="8"/>
  <c r="AV248" i="8"/>
  <c r="AS198" i="8"/>
  <c r="AS178" i="8"/>
  <c r="AZ176" i="8"/>
  <c r="BD176" i="8" s="1"/>
  <c r="AT164" i="8"/>
  <c r="AI112" i="8"/>
  <c r="AX111" i="8"/>
  <c r="BB111" i="8" s="1"/>
  <c r="AS66" i="8"/>
  <c r="AZ44" i="8"/>
  <c r="BD44" i="8" s="1"/>
  <c r="AV30" i="8"/>
  <c r="AT26" i="8"/>
  <c r="AT24" i="8"/>
  <c r="AI70" i="8"/>
  <c r="AV66" i="8"/>
  <c r="AU487" i="8"/>
  <c r="AK450" i="8"/>
  <c r="AS408" i="8"/>
  <c r="AZ372" i="8"/>
  <c r="BD372" i="8" s="1"/>
  <c r="AY365" i="8"/>
  <c r="BC365" i="8" s="1"/>
  <c r="AH304" i="8"/>
  <c r="AY296" i="8"/>
  <c r="BC296" i="8" s="1"/>
  <c r="AV252" i="8"/>
  <c r="AH252" i="8"/>
  <c r="AS251" i="8"/>
  <c r="AZ178" i="8"/>
  <c r="BD178" i="8" s="1"/>
  <c r="AW176" i="8"/>
  <c r="BA176" i="8" s="1"/>
  <c r="AS164" i="8"/>
  <c r="AH143" i="8"/>
  <c r="AO143" i="8" s="1"/>
  <c r="AR143" i="8" s="1"/>
  <c r="AW138" i="8"/>
  <c r="BA138" i="8" s="1"/>
  <c r="AZ127" i="8"/>
  <c r="BD127" i="8" s="1"/>
  <c r="AU118" i="8"/>
  <c r="AZ113" i="8"/>
  <c r="BD113" i="8" s="1"/>
  <c r="AW111" i="8"/>
  <c r="BA111" i="8" s="1"/>
  <c r="AW70" i="8"/>
  <c r="BA70" i="8" s="1"/>
  <c r="AZ64" i="8"/>
  <c r="BD64" i="8" s="1"/>
  <c r="AW60" i="8"/>
  <c r="BA60" i="8" s="1"/>
  <c r="AY51" i="8"/>
  <c r="BC51" i="8" s="1"/>
  <c r="AZ50" i="8"/>
  <c r="BD50" i="8" s="1"/>
  <c r="AY44" i="8"/>
  <c r="BC44" i="8" s="1"/>
  <c r="AV36" i="8"/>
  <c r="AU30" i="8"/>
  <c r="AI30" i="8"/>
  <c r="AS26" i="8"/>
  <c r="AS24" i="8"/>
  <c r="AY252" i="8"/>
  <c r="BC252" i="8" s="1"/>
  <c r="AU152" i="8"/>
  <c r="AT487" i="8"/>
  <c r="AX384" i="8"/>
  <c r="BB384" i="8" s="1"/>
  <c r="AY372" i="8"/>
  <c r="BC372" i="8" s="1"/>
  <c r="AT252" i="8"/>
  <c r="AZ251" i="8"/>
  <c r="BD251" i="8" s="1"/>
  <c r="AJ152" i="8"/>
  <c r="AU138" i="8"/>
  <c r="AY127" i="8"/>
  <c r="BC127" i="8" s="1"/>
  <c r="AT118" i="8"/>
  <c r="AY113" i="8"/>
  <c r="BC113" i="8" s="1"/>
  <c r="V103" i="8"/>
  <c r="AU70" i="8"/>
  <c r="AZ66" i="8"/>
  <c r="BD66" i="8" s="1"/>
  <c r="AX51" i="8"/>
  <c r="BB51" i="8" s="1"/>
  <c r="AY50" i="8"/>
  <c r="BC50" i="8" s="1"/>
  <c r="AX44" i="8"/>
  <c r="BB44" i="8" s="1"/>
  <c r="AT30" i="8"/>
  <c r="AZ26" i="8"/>
  <c r="BD26" i="8" s="1"/>
  <c r="AZ23" i="8"/>
  <c r="BD23" i="8" s="1"/>
  <c r="AU249" i="8"/>
  <c r="AS487" i="8"/>
  <c r="AW384" i="8"/>
  <c r="BA384" i="8" s="1"/>
  <c r="AX372" i="8"/>
  <c r="BB372" i="8" s="1"/>
  <c r="AV365" i="8"/>
  <c r="AI253" i="8"/>
  <c r="AS252" i="8"/>
  <c r="AY251" i="8"/>
  <c r="BC251" i="8" s="1"/>
  <c r="AZ198" i="8"/>
  <c r="BD198" i="8" s="1"/>
  <c r="V198" i="8"/>
  <c r="AX178" i="8"/>
  <c r="BB178" i="8" s="1"/>
  <c r="AU176" i="8"/>
  <c r="AX152" i="8"/>
  <c r="BB152" i="8" s="1"/>
  <c r="AX127" i="8"/>
  <c r="BB127" i="8" s="1"/>
  <c r="V115" i="8"/>
  <c r="AX113" i="8"/>
  <c r="BB113" i="8" s="1"/>
  <c r="AZ103" i="8"/>
  <c r="BD103" i="8" s="1"/>
  <c r="AS70" i="8"/>
  <c r="AY66" i="8"/>
  <c r="BC66" i="8" s="1"/>
  <c r="AW50" i="8"/>
  <c r="BA50" i="8" s="1"/>
  <c r="AH50" i="8"/>
  <c r="AT36" i="8"/>
  <c r="AS30" i="8"/>
  <c r="AY26" i="8"/>
  <c r="BC26" i="8" s="1"/>
  <c r="AZ24" i="8"/>
  <c r="BD24" i="8" s="1"/>
  <c r="AW23" i="8"/>
  <c r="BA23" i="8" s="1"/>
  <c r="AU372" i="8"/>
  <c r="AI138" i="8"/>
  <c r="AV112" i="8"/>
  <c r="AV452" i="8"/>
  <c r="V450" i="8"/>
  <c r="AW444" i="8"/>
  <c r="BA444" i="8" s="1"/>
  <c r="AV384" i="8"/>
  <c r="AY383" i="8"/>
  <c r="BC383" i="8" s="1"/>
  <c r="AW372" i="8"/>
  <c r="BA372" i="8" s="1"/>
  <c r="AU365" i="8"/>
  <c r="AT364" i="8"/>
  <c r="AS363" i="8"/>
  <c r="AS346" i="8"/>
  <c r="AW343" i="8"/>
  <c r="BA343" i="8" s="1"/>
  <c r="AZ319" i="8"/>
  <c r="BD319" i="8" s="1"/>
  <c r="AW305" i="8"/>
  <c r="BA305" i="8" s="1"/>
  <c r="AU296" i="8"/>
  <c r="V252" i="8"/>
  <c r="AX251" i="8"/>
  <c r="BB251" i="8" s="1"/>
  <c r="AY250" i="8"/>
  <c r="BC250" i="8" s="1"/>
  <c r="AW249" i="8"/>
  <c r="BA249" i="8" s="1"/>
  <c r="AY198" i="8"/>
  <c r="BC198" i="8" s="1"/>
  <c r="AW178" i="8"/>
  <c r="BA178" i="8" s="1"/>
  <c r="AT176" i="8"/>
  <c r="AW152" i="8"/>
  <c r="BA152" i="8" s="1"/>
  <c r="V139" i="8"/>
  <c r="AK138" i="8"/>
  <c r="V138" i="8"/>
  <c r="AW113" i="8"/>
  <c r="BA113" i="8" s="1"/>
  <c r="AY112" i="8"/>
  <c r="BC112" i="8" s="1"/>
  <c r="AK70" i="8"/>
  <c r="V70" i="8"/>
  <c r="AX66" i="8"/>
  <c r="BB66" i="8" s="1"/>
  <c r="AY408" i="8"/>
  <c r="BC408" i="8" s="1"/>
  <c r="AT497" i="8"/>
  <c r="AZ487" i="8"/>
  <c r="BD487" i="8" s="1"/>
  <c r="AU452" i="8"/>
  <c r="AZ421" i="8"/>
  <c r="BD421" i="8" s="1"/>
  <c r="AU384" i="8"/>
  <c r="AL384" i="8"/>
  <c r="AS365" i="8"/>
  <c r="AV305" i="8"/>
  <c r="AT296" i="8"/>
  <c r="AZ252" i="8"/>
  <c r="BD252" i="8" s="1"/>
  <c r="AV249" i="8"/>
  <c r="AH248" i="8"/>
  <c r="AS176" i="8"/>
  <c r="AV152" i="8"/>
  <c r="AJ138" i="8"/>
  <c r="V112" i="8"/>
  <c r="AW66" i="8"/>
  <c r="BA66" i="8" s="1"/>
  <c r="AW24" i="8"/>
  <c r="BA24" i="8" s="1"/>
  <c r="AU23" i="8"/>
  <c r="AI487" i="8"/>
  <c r="AH487" i="8"/>
  <c r="AK487" i="8"/>
  <c r="AL487" i="8"/>
  <c r="AJ487" i="8"/>
  <c r="AW450" i="8"/>
  <c r="BA450" i="8" s="1"/>
  <c r="AY446" i="8"/>
  <c r="BC446" i="8" s="1"/>
  <c r="AS446" i="8"/>
  <c r="AX421" i="8"/>
  <c r="BB421" i="8" s="1"/>
  <c r="AT408" i="8"/>
  <c r="AV408" i="8"/>
  <c r="AY450" i="8"/>
  <c r="BC450" i="8" s="1"/>
  <c r="AW421" i="8"/>
  <c r="BA421" i="8" s="1"/>
  <c r="AL343" i="8"/>
  <c r="AH343" i="8"/>
  <c r="AI343" i="8"/>
  <c r="AK343" i="8"/>
  <c r="AZ497" i="8"/>
  <c r="BD497" i="8" s="1"/>
  <c r="AV450" i="8"/>
  <c r="AV497" i="8"/>
  <c r="AX452" i="8"/>
  <c r="BB452" i="8" s="1"/>
  <c r="AU450" i="8"/>
  <c r="AL450" i="8"/>
  <c r="AZ444" i="8"/>
  <c r="BD444" i="8" s="1"/>
  <c r="AT444" i="8"/>
  <c r="AV421" i="8"/>
  <c r="V421" i="8"/>
  <c r="AZ397" i="8"/>
  <c r="BD397" i="8" s="1"/>
  <c r="AS450" i="8"/>
  <c r="AY497" i="8"/>
  <c r="BC497" i="8" s="1"/>
  <c r="AW497" i="8"/>
  <c r="BA497" i="8" s="1"/>
  <c r="V487" i="8"/>
  <c r="AU497" i="8"/>
  <c r="AW452" i="8"/>
  <c r="BA452" i="8" s="1"/>
  <c r="AT450" i="8"/>
  <c r="AZ446" i="8"/>
  <c r="BD446" i="8" s="1"/>
  <c r="AJ444" i="8"/>
  <c r="AL444" i="8"/>
  <c r="AW408" i="8"/>
  <c r="BA408" i="8" s="1"/>
  <c r="V402" i="8"/>
  <c r="AY397" i="8"/>
  <c r="BC397" i="8" s="1"/>
  <c r="V365" i="8"/>
  <c r="AS421" i="8"/>
  <c r="AU421" i="8"/>
  <c r="V383" i="8"/>
  <c r="AH320" i="8"/>
  <c r="AI320" i="8"/>
  <c r="AJ320" i="8"/>
  <c r="AK320" i="8"/>
  <c r="AS497" i="8"/>
  <c r="AY364" i="8"/>
  <c r="BC364" i="8" s="1"/>
  <c r="AZ364" i="8"/>
  <c r="BD364" i="8" s="1"/>
  <c r="AS364" i="8"/>
  <c r="AU364" i="8"/>
  <c r="AV364" i="8"/>
  <c r="AX364" i="8"/>
  <c r="BB364" i="8" s="1"/>
  <c r="AS452" i="8"/>
  <c r="AX450" i="8"/>
  <c r="BB450" i="8" s="1"/>
  <c r="AU446" i="8"/>
  <c r="AY421" i="8"/>
  <c r="BC421" i="8" s="1"/>
  <c r="AV397" i="8"/>
  <c r="AX397" i="8"/>
  <c r="BB397" i="8" s="1"/>
  <c r="AS343" i="8"/>
  <c r="AX304" i="8"/>
  <c r="BB304" i="8" s="1"/>
  <c r="AX156" i="8"/>
  <c r="BB156" i="8" s="1"/>
  <c r="AY156" i="8"/>
  <c r="BC156" i="8" s="1"/>
  <c r="AZ156" i="8"/>
  <c r="BD156" i="8" s="1"/>
  <c r="AS156" i="8"/>
  <c r="AT156" i="8"/>
  <c r="V153" i="8"/>
  <c r="AS228" i="8"/>
  <c r="AT228" i="8"/>
  <c r="AU228" i="8"/>
  <c r="V156" i="8"/>
  <c r="AY343" i="8"/>
  <c r="BC343" i="8" s="1"/>
  <c r="V343" i="8"/>
  <c r="AZ331" i="8"/>
  <c r="BD331" i="8" s="1"/>
  <c r="AS320" i="8"/>
  <c r="AU305" i="8"/>
  <c r="AV304" i="8"/>
  <c r="AW270" i="8"/>
  <c r="BA270" i="8" s="1"/>
  <c r="AU253" i="8"/>
  <c r="AK253" i="8"/>
  <c r="AX248" i="8"/>
  <c r="BB248" i="8" s="1"/>
  <c r="AI246" i="8"/>
  <c r="AV228" i="8"/>
  <c r="AT108" i="8"/>
  <c r="AU108" i="8"/>
  <c r="AV108" i="8"/>
  <c r="AZ108" i="8"/>
  <c r="BD108" i="8" s="1"/>
  <c r="AY108" i="8"/>
  <c r="BC108" i="8" s="1"/>
  <c r="AS108" i="8"/>
  <c r="AW108" i="8"/>
  <c r="BA108" i="8" s="1"/>
  <c r="AZ383" i="8"/>
  <c r="BD383" i="8" s="1"/>
  <c r="AT365" i="8"/>
  <c r="AX343" i="8"/>
  <c r="BB343" i="8" s="1"/>
  <c r="AY331" i="8"/>
  <c r="BC331" i="8" s="1"/>
  <c r="V331" i="8"/>
  <c r="AZ320" i="8"/>
  <c r="BD320" i="8" s="1"/>
  <c r="AT305" i="8"/>
  <c r="AU304" i="8"/>
  <c r="AV270" i="8"/>
  <c r="AS253" i="8"/>
  <c r="AJ253" i="8"/>
  <c r="V253" i="8"/>
  <c r="V250" i="8"/>
  <c r="AZ246" i="8"/>
  <c r="BD246" i="8" s="1"/>
  <c r="AS246" i="8"/>
  <c r="AT246" i="8"/>
  <c r="AX153" i="8"/>
  <c r="BB153" i="8" s="1"/>
  <c r="V127" i="8"/>
  <c r="AT304" i="8"/>
  <c r="AY248" i="8"/>
  <c r="BC248" i="8" s="1"/>
  <c r="AZ248" i="8"/>
  <c r="BD248" i="8" s="1"/>
  <c r="AS248" i="8"/>
  <c r="AJ246" i="8"/>
  <c r="AK246" i="8"/>
  <c r="AL246" i="8"/>
  <c r="AZ227" i="8"/>
  <c r="BD227" i="8" s="1"/>
  <c r="AW153" i="8"/>
  <c r="BA153" i="8" s="1"/>
  <c r="AZ143" i="8"/>
  <c r="BD143" i="8" s="1"/>
  <c r="AT143" i="8"/>
  <c r="AU143" i="8"/>
  <c r="AV143" i="8"/>
  <c r="AW143" i="8"/>
  <c r="BA143" i="8" s="1"/>
  <c r="AX143" i="8"/>
  <c r="BB143" i="8" s="1"/>
  <c r="AY143" i="8"/>
  <c r="BC143" i="8" s="1"/>
  <c r="AZ365" i="8"/>
  <c r="BD365" i="8" s="1"/>
  <c r="AV343" i="8"/>
  <c r="AX320" i="8"/>
  <c r="BB320" i="8" s="1"/>
  <c r="AZ305" i="8"/>
  <c r="BD305" i="8" s="1"/>
  <c r="AS304" i="8"/>
  <c r="AT270" i="8"/>
  <c r="AH253" i="8"/>
  <c r="AX249" i="8"/>
  <c r="BB249" i="8" s="1"/>
  <c r="AY249" i="8"/>
  <c r="BC249" i="8" s="1"/>
  <c r="AU248" i="8"/>
  <c r="AK227" i="8"/>
  <c r="AW156" i="8"/>
  <c r="BA156" i="8" s="1"/>
  <c r="AX115" i="8"/>
  <c r="BB115" i="8" s="1"/>
  <c r="AZ115" i="8"/>
  <c r="BD115" i="8" s="1"/>
  <c r="AU115" i="8"/>
  <c r="AW115" i="8"/>
  <c r="BA115" i="8" s="1"/>
  <c r="AY115" i="8"/>
  <c r="BC115" i="8" s="1"/>
  <c r="AS115" i="8"/>
  <c r="AU343" i="8"/>
  <c r="AY305" i="8"/>
  <c r="BC305" i="8" s="1"/>
  <c r="AZ304" i="8"/>
  <c r="BD304" i="8" s="1"/>
  <c r="AT248" i="8"/>
  <c r="AZ228" i="8"/>
  <c r="BD228" i="8" s="1"/>
  <c r="AJ227" i="8"/>
  <c r="AV156" i="8"/>
  <c r="AL51" i="8"/>
  <c r="AJ51" i="8"/>
  <c r="AH51" i="8"/>
  <c r="AI51" i="8"/>
  <c r="AK51" i="8"/>
  <c r="AZ270" i="8"/>
  <c r="BD270" i="8" s="1"/>
  <c r="AX253" i="8"/>
  <c r="BB253" i="8" s="1"/>
  <c r="AY228" i="8"/>
  <c r="BC228" i="8" s="1"/>
  <c r="AI227" i="8"/>
  <c r="AT227" i="8"/>
  <c r="AU227" i="8"/>
  <c r="AV227" i="8"/>
  <c r="AU156" i="8"/>
  <c r="AY153" i="8"/>
  <c r="BC153" i="8" s="1"/>
  <c r="AZ153" i="8"/>
  <c r="BD153" i="8" s="1"/>
  <c r="AS153" i="8"/>
  <c r="AT153" i="8"/>
  <c r="AU153" i="8"/>
  <c r="AS139" i="8"/>
  <c r="AU139" i="8"/>
  <c r="AT139" i="8"/>
  <c r="AW139" i="8"/>
  <c r="BA139" i="8" s="1"/>
  <c r="AX139" i="8"/>
  <c r="BB139" i="8" s="1"/>
  <c r="AY139" i="8"/>
  <c r="BC139" i="8" s="1"/>
  <c r="AZ139" i="8"/>
  <c r="BD139" i="8" s="1"/>
  <c r="AV118" i="8"/>
  <c r="AX118" i="8"/>
  <c r="BB118" i="8" s="1"/>
  <c r="AL108" i="8"/>
  <c r="AJ108" i="8"/>
  <c r="AV198" i="8"/>
  <c r="AY176" i="8"/>
  <c r="BC176" i="8" s="1"/>
  <c r="AZ164" i="8"/>
  <c r="BD164" i="8" s="1"/>
  <c r="AT152" i="8"/>
  <c r="AH138" i="8"/>
  <c r="AT138" i="8"/>
  <c r="AV138" i="8"/>
  <c r="AZ112" i="8"/>
  <c r="BD112" i="8" s="1"/>
  <c r="AT112" i="8"/>
  <c r="AX112" i="8"/>
  <c r="BB112" i="8" s="1"/>
  <c r="AY164" i="8"/>
  <c r="BC164" i="8" s="1"/>
  <c r="AS152" i="8"/>
  <c r="AJ112" i="8"/>
  <c r="AL112" i="8"/>
  <c r="AH112" i="8"/>
  <c r="AI65" i="8"/>
  <c r="AJ65" i="8"/>
  <c r="V44" i="8"/>
  <c r="AX43" i="8"/>
  <c r="BB43" i="8" s="1"/>
  <c r="AY43" i="8"/>
  <c r="BC43" i="8" s="1"/>
  <c r="AZ43" i="8"/>
  <c r="BD43" i="8" s="1"/>
  <c r="AS43" i="8"/>
  <c r="AV43" i="8"/>
  <c r="AK143" i="8"/>
  <c r="V143" i="8"/>
  <c r="AS111" i="8"/>
  <c r="AT111" i="8"/>
  <c r="AU111" i="8"/>
  <c r="AY111" i="8"/>
  <c r="BC111" i="8" s="1"/>
  <c r="V66" i="8"/>
  <c r="AZ61" i="8"/>
  <c r="BD61" i="8" s="1"/>
  <c r="AS61" i="8"/>
  <c r="AT61" i="8"/>
  <c r="AX61" i="8"/>
  <c r="BB61" i="8" s="1"/>
  <c r="AZ152" i="8"/>
  <c r="BD152" i="8" s="1"/>
  <c r="AY138" i="8"/>
  <c r="BC138" i="8" s="1"/>
  <c r="AY118" i="8"/>
  <c r="BC118" i="8" s="1"/>
  <c r="AS112" i="8"/>
  <c r="AZ111" i="8"/>
  <c r="BD111" i="8" s="1"/>
  <c r="V111" i="8"/>
  <c r="AH70" i="8"/>
  <c r="AL70" i="8"/>
  <c r="AY61" i="8"/>
  <c r="BC61" i="8" s="1"/>
  <c r="AJ61" i="8"/>
  <c r="AK61" i="8"/>
  <c r="AL61" i="8"/>
  <c r="AH61" i="8"/>
  <c r="AS60" i="8"/>
  <c r="AT60" i="8"/>
  <c r="AU60" i="8"/>
  <c r="AY60" i="8"/>
  <c r="BC60" i="8" s="1"/>
  <c r="AL26" i="8"/>
  <c r="AH26" i="8"/>
  <c r="AI26" i="8"/>
  <c r="AJ26" i="8"/>
  <c r="AJ143" i="8"/>
  <c r="AL143" i="8"/>
  <c r="AI108" i="8"/>
  <c r="AK65" i="8"/>
  <c r="AX65" i="8"/>
  <c r="BB65" i="8" s="1"/>
  <c r="AY65" i="8"/>
  <c r="BC65" i="8" s="1"/>
  <c r="AZ65" i="8"/>
  <c r="BD65" i="8" s="1"/>
  <c r="AV65" i="8"/>
  <c r="AV61" i="8"/>
  <c r="V60" i="8"/>
  <c r="AU43" i="8"/>
  <c r="AK26" i="8"/>
  <c r="AS103" i="8"/>
  <c r="AT70" i="8"/>
  <c r="AS50" i="8"/>
  <c r="AT49" i="8"/>
  <c r="AT23" i="8"/>
  <c r="V26" i="8"/>
  <c r="V24" i="8"/>
  <c r="AY49" i="8"/>
  <c r="BC49" i="8" s="1"/>
  <c r="AY23" i="8"/>
  <c r="BC23" i="8" s="1"/>
  <c r="AX70" i="8"/>
  <c r="BB70" i="8" s="1"/>
  <c r="AX49" i="8"/>
  <c r="BB49" i="8" s="1"/>
  <c r="BM143" i="8" l="1"/>
  <c r="BN143" i="8"/>
  <c r="BO143" i="8"/>
  <c r="BP143" i="8"/>
  <c r="BM444" i="8"/>
  <c r="BN444" i="8"/>
  <c r="BO444" i="8"/>
  <c r="BP444" i="8"/>
  <c r="O121" i="22"/>
  <c r="N121" i="22"/>
  <c r="O47" i="22"/>
  <c r="N47" i="22"/>
  <c r="O26" i="22"/>
  <c r="O41" i="22"/>
  <c r="N26" i="22"/>
  <c r="N41" i="22"/>
  <c r="F6" i="22"/>
  <c r="E7" i="22"/>
  <c r="P69" i="22" s="1"/>
  <c r="E27" i="22"/>
  <c r="E24" i="22"/>
  <c r="E32" i="22"/>
  <c r="E29" i="22"/>
  <c r="E28" i="22"/>
  <c r="AL452" i="8"/>
  <c r="AH65" i="8"/>
  <c r="AN65" i="8" s="1"/>
  <c r="AQ65" i="8" s="1"/>
  <c r="AJ250" i="8"/>
  <c r="AK115" i="8"/>
  <c r="AJ115" i="8"/>
  <c r="AH115" i="8"/>
  <c r="AK43" i="8"/>
  <c r="AK24" i="8"/>
  <c r="AH24" i="8"/>
  <c r="AH452" i="8"/>
  <c r="AO452" i="8" s="1"/>
  <c r="AR452" i="8" s="1"/>
  <c r="AI113" i="8"/>
  <c r="AL250" i="8"/>
  <c r="AI250" i="8"/>
  <c r="AO250" i="8" s="1"/>
  <c r="AR250" i="8" s="1"/>
  <c r="AK250" i="8"/>
  <c r="AJ24" i="8"/>
  <c r="AI24" i="8"/>
  <c r="AM444" i="8"/>
  <c r="AP444" i="8" s="1"/>
  <c r="AJ103" i="8"/>
  <c r="AJ43" i="8"/>
  <c r="AI43" i="8"/>
  <c r="AI103" i="8"/>
  <c r="AH43" i="8"/>
  <c r="AH103" i="8"/>
  <c r="AI115" i="8"/>
  <c r="AL103" i="8"/>
  <c r="AI364" i="8"/>
  <c r="AH364" i="8"/>
  <c r="AK364" i="8"/>
  <c r="AJ364" i="8"/>
  <c r="AK152" i="8"/>
  <c r="AL248" i="8"/>
  <c r="AO363" i="8"/>
  <c r="AR363" i="8" s="1"/>
  <c r="AJ304" i="8"/>
  <c r="AI152" i="8"/>
  <c r="AH152" i="8"/>
  <c r="AL152" i="8"/>
  <c r="AK64" i="8"/>
  <c r="AK248" i="8"/>
  <c r="AL296" i="8"/>
  <c r="AJ64" i="8"/>
  <c r="AM138" i="8"/>
  <c r="AP138" i="8" s="1"/>
  <c r="AJ248" i="8"/>
  <c r="AJ251" i="8"/>
  <c r="AI64" i="8"/>
  <c r="AO64" i="8" s="1"/>
  <c r="AR64" i="8" s="1"/>
  <c r="AI248" i="8"/>
  <c r="AK446" i="8"/>
  <c r="AI296" i="8"/>
  <c r="AK296" i="8"/>
  <c r="AJ446" i="8"/>
  <c r="AI446" i="8"/>
  <c r="AL446" i="8"/>
  <c r="AH296" i="8"/>
  <c r="AL64" i="8"/>
  <c r="AI178" i="8"/>
  <c r="AO178" i="8" s="1"/>
  <c r="AR178" i="8" s="1"/>
  <c r="AJ178" i="8"/>
  <c r="AK178" i="8"/>
  <c r="AL178" i="8"/>
  <c r="AO70" i="8"/>
  <c r="AR70" i="8" s="1"/>
  <c r="AL113" i="8"/>
  <c r="AK304" i="8"/>
  <c r="AJ113" i="8"/>
  <c r="AH113" i="8"/>
  <c r="AN444" i="8"/>
  <c r="AQ444" i="8" s="1"/>
  <c r="AK408" i="8"/>
  <c r="AM118" i="8"/>
  <c r="AP118" i="8" s="1"/>
  <c r="AL408" i="8"/>
  <c r="AH408" i="8"/>
  <c r="AO408" i="8" s="1"/>
  <c r="AR408" i="8" s="1"/>
  <c r="AJ408" i="8"/>
  <c r="AO138" i="8"/>
  <c r="AR138" i="8" s="1"/>
  <c r="AJ452" i="8"/>
  <c r="AM253" i="8"/>
  <c r="AP253" i="8" s="1"/>
  <c r="AK452" i="8"/>
  <c r="AN118" i="8"/>
  <c r="AQ118" i="8" s="1"/>
  <c r="AH384" i="8"/>
  <c r="AK50" i="8"/>
  <c r="AH30" i="8"/>
  <c r="AN70" i="8"/>
  <c r="AQ70" i="8" s="1"/>
  <c r="AI251" i="8"/>
  <c r="AH251" i="8"/>
  <c r="AL251" i="8"/>
  <c r="AM143" i="8"/>
  <c r="AP143" i="8" s="1"/>
  <c r="AI304" i="8"/>
  <c r="AO304" i="8" s="1"/>
  <c r="AR304" i="8" s="1"/>
  <c r="AL304" i="8"/>
  <c r="AI384" i="8"/>
  <c r="AJ384" i="8"/>
  <c r="AK384" i="8"/>
  <c r="AL50" i="8"/>
  <c r="AI50" i="8"/>
  <c r="AO50" i="8" s="1"/>
  <c r="AR50" i="8" s="1"/>
  <c r="AJ50" i="8"/>
  <c r="AK30" i="8"/>
  <c r="AJ30" i="8"/>
  <c r="AL30" i="8"/>
  <c r="AO118" i="8"/>
  <c r="AR118" i="8" s="1"/>
  <c r="AN253" i="8"/>
  <c r="AQ253" i="8" s="1"/>
  <c r="AN363" i="8"/>
  <c r="AQ363" i="8" s="1"/>
  <c r="AN143" i="8"/>
  <c r="AQ143" i="8" s="1"/>
  <c r="AK252" i="8"/>
  <c r="AJ252" i="8"/>
  <c r="AL252" i="8"/>
  <c r="AI252" i="8"/>
  <c r="AO252" i="8" s="1"/>
  <c r="AR252" i="8" s="1"/>
  <c r="AH397" i="8"/>
  <c r="AI397" i="8"/>
  <c r="AJ397" i="8"/>
  <c r="AK397" i="8"/>
  <c r="AL397" i="8"/>
  <c r="AH198" i="8"/>
  <c r="AI198" i="8"/>
  <c r="AJ198" i="8"/>
  <c r="AK198" i="8"/>
  <c r="AL198" i="8"/>
  <c r="AM363" i="8"/>
  <c r="AP363" i="8" s="1"/>
  <c r="AM70" i="8"/>
  <c r="AP70" i="8" s="1"/>
  <c r="AI331" i="8"/>
  <c r="AH331" i="8"/>
  <c r="AK331" i="8"/>
  <c r="AL331" i="8"/>
  <c r="AN112" i="8"/>
  <c r="AQ112" i="8" s="1"/>
  <c r="AJ450" i="8"/>
  <c r="AI450" i="8"/>
  <c r="AH450" i="8"/>
  <c r="AH23" i="8"/>
  <c r="AI23" i="8"/>
  <c r="AJ23" i="8"/>
  <c r="AK23" i="8"/>
  <c r="AL23" i="8"/>
  <c r="AI41" i="8"/>
  <c r="AJ41" i="8"/>
  <c r="AK41" i="8"/>
  <c r="AL41" i="8"/>
  <c r="AH41" i="8"/>
  <c r="AI117" i="8"/>
  <c r="AJ117" i="8"/>
  <c r="AK117" i="8"/>
  <c r="AL117" i="8"/>
  <c r="AH117" i="8"/>
  <c r="AH164" i="8"/>
  <c r="AI164" i="8"/>
  <c r="AJ164" i="8"/>
  <c r="AK164" i="8"/>
  <c r="AL164" i="8"/>
  <c r="AK228" i="8"/>
  <c r="AL228" i="8"/>
  <c r="AH228" i="8"/>
  <c r="AI228" i="8"/>
  <c r="AJ228" i="8"/>
  <c r="AI153" i="8"/>
  <c r="AJ153" i="8"/>
  <c r="AK153" i="8"/>
  <c r="AL153" i="8"/>
  <c r="AH153" i="8"/>
  <c r="AH402" i="8"/>
  <c r="AI402" i="8"/>
  <c r="AJ402" i="8"/>
  <c r="AK402" i="8"/>
  <c r="AL402" i="8"/>
  <c r="AN61" i="8"/>
  <c r="AQ61" i="8" s="1"/>
  <c r="AK139" i="8"/>
  <c r="AI139" i="8"/>
  <c r="AL139" i="8"/>
  <c r="AH139" i="8"/>
  <c r="AJ139" i="8"/>
  <c r="AH127" i="8"/>
  <c r="AJ127" i="8"/>
  <c r="AK127" i="8"/>
  <c r="AL127" i="8"/>
  <c r="AI127" i="8"/>
  <c r="AH497" i="8"/>
  <c r="AI497" i="8"/>
  <c r="AJ497" i="8"/>
  <c r="AK497" i="8"/>
  <c r="AL497" i="8"/>
  <c r="AH49" i="8"/>
  <c r="AI49" i="8"/>
  <c r="AL49" i="8"/>
  <c r="AJ49" i="8"/>
  <c r="AK49" i="8"/>
  <c r="AM108" i="8"/>
  <c r="AP108" i="8" s="1"/>
  <c r="AN108" i="8"/>
  <c r="AQ108" i="8" s="1"/>
  <c r="AO108" i="8"/>
  <c r="AR108" i="8" s="1"/>
  <c r="AJ36" i="8"/>
  <c r="AK36" i="8"/>
  <c r="AL36" i="8"/>
  <c r="AH36" i="8"/>
  <c r="AI36" i="8"/>
  <c r="AH305" i="8"/>
  <c r="AI305" i="8"/>
  <c r="AJ305" i="8"/>
  <c r="AK305" i="8"/>
  <c r="AL305" i="8"/>
  <c r="AO246" i="8"/>
  <c r="AR246" i="8" s="1"/>
  <c r="AM246" i="8"/>
  <c r="AP246" i="8" s="1"/>
  <c r="AN246" i="8"/>
  <c r="AQ246" i="8" s="1"/>
  <c r="AH383" i="8"/>
  <c r="AJ383" i="8"/>
  <c r="AI383" i="8"/>
  <c r="AK383" i="8"/>
  <c r="AL383" i="8"/>
  <c r="AH44" i="8"/>
  <c r="AI44" i="8"/>
  <c r="AJ44" i="8"/>
  <c r="AK44" i="8"/>
  <c r="AL44" i="8"/>
  <c r="AM51" i="8"/>
  <c r="AP51" i="8" s="1"/>
  <c r="AN51" i="8"/>
  <c r="AQ51" i="8" s="1"/>
  <c r="AO51" i="8"/>
  <c r="AR51" i="8" s="1"/>
  <c r="AH177" i="8"/>
  <c r="AI177" i="8"/>
  <c r="AJ177" i="8"/>
  <c r="AK177" i="8"/>
  <c r="AL177" i="8"/>
  <c r="AK60" i="8"/>
  <c r="AL60" i="8"/>
  <c r="AI60" i="8"/>
  <c r="AJ60" i="8"/>
  <c r="AH60" i="8"/>
  <c r="AK111" i="8"/>
  <c r="AL111" i="8"/>
  <c r="AI111" i="8"/>
  <c r="AJ111" i="8"/>
  <c r="AH111" i="8"/>
  <c r="AM227" i="8"/>
  <c r="AP227" i="8" s="1"/>
  <c r="AN227" i="8"/>
  <c r="AQ227" i="8" s="1"/>
  <c r="AO227" i="8"/>
  <c r="AR227" i="8" s="1"/>
  <c r="AH372" i="8"/>
  <c r="AI372" i="8"/>
  <c r="AK372" i="8"/>
  <c r="AL372" i="8"/>
  <c r="AJ372" i="8"/>
  <c r="AH176" i="8"/>
  <c r="AI176" i="8"/>
  <c r="AJ176" i="8"/>
  <c r="AK176" i="8"/>
  <c r="AL176" i="8"/>
  <c r="AH249" i="8"/>
  <c r="AI249" i="8"/>
  <c r="AJ249" i="8"/>
  <c r="AK249" i="8"/>
  <c r="AL249" i="8"/>
  <c r="AK346" i="8"/>
  <c r="AL346" i="8"/>
  <c r="AH346" i="8"/>
  <c r="AJ346" i="8"/>
  <c r="AI346" i="8"/>
  <c r="AH156" i="8"/>
  <c r="AI156" i="8"/>
  <c r="AJ156" i="8"/>
  <c r="AK156" i="8"/>
  <c r="AL156" i="8"/>
  <c r="AK421" i="8"/>
  <c r="AH421" i="8"/>
  <c r="AI421" i="8"/>
  <c r="AJ421" i="8"/>
  <c r="AL421" i="8"/>
  <c r="AM26" i="8"/>
  <c r="AP26" i="8" s="1"/>
  <c r="AN26" i="8"/>
  <c r="AQ26" i="8" s="1"/>
  <c r="AO26" i="8"/>
  <c r="AR26" i="8" s="1"/>
  <c r="AM61" i="8"/>
  <c r="AP61" i="8" s="1"/>
  <c r="AO112" i="8"/>
  <c r="AR112" i="8" s="1"/>
  <c r="AM112" i="8"/>
  <c r="AP112" i="8" s="1"/>
  <c r="AK270" i="8"/>
  <c r="AH270" i="8"/>
  <c r="AI270" i="8"/>
  <c r="AJ270" i="8"/>
  <c r="AL270" i="8"/>
  <c r="AH365" i="8"/>
  <c r="AI365" i="8"/>
  <c r="AJ365" i="8"/>
  <c r="AL365" i="8"/>
  <c r="AK365" i="8"/>
  <c r="AM487" i="8"/>
  <c r="AP487" i="8" s="1"/>
  <c r="AN487" i="8"/>
  <c r="AQ487" i="8" s="1"/>
  <c r="AO487" i="8"/>
  <c r="AR487" i="8" s="1"/>
  <c r="AH66" i="8"/>
  <c r="AI66" i="8"/>
  <c r="AJ66" i="8"/>
  <c r="AK66" i="8"/>
  <c r="AL66" i="8"/>
  <c r="AN138" i="8"/>
  <c r="AQ138" i="8" s="1"/>
  <c r="AO61" i="8"/>
  <c r="AR61" i="8" s="1"/>
  <c r="AH319" i="8"/>
  <c r="AI319" i="8"/>
  <c r="AJ319" i="8"/>
  <c r="AK319" i="8"/>
  <c r="AL319" i="8"/>
  <c r="AO253" i="8"/>
  <c r="AR253" i="8" s="1"/>
  <c r="AN320" i="8"/>
  <c r="AQ320" i="8" s="1"/>
  <c r="AO320" i="8"/>
  <c r="AR320" i="8" s="1"/>
  <c r="AM320" i="8"/>
  <c r="AP320" i="8" s="1"/>
  <c r="AM343" i="8"/>
  <c r="AP343" i="8" s="1"/>
  <c r="AN343" i="8"/>
  <c r="AQ343" i="8" s="1"/>
  <c r="AO343" i="8"/>
  <c r="AR343" i="8" s="1"/>
  <c r="BF246" i="8" l="1"/>
  <c r="BE246" i="8"/>
  <c r="BG246" i="8"/>
  <c r="BH246" i="8"/>
  <c r="BL363" i="8"/>
  <c r="BJ363" i="8"/>
  <c r="BK363" i="8"/>
  <c r="BI363" i="8"/>
  <c r="BI227" i="8"/>
  <c r="BL227" i="8"/>
  <c r="BJ227" i="8"/>
  <c r="BK227" i="8"/>
  <c r="BI253" i="8"/>
  <c r="BJ253" i="8"/>
  <c r="BK253" i="8"/>
  <c r="BL253" i="8"/>
  <c r="BO178" i="8"/>
  <c r="BN178" i="8"/>
  <c r="BP178" i="8"/>
  <c r="BM178" i="8"/>
  <c r="BE320" i="8"/>
  <c r="BF320" i="8"/>
  <c r="BG320" i="8"/>
  <c r="BH320" i="8"/>
  <c r="BP487" i="8"/>
  <c r="BN487" i="8"/>
  <c r="BO487" i="8"/>
  <c r="BM487" i="8"/>
  <c r="BE70" i="8"/>
  <c r="BG70" i="8"/>
  <c r="BF70" i="8"/>
  <c r="BH70" i="8"/>
  <c r="BN320" i="8"/>
  <c r="BM320" i="8"/>
  <c r="BO320" i="8"/>
  <c r="BP320" i="8"/>
  <c r="BM227" i="8"/>
  <c r="BN227" i="8"/>
  <c r="BO227" i="8"/>
  <c r="BP227" i="8"/>
  <c r="BI246" i="8"/>
  <c r="BJ246" i="8"/>
  <c r="BK246" i="8"/>
  <c r="BL246" i="8"/>
  <c r="BP50" i="8"/>
  <c r="BM50" i="8"/>
  <c r="BO50" i="8"/>
  <c r="BN50" i="8"/>
  <c r="BI487" i="8"/>
  <c r="BL487" i="8"/>
  <c r="BJ487" i="8"/>
  <c r="BK487" i="8"/>
  <c r="BK26" i="8"/>
  <c r="BL26" i="8"/>
  <c r="BI26" i="8"/>
  <c r="BJ26" i="8"/>
  <c r="BF363" i="8"/>
  <c r="BG363" i="8"/>
  <c r="BE363" i="8"/>
  <c r="BH363" i="8"/>
  <c r="BF487" i="8"/>
  <c r="BE487" i="8"/>
  <c r="BG487" i="8"/>
  <c r="BH487" i="8"/>
  <c r="BP246" i="8"/>
  <c r="BN246" i="8"/>
  <c r="BO246" i="8"/>
  <c r="BM246" i="8"/>
  <c r="BE227" i="8"/>
  <c r="BF227" i="8"/>
  <c r="BG227" i="8"/>
  <c r="BH227" i="8"/>
  <c r="BN51" i="8"/>
  <c r="BO51" i="8"/>
  <c r="BP51" i="8"/>
  <c r="BM51" i="8"/>
  <c r="BK70" i="8"/>
  <c r="BI70" i="8"/>
  <c r="BJ70" i="8"/>
  <c r="BL70" i="8"/>
  <c r="BI51" i="8"/>
  <c r="BJ51" i="8"/>
  <c r="BK51" i="8"/>
  <c r="BL51" i="8"/>
  <c r="BI143" i="8"/>
  <c r="BJ143" i="8"/>
  <c r="BK143" i="8"/>
  <c r="BL143" i="8"/>
  <c r="BO363" i="8"/>
  <c r="BP363" i="8"/>
  <c r="BM363" i="8"/>
  <c r="BN363" i="8"/>
  <c r="BN61" i="8"/>
  <c r="BM61" i="8"/>
  <c r="BO61" i="8"/>
  <c r="BP61" i="8"/>
  <c r="BI444" i="8"/>
  <c r="BJ444" i="8"/>
  <c r="BK444" i="8"/>
  <c r="BL444" i="8"/>
  <c r="BM253" i="8"/>
  <c r="BN253" i="8"/>
  <c r="BO253" i="8"/>
  <c r="BP253" i="8"/>
  <c r="BK112" i="8"/>
  <c r="BI112" i="8"/>
  <c r="BJ112" i="8"/>
  <c r="BL112" i="8"/>
  <c r="BO138" i="8"/>
  <c r="BN138" i="8"/>
  <c r="BP138" i="8"/>
  <c r="BM138" i="8"/>
  <c r="BO343" i="8"/>
  <c r="BP343" i="8"/>
  <c r="BM343" i="8"/>
  <c r="BN343" i="8"/>
  <c r="BO108" i="8"/>
  <c r="BM108" i="8"/>
  <c r="BN108" i="8"/>
  <c r="BP108" i="8"/>
  <c r="BM408" i="8"/>
  <c r="BN408" i="8"/>
  <c r="BO408" i="8"/>
  <c r="BP408" i="8"/>
  <c r="BP26" i="8"/>
  <c r="BM26" i="8"/>
  <c r="BO26" i="8"/>
  <c r="BN26" i="8"/>
  <c r="BE253" i="8"/>
  <c r="BG253" i="8"/>
  <c r="BH253" i="8"/>
  <c r="BF253" i="8"/>
  <c r="BK138" i="8"/>
  <c r="BI138" i="8"/>
  <c r="BL138" i="8"/>
  <c r="BJ138" i="8"/>
  <c r="BO118" i="8"/>
  <c r="BN118" i="8"/>
  <c r="BP118" i="8"/>
  <c r="BM118" i="8"/>
  <c r="BI61" i="8"/>
  <c r="BJ61" i="8"/>
  <c r="BK61" i="8"/>
  <c r="BL61" i="8"/>
  <c r="BP252" i="8"/>
  <c r="BN252" i="8"/>
  <c r="BM252" i="8"/>
  <c r="BO252" i="8"/>
  <c r="BP64" i="8"/>
  <c r="BM64" i="8"/>
  <c r="BN64" i="8"/>
  <c r="BO64" i="8"/>
  <c r="BF112" i="8"/>
  <c r="BG112" i="8"/>
  <c r="BE112" i="8"/>
  <c r="BH112" i="8"/>
  <c r="BE51" i="8"/>
  <c r="BH51" i="8"/>
  <c r="BF51" i="8"/>
  <c r="BG51" i="8"/>
  <c r="BL343" i="8"/>
  <c r="BJ343" i="8"/>
  <c r="BK343" i="8"/>
  <c r="BI343" i="8"/>
  <c r="BO112" i="8"/>
  <c r="BM112" i="8"/>
  <c r="BN112" i="8"/>
  <c r="BP112" i="8"/>
  <c r="BK108" i="8"/>
  <c r="BI108" i="8"/>
  <c r="BL108" i="8"/>
  <c r="BJ108" i="8"/>
  <c r="BN304" i="8"/>
  <c r="BM304" i="8"/>
  <c r="BO304" i="8"/>
  <c r="BP304" i="8"/>
  <c r="BP70" i="8"/>
  <c r="BM70" i="8"/>
  <c r="BO70" i="8"/>
  <c r="BN70" i="8"/>
  <c r="BM452" i="8"/>
  <c r="BN452" i="8"/>
  <c r="BO452" i="8"/>
  <c r="BP452" i="8"/>
  <c r="BI65" i="8"/>
  <c r="BJ65" i="8"/>
  <c r="BK65" i="8"/>
  <c r="BL65" i="8"/>
  <c r="BI320" i="8"/>
  <c r="BJ320" i="8"/>
  <c r="BK320" i="8"/>
  <c r="BL320" i="8"/>
  <c r="BF26" i="8"/>
  <c r="BG26" i="8"/>
  <c r="BH26" i="8"/>
  <c r="BE26" i="8"/>
  <c r="BP250" i="8"/>
  <c r="BN250" i="8"/>
  <c r="BM250" i="8"/>
  <c r="BO250" i="8"/>
  <c r="BF343" i="8"/>
  <c r="BG343" i="8"/>
  <c r="BE343" i="8"/>
  <c r="BH343" i="8"/>
  <c r="BE61" i="8"/>
  <c r="BH61" i="8"/>
  <c r="BG61" i="8"/>
  <c r="BF61" i="8"/>
  <c r="BH108" i="8"/>
  <c r="BE108" i="8"/>
  <c r="BF108" i="8"/>
  <c r="BG108" i="8"/>
  <c r="BH143" i="8"/>
  <c r="BE143" i="8"/>
  <c r="BF143" i="8"/>
  <c r="BG143" i="8"/>
  <c r="BK118" i="8"/>
  <c r="BI118" i="8"/>
  <c r="BJ118" i="8"/>
  <c r="BL118" i="8"/>
  <c r="BE118" i="8"/>
  <c r="BG118" i="8"/>
  <c r="BH118" i="8"/>
  <c r="BF118" i="8"/>
  <c r="BF138" i="8"/>
  <c r="BG138" i="8"/>
  <c r="BE138" i="8"/>
  <c r="BH138" i="8"/>
  <c r="BE444" i="8"/>
  <c r="BF444" i="8"/>
  <c r="BG444" i="8"/>
  <c r="BH444" i="8"/>
  <c r="P7" i="22"/>
  <c r="P125" i="22"/>
  <c r="P129" i="22"/>
  <c r="P133" i="22"/>
  <c r="P137" i="22"/>
  <c r="P141" i="22"/>
  <c r="P145" i="22"/>
  <c r="P149" i="22"/>
  <c r="P122" i="22"/>
  <c r="P126" i="22"/>
  <c r="P144" i="22"/>
  <c r="P127" i="22"/>
  <c r="P128" i="22"/>
  <c r="P142" i="22"/>
  <c r="P138" i="22"/>
  <c r="P139" i="22"/>
  <c r="P140" i="22"/>
  <c r="P134" i="22"/>
  <c r="P135" i="22"/>
  <c r="P136" i="22"/>
  <c r="P124" i="22"/>
  <c r="P123" i="22"/>
  <c r="P130" i="22"/>
  <c r="P131" i="22"/>
  <c r="P132" i="22"/>
  <c r="P146" i="22"/>
  <c r="P147" i="22"/>
  <c r="P148" i="22"/>
  <c r="P143" i="22"/>
  <c r="AO65" i="8"/>
  <c r="AR65" i="8" s="1"/>
  <c r="AM65" i="8"/>
  <c r="AP65" i="8" s="1"/>
  <c r="AO113" i="8"/>
  <c r="AR113" i="8" s="1"/>
  <c r="P24" i="22"/>
  <c r="P32" i="22"/>
  <c r="P27" i="22"/>
  <c r="P28" i="22"/>
  <c r="P29" i="22"/>
  <c r="AM452" i="8"/>
  <c r="AP452" i="8" s="1"/>
  <c r="AO115" i="8"/>
  <c r="AR115" i="8" s="1"/>
  <c r="P51" i="22"/>
  <c r="P43" i="22"/>
  <c r="P44" i="22"/>
  <c r="P48" i="22"/>
  <c r="P49" i="22"/>
  <c r="G6" i="22"/>
  <c r="F32" i="22"/>
  <c r="F24" i="22"/>
  <c r="F28" i="22"/>
  <c r="F7" i="22"/>
  <c r="Q69" i="22" s="1"/>
  <c r="F29" i="22"/>
  <c r="F27" i="22"/>
  <c r="F43" i="22"/>
  <c r="F50" i="22"/>
  <c r="F44" i="22"/>
  <c r="F42" i="22"/>
  <c r="F45" i="22"/>
  <c r="F49" i="22"/>
  <c r="F48" i="22"/>
  <c r="F51" i="22"/>
  <c r="P42" i="22"/>
  <c r="P50" i="22"/>
  <c r="P45" i="22"/>
  <c r="AM24" i="8"/>
  <c r="AP24" i="8" s="1"/>
  <c r="AN24" i="8"/>
  <c r="AQ24" i="8" s="1"/>
  <c r="AO24" i="8"/>
  <c r="AR24" i="8" s="1"/>
  <c r="AN250" i="8"/>
  <c r="AQ250" i="8" s="1"/>
  <c r="AM250" i="8"/>
  <c r="AP250" i="8" s="1"/>
  <c r="AO103" i="8"/>
  <c r="AR103" i="8" s="1"/>
  <c r="AM103" i="8"/>
  <c r="AP103" i="8" s="1"/>
  <c r="AN103" i="8"/>
  <c r="AQ103" i="8" s="1"/>
  <c r="AN43" i="8"/>
  <c r="AQ43" i="8" s="1"/>
  <c r="AM364" i="8"/>
  <c r="AP364" i="8" s="1"/>
  <c r="AN364" i="8"/>
  <c r="AQ364" i="8" s="1"/>
  <c r="AO43" i="8"/>
  <c r="AR43" i="8" s="1"/>
  <c r="AM43" i="8"/>
  <c r="AP43" i="8" s="1"/>
  <c r="AO364" i="8"/>
  <c r="AR364" i="8" s="1"/>
  <c r="AM115" i="8"/>
  <c r="AP115" i="8" s="1"/>
  <c r="AN115" i="8"/>
  <c r="AQ115" i="8" s="1"/>
  <c r="AM248" i="8"/>
  <c r="AP248" i="8" s="1"/>
  <c r="AM152" i="8"/>
  <c r="AP152" i="8" s="1"/>
  <c r="AM178" i="8"/>
  <c r="AP178" i="8" s="1"/>
  <c r="AN178" i="8"/>
  <c r="AQ178" i="8" s="1"/>
  <c r="AO248" i="8"/>
  <c r="AR248" i="8" s="1"/>
  <c r="AN296" i="8"/>
  <c r="AQ296" i="8" s="1"/>
  <c r="AN152" i="8"/>
  <c r="AQ152" i="8" s="1"/>
  <c r="AN248" i="8"/>
  <c r="AQ248" i="8" s="1"/>
  <c r="AO152" i="8"/>
  <c r="AR152" i="8" s="1"/>
  <c r="AN446" i="8"/>
  <c r="AQ446" i="8" s="1"/>
  <c r="AM446" i="8"/>
  <c r="AP446" i="8" s="1"/>
  <c r="AO446" i="8"/>
  <c r="AR446" i="8" s="1"/>
  <c r="AN64" i="8"/>
  <c r="AQ64" i="8" s="1"/>
  <c r="AO296" i="8"/>
  <c r="AR296" i="8" s="1"/>
  <c r="AM64" i="8"/>
  <c r="AP64" i="8" s="1"/>
  <c r="AM296" i="8"/>
  <c r="AP296" i="8" s="1"/>
  <c r="AM450" i="8"/>
  <c r="AP450" i="8" s="1"/>
  <c r="AM113" i="8"/>
  <c r="AP113" i="8" s="1"/>
  <c r="AN452" i="8"/>
  <c r="AQ452" i="8" s="1"/>
  <c r="AN113" i="8"/>
  <c r="AQ113" i="8" s="1"/>
  <c r="AN384" i="8"/>
  <c r="AQ384" i="8" s="1"/>
  <c r="AN450" i="8"/>
  <c r="AQ450" i="8" s="1"/>
  <c r="AM251" i="8"/>
  <c r="AP251" i="8" s="1"/>
  <c r="AN408" i="8"/>
  <c r="AQ408" i="8" s="1"/>
  <c r="AM408" i="8"/>
  <c r="AP408" i="8" s="1"/>
  <c r="AO384" i="8"/>
  <c r="AR384" i="8" s="1"/>
  <c r="AM30" i="8"/>
  <c r="AP30" i="8" s="1"/>
  <c r="AM50" i="8"/>
  <c r="AP50" i="8" s="1"/>
  <c r="AN50" i="8"/>
  <c r="AQ50" i="8" s="1"/>
  <c r="AO30" i="8"/>
  <c r="AR30" i="8" s="1"/>
  <c r="AN30" i="8"/>
  <c r="AQ30" i="8" s="1"/>
  <c r="AO251" i="8"/>
  <c r="AR251" i="8" s="1"/>
  <c r="AN251" i="8"/>
  <c r="AQ251" i="8" s="1"/>
  <c r="AO450" i="8"/>
  <c r="AR450" i="8" s="1"/>
  <c r="AM397" i="8"/>
  <c r="AP397" i="8" s="1"/>
  <c r="AO397" i="8"/>
  <c r="AR397" i="8" s="1"/>
  <c r="AN397" i="8"/>
  <c r="AQ397" i="8" s="1"/>
  <c r="AM331" i="8"/>
  <c r="AP331" i="8" s="1"/>
  <c r="AO331" i="8"/>
  <c r="AR331" i="8" s="1"/>
  <c r="AM252" i="8"/>
  <c r="AP252" i="8" s="1"/>
  <c r="AN252" i="8"/>
  <c r="AQ252" i="8" s="1"/>
  <c r="AN331" i="8"/>
  <c r="AQ331" i="8" s="1"/>
  <c r="AN304" i="8"/>
  <c r="AQ304" i="8" s="1"/>
  <c r="AM304" i="8"/>
  <c r="AP304" i="8" s="1"/>
  <c r="AM198" i="8"/>
  <c r="AP198" i="8" s="1"/>
  <c r="AO198" i="8"/>
  <c r="AR198" i="8" s="1"/>
  <c r="AN198" i="8"/>
  <c r="AQ198" i="8" s="1"/>
  <c r="AM384" i="8"/>
  <c r="AP384" i="8" s="1"/>
  <c r="AM270" i="8"/>
  <c r="AP270" i="8" s="1"/>
  <c r="AN270" i="8"/>
  <c r="AQ270" i="8" s="1"/>
  <c r="AO270" i="8"/>
  <c r="AR270" i="8" s="1"/>
  <c r="AM421" i="8"/>
  <c r="AP421" i="8" s="1"/>
  <c r="AO421" i="8"/>
  <c r="AR421" i="8" s="1"/>
  <c r="AN421" i="8"/>
  <c r="AQ421" i="8" s="1"/>
  <c r="AM176" i="8"/>
  <c r="AP176" i="8" s="1"/>
  <c r="AN176" i="8"/>
  <c r="AQ176" i="8" s="1"/>
  <c r="AO176" i="8"/>
  <c r="AR176" i="8" s="1"/>
  <c r="AN497" i="8"/>
  <c r="AQ497" i="8" s="1"/>
  <c r="AM497" i="8"/>
  <c r="AP497" i="8" s="1"/>
  <c r="AO497" i="8"/>
  <c r="AR497" i="8" s="1"/>
  <c r="AN41" i="8"/>
  <c r="AQ41" i="8" s="1"/>
  <c r="AO41" i="8"/>
  <c r="AR41" i="8" s="1"/>
  <c r="AM41" i="8"/>
  <c r="AP41" i="8" s="1"/>
  <c r="AO44" i="8"/>
  <c r="AR44" i="8" s="1"/>
  <c r="AM44" i="8"/>
  <c r="AP44" i="8" s="1"/>
  <c r="AN44" i="8"/>
  <c r="AQ44" i="8" s="1"/>
  <c r="AM111" i="8"/>
  <c r="AP111" i="8" s="1"/>
  <c r="AN111" i="8"/>
  <c r="AQ111" i="8" s="1"/>
  <c r="AO111" i="8"/>
  <c r="AR111" i="8" s="1"/>
  <c r="AM153" i="8"/>
  <c r="AP153" i="8" s="1"/>
  <c r="AO153" i="8"/>
  <c r="AR153" i="8" s="1"/>
  <c r="AN153" i="8"/>
  <c r="AQ153" i="8" s="1"/>
  <c r="AM372" i="8"/>
  <c r="AP372" i="8" s="1"/>
  <c r="AN372" i="8"/>
  <c r="AQ372" i="8" s="1"/>
  <c r="AO372" i="8"/>
  <c r="AR372" i="8" s="1"/>
  <c r="AM60" i="8"/>
  <c r="AP60" i="8" s="1"/>
  <c r="AN60" i="8"/>
  <c r="AQ60" i="8" s="1"/>
  <c r="AO60" i="8"/>
  <c r="AR60" i="8" s="1"/>
  <c r="AO319" i="8"/>
  <c r="AR319" i="8" s="1"/>
  <c r="AN319" i="8"/>
  <c r="AQ319" i="8" s="1"/>
  <c r="AM319" i="8"/>
  <c r="AP319" i="8" s="1"/>
  <c r="AM365" i="8"/>
  <c r="AP365" i="8" s="1"/>
  <c r="AO365" i="8"/>
  <c r="AR365" i="8" s="1"/>
  <c r="AN365" i="8"/>
  <c r="AQ365" i="8" s="1"/>
  <c r="AM156" i="8"/>
  <c r="AP156" i="8" s="1"/>
  <c r="AN156" i="8"/>
  <c r="AQ156" i="8" s="1"/>
  <c r="AO156" i="8"/>
  <c r="AR156" i="8" s="1"/>
  <c r="AM346" i="8"/>
  <c r="AP346" i="8" s="1"/>
  <c r="AO346" i="8"/>
  <c r="AR346" i="8" s="1"/>
  <c r="AN346" i="8"/>
  <c r="AQ346" i="8" s="1"/>
  <c r="AM249" i="8"/>
  <c r="AP249" i="8" s="1"/>
  <c r="AN249" i="8"/>
  <c r="AQ249" i="8" s="1"/>
  <c r="AO249" i="8"/>
  <c r="AR249" i="8" s="1"/>
  <c r="AM383" i="8"/>
  <c r="AP383" i="8" s="1"/>
  <c r="AN383" i="8"/>
  <c r="AQ383" i="8" s="1"/>
  <c r="AO383" i="8"/>
  <c r="AR383" i="8" s="1"/>
  <c r="AM305" i="8"/>
  <c r="AP305" i="8" s="1"/>
  <c r="AO305" i="8"/>
  <c r="AR305" i="8" s="1"/>
  <c r="AN305" i="8"/>
  <c r="AQ305" i="8" s="1"/>
  <c r="AN49" i="8"/>
  <c r="AQ49" i="8" s="1"/>
  <c r="AO49" i="8"/>
  <c r="AR49" i="8" s="1"/>
  <c r="AM49" i="8"/>
  <c r="AP49" i="8" s="1"/>
  <c r="AM402" i="8"/>
  <c r="AP402" i="8" s="1"/>
  <c r="AO402" i="8"/>
  <c r="AR402" i="8" s="1"/>
  <c r="AN402" i="8"/>
  <c r="AQ402" i="8" s="1"/>
  <c r="AM228" i="8"/>
  <c r="AP228" i="8" s="1"/>
  <c r="AN228" i="8"/>
  <c r="AQ228" i="8" s="1"/>
  <c r="AO228" i="8"/>
  <c r="AR228" i="8" s="1"/>
  <c r="AO117" i="8"/>
  <c r="AR117" i="8" s="1"/>
  <c r="AM117" i="8"/>
  <c r="AP117" i="8" s="1"/>
  <c r="AN117" i="8"/>
  <c r="AQ117" i="8" s="1"/>
  <c r="AN23" i="8"/>
  <c r="AQ23" i="8" s="1"/>
  <c r="AO23" i="8"/>
  <c r="AR23" i="8" s="1"/>
  <c r="AM23" i="8"/>
  <c r="AP23" i="8" s="1"/>
  <c r="AO66" i="8"/>
  <c r="AR66" i="8" s="1"/>
  <c r="AM66" i="8"/>
  <c r="AP66" i="8" s="1"/>
  <c r="AN66" i="8"/>
  <c r="AQ66" i="8" s="1"/>
  <c r="AO177" i="8"/>
  <c r="AR177" i="8" s="1"/>
  <c r="AM177" i="8"/>
  <c r="AP177" i="8" s="1"/>
  <c r="AN177" i="8"/>
  <c r="AQ177" i="8" s="1"/>
  <c r="AM36" i="8"/>
  <c r="AP36" i="8" s="1"/>
  <c r="AO36" i="8"/>
  <c r="AR36" i="8" s="1"/>
  <c r="AN36" i="8"/>
  <c r="AQ36" i="8" s="1"/>
  <c r="AM127" i="8"/>
  <c r="AP127" i="8" s="1"/>
  <c r="AO127" i="8"/>
  <c r="AR127" i="8" s="1"/>
  <c r="AN127" i="8"/>
  <c r="AQ127" i="8" s="1"/>
  <c r="AM139" i="8"/>
  <c r="AP139" i="8" s="1"/>
  <c r="AN139" i="8"/>
  <c r="AQ139" i="8" s="1"/>
  <c r="AO139" i="8"/>
  <c r="AR139" i="8" s="1"/>
  <c r="AO164" i="8"/>
  <c r="AR164" i="8" s="1"/>
  <c r="AM164" i="8"/>
  <c r="AP164" i="8" s="1"/>
  <c r="AN164" i="8"/>
  <c r="AQ164" i="8" s="1"/>
  <c r="Q49" i="22" l="1"/>
  <c r="Q51" i="22"/>
  <c r="Q43" i="22"/>
  <c r="BF164" i="8"/>
  <c r="BG164" i="8"/>
  <c r="BE164" i="8"/>
  <c r="BH164" i="8"/>
  <c r="BK36" i="8"/>
  <c r="BI36" i="8"/>
  <c r="BJ36" i="8"/>
  <c r="BL36" i="8"/>
  <c r="BP66" i="8"/>
  <c r="BM66" i="8"/>
  <c r="BO66" i="8"/>
  <c r="BN66" i="8"/>
  <c r="BI228" i="8"/>
  <c r="BJ228" i="8"/>
  <c r="BK228" i="8"/>
  <c r="BL228" i="8"/>
  <c r="BK305" i="8"/>
  <c r="BL305" i="8"/>
  <c r="BI305" i="8"/>
  <c r="BJ305" i="8"/>
  <c r="BE249" i="8"/>
  <c r="BH249" i="8"/>
  <c r="BF249" i="8"/>
  <c r="BG249" i="8"/>
  <c r="BO365" i="8"/>
  <c r="BP365" i="8"/>
  <c r="BM365" i="8"/>
  <c r="BN365" i="8"/>
  <c r="BN372" i="8"/>
  <c r="BM372" i="8"/>
  <c r="BO372" i="8"/>
  <c r="BP372" i="8"/>
  <c r="BE111" i="8"/>
  <c r="BH111" i="8"/>
  <c r="BG111" i="8"/>
  <c r="BF111" i="8"/>
  <c r="BF497" i="8"/>
  <c r="BE497" i="8"/>
  <c r="BG497" i="8"/>
  <c r="BH497" i="8"/>
  <c r="BP270" i="8"/>
  <c r="BN270" i="8"/>
  <c r="BO270" i="8"/>
  <c r="BM270" i="8"/>
  <c r="BI304" i="8"/>
  <c r="BJ304" i="8"/>
  <c r="BK304" i="8"/>
  <c r="BL304" i="8"/>
  <c r="BF397" i="8"/>
  <c r="BG397" i="8"/>
  <c r="BE397" i="8"/>
  <c r="BH397" i="8"/>
  <c r="BF30" i="8"/>
  <c r="BG30" i="8"/>
  <c r="BH30" i="8"/>
  <c r="BE30" i="8"/>
  <c r="BI452" i="8"/>
  <c r="BJ452" i="8"/>
  <c r="BK452" i="8"/>
  <c r="BL452" i="8"/>
  <c r="BE446" i="8"/>
  <c r="BG446" i="8"/>
  <c r="BH446" i="8"/>
  <c r="BF446" i="8"/>
  <c r="BF178" i="8"/>
  <c r="BG178" i="8"/>
  <c r="BE178" i="8"/>
  <c r="BH178" i="8"/>
  <c r="BI364" i="8"/>
  <c r="BJ364" i="8"/>
  <c r="BK364" i="8"/>
  <c r="BL364" i="8"/>
  <c r="BP24" i="8"/>
  <c r="BM24" i="8"/>
  <c r="BN24" i="8"/>
  <c r="BO24" i="8"/>
  <c r="BO164" i="8"/>
  <c r="BM164" i="8"/>
  <c r="BN164" i="8"/>
  <c r="BP164" i="8"/>
  <c r="BP36" i="8"/>
  <c r="BM36" i="8"/>
  <c r="BN36" i="8"/>
  <c r="BO36" i="8"/>
  <c r="BE23" i="8"/>
  <c r="BH23" i="8"/>
  <c r="BF23" i="8"/>
  <c r="BG23" i="8"/>
  <c r="BF228" i="8"/>
  <c r="BG228" i="8"/>
  <c r="BE228" i="8"/>
  <c r="BH228" i="8"/>
  <c r="BO305" i="8"/>
  <c r="BP305" i="8"/>
  <c r="BM305" i="8"/>
  <c r="BN305" i="8"/>
  <c r="BI346" i="8"/>
  <c r="BJ346" i="8"/>
  <c r="BK346" i="8"/>
  <c r="BL346" i="8"/>
  <c r="BF365" i="8"/>
  <c r="BG365" i="8"/>
  <c r="BE365" i="8"/>
  <c r="BH365" i="8"/>
  <c r="BI372" i="8"/>
  <c r="BJ372" i="8"/>
  <c r="BK372" i="8"/>
  <c r="BL372" i="8"/>
  <c r="BK44" i="8"/>
  <c r="BI44" i="8"/>
  <c r="BL44" i="8"/>
  <c r="BJ44" i="8"/>
  <c r="BI497" i="8"/>
  <c r="BL497" i="8"/>
  <c r="BK497" i="8"/>
  <c r="BJ497" i="8"/>
  <c r="BI270" i="8"/>
  <c r="BJ270" i="8"/>
  <c r="BK270" i="8"/>
  <c r="BL270" i="8"/>
  <c r="BL331" i="8"/>
  <c r="BJ331" i="8"/>
  <c r="BK331" i="8"/>
  <c r="BI331" i="8"/>
  <c r="BM450" i="8"/>
  <c r="BN450" i="8"/>
  <c r="BP450" i="8"/>
  <c r="BO450" i="8"/>
  <c r="BP384" i="8"/>
  <c r="BN384" i="8"/>
  <c r="BO384" i="8"/>
  <c r="BM384" i="8"/>
  <c r="BE113" i="8"/>
  <c r="BH113" i="8"/>
  <c r="BF113" i="8"/>
  <c r="BG113" i="8"/>
  <c r="BI446" i="8"/>
  <c r="BJ446" i="8"/>
  <c r="BK446" i="8"/>
  <c r="BL446" i="8"/>
  <c r="BF152" i="8"/>
  <c r="BG152" i="8"/>
  <c r="BE152" i="8"/>
  <c r="BH152" i="8"/>
  <c r="BE364" i="8"/>
  <c r="BF364" i="8"/>
  <c r="BG364" i="8"/>
  <c r="BH364" i="8"/>
  <c r="BK24" i="8"/>
  <c r="BI24" i="8"/>
  <c r="BJ24" i="8"/>
  <c r="BL24" i="8"/>
  <c r="BM113" i="8"/>
  <c r="BN113" i="8"/>
  <c r="BO113" i="8"/>
  <c r="BP113" i="8"/>
  <c r="BK66" i="8"/>
  <c r="BI66" i="8"/>
  <c r="BJ66" i="8"/>
  <c r="BL66" i="8"/>
  <c r="BM49" i="8"/>
  <c r="BN49" i="8"/>
  <c r="BO49" i="8"/>
  <c r="BP49" i="8"/>
  <c r="BF156" i="8"/>
  <c r="BG156" i="8"/>
  <c r="BE156" i="8"/>
  <c r="BH156" i="8"/>
  <c r="BI41" i="8"/>
  <c r="BJ41" i="8"/>
  <c r="BK41" i="8"/>
  <c r="BL41" i="8"/>
  <c r="BF198" i="8"/>
  <c r="BG198" i="8"/>
  <c r="BE198" i="8"/>
  <c r="BH198" i="8"/>
  <c r="BK50" i="8"/>
  <c r="BI50" i="8"/>
  <c r="BL50" i="8"/>
  <c r="BJ50" i="8"/>
  <c r="BK64" i="8"/>
  <c r="BI64" i="8"/>
  <c r="BJ64" i="8"/>
  <c r="BL64" i="8"/>
  <c r="BP248" i="8"/>
  <c r="BN248" i="8"/>
  <c r="BM248" i="8"/>
  <c r="BO248" i="8"/>
  <c r="BF250" i="8"/>
  <c r="BH250" i="8"/>
  <c r="BE250" i="8"/>
  <c r="BG250" i="8"/>
  <c r="BH127" i="8"/>
  <c r="BE127" i="8"/>
  <c r="BF127" i="8"/>
  <c r="BG127" i="8"/>
  <c r="BP228" i="8"/>
  <c r="BN228" i="8"/>
  <c r="BM228" i="8"/>
  <c r="BO228" i="8"/>
  <c r="BI249" i="8"/>
  <c r="BJ249" i="8"/>
  <c r="BK249" i="8"/>
  <c r="BL249" i="8"/>
  <c r="BI111" i="8"/>
  <c r="BJ111" i="8"/>
  <c r="BK111" i="8"/>
  <c r="BL111" i="8"/>
  <c r="BF421" i="8"/>
  <c r="BG421" i="8"/>
  <c r="BE421" i="8"/>
  <c r="BH421" i="8"/>
  <c r="BP397" i="8"/>
  <c r="BM397" i="8"/>
  <c r="BN397" i="8"/>
  <c r="BO397" i="8"/>
  <c r="BF50" i="8"/>
  <c r="BG50" i="8"/>
  <c r="BH50" i="8"/>
  <c r="BE50" i="8"/>
  <c r="BM446" i="8"/>
  <c r="BN446" i="8"/>
  <c r="BP446" i="8"/>
  <c r="BO446" i="8"/>
  <c r="BK250" i="8"/>
  <c r="BL250" i="8"/>
  <c r="BI250" i="8"/>
  <c r="BJ250" i="8"/>
  <c r="BM139" i="8"/>
  <c r="BN139" i="8"/>
  <c r="BO139" i="8"/>
  <c r="BP139" i="8"/>
  <c r="BF36" i="8"/>
  <c r="BG36" i="8"/>
  <c r="BH36" i="8"/>
  <c r="BE36" i="8"/>
  <c r="BM23" i="8"/>
  <c r="BN23" i="8"/>
  <c r="BP23" i="8"/>
  <c r="BO23" i="8"/>
  <c r="BE305" i="8"/>
  <c r="BF305" i="8"/>
  <c r="BH305" i="8"/>
  <c r="BG305" i="8"/>
  <c r="BN346" i="8"/>
  <c r="BM346" i="8"/>
  <c r="BO346" i="8"/>
  <c r="BP346" i="8"/>
  <c r="BF319" i="8"/>
  <c r="BG319" i="8"/>
  <c r="BE319" i="8"/>
  <c r="BH319" i="8"/>
  <c r="BE372" i="8"/>
  <c r="BF372" i="8"/>
  <c r="BG372" i="8"/>
  <c r="BH372" i="8"/>
  <c r="BF44" i="8"/>
  <c r="BG44" i="8"/>
  <c r="BH44" i="8"/>
  <c r="BE44" i="8"/>
  <c r="BO176" i="8"/>
  <c r="BM176" i="8"/>
  <c r="BN176" i="8"/>
  <c r="BP176" i="8"/>
  <c r="BF270" i="8"/>
  <c r="BE270" i="8"/>
  <c r="BG270" i="8"/>
  <c r="BH270" i="8"/>
  <c r="BL252" i="8"/>
  <c r="BJ252" i="8"/>
  <c r="BK252" i="8"/>
  <c r="BI252" i="8"/>
  <c r="BI251" i="8"/>
  <c r="BJ251" i="8"/>
  <c r="BK251" i="8"/>
  <c r="BL251" i="8"/>
  <c r="BE408" i="8"/>
  <c r="BF408" i="8"/>
  <c r="BH408" i="8"/>
  <c r="BG408" i="8"/>
  <c r="BE450" i="8"/>
  <c r="BF450" i="8"/>
  <c r="BG450" i="8"/>
  <c r="BH450" i="8"/>
  <c r="BO152" i="8"/>
  <c r="BM152" i="8"/>
  <c r="BN152" i="8"/>
  <c r="BP152" i="8"/>
  <c r="BF248" i="8"/>
  <c r="BE248" i="8"/>
  <c r="BG248" i="8"/>
  <c r="BH248" i="8"/>
  <c r="BI43" i="8"/>
  <c r="BJ43" i="8"/>
  <c r="BK43" i="8"/>
  <c r="BL43" i="8"/>
  <c r="BF24" i="8"/>
  <c r="BG24" i="8"/>
  <c r="BH24" i="8"/>
  <c r="BE24" i="8"/>
  <c r="BM115" i="8"/>
  <c r="BN115" i="8"/>
  <c r="BO115" i="8"/>
  <c r="BP115" i="8"/>
  <c r="BE65" i="8"/>
  <c r="BH65" i="8"/>
  <c r="BF65" i="8"/>
  <c r="BG65" i="8"/>
  <c r="BL365" i="8"/>
  <c r="BI365" i="8"/>
  <c r="BK365" i="8"/>
  <c r="BJ365" i="8"/>
  <c r="BE452" i="8"/>
  <c r="BF452" i="8"/>
  <c r="BG452" i="8"/>
  <c r="BH452" i="8"/>
  <c r="BN65" i="8"/>
  <c r="BM65" i="8"/>
  <c r="BO65" i="8"/>
  <c r="BP65" i="8"/>
  <c r="BI127" i="8"/>
  <c r="BJ127" i="8"/>
  <c r="BK127" i="8"/>
  <c r="BL127" i="8"/>
  <c r="BM177" i="8"/>
  <c r="BN177" i="8"/>
  <c r="BO177" i="8"/>
  <c r="BP177" i="8"/>
  <c r="BE117" i="8"/>
  <c r="BH117" i="8"/>
  <c r="BG117" i="8"/>
  <c r="BF117" i="8"/>
  <c r="BE49" i="8"/>
  <c r="BH49" i="8"/>
  <c r="BF49" i="8"/>
  <c r="BG49" i="8"/>
  <c r="BF383" i="8"/>
  <c r="BE383" i="8"/>
  <c r="BG383" i="8"/>
  <c r="BH383" i="8"/>
  <c r="BK156" i="8"/>
  <c r="BI156" i="8"/>
  <c r="BJ156" i="8"/>
  <c r="BL156" i="8"/>
  <c r="BP60" i="8"/>
  <c r="BM60" i="8"/>
  <c r="BN60" i="8"/>
  <c r="BO60" i="8"/>
  <c r="BH153" i="8"/>
  <c r="BE153" i="8"/>
  <c r="BG153" i="8"/>
  <c r="BF153" i="8"/>
  <c r="BM41" i="8"/>
  <c r="BN41" i="8"/>
  <c r="BO41" i="8"/>
  <c r="BP41" i="8"/>
  <c r="BL421" i="8"/>
  <c r="BI421" i="8"/>
  <c r="BJ421" i="8"/>
  <c r="BK421" i="8"/>
  <c r="BP198" i="8"/>
  <c r="BN198" i="8"/>
  <c r="BO198" i="8"/>
  <c r="BM198" i="8"/>
  <c r="BF331" i="8"/>
  <c r="BG331" i="8"/>
  <c r="BE331" i="8"/>
  <c r="BH331" i="8"/>
  <c r="BP30" i="8"/>
  <c r="BM30" i="8"/>
  <c r="BO30" i="8"/>
  <c r="BN30" i="8"/>
  <c r="BI450" i="8"/>
  <c r="BJ450" i="8"/>
  <c r="BK450" i="8"/>
  <c r="BL450" i="8"/>
  <c r="BN296" i="8"/>
  <c r="BO296" i="8"/>
  <c r="BP296" i="8"/>
  <c r="BM296" i="8"/>
  <c r="BI296" i="8"/>
  <c r="BJ296" i="8"/>
  <c r="BK296" i="8"/>
  <c r="BL296" i="8"/>
  <c r="BN364" i="8"/>
  <c r="BO364" i="8"/>
  <c r="BP364" i="8"/>
  <c r="BM364" i="8"/>
  <c r="BM103" i="8"/>
  <c r="BN103" i="8"/>
  <c r="BO103" i="8"/>
  <c r="BP103" i="8"/>
  <c r="BM127" i="8"/>
  <c r="BN127" i="8"/>
  <c r="BO127" i="8"/>
  <c r="BP127" i="8"/>
  <c r="BM117" i="8"/>
  <c r="BN117" i="8"/>
  <c r="BO117" i="8"/>
  <c r="BP117" i="8"/>
  <c r="BM249" i="8"/>
  <c r="BN249" i="8"/>
  <c r="BO249" i="8"/>
  <c r="BP249" i="8"/>
  <c r="BK60" i="8"/>
  <c r="BI60" i="8"/>
  <c r="BJ60" i="8"/>
  <c r="BL60" i="8"/>
  <c r="BM111" i="8"/>
  <c r="BN111" i="8"/>
  <c r="BO111" i="8"/>
  <c r="BP111" i="8"/>
  <c r="BN421" i="8"/>
  <c r="BO421" i="8"/>
  <c r="BP421" i="8"/>
  <c r="BM421" i="8"/>
  <c r="BL397" i="8"/>
  <c r="BI397" i="8"/>
  <c r="BK397" i="8"/>
  <c r="BJ397" i="8"/>
  <c r="BI384" i="8"/>
  <c r="BJ384" i="8"/>
  <c r="BK384" i="8"/>
  <c r="BL384" i="8"/>
  <c r="BE43" i="8"/>
  <c r="BH43" i="8"/>
  <c r="BG43" i="8"/>
  <c r="BF43" i="8"/>
  <c r="BK164" i="8"/>
  <c r="BI164" i="8"/>
  <c r="BL164" i="8"/>
  <c r="BJ164" i="8"/>
  <c r="BF66" i="8"/>
  <c r="BH66" i="8"/>
  <c r="BE66" i="8"/>
  <c r="BG66" i="8"/>
  <c r="BI49" i="8"/>
  <c r="BJ49" i="8"/>
  <c r="BK49" i="8"/>
  <c r="BL49" i="8"/>
  <c r="BH60" i="8"/>
  <c r="BE60" i="8"/>
  <c r="BF60" i="8"/>
  <c r="BG60" i="8"/>
  <c r="BP497" i="8"/>
  <c r="BM497" i="8"/>
  <c r="BO497" i="8"/>
  <c r="BN497" i="8"/>
  <c r="BF304" i="8"/>
  <c r="BE304" i="8"/>
  <c r="BG304" i="8"/>
  <c r="BH304" i="8"/>
  <c r="BI113" i="8"/>
  <c r="BJ113" i="8"/>
  <c r="BK113" i="8"/>
  <c r="BL113" i="8"/>
  <c r="BK178" i="8"/>
  <c r="BI178" i="8"/>
  <c r="BL178" i="8"/>
  <c r="BJ178" i="8"/>
  <c r="BM43" i="8"/>
  <c r="BN43" i="8"/>
  <c r="BP43" i="8"/>
  <c r="BO43" i="8"/>
  <c r="BI402" i="8"/>
  <c r="BJ402" i="8"/>
  <c r="BK402" i="8"/>
  <c r="BL402" i="8"/>
  <c r="BI139" i="8"/>
  <c r="BJ139" i="8"/>
  <c r="BK139" i="8"/>
  <c r="BL139" i="8"/>
  <c r="BI177" i="8"/>
  <c r="BJ177" i="8"/>
  <c r="BK177" i="8"/>
  <c r="BL177" i="8"/>
  <c r="BI23" i="8"/>
  <c r="BJ23" i="8"/>
  <c r="BK23" i="8"/>
  <c r="BL23" i="8"/>
  <c r="BM402" i="8"/>
  <c r="BN402" i="8"/>
  <c r="BP402" i="8"/>
  <c r="BO402" i="8"/>
  <c r="BO383" i="8"/>
  <c r="BP383" i="8"/>
  <c r="BM383" i="8"/>
  <c r="BN383" i="8"/>
  <c r="BE346" i="8"/>
  <c r="BF346" i="8"/>
  <c r="BG346" i="8"/>
  <c r="BH346" i="8"/>
  <c r="BL319" i="8"/>
  <c r="BJ319" i="8"/>
  <c r="BK319" i="8"/>
  <c r="BI319" i="8"/>
  <c r="BI153" i="8"/>
  <c r="BJ153" i="8"/>
  <c r="BK153" i="8"/>
  <c r="BL153" i="8"/>
  <c r="BP44" i="8"/>
  <c r="BM44" i="8"/>
  <c r="BN44" i="8"/>
  <c r="BO44" i="8"/>
  <c r="BK176" i="8"/>
  <c r="BI176" i="8"/>
  <c r="BJ176" i="8"/>
  <c r="BL176" i="8"/>
  <c r="BE384" i="8"/>
  <c r="BF384" i="8"/>
  <c r="BG384" i="8"/>
  <c r="BH384" i="8"/>
  <c r="BF252" i="8"/>
  <c r="BG252" i="8"/>
  <c r="BE252" i="8"/>
  <c r="BH252" i="8"/>
  <c r="BM251" i="8"/>
  <c r="BN251" i="8"/>
  <c r="BO251" i="8"/>
  <c r="BP251" i="8"/>
  <c r="BI408" i="8"/>
  <c r="BJ408" i="8"/>
  <c r="BK408" i="8"/>
  <c r="BL408" i="8"/>
  <c r="BF296" i="8"/>
  <c r="BE296" i="8"/>
  <c r="BG296" i="8"/>
  <c r="BH296" i="8"/>
  <c r="BJ248" i="8"/>
  <c r="BK248" i="8"/>
  <c r="BL248" i="8"/>
  <c r="BI248" i="8"/>
  <c r="BI115" i="8"/>
  <c r="BJ115" i="8"/>
  <c r="BK115" i="8"/>
  <c r="BL115" i="8"/>
  <c r="BI103" i="8"/>
  <c r="BJ103" i="8"/>
  <c r="BK103" i="8"/>
  <c r="BL103" i="8"/>
  <c r="BH139" i="8"/>
  <c r="BE139" i="8"/>
  <c r="BF139" i="8"/>
  <c r="BG139" i="8"/>
  <c r="BH177" i="8"/>
  <c r="BE177" i="8"/>
  <c r="BG177" i="8"/>
  <c r="BF177" i="8"/>
  <c r="BI117" i="8"/>
  <c r="BJ117" i="8"/>
  <c r="BK117" i="8"/>
  <c r="BL117" i="8"/>
  <c r="BE402" i="8"/>
  <c r="BH402" i="8"/>
  <c r="BF402" i="8"/>
  <c r="BG402" i="8"/>
  <c r="BL383" i="8"/>
  <c r="BJ383" i="8"/>
  <c r="BK383" i="8"/>
  <c r="BI383" i="8"/>
  <c r="BO156" i="8"/>
  <c r="BM156" i="8"/>
  <c r="BN156" i="8"/>
  <c r="BP156" i="8"/>
  <c r="BO319" i="8"/>
  <c r="BP319" i="8"/>
  <c r="BN319" i="8"/>
  <c r="BM319" i="8"/>
  <c r="BM153" i="8"/>
  <c r="BN153" i="8"/>
  <c r="BO153" i="8"/>
  <c r="BP153" i="8"/>
  <c r="BE41" i="8"/>
  <c r="BH41" i="8"/>
  <c r="BG41" i="8"/>
  <c r="BF41" i="8"/>
  <c r="BF176" i="8"/>
  <c r="BG176" i="8"/>
  <c r="BE176" i="8"/>
  <c r="BH176" i="8"/>
  <c r="BK198" i="8"/>
  <c r="BI198" i="8"/>
  <c r="BJ198" i="8"/>
  <c r="BL198" i="8"/>
  <c r="BO331" i="8"/>
  <c r="BP331" i="8"/>
  <c r="BN331" i="8"/>
  <c r="BM331" i="8"/>
  <c r="BK30" i="8"/>
  <c r="BL30" i="8"/>
  <c r="BI30" i="8"/>
  <c r="BJ30" i="8"/>
  <c r="BE251" i="8"/>
  <c r="BF251" i="8"/>
  <c r="BG251" i="8"/>
  <c r="BH251" i="8"/>
  <c r="BF64" i="8"/>
  <c r="BG64" i="8"/>
  <c r="BE64" i="8"/>
  <c r="BH64" i="8"/>
  <c r="BK152" i="8"/>
  <c r="BI152" i="8"/>
  <c r="BJ152" i="8"/>
  <c r="BL152" i="8"/>
  <c r="BE115" i="8"/>
  <c r="BH115" i="8"/>
  <c r="BF115" i="8"/>
  <c r="BG115" i="8"/>
  <c r="BE103" i="8"/>
  <c r="BH103" i="8"/>
  <c r="BG103" i="8"/>
  <c r="BF103" i="8"/>
  <c r="P121" i="22"/>
  <c r="Q7" i="22"/>
  <c r="Q125" i="22"/>
  <c r="Q129" i="22"/>
  <c r="Q133" i="22"/>
  <c r="Q137" i="22"/>
  <c r="Q141" i="22"/>
  <c r="Q145" i="22"/>
  <c r="Q149" i="22"/>
  <c r="Q148" i="22"/>
  <c r="Q144" i="22"/>
  <c r="Q146" i="22"/>
  <c r="Q126" i="22"/>
  <c r="Q127" i="22"/>
  <c r="Q128" i="22"/>
  <c r="Q142" i="22"/>
  <c r="Q143" i="22"/>
  <c r="Q122" i="22"/>
  <c r="Q138" i="22"/>
  <c r="Q139" i="22"/>
  <c r="Q140" i="22"/>
  <c r="Q134" i="22"/>
  <c r="Q135" i="22"/>
  <c r="Q136" i="22"/>
  <c r="Q124" i="22"/>
  <c r="Q123" i="22"/>
  <c r="Q130" i="22"/>
  <c r="Q131" i="22"/>
  <c r="Q132" i="22"/>
  <c r="Q147" i="22"/>
  <c r="Q45" i="22"/>
  <c r="Q42" i="22"/>
  <c r="Q24" i="22"/>
  <c r="Q44" i="22"/>
  <c r="Q32" i="22"/>
  <c r="Q50" i="22"/>
  <c r="Q48" i="22"/>
  <c r="P47" i="22"/>
  <c r="P26" i="22"/>
  <c r="Q29" i="22"/>
  <c r="Q28" i="22"/>
  <c r="Q27" i="22"/>
  <c r="P41" i="22"/>
  <c r="H6" i="22"/>
  <c r="G32" i="22"/>
  <c r="G24" i="22"/>
  <c r="G7" i="22"/>
  <c r="R69" i="22" s="1"/>
  <c r="G29" i="22"/>
  <c r="G28" i="22"/>
  <c r="G27" i="22"/>
  <c r="G45" i="22"/>
  <c r="G42" i="22"/>
  <c r="G44" i="22"/>
  <c r="G51" i="22"/>
  <c r="G43" i="22"/>
  <c r="G48" i="22"/>
  <c r="G49" i="22"/>
  <c r="G50" i="22"/>
  <c r="R43" i="22" l="1"/>
  <c r="R44" i="22"/>
  <c r="R50" i="22"/>
  <c r="Q121" i="22"/>
  <c r="R7" i="22"/>
  <c r="R124" i="22"/>
  <c r="R128" i="22"/>
  <c r="R132" i="22"/>
  <c r="R136" i="22"/>
  <c r="R140" i="22"/>
  <c r="R144" i="22"/>
  <c r="R148" i="22"/>
  <c r="R125" i="22"/>
  <c r="R149" i="22"/>
  <c r="R145" i="22"/>
  <c r="R123" i="22"/>
  <c r="R129" i="22"/>
  <c r="R130" i="22"/>
  <c r="R131" i="22"/>
  <c r="R126" i="22"/>
  <c r="R127" i="22"/>
  <c r="R141" i="22"/>
  <c r="R142" i="22"/>
  <c r="R143" i="22"/>
  <c r="R146" i="22"/>
  <c r="R122" i="22"/>
  <c r="R137" i="22"/>
  <c r="R138" i="22"/>
  <c r="R139" i="22"/>
  <c r="R133" i="22"/>
  <c r="R134" i="22"/>
  <c r="R135" i="22"/>
  <c r="R147" i="22"/>
  <c r="Q47" i="22"/>
  <c r="Q41" i="22"/>
  <c r="R49" i="22"/>
  <c r="R48" i="22"/>
  <c r="R51" i="22"/>
  <c r="R24" i="22"/>
  <c r="R32" i="22"/>
  <c r="R42" i="22"/>
  <c r="R45" i="22"/>
  <c r="R27" i="22"/>
  <c r="Q26" i="22"/>
  <c r="R29" i="22"/>
  <c r="R28" i="22"/>
  <c r="I6" i="22"/>
  <c r="H29" i="22"/>
  <c r="H27" i="22"/>
  <c r="H28" i="22"/>
  <c r="H7" i="22"/>
  <c r="S69" i="22" s="1"/>
  <c r="H32" i="22"/>
  <c r="H24" i="22"/>
  <c r="H50" i="22"/>
  <c r="H44" i="22"/>
  <c r="H45" i="22"/>
  <c r="H43" i="22"/>
  <c r="H49" i="22"/>
  <c r="H48" i="22"/>
  <c r="H51" i="22"/>
  <c r="H42" i="22"/>
  <c r="F25" i="19"/>
  <c r="F22" i="19"/>
  <c r="F28" i="19" s="1"/>
  <c r="E22" i="19"/>
  <c r="D12" i="19"/>
  <c r="M22" i="19"/>
  <c r="L22" i="19"/>
  <c r="L28" i="19" s="1"/>
  <c r="K22" i="19"/>
  <c r="J22" i="19"/>
  <c r="I22" i="19"/>
  <c r="I28" i="19" s="1"/>
  <c r="H22" i="19"/>
  <c r="G22" i="19"/>
  <c r="G28" i="19" l="1"/>
  <c r="G38" i="19" s="1"/>
  <c r="G47" i="19" s="1"/>
  <c r="H28" i="19"/>
  <c r="H38" i="19" s="1"/>
  <c r="H47" i="19" s="1"/>
  <c r="J28" i="19"/>
  <c r="J38" i="19" s="1"/>
  <c r="J47" i="19" s="1"/>
  <c r="K28" i="19"/>
  <c r="K38" i="19" s="1"/>
  <c r="K47" i="19" s="1"/>
  <c r="M28" i="19"/>
  <c r="M38" i="19" s="1"/>
  <c r="M47" i="19" s="1"/>
  <c r="E25" i="19"/>
  <c r="F29" i="19"/>
  <c r="F39" i="19" s="1"/>
  <c r="F48" i="19" s="1"/>
  <c r="F27" i="19"/>
  <c r="F37" i="19" s="1"/>
  <c r="F46" i="19" s="1"/>
  <c r="S48" i="22"/>
  <c r="S51" i="22"/>
  <c r="S43" i="22"/>
  <c r="S49" i="22"/>
  <c r="S42" i="22"/>
  <c r="R121" i="22"/>
  <c r="S7" i="22"/>
  <c r="S124" i="22"/>
  <c r="S128" i="22"/>
  <c r="S132" i="22"/>
  <c r="S136" i="22"/>
  <c r="S140" i="22"/>
  <c r="S144" i="22"/>
  <c r="S148" i="22"/>
  <c r="S133" i="22"/>
  <c r="S147" i="22"/>
  <c r="S123" i="22"/>
  <c r="S129" i="22"/>
  <c r="S130" i="22"/>
  <c r="S131" i="22"/>
  <c r="S146" i="22"/>
  <c r="S145" i="22"/>
  <c r="S126" i="22"/>
  <c r="S127" i="22"/>
  <c r="S141" i="22"/>
  <c r="S142" i="22"/>
  <c r="S143" i="22"/>
  <c r="S125" i="22"/>
  <c r="S122" i="22"/>
  <c r="S137" i="22"/>
  <c r="S138" i="22"/>
  <c r="S139" i="22"/>
  <c r="S134" i="22"/>
  <c r="S135" i="22"/>
  <c r="S149" i="22"/>
  <c r="R47" i="22"/>
  <c r="R41" i="22"/>
  <c r="S28" i="22"/>
  <c r="S27" i="22"/>
  <c r="S45" i="22"/>
  <c r="S44" i="22"/>
  <c r="S50" i="22"/>
  <c r="R26" i="22"/>
  <c r="S24" i="22"/>
  <c r="S32" i="22"/>
  <c r="S29" i="22"/>
  <c r="J6" i="22"/>
  <c r="I29" i="22"/>
  <c r="I32" i="22"/>
  <c r="I28" i="22"/>
  <c r="I7" i="22"/>
  <c r="T69" i="22" s="1"/>
  <c r="I27" i="22"/>
  <c r="I24" i="22"/>
  <c r="I50" i="22"/>
  <c r="I48" i="22"/>
  <c r="I42" i="22"/>
  <c r="I51" i="22"/>
  <c r="I49" i="22"/>
  <c r="I44" i="22"/>
  <c r="I45" i="22"/>
  <c r="I43" i="22"/>
  <c r="N22" i="19"/>
  <c r="F38" i="19"/>
  <c r="F47" i="19" s="1"/>
  <c r="L38" i="19"/>
  <c r="L47" i="19" s="1"/>
  <c r="I38" i="19"/>
  <c r="I47" i="19" s="1"/>
  <c r="N28" i="19" l="1"/>
  <c r="N38" i="19" s="1"/>
  <c r="N47" i="19" s="1"/>
  <c r="E29" i="19"/>
  <c r="E39" i="19" s="1"/>
  <c r="E48" i="19" s="1"/>
  <c r="E27" i="19"/>
  <c r="E37" i="19" s="1"/>
  <c r="E46" i="19" s="1"/>
  <c r="E28" i="19"/>
  <c r="E38" i="19" s="1"/>
  <c r="E47" i="19" s="1"/>
  <c r="T45" i="22"/>
  <c r="T43" i="22"/>
  <c r="T51" i="22"/>
  <c r="T49" i="22"/>
  <c r="S121" i="22"/>
  <c r="T7" i="22"/>
  <c r="T123" i="22"/>
  <c r="T127" i="22"/>
  <c r="T131" i="22"/>
  <c r="T135" i="22"/>
  <c r="T139" i="22"/>
  <c r="T143" i="22"/>
  <c r="T147" i="22"/>
  <c r="T124" i="22"/>
  <c r="T133" i="22"/>
  <c r="T149" i="22"/>
  <c r="T134" i="22"/>
  <c r="T148" i="22"/>
  <c r="T128" i="22"/>
  <c r="T129" i="22"/>
  <c r="T130" i="22"/>
  <c r="T144" i="22"/>
  <c r="T145" i="22"/>
  <c r="T146" i="22"/>
  <c r="T126" i="22"/>
  <c r="T140" i="22"/>
  <c r="T141" i="22"/>
  <c r="T142" i="22"/>
  <c r="T125" i="22"/>
  <c r="T122" i="22"/>
  <c r="T136" i="22"/>
  <c r="T137" i="22"/>
  <c r="T138" i="22"/>
  <c r="T132" i="22"/>
  <c r="S47" i="22"/>
  <c r="S26" i="22"/>
  <c r="T42" i="22"/>
  <c r="T44" i="22"/>
  <c r="T32" i="22"/>
  <c r="T48" i="22"/>
  <c r="T50" i="22"/>
  <c r="T24" i="22"/>
  <c r="T27" i="22"/>
  <c r="S41" i="22"/>
  <c r="T29" i="22"/>
  <c r="T28" i="22"/>
  <c r="K6" i="22"/>
  <c r="J24" i="22"/>
  <c r="J28" i="22"/>
  <c r="J32" i="22"/>
  <c r="J7" i="22"/>
  <c r="U69" i="22" s="1"/>
  <c r="J27" i="22"/>
  <c r="J29" i="22"/>
  <c r="J49" i="22"/>
  <c r="J42" i="22"/>
  <c r="J43" i="22"/>
  <c r="J44" i="22"/>
  <c r="J45" i="22"/>
  <c r="J51" i="22"/>
  <c r="J50" i="22"/>
  <c r="J48" i="22"/>
  <c r="D52" i="19"/>
  <c r="E12" i="20"/>
  <c r="F12" i="20" s="1"/>
  <c r="G12" i="20" s="1"/>
  <c r="H12" i="20" s="1"/>
  <c r="I12" i="20" s="1"/>
  <c r="J12" i="20" s="1"/>
  <c r="K12" i="20" s="1"/>
  <c r="L12" i="20" s="1"/>
  <c r="M12" i="20" s="1"/>
  <c r="U51" i="22" l="1"/>
  <c r="T121" i="22"/>
  <c r="U7" i="22"/>
  <c r="U123" i="22"/>
  <c r="U127" i="22"/>
  <c r="U131" i="22"/>
  <c r="U135" i="22"/>
  <c r="U139" i="22"/>
  <c r="U143" i="22"/>
  <c r="U147" i="22"/>
  <c r="U148" i="22"/>
  <c r="U132" i="22"/>
  <c r="U133" i="22"/>
  <c r="U134" i="22"/>
  <c r="U149" i="22"/>
  <c r="U128" i="22"/>
  <c r="U129" i="22"/>
  <c r="U130" i="22"/>
  <c r="U144" i="22"/>
  <c r="U145" i="22"/>
  <c r="U146" i="22"/>
  <c r="U126" i="22"/>
  <c r="U140" i="22"/>
  <c r="U141" i="22"/>
  <c r="U142" i="22"/>
  <c r="U125" i="22"/>
  <c r="U122" i="22"/>
  <c r="U124" i="22"/>
  <c r="U136" i="22"/>
  <c r="U137" i="22"/>
  <c r="U138" i="22"/>
  <c r="U50" i="22"/>
  <c r="T41" i="22"/>
  <c r="T47" i="22"/>
  <c r="U49" i="22"/>
  <c r="T26" i="22"/>
  <c r="U45" i="22"/>
  <c r="U27" i="22"/>
  <c r="U44" i="22"/>
  <c r="U32" i="22"/>
  <c r="U43" i="22"/>
  <c r="U28" i="22"/>
  <c r="U29" i="22"/>
  <c r="U42" i="22"/>
  <c r="U24" i="22"/>
  <c r="U48" i="22"/>
  <c r="L6" i="22"/>
  <c r="K28" i="22"/>
  <c r="K7" i="22"/>
  <c r="V69" i="22" s="1"/>
  <c r="K29" i="22"/>
  <c r="K27" i="22"/>
  <c r="K24" i="22"/>
  <c r="K32" i="22"/>
  <c r="K42" i="22"/>
  <c r="K51" i="22"/>
  <c r="K48" i="22"/>
  <c r="K45" i="22"/>
  <c r="K49" i="22"/>
  <c r="K50" i="22"/>
  <c r="K43" i="22"/>
  <c r="K44" i="22"/>
  <c r="C105" i="22" l="1"/>
  <c r="U121" i="22"/>
  <c r="V7" i="22"/>
  <c r="V126" i="22"/>
  <c r="V130" i="22"/>
  <c r="V134" i="22"/>
  <c r="V138" i="22"/>
  <c r="V142" i="22"/>
  <c r="V146" i="22"/>
  <c r="V123" i="22"/>
  <c r="V137" i="22"/>
  <c r="V125" i="22"/>
  <c r="V124" i="22"/>
  <c r="V135" i="22"/>
  <c r="V136" i="22"/>
  <c r="V131" i="22"/>
  <c r="V132" i="22"/>
  <c r="V133" i="22"/>
  <c r="V147" i="22"/>
  <c r="V148" i="22"/>
  <c r="V149" i="22"/>
  <c r="V127" i="22"/>
  <c r="V128" i="22"/>
  <c r="V129" i="22"/>
  <c r="V143" i="22"/>
  <c r="V144" i="22"/>
  <c r="V145" i="22"/>
  <c r="V139" i="22"/>
  <c r="V140" i="22"/>
  <c r="V141" i="22"/>
  <c r="V122" i="22"/>
  <c r="J113" i="22"/>
  <c r="U113" i="22" s="1"/>
  <c r="H114" i="22"/>
  <c r="S114" i="22" s="1"/>
  <c r="F115" i="22"/>
  <c r="Q115" i="22" s="1"/>
  <c r="D116" i="22"/>
  <c r="O116" i="22" s="1"/>
  <c r="L116" i="22"/>
  <c r="J117" i="22"/>
  <c r="U117" i="22" s="1"/>
  <c r="H118" i="22"/>
  <c r="S118" i="22" s="1"/>
  <c r="C113" i="22"/>
  <c r="N113" i="22" s="1"/>
  <c r="K113" i="22"/>
  <c r="V113" i="22" s="1"/>
  <c r="I114" i="22"/>
  <c r="T114" i="22" s="1"/>
  <c r="G115" i="22"/>
  <c r="R115" i="22" s="1"/>
  <c r="E116" i="22"/>
  <c r="P116" i="22" s="1"/>
  <c r="C117" i="22"/>
  <c r="N117" i="22" s="1"/>
  <c r="K117" i="22"/>
  <c r="V117" i="22" s="1"/>
  <c r="I118" i="22"/>
  <c r="T118" i="22" s="1"/>
  <c r="D113" i="22"/>
  <c r="O113" i="22" s="1"/>
  <c r="L113" i="22"/>
  <c r="J114" i="22"/>
  <c r="U114" i="22" s="1"/>
  <c r="H115" i="22"/>
  <c r="S115" i="22" s="1"/>
  <c r="F116" i="22"/>
  <c r="Q116" i="22" s="1"/>
  <c r="D117" i="22"/>
  <c r="O117" i="22" s="1"/>
  <c r="L117" i="22"/>
  <c r="J118" i="22"/>
  <c r="U118" i="22" s="1"/>
  <c r="E113" i="22"/>
  <c r="P113" i="22" s="1"/>
  <c r="C114" i="22"/>
  <c r="N114" i="22" s="1"/>
  <c r="K114" i="22"/>
  <c r="V114" i="22" s="1"/>
  <c r="I115" i="22"/>
  <c r="T115" i="22" s="1"/>
  <c r="G116" i="22"/>
  <c r="R116" i="22" s="1"/>
  <c r="E117" i="22"/>
  <c r="P117" i="22" s="1"/>
  <c r="C118" i="22"/>
  <c r="N118" i="22" s="1"/>
  <c r="K118" i="22"/>
  <c r="V118" i="22" s="1"/>
  <c r="F113" i="22"/>
  <c r="Q113" i="22" s="1"/>
  <c r="D114" i="22"/>
  <c r="O114" i="22" s="1"/>
  <c r="L114" i="22"/>
  <c r="J115" i="22"/>
  <c r="U115" i="22" s="1"/>
  <c r="H116" i="22"/>
  <c r="S116" i="22" s="1"/>
  <c r="F117" i="22"/>
  <c r="Q117" i="22" s="1"/>
  <c r="D118" i="22"/>
  <c r="O118" i="22" s="1"/>
  <c r="L118" i="22"/>
  <c r="G113" i="22"/>
  <c r="R113" i="22" s="1"/>
  <c r="E114" i="22"/>
  <c r="P114" i="22" s="1"/>
  <c r="C115" i="22"/>
  <c r="N115" i="22" s="1"/>
  <c r="K115" i="22"/>
  <c r="V115" i="22" s="1"/>
  <c r="I116" i="22"/>
  <c r="T116" i="22" s="1"/>
  <c r="G117" i="22"/>
  <c r="R117" i="22" s="1"/>
  <c r="E118" i="22"/>
  <c r="P118" i="22" s="1"/>
  <c r="H113" i="22"/>
  <c r="S113" i="22" s="1"/>
  <c r="F114" i="22"/>
  <c r="Q114" i="22" s="1"/>
  <c r="D115" i="22"/>
  <c r="O115" i="22" s="1"/>
  <c r="L115" i="22"/>
  <c r="J116" i="22"/>
  <c r="U116" i="22" s="1"/>
  <c r="H117" i="22"/>
  <c r="S117" i="22" s="1"/>
  <c r="F118" i="22"/>
  <c r="Q118" i="22" s="1"/>
  <c r="I113" i="22"/>
  <c r="T113" i="22" s="1"/>
  <c r="G114" i="22"/>
  <c r="R114" i="22" s="1"/>
  <c r="E115" i="22"/>
  <c r="P115" i="22" s="1"/>
  <c r="C116" i="22"/>
  <c r="N116" i="22" s="1"/>
  <c r="K116" i="22"/>
  <c r="V116" i="22" s="1"/>
  <c r="I117" i="22"/>
  <c r="T117" i="22" s="1"/>
  <c r="G118" i="22"/>
  <c r="R118" i="22" s="1"/>
  <c r="V50" i="22"/>
  <c r="V48" i="22"/>
  <c r="U47" i="22"/>
  <c r="V45" i="22"/>
  <c r="U26" i="22"/>
  <c r="U41" i="22"/>
  <c r="V29" i="22"/>
  <c r="V51" i="22"/>
  <c r="V44" i="22"/>
  <c r="V28" i="22"/>
  <c r="L7" i="22"/>
  <c r="W69" i="22" s="1"/>
  <c r="L27" i="22"/>
  <c r="L29" i="22"/>
  <c r="L32" i="22"/>
  <c r="L24" i="22"/>
  <c r="L28" i="22"/>
  <c r="L45" i="22"/>
  <c r="L48" i="22"/>
  <c r="L43" i="22"/>
  <c r="L44" i="22"/>
  <c r="L51" i="22"/>
  <c r="L50" i="22"/>
  <c r="L42" i="22"/>
  <c r="L49" i="22"/>
  <c r="V43" i="22"/>
  <c r="V42" i="22"/>
  <c r="V32" i="22"/>
  <c r="V24" i="22"/>
  <c r="V49" i="22"/>
  <c r="V27" i="22"/>
  <c r="AA12" i="8"/>
  <c r="Z12" i="8"/>
  <c r="J112" i="22"/>
  <c r="U112" i="22" s="1"/>
  <c r="I112" i="22"/>
  <c r="T112" i="22" s="1"/>
  <c r="J111" i="22"/>
  <c r="U111" i="22" s="1"/>
  <c r="K110" i="22"/>
  <c r="V110" i="22" s="1"/>
  <c r="L109" i="22"/>
  <c r="D109" i="22"/>
  <c r="O109" i="22" s="1"/>
  <c r="E108" i="22"/>
  <c r="P108" i="22" s="1"/>
  <c r="F107" i="22"/>
  <c r="Q107" i="22" s="1"/>
  <c r="G106" i="22"/>
  <c r="R106" i="22" s="1"/>
  <c r="H105" i="22"/>
  <c r="S105" i="22" s="1"/>
  <c r="I104" i="22"/>
  <c r="T104" i="22" s="1"/>
  <c r="J103" i="22"/>
  <c r="U103" i="22" s="1"/>
  <c r="K102" i="22"/>
  <c r="V102" i="22" s="1"/>
  <c r="L101" i="22"/>
  <c r="D101" i="22"/>
  <c r="O101" i="22" s="1"/>
  <c r="E100" i="22"/>
  <c r="P100" i="22" s="1"/>
  <c r="F99" i="22"/>
  <c r="Q99" i="22" s="1"/>
  <c r="G98" i="22"/>
  <c r="R98" i="22" s="1"/>
  <c r="H97" i="22"/>
  <c r="S97" i="22" s="1"/>
  <c r="J96" i="22"/>
  <c r="U96" i="22" s="1"/>
  <c r="K95" i="22"/>
  <c r="V95" i="22" s="1"/>
  <c r="L94" i="22"/>
  <c r="D94" i="22"/>
  <c r="O94" i="22" s="1"/>
  <c r="E93" i="22"/>
  <c r="P93" i="22" s="1"/>
  <c r="F92" i="22"/>
  <c r="Q92" i="22" s="1"/>
  <c r="G91" i="22"/>
  <c r="R91" i="22" s="1"/>
  <c r="H90" i="22"/>
  <c r="S90" i="22" s="1"/>
  <c r="I89" i="22"/>
  <c r="T89" i="22" s="1"/>
  <c r="J88" i="22"/>
  <c r="U88" i="22" s="1"/>
  <c r="K87" i="22"/>
  <c r="V87" i="22" s="1"/>
  <c r="L86" i="22"/>
  <c r="D86" i="22"/>
  <c r="O86" i="22" s="1"/>
  <c r="E85" i="22"/>
  <c r="P85" i="22" s="1"/>
  <c r="F84" i="22"/>
  <c r="Q84" i="22" s="1"/>
  <c r="G83" i="22"/>
  <c r="R83" i="22" s="1"/>
  <c r="H82" i="22"/>
  <c r="S82" i="22" s="1"/>
  <c r="I81" i="22"/>
  <c r="T81" i="22" s="1"/>
  <c r="J80" i="22"/>
  <c r="U80" i="22" s="1"/>
  <c r="K79" i="22"/>
  <c r="V79" i="22" s="1"/>
  <c r="L78" i="22"/>
  <c r="D78" i="22"/>
  <c r="O78" i="22" s="1"/>
  <c r="E77" i="22"/>
  <c r="P77" i="22" s="1"/>
  <c r="C106" i="22"/>
  <c r="N106" i="22" s="1"/>
  <c r="C98" i="22"/>
  <c r="N98" i="22" s="1"/>
  <c r="C91" i="22"/>
  <c r="N91" i="22" s="1"/>
  <c r="C83" i="22"/>
  <c r="N83" i="22" s="1"/>
  <c r="H112" i="22"/>
  <c r="S112" i="22" s="1"/>
  <c r="I111" i="22"/>
  <c r="T111" i="22" s="1"/>
  <c r="J110" i="22"/>
  <c r="U110" i="22" s="1"/>
  <c r="K109" i="22"/>
  <c r="V109" i="22" s="1"/>
  <c r="L108" i="22"/>
  <c r="D108" i="22"/>
  <c r="O108" i="22" s="1"/>
  <c r="E107" i="22"/>
  <c r="P107" i="22" s="1"/>
  <c r="F106" i="22"/>
  <c r="Q106" i="22" s="1"/>
  <c r="G105" i="22"/>
  <c r="R105" i="22" s="1"/>
  <c r="H104" i="22"/>
  <c r="S104" i="22" s="1"/>
  <c r="I103" i="22"/>
  <c r="T103" i="22" s="1"/>
  <c r="J102" i="22"/>
  <c r="U102" i="22" s="1"/>
  <c r="K101" i="22"/>
  <c r="V101" i="22" s="1"/>
  <c r="L100" i="22"/>
  <c r="D100" i="22"/>
  <c r="O100" i="22" s="1"/>
  <c r="E99" i="22"/>
  <c r="P99" i="22" s="1"/>
  <c r="F98" i="22"/>
  <c r="Q98" i="22" s="1"/>
  <c r="G97" i="22"/>
  <c r="R97" i="22" s="1"/>
  <c r="I96" i="22"/>
  <c r="T96" i="22" s="1"/>
  <c r="J95" i="22"/>
  <c r="U95" i="22" s="1"/>
  <c r="K94" i="22"/>
  <c r="V94" i="22" s="1"/>
  <c r="L93" i="22"/>
  <c r="D93" i="22"/>
  <c r="O93" i="22" s="1"/>
  <c r="E92" i="22"/>
  <c r="P92" i="22" s="1"/>
  <c r="F91" i="22"/>
  <c r="Q91" i="22" s="1"/>
  <c r="G90" i="22"/>
  <c r="R90" i="22" s="1"/>
  <c r="H89" i="22"/>
  <c r="S89" i="22" s="1"/>
  <c r="I88" i="22"/>
  <c r="T88" i="22" s="1"/>
  <c r="J87" i="22"/>
  <c r="U87" i="22" s="1"/>
  <c r="K86" i="22"/>
  <c r="V86" i="22" s="1"/>
  <c r="L85" i="22"/>
  <c r="D85" i="22"/>
  <c r="O85" i="22" s="1"/>
  <c r="E84" i="22"/>
  <c r="P84" i="22" s="1"/>
  <c r="F83" i="22"/>
  <c r="Q83" i="22" s="1"/>
  <c r="G82" i="22"/>
  <c r="R82" i="22" s="1"/>
  <c r="H81" i="22"/>
  <c r="S81" i="22" s="1"/>
  <c r="I80" i="22"/>
  <c r="T80" i="22" s="1"/>
  <c r="J79" i="22"/>
  <c r="U79" i="22" s="1"/>
  <c r="K78" i="22"/>
  <c r="V78" i="22" s="1"/>
  <c r="L77" i="22"/>
  <c r="D77" i="22"/>
  <c r="O77" i="22" s="1"/>
  <c r="N105" i="22"/>
  <c r="C97" i="22"/>
  <c r="N97" i="22" s="1"/>
  <c r="C90" i="22"/>
  <c r="N90" i="22" s="1"/>
  <c r="C82" i="22"/>
  <c r="N82" i="22" s="1"/>
  <c r="G112" i="22"/>
  <c r="R112" i="22" s="1"/>
  <c r="H111" i="22"/>
  <c r="S111" i="22" s="1"/>
  <c r="I110" i="22"/>
  <c r="T110" i="22" s="1"/>
  <c r="J109" i="22"/>
  <c r="U109" i="22" s="1"/>
  <c r="K108" i="22"/>
  <c r="V108" i="22" s="1"/>
  <c r="L107" i="22"/>
  <c r="D107" i="22"/>
  <c r="O107" i="22" s="1"/>
  <c r="E106" i="22"/>
  <c r="P106" i="22" s="1"/>
  <c r="F105" i="22"/>
  <c r="Q105" i="22" s="1"/>
  <c r="G104" i="22"/>
  <c r="R104" i="22" s="1"/>
  <c r="H103" i="22"/>
  <c r="S103" i="22" s="1"/>
  <c r="I102" i="22"/>
  <c r="T102" i="22" s="1"/>
  <c r="J101" i="22"/>
  <c r="U101" i="22" s="1"/>
  <c r="K100" i="22"/>
  <c r="V100" i="22" s="1"/>
  <c r="L99" i="22"/>
  <c r="D99" i="22"/>
  <c r="O99" i="22" s="1"/>
  <c r="E98" i="22"/>
  <c r="P98" i="22" s="1"/>
  <c r="F97" i="22"/>
  <c r="Q97" i="22" s="1"/>
  <c r="H96" i="22"/>
  <c r="S96" i="22" s="1"/>
  <c r="I95" i="22"/>
  <c r="T95" i="22" s="1"/>
  <c r="J94" i="22"/>
  <c r="U94" i="22" s="1"/>
  <c r="K93" i="22"/>
  <c r="V93" i="22" s="1"/>
  <c r="L92" i="22"/>
  <c r="D92" i="22"/>
  <c r="O92" i="22" s="1"/>
  <c r="E91" i="22"/>
  <c r="P91" i="22" s="1"/>
  <c r="F90" i="22"/>
  <c r="Q90" i="22" s="1"/>
  <c r="G89" i="22"/>
  <c r="R89" i="22" s="1"/>
  <c r="H88" i="22"/>
  <c r="S88" i="22" s="1"/>
  <c r="I87" i="22"/>
  <c r="T87" i="22" s="1"/>
  <c r="J86" i="22"/>
  <c r="U86" i="22" s="1"/>
  <c r="K85" i="22"/>
  <c r="V85" i="22" s="1"/>
  <c r="L84" i="22"/>
  <c r="D84" i="22"/>
  <c r="O84" i="22" s="1"/>
  <c r="E83" i="22"/>
  <c r="P83" i="22" s="1"/>
  <c r="F82" i="22"/>
  <c r="Q82" i="22" s="1"/>
  <c r="G81" i="22"/>
  <c r="R81" i="22" s="1"/>
  <c r="H80" i="22"/>
  <c r="S80" i="22" s="1"/>
  <c r="I79" i="22"/>
  <c r="T79" i="22" s="1"/>
  <c r="J78" i="22"/>
  <c r="U78" i="22" s="1"/>
  <c r="K77" i="22"/>
  <c r="V77" i="22" s="1"/>
  <c r="C112" i="22"/>
  <c r="N112" i="22" s="1"/>
  <c r="C104" i="22"/>
  <c r="N104" i="22" s="1"/>
  <c r="C89" i="22"/>
  <c r="N89" i="22" s="1"/>
  <c r="C81" i="22"/>
  <c r="N81" i="22" s="1"/>
  <c r="F112" i="22"/>
  <c r="Q112" i="22" s="1"/>
  <c r="D111" i="22"/>
  <c r="O111" i="22" s="1"/>
  <c r="H109" i="22"/>
  <c r="S109" i="22" s="1"/>
  <c r="F108" i="22"/>
  <c r="Q108" i="22" s="1"/>
  <c r="J106" i="22"/>
  <c r="U106" i="22" s="1"/>
  <c r="E105" i="22"/>
  <c r="P105" i="22" s="1"/>
  <c r="L103" i="22"/>
  <c r="G102" i="22"/>
  <c r="R102" i="22" s="1"/>
  <c r="E101" i="22"/>
  <c r="P101" i="22" s="1"/>
  <c r="I99" i="22"/>
  <c r="T99" i="22" s="1"/>
  <c r="D98" i="22"/>
  <c r="O98" i="22" s="1"/>
  <c r="F96" i="22"/>
  <c r="Q96" i="22" s="1"/>
  <c r="D95" i="22"/>
  <c r="O95" i="22" s="1"/>
  <c r="H93" i="22"/>
  <c r="S93" i="22" s="1"/>
  <c r="L91" i="22"/>
  <c r="J90" i="22"/>
  <c r="U90" i="22" s="1"/>
  <c r="E89" i="22"/>
  <c r="P89" i="22" s="1"/>
  <c r="L87" i="22"/>
  <c r="G86" i="22"/>
  <c r="R86" i="22" s="1"/>
  <c r="K84" i="22"/>
  <c r="V84" i="22" s="1"/>
  <c r="I83" i="22"/>
  <c r="T83" i="22" s="1"/>
  <c r="D82" i="22"/>
  <c r="O82" i="22" s="1"/>
  <c r="K80" i="22"/>
  <c r="V80" i="22" s="1"/>
  <c r="F79" i="22"/>
  <c r="Q79" i="22" s="1"/>
  <c r="J77" i="22"/>
  <c r="U77" i="22" s="1"/>
  <c r="C108" i="22"/>
  <c r="N108" i="22" s="1"/>
  <c r="C95" i="22"/>
  <c r="N95" i="22" s="1"/>
  <c r="C84" i="22"/>
  <c r="N84" i="22" s="1"/>
  <c r="E112" i="22"/>
  <c r="P112" i="22" s="1"/>
  <c r="L110" i="22"/>
  <c r="G109" i="22"/>
  <c r="R109" i="22" s="1"/>
  <c r="K107" i="22"/>
  <c r="V107" i="22" s="1"/>
  <c r="I106" i="22"/>
  <c r="T106" i="22" s="1"/>
  <c r="D105" i="22"/>
  <c r="O105" i="22" s="1"/>
  <c r="K103" i="22"/>
  <c r="V103" i="22" s="1"/>
  <c r="F102" i="22"/>
  <c r="Q102" i="22" s="1"/>
  <c r="J100" i="22"/>
  <c r="U100" i="22" s="1"/>
  <c r="H99" i="22"/>
  <c r="S99" i="22" s="1"/>
  <c r="L97" i="22"/>
  <c r="E96" i="22"/>
  <c r="P96" i="22" s="1"/>
  <c r="I94" i="22"/>
  <c r="T94" i="22" s="1"/>
  <c r="G93" i="22"/>
  <c r="R93" i="22" s="1"/>
  <c r="K91" i="22"/>
  <c r="V91" i="22" s="1"/>
  <c r="I90" i="22"/>
  <c r="T90" i="22" s="1"/>
  <c r="D89" i="22"/>
  <c r="O89" i="22" s="1"/>
  <c r="H87" i="22"/>
  <c r="S87" i="22" s="1"/>
  <c r="F86" i="22"/>
  <c r="Q86" i="22" s="1"/>
  <c r="J84" i="22"/>
  <c r="U84" i="22" s="1"/>
  <c r="H83" i="22"/>
  <c r="S83" i="22" s="1"/>
  <c r="L81" i="22"/>
  <c r="G80" i="22"/>
  <c r="R80" i="22" s="1"/>
  <c r="E79" i="22"/>
  <c r="P79" i="22" s="1"/>
  <c r="I77" i="22"/>
  <c r="T77" i="22" s="1"/>
  <c r="C107" i="22"/>
  <c r="N107" i="22" s="1"/>
  <c r="C94" i="22"/>
  <c r="N94" i="22" s="1"/>
  <c r="C80" i="22"/>
  <c r="N80" i="22" s="1"/>
  <c r="D112" i="22"/>
  <c r="O112" i="22" s="1"/>
  <c r="H110" i="22"/>
  <c r="S110" i="22" s="1"/>
  <c r="F109" i="22"/>
  <c r="Q109" i="22" s="1"/>
  <c r="J107" i="22"/>
  <c r="U107" i="22" s="1"/>
  <c r="H106" i="22"/>
  <c r="S106" i="22" s="1"/>
  <c r="L104" i="22"/>
  <c r="G103" i="22"/>
  <c r="R103" i="22" s="1"/>
  <c r="E102" i="22"/>
  <c r="P102" i="22" s="1"/>
  <c r="I100" i="22"/>
  <c r="T100" i="22" s="1"/>
  <c r="G99" i="22"/>
  <c r="R99" i="22" s="1"/>
  <c r="K97" i="22"/>
  <c r="V97" i="22" s="1"/>
  <c r="D96" i="22"/>
  <c r="O96" i="22" s="1"/>
  <c r="H94" i="22"/>
  <c r="S94" i="22" s="1"/>
  <c r="F93" i="22"/>
  <c r="Q93" i="22" s="1"/>
  <c r="J91" i="22"/>
  <c r="U91" i="22" s="1"/>
  <c r="E90" i="22"/>
  <c r="P90" i="22" s="1"/>
  <c r="L88" i="22"/>
  <c r="G87" i="22"/>
  <c r="R87" i="22" s="1"/>
  <c r="E86" i="22"/>
  <c r="P86" i="22" s="1"/>
  <c r="I84" i="22"/>
  <c r="T84" i="22" s="1"/>
  <c r="D83" i="22"/>
  <c r="O83" i="22" s="1"/>
  <c r="K81" i="22"/>
  <c r="V81" i="22" s="1"/>
  <c r="F80" i="22"/>
  <c r="Q80" i="22" s="1"/>
  <c r="D79" i="22"/>
  <c r="O79" i="22" s="1"/>
  <c r="H77" i="22"/>
  <c r="S77" i="22" s="1"/>
  <c r="C103" i="22"/>
  <c r="N103" i="22" s="1"/>
  <c r="C93" i="22"/>
  <c r="N93" i="22" s="1"/>
  <c r="C79" i="22"/>
  <c r="N79" i="22" s="1"/>
  <c r="L111" i="22"/>
  <c r="G110" i="22"/>
  <c r="R110" i="22" s="1"/>
  <c r="E109" i="22"/>
  <c r="P109" i="22" s="1"/>
  <c r="I107" i="22"/>
  <c r="T107" i="22" s="1"/>
  <c r="D106" i="22"/>
  <c r="O106" i="22" s="1"/>
  <c r="K104" i="22"/>
  <c r="V104" i="22" s="1"/>
  <c r="F103" i="22"/>
  <c r="Q103" i="22" s="1"/>
  <c r="D102" i="22"/>
  <c r="O102" i="22" s="1"/>
  <c r="H100" i="22"/>
  <c r="S100" i="22" s="1"/>
  <c r="L98" i="22"/>
  <c r="J97" i="22"/>
  <c r="U97" i="22" s="1"/>
  <c r="L95" i="22"/>
  <c r="G94" i="22"/>
  <c r="R94" i="22" s="1"/>
  <c r="K92" i="22"/>
  <c r="V92" i="22" s="1"/>
  <c r="I91" i="22"/>
  <c r="T91" i="22" s="1"/>
  <c r="D90" i="22"/>
  <c r="O90" i="22" s="1"/>
  <c r="K88" i="22"/>
  <c r="V88" i="22" s="1"/>
  <c r="F87" i="22"/>
  <c r="Q87" i="22" s="1"/>
  <c r="J85" i="22"/>
  <c r="U85" i="22" s="1"/>
  <c r="H84" i="22"/>
  <c r="S84" i="22" s="1"/>
  <c r="L82" i="22"/>
  <c r="J81" i="22"/>
  <c r="U81" i="22" s="1"/>
  <c r="E80" i="22"/>
  <c r="P80" i="22" s="1"/>
  <c r="I78" i="22"/>
  <c r="T78" i="22" s="1"/>
  <c r="G77" i="22"/>
  <c r="R77" i="22" s="1"/>
  <c r="C102" i="22"/>
  <c r="N102" i="22" s="1"/>
  <c r="C92" i="22"/>
  <c r="N92" i="22" s="1"/>
  <c r="C78" i="22"/>
  <c r="N78" i="22" s="1"/>
  <c r="K111" i="22"/>
  <c r="V111" i="22" s="1"/>
  <c r="F110" i="22"/>
  <c r="Q110" i="22" s="1"/>
  <c r="J108" i="22"/>
  <c r="U108" i="22" s="1"/>
  <c r="H107" i="22"/>
  <c r="S107" i="22" s="1"/>
  <c r="L105" i="22"/>
  <c r="J104" i="22"/>
  <c r="U104" i="22" s="1"/>
  <c r="E103" i="22"/>
  <c r="P103" i="22" s="1"/>
  <c r="I101" i="22"/>
  <c r="T101" i="22" s="1"/>
  <c r="G100" i="22"/>
  <c r="R100" i="22" s="1"/>
  <c r="K98" i="22"/>
  <c r="V98" i="22" s="1"/>
  <c r="I97" i="22"/>
  <c r="T97" i="22" s="1"/>
  <c r="H95" i="22"/>
  <c r="S95" i="22" s="1"/>
  <c r="F94" i="22"/>
  <c r="Q94" i="22" s="1"/>
  <c r="J92" i="22"/>
  <c r="U92" i="22" s="1"/>
  <c r="H91" i="22"/>
  <c r="S91" i="22" s="1"/>
  <c r="L89" i="22"/>
  <c r="G88" i="22"/>
  <c r="R88" i="22" s="1"/>
  <c r="E87" i="22"/>
  <c r="P87" i="22" s="1"/>
  <c r="I85" i="22"/>
  <c r="T85" i="22" s="1"/>
  <c r="G84" i="22"/>
  <c r="R84" i="22" s="1"/>
  <c r="K82" i="22"/>
  <c r="V82" i="22" s="1"/>
  <c r="F81" i="22"/>
  <c r="Q81" i="22" s="1"/>
  <c r="D80" i="22"/>
  <c r="O80" i="22" s="1"/>
  <c r="H78" i="22"/>
  <c r="S78" i="22" s="1"/>
  <c r="F77" i="22"/>
  <c r="Q77" i="22" s="1"/>
  <c r="C101" i="22"/>
  <c r="N101" i="22" s="1"/>
  <c r="C88" i="22"/>
  <c r="N88" i="22" s="1"/>
  <c r="N77" i="22"/>
  <c r="G111" i="22"/>
  <c r="R111" i="22" s="1"/>
  <c r="E110" i="22"/>
  <c r="P110" i="22" s="1"/>
  <c r="I108" i="22"/>
  <c r="T108" i="22" s="1"/>
  <c r="G107" i="22"/>
  <c r="R107" i="22" s="1"/>
  <c r="K105" i="22"/>
  <c r="V105" i="22" s="1"/>
  <c r="F104" i="22"/>
  <c r="Q104" i="22" s="1"/>
  <c r="D103" i="22"/>
  <c r="O103" i="22" s="1"/>
  <c r="H101" i="22"/>
  <c r="S101" i="22" s="1"/>
  <c r="F100" i="22"/>
  <c r="Q100" i="22" s="1"/>
  <c r="J98" i="22"/>
  <c r="U98" i="22" s="1"/>
  <c r="E97" i="22"/>
  <c r="P97" i="22" s="1"/>
  <c r="L96" i="22"/>
  <c r="G95" i="22"/>
  <c r="R95" i="22" s="1"/>
  <c r="E94" i="22"/>
  <c r="P94" i="22" s="1"/>
  <c r="I92" i="22"/>
  <c r="T92" i="22" s="1"/>
  <c r="D91" i="22"/>
  <c r="O91" i="22" s="1"/>
  <c r="K89" i="22"/>
  <c r="V89" i="22" s="1"/>
  <c r="F88" i="22"/>
  <c r="Q88" i="22" s="1"/>
  <c r="D87" i="22"/>
  <c r="O87" i="22" s="1"/>
  <c r="H85" i="22"/>
  <c r="S85" i="22" s="1"/>
  <c r="L83" i="22"/>
  <c r="J82" i="22"/>
  <c r="U82" i="22" s="1"/>
  <c r="E81" i="22"/>
  <c r="P81" i="22" s="1"/>
  <c r="L79" i="22"/>
  <c r="G78" i="22"/>
  <c r="R78" i="22" s="1"/>
  <c r="C111" i="22"/>
  <c r="N111" i="22" s="1"/>
  <c r="C100" i="22"/>
  <c r="N100" i="22" s="1"/>
  <c r="C87" i="22"/>
  <c r="N87" i="22" s="1"/>
  <c r="L112" i="22"/>
  <c r="F111" i="22"/>
  <c r="Q111" i="22" s="1"/>
  <c r="D110" i="22"/>
  <c r="O110" i="22" s="1"/>
  <c r="H108" i="22"/>
  <c r="S108" i="22" s="1"/>
  <c r="L106" i="22"/>
  <c r="J105" i="22"/>
  <c r="U105" i="22" s="1"/>
  <c r="E104" i="22"/>
  <c r="P104" i="22" s="1"/>
  <c r="L102" i="22"/>
  <c r="G101" i="22"/>
  <c r="R101" i="22" s="1"/>
  <c r="K99" i="22"/>
  <c r="V99" i="22" s="1"/>
  <c r="I98" i="22"/>
  <c r="T98" i="22" s="1"/>
  <c r="D97" i="22"/>
  <c r="O97" i="22" s="1"/>
  <c r="K96" i="22"/>
  <c r="V96" i="22" s="1"/>
  <c r="F95" i="22"/>
  <c r="Q95" i="22" s="1"/>
  <c r="J93" i="22"/>
  <c r="U93" i="22" s="1"/>
  <c r="H92" i="22"/>
  <c r="S92" i="22" s="1"/>
  <c r="L90" i="22"/>
  <c r="J89" i="22"/>
  <c r="U89" i="22" s="1"/>
  <c r="E88" i="22"/>
  <c r="P88" i="22" s="1"/>
  <c r="I86" i="22"/>
  <c r="T86" i="22" s="1"/>
  <c r="G85" i="22"/>
  <c r="R85" i="22" s="1"/>
  <c r="K83" i="22"/>
  <c r="V83" i="22" s="1"/>
  <c r="I82" i="22"/>
  <c r="T82" i="22" s="1"/>
  <c r="D81" i="22"/>
  <c r="O81" i="22" s="1"/>
  <c r="H79" i="22"/>
  <c r="S79" i="22" s="1"/>
  <c r="F78" i="22"/>
  <c r="Q78" i="22" s="1"/>
  <c r="C110" i="22"/>
  <c r="N110" i="22" s="1"/>
  <c r="C99" i="22"/>
  <c r="N99" i="22" s="1"/>
  <c r="C86" i="22"/>
  <c r="N86" i="22" s="1"/>
  <c r="K112" i="22"/>
  <c r="V112" i="22" s="1"/>
  <c r="E111" i="22"/>
  <c r="P111" i="22" s="1"/>
  <c r="I109" i="22"/>
  <c r="T109" i="22" s="1"/>
  <c r="G108" i="22"/>
  <c r="R108" i="22" s="1"/>
  <c r="K106" i="22"/>
  <c r="V106" i="22" s="1"/>
  <c r="I105" i="22"/>
  <c r="T105" i="22" s="1"/>
  <c r="D104" i="22"/>
  <c r="O104" i="22" s="1"/>
  <c r="H102" i="22"/>
  <c r="S102" i="22" s="1"/>
  <c r="F101" i="22"/>
  <c r="Q101" i="22" s="1"/>
  <c r="J99" i="22"/>
  <c r="U99" i="22" s="1"/>
  <c r="H98" i="22"/>
  <c r="S98" i="22" s="1"/>
  <c r="G96" i="22"/>
  <c r="R96" i="22" s="1"/>
  <c r="E95" i="22"/>
  <c r="P95" i="22" s="1"/>
  <c r="I93" i="22"/>
  <c r="T93" i="22" s="1"/>
  <c r="G92" i="22"/>
  <c r="R92" i="22" s="1"/>
  <c r="K90" i="22"/>
  <c r="V90" i="22" s="1"/>
  <c r="F89" i="22"/>
  <c r="Q89" i="22" s="1"/>
  <c r="D88" i="22"/>
  <c r="O88" i="22" s="1"/>
  <c r="H86" i="22"/>
  <c r="S86" i="22" s="1"/>
  <c r="F85" i="22"/>
  <c r="Q85" i="22" s="1"/>
  <c r="J83" i="22"/>
  <c r="U83" i="22" s="1"/>
  <c r="E82" i="22"/>
  <c r="P82" i="22" s="1"/>
  <c r="L80" i="22"/>
  <c r="G79" i="22"/>
  <c r="R79" i="22" s="1"/>
  <c r="E78" i="22"/>
  <c r="P78" i="22" s="1"/>
  <c r="C109" i="22"/>
  <c r="N109" i="22" s="1"/>
  <c r="C96" i="22"/>
  <c r="N96" i="22" s="1"/>
  <c r="C85" i="22"/>
  <c r="N85" i="22" s="1"/>
  <c r="V524" i="8"/>
  <c r="V563" i="8"/>
  <c r="V554" i="8"/>
  <c r="V530" i="8"/>
  <c r="V522" i="8"/>
  <c r="V514" i="8"/>
  <c r="V506" i="8"/>
  <c r="V498" i="8"/>
  <c r="V490" i="8"/>
  <c r="V482" i="8"/>
  <c r="V474" i="8"/>
  <c r="V466" i="8"/>
  <c r="V458" i="8"/>
  <c r="V442" i="8"/>
  <c r="V434" i="8"/>
  <c r="V426" i="8"/>
  <c r="V418" i="8"/>
  <c r="V410" i="8"/>
  <c r="V394" i="8"/>
  <c r="V386" i="8"/>
  <c r="V378" i="8"/>
  <c r="V370" i="8"/>
  <c r="V362" i="8"/>
  <c r="V354" i="8"/>
  <c r="V338" i="8"/>
  <c r="V330" i="8"/>
  <c r="V322" i="8"/>
  <c r="V314" i="8"/>
  <c r="V306" i="8"/>
  <c r="V298" i="8"/>
  <c r="V290" i="8"/>
  <c r="V274" i="8"/>
  <c r="V266" i="8"/>
  <c r="V258" i="8"/>
  <c r="V242" i="8"/>
  <c r="V234" i="8"/>
  <c r="V226" i="8"/>
  <c r="V218" i="8"/>
  <c r="V210" i="8"/>
  <c r="V202" i="8"/>
  <c r="V194" i="8"/>
  <c r="V186" i="8"/>
  <c r="V170" i="8"/>
  <c r="V162" i="8"/>
  <c r="V154" i="8"/>
  <c r="V146" i="8"/>
  <c r="V130" i="8"/>
  <c r="V122" i="8"/>
  <c r="V114" i="8"/>
  <c r="V106" i="8"/>
  <c r="V98" i="8"/>
  <c r="V91" i="8"/>
  <c r="V75" i="8"/>
  <c r="V67" i="8"/>
  <c r="V59" i="8"/>
  <c r="V35" i="8"/>
  <c r="V27" i="8"/>
  <c r="V19" i="8"/>
  <c r="V565" i="8"/>
  <c r="V556" i="8"/>
  <c r="V516" i="8"/>
  <c r="V571" i="8"/>
  <c r="V570" i="8"/>
  <c r="V562" i="8"/>
  <c r="V538" i="8"/>
  <c r="V577" i="8"/>
  <c r="V569" i="8"/>
  <c r="V561" i="8"/>
  <c r="V553" i="8"/>
  <c r="V545" i="8"/>
  <c r="V537" i="8"/>
  <c r="V529" i="8"/>
  <c r="V521" i="8"/>
  <c r="V513" i="8"/>
  <c r="V505" i="8"/>
  <c r="V489" i="8"/>
  <c r="V481" i="8"/>
  <c r="V465" i="8"/>
  <c r="V457" i="8"/>
  <c r="V449" i="8"/>
  <c r="V441" i="8"/>
  <c r="V433" i="8"/>
  <c r="V417" i="8"/>
  <c r="V409" i="8"/>
  <c r="V401" i="8"/>
  <c r="V393" i="8"/>
  <c r="V385" i="8"/>
  <c r="V377" i="8"/>
  <c r="V369" i="8"/>
  <c r="V361" i="8"/>
  <c r="V353" i="8"/>
  <c r="V345" i="8"/>
  <c r="V329" i="8"/>
  <c r="V321" i="8"/>
  <c r="V313" i="8"/>
  <c r="V297" i="8"/>
  <c r="V281" i="8"/>
  <c r="V265" i="8"/>
  <c r="V257" i="8"/>
  <c r="V241" i="8"/>
  <c r="V233" i="8"/>
  <c r="V225" i="8"/>
  <c r="V217" i="8"/>
  <c r="V201" i="8"/>
  <c r="V193" i="8"/>
  <c r="V185" i="8"/>
  <c r="V169" i="8"/>
  <c r="V161" i="8"/>
  <c r="V145" i="8"/>
  <c r="V137" i="8"/>
  <c r="V129" i="8"/>
  <c r="V121" i="8"/>
  <c r="V97" i="8"/>
  <c r="V90" i="8"/>
  <c r="V74" i="8"/>
  <c r="V58" i="8"/>
  <c r="V42" i="8"/>
  <c r="V34" i="8"/>
  <c r="V18" i="8"/>
  <c r="V560" i="8"/>
  <c r="V544" i="8"/>
  <c r="V536" i="8"/>
  <c r="V528" i="8"/>
  <c r="V520" i="8"/>
  <c r="V512" i="8"/>
  <c r="V504" i="8"/>
  <c r="V496" i="8"/>
  <c r="V480" i="8"/>
  <c r="V472" i="8"/>
  <c r="V464" i="8"/>
  <c r="V456" i="8"/>
  <c r="V448" i="8"/>
  <c r="V440" i="8"/>
  <c r="V432" i="8"/>
  <c r="V424" i="8"/>
  <c r="V416" i="8"/>
  <c r="V400" i="8"/>
  <c r="V392" i="8"/>
  <c r="V376" i="8"/>
  <c r="V368" i="8"/>
  <c r="V360" i="8"/>
  <c r="V352" i="8"/>
  <c r="V344" i="8"/>
  <c r="V328" i="8"/>
  <c r="V312" i="8"/>
  <c r="V288" i="8"/>
  <c r="V280" i="8"/>
  <c r="V272" i="8"/>
  <c r="V256" i="8"/>
  <c r="V240" i="8"/>
  <c r="V232" i="8"/>
  <c r="V224" i="8"/>
  <c r="V216" i="8"/>
  <c r="V208" i="8"/>
  <c r="V200" i="8"/>
  <c r="V192" i="8"/>
  <c r="V184" i="8"/>
  <c r="V168" i="8"/>
  <c r="V160" i="8"/>
  <c r="V144" i="8"/>
  <c r="V136" i="8"/>
  <c r="V128" i="8"/>
  <c r="V120" i="8"/>
  <c r="V104" i="8"/>
  <c r="V89" i="8"/>
  <c r="V73" i="8"/>
  <c r="V57" i="8"/>
  <c r="V33" i="8"/>
  <c r="V25" i="8"/>
  <c r="V17" i="8"/>
  <c r="V573" i="8"/>
  <c r="V568" i="8"/>
  <c r="V552" i="8"/>
  <c r="V551" i="8"/>
  <c r="V543" i="8"/>
  <c r="V535" i="8"/>
  <c r="V527" i="8"/>
  <c r="V519" i="8"/>
  <c r="V511" i="8"/>
  <c r="V503" i="8"/>
  <c r="V495" i="8"/>
  <c r="V479" i="8"/>
  <c r="V471" i="8"/>
  <c r="V463" i="8"/>
  <c r="V455" i="8"/>
  <c r="V447" i="8"/>
  <c r="V439" i="8"/>
  <c r="V431" i="8"/>
  <c r="V423" i="8"/>
  <c r="V415" i="8"/>
  <c r="V407" i="8"/>
  <c r="V399" i="8"/>
  <c r="V391" i="8"/>
  <c r="V375" i="8"/>
  <c r="V367" i="8"/>
  <c r="V359" i="8"/>
  <c r="V351" i="8"/>
  <c r="V335" i="8"/>
  <c r="V327" i="8"/>
  <c r="V311" i="8"/>
  <c r="V303" i="8"/>
  <c r="V295" i="8"/>
  <c r="V287" i="8"/>
  <c r="V279" i="8"/>
  <c r="V271" i="8"/>
  <c r="V263" i="8"/>
  <c r="V255" i="8"/>
  <c r="V247" i="8"/>
  <c r="V239" i="8"/>
  <c r="V231" i="8"/>
  <c r="V223" i="8"/>
  <c r="V215" i="8"/>
  <c r="V207" i="8"/>
  <c r="V183" i="8"/>
  <c r="V175" i="8"/>
  <c r="V167" i="8"/>
  <c r="V159" i="8"/>
  <c r="V151" i="8"/>
  <c r="V135" i="8"/>
  <c r="V119" i="8"/>
  <c r="V96" i="8"/>
  <c r="V80" i="8"/>
  <c r="V72" i="8"/>
  <c r="V56" i="8"/>
  <c r="V48" i="8"/>
  <c r="V40" i="8"/>
  <c r="V32" i="8"/>
  <c r="V16" i="8"/>
  <c r="V572" i="8"/>
  <c r="V548" i="8"/>
  <c r="V575" i="8"/>
  <c r="V567" i="8"/>
  <c r="V559" i="8"/>
  <c r="V574" i="8"/>
  <c r="V566" i="8"/>
  <c r="V558" i="8"/>
  <c r="V550" i="8"/>
  <c r="V542" i="8"/>
  <c r="V534" i="8"/>
  <c r="V526" i="8"/>
  <c r="V518" i="8"/>
  <c r="V510" i="8"/>
  <c r="V502" i="8"/>
  <c r="V494" i="8"/>
  <c r="V486" i="8"/>
  <c r="V478" i="8"/>
  <c r="V470" i="8"/>
  <c r="V462" i="8"/>
  <c r="V454" i="8"/>
  <c r="V438" i="8"/>
  <c r="V422" i="8"/>
  <c r="V414" i="8"/>
  <c r="V406" i="8"/>
  <c r="V398" i="8"/>
  <c r="V390" i="8"/>
  <c r="V382" i="8"/>
  <c r="V374" i="8"/>
  <c r="V366" i="8"/>
  <c r="V358" i="8"/>
  <c r="V350" i="8"/>
  <c r="V342" i="8"/>
  <c r="V334" i="8"/>
  <c r="V326" i="8"/>
  <c r="V318" i="8"/>
  <c r="V310" i="8"/>
  <c r="V302" i="8"/>
  <c r="V294" i="8"/>
  <c r="V286" i="8"/>
  <c r="V278" i="8"/>
  <c r="V262" i="8"/>
  <c r="V254" i="8"/>
  <c r="V238" i="8"/>
  <c r="V230" i="8"/>
  <c r="V222" i="8"/>
  <c r="V214" i="8"/>
  <c r="V206" i="8"/>
  <c r="V190" i="8"/>
  <c r="V182" i="8"/>
  <c r="V174" i="8"/>
  <c r="V166" i="8"/>
  <c r="V158" i="8"/>
  <c r="V150" i="8"/>
  <c r="V142" i="8"/>
  <c r="V134" i="8"/>
  <c r="V126" i="8"/>
  <c r="V110" i="8"/>
  <c r="V95" i="8"/>
  <c r="V87" i="8"/>
  <c r="V79" i="8"/>
  <c r="V71" i="8"/>
  <c r="V63" i="8"/>
  <c r="V55" i="8"/>
  <c r="V47" i="8"/>
  <c r="V39" i="8"/>
  <c r="V31" i="8"/>
  <c r="V15" i="8"/>
  <c r="V549" i="8"/>
  <c r="V541" i="8"/>
  <c r="V533" i="8"/>
  <c r="V525" i="8"/>
  <c r="V517" i="8"/>
  <c r="V509" i="8"/>
  <c r="V501" i="8"/>
  <c r="V493" i="8"/>
  <c r="V477" i="8"/>
  <c r="V461" i="8"/>
  <c r="V453" i="8"/>
  <c r="V445" i="8"/>
  <c r="V437" i="8"/>
  <c r="V429" i="8"/>
  <c r="V413" i="8"/>
  <c r="V405" i="8"/>
  <c r="V389" i="8"/>
  <c r="V381" i="8"/>
  <c r="V373" i="8"/>
  <c r="V357" i="8"/>
  <c r="V349" i="8"/>
  <c r="V341" i="8"/>
  <c r="V333" i="8"/>
  <c r="V325" i="8"/>
  <c r="V317" i="8"/>
  <c r="V309" i="8"/>
  <c r="V301" i="8"/>
  <c r="V293" i="8"/>
  <c r="V285" i="8"/>
  <c r="V269" i="8"/>
  <c r="V261" i="8"/>
  <c r="V245" i="8"/>
  <c r="V237" i="8"/>
  <c r="V229" i="8"/>
  <c r="V221" i="8"/>
  <c r="V213" i="8"/>
  <c r="V205" i="8"/>
  <c r="V197" i="8"/>
  <c r="V189" i="8"/>
  <c r="V181" i="8"/>
  <c r="V173" i="8"/>
  <c r="V165" i="8"/>
  <c r="V157" i="8"/>
  <c r="V149" i="8"/>
  <c r="V141" i="8"/>
  <c r="V133" i="8"/>
  <c r="V125" i="8"/>
  <c r="V109" i="8"/>
  <c r="V101" i="8"/>
  <c r="V94" i="8"/>
  <c r="V86" i="8"/>
  <c r="V78" i="8"/>
  <c r="V62" i="8"/>
  <c r="V54" i="8"/>
  <c r="V46" i="8"/>
  <c r="V38" i="8"/>
  <c r="V22" i="8"/>
  <c r="V14" i="8"/>
  <c r="V564" i="8"/>
  <c r="V532" i="8"/>
  <c r="V508" i="8"/>
  <c r="V500" i="8"/>
  <c r="V492" i="8"/>
  <c r="V476" i="8"/>
  <c r="V468" i="8"/>
  <c r="V436" i="8"/>
  <c r="V428" i="8"/>
  <c r="V420" i="8"/>
  <c r="V412" i="8"/>
  <c r="V396" i="8"/>
  <c r="V388" i="8"/>
  <c r="V380" i="8"/>
  <c r="V356" i="8"/>
  <c r="V348" i="8"/>
  <c r="V340" i="8"/>
  <c r="V332" i="8"/>
  <c r="V324" i="8"/>
  <c r="V316" i="8"/>
  <c r="V308" i="8"/>
  <c r="V300" i="8"/>
  <c r="V292" i="8"/>
  <c r="V284" i="8"/>
  <c r="V276" i="8"/>
  <c r="V268" i="8"/>
  <c r="V260" i="8"/>
  <c r="V244" i="8"/>
  <c r="V220" i="8"/>
  <c r="V212" i="8"/>
  <c r="V204" i="8"/>
  <c r="V196" i="8"/>
  <c r="V188" i="8"/>
  <c r="V180" i="8"/>
  <c r="V172" i="8"/>
  <c r="V148" i="8"/>
  <c r="V140" i="8"/>
  <c r="V132" i="8"/>
  <c r="V124" i="8"/>
  <c r="V116" i="8"/>
  <c r="V100" i="8"/>
  <c r="V93" i="8"/>
  <c r="V85" i="8"/>
  <c r="V69" i="8"/>
  <c r="V45" i="8"/>
  <c r="V37" i="8"/>
  <c r="V29" i="8"/>
  <c r="V13" i="8"/>
  <c r="V557" i="8"/>
  <c r="V540" i="8"/>
  <c r="V547" i="8"/>
  <c r="V539" i="8"/>
  <c r="V531" i="8"/>
  <c r="V515" i="8"/>
  <c r="V507" i="8"/>
  <c r="V499" i="8"/>
  <c r="V491" i="8"/>
  <c r="V483" i="8"/>
  <c r="V475" i="8"/>
  <c r="V467" i="8"/>
  <c r="V459" i="8"/>
  <c r="V451" i="8"/>
  <c r="V435" i="8"/>
  <c r="V427" i="8"/>
  <c r="V411" i="8"/>
  <c r="V403" i="8"/>
  <c r="V395" i="8"/>
  <c r="V387" i="8"/>
  <c r="V379" i="8"/>
  <c r="V371" i="8"/>
  <c r="V355" i="8"/>
  <c r="V347" i="8"/>
  <c r="V339" i="8"/>
  <c r="V323" i="8"/>
  <c r="V315" i="8"/>
  <c r="V307" i="8"/>
  <c r="V299" i="8"/>
  <c r="V291" i="8"/>
  <c r="V283" i="8"/>
  <c r="V275" i="8"/>
  <c r="V267" i="8"/>
  <c r="V259" i="8"/>
  <c r="V243" i="8"/>
  <c r="V235" i="8"/>
  <c r="V219" i="8"/>
  <c r="V211" i="8"/>
  <c r="V203" i="8"/>
  <c r="V195" i="8"/>
  <c r="V187" i="8"/>
  <c r="V179" i="8"/>
  <c r="V171" i="8"/>
  <c r="V163" i="8"/>
  <c r="V155" i="8"/>
  <c r="V147" i="8"/>
  <c r="V123" i="8"/>
  <c r="V107" i="8"/>
  <c r="V99" i="8"/>
  <c r="V92" i="8"/>
  <c r="V84" i="8"/>
  <c r="V76" i="8"/>
  <c r="V68" i="8"/>
  <c r="V52" i="8"/>
  <c r="V28" i="8"/>
  <c r="V20" i="8"/>
  <c r="V12" i="8"/>
  <c r="D38" i="19"/>
  <c r="W43" i="22" l="1"/>
  <c r="C210" i="22"/>
  <c r="N210" i="22" s="1"/>
  <c r="C203" i="22"/>
  <c r="N203" i="22" s="1"/>
  <c r="E203" i="22"/>
  <c r="P203" i="22" s="1"/>
  <c r="C196" i="22"/>
  <c r="N196" i="22" s="1"/>
  <c r="E210" i="22"/>
  <c r="P210" i="22" s="1"/>
  <c r="E196" i="22"/>
  <c r="P196" i="22" s="1"/>
  <c r="V121" i="22"/>
  <c r="W7" i="22"/>
  <c r="W122" i="22"/>
  <c r="W126" i="22"/>
  <c r="W130" i="22"/>
  <c r="W134" i="22"/>
  <c r="W138" i="22"/>
  <c r="W142" i="22"/>
  <c r="W146" i="22"/>
  <c r="W140" i="22"/>
  <c r="W125" i="22"/>
  <c r="W124" i="22"/>
  <c r="W135" i="22"/>
  <c r="W136" i="22"/>
  <c r="W137" i="22"/>
  <c r="W123" i="22"/>
  <c r="W131" i="22"/>
  <c r="W132" i="22"/>
  <c r="W133" i="22"/>
  <c r="W147" i="22"/>
  <c r="W148" i="22"/>
  <c r="W149" i="22"/>
  <c r="W127" i="22"/>
  <c r="W128" i="22"/>
  <c r="W129" i="22"/>
  <c r="W143" i="22"/>
  <c r="W144" i="22"/>
  <c r="W145" i="22"/>
  <c r="W139" i="22"/>
  <c r="W141" i="22"/>
  <c r="P76" i="22"/>
  <c r="T76" i="22"/>
  <c r="W118" i="22"/>
  <c r="Q76" i="22"/>
  <c r="O76" i="22"/>
  <c r="W117" i="22"/>
  <c r="W116" i="22"/>
  <c r="S76" i="22"/>
  <c r="V76" i="22"/>
  <c r="U76" i="22"/>
  <c r="W115" i="22"/>
  <c r="W114" i="22"/>
  <c r="N76" i="22"/>
  <c r="R76" i="22"/>
  <c r="W113" i="22"/>
  <c r="N56" i="19"/>
  <c r="L24" i="21"/>
  <c r="F54" i="19"/>
  <c r="D22" i="21"/>
  <c r="D87" i="21" s="1"/>
  <c r="L56" i="19"/>
  <c r="J24" i="21"/>
  <c r="H54" i="19"/>
  <c r="F22" i="21"/>
  <c r="F87" i="21" s="1"/>
  <c r="L54" i="19"/>
  <c r="J22" i="21"/>
  <c r="J87" i="21" s="1"/>
  <c r="I54" i="19"/>
  <c r="G22" i="21"/>
  <c r="G87" i="21" s="1"/>
  <c r="H55" i="19"/>
  <c r="F23" i="21"/>
  <c r="M55" i="19"/>
  <c r="K23" i="21"/>
  <c r="F56" i="19"/>
  <c r="D24" i="21"/>
  <c r="J56" i="19"/>
  <c r="H24" i="21"/>
  <c r="F55" i="19"/>
  <c r="D23" i="21"/>
  <c r="I56" i="19"/>
  <c r="G24" i="21"/>
  <c r="E54" i="19"/>
  <c r="C22" i="21"/>
  <c r="C87" i="21" s="1"/>
  <c r="J55" i="19"/>
  <c r="H23" i="21"/>
  <c r="K56" i="19"/>
  <c r="I24" i="21"/>
  <c r="I55" i="19"/>
  <c r="G23" i="21"/>
  <c r="E56" i="19"/>
  <c r="C24" i="21"/>
  <c r="H56" i="19"/>
  <c r="F24" i="21"/>
  <c r="N55" i="19"/>
  <c r="L23" i="21"/>
  <c r="J54" i="19"/>
  <c r="H22" i="21"/>
  <c r="H87" i="21" s="1"/>
  <c r="K55" i="19"/>
  <c r="I23" i="21"/>
  <c r="G54" i="19"/>
  <c r="E22" i="21"/>
  <c r="E87" i="21" s="1"/>
  <c r="E55" i="19"/>
  <c r="C23" i="21"/>
  <c r="N54" i="19"/>
  <c r="L22" i="21"/>
  <c r="L87" i="21" s="1"/>
  <c r="M54" i="19"/>
  <c r="K22" i="21"/>
  <c r="K87" i="21" s="1"/>
  <c r="K54" i="19"/>
  <c r="I22" i="21"/>
  <c r="I87" i="21" s="1"/>
  <c r="G56" i="19"/>
  <c r="E24" i="21"/>
  <c r="M56" i="19"/>
  <c r="K24" i="21"/>
  <c r="L55" i="19"/>
  <c r="J23" i="21"/>
  <c r="G55" i="19"/>
  <c r="E23" i="21"/>
  <c r="V47" i="22"/>
  <c r="V26" i="22"/>
  <c r="W90" i="22"/>
  <c r="W112" i="22"/>
  <c r="W83" i="22"/>
  <c r="W78" i="22"/>
  <c r="V41" i="22"/>
  <c r="W102" i="22"/>
  <c r="W96" i="22"/>
  <c r="W89" i="22"/>
  <c r="W82" i="22"/>
  <c r="W77" i="22"/>
  <c r="W86" i="22"/>
  <c r="W48" i="22"/>
  <c r="W95" i="22"/>
  <c r="W88" i="22"/>
  <c r="W81" i="22"/>
  <c r="W85" i="22"/>
  <c r="W94" i="22"/>
  <c r="W49" i="22"/>
  <c r="W45" i="22"/>
  <c r="W87" i="22"/>
  <c r="W84" i="22"/>
  <c r="W93" i="22"/>
  <c r="W101" i="22"/>
  <c r="W42" i="22"/>
  <c r="W80" i="22"/>
  <c r="W106" i="22"/>
  <c r="W92" i="22"/>
  <c r="W100" i="22"/>
  <c r="W109" i="22"/>
  <c r="W50" i="22"/>
  <c r="W24" i="22"/>
  <c r="W79" i="22"/>
  <c r="W105" i="22"/>
  <c r="W98" i="22"/>
  <c r="W99" i="22"/>
  <c r="W108" i="22"/>
  <c r="W51" i="22"/>
  <c r="W32" i="22"/>
  <c r="W111" i="22"/>
  <c r="W104" i="22"/>
  <c r="W97" i="22"/>
  <c r="W91" i="22"/>
  <c r="W107" i="22"/>
  <c r="W44" i="22"/>
  <c r="W110" i="22"/>
  <c r="W103" i="22"/>
  <c r="W27" i="22"/>
  <c r="W28" i="22"/>
  <c r="W29" i="22"/>
  <c r="J39" i="22"/>
  <c r="U39" i="22" s="1"/>
  <c r="K38" i="22"/>
  <c r="V38" i="22" s="1"/>
  <c r="L37" i="22"/>
  <c r="W37" i="22" s="1"/>
  <c r="D37" i="22"/>
  <c r="O37" i="22" s="1"/>
  <c r="E36" i="22"/>
  <c r="P36" i="22" s="1"/>
  <c r="I39" i="22"/>
  <c r="T39" i="22" s="1"/>
  <c r="J38" i="22"/>
  <c r="U38" i="22" s="1"/>
  <c r="K37" i="22"/>
  <c r="V37" i="22" s="1"/>
  <c r="L36" i="22"/>
  <c r="W36" i="22" s="1"/>
  <c r="D36" i="22"/>
  <c r="O36" i="22" s="1"/>
  <c r="H39" i="22"/>
  <c r="S39" i="22" s="1"/>
  <c r="I38" i="22"/>
  <c r="T38" i="22" s="1"/>
  <c r="J37" i="22"/>
  <c r="U37" i="22" s="1"/>
  <c r="K36" i="22"/>
  <c r="V36" i="22" s="1"/>
  <c r="G39" i="22"/>
  <c r="R39" i="22" s="1"/>
  <c r="H38" i="22"/>
  <c r="S38" i="22" s="1"/>
  <c r="I37" i="22"/>
  <c r="T37" i="22" s="1"/>
  <c r="J36" i="22"/>
  <c r="U36" i="22" s="1"/>
  <c r="C39" i="22"/>
  <c r="N39" i="22" s="1"/>
  <c r="F39" i="22"/>
  <c r="Q39" i="22" s="1"/>
  <c r="G38" i="22"/>
  <c r="R38" i="22" s="1"/>
  <c r="H37" i="22"/>
  <c r="S37" i="22" s="1"/>
  <c r="I36" i="22"/>
  <c r="T36" i="22" s="1"/>
  <c r="I474" i="21" s="1"/>
  <c r="C38" i="22"/>
  <c r="N38" i="22" s="1"/>
  <c r="E39" i="22"/>
  <c r="P39" i="22" s="1"/>
  <c r="F38" i="22"/>
  <c r="Q38" i="22" s="1"/>
  <c r="G37" i="22"/>
  <c r="R37" i="22" s="1"/>
  <c r="H36" i="22"/>
  <c r="S36" i="22" s="1"/>
  <c r="C37" i="22"/>
  <c r="N37" i="22" s="1"/>
  <c r="L39" i="22"/>
  <c r="W39" i="22" s="1"/>
  <c r="D39" i="22"/>
  <c r="O39" i="22" s="1"/>
  <c r="E38" i="22"/>
  <c r="P38" i="22" s="1"/>
  <c r="F37" i="22"/>
  <c r="Q37" i="22" s="1"/>
  <c r="G36" i="22"/>
  <c r="R36" i="22" s="1"/>
  <c r="C36" i="22"/>
  <c r="N36" i="22" s="1"/>
  <c r="K39" i="22"/>
  <c r="V39" i="22" s="1"/>
  <c r="L38" i="22"/>
  <c r="W38" i="22" s="1"/>
  <c r="D38" i="22"/>
  <c r="O38" i="22" s="1"/>
  <c r="E37" i="22"/>
  <c r="P37" i="22" s="1"/>
  <c r="E475" i="21" s="1"/>
  <c r="F36" i="22"/>
  <c r="Q36" i="22" s="1"/>
  <c r="G74" i="22"/>
  <c r="R74" i="22" s="1"/>
  <c r="G513" i="21" s="1"/>
  <c r="I73" i="22"/>
  <c r="T73" i="22" s="1"/>
  <c r="K72" i="22"/>
  <c r="V72" i="22" s="1"/>
  <c r="C72" i="22"/>
  <c r="N72" i="22" s="1"/>
  <c r="E71" i="22"/>
  <c r="P71" i="22" s="1"/>
  <c r="F74" i="22"/>
  <c r="Q74" i="22" s="1"/>
  <c r="H73" i="22"/>
  <c r="S73" i="22" s="1"/>
  <c r="J72" i="22"/>
  <c r="U72" i="22" s="1"/>
  <c r="L71" i="22"/>
  <c r="W71" i="22" s="1"/>
  <c r="D71" i="22"/>
  <c r="O71" i="22" s="1"/>
  <c r="E74" i="22"/>
  <c r="P74" i="22" s="1"/>
  <c r="G73" i="22"/>
  <c r="R73" i="22" s="1"/>
  <c r="I72" i="22"/>
  <c r="T72" i="22" s="1"/>
  <c r="K71" i="22"/>
  <c r="V71" i="22" s="1"/>
  <c r="C71" i="22"/>
  <c r="N71" i="22" s="1"/>
  <c r="L74" i="22"/>
  <c r="W74" i="22" s="1"/>
  <c r="K73" i="22"/>
  <c r="V73" i="22" s="1"/>
  <c r="K512" i="21" s="1"/>
  <c r="G72" i="22"/>
  <c r="R72" i="22" s="1"/>
  <c r="F71" i="22"/>
  <c r="Q71" i="22" s="1"/>
  <c r="K74" i="22"/>
  <c r="V74" i="22" s="1"/>
  <c r="J73" i="22"/>
  <c r="U73" i="22" s="1"/>
  <c r="F72" i="22"/>
  <c r="Q72" i="22" s="1"/>
  <c r="J74" i="22"/>
  <c r="U74" i="22" s="1"/>
  <c r="J513" i="21" s="1"/>
  <c r="F73" i="22"/>
  <c r="Q73" i="22" s="1"/>
  <c r="E72" i="22"/>
  <c r="P72" i="22" s="1"/>
  <c r="I74" i="22"/>
  <c r="T74" i="22" s="1"/>
  <c r="E73" i="22"/>
  <c r="P73" i="22" s="1"/>
  <c r="D72" i="22"/>
  <c r="O72" i="22" s="1"/>
  <c r="H74" i="22"/>
  <c r="S74" i="22" s="1"/>
  <c r="H513" i="21" s="1"/>
  <c r="D73" i="22"/>
  <c r="O73" i="22" s="1"/>
  <c r="J71" i="22"/>
  <c r="U71" i="22" s="1"/>
  <c r="J510" i="21" s="1"/>
  <c r="D74" i="22"/>
  <c r="O74" i="22" s="1"/>
  <c r="C73" i="22"/>
  <c r="N73" i="22" s="1"/>
  <c r="I71" i="22"/>
  <c r="T71" i="22" s="1"/>
  <c r="C74" i="22"/>
  <c r="N74" i="22" s="1"/>
  <c r="C513" i="21" s="1"/>
  <c r="L72" i="22"/>
  <c r="W72" i="22" s="1"/>
  <c r="H71" i="22"/>
  <c r="S71" i="22" s="1"/>
  <c r="H510" i="21" s="1"/>
  <c r="L73" i="22"/>
  <c r="W73" i="22" s="1"/>
  <c r="H72" i="22"/>
  <c r="S72" i="22" s="1"/>
  <c r="G71" i="22"/>
  <c r="R71" i="22" s="1"/>
  <c r="L65" i="22"/>
  <c r="W65" i="22" s="1"/>
  <c r="L57" i="22"/>
  <c r="W57" i="22" s="1"/>
  <c r="G68" i="22"/>
  <c r="R68" i="22" s="1"/>
  <c r="G67" i="22"/>
  <c r="R67" i="22" s="1"/>
  <c r="G66" i="22"/>
  <c r="R66" i="22" s="1"/>
  <c r="G65" i="22"/>
  <c r="R65" i="22" s="1"/>
  <c r="G64" i="22"/>
  <c r="R64" i="22" s="1"/>
  <c r="G63" i="22"/>
  <c r="R63" i="22" s="1"/>
  <c r="G62" i="22"/>
  <c r="R62" i="22" s="1"/>
  <c r="G500" i="21" s="1"/>
  <c r="G61" i="22"/>
  <c r="R61" i="22" s="1"/>
  <c r="G60" i="22"/>
  <c r="R60" i="22" s="1"/>
  <c r="G59" i="22"/>
  <c r="R59" i="22" s="1"/>
  <c r="G58" i="22"/>
  <c r="R58" i="22" s="1"/>
  <c r="G57" i="22"/>
  <c r="R57" i="22" s="1"/>
  <c r="G56" i="22"/>
  <c r="R56" i="22" s="1"/>
  <c r="G55" i="22"/>
  <c r="R55" i="22" s="1"/>
  <c r="G54" i="22"/>
  <c r="R54" i="22" s="1"/>
  <c r="G492" i="21" s="1"/>
  <c r="G659" i="21" s="1"/>
  <c r="C66" i="22"/>
  <c r="N66" i="22" s="1"/>
  <c r="C58" i="22"/>
  <c r="N58" i="22" s="1"/>
  <c r="C496" i="21" s="1"/>
  <c r="L64" i="22"/>
  <c r="W64" i="22" s="1"/>
  <c r="L56" i="22"/>
  <c r="W56" i="22" s="1"/>
  <c r="F68" i="22"/>
  <c r="Q68" i="22" s="1"/>
  <c r="F67" i="22"/>
  <c r="Q67" i="22" s="1"/>
  <c r="F66" i="22"/>
  <c r="Q66" i="22" s="1"/>
  <c r="F65" i="22"/>
  <c r="Q65" i="22" s="1"/>
  <c r="F64" i="22"/>
  <c r="Q64" i="22" s="1"/>
  <c r="F63" i="22"/>
  <c r="Q63" i="22" s="1"/>
  <c r="F62" i="22"/>
  <c r="Q62" i="22" s="1"/>
  <c r="F61" i="22"/>
  <c r="Q61" i="22" s="1"/>
  <c r="F499" i="21" s="1"/>
  <c r="F60" i="22"/>
  <c r="Q60" i="22" s="1"/>
  <c r="F59" i="22"/>
  <c r="Q59" i="22" s="1"/>
  <c r="F58" i="22"/>
  <c r="Q58" i="22" s="1"/>
  <c r="F57" i="22"/>
  <c r="Q57" i="22" s="1"/>
  <c r="F56" i="22"/>
  <c r="Q56" i="22" s="1"/>
  <c r="F55" i="22"/>
  <c r="Q55" i="22" s="1"/>
  <c r="F54" i="22"/>
  <c r="Q54" i="22" s="1"/>
  <c r="C65" i="22"/>
  <c r="N65" i="22" s="1"/>
  <c r="C57" i="22"/>
  <c r="N57" i="22" s="1"/>
  <c r="L63" i="22"/>
  <c r="W63" i="22" s="1"/>
  <c r="L55" i="22"/>
  <c r="W55" i="22" s="1"/>
  <c r="E68" i="22"/>
  <c r="P68" i="22" s="1"/>
  <c r="E506" i="21" s="1"/>
  <c r="E67" i="22"/>
  <c r="P67" i="22" s="1"/>
  <c r="E505" i="21" s="1"/>
  <c r="E66" i="22"/>
  <c r="P66" i="22" s="1"/>
  <c r="E504" i="21" s="1"/>
  <c r="E65" i="22"/>
  <c r="P65" i="22" s="1"/>
  <c r="E503" i="21" s="1"/>
  <c r="E64" i="22"/>
  <c r="P64" i="22" s="1"/>
  <c r="E502" i="21" s="1"/>
  <c r="E63" i="22"/>
  <c r="P63" i="22" s="1"/>
  <c r="E501" i="21" s="1"/>
  <c r="E62" i="22"/>
  <c r="P62" i="22" s="1"/>
  <c r="E500" i="21" s="1"/>
  <c r="E61" i="22"/>
  <c r="P61" i="22" s="1"/>
  <c r="E499" i="21" s="1"/>
  <c r="E60" i="22"/>
  <c r="P60" i="22" s="1"/>
  <c r="E498" i="21" s="1"/>
  <c r="E59" i="22"/>
  <c r="P59" i="22" s="1"/>
  <c r="E497" i="21" s="1"/>
  <c r="E58" i="22"/>
  <c r="P58" i="22" s="1"/>
  <c r="E496" i="21" s="1"/>
  <c r="E57" i="22"/>
  <c r="P57" i="22" s="1"/>
  <c r="E495" i="21" s="1"/>
  <c r="E56" i="22"/>
  <c r="P56" i="22" s="1"/>
  <c r="E494" i="21" s="1"/>
  <c r="E55" i="22"/>
  <c r="P55" i="22" s="1"/>
  <c r="E493" i="21" s="1"/>
  <c r="E54" i="22"/>
  <c r="P54" i="22" s="1"/>
  <c r="E492" i="21" s="1"/>
  <c r="E659" i="21" s="1"/>
  <c r="C64" i="22"/>
  <c r="N64" i="22" s="1"/>
  <c r="L60" i="22"/>
  <c r="W60" i="22" s="1"/>
  <c r="I67" i="22"/>
  <c r="T67" i="22" s="1"/>
  <c r="I505" i="21" s="1"/>
  <c r="K66" i="22"/>
  <c r="V66" i="22" s="1"/>
  <c r="H65" i="22"/>
  <c r="S65" i="22" s="1"/>
  <c r="J63" i="22"/>
  <c r="U63" i="22" s="1"/>
  <c r="J501" i="21" s="1"/>
  <c r="D62" i="22"/>
  <c r="O62" i="22" s="1"/>
  <c r="I60" i="22"/>
  <c r="T60" i="22" s="1"/>
  <c r="I498" i="21" s="1"/>
  <c r="K58" i="22"/>
  <c r="V58" i="22" s="1"/>
  <c r="H57" i="22"/>
  <c r="S57" i="22" s="1"/>
  <c r="J55" i="22"/>
  <c r="U55" i="22" s="1"/>
  <c r="J493" i="21" s="1"/>
  <c r="D54" i="22"/>
  <c r="O54" i="22" s="1"/>
  <c r="D492" i="21" s="1"/>
  <c r="D659" i="21" s="1"/>
  <c r="C60" i="22"/>
  <c r="N60" i="22" s="1"/>
  <c r="L59" i="22"/>
  <c r="W59" i="22" s="1"/>
  <c r="K68" i="22"/>
  <c r="V68" i="22" s="1"/>
  <c r="H67" i="22"/>
  <c r="S67" i="22" s="1"/>
  <c r="J66" i="22"/>
  <c r="U66" i="22" s="1"/>
  <c r="J504" i="21" s="1"/>
  <c r="D65" i="22"/>
  <c r="O65" i="22" s="1"/>
  <c r="I63" i="22"/>
  <c r="T63" i="22" s="1"/>
  <c r="I501" i="21" s="1"/>
  <c r="K61" i="22"/>
  <c r="V61" i="22" s="1"/>
  <c r="K499" i="21" s="1"/>
  <c r="H60" i="22"/>
  <c r="S60" i="22" s="1"/>
  <c r="J58" i="22"/>
  <c r="U58" i="22" s="1"/>
  <c r="J496" i="21" s="1"/>
  <c r="D57" i="22"/>
  <c r="O57" i="22" s="1"/>
  <c r="I55" i="22"/>
  <c r="T55" i="22" s="1"/>
  <c r="I493" i="21" s="1"/>
  <c r="C59" i="22"/>
  <c r="N59" i="22" s="1"/>
  <c r="L68" i="22"/>
  <c r="W68" i="22" s="1"/>
  <c r="L58" i="22"/>
  <c r="W58" i="22" s="1"/>
  <c r="J68" i="22"/>
  <c r="U68" i="22" s="1"/>
  <c r="J506" i="21" s="1"/>
  <c r="D67" i="22"/>
  <c r="O67" i="22" s="1"/>
  <c r="I66" i="22"/>
  <c r="T66" i="22" s="1"/>
  <c r="I504" i="21" s="1"/>
  <c r="K64" i="22"/>
  <c r="V64" i="22" s="1"/>
  <c r="H63" i="22"/>
  <c r="S63" i="22" s="1"/>
  <c r="J61" i="22"/>
  <c r="U61" i="22" s="1"/>
  <c r="J499" i="21" s="1"/>
  <c r="D60" i="22"/>
  <c r="O60" i="22" s="1"/>
  <c r="I58" i="22"/>
  <c r="T58" i="22" s="1"/>
  <c r="I496" i="21" s="1"/>
  <c r="K56" i="22"/>
  <c r="V56" i="22" s="1"/>
  <c r="K494" i="21" s="1"/>
  <c r="H55" i="22"/>
  <c r="S55" i="22" s="1"/>
  <c r="C68" i="22"/>
  <c r="N68" i="22" s="1"/>
  <c r="C56" i="22"/>
  <c r="N56" i="22" s="1"/>
  <c r="L67" i="22"/>
  <c r="W67" i="22" s="1"/>
  <c r="L54" i="22"/>
  <c r="W54" i="22" s="1"/>
  <c r="I68" i="22"/>
  <c r="T68" i="22" s="1"/>
  <c r="I506" i="21" s="1"/>
  <c r="H66" i="22"/>
  <c r="S66" i="22" s="1"/>
  <c r="J64" i="22"/>
  <c r="U64" i="22" s="1"/>
  <c r="J502" i="21" s="1"/>
  <c r="D63" i="22"/>
  <c r="O63" i="22" s="1"/>
  <c r="I61" i="22"/>
  <c r="T61" i="22" s="1"/>
  <c r="I499" i="21" s="1"/>
  <c r="K59" i="22"/>
  <c r="V59" i="22" s="1"/>
  <c r="H58" i="22"/>
  <c r="S58" i="22" s="1"/>
  <c r="J56" i="22"/>
  <c r="U56" i="22" s="1"/>
  <c r="J494" i="21" s="1"/>
  <c r="D55" i="22"/>
  <c r="O55" i="22" s="1"/>
  <c r="C67" i="22"/>
  <c r="N67" i="22" s="1"/>
  <c r="C55" i="22"/>
  <c r="N55" i="22" s="1"/>
  <c r="C493" i="21" s="1"/>
  <c r="H68" i="22"/>
  <c r="S68" i="22" s="1"/>
  <c r="D66" i="22"/>
  <c r="O66" i="22" s="1"/>
  <c r="I64" i="22"/>
  <c r="T64" i="22" s="1"/>
  <c r="I502" i="21" s="1"/>
  <c r="K62" i="22"/>
  <c r="V62" i="22" s="1"/>
  <c r="H61" i="22"/>
  <c r="S61" i="22" s="1"/>
  <c r="J59" i="22"/>
  <c r="U59" i="22" s="1"/>
  <c r="J497" i="21" s="1"/>
  <c r="D58" i="22"/>
  <c r="O58" i="22" s="1"/>
  <c r="I56" i="22"/>
  <c r="T56" i="22" s="1"/>
  <c r="I494" i="21" s="1"/>
  <c r="K54" i="22"/>
  <c r="V54" i="22" s="1"/>
  <c r="C54" i="22"/>
  <c r="N54" i="22" s="1"/>
  <c r="L66" i="22"/>
  <c r="W66" i="22" s="1"/>
  <c r="D68" i="22"/>
  <c r="O68" i="22" s="1"/>
  <c r="K65" i="22"/>
  <c r="V65" i="22" s="1"/>
  <c r="H64" i="22"/>
  <c r="S64" i="22" s="1"/>
  <c r="J62" i="22"/>
  <c r="U62" i="22" s="1"/>
  <c r="J500" i="21" s="1"/>
  <c r="D61" i="22"/>
  <c r="O61" i="22" s="1"/>
  <c r="D499" i="21" s="1"/>
  <c r="I59" i="22"/>
  <c r="T59" i="22" s="1"/>
  <c r="I497" i="21" s="1"/>
  <c r="K57" i="22"/>
  <c r="V57" i="22" s="1"/>
  <c r="K495" i="21" s="1"/>
  <c r="H56" i="22"/>
  <c r="S56" i="22" s="1"/>
  <c r="J54" i="22"/>
  <c r="U54" i="22" s="1"/>
  <c r="J492" i="21" s="1"/>
  <c r="J659" i="21" s="1"/>
  <c r="C63" i="22"/>
  <c r="N63" i="22" s="1"/>
  <c r="L62" i="22"/>
  <c r="W62" i="22" s="1"/>
  <c r="K67" i="22"/>
  <c r="V67" i="22" s="1"/>
  <c r="J65" i="22"/>
  <c r="U65" i="22" s="1"/>
  <c r="J503" i="21" s="1"/>
  <c r="D64" i="22"/>
  <c r="O64" i="22" s="1"/>
  <c r="I62" i="22"/>
  <c r="T62" i="22" s="1"/>
  <c r="I500" i="21" s="1"/>
  <c r="K60" i="22"/>
  <c r="V60" i="22" s="1"/>
  <c r="H59" i="22"/>
  <c r="S59" i="22" s="1"/>
  <c r="J57" i="22"/>
  <c r="U57" i="22" s="1"/>
  <c r="J495" i="21" s="1"/>
  <c r="D56" i="22"/>
  <c r="O56" i="22" s="1"/>
  <c r="I54" i="22"/>
  <c r="T54" i="22" s="1"/>
  <c r="I492" i="21" s="1"/>
  <c r="I659" i="21" s="1"/>
  <c r="C62" i="22"/>
  <c r="N62" i="22" s="1"/>
  <c r="C500" i="21" s="1"/>
  <c r="L61" i="22"/>
  <c r="W61" i="22" s="1"/>
  <c r="J67" i="22"/>
  <c r="U67" i="22" s="1"/>
  <c r="J505" i="21" s="1"/>
  <c r="I65" i="22"/>
  <c r="T65" i="22" s="1"/>
  <c r="I503" i="21" s="1"/>
  <c r="K63" i="22"/>
  <c r="V63" i="22" s="1"/>
  <c r="H62" i="22"/>
  <c r="S62" i="22" s="1"/>
  <c r="J60" i="22"/>
  <c r="U60" i="22" s="1"/>
  <c r="J498" i="21" s="1"/>
  <c r="D59" i="22"/>
  <c r="O59" i="22" s="1"/>
  <c r="I57" i="22"/>
  <c r="T57" i="22" s="1"/>
  <c r="I495" i="21" s="1"/>
  <c r="K55" i="22"/>
  <c r="V55" i="22" s="1"/>
  <c r="H54" i="22"/>
  <c r="S54" i="22" s="1"/>
  <c r="H492" i="21" s="1"/>
  <c r="H659" i="21" s="1"/>
  <c r="C61" i="22"/>
  <c r="N61" i="22" s="1"/>
  <c r="AI131" i="8"/>
  <c r="AJ131" i="8"/>
  <c r="AH131" i="8"/>
  <c r="AL131" i="8"/>
  <c r="AK131" i="8"/>
  <c r="AL435" i="8"/>
  <c r="AK435" i="8"/>
  <c r="AJ435" i="8"/>
  <c r="AI435" i="8"/>
  <c r="AH435" i="8"/>
  <c r="AL508" i="8"/>
  <c r="AK508" i="8"/>
  <c r="AJ508" i="8"/>
  <c r="AI508" i="8"/>
  <c r="AH508" i="8"/>
  <c r="AH88" i="8"/>
  <c r="AL88" i="8"/>
  <c r="AK88" i="8"/>
  <c r="AI88" i="8"/>
  <c r="AJ88" i="8"/>
  <c r="AJ535" i="8"/>
  <c r="AI535" i="8"/>
  <c r="AH535" i="8"/>
  <c r="AK535" i="8"/>
  <c r="AL535" i="8"/>
  <c r="AK274" i="8"/>
  <c r="AJ274" i="8"/>
  <c r="AI274" i="8"/>
  <c r="AH274" i="8"/>
  <c r="AL274" i="8"/>
  <c r="AL530" i="8"/>
  <c r="AK530" i="8"/>
  <c r="AJ530" i="8"/>
  <c r="AH530" i="8"/>
  <c r="AI530" i="8"/>
  <c r="AH451" i="8"/>
  <c r="AI451" i="8"/>
  <c r="AL451" i="8"/>
  <c r="AK451" i="8"/>
  <c r="AJ451" i="8"/>
  <c r="AL240" i="8"/>
  <c r="AK240" i="8"/>
  <c r="AJ240" i="8"/>
  <c r="AI240" i="8"/>
  <c r="AH240" i="8"/>
  <c r="AL576" i="8"/>
  <c r="AK576" i="8"/>
  <c r="AJ576" i="8"/>
  <c r="AI576" i="8"/>
  <c r="AH576" i="8"/>
  <c r="AH537" i="8"/>
  <c r="AL537" i="8"/>
  <c r="AK537" i="8"/>
  <c r="AI537" i="8"/>
  <c r="AJ537" i="8"/>
  <c r="AL160" i="8"/>
  <c r="AK160" i="8"/>
  <c r="AJ160" i="8"/>
  <c r="AI160" i="8"/>
  <c r="AH160" i="8"/>
  <c r="AJ236" i="8"/>
  <c r="AK236" i="8"/>
  <c r="AI236" i="8"/>
  <c r="AH236" i="8"/>
  <c r="AL236" i="8"/>
  <c r="AL324" i="8"/>
  <c r="AK324" i="8"/>
  <c r="AJ324" i="8"/>
  <c r="AI324" i="8"/>
  <c r="AH324" i="8"/>
  <c r="AK95" i="8"/>
  <c r="AJ95" i="8"/>
  <c r="AI95" i="8"/>
  <c r="AL95" i="8"/>
  <c r="AH95" i="8"/>
  <c r="AH200" i="8"/>
  <c r="AL200" i="8"/>
  <c r="AK200" i="8"/>
  <c r="AJ200" i="8"/>
  <c r="AI200" i="8"/>
  <c r="AL536" i="8"/>
  <c r="AK536" i="8"/>
  <c r="AJ536" i="8"/>
  <c r="AI536" i="8"/>
  <c r="AH536" i="8"/>
  <c r="AL116" i="8"/>
  <c r="AK116" i="8"/>
  <c r="AJ116" i="8"/>
  <c r="AI116" i="8"/>
  <c r="AH116" i="8"/>
  <c r="AK541" i="8"/>
  <c r="AJ541" i="8"/>
  <c r="AI541" i="8"/>
  <c r="AH541" i="8"/>
  <c r="AL541" i="8"/>
  <c r="AI543" i="8"/>
  <c r="AH543" i="8"/>
  <c r="AL543" i="8"/>
  <c r="AK543" i="8"/>
  <c r="AJ543" i="8"/>
  <c r="AI507" i="8"/>
  <c r="AH507" i="8"/>
  <c r="AJ507" i="8"/>
  <c r="AL507" i="8"/>
  <c r="AK507" i="8"/>
  <c r="AH244" i="8"/>
  <c r="AI244" i="8"/>
  <c r="AL244" i="8"/>
  <c r="AK244" i="8"/>
  <c r="AJ244" i="8"/>
  <c r="AJ350" i="8"/>
  <c r="AI350" i="8"/>
  <c r="AH350" i="8"/>
  <c r="AL350" i="8"/>
  <c r="AK350" i="8"/>
  <c r="AL542" i="8"/>
  <c r="AK542" i="8"/>
  <c r="AJ542" i="8"/>
  <c r="AI542" i="8"/>
  <c r="AH542" i="8"/>
  <c r="AI312" i="8"/>
  <c r="AH312" i="8"/>
  <c r="AJ312" i="8"/>
  <c r="AL312" i="8"/>
  <c r="AK312" i="8"/>
  <c r="AL337" i="8"/>
  <c r="AH337" i="8"/>
  <c r="AK337" i="8"/>
  <c r="AJ337" i="8"/>
  <c r="AI337" i="8"/>
  <c r="AL506" i="8"/>
  <c r="AK506" i="8"/>
  <c r="AJ506" i="8"/>
  <c r="AI506" i="8"/>
  <c r="AH506" i="8"/>
  <c r="AL278" i="8"/>
  <c r="AK278" i="8"/>
  <c r="AJ278" i="8"/>
  <c r="AI278" i="8"/>
  <c r="AH278" i="8"/>
  <c r="D47" i="19"/>
  <c r="D48" i="19"/>
  <c r="D46" i="19"/>
  <c r="C492" i="21" l="1"/>
  <c r="C659" i="21" s="1"/>
  <c r="D504" i="21"/>
  <c r="K501" i="21"/>
  <c r="K498" i="21"/>
  <c r="G496" i="21"/>
  <c r="G504" i="21"/>
  <c r="K493" i="21"/>
  <c r="G498" i="21"/>
  <c r="G506" i="21"/>
  <c r="K504" i="21"/>
  <c r="K505" i="21"/>
  <c r="K503" i="21"/>
  <c r="K500" i="21"/>
  <c r="G494" i="21"/>
  <c r="G502" i="21"/>
  <c r="K497" i="21"/>
  <c r="K492" i="21"/>
  <c r="K659" i="21" s="1"/>
  <c r="K502" i="21"/>
  <c r="G497" i="21"/>
  <c r="G499" i="21"/>
  <c r="K496" i="21"/>
  <c r="G493" i="21"/>
  <c r="K506" i="21"/>
  <c r="L497" i="21"/>
  <c r="C503" i="21"/>
  <c r="L494" i="21"/>
  <c r="C506" i="21"/>
  <c r="L499" i="21"/>
  <c r="D502" i="21"/>
  <c r="D501" i="21"/>
  <c r="D505" i="21"/>
  <c r="C498" i="21"/>
  <c r="L502" i="21"/>
  <c r="G505" i="21"/>
  <c r="D497" i="21"/>
  <c r="D496" i="21"/>
  <c r="C505" i="21"/>
  <c r="L496" i="21"/>
  <c r="C504" i="21"/>
  <c r="L495" i="21"/>
  <c r="D498" i="21"/>
  <c r="L506" i="21"/>
  <c r="D503" i="21"/>
  <c r="L498" i="21"/>
  <c r="L503" i="21"/>
  <c r="L500" i="21"/>
  <c r="D493" i="21"/>
  <c r="C501" i="21"/>
  <c r="L492" i="21"/>
  <c r="L659" i="21" s="1"/>
  <c r="C497" i="21"/>
  <c r="C502" i="21"/>
  <c r="L493" i="21"/>
  <c r="G501" i="21"/>
  <c r="D506" i="21"/>
  <c r="L505" i="21"/>
  <c r="L501" i="21"/>
  <c r="D494" i="21"/>
  <c r="C499" i="21"/>
  <c r="L504" i="21"/>
  <c r="C494" i="21"/>
  <c r="D495" i="21"/>
  <c r="D500" i="21"/>
  <c r="C495" i="21"/>
  <c r="G495" i="21"/>
  <c r="G503" i="21"/>
  <c r="E297" i="21"/>
  <c r="J297" i="21"/>
  <c r="C297" i="21"/>
  <c r="I297" i="21"/>
  <c r="L297" i="21"/>
  <c r="G297" i="21"/>
  <c r="H297" i="21"/>
  <c r="D297" i="21"/>
  <c r="K297" i="21"/>
  <c r="F297" i="21"/>
  <c r="F507" i="21"/>
  <c r="H507" i="21"/>
  <c r="C507" i="21"/>
  <c r="D507" i="21"/>
  <c r="L507" i="21"/>
  <c r="K507" i="21"/>
  <c r="G507" i="21"/>
  <c r="E507" i="21"/>
  <c r="E660" i="21" s="1"/>
  <c r="I507" i="21"/>
  <c r="I660" i="21" s="1"/>
  <c r="J507" i="21"/>
  <c r="J657" i="21" s="1"/>
  <c r="I656" i="21"/>
  <c r="E656" i="21"/>
  <c r="J658" i="21"/>
  <c r="J656" i="21"/>
  <c r="I658" i="21"/>
  <c r="E658" i="21"/>
  <c r="H500" i="21"/>
  <c r="H499" i="21"/>
  <c r="H497" i="21"/>
  <c r="H506" i="21"/>
  <c r="H493" i="21"/>
  <c r="H498" i="21"/>
  <c r="H503" i="21"/>
  <c r="F492" i="21"/>
  <c r="F659" i="21" s="1"/>
  <c r="F500" i="21"/>
  <c r="F493" i="21"/>
  <c r="F501" i="21"/>
  <c r="H504" i="21"/>
  <c r="F494" i="21"/>
  <c r="F502" i="21"/>
  <c r="H502" i="21"/>
  <c r="H495" i="21"/>
  <c r="F495" i="21"/>
  <c r="F503" i="21"/>
  <c r="F496" i="21"/>
  <c r="F504" i="21"/>
  <c r="H496" i="21"/>
  <c r="H501" i="21"/>
  <c r="H505" i="21"/>
  <c r="F497" i="21"/>
  <c r="F505" i="21"/>
  <c r="H494" i="21"/>
  <c r="F498" i="21"/>
  <c r="F506" i="21"/>
  <c r="H78" i="21"/>
  <c r="H288" i="21"/>
  <c r="F80" i="21"/>
  <c r="F290" i="21"/>
  <c r="G85" i="21"/>
  <c r="G295" i="21"/>
  <c r="C80" i="21"/>
  <c r="C290" i="21"/>
  <c r="J83" i="21"/>
  <c r="J293" i="21"/>
  <c r="D79" i="21"/>
  <c r="D289" i="21"/>
  <c r="I74" i="21"/>
  <c r="I284" i="21"/>
  <c r="C73" i="21"/>
  <c r="C283" i="21"/>
  <c r="J82" i="21"/>
  <c r="J292" i="21"/>
  <c r="K74" i="21"/>
  <c r="K284" i="21"/>
  <c r="J86" i="21"/>
  <c r="J296" i="21"/>
  <c r="K79" i="21"/>
  <c r="K289" i="21"/>
  <c r="D72" i="21"/>
  <c r="D232" i="21" s="1"/>
  <c r="D282" i="21"/>
  <c r="D442" i="21" s="1"/>
  <c r="K84" i="21"/>
  <c r="K294" i="21"/>
  <c r="E76" i="21"/>
  <c r="E286" i="21"/>
  <c r="E84" i="21"/>
  <c r="E294" i="21"/>
  <c r="F73" i="21"/>
  <c r="F283" i="21"/>
  <c r="F81" i="21"/>
  <c r="F291" i="21"/>
  <c r="C76" i="21"/>
  <c r="C286" i="21"/>
  <c r="G78" i="21"/>
  <c r="G288" i="21"/>
  <c r="G86" i="21"/>
  <c r="G296" i="21"/>
  <c r="I77" i="21"/>
  <c r="I287" i="21"/>
  <c r="F72" i="21"/>
  <c r="F232" i="21" s="1"/>
  <c r="F282" i="21"/>
  <c r="F442" i="21" s="1"/>
  <c r="I75" i="21"/>
  <c r="I285" i="21"/>
  <c r="I72" i="21"/>
  <c r="I232" i="21" s="1"/>
  <c r="I282" i="21"/>
  <c r="I442" i="21" s="1"/>
  <c r="K85" i="21"/>
  <c r="K295" i="21"/>
  <c r="J80" i="21"/>
  <c r="J290" i="21"/>
  <c r="D76" i="21"/>
  <c r="D286" i="21"/>
  <c r="C85" i="21"/>
  <c r="C295" i="21"/>
  <c r="H84" i="21"/>
  <c r="H294" i="21"/>
  <c r="I76" i="21"/>
  <c r="I286" i="21"/>
  <c r="L76" i="21"/>
  <c r="L286" i="21"/>
  <c r="I81" i="21"/>
  <c r="I291" i="21"/>
  <c r="J73" i="21"/>
  <c r="J283" i="21"/>
  <c r="I85" i="21"/>
  <c r="I295" i="21"/>
  <c r="E77" i="21"/>
  <c r="E287" i="21"/>
  <c r="E85" i="21"/>
  <c r="E295" i="21"/>
  <c r="F74" i="21"/>
  <c r="F284" i="21"/>
  <c r="F82" i="21"/>
  <c r="F292" i="21"/>
  <c r="C84" i="21"/>
  <c r="C294" i="21"/>
  <c r="G79" i="21"/>
  <c r="G289" i="21"/>
  <c r="L75" i="21"/>
  <c r="L285" i="21"/>
  <c r="D82" i="21"/>
  <c r="D292" i="21"/>
  <c r="H73" i="21"/>
  <c r="H283" i="21"/>
  <c r="D74" i="21"/>
  <c r="D284" i="21"/>
  <c r="L80" i="21"/>
  <c r="L290" i="21"/>
  <c r="H82" i="21"/>
  <c r="H292" i="21"/>
  <c r="J77" i="21"/>
  <c r="J287" i="21"/>
  <c r="D73" i="21"/>
  <c r="D283" i="21"/>
  <c r="I86" i="21"/>
  <c r="I296" i="21"/>
  <c r="D78" i="21"/>
  <c r="D288" i="21"/>
  <c r="L86" i="21"/>
  <c r="L296" i="21"/>
  <c r="D83" i="21"/>
  <c r="D293" i="21"/>
  <c r="H75" i="21"/>
  <c r="H285" i="21"/>
  <c r="L78" i="21"/>
  <c r="L288" i="21"/>
  <c r="E78" i="21"/>
  <c r="E288" i="21"/>
  <c r="E86" i="21"/>
  <c r="E296" i="21"/>
  <c r="F75" i="21"/>
  <c r="F285" i="21"/>
  <c r="F83" i="21"/>
  <c r="F293" i="21"/>
  <c r="G72" i="21"/>
  <c r="G232" i="21" s="1"/>
  <c r="G282" i="21"/>
  <c r="G442" i="21" s="1"/>
  <c r="G80" i="21"/>
  <c r="G290" i="21"/>
  <c r="L83" i="21"/>
  <c r="L293" i="21"/>
  <c r="L79" i="21"/>
  <c r="L289" i="21"/>
  <c r="H86" i="21"/>
  <c r="H296" i="21"/>
  <c r="H83" i="21"/>
  <c r="H293" i="21"/>
  <c r="J78" i="21"/>
  <c r="J288" i="21"/>
  <c r="J75" i="21"/>
  <c r="J285" i="21"/>
  <c r="C81" i="21"/>
  <c r="C291" i="21"/>
  <c r="K83" i="21"/>
  <c r="K293" i="21"/>
  <c r="H79" i="21"/>
  <c r="H289" i="21"/>
  <c r="J74" i="21"/>
  <c r="J284" i="21"/>
  <c r="L72" i="21"/>
  <c r="L232" i="21" s="1"/>
  <c r="L282" i="21"/>
  <c r="L442" i="21" s="1"/>
  <c r="J79" i="21"/>
  <c r="J289" i="21"/>
  <c r="C77" i="21"/>
  <c r="C287" i="21"/>
  <c r="J84" i="21"/>
  <c r="J294" i="21"/>
  <c r="K76" i="21"/>
  <c r="K286" i="21"/>
  <c r="C82" i="21"/>
  <c r="C292" i="21"/>
  <c r="E79" i="21"/>
  <c r="E289" i="21"/>
  <c r="L73" i="21"/>
  <c r="L283" i="21"/>
  <c r="F76" i="21"/>
  <c r="F286" i="21"/>
  <c r="F84" i="21"/>
  <c r="F294" i="21"/>
  <c r="G73" i="21"/>
  <c r="G283" i="21"/>
  <c r="G81" i="21"/>
  <c r="G291" i="21"/>
  <c r="K73" i="21"/>
  <c r="K283" i="21"/>
  <c r="D81" i="21"/>
  <c r="D291" i="21"/>
  <c r="H80" i="21"/>
  <c r="H290" i="21"/>
  <c r="K81" i="21"/>
  <c r="K291" i="21"/>
  <c r="H77" i="21"/>
  <c r="H287" i="21"/>
  <c r="J72" i="21"/>
  <c r="J232" i="21" s="1"/>
  <c r="J282" i="21"/>
  <c r="J442" i="21" s="1"/>
  <c r="D86" i="21"/>
  <c r="D296" i="21"/>
  <c r="K80" i="21"/>
  <c r="K290" i="21"/>
  <c r="H76" i="21"/>
  <c r="H286" i="21"/>
  <c r="L85" i="21"/>
  <c r="L295" i="21"/>
  <c r="H81" i="21"/>
  <c r="H291" i="21"/>
  <c r="I73" i="21"/>
  <c r="I283" i="21"/>
  <c r="H85" i="21"/>
  <c r="H295" i="21"/>
  <c r="I78" i="21"/>
  <c r="I288" i="21"/>
  <c r="E72" i="21"/>
  <c r="E232" i="21" s="1"/>
  <c r="E282" i="21"/>
  <c r="E442" i="21" s="1"/>
  <c r="E80" i="21"/>
  <c r="E290" i="21"/>
  <c r="L81" i="21"/>
  <c r="L291" i="21"/>
  <c r="F77" i="21"/>
  <c r="F287" i="21"/>
  <c r="F85" i="21"/>
  <c r="F295" i="21"/>
  <c r="G74" i="21"/>
  <c r="G284" i="21"/>
  <c r="G82" i="21"/>
  <c r="G292" i="21"/>
  <c r="C78" i="21"/>
  <c r="C288" i="21"/>
  <c r="E83" i="21"/>
  <c r="E293" i="21"/>
  <c r="G77" i="21"/>
  <c r="G287" i="21"/>
  <c r="D77" i="21"/>
  <c r="D287" i="21"/>
  <c r="I83" i="21"/>
  <c r="I293" i="21"/>
  <c r="K78" i="21"/>
  <c r="K288" i="21"/>
  <c r="H74" i="21"/>
  <c r="H284" i="21"/>
  <c r="L84" i="21"/>
  <c r="L294" i="21"/>
  <c r="I82" i="21"/>
  <c r="I292" i="21"/>
  <c r="K77" i="21"/>
  <c r="K287" i="21"/>
  <c r="C74" i="21"/>
  <c r="C284" i="21"/>
  <c r="K82" i="21"/>
  <c r="K292" i="21"/>
  <c r="D75" i="21"/>
  <c r="D285" i="21"/>
  <c r="K86" i="21"/>
  <c r="K296" i="21"/>
  <c r="D80" i="21"/>
  <c r="D290" i="21"/>
  <c r="E73" i="21"/>
  <c r="E283" i="21"/>
  <c r="E81" i="21"/>
  <c r="E291" i="21"/>
  <c r="C75" i="21"/>
  <c r="C285" i="21"/>
  <c r="F78" i="21"/>
  <c r="F288" i="21"/>
  <c r="F86" i="21"/>
  <c r="F296" i="21"/>
  <c r="G75" i="21"/>
  <c r="G285" i="21"/>
  <c r="G83" i="21"/>
  <c r="G293" i="21"/>
  <c r="K72" i="21"/>
  <c r="K232" i="21" s="1"/>
  <c r="K282" i="21"/>
  <c r="K442" i="21" s="1"/>
  <c r="D85" i="21"/>
  <c r="D295" i="21"/>
  <c r="E75" i="21"/>
  <c r="E285" i="21"/>
  <c r="L82" i="21"/>
  <c r="L292" i="21"/>
  <c r="C79" i="21"/>
  <c r="C289" i="21"/>
  <c r="H72" i="21"/>
  <c r="H232" i="21" s="1"/>
  <c r="H282" i="21"/>
  <c r="H442" i="21" s="1"/>
  <c r="J85" i="21"/>
  <c r="J295" i="21"/>
  <c r="I80" i="21"/>
  <c r="I290" i="21"/>
  <c r="K75" i="21"/>
  <c r="K285" i="21"/>
  <c r="C72" i="21"/>
  <c r="C282" i="21"/>
  <c r="C442" i="21" s="1"/>
  <c r="D84" i="21"/>
  <c r="D294" i="21"/>
  <c r="I79" i="21"/>
  <c r="I289" i="21"/>
  <c r="C86" i="21"/>
  <c r="C296" i="21"/>
  <c r="I84" i="21"/>
  <c r="I294" i="21"/>
  <c r="J76" i="21"/>
  <c r="J286" i="21"/>
  <c r="L77" i="21"/>
  <c r="L287" i="21"/>
  <c r="J81" i="21"/>
  <c r="J291" i="21"/>
  <c r="E74" i="21"/>
  <c r="E284" i="21"/>
  <c r="E82" i="21"/>
  <c r="E292" i="21"/>
  <c r="C83" i="21"/>
  <c r="C293" i="21"/>
  <c r="F79" i="21"/>
  <c r="F289" i="21"/>
  <c r="L74" i="21"/>
  <c r="L284" i="21"/>
  <c r="G76" i="21"/>
  <c r="G286" i="21"/>
  <c r="G84" i="21"/>
  <c r="G294" i="21"/>
  <c r="M87" i="21"/>
  <c r="E634" i="21"/>
  <c r="E212" i="21"/>
  <c r="E648" i="21"/>
  <c r="E226" i="21"/>
  <c r="C212" i="21"/>
  <c r="C634" i="21"/>
  <c r="E641" i="21"/>
  <c r="E219" i="21"/>
  <c r="C641" i="21"/>
  <c r="C219" i="21"/>
  <c r="C648" i="21"/>
  <c r="C226" i="21"/>
  <c r="W121" i="22"/>
  <c r="D513" i="21"/>
  <c r="C421" i="21"/>
  <c r="C435" i="21"/>
  <c r="C428" i="21"/>
  <c r="E421" i="21"/>
  <c r="E435" i="21"/>
  <c r="E428" i="21"/>
  <c r="E518" i="21"/>
  <c r="I525" i="21"/>
  <c r="J543" i="21"/>
  <c r="F539" i="21"/>
  <c r="H538" i="21"/>
  <c r="C553" i="21"/>
  <c r="D539" i="21"/>
  <c r="K520" i="21"/>
  <c r="G522" i="21"/>
  <c r="D511" i="21"/>
  <c r="G141" i="21"/>
  <c r="H511" i="21"/>
  <c r="H512" i="21"/>
  <c r="L352" i="21"/>
  <c r="L356" i="21"/>
  <c r="L360" i="21"/>
  <c r="L364" i="21"/>
  <c r="L368" i="21"/>
  <c r="L372" i="21"/>
  <c r="L353" i="21"/>
  <c r="L357" i="21"/>
  <c r="L361" i="21"/>
  <c r="L365" i="21"/>
  <c r="L369" i="21"/>
  <c r="L373" i="21"/>
  <c r="L377" i="21"/>
  <c r="L351" i="21"/>
  <c r="L363" i="21"/>
  <c r="L354" i="21"/>
  <c r="L358" i="21"/>
  <c r="L362" i="21"/>
  <c r="L366" i="21"/>
  <c r="L370" i="21"/>
  <c r="L374" i="21"/>
  <c r="L378" i="21"/>
  <c r="L355" i="21"/>
  <c r="L359" i="21"/>
  <c r="L371" i="21"/>
  <c r="L376" i="21"/>
  <c r="L367" i="21"/>
  <c r="L375" i="21"/>
  <c r="J353" i="21"/>
  <c r="J357" i="21"/>
  <c r="J361" i="21"/>
  <c r="J365" i="21"/>
  <c r="J369" i="21"/>
  <c r="J373" i="21"/>
  <c r="J354" i="21"/>
  <c r="J358" i="21"/>
  <c r="J362" i="21"/>
  <c r="J366" i="21"/>
  <c r="J370" i="21"/>
  <c r="J374" i="21"/>
  <c r="J378" i="21"/>
  <c r="J351" i="21"/>
  <c r="J352" i="21"/>
  <c r="J356" i="21"/>
  <c r="J368" i="21"/>
  <c r="J376" i="21"/>
  <c r="J355" i="21"/>
  <c r="J359" i="21"/>
  <c r="J363" i="21"/>
  <c r="J367" i="21"/>
  <c r="J371" i="21"/>
  <c r="J375" i="21"/>
  <c r="J364" i="21"/>
  <c r="J360" i="21"/>
  <c r="J372" i="21"/>
  <c r="J377" i="21"/>
  <c r="I353" i="21"/>
  <c r="I357" i="21"/>
  <c r="I361" i="21"/>
  <c r="I365" i="21"/>
  <c r="I369" i="21"/>
  <c r="I373" i="21"/>
  <c r="I351" i="21"/>
  <c r="I354" i="21"/>
  <c r="I358" i="21"/>
  <c r="I362" i="21"/>
  <c r="I366" i="21"/>
  <c r="I370" i="21"/>
  <c r="I374" i="21"/>
  <c r="I378" i="21"/>
  <c r="I355" i="21"/>
  <c r="I359" i="21"/>
  <c r="I363" i="21"/>
  <c r="I367" i="21"/>
  <c r="I371" i="21"/>
  <c r="I375" i="21"/>
  <c r="I376" i="21"/>
  <c r="I352" i="21"/>
  <c r="I356" i="21"/>
  <c r="I360" i="21"/>
  <c r="I364" i="21"/>
  <c r="I368" i="21"/>
  <c r="I372" i="21"/>
  <c r="I377" i="21"/>
  <c r="K352" i="21"/>
  <c r="K356" i="21"/>
  <c r="K360" i="21"/>
  <c r="K364" i="21"/>
  <c r="K368" i="21"/>
  <c r="K372" i="21"/>
  <c r="K376" i="21"/>
  <c r="K353" i="21"/>
  <c r="K357" i="21"/>
  <c r="K361" i="21"/>
  <c r="K365" i="21"/>
  <c r="K369" i="21"/>
  <c r="K373" i="21"/>
  <c r="K377" i="21"/>
  <c r="K354" i="21"/>
  <c r="K358" i="21"/>
  <c r="K362" i="21"/>
  <c r="K366" i="21"/>
  <c r="K370" i="21"/>
  <c r="K374" i="21"/>
  <c r="K378" i="21"/>
  <c r="K375" i="21"/>
  <c r="K351" i="21"/>
  <c r="K355" i="21"/>
  <c r="K359" i="21"/>
  <c r="K363" i="21"/>
  <c r="K367" i="21"/>
  <c r="K371" i="21"/>
  <c r="C352" i="21"/>
  <c r="C356" i="21"/>
  <c r="C360" i="21"/>
  <c r="C364" i="21"/>
  <c r="C368" i="21"/>
  <c r="C372" i="21"/>
  <c r="C353" i="21"/>
  <c r="C357" i="21"/>
  <c r="C361" i="21"/>
  <c r="C365" i="21"/>
  <c r="C369" i="21"/>
  <c r="C373" i="21"/>
  <c r="C377" i="21"/>
  <c r="C354" i="21"/>
  <c r="C358" i="21"/>
  <c r="C362" i="21"/>
  <c r="C366" i="21"/>
  <c r="C370" i="21"/>
  <c r="C374" i="21"/>
  <c r="C378" i="21"/>
  <c r="C351" i="21"/>
  <c r="C376" i="21"/>
  <c r="C355" i="21"/>
  <c r="C359" i="21"/>
  <c r="C363" i="21"/>
  <c r="C367" i="21"/>
  <c r="C371" i="21"/>
  <c r="C375" i="21"/>
  <c r="D352" i="21"/>
  <c r="D356" i="21"/>
  <c r="D360" i="21"/>
  <c r="D364" i="21"/>
  <c r="D368" i="21"/>
  <c r="D372" i="21"/>
  <c r="D376" i="21"/>
  <c r="D353" i="21"/>
  <c r="D357" i="21"/>
  <c r="D361" i="21"/>
  <c r="D365" i="21"/>
  <c r="D369" i="21"/>
  <c r="D373" i="21"/>
  <c r="D377" i="21"/>
  <c r="D351" i="21"/>
  <c r="D355" i="21"/>
  <c r="D359" i="21"/>
  <c r="D371" i="21"/>
  <c r="D354" i="21"/>
  <c r="D358" i="21"/>
  <c r="D362" i="21"/>
  <c r="D366" i="21"/>
  <c r="D370" i="21"/>
  <c r="D374" i="21"/>
  <c r="D378" i="21"/>
  <c r="D367" i="21"/>
  <c r="D375" i="21"/>
  <c r="D363" i="21"/>
  <c r="F355" i="21"/>
  <c r="F359" i="21"/>
  <c r="F363" i="21"/>
  <c r="F367" i="21"/>
  <c r="F371" i="21"/>
  <c r="F375" i="21"/>
  <c r="F352" i="21"/>
  <c r="F356" i="21"/>
  <c r="F360" i="21"/>
  <c r="F364" i="21"/>
  <c r="F368" i="21"/>
  <c r="F372" i="21"/>
  <c r="F376" i="21"/>
  <c r="F366" i="21"/>
  <c r="F374" i="21"/>
  <c r="F353" i="21"/>
  <c r="F357" i="21"/>
  <c r="F361" i="21"/>
  <c r="F365" i="21"/>
  <c r="F369" i="21"/>
  <c r="F373" i="21"/>
  <c r="F377" i="21"/>
  <c r="F358" i="21"/>
  <c r="F362" i="21"/>
  <c r="F351" i="21"/>
  <c r="F354" i="21"/>
  <c r="F370" i="21"/>
  <c r="F378" i="21"/>
  <c r="E355" i="21"/>
  <c r="E359" i="21"/>
  <c r="E363" i="21"/>
  <c r="E367" i="21"/>
  <c r="E371" i="21"/>
  <c r="E352" i="21"/>
  <c r="E356" i="21"/>
  <c r="E360" i="21"/>
  <c r="E364" i="21"/>
  <c r="E368" i="21"/>
  <c r="E372" i="21"/>
  <c r="E376" i="21"/>
  <c r="E353" i="21"/>
  <c r="E357" i="21"/>
  <c r="E361" i="21"/>
  <c r="E365" i="21"/>
  <c r="E369" i="21"/>
  <c r="E373" i="21"/>
  <c r="E377" i="21"/>
  <c r="E378" i="21"/>
  <c r="E375" i="21"/>
  <c r="E354" i="21"/>
  <c r="E358" i="21"/>
  <c r="E362" i="21"/>
  <c r="E366" i="21"/>
  <c r="E370" i="21"/>
  <c r="E374" i="21"/>
  <c r="E351" i="21"/>
  <c r="H378" i="21"/>
  <c r="H354" i="21"/>
  <c r="H358" i="21"/>
  <c r="H362" i="21"/>
  <c r="H366" i="21"/>
  <c r="H370" i="21"/>
  <c r="H374" i="21"/>
  <c r="H355" i="21"/>
  <c r="H359" i="21"/>
  <c r="H363" i="21"/>
  <c r="H367" i="21"/>
  <c r="H371" i="21"/>
  <c r="H375" i="21"/>
  <c r="H361" i="21"/>
  <c r="H373" i="21"/>
  <c r="H351" i="21"/>
  <c r="H352" i="21"/>
  <c r="H356" i="21"/>
  <c r="H360" i="21"/>
  <c r="H364" i="21"/>
  <c r="H368" i="21"/>
  <c r="H372" i="21"/>
  <c r="H376" i="21"/>
  <c r="H353" i="21"/>
  <c r="H369" i="21"/>
  <c r="H377" i="21"/>
  <c r="H357" i="21"/>
  <c r="H365" i="21"/>
  <c r="G354" i="21"/>
  <c r="G358" i="21"/>
  <c r="G362" i="21"/>
  <c r="G366" i="21"/>
  <c r="G370" i="21"/>
  <c r="G351" i="21"/>
  <c r="G355" i="21"/>
  <c r="G359" i="21"/>
  <c r="G363" i="21"/>
  <c r="G367" i="21"/>
  <c r="G371" i="21"/>
  <c r="G375" i="21"/>
  <c r="G352" i="21"/>
  <c r="G356" i="21"/>
  <c r="G360" i="21"/>
  <c r="G364" i="21"/>
  <c r="G368" i="21"/>
  <c r="G372" i="21"/>
  <c r="G376" i="21"/>
  <c r="G378" i="21"/>
  <c r="G353" i="21"/>
  <c r="G357" i="21"/>
  <c r="G361" i="21"/>
  <c r="G365" i="21"/>
  <c r="G369" i="21"/>
  <c r="G373" i="21"/>
  <c r="G377" i="21"/>
  <c r="G374" i="21"/>
  <c r="L158" i="21"/>
  <c r="L142" i="21"/>
  <c r="L146" i="21"/>
  <c r="L150" i="21"/>
  <c r="L154" i="21"/>
  <c r="L162" i="21"/>
  <c r="L166" i="21"/>
  <c r="L168" i="21"/>
  <c r="L143" i="21"/>
  <c r="L147" i="21"/>
  <c r="L151" i="21"/>
  <c r="L155" i="21"/>
  <c r="L159" i="21"/>
  <c r="L163" i="21"/>
  <c r="L167" i="21"/>
  <c r="L164" i="21"/>
  <c r="L144" i="21"/>
  <c r="L148" i="21"/>
  <c r="L152" i="21"/>
  <c r="L156" i="21"/>
  <c r="L160" i="21"/>
  <c r="L141" i="21"/>
  <c r="L145" i="21"/>
  <c r="L149" i="21"/>
  <c r="L153" i="21"/>
  <c r="L157" i="21"/>
  <c r="L161" i="21"/>
  <c r="L165" i="21"/>
  <c r="H160" i="21"/>
  <c r="H164" i="21"/>
  <c r="H141" i="21"/>
  <c r="H144" i="21"/>
  <c r="H148" i="21"/>
  <c r="H152" i="21"/>
  <c r="H156" i="21"/>
  <c r="H168" i="21"/>
  <c r="H166" i="21"/>
  <c r="H167" i="21"/>
  <c r="H145" i="21"/>
  <c r="H149" i="21"/>
  <c r="H153" i="21"/>
  <c r="H157" i="21"/>
  <c r="H161" i="21"/>
  <c r="H165" i="21"/>
  <c r="H142" i="21"/>
  <c r="H146" i="21"/>
  <c r="H150" i="21"/>
  <c r="H154" i="21"/>
  <c r="H158" i="21"/>
  <c r="H162" i="21"/>
  <c r="H143" i="21"/>
  <c r="H147" i="21"/>
  <c r="H151" i="21"/>
  <c r="H155" i="21"/>
  <c r="H159" i="21"/>
  <c r="H163" i="21"/>
  <c r="F141" i="21"/>
  <c r="F163" i="21"/>
  <c r="F145" i="21"/>
  <c r="F149" i="21"/>
  <c r="F153" i="21"/>
  <c r="F157" i="21"/>
  <c r="F161" i="21"/>
  <c r="F165" i="21"/>
  <c r="F142" i="21"/>
  <c r="F146" i="21"/>
  <c r="F150" i="21"/>
  <c r="F154" i="21"/>
  <c r="F158" i="21"/>
  <c r="F162" i="21"/>
  <c r="F166" i="21"/>
  <c r="F167" i="21"/>
  <c r="F168" i="21"/>
  <c r="F143" i="21"/>
  <c r="F147" i="21"/>
  <c r="F151" i="21"/>
  <c r="F155" i="21"/>
  <c r="F159" i="21"/>
  <c r="F144" i="21"/>
  <c r="F148" i="21"/>
  <c r="F152" i="21"/>
  <c r="F156" i="21"/>
  <c r="F160" i="21"/>
  <c r="F164" i="21"/>
  <c r="G144" i="21"/>
  <c r="G148" i="21"/>
  <c r="G152" i="21"/>
  <c r="G156" i="21"/>
  <c r="G160" i="21"/>
  <c r="G164" i="21"/>
  <c r="G168" i="21"/>
  <c r="G161" i="21"/>
  <c r="G165" i="21"/>
  <c r="G145" i="21"/>
  <c r="G149" i="21"/>
  <c r="G153" i="21"/>
  <c r="G157" i="21"/>
  <c r="G166" i="21"/>
  <c r="G142" i="21"/>
  <c r="G146" i="21"/>
  <c r="G150" i="21"/>
  <c r="G154" i="21"/>
  <c r="G158" i="21"/>
  <c r="G162" i="21"/>
  <c r="G143" i="21"/>
  <c r="G147" i="21"/>
  <c r="G151" i="21"/>
  <c r="G155" i="21"/>
  <c r="G159" i="21"/>
  <c r="G163" i="21"/>
  <c r="G167" i="21"/>
  <c r="D162" i="21"/>
  <c r="D166" i="21"/>
  <c r="D168" i="21"/>
  <c r="D142" i="21"/>
  <c r="D146" i="21"/>
  <c r="D150" i="21"/>
  <c r="D154" i="21"/>
  <c r="D158" i="21"/>
  <c r="D164" i="21"/>
  <c r="D143" i="21"/>
  <c r="D147" i="21"/>
  <c r="D151" i="21"/>
  <c r="D155" i="21"/>
  <c r="D159" i="21"/>
  <c r="D163" i="21"/>
  <c r="D167" i="21"/>
  <c r="D144" i="21"/>
  <c r="D148" i="21"/>
  <c r="D152" i="21"/>
  <c r="D156" i="21"/>
  <c r="D160" i="21"/>
  <c r="D141" i="21"/>
  <c r="D145" i="21"/>
  <c r="D149" i="21"/>
  <c r="D153" i="21"/>
  <c r="D157" i="21"/>
  <c r="D161" i="21"/>
  <c r="D165" i="21"/>
  <c r="I143" i="21"/>
  <c r="I147" i="21"/>
  <c r="I151" i="21"/>
  <c r="I155" i="21"/>
  <c r="I159" i="21"/>
  <c r="I163" i="21"/>
  <c r="I167" i="21"/>
  <c r="I160" i="21"/>
  <c r="I168" i="21"/>
  <c r="I144" i="21"/>
  <c r="I148" i="21"/>
  <c r="I152" i="21"/>
  <c r="I156" i="21"/>
  <c r="I164" i="21"/>
  <c r="I141" i="21"/>
  <c r="I145" i="21"/>
  <c r="I149" i="21"/>
  <c r="I153" i="21"/>
  <c r="I157" i="21"/>
  <c r="I161" i="21"/>
  <c r="I165" i="21"/>
  <c r="I142" i="21"/>
  <c r="I146" i="21"/>
  <c r="I150" i="21"/>
  <c r="I154" i="21"/>
  <c r="I158" i="21"/>
  <c r="I162" i="21"/>
  <c r="I166" i="21"/>
  <c r="E145" i="21"/>
  <c r="E149" i="21"/>
  <c r="E153" i="21"/>
  <c r="E157" i="21"/>
  <c r="E161" i="21"/>
  <c r="E165" i="21"/>
  <c r="E166" i="21"/>
  <c r="E142" i="21"/>
  <c r="E146" i="21"/>
  <c r="E150" i="21"/>
  <c r="E154" i="21"/>
  <c r="E158" i="21"/>
  <c r="E162" i="21"/>
  <c r="E167" i="21"/>
  <c r="E143" i="21"/>
  <c r="E147" i="21"/>
  <c r="E151" i="21"/>
  <c r="E155" i="21"/>
  <c r="E159" i="21"/>
  <c r="E163" i="21"/>
  <c r="E144" i="21"/>
  <c r="E148" i="21"/>
  <c r="E152" i="21"/>
  <c r="E156" i="21"/>
  <c r="E160" i="21"/>
  <c r="E164" i="21"/>
  <c r="E168" i="21"/>
  <c r="E141" i="21"/>
  <c r="K46" i="21"/>
  <c r="K142" i="21"/>
  <c r="K146" i="21"/>
  <c r="K150" i="21"/>
  <c r="K154" i="21"/>
  <c r="K158" i="21"/>
  <c r="K162" i="21"/>
  <c r="K166" i="21"/>
  <c r="K163" i="21"/>
  <c r="K141" i="21"/>
  <c r="K143" i="21"/>
  <c r="K147" i="21"/>
  <c r="K151" i="21"/>
  <c r="K155" i="21"/>
  <c r="K159" i="21"/>
  <c r="K167" i="21"/>
  <c r="K144" i="21"/>
  <c r="K148" i="21"/>
  <c r="K152" i="21"/>
  <c r="K156" i="21"/>
  <c r="K160" i="21"/>
  <c r="K164" i="21"/>
  <c r="K168" i="21"/>
  <c r="K145" i="21"/>
  <c r="K149" i="21"/>
  <c r="K153" i="21"/>
  <c r="K157" i="21"/>
  <c r="K161" i="21"/>
  <c r="K165" i="21"/>
  <c r="C142" i="21"/>
  <c r="C146" i="21"/>
  <c r="C150" i="21"/>
  <c r="C154" i="21"/>
  <c r="C158" i="21"/>
  <c r="C162" i="21"/>
  <c r="C166" i="21"/>
  <c r="C159" i="21"/>
  <c r="C167" i="21"/>
  <c r="C168" i="21"/>
  <c r="C163" i="21"/>
  <c r="C143" i="21"/>
  <c r="C147" i="21"/>
  <c r="C151" i="21"/>
  <c r="C155" i="21"/>
  <c r="C144" i="21"/>
  <c r="C148" i="21"/>
  <c r="C152" i="21"/>
  <c r="C156" i="21"/>
  <c r="C160" i="21"/>
  <c r="C164" i="21"/>
  <c r="C141" i="21"/>
  <c r="C145" i="21"/>
  <c r="C149" i="21"/>
  <c r="C153" i="21"/>
  <c r="C157" i="21"/>
  <c r="C161" i="21"/>
  <c r="C165" i="21"/>
  <c r="J163" i="21"/>
  <c r="J167" i="21"/>
  <c r="J143" i="21"/>
  <c r="J147" i="21"/>
  <c r="J151" i="21"/>
  <c r="J155" i="21"/>
  <c r="J159" i="21"/>
  <c r="J141" i="21"/>
  <c r="J144" i="21"/>
  <c r="J148" i="21"/>
  <c r="J152" i="21"/>
  <c r="J156" i="21"/>
  <c r="J160" i="21"/>
  <c r="J164" i="21"/>
  <c r="J168" i="21"/>
  <c r="J145" i="21"/>
  <c r="J149" i="21"/>
  <c r="J153" i="21"/>
  <c r="J157" i="21"/>
  <c r="J161" i="21"/>
  <c r="J165" i="21"/>
  <c r="J142" i="21"/>
  <c r="J146" i="21"/>
  <c r="J150" i="21"/>
  <c r="J154" i="21"/>
  <c r="J158" i="21"/>
  <c r="J162" i="21"/>
  <c r="J166" i="21"/>
  <c r="F475" i="21"/>
  <c r="C546" i="21"/>
  <c r="C511" i="21"/>
  <c r="I554" i="21"/>
  <c r="F521" i="21"/>
  <c r="F512" i="21"/>
  <c r="F525" i="21"/>
  <c r="F511" i="21"/>
  <c r="F513" i="21"/>
  <c r="E535" i="21"/>
  <c r="I510" i="21"/>
  <c r="I513" i="21"/>
  <c r="D510" i="21"/>
  <c r="I512" i="21"/>
  <c r="F476" i="21"/>
  <c r="D474" i="21"/>
  <c r="K47" i="21"/>
  <c r="H530" i="21"/>
  <c r="C512" i="21"/>
  <c r="E511" i="21"/>
  <c r="E477" i="21"/>
  <c r="I475" i="21"/>
  <c r="K63" i="21"/>
  <c r="D526" i="21"/>
  <c r="C510" i="21"/>
  <c r="D477" i="21"/>
  <c r="D548" i="21"/>
  <c r="I555" i="21"/>
  <c r="D512" i="21"/>
  <c r="C522" i="21"/>
  <c r="F545" i="21"/>
  <c r="D556" i="21"/>
  <c r="D475" i="21"/>
  <c r="J557" i="21"/>
  <c r="G547" i="21"/>
  <c r="J511" i="21"/>
  <c r="E531" i="21"/>
  <c r="J530" i="21"/>
  <c r="E543" i="21"/>
  <c r="D533" i="21"/>
  <c r="E541" i="21"/>
  <c r="G556" i="21"/>
  <c r="E533" i="21"/>
  <c r="C529" i="21"/>
  <c r="D524" i="21"/>
  <c r="F519" i="21"/>
  <c r="I521" i="21"/>
  <c r="H551" i="21"/>
  <c r="I546" i="21"/>
  <c r="F546" i="21"/>
  <c r="I532" i="21"/>
  <c r="I530" i="21"/>
  <c r="L57" i="21"/>
  <c r="L45" i="21"/>
  <c r="L42" i="21"/>
  <c r="J554" i="21"/>
  <c r="I549" i="21"/>
  <c r="J536" i="21"/>
  <c r="E550" i="21"/>
  <c r="F530" i="21"/>
  <c r="C517" i="21"/>
  <c r="D525" i="21"/>
  <c r="J556" i="21"/>
  <c r="E520" i="21"/>
  <c r="K510" i="21"/>
  <c r="I556" i="21"/>
  <c r="H535" i="21"/>
  <c r="C531" i="21"/>
  <c r="C548" i="21"/>
  <c r="J548" i="21"/>
  <c r="H531" i="21"/>
  <c r="F522" i="21"/>
  <c r="K480" i="21"/>
  <c r="C552" i="21"/>
  <c r="I476" i="21"/>
  <c r="I534" i="21"/>
  <c r="C535" i="21"/>
  <c r="J540" i="21"/>
  <c r="I542" i="21"/>
  <c r="I715" i="21" s="1"/>
  <c r="F547" i="21"/>
  <c r="J519" i="21"/>
  <c r="C528" i="21"/>
  <c r="D519" i="21"/>
  <c r="D555" i="21"/>
  <c r="C520" i="21"/>
  <c r="I545" i="21"/>
  <c r="I518" i="21"/>
  <c r="D535" i="21"/>
  <c r="G511" i="21"/>
  <c r="K519" i="21"/>
  <c r="I547" i="21"/>
  <c r="G555" i="21"/>
  <c r="F518" i="21"/>
  <c r="F534" i="21"/>
  <c r="K550" i="21"/>
  <c r="G526" i="21"/>
  <c r="D543" i="21"/>
  <c r="K545" i="21"/>
  <c r="K533" i="21"/>
  <c r="G523" i="21"/>
  <c r="G550" i="21"/>
  <c r="K555" i="21"/>
  <c r="J552" i="21"/>
  <c r="K549" i="21"/>
  <c r="J518" i="21"/>
  <c r="D534" i="21"/>
  <c r="K541" i="21"/>
  <c r="G530" i="21"/>
  <c r="K542" i="21"/>
  <c r="K715" i="21" s="1"/>
  <c r="K462" i="21"/>
  <c r="J512" i="21"/>
  <c r="I511" i="21"/>
  <c r="E510" i="21"/>
  <c r="L56" i="21"/>
  <c r="L50" i="21"/>
  <c r="L68" i="21"/>
  <c r="F564" i="21"/>
  <c r="F568" i="21"/>
  <c r="F572" i="21"/>
  <c r="F576" i="21"/>
  <c r="F580" i="21"/>
  <c r="F584" i="21"/>
  <c r="F588" i="21"/>
  <c r="F589" i="21"/>
  <c r="F586" i="21"/>
  <c r="F569" i="21"/>
  <c r="F573" i="21"/>
  <c r="F585" i="21"/>
  <c r="F562" i="21"/>
  <c r="F574" i="21"/>
  <c r="F578" i="21"/>
  <c r="F565" i="21"/>
  <c r="F577" i="21"/>
  <c r="F566" i="21"/>
  <c r="F570" i="21"/>
  <c r="F563" i="21"/>
  <c r="F567" i="21"/>
  <c r="F571" i="21"/>
  <c r="F575" i="21"/>
  <c r="F579" i="21"/>
  <c r="F583" i="21"/>
  <c r="F587" i="21"/>
  <c r="F581" i="21"/>
  <c r="F582" i="21"/>
  <c r="F487" i="21"/>
  <c r="F489" i="21"/>
  <c r="F483" i="21"/>
  <c r="F462" i="21"/>
  <c r="F465" i="21"/>
  <c r="F467" i="21"/>
  <c r="F482" i="21"/>
  <c r="F466" i="21"/>
  <c r="F486" i="21"/>
  <c r="F480" i="21"/>
  <c r="F488" i="21"/>
  <c r="F470" i="21"/>
  <c r="F481" i="21"/>
  <c r="H563" i="21"/>
  <c r="H567" i="21"/>
  <c r="H571" i="21"/>
  <c r="H575" i="21"/>
  <c r="H579" i="21"/>
  <c r="H583" i="21"/>
  <c r="H587" i="21"/>
  <c r="H589" i="21"/>
  <c r="H572" i="21"/>
  <c r="H576" i="21"/>
  <c r="H580" i="21"/>
  <c r="H588" i="21"/>
  <c r="H581" i="21"/>
  <c r="H562" i="21"/>
  <c r="H564" i="21"/>
  <c r="H568" i="21"/>
  <c r="H565" i="21"/>
  <c r="H569" i="21"/>
  <c r="H573" i="21"/>
  <c r="H577" i="21"/>
  <c r="H566" i="21"/>
  <c r="H570" i="21"/>
  <c r="H574" i="21"/>
  <c r="H578" i="21"/>
  <c r="H582" i="21"/>
  <c r="H586" i="21"/>
  <c r="H584" i="21"/>
  <c r="H585" i="21"/>
  <c r="H486" i="21"/>
  <c r="H483" i="21"/>
  <c r="H489" i="21"/>
  <c r="H480" i="21"/>
  <c r="H487" i="21"/>
  <c r="H481" i="21"/>
  <c r="H482" i="21"/>
  <c r="H465" i="21"/>
  <c r="H470" i="21"/>
  <c r="H488" i="21"/>
  <c r="H467" i="21"/>
  <c r="H466" i="21"/>
  <c r="H462" i="21"/>
  <c r="F554" i="21"/>
  <c r="K467" i="21"/>
  <c r="G548" i="21"/>
  <c r="J524" i="21"/>
  <c r="C539" i="21"/>
  <c r="E546" i="21"/>
  <c r="H555" i="21"/>
  <c r="K518" i="21"/>
  <c r="I541" i="21"/>
  <c r="K546" i="21"/>
  <c r="H523" i="21"/>
  <c r="D520" i="21"/>
  <c r="C541" i="21"/>
  <c r="F557" i="21"/>
  <c r="I550" i="21"/>
  <c r="J533" i="21"/>
  <c r="I533" i="21"/>
  <c r="G539" i="21"/>
  <c r="G535" i="21"/>
  <c r="F550" i="21"/>
  <c r="E521" i="21"/>
  <c r="K556" i="21"/>
  <c r="J551" i="21"/>
  <c r="I535" i="21"/>
  <c r="D550" i="21"/>
  <c r="K543" i="21"/>
  <c r="C549" i="21"/>
  <c r="K557" i="21"/>
  <c r="F523" i="21"/>
  <c r="D546" i="21"/>
  <c r="K530" i="21"/>
  <c r="E519" i="21"/>
  <c r="D549" i="21"/>
  <c r="D552" i="21"/>
  <c r="J550" i="21"/>
  <c r="J526" i="21"/>
  <c r="F535" i="21"/>
  <c r="I523" i="21"/>
  <c r="C516" i="21"/>
  <c r="G531" i="21"/>
  <c r="G517" i="21"/>
  <c r="C530" i="21"/>
  <c r="K552" i="21"/>
  <c r="J542" i="21"/>
  <c r="J715" i="21" s="1"/>
  <c r="G551" i="21"/>
  <c r="I522" i="21"/>
  <c r="K528" i="21"/>
  <c r="J527" i="21"/>
  <c r="K513" i="21"/>
  <c r="L69" i="21"/>
  <c r="I548" i="21"/>
  <c r="K488" i="21"/>
  <c r="H543" i="21"/>
  <c r="I526" i="21"/>
  <c r="H522" i="21"/>
  <c r="G527" i="21"/>
  <c r="F524" i="21"/>
  <c r="J528" i="21"/>
  <c r="K534" i="21"/>
  <c r="C557" i="21"/>
  <c r="G545" i="21"/>
  <c r="H528" i="21"/>
  <c r="I538" i="21"/>
  <c r="J520" i="21"/>
  <c r="D532" i="21"/>
  <c r="H552" i="21"/>
  <c r="E516" i="21"/>
  <c r="K524" i="21"/>
  <c r="G519" i="21"/>
  <c r="J547" i="21"/>
  <c r="I544" i="21"/>
  <c r="E552" i="21"/>
  <c r="I543" i="21"/>
  <c r="I519" i="21"/>
  <c r="K523" i="21"/>
  <c r="C518" i="21"/>
  <c r="H540" i="21"/>
  <c r="I516" i="21"/>
  <c r="K535" i="21"/>
  <c r="K517" i="21"/>
  <c r="J535" i="21"/>
  <c r="F544" i="21"/>
  <c r="E551" i="21"/>
  <c r="G524" i="21"/>
  <c r="G512" i="21"/>
  <c r="G554" i="21"/>
  <c r="E512" i="21"/>
  <c r="F510" i="21"/>
  <c r="E513" i="21"/>
  <c r="K511" i="21"/>
  <c r="G475" i="21"/>
  <c r="L55" i="21"/>
  <c r="L61" i="21"/>
  <c r="C566" i="21"/>
  <c r="C570" i="21"/>
  <c r="C574" i="21"/>
  <c r="C578" i="21"/>
  <c r="C582" i="21"/>
  <c r="C586" i="21"/>
  <c r="C579" i="21"/>
  <c r="C576" i="21"/>
  <c r="C563" i="21"/>
  <c r="C567" i="21"/>
  <c r="C571" i="21"/>
  <c r="C575" i="21"/>
  <c r="C564" i="21"/>
  <c r="C568" i="21"/>
  <c r="C572" i="21"/>
  <c r="C583" i="21"/>
  <c r="C580" i="21"/>
  <c r="C565" i="21"/>
  <c r="C569" i="21"/>
  <c r="C573" i="21"/>
  <c r="C577" i="21"/>
  <c r="C581" i="21"/>
  <c r="C585" i="21"/>
  <c r="C589" i="21"/>
  <c r="C562" i="21"/>
  <c r="C587" i="21"/>
  <c r="C584" i="21"/>
  <c r="C588" i="21"/>
  <c r="C482" i="21"/>
  <c r="C487" i="21"/>
  <c r="C467" i="21"/>
  <c r="C489" i="21"/>
  <c r="C466" i="21"/>
  <c r="C486" i="21"/>
  <c r="C488" i="21"/>
  <c r="C483" i="21"/>
  <c r="C465" i="21"/>
  <c r="C470" i="21"/>
  <c r="C480" i="21"/>
  <c r="C462" i="21"/>
  <c r="C481" i="21"/>
  <c r="D565" i="21"/>
  <c r="D569" i="21"/>
  <c r="D573" i="21"/>
  <c r="D577" i="21"/>
  <c r="D581" i="21"/>
  <c r="D585" i="21"/>
  <c r="D589" i="21"/>
  <c r="D574" i="21"/>
  <c r="D586" i="21"/>
  <c r="D575" i="21"/>
  <c r="D579" i="21"/>
  <c r="D583" i="21"/>
  <c r="D562" i="21"/>
  <c r="D582" i="21"/>
  <c r="D587" i="21"/>
  <c r="D566" i="21"/>
  <c r="D570" i="21"/>
  <c r="D563" i="21"/>
  <c r="D567" i="21"/>
  <c r="D571" i="21"/>
  <c r="D564" i="21"/>
  <c r="D568" i="21"/>
  <c r="D572" i="21"/>
  <c r="D576" i="21"/>
  <c r="D580" i="21"/>
  <c r="D584" i="21"/>
  <c r="D588" i="21"/>
  <c r="D578" i="21"/>
  <c r="D470" i="21"/>
  <c r="D488" i="21"/>
  <c r="D486" i="21"/>
  <c r="D480" i="21"/>
  <c r="D462" i="21"/>
  <c r="D489" i="21"/>
  <c r="D483" i="21"/>
  <c r="D467" i="21"/>
  <c r="D466" i="21"/>
  <c r="D481" i="21"/>
  <c r="D482" i="21"/>
  <c r="D487" i="21"/>
  <c r="D465" i="21"/>
  <c r="L565" i="21"/>
  <c r="L569" i="21"/>
  <c r="L573" i="21"/>
  <c r="L577" i="21"/>
  <c r="L581" i="21"/>
  <c r="L585" i="21"/>
  <c r="L589" i="21"/>
  <c r="L578" i="21"/>
  <c r="L582" i="21"/>
  <c r="L562" i="21"/>
  <c r="L570" i="21"/>
  <c r="L583" i="21"/>
  <c r="L566" i="21"/>
  <c r="L563" i="21"/>
  <c r="L567" i="21"/>
  <c r="L571" i="21"/>
  <c r="L564" i="21"/>
  <c r="L568" i="21"/>
  <c r="L572" i="21"/>
  <c r="L576" i="21"/>
  <c r="L580" i="21"/>
  <c r="L584" i="21"/>
  <c r="L588" i="21"/>
  <c r="L587" i="21"/>
  <c r="L574" i="21"/>
  <c r="L586" i="21"/>
  <c r="L575" i="21"/>
  <c r="L579" i="21"/>
  <c r="H554" i="21"/>
  <c r="K526" i="21"/>
  <c r="H542" i="21"/>
  <c r="H715" i="21" s="1"/>
  <c r="C533" i="21"/>
  <c r="E542" i="21"/>
  <c r="E715" i="21" s="1"/>
  <c r="J532" i="21"/>
  <c r="F527" i="21"/>
  <c r="H556" i="21"/>
  <c r="G544" i="21"/>
  <c r="H527" i="21"/>
  <c r="J523" i="21"/>
  <c r="I540" i="21"/>
  <c r="H537" i="21"/>
  <c r="F540" i="21"/>
  <c r="K481" i="21"/>
  <c r="G536" i="21"/>
  <c r="H519" i="21"/>
  <c r="D551" i="21"/>
  <c r="F516" i="21"/>
  <c r="C524" i="21"/>
  <c r="F517" i="21"/>
  <c r="G543" i="21"/>
  <c r="D557" i="21"/>
  <c r="F538" i="21"/>
  <c r="G521" i="21"/>
  <c r="C547" i="21"/>
  <c r="K537" i="21"/>
  <c r="C543" i="21"/>
  <c r="G553" i="21"/>
  <c r="K548" i="21"/>
  <c r="J517" i="21"/>
  <c r="F548" i="21"/>
  <c r="I536" i="21"/>
  <c r="E522" i="21"/>
  <c r="F552" i="21"/>
  <c r="H536" i="21"/>
  <c r="C521" i="21"/>
  <c r="C523" i="21"/>
  <c r="D541" i="21"/>
  <c r="D530" i="21"/>
  <c r="H533" i="21"/>
  <c r="H541" i="21"/>
  <c r="F536" i="21"/>
  <c r="D553" i="21"/>
  <c r="I528" i="21"/>
  <c r="E537" i="21"/>
  <c r="J539" i="21"/>
  <c r="C525" i="21"/>
  <c r="F529" i="21"/>
  <c r="G474" i="21"/>
  <c r="G542" i="21"/>
  <c r="G715" i="21" s="1"/>
  <c r="K551" i="21"/>
  <c r="G557" i="21"/>
  <c r="F537" i="21"/>
  <c r="G520" i="21"/>
  <c r="C519" i="21"/>
  <c r="H517" i="21"/>
  <c r="H525" i="21"/>
  <c r="C556" i="21"/>
  <c r="K483" i="21"/>
  <c r="G529" i="21"/>
  <c r="F551" i="21"/>
  <c r="I539" i="21"/>
  <c r="K544" i="21"/>
  <c r="C542" i="21"/>
  <c r="C715" i="21" s="1"/>
  <c r="E534" i="21"/>
  <c r="E544" i="21"/>
  <c r="E557" i="21"/>
  <c r="F531" i="21"/>
  <c r="C536" i="21"/>
  <c r="D544" i="21"/>
  <c r="E526" i="21"/>
  <c r="F520" i="21"/>
  <c r="K470" i="21"/>
  <c r="J541" i="21"/>
  <c r="H548" i="21"/>
  <c r="K536" i="21"/>
  <c r="I524" i="21"/>
  <c r="H526" i="21"/>
  <c r="G552" i="21"/>
  <c r="H529" i="21"/>
  <c r="E545" i="21"/>
  <c r="F541" i="21"/>
  <c r="D529" i="21"/>
  <c r="H547" i="21"/>
  <c r="D522" i="21"/>
  <c r="G518" i="21"/>
  <c r="D521" i="21"/>
  <c r="E553" i="21"/>
  <c r="H521" i="21"/>
  <c r="E530" i="21"/>
  <c r="D528" i="21"/>
  <c r="K529" i="21"/>
  <c r="H532" i="21"/>
  <c r="G528" i="21"/>
  <c r="G546" i="21"/>
  <c r="E540" i="21"/>
  <c r="H516" i="21"/>
  <c r="G534" i="21"/>
  <c r="K531" i="21"/>
  <c r="J522" i="21"/>
  <c r="G549" i="21"/>
  <c r="I552" i="21"/>
  <c r="E524" i="21"/>
  <c r="K539" i="21"/>
  <c r="G532" i="21"/>
  <c r="F543" i="21"/>
  <c r="E549" i="21"/>
  <c r="I551" i="21"/>
  <c r="J534" i="21"/>
  <c r="D537" i="21"/>
  <c r="E525" i="21"/>
  <c r="C527" i="21"/>
  <c r="F526" i="21"/>
  <c r="F553" i="21"/>
  <c r="D538" i="21"/>
  <c r="I529" i="21"/>
  <c r="I517" i="21"/>
  <c r="D536" i="21"/>
  <c r="K527" i="21"/>
  <c r="H553" i="21"/>
  <c r="F532" i="21"/>
  <c r="D554" i="21"/>
  <c r="C537" i="21"/>
  <c r="D523" i="21"/>
  <c r="H545" i="21"/>
  <c r="I553" i="21"/>
  <c r="K584" i="21"/>
  <c r="K588" i="21"/>
  <c r="K566" i="21"/>
  <c r="K570" i="21"/>
  <c r="K574" i="21"/>
  <c r="K578" i="21"/>
  <c r="K582" i="21"/>
  <c r="K586" i="21"/>
  <c r="K575" i="21"/>
  <c r="K580" i="21"/>
  <c r="K563" i="21"/>
  <c r="K567" i="21"/>
  <c r="K587" i="21"/>
  <c r="K564" i="21"/>
  <c r="K568" i="21"/>
  <c r="K572" i="21"/>
  <c r="K562" i="21"/>
  <c r="K571" i="21"/>
  <c r="K579" i="21"/>
  <c r="K576" i="21"/>
  <c r="K565" i="21"/>
  <c r="K569" i="21"/>
  <c r="K573" i="21"/>
  <c r="K577" i="21"/>
  <c r="K581" i="21"/>
  <c r="K585" i="21"/>
  <c r="K589" i="21"/>
  <c r="K583" i="21"/>
  <c r="G581" i="21"/>
  <c r="G562" i="21"/>
  <c r="G564" i="21"/>
  <c r="G568" i="21"/>
  <c r="G572" i="21"/>
  <c r="G576" i="21"/>
  <c r="G580" i="21"/>
  <c r="G584" i="21"/>
  <c r="G588" i="21"/>
  <c r="G585" i="21"/>
  <c r="G589" i="21"/>
  <c r="G582" i="21"/>
  <c r="G586" i="21"/>
  <c r="G565" i="21"/>
  <c r="G569" i="21"/>
  <c r="G566" i="21"/>
  <c r="G570" i="21"/>
  <c r="G574" i="21"/>
  <c r="G563" i="21"/>
  <c r="G567" i="21"/>
  <c r="G571" i="21"/>
  <c r="G575" i="21"/>
  <c r="G579" i="21"/>
  <c r="G583" i="21"/>
  <c r="G587" i="21"/>
  <c r="G573" i="21"/>
  <c r="G577" i="21"/>
  <c r="G578" i="21"/>
  <c r="G481" i="21"/>
  <c r="G488" i="21"/>
  <c r="G483" i="21"/>
  <c r="G482" i="21"/>
  <c r="G489" i="21"/>
  <c r="G467" i="21"/>
  <c r="G466" i="21"/>
  <c r="G480" i="21"/>
  <c r="G462" i="21"/>
  <c r="G486" i="21"/>
  <c r="G487" i="21"/>
  <c r="G465" i="21"/>
  <c r="G470" i="21"/>
  <c r="L47" i="21"/>
  <c r="K554" i="21"/>
  <c r="J538" i="21"/>
  <c r="E555" i="21"/>
  <c r="E547" i="21"/>
  <c r="E523" i="21"/>
  <c r="G541" i="21"/>
  <c r="E529" i="21"/>
  <c r="H524" i="21"/>
  <c r="I520" i="21"/>
  <c r="E556" i="21"/>
  <c r="E539" i="21"/>
  <c r="C544" i="21"/>
  <c r="E528" i="21"/>
  <c r="D545" i="21"/>
  <c r="G540" i="21"/>
  <c r="F549" i="21"/>
  <c r="I537" i="21"/>
  <c r="K522" i="21"/>
  <c r="K486" i="21"/>
  <c r="D517" i="21"/>
  <c r="K532" i="21"/>
  <c r="H549" i="21"/>
  <c r="J521" i="21"/>
  <c r="H557" i="21"/>
  <c r="H544" i="21"/>
  <c r="I527" i="21"/>
  <c r="G525" i="21"/>
  <c r="C532" i="21"/>
  <c r="D542" i="21"/>
  <c r="D715" i="21" s="1"/>
  <c r="J537" i="21"/>
  <c r="E554" i="21"/>
  <c r="C545" i="21"/>
  <c r="D531" i="21"/>
  <c r="H546" i="21"/>
  <c r="G516" i="21"/>
  <c r="J553" i="21"/>
  <c r="J531" i="21"/>
  <c r="C555" i="21"/>
  <c r="D547" i="21"/>
  <c r="C551" i="21"/>
  <c r="H539" i="21"/>
  <c r="C554" i="21"/>
  <c r="K489" i="21"/>
  <c r="G510" i="21"/>
  <c r="G477" i="21"/>
  <c r="E574" i="21"/>
  <c r="E578" i="21"/>
  <c r="E565" i="21"/>
  <c r="E569" i="21"/>
  <c r="E573" i="21"/>
  <c r="E577" i="21"/>
  <c r="E581" i="21"/>
  <c r="E585" i="21"/>
  <c r="E589" i="21"/>
  <c r="E582" i="21"/>
  <c r="E579" i="21"/>
  <c r="E566" i="21"/>
  <c r="E570" i="21"/>
  <c r="E563" i="21"/>
  <c r="E567" i="21"/>
  <c r="E571" i="21"/>
  <c r="E575" i="21"/>
  <c r="E586" i="21"/>
  <c r="E583" i="21"/>
  <c r="E587" i="21"/>
  <c r="E564" i="21"/>
  <c r="E568" i="21"/>
  <c r="E572" i="21"/>
  <c r="E576" i="21"/>
  <c r="E580" i="21"/>
  <c r="E584" i="21"/>
  <c r="E588" i="21"/>
  <c r="E562" i="21"/>
  <c r="E488" i="21"/>
  <c r="E465" i="21"/>
  <c r="E467" i="21"/>
  <c r="E481" i="21"/>
  <c r="E480" i="21"/>
  <c r="E462" i="21"/>
  <c r="E470" i="21"/>
  <c r="E483" i="21"/>
  <c r="E487" i="21"/>
  <c r="E466" i="21"/>
  <c r="E486" i="21"/>
  <c r="E489" i="21"/>
  <c r="E482" i="21"/>
  <c r="I584" i="21"/>
  <c r="I588" i="21"/>
  <c r="I577" i="21"/>
  <c r="I581" i="21"/>
  <c r="I563" i="21"/>
  <c r="I567" i="21"/>
  <c r="I571" i="21"/>
  <c r="I575" i="21"/>
  <c r="I579" i="21"/>
  <c r="I583" i="21"/>
  <c r="I587" i="21"/>
  <c r="I572" i="21"/>
  <c r="I589" i="21"/>
  <c r="I564" i="21"/>
  <c r="I568" i="21"/>
  <c r="I565" i="21"/>
  <c r="I569" i="21"/>
  <c r="I573" i="21"/>
  <c r="I585" i="21"/>
  <c r="I562" i="21"/>
  <c r="I576" i="21"/>
  <c r="I566" i="21"/>
  <c r="I570" i="21"/>
  <c r="I574" i="21"/>
  <c r="I578" i="21"/>
  <c r="I582" i="21"/>
  <c r="I586" i="21"/>
  <c r="I580" i="21"/>
  <c r="I483" i="21"/>
  <c r="I487" i="21"/>
  <c r="I482" i="21"/>
  <c r="I489" i="21"/>
  <c r="I466" i="21"/>
  <c r="I465" i="21"/>
  <c r="I481" i="21"/>
  <c r="I480" i="21"/>
  <c r="I462" i="21"/>
  <c r="I470" i="21"/>
  <c r="I488" i="21"/>
  <c r="I486" i="21"/>
  <c r="I467" i="21"/>
  <c r="J566" i="21"/>
  <c r="J570" i="21"/>
  <c r="J574" i="21"/>
  <c r="J578" i="21"/>
  <c r="J582" i="21"/>
  <c r="J586" i="21"/>
  <c r="J571" i="21"/>
  <c r="J563" i="21"/>
  <c r="J567" i="21"/>
  <c r="J564" i="21"/>
  <c r="J568" i="21"/>
  <c r="J572" i="21"/>
  <c r="J588" i="21"/>
  <c r="J565" i="21"/>
  <c r="J569" i="21"/>
  <c r="J573" i="21"/>
  <c r="J577" i="21"/>
  <c r="J581" i="21"/>
  <c r="J585" i="21"/>
  <c r="J589" i="21"/>
  <c r="J575" i="21"/>
  <c r="J587" i="21"/>
  <c r="J576" i="21"/>
  <c r="J580" i="21"/>
  <c r="J584" i="21"/>
  <c r="J562" i="21"/>
  <c r="J579" i="21"/>
  <c r="J583" i="21"/>
  <c r="J489" i="21"/>
  <c r="J466" i="21"/>
  <c r="J462" i="21"/>
  <c r="J483" i="21"/>
  <c r="J482" i="21"/>
  <c r="J487" i="21"/>
  <c r="J467" i="21"/>
  <c r="J488" i="21"/>
  <c r="J480" i="21"/>
  <c r="J481" i="21"/>
  <c r="J470" i="21"/>
  <c r="J465" i="21"/>
  <c r="J486" i="21"/>
  <c r="J555" i="21"/>
  <c r="E538" i="21"/>
  <c r="E548" i="21"/>
  <c r="E536" i="21"/>
  <c r="D527" i="21"/>
  <c r="F555" i="21"/>
  <c r="D540" i="21"/>
  <c r="D516" i="21"/>
  <c r="J529" i="21"/>
  <c r="D518" i="21"/>
  <c r="C526" i="21"/>
  <c r="H550" i="21"/>
  <c r="F556" i="21"/>
  <c r="E532" i="21"/>
  <c r="K547" i="21"/>
  <c r="J516" i="21"/>
  <c r="G533" i="21"/>
  <c r="H518" i="21"/>
  <c r="C540" i="21"/>
  <c r="E527" i="21"/>
  <c r="E517" i="21"/>
  <c r="K466" i="21"/>
  <c r="J549" i="21"/>
  <c r="J525" i="21"/>
  <c r="G538" i="21"/>
  <c r="K538" i="21"/>
  <c r="I557" i="21"/>
  <c r="G537" i="21"/>
  <c r="H520" i="21"/>
  <c r="C534" i="21"/>
  <c r="F542" i="21"/>
  <c r="F715" i="21" s="1"/>
  <c r="I531" i="21"/>
  <c r="F528" i="21"/>
  <c r="K482" i="21"/>
  <c r="K540" i="21"/>
  <c r="K516" i="21"/>
  <c r="J546" i="21"/>
  <c r="H534" i="21"/>
  <c r="C538" i="21"/>
  <c r="K521" i="21"/>
  <c r="K553" i="21"/>
  <c r="C550" i="21"/>
  <c r="K487" i="21"/>
  <c r="K525" i="21"/>
  <c r="J545" i="21"/>
  <c r="F533" i="21"/>
  <c r="K465" i="21"/>
  <c r="J544" i="21"/>
  <c r="C55" i="21"/>
  <c r="C475" i="21"/>
  <c r="G56" i="21"/>
  <c r="G476" i="21"/>
  <c r="J55" i="21"/>
  <c r="J475" i="21"/>
  <c r="E54" i="21"/>
  <c r="E474" i="21"/>
  <c r="K57" i="21"/>
  <c r="K477" i="21"/>
  <c r="H54" i="21"/>
  <c r="H474" i="21"/>
  <c r="F57" i="21"/>
  <c r="F477" i="21"/>
  <c r="C54" i="21"/>
  <c r="C474" i="21"/>
  <c r="C57" i="21"/>
  <c r="C477" i="21"/>
  <c r="H57" i="21"/>
  <c r="H477" i="21"/>
  <c r="J54" i="21"/>
  <c r="J474" i="21"/>
  <c r="K56" i="21"/>
  <c r="K476" i="21"/>
  <c r="J57" i="21"/>
  <c r="J477" i="21"/>
  <c r="F54" i="21"/>
  <c r="F474" i="21"/>
  <c r="E56" i="21"/>
  <c r="E476" i="21"/>
  <c r="C56" i="21"/>
  <c r="C476" i="21"/>
  <c r="H56" i="21"/>
  <c r="H476" i="21"/>
  <c r="K55" i="21"/>
  <c r="K475" i="21"/>
  <c r="J56" i="21"/>
  <c r="J476" i="21"/>
  <c r="D56" i="21"/>
  <c r="D476" i="21"/>
  <c r="H55" i="21"/>
  <c r="H475" i="21"/>
  <c r="K54" i="21"/>
  <c r="K474" i="21"/>
  <c r="I57" i="21"/>
  <c r="I477" i="21"/>
  <c r="C314" i="21"/>
  <c r="C322" i="21"/>
  <c r="C330" i="21"/>
  <c r="C338" i="21"/>
  <c r="C346" i="21"/>
  <c r="C307" i="21"/>
  <c r="C315" i="21"/>
  <c r="C323" i="21"/>
  <c r="C331" i="21"/>
  <c r="C339" i="21"/>
  <c r="C347" i="21"/>
  <c r="C276" i="21"/>
  <c r="C264" i="21"/>
  <c r="C308" i="21"/>
  <c r="C316" i="21"/>
  <c r="C324" i="21"/>
  <c r="C332" i="21"/>
  <c r="C340" i="21"/>
  <c r="C306" i="21"/>
  <c r="C309" i="21"/>
  <c r="C317" i="21"/>
  <c r="C325" i="21"/>
  <c r="C333" i="21"/>
  <c r="C341" i="21"/>
  <c r="C301" i="21"/>
  <c r="C310" i="21"/>
  <c r="C318" i="21"/>
  <c r="C326" i="21"/>
  <c r="C334" i="21"/>
  <c r="C342" i="21"/>
  <c r="C302" i="21"/>
  <c r="C273" i="21"/>
  <c r="C311" i="21"/>
  <c r="C319" i="21"/>
  <c r="C327" i="21"/>
  <c r="C335" i="21"/>
  <c r="C343" i="21"/>
  <c r="C321" i="21"/>
  <c r="C271" i="21"/>
  <c r="C272" i="21"/>
  <c r="C336" i="21"/>
  <c r="C260" i="21"/>
  <c r="C320" i="21"/>
  <c r="C313" i="21"/>
  <c r="C329" i="21"/>
  <c r="C270" i="21"/>
  <c r="C256" i="21"/>
  <c r="C257" i="21"/>
  <c r="C300" i="21"/>
  <c r="C312" i="21"/>
  <c r="C344" i="21"/>
  <c r="C279" i="21"/>
  <c r="C265" i="21"/>
  <c r="C266" i="21"/>
  <c r="C267" i="21"/>
  <c r="C255" i="21"/>
  <c r="C345" i="21"/>
  <c r="C328" i="21"/>
  <c r="C337" i="21"/>
  <c r="C278" i="21"/>
  <c r="C252" i="21"/>
  <c r="C277" i="21"/>
  <c r="C303" i="21"/>
  <c r="F311" i="21"/>
  <c r="F319" i="21"/>
  <c r="F327" i="21"/>
  <c r="F335" i="21"/>
  <c r="F343" i="21"/>
  <c r="F303" i="21"/>
  <c r="F300" i="21"/>
  <c r="F312" i="21"/>
  <c r="F320" i="21"/>
  <c r="F328" i="21"/>
  <c r="F336" i="21"/>
  <c r="F344" i="21"/>
  <c r="F277" i="21"/>
  <c r="F265" i="21"/>
  <c r="F313" i="21"/>
  <c r="F321" i="21"/>
  <c r="F329" i="21"/>
  <c r="F337" i="21"/>
  <c r="F345" i="21"/>
  <c r="F314" i="21"/>
  <c r="F322" i="21"/>
  <c r="F330" i="21"/>
  <c r="F338" i="21"/>
  <c r="F346" i="21"/>
  <c r="F307" i="21"/>
  <c r="F315" i="21"/>
  <c r="F323" i="21"/>
  <c r="F331" i="21"/>
  <c r="F339" i="21"/>
  <c r="F347" i="21"/>
  <c r="F306" i="21"/>
  <c r="F308" i="21"/>
  <c r="F316" i="21"/>
  <c r="F324" i="21"/>
  <c r="F332" i="21"/>
  <c r="F340" i="21"/>
  <c r="F310" i="21"/>
  <c r="F342" i="21"/>
  <c r="F273" i="21"/>
  <c r="F279" i="21"/>
  <c r="F325" i="21"/>
  <c r="F301" i="21"/>
  <c r="F272" i="21"/>
  <c r="F267" i="21"/>
  <c r="F334" i="21"/>
  <c r="F318" i="21"/>
  <c r="F271" i="21"/>
  <c r="F256" i="21"/>
  <c r="F333" i="21"/>
  <c r="F276" i="21"/>
  <c r="F309" i="21"/>
  <c r="F302" i="21"/>
  <c r="F266" i="21"/>
  <c r="F257" i="21"/>
  <c r="F270" i="21"/>
  <c r="F252" i="21"/>
  <c r="F326" i="21"/>
  <c r="F264" i="21"/>
  <c r="F260" i="21"/>
  <c r="F341" i="21"/>
  <c r="F255" i="21"/>
  <c r="F278" i="21"/>
  <c r="F317" i="21"/>
  <c r="E312" i="21"/>
  <c r="E320" i="21"/>
  <c r="E328" i="21"/>
  <c r="E336" i="21"/>
  <c r="E344" i="21"/>
  <c r="E313" i="21"/>
  <c r="E321" i="21"/>
  <c r="E329" i="21"/>
  <c r="E337" i="21"/>
  <c r="E345" i="21"/>
  <c r="E278" i="21"/>
  <c r="E266" i="21"/>
  <c r="E314" i="21"/>
  <c r="E322" i="21"/>
  <c r="E330" i="21"/>
  <c r="E338" i="21"/>
  <c r="E346" i="21"/>
  <c r="E307" i="21"/>
  <c r="E315" i="21"/>
  <c r="E323" i="21"/>
  <c r="E331" i="21"/>
  <c r="E339" i="21"/>
  <c r="E347" i="21"/>
  <c r="E306" i="21"/>
  <c r="E308" i="21"/>
  <c r="E316" i="21"/>
  <c r="E324" i="21"/>
  <c r="E332" i="21"/>
  <c r="E340" i="21"/>
  <c r="E271" i="21"/>
  <c r="E309" i="21"/>
  <c r="E317" i="21"/>
  <c r="E325" i="21"/>
  <c r="E333" i="21"/>
  <c r="E341" i="21"/>
  <c r="E335" i="21"/>
  <c r="E301" i="21"/>
  <c r="E303" i="21"/>
  <c r="E272" i="21"/>
  <c r="E265" i="21"/>
  <c r="E310" i="21"/>
  <c r="E342" i="21"/>
  <c r="E318" i="21"/>
  <c r="E334" i="21"/>
  <c r="E252" i="21"/>
  <c r="E273" i="21"/>
  <c r="E311" i="21"/>
  <c r="E343" i="21"/>
  <c r="E276" i="21"/>
  <c r="E270" i="21"/>
  <c r="E277" i="21"/>
  <c r="E326" i="21"/>
  <c r="E300" i="21"/>
  <c r="E264" i="21"/>
  <c r="E260" i="21"/>
  <c r="E327" i="21"/>
  <c r="E319" i="21"/>
  <c r="E302" i="21"/>
  <c r="E279" i="21"/>
  <c r="E267" i="21"/>
  <c r="E256" i="21"/>
  <c r="E257" i="21"/>
  <c r="E255" i="21"/>
  <c r="H309" i="21"/>
  <c r="H317" i="21"/>
  <c r="H325" i="21"/>
  <c r="H333" i="21"/>
  <c r="H341" i="21"/>
  <c r="H301" i="21"/>
  <c r="H310" i="21"/>
  <c r="H318" i="21"/>
  <c r="H326" i="21"/>
  <c r="H334" i="21"/>
  <c r="H342" i="21"/>
  <c r="H302" i="21"/>
  <c r="H273" i="21"/>
  <c r="H270" i="21"/>
  <c r="H311" i="21"/>
  <c r="H319" i="21"/>
  <c r="H327" i="21"/>
  <c r="H335" i="21"/>
  <c r="H343" i="21"/>
  <c r="H303" i="21"/>
  <c r="H300" i="21"/>
  <c r="H312" i="21"/>
  <c r="H320" i="21"/>
  <c r="H328" i="21"/>
  <c r="H336" i="21"/>
  <c r="H344" i="21"/>
  <c r="H313" i="21"/>
  <c r="H321" i="21"/>
  <c r="H329" i="21"/>
  <c r="H337" i="21"/>
  <c r="H345" i="21"/>
  <c r="H278" i="21"/>
  <c r="H314" i="21"/>
  <c r="H322" i="21"/>
  <c r="H330" i="21"/>
  <c r="H338" i="21"/>
  <c r="H346" i="21"/>
  <c r="H324" i="21"/>
  <c r="H252" i="21"/>
  <c r="H255" i="21"/>
  <c r="H307" i="21"/>
  <c r="H339" i="21"/>
  <c r="H277" i="21"/>
  <c r="H306" i="21"/>
  <c r="H279" i="21"/>
  <c r="H267" i="21"/>
  <c r="H332" i="21"/>
  <c r="H323" i="21"/>
  <c r="H260" i="21"/>
  <c r="H331" i="21"/>
  <c r="H266" i="21"/>
  <c r="H257" i="21"/>
  <c r="H315" i="21"/>
  <c r="H347" i="21"/>
  <c r="H272" i="21"/>
  <c r="H316" i="21"/>
  <c r="H264" i="21"/>
  <c r="H265" i="21"/>
  <c r="H256" i="21"/>
  <c r="H308" i="21"/>
  <c r="H340" i="21"/>
  <c r="H276" i="21"/>
  <c r="H271" i="21"/>
  <c r="J307" i="21"/>
  <c r="J315" i="21"/>
  <c r="J323" i="21"/>
  <c r="J331" i="21"/>
  <c r="J339" i="21"/>
  <c r="J347" i="21"/>
  <c r="J306" i="21"/>
  <c r="J308" i="21"/>
  <c r="J316" i="21"/>
  <c r="J324" i="21"/>
  <c r="J332" i="21"/>
  <c r="J340" i="21"/>
  <c r="J271" i="21"/>
  <c r="J309" i="21"/>
  <c r="J317" i="21"/>
  <c r="J325" i="21"/>
  <c r="J333" i="21"/>
  <c r="J341" i="21"/>
  <c r="J301" i="21"/>
  <c r="J310" i="21"/>
  <c r="J318" i="21"/>
  <c r="J326" i="21"/>
  <c r="J334" i="21"/>
  <c r="J342" i="21"/>
  <c r="J302" i="21"/>
  <c r="J311" i="21"/>
  <c r="J319" i="21"/>
  <c r="J327" i="21"/>
  <c r="J335" i="21"/>
  <c r="J343" i="21"/>
  <c r="J303" i="21"/>
  <c r="J300" i="21"/>
  <c r="J312" i="21"/>
  <c r="J320" i="21"/>
  <c r="J328" i="21"/>
  <c r="J336" i="21"/>
  <c r="J344" i="21"/>
  <c r="J338" i="21"/>
  <c r="J279" i="21"/>
  <c r="J264" i="21"/>
  <c r="J260" i="21"/>
  <c r="J256" i="21"/>
  <c r="J321" i="21"/>
  <c r="J278" i="21"/>
  <c r="J270" i="21"/>
  <c r="J265" i="21"/>
  <c r="J266" i="21"/>
  <c r="J267" i="21"/>
  <c r="J257" i="21"/>
  <c r="J255" i="21"/>
  <c r="J314" i="21"/>
  <c r="J346" i="21"/>
  <c r="J277" i="21"/>
  <c r="J252" i="21"/>
  <c r="J337" i="21"/>
  <c r="J329" i="21"/>
  <c r="J273" i="21"/>
  <c r="J276" i="21"/>
  <c r="J313" i="21"/>
  <c r="J345" i="21"/>
  <c r="J322" i="21"/>
  <c r="J272" i="21"/>
  <c r="J330" i="21"/>
  <c r="I308" i="21"/>
  <c r="I316" i="21"/>
  <c r="I324" i="21"/>
  <c r="I332" i="21"/>
  <c r="I340" i="21"/>
  <c r="I309" i="21"/>
  <c r="I317" i="21"/>
  <c r="I325" i="21"/>
  <c r="I333" i="21"/>
  <c r="I341" i="21"/>
  <c r="I301" i="21"/>
  <c r="I272" i="21"/>
  <c r="I256" i="21"/>
  <c r="I310" i="21"/>
  <c r="I318" i="21"/>
  <c r="I326" i="21"/>
  <c r="I334" i="21"/>
  <c r="I342" i="21"/>
  <c r="I302" i="21"/>
  <c r="I311" i="21"/>
  <c r="I319" i="21"/>
  <c r="I327" i="21"/>
  <c r="I335" i="21"/>
  <c r="I343" i="21"/>
  <c r="I303" i="21"/>
  <c r="I300" i="21"/>
  <c r="I312" i="21"/>
  <c r="I320" i="21"/>
  <c r="I328" i="21"/>
  <c r="I336" i="21"/>
  <c r="I344" i="21"/>
  <c r="I277" i="21"/>
  <c r="I313" i="21"/>
  <c r="I321" i="21"/>
  <c r="I329" i="21"/>
  <c r="I337" i="21"/>
  <c r="I345" i="21"/>
  <c r="I331" i="21"/>
  <c r="I278" i="21"/>
  <c r="I270" i="21"/>
  <c r="I265" i="21"/>
  <c r="I266" i="21"/>
  <c r="I267" i="21"/>
  <c r="I257" i="21"/>
  <c r="I255" i="21"/>
  <c r="I323" i="21"/>
  <c r="I264" i="21"/>
  <c r="I314" i="21"/>
  <c r="I346" i="21"/>
  <c r="I252" i="21"/>
  <c r="I338" i="21"/>
  <c r="I306" i="21"/>
  <c r="I307" i="21"/>
  <c r="I339" i="21"/>
  <c r="I273" i="21"/>
  <c r="I322" i="21"/>
  <c r="I271" i="21"/>
  <c r="I315" i="21"/>
  <c r="I347" i="21"/>
  <c r="I330" i="21"/>
  <c r="I276" i="21"/>
  <c r="I279" i="21"/>
  <c r="I260" i="21"/>
  <c r="G310" i="21"/>
  <c r="G318" i="21"/>
  <c r="G326" i="21"/>
  <c r="G334" i="21"/>
  <c r="G342" i="21"/>
  <c r="G302" i="21"/>
  <c r="G311" i="21"/>
  <c r="G319" i="21"/>
  <c r="G327" i="21"/>
  <c r="G335" i="21"/>
  <c r="G343" i="21"/>
  <c r="G303" i="21"/>
  <c r="G300" i="21"/>
  <c r="G312" i="21"/>
  <c r="G320" i="21"/>
  <c r="G328" i="21"/>
  <c r="G336" i="21"/>
  <c r="G344" i="21"/>
  <c r="G313" i="21"/>
  <c r="G321" i="21"/>
  <c r="G329" i="21"/>
  <c r="G337" i="21"/>
  <c r="G345" i="21"/>
  <c r="G314" i="21"/>
  <c r="G322" i="21"/>
  <c r="G330" i="21"/>
  <c r="G338" i="21"/>
  <c r="G346" i="21"/>
  <c r="G279" i="21"/>
  <c r="G276" i="21"/>
  <c r="G307" i="21"/>
  <c r="G315" i="21"/>
  <c r="G323" i="21"/>
  <c r="G331" i="21"/>
  <c r="G339" i="21"/>
  <c r="G347" i="21"/>
  <c r="G317" i="21"/>
  <c r="G277" i="21"/>
  <c r="G316" i="21"/>
  <c r="G260" i="21"/>
  <c r="G309" i="21"/>
  <c r="G266" i="21"/>
  <c r="G256" i="21"/>
  <c r="G324" i="21"/>
  <c r="G332" i="21"/>
  <c r="G273" i="21"/>
  <c r="G267" i="21"/>
  <c r="G255" i="21"/>
  <c r="G278" i="21"/>
  <c r="G252" i="21"/>
  <c r="G325" i="21"/>
  <c r="G301" i="21"/>
  <c r="G272" i="21"/>
  <c r="G341" i="21"/>
  <c r="G308" i="21"/>
  <c r="G340" i="21"/>
  <c r="G271" i="21"/>
  <c r="G306" i="21"/>
  <c r="G333" i="21"/>
  <c r="G264" i="21"/>
  <c r="G265" i="21"/>
  <c r="G257" i="21"/>
  <c r="G270" i="21"/>
  <c r="K314" i="21"/>
  <c r="K322" i="21"/>
  <c r="K330" i="21"/>
  <c r="K338" i="21"/>
  <c r="K346" i="21"/>
  <c r="K307" i="21"/>
  <c r="K315" i="21"/>
  <c r="K323" i="21"/>
  <c r="K331" i="21"/>
  <c r="K339" i="21"/>
  <c r="K347" i="21"/>
  <c r="K306" i="21"/>
  <c r="K260" i="21"/>
  <c r="K308" i="21"/>
  <c r="K316" i="21"/>
  <c r="K324" i="21"/>
  <c r="K332" i="21"/>
  <c r="K340" i="21"/>
  <c r="K309" i="21"/>
  <c r="K317" i="21"/>
  <c r="K325" i="21"/>
  <c r="K333" i="21"/>
  <c r="K341" i="21"/>
  <c r="K301" i="21"/>
  <c r="K310" i="21"/>
  <c r="K318" i="21"/>
  <c r="K326" i="21"/>
  <c r="K334" i="21"/>
  <c r="K342" i="21"/>
  <c r="K302" i="21"/>
  <c r="K273" i="21"/>
  <c r="K270" i="21"/>
  <c r="K311" i="21"/>
  <c r="K319" i="21"/>
  <c r="K327" i="21"/>
  <c r="K335" i="21"/>
  <c r="K343" i="21"/>
  <c r="K313" i="21"/>
  <c r="K345" i="21"/>
  <c r="K337" i="21"/>
  <c r="K271" i="21"/>
  <c r="K328" i="21"/>
  <c r="K303" i="21"/>
  <c r="K279" i="21"/>
  <c r="K264" i="21"/>
  <c r="K256" i="21"/>
  <c r="K344" i="21"/>
  <c r="K320" i="21"/>
  <c r="K321" i="21"/>
  <c r="K278" i="21"/>
  <c r="K265" i="21"/>
  <c r="K266" i="21"/>
  <c r="K267" i="21"/>
  <c r="K257" i="21"/>
  <c r="K255" i="21"/>
  <c r="K276" i="21"/>
  <c r="K336" i="21"/>
  <c r="K277" i="21"/>
  <c r="K252" i="21"/>
  <c r="K329" i="21"/>
  <c r="K300" i="21"/>
  <c r="K312" i="21"/>
  <c r="K272" i="21"/>
  <c r="D313" i="21"/>
  <c r="D321" i="21"/>
  <c r="D329" i="21"/>
  <c r="D337" i="21"/>
  <c r="D345" i="21"/>
  <c r="D314" i="21"/>
  <c r="D322" i="21"/>
  <c r="D330" i="21"/>
  <c r="D338" i="21"/>
  <c r="D346" i="21"/>
  <c r="D279" i="21"/>
  <c r="D276" i="21"/>
  <c r="D267" i="21"/>
  <c r="D264" i="21"/>
  <c r="D307" i="21"/>
  <c r="D315" i="21"/>
  <c r="D323" i="21"/>
  <c r="D331" i="21"/>
  <c r="D339" i="21"/>
  <c r="D347" i="21"/>
  <c r="D306" i="21"/>
  <c r="D308" i="21"/>
  <c r="D316" i="21"/>
  <c r="D324" i="21"/>
  <c r="D332" i="21"/>
  <c r="D340" i="21"/>
  <c r="D309" i="21"/>
  <c r="D317" i="21"/>
  <c r="D325" i="21"/>
  <c r="D333" i="21"/>
  <c r="D341" i="21"/>
  <c r="D301" i="21"/>
  <c r="D272" i="21"/>
  <c r="D310" i="21"/>
  <c r="D318" i="21"/>
  <c r="D326" i="21"/>
  <c r="D334" i="21"/>
  <c r="D342" i="21"/>
  <c r="D328" i="21"/>
  <c r="D277" i="21"/>
  <c r="D311" i="21"/>
  <c r="D343" i="21"/>
  <c r="D271" i="21"/>
  <c r="D336" i="21"/>
  <c r="D300" i="21"/>
  <c r="D260" i="21"/>
  <c r="D278" i="21"/>
  <c r="D273" i="21"/>
  <c r="D303" i="21"/>
  <c r="D319" i="21"/>
  <c r="D302" i="21"/>
  <c r="D256" i="21"/>
  <c r="D257" i="21"/>
  <c r="D255" i="21"/>
  <c r="D312" i="21"/>
  <c r="D344" i="21"/>
  <c r="D270" i="21"/>
  <c r="D265" i="21"/>
  <c r="D266" i="21"/>
  <c r="D252" i="21"/>
  <c r="D327" i="21"/>
  <c r="D320" i="21"/>
  <c r="D335" i="21"/>
  <c r="L306" i="21"/>
  <c r="L300" i="21"/>
  <c r="L260" i="21"/>
  <c r="L252" i="21"/>
  <c r="L308" i="21"/>
  <c r="L312" i="21"/>
  <c r="L316" i="21"/>
  <c r="L320" i="21"/>
  <c r="L324" i="21"/>
  <c r="L328" i="21"/>
  <c r="L332" i="21"/>
  <c r="L336" i="21"/>
  <c r="L340" i="21"/>
  <c r="L344" i="21"/>
  <c r="L277" i="21"/>
  <c r="L271" i="21"/>
  <c r="L265" i="21"/>
  <c r="L309" i="21"/>
  <c r="L313" i="21"/>
  <c r="L317" i="21"/>
  <c r="L321" i="21"/>
  <c r="L325" i="21"/>
  <c r="L329" i="21"/>
  <c r="L333" i="21"/>
  <c r="L337" i="21"/>
  <c r="L341" i="21"/>
  <c r="L345" i="21"/>
  <c r="L301" i="21"/>
  <c r="L278" i="21"/>
  <c r="L272" i="21"/>
  <c r="L266" i="21"/>
  <c r="L256" i="21"/>
  <c r="L310" i="21"/>
  <c r="L314" i="21"/>
  <c r="L318" i="21"/>
  <c r="L322" i="21"/>
  <c r="L326" i="21"/>
  <c r="L330" i="21"/>
  <c r="L334" i="21"/>
  <c r="L338" i="21"/>
  <c r="L342" i="21"/>
  <c r="L346" i="21"/>
  <c r="L302" i="21"/>
  <c r="L279" i="21"/>
  <c r="L273" i="21"/>
  <c r="L267" i="21"/>
  <c r="L257" i="21"/>
  <c r="L276" i="21"/>
  <c r="L270" i="21"/>
  <c r="L264" i="21"/>
  <c r="L255" i="21"/>
  <c r="L307" i="21"/>
  <c r="L311" i="21"/>
  <c r="L315" i="21"/>
  <c r="L319" i="21"/>
  <c r="L323" i="21"/>
  <c r="L327" i="21"/>
  <c r="L331" i="21"/>
  <c r="L335" i="21"/>
  <c r="L339" i="21"/>
  <c r="L343" i="21"/>
  <c r="L347" i="21"/>
  <c r="L303" i="21"/>
  <c r="L519" i="21"/>
  <c r="L523" i="21"/>
  <c r="L527" i="21"/>
  <c r="L531" i="21"/>
  <c r="L535" i="21"/>
  <c r="L539" i="21"/>
  <c r="L543" i="21"/>
  <c r="L547" i="21"/>
  <c r="L551" i="21"/>
  <c r="L555" i="21"/>
  <c r="L511" i="21"/>
  <c r="L470" i="21"/>
  <c r="L462" i="21"/>
  <c r="L487" i="21"/>
  <c r="L481" i="21"/>
  <c r="L475" i="21"/>
  <c r="L520" i="21"/>
  <c r="L524" i="21"/>
  <c r="L528" i="21"/>
  <c r="L532" i="21"/>
  <c r="L536" i="21"/>
  <c r="L540" i="21"/>
  <c r="L544" i="21"/>
  <c r="L548" i="21"/>
  <c r="L552" i="21"/>
  <c r="L556" i="21"/>
  <c r="L512" i="21"/>
  <c r="L488" i="21"/>
  <c r="L482" i="21"/>
  <c r="L476" i="21"/>
  <c r="L466" i="21"/>
  <c r="L517" i="21"/>
  <c r="L521" i="21"/>
  <c r="L525" i="21"/>
  <c r="L529" i="21"/>
  <c r="L533" i="21"/>
  <c r="L537" i="21"/>
  <c r="L541" i="21"/>
  <c r="L545" i="21"/>
  <c r="L549" i="21"/>
  <c r="L553" i="21"/>
  <c r="L557" i="21"/>
  <c r="L513" i="21"/>
  <c r="L516" i="21"/>
  <c r="L510" i="21"/>
  <c r="L489" i="21"/>
  <c r="L483" i="21"/>
  <c r="L477" i="21"/>
  <c r="L467" i="21"/>
  <c r="L518" i="21"/>
  <c r="L522" i="21"/>
  <c r="L526" i="21"/>
  <c r="L530" i="21"/>
  <c r="L534" i="21"/>
  <c r="L538" i="21"/>
  <c r="L542" i="21"/>
  <c r="L715" i="21" s="1"/>
  <c r="L546" i="21"/>
  <c r="L550" i="21"/>
  <c r="L554" i="21"/>
  <c r="L486" i="21"/>
  <c r="L480" i="21"/>
  <c r="L474" i="21"/>
  <c r="L465" i="21"/>
  <c r="I98" i="21"/>
  <c r="I102" i="21"/>
  <c r="I106" i="21"/>
  <c r="I110" i="21"/>
  <c r="I114" i="21"/>
  <c r="I118" i="21"/>
  <c r="I122" i="21"/>
  <c r="I126" i="21"/>
  <c r="I130" i="21"/>
  <c r="I134" i="21"/>
  <c r="I91" i="21"/>
  <c r="I132" i="21"/>
  <c r="I92" i="21"/>
  <c r="I93" i="21"/>
  <c r="I99" i="21"/>
  <c r="I103" i="21"/>
  <c r="I107" i="21"/>
  <c r="I111" i="21"/>
  <c r="I115" i="21"/>
  <c r="I119" i="21"/>
  <c r="I123" i="21"/>
  <c r="I127" i="21"/>
  <c r="I131" i="21"/>
  <c r="I135" i="21"/>
  <c r="I112" i="21"/>
  <c r="I116" i="21"/>
  <c r="I120" i="21"/>
  <c r="I124" i="21"/>
  <c r="I128" i="21"/>
  <c r="I136" i="21"/>
  <c r="I100" i="21"/>
  <c r="I104" i="21"/>
  <c r="I108" i="21"/>
  <c r="I97" i="21"/>
  <c r="I113" i="21"/>
  <c r="I90" i="21"/>
  <c r="I125" i="21"/>
  <c r="I137" i="21"/>
  <c r="I101" i="21"/>
  <c r="I133" i="21"/>
  <c r="I129" i="21"/>
  <c r="I105" i="21"/>
  <c r="I121" i="21"/>
  <c r="I96" i="21"/>
  <c r="I109" i="21"/>
  <c r="I117" i="21"/>
  <c r="E100" i="21"/>
  <c r="E104" i="21"/>
  <c r="E108" i="21"/>
  <c r="E112" i="21"/>
  <c r="E116" i="21"/>
  <c r="E120" i="21"/>
  <c r="E124" i="21"/>
  <c r="E128" i="21"/>
  <c r="E132" i="21"/>
  <c r="E136" i="21"/>
  <c r="E93" i="21"/>
  <c r="E90" i="21"/>
  <c r="E129" i="21"/>
  <c r="E91" i="21"/>
  <c r="E97" i="21"/>
  <c r="E101" i="21"/>
  <c r="E105" i="21"/>
  <c r="E109" i="21"/>
  <c r="E113" i="21"/>
  <c r="E117" i="21"/>
  <c r="E121" i="21"/>
  <c r="E125" i="21"/>
  <c r="E133" i="21"/>
  <c r="E137" i="21"/>
  <c r="E126" i="21"/>
  <c r="E96" i="21"/>
  <c r="E114" i="21"/>
  <c r="E118" i="21"/>
  <c r="E122" i="21"/>
  <c r="E130" i="21"/>
  <c r="E134" i="21"/>
  <c r="E98" i="21"/>
  <c r="E102" i="21"/>
  <c r="E106" i="21"/>
  <c r="E110" i="21"/>
  <c r="E107" i="21"/>
  <c r="E135" i="21"/>
  <c r="E92" i="21"/>
  <c r="E131" i="21"/>
  <c r="E111" i="21"/>
  <c r="E127" i="21"/>
  <c r="E123" i="21"/>
  <c r="E99" i="21"/>
  <c r="E119" i="21"/>
  <c r="E115" i="21"/>
  <c r="E103" i="21"/>
  <c r="G99" i="21"/>
  <c r="G103" i="21"/>
  <c r="G107" i="21"/>
  <c r="G111" i="21"/>
  <c r="G115" i="21"/>
  <c r="G119" i="21"/>
  <c r="G123" i="21"/>
  <c r="G127" i="21"/>
  <c r="G131" i="21"/>
  <c r="G135" i="21"/>
  <c r="G92" i="21"/>
  <c r="G137" i="21"/>
  <c r="G132" i="21"/>
  <c r="G136" i="21"/>
  <c r="G93" i="21"/>
  <c r="G129" i="21"/>
  <c r="G100" i="21"/>
  <c r="G104" i="21"/>
  <c r="G108" i="21"/>
  <c r="G112" i="21"/>
  <c r="G116" i="21"/>
  <c r="G120" i="21"/>
  <c r="G124" i="21"/>
  <c r="G128" i="21"/>
  <c r="G90" i="21"/>
  <c r="G113" i="21"/>
  <c r="G117" i="21"/>
  <c r="G121" i="21"/>
  <c r="G125" i="21"/>
  <c r="G133" i="21"/>
  <c r="G97" i="21"/>
  <c r="G101" i="21"/>
  <c r="G105" i="21"/>
  <c r="G109" i="21"/>
  <c r="G110" i="21"/>
  <c r="G122" i="21"/>
  <c r="G96" i="21"/>
  <c r="G118" i="21"/>
  <c r="G98" i="21"/>
  <c r="G114" i="21"/>
  <c r="G126" i="21"/>
  <c r="G102" i="21"/>
  <c r="G134" i="21"/>
  <c r="G91" i="21"/>
  <c r="G106" i="21"/>
  <c r="G130" i="21"/>
  <c r="D90" i="21"/>
  <c r="D97" i="21"/>
  <c r="D101" i="21"/>
  <c r="D105" i="21"/>
  <c r="D109" i="21"/>
  <c r="D113" i="21"/>
  <c r="D117" i="21"/>
  <c r="D121" i="21"/>
  <c r="D125" i="21"/>
  <c r="D129" i="21"/>
  <c r="D133" i="21"/>
  <c r="D137" i="21"/>
  <c r="D96" i="21"/>
  <c r="D98" i="21"/>
  <c r="D102" i="21"/>
  <c r="D106" i="21"/>
  <c r="D110" i="21"/>
  <c r="D114" i="21"/>
  <c r="D118" i="21"/>
  <c r="D122" i="21"/>
  <c r="D126" i="21"/>
  <c r="D130" i="21"/>
  <c r="D134" i="21"/>
  <c r="D91" i="21"/>
  <c r="D99" i="21"/>
  <c r="D103" i="21"/>
  <c r="D107" i="21"/>
  <c r="D111" i="21"/>
  <c r="D120" i="21"/>
  <c r="D131" i="21"/>
  <c r="D136" i="21"/>
  <c r="D104" i="21"/>
  <c r="D116" i="21"/>
  <c r="D127" i="21"/>
  <c r="D124" i="21"/>
  <c r="D135" i="21"/>
  <c r="D123" i="21"/>
  <c r="D108" i="21"/>
  <c r="D119" i="21"/>
  <c r="D93" i="21"/>
  <c r="D92" i="21"/>
  <c r="D115" i="21"/>
  <c r="D112" i="21"/>
  <c r="D132" i="21"/>
  <c r="D128" i="21"/>
  <c r="D100" i="21"/>
  <c r="I56" i="21"/>
  <c r="D55" i="21"/>
  <c r="G55" i="21"/>
  <c r="L66" i="21"/>
  <c r="K45" i="21"/>
  <c r="K97" i="21"/>
  <c r="K101" i="21"/>
  <c r="K105" i="21"/>
  <c r="K109" i="21"/>
  <c r="K113" i="21"/>
  <c r="K117" i="21"/>
  <c r="K121" i="21"/>
  <c r="K125" i="21"/>
  <c r="K129" i="21"/>
  <c r="K133" i="21"/>
  <c r="K137" i="21"/>
  <c r="K96" i="21"/>
  <c r="K130" i="21"/>
  <c r="K134" i="21"/>
  <c r="K91" i="21"/>
  <c r="K123" i="21"/>
  <c r="K131" i="21"/>
  <c r="K135" i="21"/>
  <c r="K92" i="21"/>
  <c r="K98" i="21"/>
  <c r="K102" i="21"/>
  <c r="K106" i="21"/>
  <c r="K110" i="21"/>
  <c r="K114" i="21"/>
  <c r="K118" i="21"/>
  <c r="K122" i="21"/>
  <c r="K126" i="21"/>
  <c r="K115" i="21"/>
  <c r="K99" i="21"/>
  <c r="K103" i="21"/>
  <c r="K107" i="21"/>
  <c r="K111" i="21"/>
  <c r="K119" i="21"/>
  <c r="K127" i="21"/>
  <c r="K100" i="21"/>
  <c r="K128" i="21"/>
  <c r="K136" i="21"/>
  <c r="K124" i="21"/>
  <c r="K104" i="21"/>
  <c r="K120" i="21"/>
  <c r="K90" i="21"/>
  <c r="K132" i="21"/>
  <c r="K116" i="21"/>
  <c r="K108" i="21"/>
  <c r="K112" i="21"/>
  <c r="K93" i="21"/>
  <c r="C97" i="21"/>
  <c r="C101" i="21"/>
  <c r="C105" i="21"/>
  <c r="C109" i="21"/>
  <c r="C113" i="21"/>
  <c r="C117" i="21"/>
  <c r="C121" i="21"/>
  <c r="C125" i="21"/>
  <c r="C129" i="21"/>
  <c r="C133" i="21"/>
  <c r="C137" i="21"/>
  <c r="C90" i="21"/>
  <c r="C134" i="21"/>
  <c r="C91" i="21"/>
  <c r="C127" i="21"/>
  <c r="C98" i="21"/>
  <c r="C102" i="21"/>
  <c r="C106" i="21"/>
  <c r="C110" i="21"/>
  <c r="C114" i="21"/>
  <c r="C118" i="21"/>
  <c r="C122" i="21"/>
  <c r="C126" i="21"/>
  <c r="C130" i="21"/>
  <c r="C131" i="21"/>
  <c r="C135" i="21"/>
  <c r="C92" i="21"/>
  <c r="C96" i="21"/>
  <c r="C111" i="21"/>
  <c r="C119" i="21"/>
  <c r="C123" i="21"/>
  <c r="C99" i="21"/>
  <c r="C103" i="21"/>
  <c r="C107" i="21"/>
  <c r="C115" i="21"/>
  <c r="C104" i="21"/>
  <c r="C116" i="21"/>
  <c r="C93" i="21"/>
  <c r="C132" i="21"/>
  <c r="C108" i="21"/>
  <c r="C136" i="21"/>
  <c r="C112" i="21"/>
  <c r="C128" i="21"/>
  <c r="C100" i="21"/>
  <c r="C124" i="21"/>
  <c r="C120" i="21"/>
  <c r="J96" i="21"/>
  <c r="J98" i="21"/>
  <c r="J102" i="21"/>
  <c r="J106" i="21"/>
  <c r="J110" i="21"/>
  <c r="J114" i="21"/>
  <c r="J118" i="21"/>
  <c r="J122" i="21"/>
  <c r="J126" i="21"/>
  <c r="J130" i="21"/>
  <c r="J134" i="21"/>
  <c r="J91" i="21"/>
  <c r="J99" i="21"/>
  <c r="J103" i="21"/>
  <c r="J107" i="21"/>
  <c r="J111" i="21"/>
  <c r="J115" i="21"/>
  <c r="J119" i="21"/>
  <c r="J123" i="21"/>
  <c r="J127" i="21"/>
  <c r="J131" i="21"/>
  <c r="J135" i="21"/>
  <c r="J92" i="21"/>
  <c r="J100" i="21"/>
  <c r="J104" i="21"/>
  <c r="J108" i="21"/>
  <c r="J112" i="21"/>
  <c r="J124" i="21"/>
  <c r="J90" i="21"/>
  <c r="J117" i="21"/>
  <c r="J97" i="21"/>
  <c r="J113" i="21"/>
  <c r="J120" i="21"/>
  <c r="J116" i="21"/>
  <c r="J137" i="21"/>
  <c r="J129" i="21"/>
  <c r="J101" i="21"/>
  <c r="J133" i="21"/>
  <c r="J109" i="21"/>
  <c r="J105" i="21"/>
  <c r="J125" i="21"/>
  <c r="J136" i="21"/>
  <c r="J93" i="21"/>
  <c r="J121" i="21"/>
  <c r="J132" i="21"/>
  <c r="J128" i="21"/>
  <c r="L63" i="21"/>
  <c r="L90" i="21"/>
  <c r="L97" i="21"/>
  <c r="L101" i="21"/>
  <c r="L105" i="21"/>
  <c r="L109" i="21"/>
  <c r="L113" i="21"/>
  <c r="L117" i="21"/>
  <c r="L121" i="21"/>
  <c r="L125" i="21"/>
  <c r="L129" i="21"/>
  <c r="L133" i="21"/>
  <c r="L137" i="21"/>
  <c r="L96" i="21"/>
  <c r="L98" i="21"/>
  <c r="L102" i="21"/>
  <c r="L106" i="21"/>
  <c r="L110" i="21"/>
  <c r="L114" i="21"/>
  <c r="L118" i="21"/>
  <c r="L122" i="21"/>
  <c r="L126" i="21"/>
  <c r="L130" i="21"/>
  <c r="L134" i="21"/>
  <c r="L91" i="21"/>
  <c r="L99" i="21"/>
  <c r="L103" i="21"/>
  <c r="L107" i="21"/>
  <c r="L111" i="21"/>
  <c r="L132" i="21"/>
  <c r="L128" i="21"/>
  <c r="L100" i="21"/>
  <c r="L124" i="21"/>
  <c r="L135" i="21"/>
  <c r="L92" i="21"/>
  <c r="L112" i="21"/>
  <c r="L104" i="21"/>
  <c r="L120" i="21"/>
  <c r="L131" i="21"/>
  <c r="L127" i="21"/>
  <c r="L116" i="21"/>
  <c r="L93" i="21"/>
  <c r="L108" i="21"/>
  <c r="L123" i="21"/>
  <c r="L119" i="21"/>
  <c r="L115" i="21"/>
  <c r="L136" i="21"/>
  <c r="H99" i="21"/>
  <c r="H103" i="21"/>
  <c r="H107" i="21"/>
  <c r="H111" i="21"/>
  <c r="H115" i="21"/>
  <c r="H119" i="21"/>
  <c r="H123" i="21"/>
  <c r="H127" i="21"/>
  <c r="H131" i="21"/>
  <c r="H135" i="21"/>
  <c r="H92" i="21"/>
  <c r="H90" i="21"/>
  <c r="H100" i="21"/>
  <c r="H104" i="21"/>
  <c r="H108" i="21"/>
  <c r="H112" i="21"/>
  <c r="H116" i="21"/>
  <c r="H120" i="21"/>
  <c r="H124" i="21"/>
  <c r="H128" i="21"/>
  <c r="H132" i="21"/>
  <c r="H136" i="21"/>
  <c r="H93" i="21"/>
  <c r="H97" i="21"/>
  <c r="H101" i="21"/>
  <c r="H105" i="21"/>
  <c r="H109" i="21"/>
  <c r="H113" i="21"/>
  <c r="H126" i="21"/>
  <c r="H137" i="21"/>
  <c r="H133" i="21"/>
  <c r="H130" i="21"/>
  <c r="H110" i="21"/>
  <c r="H122" i="21"/>
  <c r="H91" i="21"/>
  <c r="H106" i="21"/>
  <c r="H118" i="21"/>
  <c r="H129" i="21"/>
  <c r="H98" i="21"/>
  <c r="H114" i="21"/>
  <c r="H125" i="21"/>
  <c r="H96" i="21"/>
  <c r="H121" i="21"/>
  <c r="H102" i="21"/>
  <c r="H117" i="21"/>
  <c r="H134" i="21"/>
  <c r="F100" i="21"/>
  <c r="F104" i="21"/>
  <c r="F108" i="21"/>
  <c r="F112" i="21"/>
  <c r="F116" i="21"/>
  <c r="F120" i="21"/>
  <c r="F124" i="21"/>
  <c r="F128" i="21"/>
  <c r="F132" i="21"/>
  <c r="F136" i="21"/>
  <c r="F93" i="21"/>
  <c r="F90" i="21"/>
  <c r="F96" i="21"/>
  <c r="F97" i="21"/>
  <c r="F101" i="21"/>
  <c r="F105" i="21"/>
  <c r="F109" i="21"/>
  <c r="F113" i="21"/>
  <c r="F117" i="21"/>
  <c r="F121" i="21"/>
  <c r="F125" i="21"/>
  <c r="F129" i="21"/>
  <c r="F133" i="21"/>
  <c r="F137" i="21"/>
  <c r="F98" i="21"/>
  <c r="F102" i="21"/>
  <c r="F106" i="21"/>
  <c r="F110" i="21"/>
  <c r="F114" i="21"/>
  <c r="F118" i="21"/>
  <c r="F135" i="21"/>
  <c r="F92" i="21"/>
  <c r="F107" i="21"/>
  <c r="F91" i="21"/>
  <c r="F131" i="21"/>
  <c r="F111" i="21"/>
  <c r="F127" i="21"/>
  <c r="F123" i="21"/>
  <c r="F134" i="21"/>
  <c r="F103" i="21"/>
  <c r="F122" i="21"/>
  <c r="F99" i="21"/>
  <c r="F119" i="21"/>
  <c r="F130" i="21"/>
  <c r="F115" i="21"/>
  <c r="F126" i="21"/>
  <c r="K61" i="21"/>
  <c r="K69" i="21"/>
  <c r="K50" i="21"/>
  <c r="K62" i="21"/>
  <c r="K42" i="21"/>
  <c r="H63" i="21"/>
  <c r="H60" i="21"/>
  <c r="H66" i="21"/>
  <c r="H67" i="21"/>
  <c r="H69" i="21"/>
  <c r="H47" i="21"/>
  <c r="H46" i="21"/>
  <c r="H61" i="21"/>
  <c r="H50" i="21"/>
  <c r="H62" i="21"/>
  <c r="H68" i="21"/>
  <c r="H42" i="21"/>
  <c r="H45" i="21"/>
  <c r="F69" i="21"/>
  <c r="F67" i="21"/>
  <c r="F63" i="21"/>
  <c r="F50" i="21"/>
  <c r="F61" i="21"/>
  <c r="F45" i="21"/>
  <c r="F47" i="21"/>
  <c r="F62" i="21"/>
  <c r="F46" i="21"/>
  <c r="F66" i="21"/>
  <c r="F60" i="21"/>
  <c r="F68" i="21"/>
  <c r="F42" i="21"/>
  <c r="E55" i="21"/>
  <c r="D57" i="21"/>
  <c r="I54" i="21"/>
  <c r="G57" i="21"/>
  <c r="L46" i="21"/>
  <c r="L60" i="21"/>
  <c r="K60" i="21"/>
  <c r="I67" i="21"/>
  <c r="I69" i="21"/>
  <c r="I63" i="21"/>
  <c r="I62" i="21"/>
  <c r="I50" i="21"/>
  <c r="I46" i="21"/>
  <c r="I47" i="21"/>
  <c r="I60" i="21"/>
  <c r="I61" i="21"/>
  <c r="I45" i="21"/>
  <c r="I68" i="21"/>
  <c r="I42" i="21"/>
  <c r="I66" i="21"/>
  <c r="E67" i="21"/>
  <c r="E63" i="21"/>
  <c r="E45" i="21"/>
  <c r="E42" i="21"/>
  <c r="E62" i="21"/>
  <c r="E61" i="21"/>
  <c r="E69" i="21"/>
  <c r="E50" i="21"/>
  <c r="E47" i="21"/>
  <c r="E66" i="21"/>
  <c r="E68" i="21"/>
  <c r="E60" i="21"/>
  <c r="E46" i="21"/>
  <c r="G63" i="21"/>
  <c r="G61" i="21"/>
  <c r="G68" i="21"/>
  <c r="G60" i="21"/>
  <c r="G42" i="21"/>
  <c r="G66" i="21"/>
  <c r="G46" i="21"/>
  <c r="G62" i="21"/>
  <c r="G50" i="21"/>
  <c r="G67" i="21"/>
  <c r="G69" i="21"/>
  <c r="G45" i="21"/>
  <c r="G47" i="21"/>
  <c r="D61" i="21"/>
  <c r="D63" i="21"/>
  <c r="D45" i="21"/>
  <c r="D60" i="21"/>
  <c r="D47" i="21"/>
  <c r="D62" i="21"/>
  <c r="D68" i="21"/>
  <c r="D50" i="21"/>
  <c r="D46" i="21"/>
  <c r="D69" i="21"/>
  <c r="D66" i="21"/>
  <c r="D67" i="21"/>
  <c r="D42" i="21"/>
  <c r="G54" i="21"/>
  <c r="F56" i="21"/>
  <c r="D54" i="21"/>
  <c r="L62" i="21"/>
  <c r="C69" i="21"/>
  <c r="C68" i="21"/>
  <c r="C66" i="21"/>
  <c r="C45" i="21"/>
  <c r="C50" i="21"/>
  <c r="C63" i="21"/>
  <c r="C46" i="21"/>
  <c r="C61" i="21"/>
  <c r="C47" i="21"/>
  <c r="C60" i="21"/>
  <c r="C67" i="21"/>
  <c r="C42" i="21"/>
  <c r="C62" i="21"/>
  <c r="J68" i="21"/>
  <c r="J69" i="21"/>
  <c r="J66" i="21"/>
  <c r="J60" i="21"/>
  <c r="J42" i="21"/>
  <c r="J47" i="21"/>
  <c r="J63" i="21"/>
  <c r="J67" i="21"/>
  <c r="J46" i="21"/>
  <c r="J50" i="21"/>
  <c r="J61" i="21"/>
  <c r="J45" i="21"/>
  <c r="J62" i="21"/>
  <c r="K68" i="21"/>
  <c r="K67" i="21"/>
  <c r="F55" i="21"/>
  <c r="E57" i="21"/>
  <c r="I55" i="21"/>
  <c r="L54" i="21"/>
  <c r="L67" i="21"/>
  <c r="K66" i="21"/>
  <c r="R70" i="22"/>
  <c r="T70" i="22"/>
  <c r="W76" i="22"/>
  <c r="Q70" i="22"/>
  <c r="P70" i="22"/>
  <c r="S70" i="22"/>
  <c r="U70" i="22"/>
  <c r="O70" i="22"/>
  <c r="W70" i="22"/>
  <c r="N70" i="22"/>
  <c r="V70" i="22"/>
  <c r="D54" i="19"/>
  <c r="M23" i="21"/>
  <c r="M24" i="21"/>
  <c r="M22" i="21"/>
  <c r="S53" i="22"/>
  <c r="O53" i="22"/>
  <c r="Q53" i="22"/>
  <c r="U53" i="22"/>
  <c r="N53" i="22"/>
  <c r="T53" i="22"/>
  <c r="W53" i="22"/>
  <c r="V53" i="22"/>
  <c r="P53" i="22"/>
  <c r="R53" i="22"/>
  <c r="U35" i="22"/>
  <c r="W47" i="22"/>
  <c r="N35" i="22"/>
  <c r="R35" i="22"/>
  <c r="S35" i="22"/>
  <c r="O35" i="22"/>
  <c r="W35" i="22"/>
  <c r="Q35" i="22"/>
  <c r="T35" i="22"/>
  <c r="V35" i="22"/>
  <c r="W26" i="22"/>
  <c r="W41" i="22"/>
  <c r="P35" i="22"/>
  <c r="AO506" i="8"/>
  <c r="AR506" i="8" s="1"/>
  <c r="AM506" i="8"/>
  <c r="AP506" i="8" s="1"/>
  <c r="AN506" i="8"/>
  <c r="AQ506" i="8" s="1"/>
  <c r="AM507" i="8"/>
  <c r="AP507" i="8" s="1"/>
  <c r="AN507" i="8"/>
  <c r="AQ507" i="8" s="1"/>
  <c r="AO507" i="8"/>
  <c r="AR507" i="8" s="1"/>
  <c r="AM278" i="8"/>
  <c r="AP278" i="8" s="1"/>
  <c r="AN278" i="8"/>
  <c r="AQ278" i="8" s="1"/>
  <c r="AO278" i="8"/>
  <c r="AR278" i="8" s="1"/>
  <c r="AM160" i="8"/>
  <c r="AP160" i="8" s="1"/>
  <c r="AN160" i="8"/>
  <c r="AQ160" i="8" s="1"/>
  <c r="AO160" i="8"/>
  <c r="AR160" i="8" s="1"/>
  <c r="AO312" i="8"/>
  <c r="AR312" i="8" s="1"/>
  <c r="AM312" i="8"/>
  <c r="AP312" i="8" s="1"/>
  <c r="AN312" i="8"/>
  <c r="AQ312" i="8" s="1"/>
  <c r="AO116" i="8"/>
  <c r="AR116" i="8" s="1"/>
  <c r="AM116" i="8"/>
  <c r="AP116" i="8" s="1"/>
  <c r="AN116" i="8"/>
  <c r="AQ116" i="8" s="1"/>
  <c r="AO95" i="8"/>
  <c r="AR95" i="8" s="1"/>
  <c r="AN95" i="8"/>
  <c r="AQ95" i="8" s="1"/>
  <c r="AM95" i="8"/>
  <c r="AP95" i="8" s="1"/>
  <c r="AM576" i="8"/>
  <c r="AP576" i="8" s="1"/>
  <c r="AO576" i="8"/>
  <c r="AR576" i="8" s="1"/>
  <c r="AN576" i="8"/>
  <c r="AQ576" i="8" s="1"/>
  <c r="AN535" i="8"/>
  <c r="AQ535" i="8" s="1"/>
  <c r="AM535" i="8"/>
  <c r="AP535" i="8" s="1"/>
  <c r="AO535" i="8"/>
  <c r="AR535" i="8" s="1"/>
  <c r="AN508" i="8"/>
  <c r="AQ508" i="8" s="1"/>
  <c r="AM508" i="8"/>
  <c r="AP508" i="8" s="1"/>
  <c r="AO508" i="8"/>
  <c r="AR508" i="8" s="1"/>
  <c r="AO541" i="8"/>
  <c r="AR541" i="8" s="1"/>
  <c r="AN541" i="8"/>
  <c r="AQ541" i="8" s="1"/>
  <c r="AM541" i="8"/>
  <c r="AP541" i="8" s="1"/>
  <c r="AM324" i="8"/>
  <c r="AP324" i="8" s="1"/>
  <c r="AN324" i="8"/>
  <c r="AQ324" i="8" s="1"/>
  <c r="AO324" i="8"/>
  <c r="AR324" i="8" s="1"/>
  <c r="AN244" i="8"/>
  <c r="AQ244" i="8" s="1"/>
  <c r="AM244" i="8"/>
  <c r="AP244" i="8" s="1"/>
  <c r="AO244" i="8"/>
  <c r="AR244" i="8" s="1"/>
  <c r="AO543" i="8"/>
  <c r="AR543" i="8" s="1"/>
  <c r="AM543" i="8"/>
  <c r="AP543" i="8" s="1"/>
  <c r="AN543" i="8"/>
  <c r="AQ543" i="8" s="1"/>
  <c r="AN200" i="8"/>
  <c r="AQ200" i="8" s="1"/>
  <c r="AO200" i="8"/>
  <c r="AR200" i="8" s="1"/>
  <c r="AM200" i="8"/>
  <c r="AP200" i="8" s="1"/>
  <c r="AM451" i="8"/>
  <c r="AP451" i="8" s="1"/>
  <c r="AO451" i="8"/>
  <c r="AR451" i="8" s="1"/>
  <c r="AN451" i="8"/>
  <c r="AQ451" i="8" s="1"/>
  <c r="AN337" i="8"/>
  <c r="AQ337" i="8" s="1"/>
  <c r="AM337" i="8"/>
  <c r="AP337" i="8" s="1"/>
  <c r="AO337" i="8"/>
  <c r="AR337" i="8" s="1"/>
  <c r="AO350" i="8"/>
  <c r="AR350" i="8" s="1"/>
  <c r="AN350" i="8"/>
  <c r="AQ350" i="8" s="1"/>
  <c r="AM350" i="8"/>
  <c r="AP350" i="8" s="1"/>
  <c r="AN542" i="8"/>
  <c r="AQ542" i="8" s="1"/>
  <c r="AM542" i="8"/>
  <c r="AP542" i="8" s="1"/>
  <c r="AO542" i="8"/>
  <c r="AR542" i="8" s="1"/>
  <c r="AM236" i="8"/>
  <c r="AP236" i="8" s="1"/>
  <c r="AN236" i="8"/>
  <c r="AQ236" i="8" s="1"/>
  <c r="AO236" i="8"/>
  <c r="AR236" i="8" s="1"/>
  <c r="AM274" i="8"/>
  <c r="AP274" i="8" s="1"/>
  <c r="AN274" i="8"/>
  <c r="AQ274" i="8" s="1"/>
  <c r="AO274" i="8"/>
  <c r="AR274" i="8" s="1"/>
  <c r="AO537" i="8"/>
  <c r="AR537" i="8" s="1"/>
  <c r="AN537" i="8"/>
  <c r="AQ537" i="8" s="1"/>
  <c r="AM537" i="8"/>
  <c r="AP537" i="8" s="1"/>
  <c r="AN530" i="8"/>
  <c r="AQ530" i="8" s="1"/>
  <c r="AM530" i="8"/>
  <c r="AP530" i="8" s="1"/>
  <c r="AO530" i="8"/>
  <c r="AR530" i="8" s="1"/>
  <c r="AN88" i="8"/>
  <c r="AQ88" i="8" s="1"/>
  <c r="AM88" i="8"/>
  <c r="AP88" i="8" s="1"/>
  <c r="AO88" i="8"/>
  <c r="AR88" i="8" s="1"/>
  <c r="AO536" i="8"/>
  <c r="AR536" i="8" s="1"/>
  <c r="AM536" i="8"/>
  <c r="AP536" i="8" s="1"/>
  <c r="AN536" i="8"/>
  <c r="AQ536" i="8" s="1"/>
  <c r="AM240" i="8"/>
  <c r="AP240" i="8" s="1"/>
  <c r="AO240" i="8"/>
  <c r="AR240" i="8" s="1"/>
  <c r="AN240" i="8"/>
  <c r="AQ240" i="8" s="1"/>
  <c r="AM435" i="8"/>
  <c r="AP435" i="8" s="1"/>
  <c r="AO435" i="8"/>
  <c r="AR435" i="8" s="1"/>
  <c r="AN435" i="8"/>
  <c r="AQ435" i="8" s="1"/>
  <c r="AN131" i="8"/>
  <c r="AQ131" i="8" s="1"/>
  <c r="AM131" i="8"/>
  <c r="AP131" i="8" s="1"/>
  <c r="AO131" i="8"/>
  <c r="AR131" i="8" s="1"/>
  <c r="D55" i="19"/>
  <c r="D56" i="19"/>
  <c r="G658" i="21" l="1"/>
  <c r="K656" i="21"/>
  <c r="K658" i="21"/>
  <c r="K660" i="21"/>
  <c r="L657" i="21"/>
  <c r="G656" i="21"/>
  <c r="D657" i="21"/>
  <c r="D658" i="21"/>
  <c r="L658" i="21"/>
  <c r="C656" i="21"/>
  <c r="L656" i="21"/>
  <c r="C658" i="21"/>
  <c r="D656" i="21"/>
  <c r="G657" i="21"/>
  <c r="C657" i="21"/>
  <c r="M297" i="21"/>
  <c r="E657" i="21"/>
  <c r="D660" i="21"/>
  <c r="C660" i="21"/>
  <c r="G660" i="21"/>
  <c r="K657" i="21"/>
  <c r="I657" i="21"/>
  <c r="J660" i="21"/>
  <c r="L660" i="21"/>
  <c r="M507" i="21"/>
  <c r="M76" i="21"/>
  <c r="H660" i="21"/>
  <c r="G443" i="21"/>
  <c r="F657" i="21"/>
  <c r="F658" i="21"/>
  <c r="F656" i="21"/>
  <c r="H656" i="21"/>
  <c r="F660" i="21"/>
  <c r="H657" i="21"/>
  <c r="H658" i="21"/>
  <c r="D716" i="21"/>
  <c r="M78" i="21"/>
  <c r="E233" i="21"/>
  <c r="G233" i="21"/>
  <c r="M83" i="21"/>
  <c r="I716" i="21"/>
  <c r="M81" i="21"/>
  <c r="M86" i="21"/>
  <c r="H233" i="21"/>
  <c r="J443" i="21"/>
  <c r="J439" i="21"/>
  <c r="K716" i="21"/>
  <c r="F716" i="21"/>
  <c r="L443" i="21"/>
  <c r="I443" i="21"/>
  <c r="D712" i="21"/>
  <c r="F714" i="21"/>
  <c r="F713" i="21"/>
  <c r="E716" i="21"/>
  <c r="C439" i="21"/>
  <c r="I440" i="21"/>
  <c r="I441" i="21"/>
  <c r="J712" i="21"/>
  <c r="E712" i="21"/>
  <c r="G712" i="21"/>
  <c r="H713" i="21"/>
  <c r="H714" i="21"/>
  <c r="G441" i="21"/>
  <c r="G440" i="21"/>
  <c r="F439" i="21"/>
  <c r="H439" i="21"/>
  <c r="L439" i="21"/>
  <c r="F443" i="21"/>
  <c r="J440" i="21"/>
  <c r="J441" i="21"/>
  <c r="K443" i="21"/>
  <c r="L440" i="21"/>
  <c r="L441" i="21"/>
  <c r="C716" i="21"/>
  <c r="G716" i="21"/>
  <c r="K712" i="21"/>
  <c r="E439" i="21"/>
  <c r="G439" i="21"/>
  <c r="D439" i="21"/>
  <c r="L712" i="21"/>
  <c r="L716" i="21"/>
  <c r="L714" i="21"/>
  <c r="L713" i="21"/>
  <c r="D714" i="21"/>
  <c r="D713" i="21"/>
  <c r="E229" i="21"/>
  <c r="G229" i="21"/>
  <c r="D229" i="21"/>
  <c r="D441" i="21"/>
  <c r="D440" i="21"/>
  <c r="D443" i="21"/>
  <c r="F441" i="21"/>
  <c r="F440" i="21"/>
  <c r="C713" i="21"/>
  <c r="C714" i="21"/>
  <c r="K714" i="21"/>
  <c r="K713" i="21"/>
  <c r="E443" i="21"/>
  <c r="E441" i="21"/>
  <c r="E440" i="21"/>
  <c r="H716" i="21"/>
  <c r="H712" i="21"/>
  <c r="G714" i="21"/>
  <c r="G713" i="21"/>
  <c r="I713" i="21"/>
  <c r="I714" i="21"/>
  <c r="E713" i="21"/>
  <c r="E714" i="21"/>
  <c r="F712" i="21"/>
  <c r="K440" i="21"/>
  <c r="K441" i="21"/>
  <c r="H440" i="21"/>
  <c r="H441" i="21"/>
  <c r="I439" i="21"/>
  <c r="C440" i="21"/>
  <c r="C441" i="21"/>
  <c r="J716" i="21"/>
  <c r="C712" i="21"/>
  <c r="I712" i="21"/>
  <c r="J713" i="21"/>
  <c r="J714" i="21"/>
  <c r="K439" i="21"/>
  <c r="C443" i="21"/>
  <c r="H443" i="21"/>
  <c r="K231" i="21"/>
  <c r="K230" i="21"/>
  <c r="H230" i="21"/>
  <c r="H231" i="21"/>
  <c r="I229" i="21"/>
  <c r="C230" i="21"/>
  <c r="C231" i="21"/>
  <c r="M75" i="21"/>
  <c r="K229" i="21"/>
  <c r="M79" i="21"/>
  <c r="C233" i="21"/>
  <c r="I231" i="21"/>
  <c r="I230" i="21"/>
  <c r="L231" i="21"/>
  <c r="L230" i="21"/>
  <c r="J233" i="21"/>
  <c r="J229" i="21"/>
  <c r="I233" i="21"/>
  <c r="M84" i="21"/>
  <c r="C229" i="21"/>
  <c r="G230" i="21"/>
  <c r="G231" i="21"/>
  <c r="F229" i="21"/>
  <c r="H229" i="21"/>
  <c r="L229" i="21"/>
  <c r="F233" i="21"/>
  <c r="J231" i="21"/>
  <c r="J230" i="21"/>
  <c r="K233" i="21"/>
  <c r="D231" i="21"/>
  <c r="D230" i="21"/>
  <c r="D233" i="21"/>
  <c r="F231" i="21"/>
  <c r="F230" i="21"/>
  <c r="M74" i="21"/>
  <c r="L233" i="21"/>
  <c r="M72" i="21"/>
  <c r="C232" i="21"/>
  <c r="M85" i="21"/>
  <c r="M73" i="21"/>
  <c r="E231" i="21"/>
  <c r="E230" i="21"/>
  <c r="M82" i="21"/>
  <c r="M77" i="21"/>
  <c r="M80" i="21"/>
  <c r="S428" i="21"/>
  <c r="S435" i="21"/>
  <c r="S421" i="21"/>
  <c r="Q421" i="21"/>
  <c r="Q428" i="21"/>
  <c r="Q435" i="21"/>
  <c r="H514" i="21"/>
  <c r="K48" i="21"/>
  <c r="D478" i="21"/>
  <c r="G514" i="21"/>
  <c r="C514" i="21"/>
  <c r="M357" i="21"/>
  <c r="K58" i="21"/>
  <c r="M150" i="21"/>
  <c r="E88" i="21"/>
  <c r="C58" i="21"/>
  <c r="M556" i="21"/>
  <c r="M524" i="21"/>
  <c r="M501" i="21"/>
  <c r="K514" i="21"/>
  <c r="D514" i="21"/>
  <c r="M162" i="21"/>
  <c r="M165" i="21"/>
  <c r="D173" i="21"/>
  <c r="E383" i="21"/>
  <c r="M353" i="21"/>
  <c r="K383" i="21"/>
  <c r="E514" i="21"/>
  <c r="J514" i="21"/>
  <c r="I514" i="21"/>
  <c r="M351" i="21"/>
  <c r="M354" i="21"/>
  <c r="J383" i="21"/>
  <c r="L383" i="21"/>
  <c r="M376" i="21"/>
  <c r="M372" i="21"/>
  <c r="M377" i="21"/>
  <c r="F383" i="21"/>
  <c r="M367" i="21"/>
  <c r="M373" i="21"/>
  <c r="M375" i="21"/>
  <c r="M370" i="21"/>
  <c r="M149" i="21"/>
  <c r="M368" i="21"/>
  <c r="D383" i="21"/>
  <c r="M363" i="21"/>
  <c r="M374" i="21"/>
  <c r="M369" i="21"/>
  <c r="M364" i="21"/>
  <c r="M371" i="21"/>
  <c r="H383" i="21"/>
  <c r="M378" i="21"/>
  <c r="M359" i="21"/>
  <c r="M365" i="21"/>
  <c r="I383" i="21"/>
  <c r="M360" i="21"/>
  <c r="G383" i="21"/>
  <c r="M358" i="21"/>
  <c r="M355" i="21"/>
  <c r="M366" i="21"/>
  <c r="C383" i="21"/>
  <c r="M361" i="21"/>
  <c r="M356" i="21"/>
  <c r="M362" i="21"/>
  <c r="M352" i="21"/>
  <c r="M158" i="21"/>
  <c r="M160" i="21"/>
  <c r="M163" i="21"/>
  <c r="M161" i="21"/>
  <c r="M143" i="21"/>
  <c r="M546" i="21"/>
  <c r="M157" i="21"/>
  <c r="C173" i="21"/>
  <c r="M156" i="21"/>
  <c r="M159" i="21"/>
  <c r="M513" i="21"/>
  <c r="M511" i="21"/>
  <c r="M153" i="21"/>
  <c r="M154" i="21"/>
  <c r="M168" i="21"/>
  <c r="M152" i="21"/>
  <c r="M155" i="21"/>
  <c r="K173" i="21"/>
  <c r="M164" i="21"/>
  <c r="G173" i="21"/>
  <c r="M148" i="21"/>
  <c r="L173" i="21"/>
  <c r="M534" i="21"/>
  <c r="J173" i="21"/>
  <c r="M145" i="21"/>
  <c r="M146" i="21"/>
  <c r="M144" i="21"/>
  <c r="M167" i="21"/>
  <c r="H173" i="21"/>
  <c r="M147" i="21"/>
  <c r="L58" i="21"/>
  <c r="M532" i="21"/>
  <c r="M141" i="21"/>
  <c r="M142" i="21"/>
  <c r="I173" i="21"/>
  <c r="M166" i="21"/>
  <c r="E173" i="21"/>
  <c r="M500" i="21"/>
  <c r="M517" i="21"/>
  <c r="M494" i="21"/>
  <c r="M516" i="21"/>
  <c r="H88" i="21"/>
  <c r="I88" i="21"/>
  <c r="H58" i="21"/>
  <c r="F88" i="21"/>
  <c r="J58" i="21"/>
  <c r="L88" i="21"/>
  <c r="F514" i="21"/>
  <c r="M151" i="21"/>
  <c r="F173" i="21"/>
  <c r="G478" i="21"/>
  <c r="M499" i="21"/>
  <c r="M548" i="21"/>
  <c r="M475" i="21"/>
  <c r="C88" i="21"/>
  <c r="M542" i="21"/>
  <c r="M529" i="21"/>
  <c r="G88" i="21"/>
  <c r="M483" i="21"/>
  <c r="M525" i="21"/>
  <c r="M540" i="21"/>
  <c r="M555" i="21"/>
  <c r="M523" i="21"/>
  <c r="M521" i="21"/>
  <c r="M551" i="21"/>
  <c r="M530" i="21"/>
  <c r="M549" i="21"/>
  <c r="M470" i="21"/>
  <c r="M547" i="21"/>
  <c r="I478" i="21"/>
  <c r="L48" i="21"/>
  <c r="M545" i="21"/>
  <c r="M466" i="21"/>
  <c r="M512" i="21"/>
  <c r="M543" i="21"/>
  <c r="K304" i="21"/>
  <c r="D88" i="21"/>
  <c r="K88" i="21"/>
  <c r="J88" i="21"/>
  <c r="G58" i="21"/>
  <c r="G484" i="21"/>
  <c r="F484" i="21"/>
  <c r="F478" i="21"/>
  <c r="G490" i="21"/>
  <c r="I490" i="21"/>
  <c r="K484" i="21"/>
  <c r="D484" i="21"/>
  <c r="C468" i="21"/>
  <c r="M585" i="21"/>
  <c r="I484" i="21"/>
  <c r="G468" i="21"/>
  <c r="I468" i="21"/>
  <c r="M572" i="21"/>
  <c r="M579" i="21"/>
  <c r="M496" i="21"/>
  <c r="M526" i="21"/>
  <c r="M505" i="21"/>
  <c r="J258" i="21"/>
  <c r="F280" i="21"/>
  <c r="J594" i="21"/>
  <c r="D490" i="21"/>
  <c r="M588" i="21"/>
  <c r="M581" i="21"/>
  <c r="M568" i="21"/>
  <c r="I558" i="21"/>
  <c r="C558" i="21"/>
  <c r="F490" i="21"/>
  <c r="M56" i="21"/>
  <c r="M465" i="21"/>
  <c r="M554" i="21"/>
  <c r="M522" i="21"/>
  <c r="M503" i="21"/>
  <c r="M541" i="21"/>
  <c r="M539" i="21"/>
  <c r="K478" i="21"/>
  <c r="J558" i="21"/>
  <c r="D558" i="21"/>
  <c r="J490" i="21"/>
  <c r="E594" i="21"/>
  <c r="M584" i="21"/>
  <c r="M577" i="21"/>
  <c r="M564" i="21"/>
  <c r="M586" i="21"/>
  <c r="M474" i="21"/>
  <c r="M550" i="21"/>
  <c r="M518" i="21"/>
  <c r="M537" i="21"/>
  <c r="M482" i="21"/>
  <c r="M552" i="21"/>
  <c r="M520" i="21"/>
  <c r="M497" i="21"/>
  <c r="M535" i="21"/>
  <c r="M332" i="21"/>
  <c r="I268" i="21"/>
  <c r="K468" i="21"/>
  <c r="K594" i="21"/>
  <c r="C490" i="21"/>
  <c r="M573" i="21"/>
  <c r="M575" i="21"/>
  <c r="M582" i="21"/>
  <c r="H490" i="21"/>
  <c r="F594" i="21"/>
  <c r="M480" i="21"/>
  <c r="M495" i="21"/>
  <c r="M533" i="21"/>
  <c r="M493" i="21"/>
  <c r="M531" i="21"/>
  <c r="E484" i="21"/>
  <c r="F558" i="21"/>
  <c r="L594" i="21"/>
  <c r="M587" i="21"/>
  <c r="M569" i="21"/>
  <c r="M571" i="21"/>
  <c r="M578" i="21"/>
  <c r="E558" i="21"/>
  <c r="M486" i="21"/>
  <c r="M477" i="21"/>
  <c r="M544" i="21"/>
  <c r="M527" i="21"/>
  <c r="M267" i="21"/>
  <c r="J468" i="21"/>
  <c r="H558" i="21"/>
  <c r="C594" i="21"/>
  <c r="M562" i="21"/>
  <c r="M565" i="21"/>
  <c r="M567" i="21"/>
  <c r="M574" i="21"/>
  <c r="H468" i="21"/>
  <c r="H594" i="21"/>
  <c r="F468" i="21"/>
  <c r="M492" i="21"/>
  <c r="M538" i="21"/>
  <c r="M557" i="21"/>
  <c r="M502" i="21"/>
  <c r="M487" i="21"/>
  <c r="M273" i="21"/>
  <c r="K558" i="21"/>
  <c r="J484" i="21"/>
  <c r="I594" i="21"/>
  <c r="E490" i="21"/>
  <c r="G558" i="21"/>
  <c r="K490" i="21"/>
  <c r="G594" i="21"/>
  <c r="D594" i="21"/>
  <c r="C484" i="21"/>
  <c r="M580" i="21"/>
  <c r="M563" i="21"/>
  <c r="M570" i="21"/>
  <c r="M111" i="21"/>
  <c r="M504" i="21"/>
  <c r="M489" i="21"/>
  <c r="M553" i="21"/>
  <c r="M498" i="21"/>
  <c r="M536" i="21"/>
  <c r="M462" i="21"/>
  <c r="M519" i="21"/>
  <c r="M286" i="21"/>
  <c r="E468" i="21"/>
  <c r="D468" i="21"/>
  <c r="M589" i="21"/>
  <c r="M583" i="21"/>
  <c r="M576" i="21"/>
  <c r="M566" i="21"/>
  <c r="H484" i="21"/>
  <c r="K298" i="21"/>
  <c r="I274" i="21"/>
  <c r="J298" i="21"/>
  <c r="H280" i="21"/>
  <c r="E274" i="21"/>
  <c r="C280" i="21"/>
  <c r="C268" i="21"/>
  <c r="J508" i="21"/>
  <c r="D508" i="21"/>
  <c r="H478" i="21"/>
  <c r="I508" i="21"/>
  <c r="J478" i="21"/>
  <c r="G508" i="21"/>
  <c r="H258" i="21"/>
  <c r="H508" i="21"/>
  <c r="F508" i="21"/>
  <c r="E508" i="21"/>
  <c r="M122" i="21"/>
  <c r="C508" i="21"/>
  <c r="C478" i="21"/>
  <c r="K508" i="21"/>
  <c r="E478" i="21"/>
  <c r="M105" i="21"/>
  <c r="M133" i="21"/>
  <c r="M123" i="21"/>
  <c r="J138" i="21"/>
  <c r="M104" i="21"/>
  <c r="M112" i="21"/>
  <c r="M108" i="21"/>
  <c r="M114" i="21"/>
  <c r="M97" i="21"/>
  <c r="F138" i="21"/>
  <c r="M135" i="21"/>
  <c r="M99" i="21"/>
  <c r="M110" i="21"/>
  <c r="M125" i="21"/>
  <c r="K138" i="21"/>
  <c r="G138" i="21"/>
  <c r="M137" i="21"/>
  <c r="M129" i="21"/>
  <c r="H138" i="21"/>
  <c r="M116" i="21"/>
  <c r="M124" i="21"/>
  <c r="M106" i="21"/>
  <c r="M121" i="21"/>
  <c r="E138" i="21"/>
  <c r="M339" i="21"/>
  <c r="M307" i="21"/>
  <c r="M342" i="21"/>
  <c r="M345" i="21"/>
  <c r="M313" i="21"/>
  <c r="M316" i="21"/>
  <c r="G348" i="21"/>
  <c r="I138" i="21"/>
  <c r="M118" i="21"/>
  <c r="M103" i="21"/>
  <c r="M127" i="21"/>
  <c r="M100" i="21"/>
  <c r="M134" i="21"/>
  <c r="M102" i="21"/>
  <c r="M117" i="21"/>
  <c r="C138" i="21"/>
  <c r="D138" i="21"/>
  <c r="M338" i="21"/>
  <c r="M344" i="21"/>
  <c r="M119" i="21"/>
  <c r="M107" i="21"/>
  <c r="M101" i="21"/>
  <c r="M136" i="21"/>
  <c r="M131" i="21"/>
  <c r="M128" i="21"/>
  <c r="M130" i="21"/>
  <c r="M98" i="21"/>
  <c r="M113" i="21"/>
  <c r="M115" i="21"/>
  <c r="M120" i="21"/>
  <c r="M132" i="21"/>
  <c r="M126" i="21"/>
  <c r="M109" i="21"/>
  <c r="M327" i="21"/>
  <c r="M333" i="21"/>
  <c r="M336" i="21"/>
  <c r="F94" i="21"/>
  <c r="M335" i="21"/>
  <c r="M272" i="21"/>
  <c r="M309" i="21"/>
  <c r="F268" i="21"/>
  <c r="F304" i="21"/>
  <c r="C298" i="21"/>
  <c r="M293" i="21"/>
  <c r="M331" i="21"/>
  <c r="M264" i="21"/>
  <c r="M279" i="21"/>
  <c r="M334" i="21"/>
  <c r="M296" i="21"/>
  <c r="M278" i="21"/>
  <c r="M337" i="21"/>
  <c r="M340" i="21"/>
  <c r="M308" i="21"/>
  <c r="D280" i="21"/>
  <c r="G304" i="21"/>
  <c r="J304" i="21"/>
  <c r="H268" i="21"/>
  <c r="H348" i="21"/>
  <c r="E268" i="21"/>
  <c r="C274" i="21"/>
  <c r="C348" i="21"/>
  <c r="H298" i="21"/>
  <c r="M312" i="21"/>
  <c r="I280" i="21"/>
  <c r="M330" i="21"/>
  <c r="M265" i="21"/>
  <c r="K348" i="21"/>
  <c r="H304" i="21"/>
  <c r="E298" i="21"/>
  <c r="E280" i="21"/>
  <c r="F258" i="21"/>
  <c r="F298" i="21"/>
  <c r="D298" i="21"/>
  <c r="I348" i="21"/>
  <c r="M289" i="21"/>
  <c r="M326" i="21"/>
  <c r="K268" i="21"/>
  <c r="G268" i="21"/>
  <c r="G274" i="21"/>
  <c r="G280" i="21"/>
  <c r="I258" i="21"/>
  <c r="I304" i="21"/>
  <c r="J280" i="21"/>
  <c r="E348" i="21"/>
  <c r="F348" i="21"/>
  <c r="C258" i="21"/>
  <c r="M288" i="21"/>
  <c r="M291" i="21"/>
  <c r="M271" i="21"/>
  <c r="M282" i="21"/>
  <c r="M325" i="21"/>
  <c r="M260" i="21"/>
  <c r="I298" i="21"/>
  <c r="E304" i="21"/>
  <c r="J274" i="21"/>
  <c r="M341" i="21"/>
  <c r="M292" i="21"/>
  <c r="M295" i="21"/>
  <c r="M323" i="21"/>
  <c r="M322" i="21"/>
  <c r="M287" i="21"/>
  <c r="M277" i="21"/>
  <c r="D304" i="21"/>
  <c r="K280" i="21"/>
  <c r="M315" i="21"/>
  <c r="M302" i="21"/>
  <c r="M283" i="21"/>
  <c r="M324" i="21"/>
  <c r="D348" i="21"/>
  <c r="K274" i="21"/>
  <c r="H274" i="21"/>
  <c r="F274" i="21"/>
  <c r="C304" i="21"/>
  <c r="M329" i="21"/>
  <c r="M252" i="21"/>
  <c r="M319" i="21"/>
  <c r="M284" i="21"/>
  <c r="M328" i="21"/>
  <c r="M347" i="21"/>
  <c r="M318" i="21"/>
  <c r="M321" i="21"/>
  <c r="M294" i="21"/>
  <c r="M300" i="21"/>
  <c r="D258" i="21"/>
  <c r="D274" i="21"/>
  <c r="M343" i="21"/>
  <c r="M311" i="21"/>
  <c r="M257" i="21"/>
  <c r="M346" i="21"/>
  <c r="M314" i="21"/>
  <c r="M256" i="21"/>
  <c r="M301" i="21"/>
  <c r="M317" i="21"/>
  <c r="M290" i="21"/>
  <c r="M320" i="21"/>
  <c r="M306" i="21"/>
  <c r="D268" i="21"/>
  <c r="K258" i="21"/>
  <c r="G258" i="21"/>
  <c r="G298" i="21"/>
  <c r="J268" i="21"/>
  <c r="J348" i="21"/>
  <c r="E258" i="21"/>
  <c r="L348" i="21"/>
  <c r="M310" i="21"/>
  <c r="L258" i="21"/>
  <c r="M255" i="21"/>
  <c r="L268" i="21"/>
  <c r="M266" i="21"/>
  <c r="L514" i="21"/>
  <c r="M510" i="21"/>
  <c r="L490" i="21"/>
  <c r="M488" i="21"/>
  <c r="L478" i="21"/>
  <c r="M476" i="21"/>
  <c r="M96" i="21"/>
  <c r="L138" i="21"/>
  <c r="L508" i="21"/>
  <c r="M506" i="21"/>
  <c r="L274" i="21"/>
  <c r="M270" i="21"/>
  <c r="L484" i="21"/>
  <c r="M481" i="21"/>
  <c r="L298" i="21"/>
  <c r="M285" i="21"/>
  <c r="L280" i="21"/>
  <c r="M276" i="21"/>
  <c r="L304" i="21"/>
  <c r="M303" i="21"/>
  <c r="L468" i="21"/>
  <c r="M467" i="21"/>
  <c r="L558" i="21"/>
  <c r="M528" i="21"/>
  <c r="M90" i="21"/>
  <c r="C94" i="21"/>
  <c r="J94" i="21"/>
  <c r="M92" i="21"/>
  <c r="K94" i="21"/>
  <c r="G94" i="21"/>
  <c r="I94" i="21"/>
  <c r="D94" i="21"/>
  <c r="H94" i="21"/>
  <c r="E94" i="21"/>
  <c r="L94" i="21"/>
  <c r="M93" i="21"/>
  <c r="M91" i="21"/>
  <c r="K64" i="21"/>
  <c r="J48" i="21"/>
  <c r="M47" i="21"/>
  <c r="L64" i="21"/>
  <c r="M50" i="21"/>
  <c r="M42" i="21"/>
  <c r="H48" i="21"/>
  <c r="F48" i="21"/>
  <c r="M63" i="21"/>
  <c r="G48" i="21"/>
  <c r="G64" i="21"/>
  <c r="M66" i="21"/>
  <c r="F58" i="21"/>
  <c r="M68" i="21"/>
  <c r="H70" i="21"/>
  <c r="F70" i="21"/>
  <c r="M67" i="21"/>
  <c r="J64" i="21"/>
  <c r="M69" i="21"/>
  <c r="M61" i="21"/>
  <c r="G70" i="21"/>
  <c r="I64" i="21"/>
  <c r="M57" i="21"/>
  <c r="E58" i="21"/>
  <c r="I58" i="21"/>
  <c r="M54" i="21"/>
  <c r="M55" i="21"/>
  <c r="D70" i="21"/>
  <c r="D48" i="21"/>
  <c r="I48" i="21"/>
  <c r="M46" i="21"/>
  <c r="D58" i="21"/>
  <c r="J70" i="21"/>
  <c r="M62" i="21"/>
  <c r="E64" i="21"/>
  <c r="E48" i="21"/>
  <c r="E70" i="21"/>
  <c r="L70" i="21"/>
  <c r="M45" i="21"/>
  <c r="H64" i="21"/>
  <c r="M60" i="21"/>
  <c r="C70" i="21"/>
  <c r="C48" i="21"/>
  <c r="I70" i="21"/>
  <c r="K70" i="21"/>
  <c r="C64" i="21"/>
  <c r="D64" i="21"/>
  <c r="F64" i="21"/>
  <c r="C382" i="11"/>
  <c r="AD382" i="11"/>
  <c r="AK382" i="11" s="1"/>
  <c r="C57" i="11"/>
  <c r="AD57" i="11"/>
  <c r="AK57" i="11" s="1"/>
  <c r="Q12" i="8"/>
  <c r="AT95" i="8"/>
  <c r="C381" i="11"/>
  <c r="C62" i="11"/>
  <c r="C247" i="11"/>
  <c r="C264" i="11"/>
  <c r="C262" i="11"/>
  <c r="C85" i="11"/>
  <c r="C8" i="11"/>
  <c r="C91" i="11"/>
  <c r="C123" i="11"/>
  <c r="C155" i="11"/>
  <c r="C22" i="11"/>
  <c r="C164" i="11"/>
  <c r="C186" i="11"/>
  <c r="C28" i="11"/>
  <c r="C201" i="11"/>
  <c r="C202" i="11"/>
  <c r="C208" i="11"/>
  <c r="C225" i="11"/>
  <c r="C38" i="11"/>
  <c r="C251" i="11"/>
  <c r="C253" i="11"/>
  <c r="C273" i="11"/>
  <c r="C277" i="11"/>
  <c r="C44" i="11"/>
  <c r="C292" i="11"/>
  <c r="C50" i="11"/>
  <c r="C326" i="11"/>
  <c r="C333" i="11"/>
  <c r="C342" i="11"/>
  <c r="C351" i="11"/>
  <c r="C355" i="11"/>
  <c r="C404" i="11"/>
  <c r="C417" i="11"/>
  <c r="C78" i="11"/>
  <c r="C443" i="11"/>
  <c r="C446" i="11"/>
  <c r="C112" i="11"/>
  <c r="C324" i="11"/>
  <c r="C307" i="11"/>
  <c r="C194" i="11"/>
  <c r="C366" i="11"/>
  <c r="C178" i="11"/>
  <c r="C388" i="11"/>
  <c r="C447" i="11"/>
  <c r="C368" i="11"/>
  <c r="C139" i="11"/>
  <c r="C391" i="11"/>
  <c r="C408" i="11"/>
  <c r="C364" i="11"/>
  <c r="C329" i="11"/>
  <c r="C140" i="11"/>
  <c r="C187" i="11"/>
  <c r="C266" i="11"/>
  <c r="C64" i="11"/>
  <c r="C442" i="11"/>
  <c r="C405" i="11"/>
  <c r="C403" i="11"/>
  <c r="C268" i="11"/>
  <c r="C270" i="11"/>
  <c r="C331" i="11"/>
  <c r="C136" i="11"/>
  <c r="C214" i="11"/>
  <c r="C287" i="11"/>
  <c r="C343" i="11"/>
  <c r="C158" i="11"/>
  <c r="C439" i="11"/>
  <c r="C238" i="11"/>
  <c r="C319" i="11"/>
  <c r="C400" i="11"/>
  <c r="C383" i="11"/>
  <c r="C47" i="11"/>
  <c r="C260" i="11"/>
  <c r="C395" i="11"/>
  <c r="C26" i="11"/>
  <c r="C77" i="11"/>
  <c r="C14" i="11"/>
  <c r="C233" i="11"/>
  <c r="C332" i="11"/>
  <c r="C279" i="11"/>
  <c r="C314" i="11"/>
  <c r="C209" i="11"/>
  <c r="C17" i="11"/>
  <c r="C434" i="11"/>
  <c r="C90" i="11"/>
  <c r="C99" i="11"/>
  <c r="C369" i="11"/>
  <c r="C40" i="11"/>
  <c r="C330" i="11"/>
  <c r="C68" i="11"/>
  <c r="C327" i="11"/>
  <c r="C375" i="11"/>
  <c r="C240" i="11"/>
  <c r="C175" i="11"/>
  <c r="C39" i="11"/>
  <c r="C328" i="11"/>
  <c r="C189" i="11"/>
  <c r="C160" i="11"/>
  <c r="C31" i="11"/>
  <c r="C242" i="11"/>
  <c r="C19" i="11"/>
  <c r="C207" i="11"/>
  <c r="C289" i="11"/>
  <c r="C185" i="11"/>
  <c r="C318" i="11"/>
  <c r="C437" i="11"/>
  <c r="C309" i="11"/>
  <c r="C84" i="11"/>
  <c r="C462" i="11"/>
  <c r="C250" i="11"/>
  <c r="C166" i="11"/>
  <c r="C457" i="11"/>
  <c r="C467" i="11"/>
  <c r="C275" i="11"/>
  <c r="C162" i="11"/>
  <c r="C456" i="11"/>
  <c r="C358" i="11"/>
  <c r="C56" i="11"/>
  <c r="C438" i="11"/>
  <c r="C37" i="11"/>
  <c r="C204" i="11"/>
  <c r="C398" i="11"/>
  <c r="C102" i="11"/>
  <c r="C58" i="11"/>
  <c r="C161" i="11"/>
  <c r="C454" i="11"/>
  <c r="C411" i="11"/>
  <c r="C464" i="11"/>
  <c r="C451" i="11"/>
  <c r="C465" i="11"/>
  <c r="C320" i="11"/>
  <c r="C290" i="11"/>
  <c r="C371" i="11"/>
  <c r="C346" i="11"/>
  <c r="C433" i="11"/>
  <c r="C83" i="11"/>
  <c r="C315" i="11"/>
  <c r="C181" i="11"/>
  <c r="C129" i="11"/>
  <c r="C349" i="11"/>
  <c r="C121" i="11"/>
  <c r="C458" i="11"/>
  <c r="C254" i="11"/>
  <c r="C407" i="11"/>
  <c r="C376" i="11"/>
  <c r="C105" i="11"/>
  <c r="C402" i="11"/>
  <c r="C380" i="11"/>
  <c r="C429" i="11"/>
  <c r="C311" i="11"/>
  <c r="C138" i="11"/>
  <c r="C401" i="11"/>
  <c r="C353" i="11"/>
  <c r="C301" i="11"/>
  <c r="C146" i="11"/>
  <c r="C45" i="11"/>
  <c r="C97" i="11"/>
  <c r="C410" i="11"/>
  <c r="C163" i="11"/>
  <c r="C413" i="11"/>
  <c r="C89" i="11"/>
  <c r="C361" i="11"/>
  <c r="C230" i="11"/>
  <c r="C449" i="11"/>
  <c r="C316" i="11"/>
  <c r="C213" i="11"/>
  <c r="C42" i="11"/>
  <c r="C74" i="11"/>
  <c r="C141" i="11"/>
  <c r="C33" i="11"/>
  <c r="C459" i="11"/>
  <c r="C106" i="11"/>
  <c r="C29" i="11"/>
  <c r="C237" i="11"/>
  <c r="C46" i="11"/>
  <c r="C339" i="11"/>
  <c r="C344" i="11"/>
  <c r="C357" i="11"/>
  <c r="C65" i="11"/>
  <c r="C71" i="11"/>
  <c r="C416" i="11"/>
  <c r="C450" i="11"/>
  <c r="C406" i="11"/>
  <c r="C67" i="11"/>
  <c r="C220" i="11"/>
  <c r="C63" i="11"/>
  <c r="C246" i="11"/>
  <c r="C153" i="11"/>
  <c r="C203" i="11"/>
  <c r="C258" i="11"/>
  <c r="C468" i="11"/>
  <c r="C192" i="11"/>
  <c r="C10" i="11"/>
  <c r="C195" i="11"/>
  <c r="C88" i="11"/>
  <c r="C340" i="11"/>
  <c r="C122" i="11"/>
  <c r="C13" i="11"/>
  <c r="C82" i="11"/>
  <c r="C52" i="11"/>
  <c r="C12" i="11"/>
  <c r="C179" i="11"/>
  <c r="C218" i="11"/>
  <c r="C296" i="11"/>
  <c r="C32" i="11"/>
  <c r="C322" i="11"/>
  <c r="C100" i="11"/>
  <c r="C55" i="11"/>
  <c r="C25" i="11"/>
  <c r="C54" i="11"/>
  <c r="C135" i="11"/>
  <c r="C466" i="11"/>
  <c r="C365" i="11"/>
  <c r="C205" i="11"/>
  <c r="C134" i="11"/>
  <c r="C30" i="11"/>
  <c r="C150" i="11"/>
  <c r="C236" i="11"/>
  <c r="C176" i="11"/>
  <c r="C415" i="11"/>
  <c r="C11" i="11"/>
  <c r="C168" i="11"/>
  <c r="C304" i="11"/>
  <c r="C199" i="11"/>
  <c r="C288" i="11"/>
  <c r="C239" i="11"/>
  <c r="C261" i="11"/>
  <c r="C51" i="11"/>
  <c r="C281" i="11"/>
  <c r="C159" i="11"/>
  <c r="C35" i="11"/>
  <c r="C291" i="11"/>
  <c r="C212" i="11"/>
  <c r="C323" i="11"/>
  <c r="C124" i="11"/>
  <c r="C75" i="11"/>
  <c r="C310" i="11"/>
  <c r="C426" i="11"/>
  <c r="C294" i="11"/>
  <c r="C427" i="11"/>
  <c r="C422" i="11"/>
  <c r="C73" i="11"/>
  <c r="C27" i="11"/>
  <c r="C76" i="11"/>
  <c r="C182" i="11"/>
  <c r="C378" i="11"/>
  <c r="C215" i="11"/>
  <c r="C41" i="11"/>
  <c r="C206" i="11"/>
  <c r="C131" i="11"/>
  <c r="C152" i="11"/>
  <c r="C224" i="11"/>
  <c r="C297" i="11"/>
  <c r="C148" i="11"/>
  <c r="C219" i="11"/>
  <c r="C7" i="11"/>
  <c r="C110" i="11"/>
  <c r="C16" i="11"/>
  <c r="C313" i="11"/>
  <c r="C372" i="11"/>
  <c r="C96" i="11"/>
  <c r="C69" i="11"/>
  <c r="C223" i="11"/>
  <c r="C312" i="11"/>
  <c r="C113" i="11"/>
  <c r="C49" i="11"/>
  <c r="C265" i="11"/>
  <c r="C173" i="11"/>
  <c r="C127" i="11"/>
  <c r="C373" i="11"/>
  <c r="C157" i="11"/>
  <c r="C421" i="11"/>
  <c r="C397" i="11"/>
  <c r="C269" i="11"/>
  <c r="C428" i="11"/>
  <c r="C120" i="11"/>
  <c r="C169" i="11"/>
  <c r="C436" i="11"/>
  <c r="C221" i="11"/>
  <c r="C107" i="11"/>
  <c r="C394" i="11"/>
  <c r="C414" i="11"/>
  <c r="C243" i="11"/>
  <c r="C387" i="11"/>
  <c r="C390" i="11"/>
  <c r="C177" i="11"/>
  <c r="C283" i="11"/>
  <c r="C460" i="11"/>
  <c r="C59" i="11"/>
  <c r="C249" i="11"/>
  <c r="C137" i="11"/>
  <c r="C470" i="11"/>
  <c r="C325" i="11"/>
  <c r="C431" i="11"/>
  <c r="C217" i="11"/>
  <c r="C354" i="11"/>
  <c r="C306" i="11"/>
  <c r="C338" i="11"/>
  <c r="C278" i="11"/>
  <c r="C43" i="11"/>
  <c r="C441" i="11"/>
  <c r="C70" i="11"/>
  <c r="C66" i="11"/>
  <c r="C267" i="11"/>
  <c r="C222" i="11"/>
  <c r="C377" i="11"/>
  <c r="C15" i="11"/>
  <c r="C305" i="11"/>
  <c r="C200" i="11"/>
  <c r="C101" i="11"/>
  <c r="C198" i="11"/>
  <c r="C244" i="11"/>
  <c r="C227" i="11"/>
  <c r="C424" i="11"/>
  <c r="C299" i="11"/>
  <c r="C300" i="11"/>
  <c r="C9" i="11"/>
  <c r="C396" i="11"/>
  <c r="C256" i="11"/>
  <c r="C317" i="11"/>
  <c r="C93" i="11"/>
  <c r="C386" i="11"/>
  <c r="C409" i="11"/>
  <c r="C235" i="11"/>
  <c r="C356" i="11"/>
  <c r="C259" i="11"/>
  <c r="C461" i="11"/>
  <c r="C95" i="11"/>
  <c r="C425" i="11"/>
  <c r="C72" i="11"/>
  <c r="C293" i="11"/>
  <c r="C86" i="11"/>
  <c r="C190" i="11"/>
  <c r="C103" i="11"/>
  <c r="C149" i="11"/>
  <c r="C48" i="11"/>
  <c r="C335" i="11"/>
  <c r="C432" i="11"/>
  <c r="C151" i="11"/>
  <c r="C298" i="11"/>
  <c r="C180" i="11"/>
  <c r="C18" i="11"/>
  <c r="C360" i="11"/>
  <c r="C226" i="11"/>
  <c r="C334" i="11"/>
  <c r="C370" i="11"/>
  <c r="C170" i="11"/>
  <c r="C188" i="11"/>
  <c r="C165" i="11"/>
  <c r="C147" i="11"/>
  <c r="C60" i="11"/>
  <c r="C81" i="11"/>
  <c r="C455" i="11"/>
  <c r="C154" i="11"/>
  <c r="C184" i="11"/>
  <c r="C419" i="11"/>
  <c r="C211" i="11"/>
  <c r="C142" i="11"/>
  <c r="C193" i="11"/>
  <c r="C280" i="11"/>
  <c r="C282" i="11"/>
  <c r="C34" i="11"/>
  <c r="C255" i="11"/>
  <c r="C145" i="11"/>
  <c r="C274" i="11"/>
  <c r="C295" i="11"/>
  <c r="C284" i="11"/>
  <c r="C379" i="11"/>
  <c r="C116" i="11"/>
  <c r="C286" i="11"/>
  <c r="C336" i="11"/>
  <c r="C430" i="11"/>
  <c r="C385" i="11"/>
  <c r="C114" i="11"/>
  <c r="C111" i="11"/>
  <c r="C98" i="11"/>
  <c r="C171" i="11"/>
  <c r="C61" i="11"/>
  <c r="C174" i="11"/>
  <c r="C420" i="11"/>
  <c r="C285" i="11"/>
  <c r="C348" i="11"/>
  <c r="C463" i="11"/>
  <c r="C167" i="11"/>
  <c r="C183" i="11"/>
  <c r="C435" i="11"/>
  <c r="C445" i="11"/>
  <c r="C271" i="11"/>
  <c r="C128" i="11"/>
  <c r="C452" i="11"/>
  <c r="C272" i="11"/>
  <c r="C125" i="11"/>
  <c r="C423" i="11"/>
  <c r="C92" i="11"/>
  <c r="C341" i="11"/>
  <c r="C350" i="11"/>
  <c r="C232" i="11"/>
  <c r="C109" i="11"/>
  <c r="C172" i="11"/>
  <c r="C115" i="11"/>
  <c r="C469" i="11"/>
  <c r="C252" i="11"/>
  <c r="C347" i="11"/>
  <c r="C384" i="11"/>
  <c r="C389" i="11"/>
  <c r="C210" i="11"/>
  <c r="C53" i="11"/>
  <c r="C453" i="11"/>
  <c r="C228" i="11"/>
  <c r="C392" i="11"/>
  <c r="C418" i="11"/>
  <c r="C448" i="11"/>
  <c r="C234" i="11"/>
  <c r="C36" i="11"/>
  <c r="C118" i="11"/>
  <c r="C276" i="11"/>
  <c r="C374" i="11"/>
  <c r="C367" i="11"/>
  <c r="C197" i="11"/>
  <c r="C216" i="11"/>
  <c r="C352" i="11"/>
  <c r="C143" i="11"/>
  <c r="C79" i="11"/>
  <c r="C363" i="11"/>
  <c r="C302" i="11"/>
  <c r="C245" i="11"/>
  <c r="C399" i="11"/>
  <c r="C132" i="11"/>
  <c r="C412" i="11"/>
  <c r="C362" i="11"/>
  <c r="C345" i="11"/>
  <c r="C104" i="11"/>
  <c r="C241" i="11"/>
  <c r="C87" i="11"/>
  <c r="C229" i="11"/>
  <c r="C126" i="11"/>
  <c r="C191" i="11"/>
  <c r="C257" i="11"/>
  <c r="C359" i="11"/>
  <c r="C21" i="11"/>
  <c r="C80" i="11"/>
  <c r="C156" i="11"/>
  <c r="C23" i="11"/>
  <c r="C196" i="11"/>
  <c r="C321" i="11"/>
  <c r="C117" i="11"/>
  <c r="C20" i="11"/>
  <c r="C133" i="11"/>
  <c r="C94" i="11"/>
  <c r="C303" i="11"/>
  <c r="C144" i="11"/>
  <c r="C393" i="11"/>
  <c r="C130" i="11"/>
  <c r="C337" i="11"/>
  <c r="C231" i="11"/>
  <c r="C24" i="11"/>
  <c r="C119" i="11"/>
  <c r="C444" i="11"/>
  <c r="C263" i="11"/>
  <c r="C308" i="11"/>
  <c r="C440" i="11"/>
  <c r="C108" i="11"/>
  <c r="C248" i="11"/>
  <c r="AE575" i="8"/>
  <c r="R575" i="8" s="1"/>
  <c r="AE571" i="8"/>
  <c r="R571" i="8" s="1"/>
  <c r="AE570" i="8"/>
  <c r="R570" i="8" s="1"/>
  <c r="AE562" i="8"/>
  <c r="R562" i="8" s="1"/>
  <c r="AE558" i="8"/>
  <c r="R558" i="8" s="1"/>
  <c r="AE557" i="8"/>
  <c r="R557" i="8" s="1"/>
  <c r="AE552" i="8"/>
  <c r="R552" i="8" s="1"/>
  <c r="AE551" i="8"/>
  <c r="R551" i="8" s="1"/>
  <c r="AE548" i="8"/>
  <c r="R548" i="8" s="1"/>
  <c r="AE546" i="8"/>
  <c r="R546" i="8" s="1"/>
  <c r="AE545" i="8"/>
  <c r="R545" i="8" s="1"/>
  <c r="AE544" i="8"/>
  <c r="R544" i="8" s="1"/>
  <c r="AE534" i="8"/>
  <c r="R534" i="8" s="1"/>
  <c r="AE529" i="8"/>
  <c r="R529" i="8" s="1"/>
  <c r="AE528" i="8"/>
  <c r="R528" i="8" s="1"/>
  <c r="AE526" i="8"/>
  <c r="R526" i="8" s="1"/>
  <c r="AE525" i="8"/>
  <c r="R525" i="8" s="1"/>
  <c r="AE512" i="8"/>
  <c r="R512" i="8" s="1"/>
  <c r="AE510" i="8"/>
  <c r="R510" i="8" s="1"/>
  <c r="AE505" i="8"/>
  <c r="R505" i="8" s="1"/>
  <c r="AE504" i="8"/>
  <c r="R504" i="8" s="1"/>
  <c r="AE503" i="8"/>
  <c r="R503" i="8" s="1"/>
  <c r="AE502" i="8"/>
  <c r="R502" i="8" s="1"/>
  <c r="AE501" i="8"/>
  <c r="R501" i="8" s="1"/>
  <c r="AE500" i="8"/>
  <c r="R500" i="8" s="1"/>
  <c r="AE499" i="8"/>
  <c r="R499" i="8" s="1"/>
  <c r="AE498" i="8"/>
  <c r="R498" i="8" s="1"/>
  <c r="AE496" i="8"/>
  <c r="R496" i="8" s="1"/>
  <c r="AE494" i="8"/>
  <c r="R494" i="8" s="1"/>
  <c r="AE492" i="8"/>
  <c r="R492" i="8" s="1"/>
  <c r="AE491" i="8"/>
  <c r="R491" i="8" s="1"/>
  <c r="AE490" i="8"/>
  <c r="R490" i="8" s="1"/>
  <c r="AE489" i="8"/>
  <c r="R489" i="8" s="1"/>
  <c r="AE488" i="8"/>
  <c r="R488" i="8" s="1"/>
  <c r="AE486" i="8"/>
  <c r="R486" i="8" s="1"/>
  <c r="AE484" i="8"/>
  <c r="R484" i="8" s="1"/>
  <c r="AE483" i="8"/>
  <c r="R483" i="8" s="1"/>
  <c r="AE481" i="8"/>
  <c r="R481" i="8" s="1"/>
  <c r="AE480" i="8"/>
  <c r="R480" i="8" s="1"/>
  <c r="AE476" i="8"/>
  <c r="R476" i="8" s="1"/>
  <c r="AE474" i="8"/>
  <c r="R474" i="8" s="1"/>
  <c r="AE473" i="8"/>
  <c r="R473" i="8" s="1"/>
  <c r="AE472" i="8"/>
  <c r="R472" i="8" s="1"/>
  <c r="AE464" i="8"/>
  <c r="R464" i="8" s="1"/>
  <c r="AE463" i="8"/>
  <c r="R463" i="8" s="1"/>
  <c r="AE461" i="8"/>
  <c r="R461" i="8" s="1"/>
  <c r="AE457" i="8"/>
  <c r="R457" i="8" s="1"/>
  <c r="AE456" i="8"/>
  <c r="R456" i="8" s="1"/>
  <c r="AE455" i="8"/>
  <c r="R455" i="8" s="1"/>
  <c r="AE454" i="8"/>
  <c r="R454" i="8" s="1"/>
  <c r="AE453" i="8"/>
  <c r="R453" i="8" s="1"/>
  <c r="AE449" i="8"/>
  <c r="R449" i="8" s="1"/>
  <c r="AE448" i="8"/>
  <c r="R448" i="8" s="1"/>
  <c r="AE447" i="8"/>
  <c r="R447" i="8" s="1"/>
  <c r="AE445" i="8"/>
  <c r="R445" i="8" s="1"/>
  <c r="AE443" i="8"/>
  <c r="R443" i="8" s="1"/>
  <c r="AE442" i="8"/>
  <c r="R442" i="8" s="1"/>
  <c r="AE439" i="8"/>
  <c r="R439" i="8" s="1"/>
  <c r="AE436" i="8"/>
  <c r="R436" i="8" s="1"/>
  <c r="AE434" i="8"/>
  <c r="R434" i="8" s="1"/>
  <c r="AE432" i="8"/>
  <c r="R432" i="8" s="1"/>
  <c r="AE431" i="8"/>
  <c r="R431" i="8" s="1"/>
  <c r="AE430" i="8"/>
  <c r="R430" i="8" s="1"/>
  <c r="AE426" i="8"/>
  <c r="R426" i="8" s="1"/>
  <c r="AE422" i="8"/>
  <c r="R422" i="8" s="1"/>
  <c r="AE419" i="8"/>
  <c r="R419" i="8" s="1"/>
  <c r="AE418" i="8"/>
  <c r="R418" i="8" s="1"/>
  <c r="AE413" i="8"/>
  <c r="R413" i="8" s="1"/>
  <c r="AE412" i="8"/>
  <c r="R412" i="8" s="1"/>
  <c r="AE409" i="8"/>
  <c r="R409" i="8" s="1"/>
  <c r="AE404" i="8"/>
  <c r="R404" i="8" s="1"/>
  <c r="AE403" i="8"/>
  <c r="R403" i="8" s="1"/>
  <c r="AE401" i="8"/>
  <c r="R401" i="8" s="1"/>
  <c r="AE400" i="8"/>
  <c r="R400" i="8" s="1"/>
  <c r="AE396" i="8"/>
  <c r="R396" i="8" s="1"/>
  <c r="AE389" i="8"/>
  <c r="R389" i="8" s="1"/>
  <c r="AE388" i="8"/>
  <c r="R388" i="8" s="1"/>
  <c r="AE386" i="8"/>
  <c r="R386" i="8" s="1"/>
  <c r="AE381" i="8"/>
  <c r="R381" i="8" s="1"/>
  <c r="AE379" i="8"/>
  <c r="R379" i="8" s="1"/>
  <c r="AE373" i="8"/>
  <c r="R373" i="8" s="1"/>
  <c r="AE371" i="8"/>
  <c r="R371" i="8" s="1"/>
  <c r="AE368" i="8"/>
  <c r="R368" i="8" s="1"/>
  <c r="AE361" i="8"/>
  <c r="R361" i="8" s="1"/>
  <c r="AE357" i="8"/>
  <c r="R357" i="8" s="1"/>
  <c r="AE353" i="8"/>
  <c r="R353" i="8" s="1"/>
  <c r="AE352" i="8"/>
  <c r="R352" i="8" s="1"/>
  <c r="AE349" i="8"/>
  <c r="R349" i="8" s="1"/>
  <c r="AE345" i="8"/>
  <c r="R345" i="8" s="1"/>
  <c r="AE342" i="8"/>
  <c r="R342" i="8" s="1"/>
  <c r="AE341" i="8"/>
  <c r="R341" i="8" s="1"/>
  <c r="AE340" i="8"/>
  <c r="R340" i="8" s="1"/>
  <c r="AE339" i="8"/>
  <c r="R339" i="8" s="1"/>
  <c r="AE338" i="8"/>
  <c r="R338" i="8" s="1"/>
  <c r="AE334" i="8"/>
  <c r="R334" i="8" s="1"/>
  <c r="AE329" i="8"/>
  <c r="R329" i="8" s="1"/>
  <c r="AE328" i="8"/>
  <c r="R328" i="8" s="1"/>
  <c r="AE325" i="8"/>
  <c r="R325" i="8" s="1"/>
  <c r="AE322" i="8"/>
  <c r="R322" i="8" s="1"/>
  <c r="AE318" i="8"/>
  <c r="R318" i="8" s="1"/>
  <c r="AE317" i="8"/>
  <c r="R317" i="8" s="1"/>
  <c r="AE316" i="8"/>
  <c r="R316" i="8" s="1"/>
  <c r="AE315" i="8"/>
  <c r="R315" i="8" s="1"/>
  <c r="AE313" i="8"/>
  <c r="R313" i="8" s="1"/>
  <c r="AE311" i="8"/>
  <c r="R311" i="8" s="1"/>
  <c r="AE310" i="8"/>
  <c r="R310" i="8" s="1"/>
  <c r="AE302" i="8"/>
  <c r="R302" i="8" s="1"/>
  <c r="AE290" i="8"/>
  <c r="R290" i="8" s="1"/>
  <c r="AE289" i="8"/>
  <c r="R289" i="8" s="1"/>
  <c r="AE288" i="8"/>
  <c r="R288" i="8" s="1"/>
  <c r="AE285" i="8"/>
  <c r="R285" i="8" s="1"/>
  <c r="AE284" i="8"/>
  <c r="R284" i="8" s="1"/>
  <c r="AE282" i="8"/>
  <c r="R282" i="8" s="1"/>
  <c r="AE281" i="8"/>
  <c r="R281" i="8" s="1"/>
  <c r="AE280" i="8"/>
  <c r="R280" i="8" s="1"/>
  <c r="AE275" i="8"/>
  <c r="R275" i="8" s="1"/>
  <c r="AE271" i="8"/>
  <c r="R271" i="8" s="1"/>
  <c r="AE269" i="8"/>
  <c r="R269" i="8" s="1"/>
  <c r="AE268" i="8"/>
  <c r="R268" i="8" s="1"/>
  <c r="AE267" i="8"/>
  <c r="R267" i="8" s="1"/>
  <c r="AE264" i="8"/>
  <c r="R264" i="8" s="1"/>
  <c r="AE263" i="8"/>
  <c r="R263" i="8" s="1"/>
  <c r="AE262" i="8"/>
  <c r="R262" i="8" s="1"/>
  <c r="AE258" i="8"/>
  <c r="R258" i="8" s="1"/>
  <c r="AE256" i="8"/>
  <c r="R256" i="8" s="1"/>
  <c r="AE254" i="8"/>
  <c r="R254" i="8" s="1"/>
  <c r="AE247" i="8"/>
  <c r="R247" i="8" s="1"/>
  <c r="AE245" i="8"/>
  <c r="R245" i="8" s="1"/>
  <c r="AE242" i="8"/>
  <c r="R242" i="8" s="1"/>
  <c r="AE238" i="8"/>
  <c r="R238" i="8" s="1"/>
  <c r="AE237" i="8"/>
  <c r="R237" i="8" s="1"/>
  <c r="AE230" i="8"/>
  <c r="R230" i="8" s="1"/>
  <c r="AE229" i="8"/>
  <c r="R229" i="8" s="1"/>
  <c r="AE225" i="8"/>
  <c r="R225" i="8" s="1"/>
  <c r="AE222" i="8"/>
  <c r="R222" i="8" s="1"/>
  <c r="AE221" i="8"/>
  <c r="R221" i="8" s="1"/>
  <c r="AE218" i="8"/>
  <c r="R218" i="8" s="1"/>
  <c r="AE217" i="8"/>
  <c r="R217" i="8" s="1"/>
  <c r="AE212" i="8"/>
  <c r="R212" i="8" s="1"/>
  <c r="AE211" i="8"/>
  <c r="R211" i="8" s="1"/>
  <c r="AE210" i="8"/>
  <c r="R210" i="8" s="1"/>
  <c r="AE208" i="8"/>
  <c r="R208" i="8" s="1"/>
  <c r="AE205" i="8"/>
  <c r="R205" i="8" s="1"/>
  <c r="AE203" i="8"/>
  <c r="R203" i="8" s="1"/>
  <c r="AE197" i="8"/>
  <c r="R197" i="8" s="1"/>
  <c r="AE189" i="8"/>
  <c r="R189" i="8" s="1"/>
  <c r="AE186" i="8"/>
  <c r="R186" i="8" s="1"/>
  <c r="AE185" i="8"/>
  <c r="R185" i="8" s="1"/>
  <c r="AE182" i="8"/>
  <c r="R182" i="8" s="1"/>
  <c r="AE181" i="8"/>
  <c r="R181" i="8" s="1"/>
  <c r="AE180" i="8"/>
  <c r="R180" i="8" s="1"/>
  <c r="AE175" i="8"/>
  <c r="R175" i="8" s="1"/>
  <c r="AE173" i="8"/>
  <c r="R173" i="8" s="1"/>
  <c r="AE172" i="8"/>
  <c r="R172" i="8" s="1"/>
  <c r="AE170" i="8"/>
  <c r="R170" i="8" s="1"/>
  <c r="AE167" i="8"/>
  <c r="R167" i="8" s="1"/>
  <c r="AE165" i="8"/>
  <c r="R165" i="8" s="1"/>
  <c r="AE162" i="8"/>
  <c r="R162" i="8" s="1"/>
  <c r="AE161" i="8"/>
  <c r="R161" i="8" s="1"/>
  <c r="AE159" i="8"/>
  <c r="R159" i="8" s="1"/>
  <c r="AE150" i="8"/>
  <c r="R150" i="8" s="1"/>
  <c r="AE149" i="8"/>
  <c r="R149" i="8" s="1"/>
  <c r="AE148" i="8"/>
  <c r="R148" i="8" s="1"/>
  <c r="AE147" i="8"/>
  <c r="R147" i="8" s="1"/>
  <c r="AE145" i="8"/>
  <c r="R145" i="8" s="1"/>
  <c r="AE141" i="8"/>
  <c r="R141" i="8" s="1"/>
  <c r="AE137" i="8"/>
  <c r="R137" i="8" s="1"/>
  <c r="AE136" i="8"/>
  <c r="R136" i="8" s="1"/>
  <c r="AE133" i="8"/>
  <c r="R133" i="8" s="1"/>
  <c r="AE132" i="8"/>
  <c r="R132" i="8" s="1"/>
  <c r="AE129" i="8"/>
  <c r="R129" i="8" s="1"/>
  <c r="AE126" i="8"/>
  <c r="R126" i="8" s="1"/>
  <c r="AE123" i="8"/>
  <c r="R123" i="8" s="1"/>
  <c r="AE121" i="8"/>
  <c r="R121" i="8" s="1"/>
  <c r="AE114" i="8"/>
  <c r="R114" i="8" s="1"/>
  <c r="AE110" i="8"/>
  <c r="R110" i="8" s="1"/>
  <c r="AE107" i="8"/>
  <c r="R107" i="8" s="1"/>
  <c r="AE106" i="8"/>
  <c r="R106" i="8" s="1"/>
  <c r="AE105" i="8"/>
  <c r="R105" i="8" s="1"/>
  <c r="AE104" i="8"/>
  <c r="R104" i="8" s="1"/>
  <c r="AE100" i="8"/>
  <c r="R100" i="8" s="1"/>
  <c r="AE99" i="8"/>
  <c r="R99" i="8" s="1"/>
  <c r="AE98" i="8"/>
  <c r="R98" i="8" s="1"/>
  <c r="AE91" i="8"/>
  <c r="R91" i="8" s="1"/>
  <c r="AE89" i="8"/>
  <c r="R89" i="8" s="1"/>
  <c r="AE80" i="8"/>
  <c r="R80" i="8" s="1"/>
  <c r="AE79" i="8"/>
  <c r="R79" i="8" s="1"/>
  <c r="AE74" i="8"/>
  <c r="R74" i="8" s="1"/>
  <c r="AE73" i="8"/>
  <c r="R73" i="8" s="1"/>
  <c r="AE71" i="8"/>
  <c r="R71" i="8" s="1"/>
  <c r="AE68" i="8"/>
  <c r="R68" i="8" s="1"/>
  <c r="AE67" i="8"/>
  <c r="R67" i="8" s="1"/>
  <c r="AE63" i="8"/>
  <c r="R63" i="8" s="1"/>
  <c r="AE58" i="8"/>
  <c r="R58" i="8" s="1"/>
  <c r="AE55" i="8"/>
  <c r="R55" i="8" s="1"/>
  <c r="AE52" i="8"/>
  <c r="R52" i="8" s="1"/>
  <c r="AE45" i="8"/>
  <c r="R45" i="8" s="1"/>
  <c r="AE39" i="8"/>
  <c r="R39" i="8" s="1"/>
  <c r="AE38" i="8"/>
  <c r="R38" i="8" s="1"/>
  <c r="AE33" i="8"/>
  <c r="R33" i="8" s="1"/>
  <c r="AE32" i="8"/>
  <c r="R32" i="8" s="1"/>
  <c r="AE31" i="8"/>
  <c r="R31" i="8" s="1"/>
  <c r="AE29" i="8"/>
  <c r="R29" i="8" s="1"/>
  <c r="AE18" i="8"/>
  <c r="R18" i="8" s="1"/>
  <c r="AE17" i="8"/>
  <c r="R17" i="8" s="1"/>
  <c r="AE16" i="8"/>
  <c r="R16" i="8" s="1"/>
  <c r="AE13" i="8"/>
  <c r="R13" i="8" s="1"/>
  <c r="R12" i="8"/>
  <c r="O310" i="21" l="1"/>
  <c r="O321" i="21"/>
  <c r="O306" i="21"/>
  <c r="O318" i="21"/>
  <c r="O341" i="21"/>
  <c r="O334" i="21"/>
  <c r="O309" i="21"/>
  <c r="O320" i="21"/>
  <c r="O311" i="21"/>
  <c r="O347" i="21"/>
  <c r="O312" i="21"/>
  <c r="O343" i="21"/>
  <c r="O328" i="21"/>
  <c r="O335" i="21"/>
  <c r="O316" i="21"/>
  <c r="O346" i="21"/>
  <c r="O330" i="21"/>
  <c r="O339" i="21"/>
  <c r="O317" i="21"/>
  <c r="O308" i="21"/>
  <c r="O331" i="21"/>
  <c r="O313" i="21"/>
  <c r="O319" i="21"/>
  <c r="O324" i="21"/>
  <c r="O322" i="21"/>
  <c r="O326" i="21"/>
  <c r="O340" i="21"/>
  <c r="O336" i="21"/>
  <c r="O345" i="21"/>
  <c r="O315" i="21"/>
  <c r="O323" i="21"/>
  <c r="O325" i="21"/>
  <c r="O337" i="21"/>
  <c r="O333" i="21"/>
  <c r="O344" i="21"/>
  <c r="O342" i="21"/>
  <c r="O332" i="21"/>
  <c r="O314" i="21"/>
  <c r="O329" i="21"/>
  <c r="O327" i="21"/>
  <c r="O338" i="21"/>
  <c r="O307" i="21"/>
  <c r="N352" i="21"/>
  <c r="N362" i="21"/>
  <c r="N360" i="21"/>
  <c r="N369" i="21"/>
  <c r="N373" i="21"/>
  <c r="N354" i="21"/>
  <c r="N364" i="21"/>
  <c r="N356" i="21"/>
  <c r="N374" i="21"/>
  <c r="N367" i="21"/>
  <c r="N351" i="21"/>
  <c r="N353" i="21"/>
  <c r="N361" i="21"/>
  <c r="N365" i="21"/>
  <c r="N363" i="21"/>
  <c r="N375" i="21"/>
  <c r="N359" i="21"/>
  <c r="N377" i="21"/>
  <c r="N366" i="21"/>
  <c r="N378" i="21"/>
  <c r="N368" i="21"/>
  <c r="N372" i="21"/>
  <c r="N355" i="21"/>
  <c r="N376" i="21"/>
  <c r="N358" i="21"/>
  <c r="N371" i="21"/>
  <c r="N370" i="21"/>
  <c r="N357" i="21"/>
  <c r="M514" i="21"/>
  <c r="M383" i="21"/>
  <c r="M88" i="21"/>
  <c r="M173" i="21"/>
  <c r="M490" i="21"/>
  <c r="M508" i="21"/>
  <c r="M468" i="21"/>
  <c r="M558" i="21"/>
  <c r="M484" i="21"/>
  <c r="M594" i="21"/>
  <c r="M478" i="21"/>
  <c r="M138" i="21"/>
  <c r="M304" i="21"/>
  <c r="M268" i="21"/>
  <c r="M258" i="21"/>
  <c r="M280" i="21"/>
  <c r="M274" i="21"/>
  <c r="M298" i="21"/>
  <c r="M348" i="21"/>
  <c r="M94" i="21"/>
  <c r="M48" i="21"/>
  <c r="M64" i="21"/>
  <c r="M58" i="21"/>
  <c r="M70" i="21"/>
  <c r="I21" i="22"/>
  <c r="T21" i="22" s="1"/>
  <c r="K20" i="22"/>
  <c r="V20" i="22" s="1"/>
  <c r="C20" i="22"/>
  <c r="N20" i="22" s="1"/>
  <c r="F19" i="22"/>
  <c r="Q19" i="22" s="1"/>
  <c r="G18" i="22"/>
  <c r="R18" i="22" s="1"/>
  <c r="H21" i="22"/>
  <c r="S21" i="22" s="1"/>
  <c r="J20" i="22"/>
  <c r="U20" i="22" s="1"/>
  <c r="E19" i="22"/>
  <c r="P19" i="22" s="1"/>
  <c r="F18" i="22"/>
  <c r="Q18" i="22" s="1"/>
  <c r="C19" i="22"/>
  <c r="N19" i="22" s="1"/>
  <c r="G21" i="22"/>
  <c r="R21" i="22" s="1"/>
  <c r="I20" i="22"/>
  <c r="T20" i="22" s="1"/>
  <c r="L19" i="22"/>
  <c r="W19" i="22" s="1"/>
  <c r="D19" i="22"/>
  <c r="O19" i="22" s="1"/>
  <c r="E18" i="22"/>
  <c r="P18" i="22" s="1"/>
  <c r="F21" i="22"/>
  <c r="Q21" i="22" s="1"/>
  <c r="H20" i="22"/>
  <c r="S20" i="22" s="1"/>
  <c r="K19" i="22"/>
  <c r="V19" i="22" s="1"/>
  <c r="L18" i="22"/>
  <c r="W18" i="22" s="1"/>
  <c r="D18" i="22"/>
  <c r="O18" i="22" s="1"/>
  <c r="C18" i="22"/>
  <c r="E21" i="22"/>
  <c r="P21" i="22" s="1"/>
  <c r="G20" i="22"/>
  <c r="R20" i="22" s="1"/>
  <c r="J19" i="22"/>
  <c r="U19" i="22" s="1"/>
  <c r="K18" i="22"/>
  <c r="V18" i="22" s="1"/>
  <c r="L21" i="22"/>
  <c r="W21" i="22" s="1"/>
  <c r="D21" i="22"/>
  <c r="O21" i="22" s="1"/>
  <c r="F20" i="22"/>
  <c r="Q20" i="22" s="1"/>
  <c r="I19" i="22"/>
  <c r="T19" i="22" s="1"/>
  <c r="J18" i="22"/>
  <c r="U18" i="22" s="1"/>
  <c r="K21" i="22"/>
  <c r="V21" i="22" s="1"/>
  <c r="C21" i="22"/>
  <c r="N21" i="22" s="1"/>
  <c r="E20" i="22"/>
  <c r="P20" i="22" s="1"/>
  <c r="H19" i="22"/>
  <c r="S19" i="22" s="1"/>
  <c r="I18" i="22"/>
  <c r="T18" i="22" s="1"/>
  <c r="J21" i="22"/>
  <c r="U21" i="22" s="1"/>
  <c r="L20" i="22"/>
  <c r="W20" i="22" s="1"/>
  <c r="D20" i="22"/>
  <c r="O20" i="22" s="1"/>
  <c r="G19" i="22"/>
  <c r="R19" i="22" s="1"/>
  <c r="H18" i="22"/>
  <c r="S18" i="22" s="1"/>
  <c r="AZ574" i="8"/>
  <c r="BD574" i="8" s="1"/>
  <c r="AW574" i="8"/>
  <c r="BA574" i="8" s="1"/>
  <c r="AX574" i="8"/>
  <c r="BB574" i="8" s="1"/>
  <c r="AY574" i="8"/>
  <c r="BC574" i="8" s="1"/>
  <c r="AT574" i="8"/>
  <c r="AS574" i="8"/>
  <c r="AU574" i="8"/>
  <c r="AV574" i="8"/>
  <c r="AW566" i="8"/>
  <c r="BA566" i="8" s="1"/>
  <c r="AZ566" i="8"/>
  <c r="BD566" i="8" s="1"/>
  <c r="AY566" i="8"/>
  <c r="BC566" i="8" s="1"/>
  <c r="AX566" i="8"/>
  <c r="BB566" i="8" s="1"/>
  <c r="AT566" i="8"/>
  <c r="AS566" i="8"/>
  <c r="AU566" i="8"/>
  <c r="AV566" i="8"/>
  <c r="AY558" i="8"/>
  <c r="BC558" i="8" s="1"/>
  <c r="AX558" i="8"/>
  <c r="BB558" i="8" s="1"/>
  <c r="AW558" i="8"/>
  <c r="BA558" i="8" s="1"/>
  <c r="AZ558" i="8"/>
  <c r="BD558" i="8" s="1"/>
  <c r="AT558" i="8"/>
  <c r="AS558" i="8"/>
  <c r="AU558" i="8"/>
  <c r="AV558" i="8"/>
  <c r="AY550" i="8"/>
  <c r="BC550" i="8" s="1"/>
  <c r="AX550" i="8"/>
  <c r="BB550" i="8" s="1"/>
  <c r="AW550" i="8"/>
  <c r="BA550" i="8" s="1"/>
  <c r="AZ550" i="8"/>
  <c r="BD550" i="8" s="1"/>
  <c r="AT550" i="8"/>
  <c r="AS550" i="8"/>
  <c r="AU550" i="8"/>
  <c r="AV550" i="8"/>
  <c r="AY542" i="8"/>
  <c r="AX542" i="8"/>
  <c r="AW542" i="8"/>
  <c r="AZ542" i="8"/>
  <c r="AT542" i="8"/>
  <c r="AS542" i="8"/>
  <c r="AV542" i="8"/>
  <c r="AU542" i="8"/>
  <c r="AY534" i="8"/>
  <c r="BC534" i="8" s="1"/>
  <c r="AX534" i="8"/>
  <c r="BB534" i="8" s="1"/>
  <c r="AW534" i="8"/>
  <c r="BA534" i="8" s="1"/>
  <c r="AZ534" i="8"/>
  <c r="BD534" i="8" s="1"/>
  <c r="AT534" i="8"/>
  <c r="AS534" i="8"/>
  <c r="AV534" i="8"/>
  <c r="AU534" i="8"/>
  <c r="AY526" i="8"/>
  <c r="BC526" i="8" s="1"/>
  <c r="AX526" i="8"/>
  <c r="BB526" i="8" s="1"/>
  <c r="AW526" i="8"/>
  <c r="BA526" i="8" s="1"/>
  <c r="AZ526" i="8"/>
  <c r="BD526" i="8" s="1"/>
  <c r="AT526" i="8"/>
  <c r="AS526" i="8"/>
  <c r="AV526" i="8"/>
  <c r="AU526" i="8"/>
  <c r="AY518" i="8"/>
  <c r="BC518" i="8" s="1"/>
  <c r="AX518" i="8"/>
  <c r="BB518" i="8" s="1"/>
  <c r="AW518" i="8"/>
  <c r="BA518" i="8" s="1"/>
  <c r="AZ518" i="8"/>
  <c r="BD518" i="8" s="1"/>
  <c r="AT518" i="8"/>
  <c r="AS518" i="8"/>
  <c r="AV518" i="8"/>
  <c r="AU518" i="8"/>
  <c r="AY510" i="8"/>
  <c r="BC510" i="8" s="1"/>
  <c r="AX510" i="8"/>
  <c r="BB510" i="8" s="1"/>
  <c r="AW510" i="8"/>
  <c r="BA510" i="8" s="1"/>
  <c r="AZ510" i="8"/>
  <c r="BD510" i="8" s="1"/>
  <c r="AT510" i="8"/>
  <c r="AS510" i="8"/>
  <c r="AV510" i="8"/>
  <c r="AU510" i="8"/>
  <c r="AY502" i="8"/>
  <c r="BC502" i="8" s="1"/>
  <c r="AX502" i="8"/>
  <c r="BB502" i="8" s="1"/>
  <c r="AZ502" i="8"/>
  <c r="BD502" i="8" s="1"/>
  <c r="AW502" i="8"/>
  <c r="BA502" i="8" s="1"/>
  <c r="AT502" i="8"/>
  <c r="AS502" i="8"/>
  <c r="AV502" i="8"/>
  <c r="AU502" i="8"/>
  <c r="AY494" i="8"/>
  <c r="BC494" i="8" s="1"/>
  <c r="AX494" i="8"/>
  <c r="BB494" i="8" s="1"/>
  <c r="AW494" i="8"/>
  <c r="BA494" i="8" s="1"/>
  <c r="AZ494" i="8"/>
  <c r="BD494" i="8" s="1"/>
  <c r="AT494" i="8"/>
  <c r="AS494" i="8"/>
  <c r="AV494" i="8"/>
  <c r="AU494" i="8"/>
  <c r="AY486" i="8"/>
  <c r="BC486" i="8" s="1"/>
  <c r="AX486" i="8"/>
  <c r="BB486" i="8" s="1"/>
  <c r="AZ486" i="8"/>
  <c r="BD486" i="8" s="1"/>
  <c r="AW486" i="8"/>
  <c r="BA486" i="8" s="1"/>
  <c r="AT486" i="8"/>
  <c r="AS486" i="8"/>
  <c r="AU486" i="8"/>
  <c r="AV486" i="8"/>
  <c r="AY478" i="8"/>
  <c r="BC478" i="8" s="1"/>
  <c r="AX478" i="8"/>
  <c r="BB478" i="8" s="1"/>
  <c r="AZ478" i="8"/>
  <c r="BD478" i="8" s="1"/>
  <c r="AW478" i="8"/>
  <c r="BA478" i="8" s="1"/>
  <c r="AT478" i="8"/>
  <c r="AS478" i="8"/>
  <c r="AV478" i="8"/>
  <c r="AU478" i="8"/>
  <c r="AY470" i="8"/>
  <c r="BC470" i="8" s="1"/>
  <c r="AX470" i="8"/>
  <c r="BB470" i="8" s="1"/>
  <c r="AZ470" i="8"/>
  <c r="BD470" i="8" s="1"/>
  <c r="AW470" i="8"/>
  <c r="BA470" i="8" s="1"/>
  <c r="AT470" i="8"/>
  <c r="AS470" i="8"/>
  <c r="AU470" i="8"/>
  <c r="AV470" i="8"/>
  <c r="AZ462" i="8"/>
  <c r="BD462" i="8" s="1"/>
  <c r="AY462" i="8"/>
  <c r="BC462" i="8" s="1"/>
  <c r="AX462" i="8"/>
  <c r="BB462" i="8" s="1"/>
  <c r="AW462" i="8"/>
  <c r="BA462" i="8" s="1"/>
  <c r="AT462" i="8"/>
  <c r="AS462" i="8"/>
  <c r="AV462" i="8"/>
  <c r="AU462" i="8"/>
  <c r="AZ454" i="8"/>
  <c r="BD454" i="8" s="1"/>
  <c r="AY454" i="8"/>
  <c r="BC454" i="8" s="1"/>
  <c r="AX454" i="8"/>
  <c r="BB454" i="8" s="1"/>
  <c r="AW454" i="8"/>
  <c r="BA454" i="8" s="1"/>
  <c r="AT454" i="8"/>
  <c r="AS454" i="8"/>
  <c r="AU454" i="8"/>
  <c r="AV454" i="8"/>
  <c r="AX438" i="8"/>
  <c r="BB438" i="8" s="1"/>
  <c r="AW438" i="8"/>
  <c r="BA438" i="8" s="1"/>
  <c r="AZ438" i="8"/>
  <c r="BD438" i="8" s="1"/>
  <c r="AY438" i="8"/>
  <c r="BC438" i="8" s="1"/>
  <c r="AT438" i="8"/>
  <c r="AS438" i="8"/>
  <c r="AU438" i="8"/>
  <c r="AV438" i="8"/>
  <c r="AZ430" i="8"/>
  <c r="BD430" i="8" s="1"/>
  <c r="AY430" i="8"/>
  <c r="BC430" i="8" s="1"/>
  <c r="AX430" i="8"/>
  <c r="BB430" i="8" s="1"/>
  <c r="AW430" i="8"/>
  <c r="BA430" i="8" s="1"/>
  <c r="AS430" i="8"/>
  <c r="AT430" i="8"/>
  <c r="AV430" i="8"/>
  <c r="AU430" i="8"/>
  <c r="AX422" i="8"/>
  <c r="BB422" i="8" s="1"/>
  <c r="AW422" i="8"/>
  <c r="BA422" i="8" s="1"/>
  <c r="AZ422" i="8"/>
  <c r="BD422" i="8" s="1"/>
  <c r="AY422" i="8"/>
  <c r="BC422" i="8" s="1"/>
  <c r="AS422" i="8"/>
  <c r="AU422" i="8"/>
  <c r="AV422" i="8"/>
  <c r="AT422" i="8"/>
  <c r="AZ414" i="8"/>
  <c r="BD414" i="8" s="1"/>
  <c r="AY414" i="8"/>
  <c r="BC414" i="8" s="1"/>
  <c r="AX414" i="8"/>
  <c r="BB414" i="8" s="1"/>
  <c r="AW414" i="8"/>
  <c r="BA414" i="8" s="1"/>
  <c r="AS414" i="8"/>
  <c r="AT414" i="8"/>
  <c r="AV414" i="8"/>
  <c r="AU414" i="8"/>
  <c r="AW406" i="8"/>
  <c r="BA406" i="8" s="1"/>
  <c r="AZ406" i="8"/>
  <c r="BD406" i="8" s="1"/>
  <c r="AX406" i="8"/>
  <c r="BB406" i="8" s="1"/>
  <c r="AY406" i="8"/>
  <c r="BC406" i="8" s="1"/>
  <c r="AU406" i="8"/>
  <c r="AS406" i="8"/>
  <c r="AV406" i="8"/>
  <c r="AT406" i="8"/>
  <c r="AW398" i="8"/>
  <c r="BA398" i="8" s="1"/>
  <c r="AY398" i="8"/>
  <c r="BC398" i="8" s="1"/>
  <c r="AX398" i="8"/>
  <c r="BB398" i="8" s="1"/>
  <c r="AZ398" i="8"/>
  <c r="BD398" i="8" s="1"/>
  <c r="AU398" i="8"/>
  <c r="AS398" i="8"/>
  <c r="AV398" i="8"/>
  <c r="AT398" i="8"/>
  <c r="AW390" i="8"/>
  <c r="BA390" i="8" s="1"/>
  <c r="AX390" i="8"/>
  <c r="BB390" i="8" s="1"/>
  <c r="AZ390" i="8"/>
  <c r="BD390" i="8" s="1"/>
  <c r="AY390" i="8"/>
  <c r="BC390" i="8" s="1"/>
  <c r="AU390" i="8"/>
  <c r="AS390" i="8"/>
  <c r="AV390" i="8"/>
  <c r="AT390" i="8"/>
  <c r="AW382" i="8"/>
  <c r="BA382" i="8" s="1"/>
  <c r="AY382" i="8"/>
  <c r="BC382" i="8" s="1"/>
  <c r="AX382" i="8"/>
  <c r="BB382" i="8" s="1"/>
  <c r="AZ382" i="8"/>
  <c r="BD382" i="8" s="1"/>
  <c r="AU382" i="8"/>
  <c r="AS382" i="8"/>
  <c r="AV382" i="8"/>
  <c r="AT382" i="8"/>
  <c r="AW374" i="8"/>
  <c r="BA374" i="8" s="1"/>
  <c r="AX374" i="8"/>
  <c r="BB374" i="8" s="1"/>
  <c r="AY374" i="8"/>
  <c r="BC374" i="8" s="1"/>
  <c r="AZ374" i="8"/>
  <c r="BD374" i="8" s="1"/>
  <c r="AU374" i="8"/>
  <c r="AS374" i="8"/>
  <c r="AV374" i="8"/>
  <c r="AT374" i="8"/>
  <c r="AZ366" i="8"/>
  <c r="BD366" i="8" s="1"/>
  <c r="AY366" i="8"/>
  <c r="BC366" i="8" s="1"/>
  <c r="AX366" i="8"/>
  <c r="BB366" i="8" s="1"/>
  <c r="AW366" i="8"/>
  <c r="BA366" i="8" s="1"/>
  <c r="AU366" i="8"/>
  <c r="AS366" i="8"/>
  <c r="AV366" i="8"/>
  <c r="AT366" i="8"/>
  <c r="AZ358" i="8"/>
  <c r="BD358" i="8" s="1"/>
  <c r="AY358" i="8"/>
  <c r="BC358" i="8" s="1"/>
  <c r="AX358" i="8"/>
  <c r="BB358" i="8" s="1"/>
  <c r="AW358" i="8"/>
  <c r="BA358" i="8" s="1"/>
  <c r="AU358" i="8"/>
  <c r="AS358" i="8"/>
  <c r="AV358" i="8"/>
  <c r="AT358" i="8"/>
  <c r="AZ350" i="8"/>
  <c r="AY350" i="8"/>
  <c r="AX350" i="8"/>
  <c r="AW350" i="8"/>
  <c r="AU350" i="8"/>
  <c r="AS350" i="8"/>
  <c r="AV350" i="8"/>
  <c r="AT350" i="8"/>
  <c r="AZ342" i="8"/>
  <c r="BD342" i="8" s="1"/>
  <c r="AY342" i="8"/>
  <c r="BC342" i="8" s="1"/>
  <c r="AX342" i="8"/>
  <c r="BB342" i="8" s="1"/>
  <c r="AW342" i="8"/>
  <c r="BA342" i="8" s="1"/>
  <c r="AU342" i="8"/>
  <c r="AS342" i="8"/>
  <c r="AV342" i="8"/>
  <c r="AT342" i="8"/>
  <c r="AZ334" i="8"/>
  <c r="BD334" i="8" s="1"/>
  <c r="AY334" i="8"/>
  <c r="BC334" i="8" s="1"/>
  <c r="AX334" i="8"/>
  <c r="BB334" i="8" s="1"/>
  <c r="AW334" i="8"/>
  <c r="BA334" i="8" s="1"/>
  <c r="AU334" i="8"/>
  <c r="AS334" i="8"/>
  <c r="AV334" i="8"/>
  <c r="AT334" i="8"/>
  <c r="AZ326" i="8"/>
  <c r="BD326" i="8" s="1"/>
  <c r="AY326" i="8"/>
  <c r="BC326" i="8" s="1"/>
  <c r="AX326" i="8"/>
  <c r="BB326" i="8" s="1"/>
  <c r="AW326" i="8"/>
  <c r="BA326" i="8" s="1"/>
  <c r="AU326" i="8"/>
  <c r="AS326" i="8"/>
  <c r="AV326" i="8"/>
  <c r="AT326" i="8"/>
  <c r="AZ318" i="8"/>
  <c r="BD318" i="8" s="1"/>
  <c r="AY318" i="8"/>
  <c r="BC318" i="8" s="1"/>
  <c r="AX318" i="8"/>
  <c r="BB318" i="8" s="1"/>
  <c r="AW318" i="8"/>
  <c r="BA318" i="8" s="1"/>
  <c r="AU318" i="8"/>
  <c r="AS318" i="8"/>
  <c r="AV318" i="8"/>
  <c r="AT318" i="8"/>
  <c r="AZ310" i="8"/>
  <c r="BD310" i="8" s="1"/>
  <c r="AY310" i="8"/>
  <c r="BC310" i="8" s="1"/>
  <c r="AX310" i="8"/>
  <c r="BB310" i="8" s="1"/>
  <c r="AW310" i="8"/>
  <c r="BA310" i="8" s="1"/>
  <c r="AU310" i="8"/>
  <c r="AS310" i="8"/>
  <c r="AV310" i="8"/>
  <c r="AT310" i="8"/>
  <c r="AZ302" i="8"/>
  <c r="BD302" i="8" s="1"/>
  <c r="AY302" i="8"/>
  <c r="BC302" i="8" s="1"/>
  <c r="AX302" i="8"/>
  <c r="BB302" i="8" s="1"/>
  <c r="AW302" i="8"/>
  <c r="BA302" i="8" s="1"/>
  <c r="AU302" i="8"/>
  <c r="AS302" i="8"/>
  <c r="AV302" i="8"/>
  <c r="AT302" i="8"/>
  <c r="AZ294" i="8"/>
  <c r="BD294" i="8" s="1"/>
  <c r="AY294" i="8"/>
  <c r="BC294" i="8" s="1"/>
  <c r="AX294" i="8"/>
  <c r="BB294" i="8" s="1"/>
  <c r="AW294" i="8"/>
  <c r="BA294" i="8" s="1"/>
  <c r="AU294" i="8"/>
  <c r="AS294" i="8"/>
  <c r="AV294" i="8"/>
  <c r="AT294" i="8"/>
  <c r="AZ286" i="8"/>
  <c r="BD286" i="8" s="1"/>
  <c r="AY286" i="8"/>
  <c r="BC286" i="8" s="1"/>
  <c r="AX286" i="8"/>
  <c r="BB286" i="8" s="1"/>
  <c r="AW286" i="8"/>
  <c r="BA286" i="8" s="1"/>
  <c r="AU286" i="8"/>
  <c r="AS286" i="8"/>
  <c r="AV286" i="8"/>
  <c r="AT286" i="8"/>
  <c r="AZ278" i="8"/>
  <c r="AY278" i="8"/>
  <c r="AX278" i="8"/>
  <c r="AW278" i="8"/>
  <c r="AU278" i="8"/>
  <c r="AS278" i="8"/>
  <c r="AV278" i="8"/>
  <c r="AT278" i="8"/>
  <c r="AZ262" i="8"/>
  <c r="BD262" i="8" s="1"/>
  <c r="AY262" i="8"/>
  <c r="BC262" i="8" s="1"/>
  <c r="AX262" i="8"/>
  <c r="BB262" i="8" s="1"/>
  <c r="AW262" i="8"/>
  <c r="BA262" i="8" s="1"/>
  <c r="AU262" i="8"/>
  <c r="AS262" i="8"/>
  <c r="AV262" i="8"/>
  <c r="AT262" i="8"/>
  <c r="AZ254" i="8"/>
  <c r="BD254" i="8" s="1"/>
  <c r="AY254" i="8"/>
  <c r="BC254" i="8" s="1"/>
  <c r="AX254" i="8"/>
  <c r="BB254" i="8" s="1"/>
  <c r="AW254" i="8"/>
  <c r="BA254" i="8" s="1"/>
  <c r="AU254" i="8"/>
  <c r="AS254" i="8"/>
  <c r="AV254" i="8"/>
  <c r="AT254" i="8"/>
  <c r="AZ238" i="8"/>
  <c r="BD238" i="8" s="1"/>
  <c r="AY238" i="8"/>
  <c r="BC238" i="8" s="1"/>
  <c r="AX238" i="8"/>
  <c r="BB238" i="8" s="1"/>
  <c r="AW238" i="8"/>
  <c r="BA238" i="8" s="1"/>
  <c r="AU238" i="8"/>
  <c r="AS238" i="8"/>
  <c r="AV238" i="8"/>
  <c r="AT238" i="8"/>
  <c r="AZ230" i="8"/>
  <c r="BD230" i="8" s="1"/>
  <c r="AY230" i="8"/>
  <c r="BC230" i="8" s="1"/>
  <c r="AX230" i="8"/>
  <c r="BB230" i="8" s="1"/>
  <c r="AW230" i="8"/>
  <c r="BA230" i="8" s="1"/>
  <c r="AU230" i="8"/>
  <c r="AS230" i="8"/>
  <c r="AV230" i="8"/>
  <c r="AT230" i="8"/>
  <c r="AZ222" i="8"/>
  <c r="BD222" i="8" s="1"/>
  <c r="AY222" i="8"/>
  <c r="BC222" i="8" s="1"/>
  <c r="AX222" i="8"/>
  <c r="BB222" i="8" s="1"/>
  <c r="AW222" i="8"/>
  <c r="BA222" i="8" s="1"/>
  <c r="AU222" i="8"/>
  <c r="AS222" i="8"/>
  <c r="AV222" i="8"/>
  <c r="AT222" i="8"/>
  <c r="AZ214" i="8"/>
  <c r="BD214" i="8" s="1"/>
  <c r="AY214" i="8"/>
  <c r="BC214" i="8" s="1"/>
  <c r="AX214" i="8"/>
  <c r="BB214" i="8" s="1"/>
  <c r="AW214" i="8"/>
  <c r="BA214" i="8" s="1"/>
  <c r="AU214" i="8"/>
  <c r="AV214" i="8"/>
  <c r="AT214" i="8"/>
  <c r="AS214" i="8"/>
  <c r="AZ206" i="8"/>
  <c r="BD206" i="8" s="1"/>
  <c r="AY206" i="8"/>
  <c r="BC206" i="8" s="1"/>
  <c r="AX206" i="8"/>
  <c r="BB206" i="8" s="1"/>
  <c r="AW206" i="8"/>
  <c r="BA206" i="8" s="1"/>
  <c r="AV206" i="8"/>
  <c r="AU206" i="8"/>
  <c r="AS206" i="8"/>
  <c r="AT206" i="8"/>
  <c r="AW190" i="8"/>
  <c r="BA190" i="8" s="1"/>
  <c r="AY190" i="8"/>
  <c r="BC190" i="8" s="1"/>
  <c r="AZ190" i="8"/>
  <c r="BD190" i="8" s="1"/>
  <c r="AX190" i="8"/>
  <c r="BB190" i="8" s="1"/>
  <c r="AV190" i="8"/>
  <c r="AU190" i="8"/>
  <c r="AS190" i="8"/>
  <c r="AT190" i="8"/>
  <c r="AW182" i="8"/>
  <c r="BA182" i="8" s="1"/>
  <c r="AY182" i="8"/>
  <c r="BC182" i="8" s="1"/>
  <c r="AZ182" i="8"/>
  <c r="BD182" i="8" s="1"/>
  <c r="AX182" i="8"/>
  <c r="BB182" i="8" s="1"/>
  <c r="AV182" i="8"/>
  <c r="AU182" i="8"/>
  <c r="AS182" i="8"/>
  <c r="AT182" i="8"/>
  <c r="AW174" i="8"/>
  <c r="BA174" i="8" s="1"/>
  <c r="AY174" i="8"/>
  <c r="BC174" i="8" s="1"/>
  <c r="AZ174" i="8"/>
  <c r="BD174" i="8" s="1"/>
  <c r="AX174" i="8"/>
  <c r="BB174" i="8" s="1"/>
  <c r="AV174" i="8"/>
  <c r="AU174" i="8"/>
  <c r="AS174" i="8"/>
  <c r="AT174" i="8"/>
  <c r="AW166" i="8"/>
  <c r="BA166" i="8" s="1"/>
  <c r="AY166" i="8"/>
  <c r="BC166" i="8" s="1"/>
  <c r="AZ166" i="8"/>
  <c r="BD166" i="8" s="1"/>
  <c r="AX166" i="8"/>
  <c r="BB166" i="8" s="1"/>
  <c r="AV166" i="8"/>
  <c r="AU166" i="8"/>
  <c r="AS166" i="8"/>
  <c r="AT166" i="8"/>
  <c r="AW158" i="8"/>
  <c r="BA158" i="8" s="1"/>
  <c r="AY158" i="8"/>
  <c r="BC158" i="8" s="1"/>
  <c r="AZ158" i="8"/>
  <c r="BD158" i="8" s="1"/>
  <c r="AX158" i="8"/>
  <c r="BB158" i="8" s="1"/>
  <c r="AV158" i="8"/>
  <c r="AU158" i="8"/>
  <c r="AS158" i="8"/>
  <c r="AT158" i="8"/>
  <c r="AW150" i="8"/>
  <c r="BA150" i="8" s="1"/>
  <c r="AY150" i="8"/>
  <c r="BC150" i="8" s="1"/>
  <c r="AZ150" i="8"/>
  <c r="BD150" i="8" s="1"/>
  <c r="AX150" i="8"/>
  <c r="BB150" i="8" s="1"/>
  <c r="AV150" i="8"/>
  <c r="AU150" i="8"/>
  <c r="AS150" i="8"/>
  <c r="AT150" i="8"/>
  <c r="AW142" i="8"/>
  <c r="BA142" i="8" s="1"/>
  <c r="AY142" i="8"/>
  <c r="BC142" i="8" s="1"/>
  <c r="AZ142" i="8"/>
  <c r="BD142" i="8" s="1"/>
  <c r="AX142" i="8"/>
  <c r="BB142" i="8" s="1"/>
  <c r="AV142" i="8"/>
  <c r="AU142" i="8"/>
  <c r="AS142" i="8"/>
  <c r="AT142" i="8"/>
  <c r="AW134" i="8"/>
  <c r="BA134" i="8" s="1"/>
  <c r="AY134" i="8"/>
  <c r="BC134" i="8" s="1"/>
  <c r="AZ134" i="8"/>
  <c r="BD134" i="8" s="1"/>
  <c r="AX134" i="8"/>
  <c r="BB134" i="8" s="1"/>
  <c r="AV134" i="8"/>
  <c r="AU134" i="8"/>
  <c r="AS134" i="8"/>
  <c r="AT134" i="8"/>
  <c r="AW126" i="8"/>
  <c r="BA126" i="8" s="1"/>
  <c r="AY126" i="8"/>
  <c r="BC126" i="8" s="1"/>
  <c r="AZ126" i="8"/>
  <c r="BD126" i="8" s="1"/>
  <c r="AX126" i="8"/>
  <c r="BB126" i="8" s="1"/>
  <c r="AV126" i="8"/>
  <c r="AU126" i="8"/>
  <c r="AS126" i="8"/>
  <c r="AT126" i="8"/>
  <c r="AW110" i="8"/>
  <c r="BA110" i="8" s="1"/>
  <c r="AY110" i="8"/>
  <c r="BC110" i="8" s="1"/>
  <c r="AZ110" i="8"/>
  <c r="BD110" i="8" s="1"/>
  <c r="AX110" i="8"/>
  <c r="BB110" i="8" s="1"/>
  <c r="AV110" i="8"/>
  <c r="AU110" i="8"/>
  <c r="AS110" i="8"/>
  <c r="AT110" i="8"/>
  <c r="AW102" i="8"/>
  <c r="BA102" i="8" s="1"/>
  <c r="AY102" i="8"/>
  <c r="BC102" i="8" s="1"/>
  <c r="AZ102" i="8"/>
  <c r="BD102" i="8" s="1"/>
  <c r="AX102" i="8"/>
  <c r="BB102" i="8" s="1"/>
  <c r="AV102" i="8"/>
  <c r="AU102" i="8"/>
  <c r="AS102" i="8"/>
  <c r="AT102" i="8"/>
  <c r="AW95" i="8"/>
  <c r="AY95" i="8"/>
  <c r="AZ95" i="8"/>
  <c r="AX95" i="8"/>
  <c r="AV95" i="8"/>
  <c r="AU95" i="8"/>
  <c r="AS95" i="8"/>
  <c r="AW87" i="8"/>
  <c r="BA87" i="8" s="1"/>
  <c r="AY87" i="8"/>
  <c r="BC87" i="8" s="1"/>
  <c r="AZ87" i="8"/>
  <c r="BD87" i="8" s="1"/>
  <c r="AX87" i="8"/>
  <c r="BB87" i="8" s="1"/>
  <c r="AV87" i="8"/>
  <c r="AU87" i="8"/>
  <c r="AS87" i="8"/>
  <c r="AT87" i="8"/>
  <c r="AW79" i="8"/>
  <c r="BA79" i="8" s="1"/>
  <c r="AY79" i="8"/>
  <c r="BC79" i="8" s="1"/>
  <c r="AZ79" i="8"/>
  <c r="BD79" i="8" s="1"/>
  <c r="AX79" i="8"/>
  <c r="BB79" i="8" s="1"/>
  <c r="AV79" i="8"/>
  <c r="AU79" i="8"/>
  <c r="AS79" i="8"/>
  <c r="AT79" i="8"/>
  <c r="AW71" i="8"/>
  <c r="BA71" i="8" s="1"/>
  <c r="AY71" i="8"/>
  <c r="BC71" i="8" s="1"/>
  <c r="AZ71" i="8"/>
  <c r="BD71" i="8" s="1"/>
  <c r="AX71" i="8"/>
  <c r="BB71" i="8" s="1"/>
  <c r="AV71" i="8"/>
  <c r="AU71" i="8"/>
  <c r="AS71" i="8"/>
  <c r="AT71" i="8"/>
  <c r="AZ63" i="8"/>
  <c r="BD63" i="8" s="1"/>
  <c r="AY63" i="8"/>
  <c r="BC63" i="8" s="1"/>
  <c r="AW63" i="8"/>
  <c r="BA63" i="8" s="1"/>
  <c r="AX63" i="8"/>
  <c r="BB63" i="8" s="1"/>
  <c r="AV63" i="8"/>
  <c r="AU63" i="8"/>
  <c r="AS63" i="8"/>
  <c r="AT63" i="8"/>
  <c r="AZ55" i="8"/>
  <c r="BD55" i="8" s="1"/>
  <c r="AY55" i="8"/>
  <c r="BC55" i="8" s="1"/>
  <c r="AW55" i="8"/>
  <c r="BA55" i="8" s="1"/>
  <c r="AX55" i="8"/>
  <c r="BB55" i="8" s="1"/>
  <c r="AV55" i="8"/>
  <c r="AU55" i="8"/>
  <c r="AS55" i="8"/>
  <c r="AT55" i="8"/>
  <c r="AZ47" i="8"/>
  <c r="BD47" i="8" s="1"/>
  <c r="AY47" i="8"/>
  <c r="BC47" i="8" s="1"/>
  <c r="AW47" i="8"/>
  <c r="BA47" i="8" s="1"/>
  <c r="AX47" i="8"/>
  <c r="BB47" i="8" s="1"/>
  <c r="AU47" i="8"/>
  <c r="AV47" i="8"/>
  <c r="AT47" i="8"/>
  <c r="AS47" i="8"/>
  <c r="AZ39" i="8"/>
  <c r="BD39" i="8" s="1"/>
  <c r="AY39" i="8"/>
  <c r="BC39" i="8" s="1"/>
  <c r="AW39" i="8"/>
  <c r="BA39" i="8" s="1"/>
  <c r="AX39" i="8"/>
  <c r="BB39" i="8" s="1"/>
  <c r="AU39" i="8"/>
  <c r="AV39" i="8"/>
  <c r="AT39" i="8"/>
  <c r="AS39" i="8"/>
  <c r="AZ31" i="8"/>
  <c r="BD31" i="8" s="1"/>
  <c r="AY31" i="8"/>
  <c r="BC31" i="8" s="1"/>
  <c r="AW31" i="8"/>
  <c r="BA31" i="8" s="1"/>
  <c r="AX31" i="8"/>
  <c r="BB31" i="8" s="1"/>
  <c r="AU31" i="8"/>
  <c r="AV31" i="8"/>
  <c r="AT31" i="8"/>
  <c r="AS31" i="8"/>
  <c r="AZ15" i="8"/>
  <c r="BD15" i="8" s="1"/>
  <c r="AW15" i="8"/>
  <c r="BA15" i="8" s="1"/>
  <c r="AX15" i="8"/>
  <c r="BB15" i="8" s="1"/>
  <c r="AY15" i="8"/>
  <c r="BC15" i="8" s="1"/>
  <c r="AU15" i="8"/>
  <c r="AV15" i="8"/>
  <c r="AT15" i="8"/>
  <c r="AS15" i="8"/>
  <c r="AZ573" i="8"/>
  <c r="BD573" i="8" s="1"/>
  <c r="AW573" i="8"/>
  <c r="BA573" i="8" s="1"/>
  <c r="AX573" i="8"/>
  <c r="BB573" i="8" s="1"/>
  <c r="AY573" i="8"/>
  <c r="BC573" i="8" s="1"/>
  <c r="AV573" i="8"/>
  <c r="AS573" i="8"/>
  <c r="AT573" i="8"/>
  <c r="AU573" i="8"/>
  <c r="AZ565" i="8"/>
  <c r="BD565" i="8" s="1"/>
  <c r="AW565" i="8"/>
  <c r="BA565" i="8" s="1"/>
  <c r="AX565" i="8"/>
  <c r="BB565" i="8" s="1"/>
  <c r="AY565" i="8"/>
  <c r="BC565" i="8" s="1"/>
  <c r="AV565" i="8"/>
  <c r="AS565" i="8"/>
  <c r="AT565" i="8"/>
  <c r="AU565" i="8"/>
  <c r="AZ557" i="8"/>
  <c r="BD557" i="8" s="1"/>
  <c r="AW557" i="8"/>
  <c r="BA557" i="8" s="1"/>
  <c r="AX557" i="8"/>
  <c r="BB557" i="8" s="1"/>
  <c r="AY557" i="8"/>
  <c r="BC557" i="8" s="1"/>
  <c r="AV557" i="8"/>
  <c r="AS557" i="8"/>
  <c r="AT557" i="8"/>
  <c r="AU557" i="8"/>
  <c r="AZ549" i="8"/>
  <c r="BD549" i="8" s="1"/>
  <c r="AW549" i="8"/>
  <c r="BA549" i="8" s="1"/>
  <c r="AX549" i="8"/>
  <c r="BB549" i="8" s="1"/>
  <c r="AY549" i="8"/>
  <c r="BC549" i="8" s="1"/>
  <c r="AV549" i="8"/>
  <c r="AS549" i="8"/>
  <c r="AT549" i="8"/>
  <c r="AU549" i="8"/>
  <c r="AZ541" i="8"/>
  <c r="AW541" i="8"/>
  <c r="AX541" i="8"/>
  <c r="AY541" i="8"/>
  <c r="AS541" i="8"/>
  <c r="AT541" i="8"/>
  <c r="AV541" i="8"/>
  <c r="AU541" i="8"/>
  <c r="AZ533" i="8"/>
  <c r="BD533" i="8" s="1"/>
  <c r="AW533" i="8"/>
  <c r="BA533" i="8" s="1"/>
  <c r="AY533" i="8"/>
  <c r="BC533" i="8" s="1"/>
  <c r="AX533" i="8"/>
  <c r="BB533" i="8" s="1"/>
  <c r="AS533" i="8"/>
  <c r="AV533" i="8"/>
  <c r="AT533" i="8"/>
  <c r="AU533" i="8"/>
  <c r="AZ525" i="8"/>
  <c r="BD525" i="8" s="1"/>
  <c r="AW525" i="8"/>
  <c r="BA525" i="8" s="1"/>
  <c r="AX525" i="8"/>
  <c r="BB525" i="8" s="1"/>
  <c r="AY525" i="8"/>
  <c r="BC525" i="8" s="1"/>
  <c r="AS525" i="8"/>
  <c r="AT525" i="8"/>
  <c r="AV525" i="8"/>
  <c r="AU525" i="8"/>
  <c r="AZ517" i="8"/>
  <c r="BD517" i="8" s="1"/>
  <c r="AW517" i="8"/>
  <c r="BA517" i="8" s="1"/>
  <c r="AY517" i="8"/>
  <c r="BC517" i="8" s="1"/>
  <c r="AX517" i="8"/>
  <c r="BB517" i="8" s="1"/>
  <c r="AS517" i="8"/>
  <c r="AV517" i="8"/>
  <c r="AT517" i="8"/>
  <c r="AU517" i="8"/>
  <c r="AZ509" i="8"/>
  <c r="BD509" i="8" s="1"/>
  <c r="AW509" i="8"/>
  <c r="BA509" i="8" s="1"/>
  <c r="AY509" i="8"/>
  <c r="BC509" i="8" s="1"/>
  <c r="AX509" i="8"/>
  <c r="BB509" i="8" s="1"/>
  <c r="AS509" i="8"/>
  <c r="AT509" i="8"/>
  <c r="AV509" i="8"/>
  <c r="AU509" i="8"/>
  <c r="AZ501" i="8"/>
  <c r="BD501" i="8" s="1"/>
  <c r="AW501" i="8"/>
  <c r="BA501" i="8" s="1"/>
  <c r="AX501" i="8"/>
  <c r="BB501" i="8" s="1"/>
  <c r="AY501" i="8"/>
  <c r="BC501" i="8" s="1"/>
  <c r="AS501" i="8"/>
  <c r="AV501" i="8"/>
  <c r="AT501" i="8"/>
  <c r="AU501" i="8"/>
  <c r="AZ493" i="8"/>
  <c r="BD493" i="8" s="1"/>
  <c r="AW493" i="8"/>
  <c r="BA493" i="8" s="1"/>
  <c r="AY493" i="8"/>
  <c r="BC493" i="8" s="1"/>
  <c r="AX493" i="8"/>
  <c r="BB493" i="8" s="1"/>
  <c r="AS493" i="8"/>
  <c r="AT493" i="8"/>
  <c r="AV493" i="8"/>
  <c r="AU493" i="8"/>
  <c r="AZ485" i="8"/>
  <c r="BD485" i="8" s="1"/>
  <c r="AW485" i="8"/>
  <c r="BA485" i="8" s="1"/>
  <c r="AY485" i="8"/>
  <c r="BC485" i="8" s="1"/>
  <c r="AX485" i="8"/>
  <c r="BB485" i="8" s="1"/>
  <c r="AS485" i="8"/>
  <c r="AV485" i="8"/>
  <c r="AT485" i="8"/>
  <c r="AU485" i="8"/>
  <c r="AZ477" i="8"/>
  <c r="BD477" i="8" s="1"/>
  <c r="AW477" i="8"/>
  <c r="BA477" i="8" s="1"/>
  <c r="AY477" i="8"/>
  <c r="BC477" i="8" s="1"/>
  <c r="AX477" i="8"/>
  <c r="BB477" i="8" s="1"/>
  <c r="AS477" i="8"/>
  <c r="AV477" i="8"/>
  <c r="AU477" i="8"/>
  <c r="AT477" i="8"/>
  <c r="AZ469" i="8"/>
  <c r="BD469" i="8" s="1"/>
  <c r="AW469" i="8"/>
  <c r="BA469" i="8" s="1"/>
  <c r="AX469" i="8"/>
  <c r="BB469" i="8" s="1"/>
  <c r="AY469" i="8"/>
  <c r="BC469" i="8" s="1"/>
  <c r="AS469" i="8"/>
  <c r="AV469" i="8"/>
  <c r="AT469" i="8"/>
  <c r="AU469" i="8"/>
  <c r="AZ461" i="8"/>
  <c r="BD461" i="8" s="1"/>
  <c r="AY461" i="8"/>
  <c r="BC461" i="8" s="1"/>
  <c r="AX461" i="8"/>
  <c r="BB461" i="8" s="1"/>
  <c r="AW461" i="8"/>
  <c r="BA461" i="8" s="1"/>
  <c r="AS461" i="8"/>
  <c r="AV461" i="8"/>
  <c r="AU461" i="8"/>
  <c r="AT461" i="8"/>
  <c r="AZ453" i="8"/>
  <c r="BD453" i="8" s="1"/>
  <c r="AY453" i="8"/>
  <c r="BC453" i="8" s="1"/>
  <c r="AX453" i="8"/>
  <c r="BB453" i="8" s="1"/>
  <c r="AW453" i="8"/>
  <c r="BA453" i="8" s="1"/>
  <c r="AS453" i="8"/>
  <c r="AV453" i="8"/>
  <c r="AT453" i="8"/>
  <c r="AU453" i="8"/>
  <c r="AZ445" i="8"/>
  <c r="BD445" i="8" s="1"/>
  <c r="AY445" i="8"/>
  <c r="BC445" i="8" s="1"/>
  <c r="AX445" i="8"/>
  <c r="BB445" i="8" s="1"/>
  <c r="AW445" i="8"/>
  <c r="BA445" i="8" s="1"/>
  <c r="AS445" i="8"/>
  <c r="AV445" i="8"/>
  <c r="AU445" i="8"/>
  <c r="AT445" i="8"/>
  <c r="AZ437" i="8"/>
  <c r="BD437" i="8" s="1"/>
  <c r="AY437" i="8"/>
  <c r="BC437" i="8" s="1"/>
  <c r="AX437" i="8"/>
  <c r="BB437" i="8" s="1"/>
  <c r="AW437" i="8"/>
  <c r="BA437" i="8" s="1"/>
  <c r="AS437" i="8"/>
  <c r="AV437" i="8"/>
  <c r="AT437" i="8"/>
  <c r="AU437" i="8"/>
  <c r="AZ429" i="8"/>
  <c r="BD429" i="8" s="1"/>
  <c r="AW429" i="8"/>
  <c r="BA429" i="8" s="1"/>
  <c r="AY429" i="8"/>
  <c r="BC429" i="8" s="1"/>
  <c r="AX429" i="8"/>
  <c r="BB429" i="8" s="1"/>
  <c r="AV429" i="8"/>
  <c r="AT429" i="8"/>
  <c r="AU429" i="8"/>
  <c r="AS429" i="8"/>
  <c r="AZ413" i="8"/>
  <c r="BD413" i="8" s="1"/>
  <c r="AW413" i="8"/>
  <c r="BA413" i="8" s="1"/>
  <c r="AX413" i="8"/>
  <c r="BB413" i="8" s="1"/>
  <c r="AY413" i="8"/>
  <c r="BC413" i="8" s="1"/>
  <c r="AV413" i="8"/>
  <c r="AT413" i="8"/>
  <c r="AS413" i="8"/>
  <c r="AU413" i="8"/>
  <c r="AZ405" i="8"/>
  <c r="BD405" i="8" s="1"/>
  <c r="AY405" i="8"/>
  <c r="BC405" i="8" s="1"/>
  <c r="AX405" i="8"/>
  <c r="BB405" i="8" s="1"/>
  <c r="AW405" i="8"/>
  <c r="BA405" i="8" s="1"/>
  <c r="AT405" i="8"/>
  <c r="AS405" i="8"/>
  <c r="AV405" i="8"/>
  <c r="AU405" i="8"/>
  <c r="AZ389" i="8"/>
  <c r="BD389" i="8" s="1"/>
  <c r="AX389" i="8"/>
  <c r="BB389" i="8" s="1"/>
  <c r="AW389" i="8"/>
  <c r="BA389" i="8" s="1"/>
  <c r="AY389" i="8"/>
  <c r="BC389" i="8" s="1"/>
  <c r="AT389" i="8"/>
  <c r="AS389" i="8"/>
  <c r="AV389" i="8"/>
  <c r="AU389" i="8"/>
  <c r="AW381" i="8"/>
  <c r="BA381" i="8" s="1"/>
  <c r="AZ381" i="8"/>
  <c r="BD381" i="8" s="1"/>
  <c r="AY381" i="8"/>
  <c r="BC381" i="8" s="1"/>
  <c r="AX381" i="8"/>
  <c r="BB381" i="8" s="1"/>
  <c r="AT381" i="8"/>
  <c r="AS381" i="8"/>
  <c r="AV381" i="8"/>
  <c r="AU381" i="8"/>
  <c r="AZ373" i="8"/>
  <c r="BD373" i="8" s="1"/>
  <c r="AX373" i="8"/>
  <c r="BB373" i="8" s="1"/>
  <c r="AW373" i="8"/>
  <c r="BA373" i="8" s="1"/>
  <c r="AY373" i="8"/>
  <c r="BC373" i="8" s="1"/>
  <c r="AT373" i="8"/>
  <c r="AS373" i="8"/>
  <c r="AV373" i="8"/>
  <c r="AU373" i="8"/>
  <c r="AY357" i="8"/>
  <c r="BC357" i="8" s="1"/>
  <c r="AX357" i="8"/>
  <c r="BB357" i="8" s="1"/>
  <c r="AZ357" i="8"/>
  <c r="BD357" i="8" s="1"/>
  <c r="AW357" i="8"/>
  <c r="BA357" i="8" s="1"/>
  <c r="AT357" i="8"/>
  <c r="AS357" i="8"/>
  <c r="AV357" i="8"/>
  <c r="AU357" i="8"/>
  <c r="AY349" i="8"/>
  <c r="BC349" i="8" s="1"/>
  <c r="AX349" i="8"/>
  <c r="BB349" i="8" s="1"/>
  <c r="AZ349" i="8"/>
  <c r="BD349" i="8" s="1"/>
  <c r="AW349" i="8"/>
  <c r="BA349" i="8" s="1"/>
  <c r="AT349" i="8"/>
  <c r="AS349" i="8"/>
  <c r="AV349" i="8"/>
  <c r="AU349" i="8"/>
  <c r="AY341" i="8"/>
  <c r="BC341" i="8" s="1"/>
  <c r="AX341" i="8"/>
  <c r="BB341" i="8" s="1"/>
  <c r="AZ341" i="8"/>
  <c r="BD341" i="8" s="1"/>
  <c r="AW341" i="8"/>
  <c r="BA341" i="8" s="1"/>
  <c r="AT341" i="8"/>
  <c r="AS341" i="8"/>
  <c r="AV341" i="8"/>
  <c r="AU341" i="8"/>
  <c r="AY333" i="8"/>
  <c r="BC333" i="8" s="1"/>
  <c r="AX333" i="8"/>
  <c r="BB333" i="8" s="1"/>
  <c r="AZ333" i="8"/>
  <c r="BD333" i="8" s="1"/>
  <c r="AW333" i="8"/>
  <c r="BA333" i="8" s="1"/>
  <c r="AT333" i="8"/>
  <c r="AS333" i="8"/>
  <c r="AV333" i="8"/>
  <c r="AU333" i="8"/>
  <c r="AY325" i="8"/>
  <c r="BC325" i="8" s="1"/>
  <c r="AX325" i="8"/>
  <c r="BB325" i="8" s="1"/>
  <c r="AZ325" i="8"/>
  <c r="BD325" i="8" s="1"/>
  <c r="AW325" i="8"/>
  <c r="BA325" i="8" s="1"/>
  <c r="AT325" i="8"/>
  <c r="AS325" i="8"/>
  <c r="AV325" i="8"/>
  <c r="AU325" i="8"/>
  <c r="AZ317" i="8"/>
  <c r="BD317" i="8" s="1"/>
  <c r="AY317" i="8"/>
  <c r="BC317" i="8" s="1"/>
  <c r="AX317" i="8"/>
  <c r="BB317" i="8" s="1"/>
  <c r="AW317" i="8"/>
  <c r="BA317" i="8" s="1"/>
  <c r="AT317" i="8"/>
  <c r="AS317" i="8"/>
  <c r="AV317" i="8"/>
  <c r="AU317" i="8"/>
  <c r="AZ309" i="8"/>
  <c r="BD309" i="8" s="1"/>
  <c r="AY309" i="8"/>
  <c r="BC309" i="8" s="1"/>
  <c r="AX309" i="8"/>
  <c r="BB309" i="8" s="1"/>
  <c r="AW309" i="8"/>
  <c r="BA309" i="8" s="1"/>
  <c r="AT309" i="8"/>
  <c r="AS309" i="8"/>
  <c r="AV309" i="8"/>
  <c r="AU309" i="8"/>
  <c r="AZ301" i="8"/>
  <c r="BD301" i="8" s="1"/>
  <c r="AY301" i="8"/>
  <c r="BC301" i="8" s="1"/>
  <c r="AX301" i="8"/>
  <c r="BB301" i="8" s="1"/>
  <c r="AW301" i="8"/>
  <c r="BA301" i="8" s="1"/>
  <c r="AT301" i="8"/>
  <c r="AS301" i="8"/>
  <c r="AV301" i="8"/>
  <c r="AU301" i="8"/>
  <c r="AZ293" i="8"/>
  <c r="BD293" i="8" s="1"/>
  <c r="AY293" i="8"/>
  <c r="BC293" i="8" s="1"/>
  <c r="AX293" i="8"/>
  <c r="BB293" i="8" s="1"/>
  <c r="AW293" i="8"/>
  <c r="BA293" i="8" s="1"/>
  <c r="AT293" i="8"/>
  <c r="AS293" i="8"/>
  <c r="AV293" i="8"/>
  <c r="AU293" i="8"/>
  <c r="AZ285" i="8"/>
  <c r="BD285" i="8" s="1"/>
  <c r="AY285" i="8"/>
  <c r="BC285" i="8" s="1"/>
  <c r="AX285" i="8"/>
  <c r="BB285" i="8" s="1"/>
  <c r="AW285" i="8"/>
  <c r="BA285" i="8" s="1"/>
  <c r="AT285" i="8"/>
  <c r="AS285" i="8"/>
  <c r="AV285" i="8"/>
  <c r="AU285" i="8"/>
  <c r="AZ277" i="8"/>
  <c r="BD277" i="8" s="1"/>
  <c r="AY277" i="8"/>
  <c r="BC277" i="8" s="1"/>
  <c r="AX277" i="8"/>
  <c r="BB277" i="8" s="1"/>
  <c r="AW277" i="8"/>
  <c r="BA277" i="8" s="1"/>
  <c r="AT277" i="8"/>
  <c r="AS277" i="8"/>
  <c r="AV277" i="8"/>
  <c r="AU277" i="8"/>
  <c r="AZ269" i="8"/>
  <c r="BD269" i="8" s="1"/>
  <c r="AY269" i="8"/>
  <c r="BC269" i="8" s="1"/>
  <c r="AX269" i="8"/>
  <c r="BB269" i="8" s="1"/>
  <c r="AW269" i="8"/>
  <c r="BA269" i="8" s="1"/>
  <c r="AT269" i="8"/>
  <c r="AS269" i="8"/>
  <c r="AV269" i="8"/>
  <c r="AU269" i="8"/>
  <c r="AY261" i="8"/>
  <c r="BC261" i="8" s="1"/>
  <c r="AX261" i="8"/>
  <c r="BB261" i="8" s="1"/>
  <c r="AW261" i="8"/>
  <c r="BA261" i="8" s="1"/>
  <c r="AZ261" i="8"/>
  <c r="BD261" i="8" s="1"/>
  <c r="AT261" i="8"/>
  <c r="AS261" i="8"/>
  <c r="AV261" i="8"/>
  <c r="AU261" i="8"/>
  <c r="AY245" i="8"/>
  <c r="BC245" i="8" s="1"/>
  <c r="AX245" i="8"/>
  <c r="BB245" i="8" s="1"/>
  <c r="AW245" i="8"/>
  <c r="BA245" i="8" s="1"/>
  <c r="AZ245" i="8"/>
  <c r="BD245" i="8" s="1"/>
  <c r="AT245" i="8"/>
  <c r="AS245" i="8"/>
  <c r="AV245" i="8"/>
  <c r="AU245" i="8"/>
  <c r="AY237" i="8"/>
  <c r="BC237" i="8" s="1"/>
  <c r="AX237" i="8"/>
  <c r="BB237" i="8" s="1"/>
  <c r="AW237" i="8"/>
  <c r="BA237" i="8" s="1"/>
  <c r="AZ237" i="8"/>
  <c r="BD237" i="8" s="1"/>
  <c r="AT237" i="8"/>
  <c r="AS237" i="8"/>
  <c r="AV237" i="8"/>
  <c r="AU237" i="8"/>
  <c r="AY229" i="8"/>
  <c r="BC229" i="8" s="1"/>
  <c r="AW229" i="8"/>
  <c r="BA229" i="8" s="1"/>
  <c r="AZ229" i="8"/>
  <c r="BD229" i="8" s="1"/>
  <c r="AX229" i="8"/>
  <c r="BB229" i="8" s="1"/>
  <c r="AT229" i="8"/>
  <c r="AS229" i="8"/>
  <c r="AV229" i="8"/>
  <c r="AU229" i="8"/>
  <c r="AY221" i="8"/>
  <c r="BC221" i="8" s="1"/>
  <c r="AW221" i="8"/>
  <c r="BA221" i="8" s="1"/>
  <c r="AX221" i="8"/>
  <c r="BB221" i="8" s="1"/>
  <c r="AZ221" i="8"/>
  <c r="BD221" i="8" s="1"/>
  <c r="AT221" i="8"/>
  <c r="AS221" i="8"/>
  <c r="AV221" i="8"/>
  <c r="AU221" i="8"/>
  <c r="AW213" i="8"/>
  <c r="BA213" i="8" s="1"/>
  <c r="AZ213" i="8"/>
  <c r="BD213" i="8" s="1"/>
  <c r="AY213" i="8"/>
  <c r="BC213" i="8" s="1"/>
  <c r="AX213" i="8"/>
  <c r="BB213" i="8" s="1"/>
  <c r="AT213" i="8"/>
  <c r="AV213" i="8"/>
  <c r="AS213" i="8"/>
  <c r="AU213" i="8"/>
  <c r="AW205" i="8"/>
  <c r="BA205" i="8" s="1"/>
  <c r="AZ205" i="8"/>
  <c r="BD205" i="8" s="1"/>
  <c r="AY205" i="8"/>
  <c r="BC205" i="8" s="1"/>
  <c r="AX205" i="8"/>
  <c r="BB205" i="8" s="1"/>
  <c r="AS205" i="8"/>
  <c r="AU205" i="8"/>
  <c r="AV205" i="8"/>
  <c r="AT205" i="8"/>
  <c r="AZ197" i="8"/>
  <c r="BD197" i="8" s="1"/>
  <c r="AY197" i="8"/>
  <c r="BC197" i="8" s="1"/>
  <c r="AX197" i="8"/>
  <c r="BB197" i="8" s="1"/>
  <c r="AW197" i="8"/>
  <c r="BA197" i="8" s="1"/>
  <c r="AS197" i="8"/>
  <c r="AU197" i="8"/>
  <c r="AV197" i="8"/>
  <c r="AT197" i="8"/>
  <c r="AZ189" i="8"/>
  <c r="BD189" i="8" s="1"/>
  <c r="AY189" i="8"/>
  <c r="BC189" i="8" s="1"/>
  <c r="AX189" i="8"/>
  <c r="BB189" i="8" s="1"/>
  <c r="AW189" i="8"/>
  <c r="BA189" i="8" s="1"/>
  <c r="AS189" i="8"/>
  <c r="AU189" i="8"/>
  <c r="AV189" i="8"/>
  <c r="AT189" i="8"/>
  <c r="AZ181" i="8"/>
  <c r="BD181" i="8" s="1"/>
  <c r="AY181" i="8"/>
  <c r="BC181" i="8" s="1"/>
  <c r="AX181" i="8"/>
  <c r="BB181" i="8" s="1"/>
  <c r="AW181" i="8"/>
  <c r="BA181" i="8" s="1"/>
  <c r="AS181" i="8"/>
  <c r="AU181" i="8"/>
  <c r="AV181" i="8"/>
  <c r="AT181" i="8"/>
  <c r="AZ173" i="8"/>
  <c r="BD173" i="8" s="1"/>
  <c r="AY173" i="8"/>
  <c r="BC173" i="8" s="1"/>
  <c r="AX173" i="8"/>
  <c r="BB173" i="8" s="1"/>
  <c r="AW173" i="8"/>
  <c r="BA173" i="8" s="1"/>
  <c r="AS173" i="8"/>
  <c r="AU173" i="8"/>
  <c r="AV173" i="8"/>
  <c r="AT173" i="8"/>
  <c r="AZ165" i="8"/>
  <c r="BD165" i="8" s="1"/>
  <c r="AY165" i="8"/>
  <c r="BC165" i="8" s="1"/>
  <c r="AX165" i="8"/>
  <c r="BB165" i="8" s="1"/>
  <c r="AW165" i="8"/>
  <c r="BA165" i="8" s="1"/>
  <c r="AS165" i="8"/>
  <c r="AU165" i="8"/>
  <c r="AV165" i="8"/>
  <c r="AT165" i="8"/>
  <c r="AZ157" i="8"/>
  <c r="BD157" i="8" s="1"/>
  <c r="AY157" i="8"/>
  <c r="BC157" i="8" s="1"/>
  <c r="AX157" i="8"/>
  <c r="BB157" i="8" s="1"/>
  <c r="AW157" i="8"/>
  <c r="BA157" i="8" s="1"/>
  <c r="AS157" i="8"/>
  <c r="AU157" i="8"/>
  <c r="AV157" i="8"/>
  <c r="AT157" i="8"/>
  <c r="AZ149" i="8"/>
  <c r="BD149" i="8" s="1"/>
  <c r="AY149" i="8"/>
  <c r="BC149" i="8" s="1"/>
  <c r="AX149" i="8"/>
  <c r="BB149" i="8" s="1"/>
  <c r="AW149" i="8"/>
  <c r="BA149" i="8" s="1"/>
  <c r="AS149" i="8"/>
  <c r="AU149" i="8"/>
  <c r="AV149" i="8"/>
  <c r="AT149" i="8"/>
  <c r="AZ141" i="8"/>
  <c r="BD141" i="8" s="1"/>
  <c r="AY141" i="8"/>
  <c r="BC141" i="8" s="1"/>
  <c r="AX141" i="8"/>
  <c r="BB141" i="8" s="1"/>
  <c r="AW141" i="8"/>
  <c r="BA141" i="8" s="1"/>
  <c r="AS141" i="8"/>
  <c r="AU141" i="8"/>
  <c r="AV141" i="8"/>
  <c r="AT141" i="8"/>
  <c r="AZ133" i="8"/>
  <c r="BD133" i="8" s="1"/>
  <c r="AY133" i="8"/>
  <c r="BC133" i="8" s="1"/>
  <c r="AX133" i="8"/>
  <c r="BB133" i="8" s="1"/>
  <c r="AW133" i="8"/>
  <c r="BA133" i="8" s="1"/>
  <c r="AS133" i="8"/>
  <c r="AU133" i="8"/>
  <c r="AV133" i="8"/>
  <c r="AT133" i="8"/>
  <c r="AZ125" i="8"/>
  <c r="BD125" i="8" s="1"/>
  <c r="AY125" i="8"/>
  <c r="BC125" i="8" s="1"/>
  <c r="AX125" i="8"/>
  <c r="BB125" i="8" s="1"/>
  <c r="AW125" i="8"/>
  <c r="BA125" i="8" s="1"/>
  <c r="AS125" i="8"/>
  <c r="AU125" i="8"/>
  <c r="AV125" i="8"/>
  <c r="AT125" i="8"/>
  <c r="AZ109" i="8"/>
  <c r="BD109" i="8" s="1"/>
  <c r="AY109" i="8"/>
  <c r="BC109" i="8" s="1"/>
  <c r="AX109" i="8"/>
  <c r="BB109" i="8" s="1"/>
  <c r="AW109" i="8"/>
  <c r="BA109" i="8" s="1"/>
  <c r="AS109" i="8"/>
  <c r="AU109" i="8"/>
  <c r="AT109" i="8"/>
  <c r="AV109" i="8"/>
  <c r="AZ101" i="8"/>
  <c r="BD101" i="8" s="1"/>
  <c r="AY101" i="8"/>
  <c r="BC101" i="8" s="1"/>
  <c r="AX101" i="8"/>
  <c r="BB101" i="8" s="1"/>
  <c r="AW101" i="8"/>
  <c r="BA101" i="8" s="1"/>
  <c r="AS101" i="8"/>
  <c r="AU101" i="8"/>
  <c r="AT101" i="8"/>
  <c r="AV101" i="8"/>
  <c r="AZ94" i="8"/>
  <c r="BD94" i="8" s="1"/>
  <c r="AY94" i="8"/>
  <c r="BC94" i="8" s="1"/>
  <c r="AX94" i="8"/>
  <c r="BB94" i="8" s="1"/>
  <c r="AW94" i="8"/>
  <c r="BA94" i="8" s="1"/>
  <c r="AS94" i="8"/>
  <c r="AU94" i="8"/>
  <c r="AT94" i="8"/>
  <c r="AV94" i="8"/>
  <c r="AZ86" i="8"/>
  <c r="BD86" i="8" s="1"/>
  <c r="AY86" i="8"/>
  <c r="BC86" i="8" s="1"/>
  <c r="AX86" i="8"/>
  <c r="BB86" i="8" s="1"/>
  <c r="AW86" i="8"/>
  <c r="BA86" i="8" s="1"/>
  <c r="AS86" i="8"/>
  <c r="AU86" i="8"/>
  <c r="AT86" i="8"/>
  <c r="AV86" i="8"/>
  <c r="AZ78" i="8"/>
  <c r="BD78" i="8" s="1"/>
  <c r="AY78" i="8"/>
  <c r="BC78" i="8" s="1"/>
  <c r="AX78" i="8"/>
  <c r="BB78" i="8" s="1"/>
  <c r="AW78" i="8"/>
  <c r="BA78" i="8" s="1"/>
  <c r="AS78" i="8"/>
  <c r="AU78" i="8"/>
  <c r="AT78" i="8"/>
  <c r="AV78" i="8"/>
  <c r="AY62" i="8"/>
  <c r="BC62" i="8" s="1"/>
  <c r="AX62" i="8"/>
  <c r="BB62" i="8" s="1"/>
  <c r="AW62" i="8"/>
  <c r="BA62" i="8" s="1"/>
  <c r="AZ62" i="8"/>
  <c r="BD62" i="8" s="1"/>
  <c r="AS62" i="8"/>
  <c r="AU62" i="8"/>
  <c r="AT62" i="8"/>
  <c r="AV62" i="8"/>
  <c r="AY54" i="8"/>
  <c r="BC54" i="8" s="1"/>
  <c r="AX54" i="8"/>
  <c r="BB54" i="8" s="1"/>
  <c r="AW54" i="8"/>
  <c r="BA54" i="8" s="1"/>
  <c r="AZ54" i="8"/>
  <c r="BD54" i="8" s="1"/>
  <c r="AS54" i="8"/>
  <c r="AU54" i="8"/>
  <c r="AT54" i="8"/>
  <c r="AV54" i="8"/>
  <c r="AY46" i="8"/>
  <c r="BC46" i="8" s="1"/>
  <c r="AX46" i="8"/>
  <c r="BB46" i="8" s="1"/>
  <c r="AW46" i="8"/>
  <c r="BA46" i="8" s="1"/>
  <c r="AZ46" i="8"/>
  <c r="BD46" i="8" s="1"/>
  <c r="AS46" i="8"/>
  <c r="AV46" i="8"/>
  <c r="AU46" i="8"/>
  <c r="AT46" i="8"/>
  <c r="AY38" i="8"/>
  <c r="BC38" i="8" s="1"/>
  <c r="AX38" i="8"/>
  <c r="BB38" i="8" s="1"/>
  <c r="AW38" i="8"/>
  <c r="BA38" i="8" s="1"/>
  <c r="AZ38" i="8"/>
  <c r="BD38" i="8" s="1"/>
  <c r="AS38" i="8"/>
  <c r="AV38" i="8"/>
  <c r="AU38" i="8"/>
  <c r="AT38" i="8"/>
  <c r="AX22" i="8"/>
  <c r="BB22" i="8" s="1"/>
  <c r="AW22" i="8"/>
  <c r="BA22" i="8" s="1"/>
  <c r="AZ22" i="8"/>
  <c r="BD22" i="8" s="1"/>
  <c r="AY22" i="8"/>
  <c r="BC22" i="8" s="1"/>
  <c r="AS22" i="8"/>
  <c r="AV22" i="8"/>
  <c r="AU22" i="8"/>
  <c r="AT22" i="8"/>
  <c r="AX14" i="8"/>
  <c r="BB14" i="8" s="1"/>
  <c r="AW14" i="8"/>
  <c r="BA14" i="8" s="1"/>
  <c r="AY14" i="8"/>
  <c r="BC14" i="8" s="1"/>
  <c r="AZ14" i="8"/>
  <c r="BD14" i="8" s="1"/>
  <c r="AS14" i="8"/>
  <c r="AV14" i="8"/>
  <c r="AU14" i="8"/>
  <c r="AT14" i="8"/>
  <c r="AW572" i="8"/>
  <c r="BA572" i="8" s="1"/>
  <c r="AZ572" i="8"/>
  <c r="BD572" i="8" s="1"/>
  <c r="AY572" i="8"/>
  <c r="BC572" i="8" s="1"/>
  <c r="AX572" i="8"/>
  <c r="BB572" i="8" s="1"/>
  <c r="AT572" i="8"/>
  <c r="AS572" i="8"/>
  <c r="AU572" i="8"/>
  <c r="AV572" i="8"/>
  <c r="AY564" i="8"/>
  <c r="BC564" i="8" s="1"/>
  <c r="AW564" i="8"/>
  <c r="BA564" i="8" s="1"/>
  <c r="AZ564" i="8"/>
  <c r="BD564" i="8" s="1"/>
  <c r="AX564" i="8"/>
  <c r="BB564" i="8" s="1"/>
  <c r="AT564" i="8"/>
  <c r="AS564" i="8"/>
  <c r="AU564" i="8"/>
  <c r="AV564" i="8"/>
  <c r="AY556" i="8"/>
  <c r="BC556" i="8" s="1"/>
  <c r="AW556" i="8"/>
  <c r="BA556" i="8" s="1"/>
  <c r="AZ556" i="8"/>
  <c r="BD556" i="8" s="1"/>
  <c r="AX556" i="8"/>
  <c r="BB556" i="8" s="1"/>
  <c r="AT556" i="8"/>
  <c r="AS556" i="8"/>
  <c r="AU556" i="8"/>
  <c r="AV556" i="8"/>
  <c r="AY548" i="8"/>
  <c r="BC548" i="8" s="1"/>
  <c r="AW548" i="8"/>
  <c r="BA548" i="8" s="1"/>
  <c r="AZ548" i="8"/>
  <c r="BD548" i="8" s="1"/>
  <c r="AX548" i="8"/>
  <c r="BB548" i="8" s="1"/>
  <c r="AT548" i="8"/>
  <c r="AS548" i="8"/>
  <c r="AU548" i="8"/>
  <c r="AV548" i="8"/>
  <c r="AY540" i="8"/>
  <c r="BC540" i="8" s="1"/>
  <c r="AW540" i="8"/>
  <c r="BA540" i="8" s="1"/>
  <c r="AZ540" i="8"/>
  <c r="BD540" i="8" s="1"/>
  <c r="AX540" i="8"/>
  <c r="BB540" i="8" s="1"/>
  <c r="AT540" i="8"/>
  <c r="AS540" i="8"/>
  <c r="AV540" i="8"/>
  <c r="AU540" i="8"/>
  <c r="AW532" i="8"/>
  <c r="BA532" i="8" s="1"/>
  <c r="AZ532" i="8"/>
  <c r="BD532" i="8" s="1"/>
  <c r="AY532" i="8"/>
  <c r="BC532" i="8" s="1"/>
  <c r="AX532" i="8"/>
  <c r="BB532" i="8" s="1"/>
  <c r="AT532" i="8"/>
  <c r="AS532" i="8"/>
  <c r="AU532" i="8"/>
  <c r="AV532" i="8"/>
  <c r="AW524" i="8"/>
  <c r="BA524" i="8" s="1"/>
  <c r="AZ524" i="8"/>
  <c r="BD524" i="8" s="1"/>
  <c r="AY524" i="8"/>
  <c r="BC524" i="8" s="1"/>
  <c r="AX524" i="8"/>
  <c r="BB524" i="8" s="1"/>
  <c r="AT524" i="8"/>
  <c r="AS524" i="8"/>
  <c r="AV524" i="8"/>
  <c r="AU524" i="8"/>
  <c r="AW516" i="8"/>
  <c r="BA516" i="8" s="1"/>
  <c r="AZ516" i="8"/>
  <c r="BD516" i="8" s="1"/>
  <c r="AY516" i="8"/>
  <c r="BC516" i="8" s="1"/>
  <c r="AX516" i="8"/>
  <c r="BB516" i="8" s="1"/>
  <c r="AT516" i="8"/>
  <c r="AS516" i="8"/>
  <c r="AU516" i="8"/>
  <c r="AV516" i="8"/>
  <c r="AW508" i="8"/>
  <c r="AY508" i="8"/>
  <c r="AX508" i="8"/>
  <c r="AZ508" i="8"/>
  <c r="AT508" i="8"/>
  <c r="AS508" i="8"/>
  <c r="AV508" i="8"/>
  <c r="AU508" i="8"/>
  <c r="AW500" i="8"/>
  <c r="BA500" i="8" s="1"/>
  <c r="AZ500" i="8"/>
  <c r="BD500" i="8" s="1"/>
  <c r="AY500" i="8"/>
  <c r="BC500" i="8" s="1"/>
  <c r="AX500" i="8"/>
  <c r="BB500" i="8" s="1"/>
  <c r="AT500" i="8"/>
  <c r="AS500" i="8"/>
  <c r="AU500" i="8"/>
  <c r="AV500" i="8"/>
  <c r="AW492" i="8"/>
  <c r="AZ492" i="8"/>
  <c r="BD492" i="8" s="1"/>
  <c r="AY492" i="8"/>
  <c r="BC492" i="8" s="1"/>
  <c r="AX492" i="8"/>
  <c r="BB492" i="8" s="1"/>
  <c r="AT492" i="8"/>
  <c r="AS492" i="8"/>
  <c r="AV492" i="8"/>
  <c r="AU492" i="8"/>
  <c r="AW484" i="8"/>
  <c r="BA484" i="8" s="1"/>
  <c r="AZ484" i="8"/>
  <c r="BD484" i="8" s="1"/>
  <c r="AY484" i="8"/>
  <c r="BC484" i="8" s="1"/>
  <c r="AX484" i="8"/>
  <c r="BB484" i="8" s="1"/>
  <c r="AT484" i="8"/>
  <c r="AS484" i="8"/>
  <c r="AU484" i="8"/>
  <c r="AV484" i="8"/>
  <c r="AW476" i="8"/>
  <c r="BA476" i="8" s="1"/>
  <c r="AY476" i="8"/>
  <c r="BC476" i="8" s="1"/>
  <c r="AX476" i="8"/>
  <c r="BB476" i="8" s="1"/>
  <c r="AZ476" i="8"/>
  <c r="BD476" i="8" s="1"/>
  <c r="AT476" i="8"/>
  <c r="AS476" i="8"/>
  <c r="AV476" i="8"/>
  <c r="AU476" i="8"/>
  <c r="AW468" i="8"/>
  <c r="BA468" i="8" s="1"/>
  <c r="AZ468" i="8"/>
  <c r="BD468" i="8" s="1"/>
  <c r="AY468" i="8"/>
  <c r="BC468" i="8" s="1"/>
  <c r="AX468" i="8"/>
  <c r="BB468" i="8" s="1"/>
  <c r="AT468" i="8"/>
  <c r="AS468" i="8"/>
  <c r="AU468" i="8"/>
  <c r="AV468" i="8"/>
  <c r="AY460" i="8"/>
  <c r="BC460" i="8" s="1"/>
  <c r="AX460" i="8"/>
  <c r="BB460" i="8" s="1"/>
  <c r="AZ460" i="8"/>
  <c r="BD460" i="8" s="1"/>
  <c r="AW460" i="8"/>
  <c r="BA460" i="8" s="1"/>
  <c r="AT460" i="8"/>
  <c r="AS460" i="8"/>
  <c r="AV460" i="8"/>
  <c r="AU460" i="8"/>
  <c r="AZ436" i="8"/>
  <c r="BD436" i="8" s="1"/>
  <c r="AY436" i="8"/>
  <c r="BC436" i="8" s="1"/>
  <c r="AX436" i="8"/>
  <c r="BB436" i="8" s="1"/>
  <c r="AW436" i="8"/>
  <c r="BA436" i="8" s="1"/>
  <c r="AT436" i="8"/>
  <c r="AS436" i="8"/>
  <c r="AU436" i="8"/>
  <c r="AV436" i="8"/>
  <c r="AY428" i="8"/>
  <c r="BC428" i="8" s="1"/>
  <c r="AX428" i="8"/>
  <c r="BB428" i="8" s="1"/>
  <c r="AW428" i="8"/>
  <c r="BA428" i="8" s="1"/>
  <c r="AZ428" i="8"/>
  <c r="BD428" i="8" s="1"/>
  <c r="AS428" i="8"/>
  <c r="AV428" i="8"/>
  <c r="AU428" i="8"/>
  <c r="AT428" i="8"/>
  <c r="AZ420" i="8"/>
  <c r="BD420" i="8" s="1"/>
  <c r="AY420" i="8"/>
  <c r="BC420" i="8" s="1"/>
  <c r="AX420" i="8"/>
  <c r="BB420" i="8" s="1"/>
  <c r="AW420" i="8"/>
  <c r="BA420" i="8" s="1"/>
  <c r="AS420" i="8"/>
  <c r="AV420" i="8"/>
  <c r="AT420" i="8"/>
  <c r="AU420" i="8"/>
  <c r="AY412" i="8"/>
  <c r="BC412" i="8" s="1"/>
  <c r="AX412" i="8"/>
  <c r="BB412" i="8" s="1"/>
  <c r="AZ412" i="8"/>
  <c r="BD412" i="8" s="1"/>
  <c r="AW412" i="8"/>
  <c r="BA412" i="8" s="1"/>
  <c r="AS412" i="8"/>
  <c r="AV412" i="8"/>
  <c r="AU412" i="8"/>
  <c r="AT412" i="8"/>
  <c r="AW404" i="8"/>
  <c r="BA404" i="8" s="1"/>
  <c r="AY404" i="8"/>
  <c r="BC404" i="8" s="1"/>
  <c r="AX404" i="8"/>
  <c r="BB404" i="8" s="1"/>
  <c r="AZ404" i="8"/>
  <c r="BD404" i="8" s="1"/>
  <c r="AU404" i="8"/>
  <c r="AS404" i="8"/>
  <c r="AV404" i="8"/>
  <c r="AT404" i="8"/>
  <c r="AW396" i="8"/>
  <c r="BA396" i="8" s="1"/>
  <c r="AZ396" i="8"/>
  <c r="BD396" i="8" s="1"/>
  <c r="AX396" i="8"/>
  <c r="BB396" i="8" s="1"/>
  <c r="AY396" i="8"/>
  <c r="BC396" i="8" s="1"/>
  <c r="AU396" i="8"/>
  <c r="AS396" i="8"/>
  <c r="AT396" i="8"/>
  <c r="AV396" i="8"/>
  <c r="AW388" i="8"/>
  <c r="AX388" i="8"/>
  <c r="BB388" i="8" s="1"/>
  <c r="AZ388" i="8"/>
  <c r="BD388" i="8" s="1"/>
  <c r="AY388" i="8"/>
  <c r="BC388" i="8" s="1"/>
  <c r="AU388" i="8"/>
  <c r="AS388" i="8"/>
  <c r="AV388" i="8"/>
  <c r="AT388" i="8"/>
  <c r="AW380" i="8"/>
  <c r="BA380" i="8" s="1"/>
  <c r="AZ380" i="8"/>
  <c r="BD380" i="8" s="1"/>
  <c r="AX380" i="8"/>
  <c r="BB380" i="8" s="1"/>
  <c r="AY380" i="8"/>
  <c r="BC380" i="8" s="1"/>
  <c r="AU380" i="8"/>
  <c r="AS380" i="8"/>
  <c r="AT380" i="8"/>
  <c r="AV380" i="8"/>
  <c r="AZ356" i="8"/>
  <c r="BD356" i="8" s="1"/>
  <c r="AY356" i="8"/>
  <c r="BC356" i="8" s="1"/>
  <c r="AX356" i="8"/>
  <c r="BB356" i="8" s="1"/>
  <c r="AW356" i="8"/>
  <c r="BA356" i="8" s="1"/>
  <c r="AU356" i="8"/>
  <c r="AS356" i="8"/>
  <c r="AV356" i="8"/>
  <c r="AT356" i="8"/>
  <c r="AZ348" i="8"/>
  <c r="BD348" i="8" s="1"/>
  <c r="AY348" i="8"/>
  <c r="BC348" i="8" s="1"/>
  <c r="AX348" i="8"/>
  <c r="BB348" i="8" s="1"/>
  <c r="AW348" i="8"/>
  <c r="BA348" i="8" s="1"/>
  <c r="AU348" i="8"/>
  <c r="AS348" i="8"/>
  <c r="AV348" i="8"/>
  <c r="AT348" i="8"/>
  <c r="AZ340" i="8"/>
  <c r="BD340" i="8" s="1"/>
  <c r="AY340" i="8"/>
  <c r="BC340" i="8" s="1"/>
  <c r="AX340" i="8"/>
  <c r="BB340" i="8" s="1"/>
  <c r="AW340" i="8"/>
  <c r="BA340" i="8" s="1"/>
  <c r="AU340" i="8"/>
  <c r="AS340" i="8"/>
  <c r="AV340" i="8"/>
  <c r="AT340" i="8"/>
  <c r="AZ332" i="8"/>
  <c r="BD332" i="8" s="1"/>
  <c r="AY332" i="8"/>
  <c r="BC332" i="8" s="1"/>
  <c r="AX332" i="8"/>
  <c r="BB332" i="8" s="1"/>
  <c r="AW332" i="8"/>
  <c r="BA332" i="8" s="1"/>
  <c r="AU332" i="8"/>
  <c r="AS332" i="8"/>
  <c r="AV332" i="8"/>
  <c r="AT332" i="8"/>
  <c r="AZ324" i="8"/>
  <c r="AY324" i="8"/>
  <c r="AX324" i="8"/>
  <c r="AW324" i="8"/>
  <c r="AU324" i="8"/>
  <c r="AS324" i="8"/>
  <c r="AV324" i="8"/>
  <c r="AT324" i="8"/>
  <c r="AZ316" i="8"/>
  <c r="BD316" i="8" s="1"/>
  <c r="AY316" i="8"/>
  <c r="BC316" i="8" s="1"/>
  <c r="AX316" i="8"/>
  <c r="BB316" i="8" s="1"/>
  <c r="AW316" i="8"/>
  <c r="BA316" i="8" s="1"/>
  <c r="AU316" i="8"/>
  <c r="AS316" i="8"/>
  <c r="AV316" i="8"/>
  <c r="AT316" i="8"/>
  <c r="AZ308" i="8"/>
  <c r="BD308" i="8" s="1"/>
  <c r="AY308" i="8"/>
  <c r="BC308" i="8" s="1"/>
  <c r="AX308" i="8"/>
  <c r="BB308" i="8" s="1"/>
  <c r="AW308" i="8"/>
  <c r="BA308" i="8" s="1"/>
  <c r="AU308" i="8"/>
  <c r="AS308" i="8"/>
  <c r="AV308" i="8"/>
  <c r="AT308" i="8"/>
  <c r="AZ300" i="8"/>
  <c r="BD300" i="8" s="1"/>
  <c r="AY300" i="8"/>
  <c r="BC300" i="8" s="1"/>
  <c r="AX300" i="8"/>
  <c r="BB300" i="8" s="1"/>
  <c r="AW300" i="8"/>
  <c r="BA300" i="8" s="1"/>
  <c r="AU300" i="8"/>
  <c r="AS300" i="8"/>
  <c r="AV300" i="8"/>
  <c r="AT300" i="8"/>
  <c r="AZ292" i="8"/>
  <c r="BD292" i="8" s="1"/>
  <c r="AY292" i="8"/>
  <c r="BC292" i="8" s="1"/>
  <c r="AX292" i="8"/>
  <c r="BB292" i="8" s="1"/>
  <c r="AW292" i="8"/>
  <c r="BA292" i="8" s="1"/>
  <c r="AU292" i="8"/>
  <c r="AS292" i="8"/>
  <c r="AV292" i="8"/>
  <c r="AT292" i="8"/>
  <c r="AZ284" i="8"/>
  <c r="BD284" i="8" s="1"/>
  <c r="AY284" i="8"/>
  <c r="BC284" i="8" s="1"/>
  <c r="AX284" i="8"/>
  <c r="BB284" i="8" s="1"/>
  <c r="AW284" i="8"/>
  <c r="BA284" i="8" s="1"/>
  <c r="AU284" i="8"/>
  <c r="AS284" i="8"/>
  <c r="AV284" i="8"/>
  <c r="AT284" i="8"/>
  <c r="AZ276" i="8"/>
  <c r="BD276" i="8" s="1"/>
  <c r="AY276" i="8"/>
  <c r="BC276" i="8" s="1"/>
  <c r="AX276" i="8"/>
  <c r="BB276" i="8" s="1"/>
  <c r="AW276" i="8"/>
  <c r="BA276" i="8" s="1"/>
  <c r="AU276" i="8"/>
  <c r="AS276" i="8"/>
  <c r="AV276" i="8"/>
  <c r="AT276" i="8"/>
  <c r="AZ268" i="8"/>
  <c r="BD268" i="8" s="1"/>
  <c r="AY268" i="8"/>
  <c r="BC268" i="8" s="1"/>
  <c r="AX268" i="8"/>
  <c r="BB268" i="8" s="1"/>
  <c r="AW268" i="8"/>
  <c r="BA268" i="8" s="1"/>
  <c r="AU268" i="8"/>
  <c r="AS268" i="8"/>
  <c r="AV268" i="8"/>
  <c r="AT268" i="8"/>
  <c r="AZ260" i="8"/>
  <c r="BD260" i="8" s="1"/>
  <c r="AY260" i="8"/>
  <c r="BC260" i="8" s="1"/>
  <c r="AX260" i="8"/>
  <c r="BB260" i="8" s="1"/>
  <c r="AW260" i="8"/>
  <c r="BA260" i="8" s="1"/>
  <c r="AU260" i="8"/>
  <c r="AS260" i="8"/>
  <c r="AV260" i="8"/>
  <c r="AT260" i="8"/>
  <c r="AZ244" i="8"/>
  <c r="AY244" i="8"/>
  <c r="AX244" i="8"/>
  <c r="AW244" i="8"/>
  <c r="AU244" i="8"/>
  <c r="AS244" i="8"/>
  <c r="AV244" i="8"/>
  <c r="AT244" i="8"/>
  <c r="AZ236" i="8"/>
  <c r="AY236" i="8"/>
  <c r="AX236" i="8"/>
  <c r="AW236" i="8"/>
  <c r="AU236" i="8"/>
  <c r="AS236" i="8"/>
  <c r="AV236" i="8"/>
  <c r="AT236" i="8"/>
  <c r="AZ220" i="8"/>
  <c r="BD220" i="8" s="1"/>
  <c r="AY220" i="8"/>
  <c r="BC220" i="8" s="1"/>
  <c r="AX220" i="8"/>
  <c r="BB220" i="8" s="1"/>
  <c r="AW220" i="8"/>
  <c r="BA220" i="8" s="1"/>
  <c r="AU220" i="8"/>
  <c r="AS220" i="8"/>
  <c r="AV220" i="8"/>
  <c r="AT220" i="8"/>
  <c r="AZ212" i="8"/>
  <c r="BD212" i="8" s="1"/>
  <c r="AY212" i="8"/>
  <c r="BC212" i="8" s="1"/>
  <c r="AX212" i="8"/>
  <c r="BB212" i="8" s="1"/>
  <c r="AW212" i="8"/>
  <c r="BA212" i="8" s="1"/>
  <c r="AU212" i="8"/>
  <c r="AT212" i="8"/>
  <c r="AS212" i="8"/>
  <c r="AV212" i="8"/>
  <c r="AZ204" i="8"/>
  <c r="BD204" i="8" s="1"/>
  <c r="AX204" i="8"/>
  <c r="BB204" i="8" s="1"/>
  <c r="AW204" i="8"/>
  <c r="BA204" i="8" s="1"/>
  <c r="AY204" i="8"/>
  <c r="BC204" i="8" s="1"/>
  <c r="AV204" i="8"/>
  <c r="AU204" i="8"/>
  <c r="AS204" i="8"/>
  <c r="AT204" i="8"/>
  <c r="AW196" i="8"/>
  <c r="BA196" i="8" s="1"/>
  <c r="AY196" i="8"/>
  <c r="BC196" i="8" s="1"/>
  <c r="AZ196" i="8"/>
  <c r="BD196" i="8" s="1"/>
  <c r="AX196" i="8"/>
  <c r="BB196" i="8" s="1"/>
  <c r="AV196" i="8"/>
  <c r="AU196" i="8"/>
  <c r="AS196" i="8"/>
  <c r="AT196" i="8"/>
  <c r="AW188" i="8"/>
  <c r="BA188" i="8" s="1"/>
  <c r="AY188" i="8"/>
  <c r="BC188" i="8" s="1"/>
  <c r="AZ188" i="8"/>
  <c r="BD188" i="8" s="1"/>
  <c r="AX188" i="8"/>
  <c r="BB188" i="8" s="1"/>
  <c r="AV188" i="8"/>
  <c r="AU188" i="8"/>
  <c r="AS188" i="8"/>
  <c r="AT188" i="8"/>
  <c r="AW180" i="8"/>
  <c r="BA180" i="8" s="1"/>
  <c r="AY180" i="8"/>
  <c r="BC180" i="8" s="1"/>
  <c r="AZ180" i="8"/>
  <c r="BD180" i="8" s="1"/>
  <c r="AX180" i="8"/>
  <c r="BB180" i="8" s="1"/>
  <c r="AV180" i="8"/>
  <c r="AU180" i="8"/>
  <c r="AS180" i="8"/>
  <c r="AT180" i="8"/>
  <c r="AW172" i="8"/>
  <c r="BA172" i="8" s="1"/>
  <c r="AY172" i="8"/>
  <c r="BC172" i="8" s="1"/>
  <c r="AZ172" i="8"/>
  <c r="BD172" i="8" s="1"/>
  <c r="AX172" i="8"/>
  <c r="BB172" i="8" s="1"/>
  <c r="AV172" i="8"/>
  <c r="AU172" i="8"/>
  <c r="AS172" i="8"/>
  <c r="AT172" i="8"/>
  <c r="AW148" i="8"/>
  <c r="BA148" i="8" s="1"/>
  <c r="AY148" i="8"/>
  <c r="BC148" i="8" s="1"/>
  <c r="AZ148" i="8"/>
  <c r="BD148" i="8" s="1"/>
  <c r="AX148" i="8"/>
  <c r="BB148" i="8" s="1"/>
  <c r="AV148" i="8"/>
  <c r="AU148" i="8"/>
  <c r="AS148" i="8"/>
  <c r="AT148" i="8"/>
  <c r="AW140" i="8"/>
  <c r="BA140" i="8" s="1"/>
  <c r="AY140" i="8"/>
  <c r="BC140" i="8" s="1"/>
  <c r="AZ140" i="8"/>
  <c r="BD140" i="8" s="1"/>
  <c r="AX140" i="8"/>
  <c r="BB140" i="8" s="1"/>
  <c r="AV140" i="8"/>
  <c r="AU140" i="8"/>
  <c r="AS140" i="8"/>
  <c r="AT140" i="8"/>
  <c r="AW132" i="8"/>
  <c r="BA132" i="8" s="1"/>
  <c r="AY132" i="8"/>
  <c r="BC132" i="8" s="1"/>
  <c r="AZ132" i="8"/>
  <c r="BD132" i="8" s="1"/>
  <c r="AX132" i="8"/>
  <c r="BB132" i="8" s="1"/>
  <c r="AV132" i="8"/>
  <c r="AU132" i="8"/>
  <c r="AS132" i="8"/>
  <c r="AT132" i="8"/>
  <c r="AW124" i="8"/>
  <c r="BA124" i="8" s="1"/>
  <c r="AY124" i="8"/>
  <c r="BC124" i="8" s="1"/>
  <c r="AZ124" i="8"/>
  <c r="BD124" i="8" s="1"/>
  <c r="AX124" i="8"/>
  <c r="BB124" i="8" s="1"/>
  <c r="AV124" i="8"/>
  <c r="AU124" i="8"/>
  <c r="AS124" i="8"/>
  <c r="AT124" i="8"/>
  <c r="AW116" i="8"/>
  <c r="AY116" i="8"/>
  <c r="AZ116" i="8"/>
  <c r="AX116" i="8"/>
  <c r="AV116" i="8"/>
  <c r="AU116" i="8"/>
  <c r="AS116" i="8"/>
  <c r="AT116" i="8"/>
  <c r="AW100" i="8"/>
  <c r="BA100" i="8" s="1"/>
  <c r="AY100" i="8"/>
  <c r="BC100" i="8" s="1"/>
  <c r="AX100" i="8"/>
  <c r="BB100" i="8" s="1"/>
  <c r="AZ100" i="8"/>
  <c r="BD100" i="8" s="1"/>
  <c r="AV100" i="8"/>
  <c r="AU100" i="8"/>
  <c r="AS100" i="8"/>
  <c r="AT100" i="8"/>
  <c r="AW93" i="8"/>
  <c r="BA93" i="8" s="1"/>
  <c r="AY93" i="8"/>
  <c r="BC93" i="8" s="1"/>
  <c r="AX93" i="8"/>
  <c r="BB93" i="8" s="1"/>
  <c r="AZ93" i="8"/>
  <c r="BD93" i="8" s="1"/>
  <c r="AV93" i="8"/>
  <c r="AU93" i="8"/>
  <c r="AS93" i="8"/>
  <c r="AT93" i="8"/>
  <c r="AW85" i="8"/>
  <c r="BA85" i="8" s="1"/>
  <c r="AY85" i="8"/>
  <c r="BC85" i="8" s="1"/>
  <c r="AX85" i="8"/>
  <c r="BB85" i="8" s="1"/>
  <c r="AZ85" i="8"/>
  <c r="BD85" i="8" s="1"/>
  <c r="AV85" i="8"/>
  <c r="AU85" i="8"/>
  <c r="AS85" i="8"/>
  <c r="AT85" i="8"/>
  <c r="AW77" i="8"/>
  <c r="BA77" i="8" s="1"/>
  <c r="AY77" i="8"/>
  <c r="BC77" i="8" s="1"/>
  <c r="AX77" i="8"/>
  <c r="BB77" i="8" s="1"/>
  <c r="AZ77" i="8"/>
  <c r="BD77" i="8" s="1"/>
  <c r="AV77" i="8"/>
  <c r="AU77" i="8"/>
  <c r="AS77" i="8"/>
  <c r="AT77" i="8"/>
  <c r="AW69" i="8"/>
  <c r="BA69" i="8" s="1"/>
  <c r="AY69" i="8"/>
  <c r="BC69" i="8" s="1"/>
  <c r="AX69" i="8"/>
  <c r="BB69" i="8" s="1"/>
  <c r="AZ69" i="8"/>
  <c r="BD69" i="8" s="1"/>
  <c r="AV69" i="8"/>
  <c r="AU69" i="8"/>
  <c r="AS69" i="8"/>
  <c r="AT69" i="8"/>
  <c r="AZ53" i="8"/>
  <c r="BD53" i="8" s="1"/>
  <c r="AY53" i="8"/>
  <c r="BC53" i="8" s="1"/>
  <c r="AW53" i="8"/>
  <c r="BA53" i="8" s="1"/>
  <c r="AX53" i="8"/>
  <c r="BB53" i="8" s="1"/>
  <c r="AV53" i="8"/>
  <c r="AU53" i="8"/>
  <c r="AS53" i="8"/>
  <c r="AT53" i="8"/>
  <c r="AZ45" i="8"/>
  <c r="BD45" i="8" s="1"/>
  <c r="AY45" i="8"/>
  <c r="BC45" i="8" s="1"/>
  <c r="AW45" i="8"/>
  <c r="BA45" i="8" s="1"/>
  <c r="AX45" i="8"/>
  <c r="BB45" i="8" s="1"/>
  <c r="AU45" i="8"/>
  <c r="AS45" i="8"/>
  <c r="AV45" i="8"/>
  <c r="AT45" i="8"/>
  <c r="AZ37" i="8"/>
  <c r="BD37" i="8" s="1"/>
  <c r="AY37" i="8"/>
  <c r="BC37" i="8" s="1"/>
  <c r="AW37" i="8"/>
  <c r="BA37" i="8" s="1"/>
  <c r="AX37" i="8"/>
  <c r="BB37" i="8" s="1"/>
  <c r="AU37" i="8"/>
  <c r="AS37" i="8"/>
  <c r="AV37" i="8"/>
  <c r="AT37" i="8"/>
  <c r="AZ29" i="8"/>
  <c r="BD29" i="8" s="1"/>
  <c r="AY29" i="8"/>
  <c r="BC29" i="8" s="1"/>
  <c r="AW29" i="8"/>
  <c r="BA29" i="8" s="1"/>
  <c r="AX29" i="8"/>
  <c r="BB29" i="8" s="1"/>
  <c r="AU29" i="8"/>
  <c r="AS29" i="8"/>
  <c r="AV29" i="8"/>
  <c r="AT29" i="8"/>
  <c r="AZ21" i="8"/>
  <c r="BD21" i="8" s="1"/>
  <c r="AY21" i="8"/>
  <c r="BC21" i="8" s="1"/>
  <c r="AW21" i="8"/>
  <c r="BA21" i="8" s="1"/>
  <c r="AX21" i="8"/>
  <c r="BB21" i="8" s="1"/>
  <c r="AU21" i="8"/>
  <c r="AS21" i="8"/>
  <c r="AV21" i="8"/>
  <c r="AT21" i="8"/>
  <c r="AZ13" i="8"/>
  <c r="BD13" i="8" s="1"/>
  <c r="AW13" i="8"/>
  <c r="BA13" i="8" s="1"/>
  <c r="AY13" i="8"/>
  <c r="BC13" i="8" s="1"/>
  <c r="AX13" i="8"/>
  <c r="BB13" i="8" s="1"/>
  <c r="AU13" i="8"/>
  <c r="AS13" i="8"/>
  <c r="AV13" i="8"/>
  <c r="AT13" i="8"/>
  <c r="AZ571" i="8"/>
  <c r="BD571" i="8" s="1"/>
  <c r="AW571" i="8"/>
  <c r="BA571" i="8" s="1"/>
  <c r="AY571" i="8"/>
  <c r="BC571" i="8" s="1"/>
  <c r="AX571" i="8"/>
  <c r="BB571" i="8" s="1"/>
  <c r="AV571" i="8"/>
  <c r="AS571" i="8"/>
  <c r="AU571" i="8"/>
  <c r="AT571" i="8"/>
  <c r="AZ563" i="8"/>
  <c r="BD563" i="8" s="1"/>
  <c r="AW563" i="8"/>
  <c r="BA563" i="8" s="1"/>
  <c r="AY563" i="8"/>
  <c r="BC563" i="8" s="1"/>
  <c r="AX563" i="8"/>
  <c r="BB563" i="8" s="1"/>
  <c r="AV563" i="8"/>
  <c r="AS563" i="8"/>
  <c r="AU563" i="8"/>
  <c r="AT563" i="8"/>
  <c r="AZ555" i="8"/>
  <c r="BD555" i="8" s="1"/>
  <c r="AW555" i="8"/>
  <c r="BA555" i="8" s="1"/>
  <c r="AY555" i="8"/>
  <c r="BC555" i="8" s="1"/>
  <c r="AX555" i="8"/>
  <c r="BB555" i="8" s="1"/>
  <c r="AV555" i="8"/>
  <c r="AS555" i="8"/>
  <c r="AU555" i="8"/>
  <c r="AT555" i="8"/>
  <c r="AZ547" i="8"/>
  <c r="BD547" i="8" s="1"/>
  <c r="AW547" i="8"/>
  <c r="BA547" i="8" s="1"/>
  <c r="AY547" i="8"/>
  <c r="BC547" i="8" s="1"/>
  <c r="AX547" i="8"/>
  <c r="BB547" i="8" s="1"/>
  <c r="AV547" i="8"/>
  <c r="AS547" i="8"/>
  <c r="AU547" i="8"/>
  <c r="AT547" i="8"/>
  <c r="AZ539" i="8"/>
  <c r="BD539" i="8" s="1"/>
  <c r="AW539" i="8"/>
  <c r="BA539" i="8" s="1"/>
  <c r="AY539" i="8"/>
  <c r="BC539" i="8" s="1"/>
  <c r="AX539" i="8"/>
  <c r="BB539" i="8" s="1"/>
  <c r="AS539" i="8"/>
  <c r="AU539" i="8"/>
  <c r="AT539" i="8"/>
  <c r="AV539" i="8"/>
  <c r="AZ531" i="8"/>
  <c r="BD531" i="8" s="1"/>
  <c r="AW531" i="8"/>
  <c r="BA531" i="8" s="1"/>
  <c r="AY531" i="8"/>
  <c r="BC531" i="8" s="1"/>
  <c r="AX531" i="8"/>
  <c r="BB531" i="8" s="1"/>
  <c r="AS531" i="8"/>
  <c r="AU531" i="8"/>
  <c r="AT531" i="8"/>
  <c r="AV531" i="8"/>
  <c r="AZ523" i="8"/>
  <c r="BD523" i="8" s="1"/>
  <c r="AW523" i="8"/>
  <c r="BA523" i="8" s="1"/>
  <c r="AY523" i="8"/>
  <c r="BC523" i="8" s="1"/>
  <c r="AX523" i="8"/>
  <c r="BB523" i="8" s="1"/>
  <c r="AS523" i="8"/>
  <c r="AU523" i="8"/>
  <c r="AV523" i="8"/>
  <c r="AT523" i="8"/>
  <c r="AZ515" i="8"/>
  <c r="BD515" i="8" s="1"/>
  <c r="AW515" i="8"/>
  <c r="BA515" i="8" s="1"/>
  <c r="AY515" i="8"/>
  <c r="BC515" i="8" s="1"/>
  <c r="AX515" i="8"/>
  <c r="BB515" i="8" s="1"/>
  <c r="AS515" i="8"/>
  <c r="AU515" i="8"/>
  <c r="AT515" i="8"/>
  <c r="AV515" i="8"/>
  <c r="AZ507" i="8"/>
  <c r="AW507" i="8"/>
  <c r="AY507" i="8"/>
  <c r="AX507" i="8"/>
  <c r="AS507" i="8"/>
  <c r="AU507" i="8"/>
  <c r="AV507" i="8"/>
  <c r="AT507" i="8"/>
  <c r="AZ499" i="8"/>
  <c r="BD499" i="8" s="1"/>
  <c r="AW499" i="8"/>
  <c r="AY499" i="8"/>
  <c r="BC499" i="8" s="1"/>
  <c r="AX499" i="8"/>
  <c r="BB499" i="8" s="1"/>
  <c r="AS499" i="8"/>
  <c r="AU499" i="8"/>
  <c r="AT499" i="8"/>
  <c r="AV499" i="8"/>
  <c r="AZ491" i="8"/>
  <c r="BD491" i="8" s="1"/>
  <c r="AW491" i="8"/>
  <c r="BA491" i="8" s="1"/>
  <c r="AY491" i="8"/>
  <c r="BC491" i="8" s="1"/>
  <c r="AX491" i="8"/>
  <c r="BB491" i="8" s="1"/>
  <c r="AS491" i="8"/>
  <c r="AU491" i="8"/>
  <c r="AT491" i="8"/>
  <c r="AV491" i="8"/>
  <c r="AZ483" i="8"/>
  <c r="BD483" i="8" s="1"/>
  <c r="AW483" i="8"/>
  <c r="BA483" i="8" s="1"/>
  <c r="AY483" i="8"/>
  <c r="BC483" i="8" s="1"/>
  <c r="AX483" i="8"/>
  <c r="BB483" i="8" s="1"/>
  <c r="AS483" i="8"/>
  <c r="AT483" i="8"/>
  <c r="AV483" i="8"/>
  <c r="AU483" i="8"/>
  <c r="AZ475" i="8"/>
  <c r="BD475" i="8" s="1"/>
  <c r="AW475" i="8"/>
  <c r="BA475" i="8" s="1"/>
  <c r="AY475" i="8"/>
  <c r="BC475" i="8" s="1"/>
  <c r="AX475" i="8"/>
  <c r="BB475" i="8" s="1"/>
  <c r="AS475" i="8"/>
  <c r="AU475" i="8"/>
  <c r="AV475" i="8"/>
  <c r="AT475" i="8"/>
  <c r="AZ467" i="8"/>
  <c r="BD467" i="8" s="1"/>
  <c r="AW467" i="8"/>
  <c r="BA467" i="8" s="1"/>
  <c r="AY467" i="8"/>
  <c r="BC467" i="8" s="1"/>
  <c r="AX467" i="8"/>
  <c r="BB467" i="8" s="1"/>
  <c r="AS467" i="8"/>
  <c r="AT467" i="8"/>
  <c r="AV467" i="8"/>
  <c r="AU467" i="8"/>
  <c r="AZ459" i="8"/>
  <c r="BD459" i="8" s="1"/>
  <c r="AX459" i="8"/>
  <c r="BB459" i="8" s="1"/>
  <c r="AW459" i="8"/>
  <c r="BA459" i="8" s="1"/>
  <c r="AY459" i="8"/>
  <c r="BC459" i="8" s="1"/>
  <c r="AS459" i="8"/>
  <c r="AU459" i="8"/>
  <c r="AV459" i="8"/>
  <c r="AT459" i="8"/>
  <c r="AZ451" i="8"/>
  <c r="AX451" i="8"/>
  <c r="AW451" i="8"/>
  <c r="AY451" i="8"/>
  <c r="AS451" i="8"/>
  <c r="AT451" i="8"/>
  <c r="AV451" i="8"/>
  <c r="AU451" i="8"/>
  <c r="AZ443" i="8"/>
  <c r="BD443" i="8" s="1"/>
  <c r="AY443" i="8"/>
  <c r="BC443" i="8" s="1"/>
  <c r="AX443" i="8"/>
  <c r="BB443" i="8" s="1"/>
  <c r="AW443" i="8"/>
  <c r="BA443" i="8" s="1"/>
  <c r="AS443" i="8"/>
  <c r="AU443" i="8"/>
  <c r="AV443" i="8"/>
  <c r="AT443" i="8"/>
  <c r="AZ435" i="8"/>
  <c r="AX435" i="8"/>
  <c r="AW435" i="8"/>
  <c r="AY435" i="8"/>
  <c r="AS435" i="8"/>
  <c r="AT435" i="8"/>
  <c r="AV435" i="8"/>
  <c r="AU435" i="8"/>
  <c r="AZ427" i="8"/>
  <c r="BD427" i="8" s="1"/>
  <c r="AY427" i="8"/>
  <c r="BC427" i="8" s="1"/>
  <c r="AX427" i="8"/>
  <c r="BB427" i="8" s="1"/>
  <c r="AW427" i="8"/>
  <c r="BA427" i="8" s="1"/>
  <c r="AV427" i="8"/>
  <c r="AU427" i="8"/>
  <c r="AS427" i="8"/>
  <c r="AT427" i="8"/>
  <c r="AZ419" i="8"/>
  <c r="BD419" i="8" s="1"/>
  <c r="AX419" i="8"/>
  <c r="BB419" i="8" s="1"/>
  <c r="AW419" i="8"/>
  <c r="BA419" i="8" s="1"/>
  <c r="AY419" i="8"/>
  <c r="BC419" i="8" s="1"/>
  <c r="AU419" i="8"/>
  <c r="AT419" i="8"/>
  <c r="AS419" i="8"/>
  <c r="AV419" i="8"/>
  <c r="AZ411" i="8"/>
  <c r="BD411" i="8" s="1"/>
  <c r="AY411" i="8"/>
  <c r="BC411" i="8" s="1"/>
  <c r="AX411" i="8"/>
  <c r="BB411" i="8" s="1"/>
  <c r="AW411" i="8"/>
  <c r="AV411" i="8"/>
  <c r="AU411" i="8"/>
  <c r="AS411" i="8"/>
  <c r="AT411" i="8"/>
  <c r="AZ403" i="8"/>
  <c r="BD403" i="8" s="1"/>
  <c r="AX403" i="8"/>
  <c r="BB403" i="8" s="1"/>
  <c r="AW403" i="8"/>
  <c r="BA403" i="8" s="1"/>
  <c r="AY403" i="8"/>
  <c r="BC403" i="8" s="1"/>
  <c r="AT403" i="8"/>
  <c r="AS403" i="8"/>
  <c r="AV403" i="8"/>
  <c r="AU403" i="8"/>
  <c r="AZ395" i="8"/>
  <c r="BD395" i="8" s="1"/>
  <c r="AY395" i="8"/>
  <c r="BC395" i="8" s="1"/>
  <c r="AX395" i="8"/>
  <c r="BB395" i="8" s="1"/>
  <c r="AW395" i="8"/>
  <c r="BA395" i="8" s="1"/>
  <c r="AT395" i="8"/>
  <c r="AS395" i="8"/>
  <c r="AV395" i="8"/>
  <c r="AU395" i="8"/>
  <c r="AZ387" i="8"/>
  <c r="BD387" i="8" s="1"/>
  <c r="AY387" i="8"/>
  <c r="BC387" i="8" s="1"/>
  <c r="AW387" i="8"/>
  <c r="BA387" i="8" s="1"/>
  <c r="AX387" i="8"/>
  <c r="BB387" i="8" s="1"/>
  <c r="AT387" i="8"/>
  <c r="AS387" i="8"/>
  <c r="AV387" i="8"/>
  <c r="AU387" i="8"/>
  <c r="AZ379" i="8"/>
  <c r="BD379" i="8" s="1"/>
  <c r="AW379" i="8"/>
  <c r="BA379" i="8" s="1"/>
  <c r="AY379" i="8"/>
  <c r="BC379" i="8" s="1"/>
  <c r="AX379" i="8"/>
  <c r="BB379" i="8" s="1"/>
  <c r="AT379" i="8"/>
  <c r="AS379" i="8"/>
  <c r="AV379" i="8"/>
  <c r="AU379" i="8"/>
  <c r="AZ371" i="8"/>
  <c r="BD371" i="8" s="1"/>
  <c r="AY371" i="8"/>
  <c r="BC371" i="8" s="1"/>
  <c r="AW371" i="8"/>
  <c r="BA371" i="8" s="1"/>
  <c r="AX371" i="8"/>
  <c r="BB371" i="8" s="1"/>
  <c r="AT371" i="8"/>
  <c r="AS371" i="8"/>
  <c r="AV371" i="8"/>
  <c r="AU371" i="8"/>
  <c r="AY355" i="8"/>
  <c r="BC355" i="8" s="1"/>
  <c r="AX355" i="8"/>
  <c r="BB355" i="8" s="1"/>
  <c r="AZ355" i="8"/>
  <c r="BD355" i="8" s="1"/>
  <c r="AW355" i="8"/>
  <c r="BA355" i="8" s="1"/>
  <c r="AT355" i="8"/>
  <c r="AS355" i="8"/>
  <c r="AV355" i="8"/>
  <c r="AU355" i="8"/>
  <c r="AY347" i="8"/>
  <c r="BC347" i="8" s="1"/>
  <c r="AX347" i="8"/>
  <c r="BB347" i="8" s="1"/>
  <c r="AZ347" i="8"/>
  <c r="BD347" i="8" s="1"/>
  <c r="AW347" i="8"/>
  <c r="BA347" i="8" s="1"/>
  <c r="AT347" i="8"/>
  <c r="AS347" i="8"/>
  <c r="AV347" i="8"/>
  <c r="AU347" i="8"/>
  <c r="AY339" i="8"/>
  <c r="BC339" i="8" s="1"/>
  <c r="AX339" i="8"/>
  <c r="BB339" i="8" s="1"/>
  <c r="AZ339" i="8"/>
  <c r="BD339" i="8" s="1"/>
  <c r="AW339" i="8"/>
  <c r="BA339" i="8" s="1"/>
  <c r="AT339" i="8"/>
  <c r="AS339" i="8"/>
  <c r="AV339" i="8"/>
  <c r="AU339" i="8"/>
  <c r="AY323" i="8"/>
  <c r="BC323" i="8" s="1"/>
  <c r="AX323" i="8"/>
  <c r="BB323" i="8" s="1"/>
  <c r="AZ323" i="8"/>
  <c r="BD323" i="8" s="1"/>
  <c r="AW323" i="8"/>
  <c r="BA323" i="8" s="1"/>
  <c r="AT323" i="8"/>
  <c r="AS323" i="8"/>
  <c r="AV323" i="8"/>
  <c r="AU323" i="8"/>
  <c r="AZ315" i="8"/>
  <c r="BD315" i="8" s="1"/>
  <c r="AY315" i="8"/>
  <c r="BC315" i="8" s="1"/>
  <c r="AX315" i="8"/>
  <c r="BB315" i="8" s="1"/>
  <c r="AW315" i="8"/>
  <c r="BA315" i="8" s="1"/>
  <c r="AT315" i="8"/>
  <c r="AS315" i="8"/>
  <c r="AV315" i="8"/>
  <c r="AU315" i="8"/>
  <c r="AZ307" i="8"/>
  <c r="BD307" i="8" s="1"/>
  <c r="AY307" i="8"/>
  <c r="BC307" i="8" s="1"/>
  <c r="AX307" i="8"/>
  <c r="BB307" i="8" s="1"/>
  <c r="AW307" i="8"/>
  <c r="BA307" i="8" s="1"/>
  <c r="AT307" i="8"/>
  <c r="AS307" i="8"/>
  <c r="AV307" i="8"/>
  <c r="AU307" i="8"/>
  <c r="AZ299" i="8"/>
  <c r="BD299" i="8" s="1"/>
  <c r="AY299" i="8"/>
  <c r="BC299" i="8" s="1"/>
  <c r="AX299" i="8"/>
  <c r="BB299" i="8" s="1"/>
  <c r="AW299" i="8"/>
  <c r="BA299" i="8" s="1"/>
  <c r="AT299" i="8"/>
  <c r="AS299" i="8"/>
  <c r="AV299" i="8"/>
  <c r="AU299" i="8"/>
  <c r="AZ291" i="8"/>
  <c r="BD291" i="8" s="1"/>
  <c r="AY291" i="8"/>
  <c r="BC291" i="8" s="1"/>
  <c r="AX291" i="8"/>
  <c r="BB291" i="8" s="1"/>
  <c r="AW291" i="8"/>
  <c r="BA291" i="8" s="1"/>
  <c r="AT291" i="8"/>
  <c r="AS291" i="8"/>
  <c r="AV291" i="8"/>
  <c r="AU291" i="8"/>
  <c r="AZ283" i="8"/>
  <c r="BD283" i="8" s="1"/>
  <c r="AY283" i="8"/>
  <c r="BC283" i="8" s="1"/>
  <c r="AX283" i="8"/>
  <c r="BB283" i="8" s="1"/>
  <c r="AW283" i="8"/>
  <c r="BA283" i="8" s="1"/>
  <c r="AT283" i="8"/>
  <c r="AS283" i="8"/>
  <c r="AV283" i="8"/>
  <c r="AU283" i="8"/>
  <c r="AZ275" i="8"/>
  <c r="BD275" i="8" s="1"/>
  <c r="AY275" i="8"/>
  <c r="BC275" i="8" s="1"/>
  <c r="AX275" i="8"/>
  <c r="BB275" i="8" s="1"/>
  <c r="AW275" i="8"/>
  <c r="BA275" i="8" s="1"/>
  <c r="AT275" i="8"/>
  <c r="AS275" i="8"/>
  <c r="AV275" i="8"/>
  <c r="AU275" i="8"/>
  <c r="AZ267" i="8"/>
  <c r="BD267" i="8" s="1"/>
  <c r="AY267" i="8"/>
  <c r="BC267" i="8" s="1"/>
  <c r="AX267" i="8"/>
  <c r="BB267" i="8" s="1"/>
  <c r="AW267" i="8"/>
  <c r="BA267" i="8" s="1"/>
  <c r="AT267" i="8"/>
  <c r="AS267" i="8"/>
  <c r="AV267" i="8"/>
  <c r="AU267" i="8"/>
  <c r="AY259" i="8"/>
  <c r="BC259" i="8" s="1"/>
  <c r="AX259" i="8"/>
  <c r="BB259" i="8" s="1"/>
  <c r="AW259" i="8"/>
  <c r="BA259" i="8" s="1"/>
  <c r="AZ259" i="8"/>
  <c r="BD259" i="8" s="1"/>
  <c r="AT259" i="8"/>
  <c r="AS259" i="8"/>
  <c r="AV259" i="8"/>
  <c r="AU259" i="8"/>
  <c r="AY243" i="8"/>
  <c r="BC243" i="8" s="1"/>
  <c r="AX243" i="8"/>
  <c r="BB243" i="8" s="1"/>
  <c r="AW243" i="8"/>
  <c r="BA243" i="8" s="1"/>
  <c r="AZ243" i="8"/>
  <c r="BD243" i="8" s="1"/>
  <c r="AT243" i="8"/>
  <c r="AS243" i="8"/>
  <c r="AV243" i="8"/>
  <c r="AU243" i="8"/>
  <c r="AY235" i="8"/>
  <c r="BC235" i="8" s="1"/>
  <c r="AX235" i="8"/>
  <c r="BB235" i="8" s="1"/>
  <c r="AW235" i="8"/>
  <c r="BA235" i="8" s="1"/>
  <c r="AZ235" i="8"/>
  <c r="BD235" i="8" s="1"/>
  <c r="AT235" i="8"/>
  <c r="AS235" i="8"/>
  <c r="AV235" i="8"/>
  <c r="AU235" i="8"/>
  <c r="AY219" i="8"/>
  <c r="BC219" i="8" s="1"/>
  <c r="AW219" i="8"/>
  <c r="BA219" i="8" s="1"/>
  <c r="AZ219" i="8"/>
  <c r="BD219" i="8" s="1"/>
  <c r="AX219" i="8"/>
  <c r="BB219" i="8" s="1"/>
  <c r="AT219" i="8"/>
  <c r="AS219" i="8"/>
  <c r="AV219" i="8"/>
  <c r="AU219" i="8"/>
  <c r="AW211" i="8"/>
  <c r="BA211" i="8" s="1"/>
  <c r="AY211" i="8"/>
  <c r="BC211" i="8" s="1"/>
  <c r="AX211" i="8"/>
  <c r="BB211" i="8" s="1"/>
  <c r="AZ211" i="8"/>
  <c r="BD211" i="8" s="1"/>
  <c r="AT211" i="8"/>
  <c r="AV211" i="8"/>
  <c r="AS211" i="8"/>
  <c r="AU211" i="8"/>
  <c r="AZ203" i="8"/>
  <c r="BD203" i="8" s="1"/>
  <c r="AY203" i="8"/>
  <c r="BC203" i="8" s="1"/>
  <c r="AW203" i="8"/>
  <c r="BA203" i="8" s="1"/>
  <c r="AX203" i="8"/>
  <c r="BB203" i="8" s="1"/>
  <c r="AS203" i="8"/>
  <c r="AU203" i="8"/>
  <c r="AT203" i="8"/>
  <c r="AV203" i="8"/>
  <c r="AZ195" i="8"/>
  <c r="BD195" i="8" s="1"/>
  <c r="AY195" i="8"/>
  <c r="BC195" i="8" s="1"/>
  <c r="AW195" i="8"/>
  <c r="BA195" i="8" s="1"/>
  <c r="AX195" i="8"/>
  <c r="BB195" i="8" s="1"/>
  <c r="AS195" i="8"/>
  <c r="AU195" i="8"/>
  <c r="AV195" i="8"/>
  <c r="AT195" i="8"/>
  <c r="AZ187" i="8"/>
  <c r="BD187" i="8" s="1"/>
  <c r="AY187" i="8"/>
  <c r="BC187" i="8" s="1"/>
  <c r="AW187" i="8"/>
  <c r="BA187" i="8" s="1"/>
  <c r="AX187" i="8"/>
  <c r="BB187" i="8" s="1"/>
  <c r="AS187" i="8"/>
  <c r="AU187" i="8"/>
  <c r="AT187" i="8"/>
  <c r="AV187" i="8"/>
  <c r="AZ179" i="8"/>
  <c r="BD179" i="8" s="1"/>
  <c r="AY179" i="8"/>
  <c r="BC179" i="8" s="1"/>
  <c r="AW179" i="8"/>
  <c r="BA179" i="8" s="1"/>
  <c r="AS179" i="8"/>
  <c r="AX179" i="8"/>
  <c r="BB179" i="8" s="1"/>
  <c r="AU179" i="8"/>
  <c r="AV179" i="8"/>
  <c r="AT179" i="8"/>
  <c r="AZ171" i="8"/>
  <c r="BD171" i="8" s="1"/>
  <c r="AY171" i="8"/>
  <c r="BC171" i="8" s="1"/>
  <c r="AW171" i="8"/>
  <c r="BA171" i="8" s="1"/>
  <c r="AS171" i="8"/>
  <c r="AX171" i="8"/>
  <c r="BB171" i="8" s="1"/>
  <c r="AU171" i="8"/>
  <c r="AT171" i="8"/>
  <c r="AV171" i="8"/>
  <c r="AZ163" i="8"/>
  <c r="BD163" i="8" s="1"/>
  <c r="AY163" i="8"/>
  <c r="BC163" i="8" s="1"/>
  <c r="AW163" i="8"/>
  <c r="BA163" i="8" s="1"/>
  <c r="AX163" i="8"/>
  <c r="BB163" i="8" s="1"/>
  <c r="AS163" i="8"/>
  <c r="AU163" i="8"/>
  <c r="AV163" i="8"/>
  <c r="AT163" i="8"/>
  <c r="AZ155" i="8"/>
  <c r="BD155" i="8" s="1"/>
  <c r="AY155" i="8"/>
  <c r="BC155" i="8" s="1"/>
  <c r="AW155" i="8"/>
  <c r="BA155" i="8" s="1"/>
  <c r="AX155" i="8"/>
  <c r="BB155" i="8" s="1"/>
  <c r="AS155" i="8"/>
  <c r="AU155" i="8"/>
  <c r="AT155" i="8"/>
  <c r="AV155" i="8"/>
  <c r="AZ147" i="8"/>
  <c r="BD147" i="8" s="1"/>
  <c r="AY147" i="8"/>
  <c r="BC147" i="8" s="1"/>
  <c r="AW147" i="8"/>
  <c r="BA147" i="8" s="1"/>
  <c r="AS147" i="8"/>
  <c r="AX147" i="8"/>
  <c r="BB147" i="8" s="1"/>
  <c r="AU147" i="8"/>
  <c r="AV147" i="8"/>
  <c r="AT147" i="8"/>
  <c r="AZ131" i="8"/>
  <c r="AY131" i="8"/>
  <c r="AW131" i="8"/>
  <c r="AX131" i="8"/>
  <c r="AS131" i="8"/>
  <c r="AU131" i="8"/>
  <c r="AV131" i="8"/>
  <c r="AT131" i="8"/>
  <c r="AZ123" i="8"/>
  <c r="BD123" i="8" s="1"/>
  <c r="AY123" i="8"/>
  <c r="BC123" i="8" s="1"/>
  <c r="AW123" i="8"/>
  <c r="BA123" i="8" s="1"/>
  <c r="AX123" i="8"/>
  <c r="BB123" i="8" s="1"/>
  <c r="AS123" i="8"/>
  <c r="AU123" i="8"/>
  <c r="AT123" i="8"/>
  <c r="AV123" i="8"/>
  <c r="AZ107" i="8"/>
  <c r="BD107" i="8" s="1"/>
  <c r="AY107" i="8"/>
  <c r="BC107" i="8" s="1"/>
  <c r="AW107" i="8"/>
  <c r="BA107" i="8" s="1"/>
  <c r="AS107" i="8"/>
  <c r="AX107" i="8"/>
  <c r="BB107" i="8" s="1"/>
  <c r="AV107" i="8"/>
  <c r="AU107" i="8"/>
  <c r="AT107" i="8"/>
  <c r="AZ99" i="8"/>
  <c r="BD99" i="8" s="1"/>
  <c r="AY99" i="8"/>
  <c r="BC99" i="8" s="1"/>
  <c r="AW99" i="8"/>
  <c r="BA99" i="8" s="1"/>
  <c r="AX99" i="8"/>
  <c r="BB99" i="8" s="1"/>
  <c r="AS99" i="8"/>
  <c r="AV99" i="8"/>
  <c r="AU99" i="8"/>
  <c r="AT99" i="8"/>
  <c r="AZ92" i="8"/>
  <c r="BD92" i="8" s="1"/>
  <c r="AY92" i="8"/>
  <c r="BC92" i="8" s="1"/>
  <c r="AW92" i="8"/>
  <c r="BA92" i="8" s="1"/>
  <c r="AX92" i="8"/>
  <c r="BB92" i="8" s="1"/>
  <c r="AS92" i="8"/>
  <c r="AV92" i="8"/>
  <c r="AU92" i="8"/>
  <c r="AT92" i="8"/>
  <c r="AZ84" i="8"/>
  <c r="BD84" i="8" s="1"/>
  <c r="AY84" i="8"/>
  <c r="BC84" i="8" s="1"/>
  <c r="AW84" i="8"/>
  <c r="BA84" i="8" s="1"/>
  <c r="AX84" i="8"/>
  <c r="BB84" i="8" s="1"/>
  <c r="AS84" i="8"/>
  <c r="AV84" i="8"/>
  <c r="AU84" i="8"/>
  <c r="AT84" i="8"/>
  <c r="AZ76" i="8"/>
  <c r="BD76" i="8" s="1"/>
  <c r="AY76" i="8"/>
  <c r="BC76" i="8" s="1"/>
  <c r="AW76" i="8"/>
  <c r="BA76" i="8" s="1"/>
  <c r="AS76" i="8"/>
  <c r="AX76" i="8"/>
  <c r="BB76" i="8" s="1"/>
  <c r="AV76" i="8"/>
  <c r="AU76" i="8"/>
  <c r="AT76" i="8"/>
  <c r="AY68" i="8"/>
  <c r="BC68" i="8" s="1"/>
  <c r="AX68" i="8"/>
  <c r="BB68" i="8" s="1"/>
  <c r="AW68" i="8"/>
  <c r="BA68" i="8" s="1"/>
  <c r="AZ68" i="8"/>
  <c r="BD68" i="8" s="1"/>
  <c r="AS68" i="8"/>
  <c r="AV68" i="8"/>
  <c r="AU68" i="8"/>
  <c r="AT68" i="8"/>
  <c r="AY52" i="8"/>
  <c r="BC52" i="8" s="1"/>
  <c r="AX52" i="8"/>
  <c r="BB52" i="8" s="1"/>
  <c r="AW52" i="8"/>
  <c r="BA52" i="8" s="1"/>
  <c r="AZ52" i="8"/>
  <c r="BD52" i="8" s="1"/>
  <c r="AS52" i="8"/>
  <c r="AV52" i="8"/>
  <c r="AU52" i="8"/>
  <c r="AT52" i="8"/>
  <c r="AY28" i="8"/>
  <c r="BC28" i="8" s="1"/>
  <c r="AX28" i="8"/>
  <c r="BB28" i="8" s="1"/>
  <c r="AW28" i="8"/>
  <c r="BA28" i="8" s="1"/>
  <c r="AZ28" i="8"/>
  <c r="BD28" i="8" s="1"/>
  <c r="AS28" i="8"/>
  <c r="AV28" i="8"/>
  <c r="AU28" i="8"/>
  <c r="AT28" i="8"/>
  <c r="AX20" i="8"/>
  <c r="BB20" i="8" s="1"/>
  <c r="AW20" i="8"/>
  <c r="BA20" i="8" s="1"/>
  <c r="AY20" i="8"/>
  <c r="BC20" i="8" s="1"/>
  <c r="AS20" i="8"/>
  <c r="AZ20" i="8"/>
  <c r="BD20" i="8" s="1"/>
  <c r="AV20" i="8"/>
  <c r="AU20" i="8"/>
  <c r="AT20" i="8"/>
  <c r="AX12" i="8"/>
  <c r="BB12" i="8" s="1"/>
  <c r="AW12" i="8"/>
  <c r="BA12" i="8" s="1"/>
  <c r="AY12" i="8"/>
  <c r="BC12" i="8" s="1"/>
  <c r="AS12" i="8"/>
  <c r="AZ12" i="8"/>
  <c r="BD12" i="8" s="1"/>
  <c r="AV12" i="8"/>
  <c r="AU12" i="8"/>
  <c r="AT12" i="8"/>
  <c r="AW570" i="8"/>
  <c r="BA570" i="8" s="1"/>
  <c r="AZ570" i="8"/>
  <c r="BD570" i="8" s="1"/>
  <c r="AX570" i="8"/>
  <c r="BB570" i="8" s="1"/>
  <c r="AY570" i="8"/>
  <c r="BC570" i="8" s="1"/>
  <c r="AT570" i="8"/>
  <c r="AS570" i="8"/>
  <c r="AU570" i="8"/>
  <c r="AV570" i="8"/>
  <c r="AY562" i="8"/>
  <c r="BC562" i="8" s="1"/>
  <c r="AW562" i="8"/>
  <c r="BA562" i="8" s="1"/>
  <c r="AZ562" i="8"/>
  <c r="BD562" i="8" s="1"/>
  <c r="AX562" i="8"/>
  <c r="BB562" i="8" s="1"/>
  <c r="AT562" i="8"/>
  <c r="AS562" i="8"/>
  <c r="AU562" i="8"/>
  <c r="AV562" i="8"/>
  <c r="AY554" i="8"/>
  <c r="BC554" i="8" s="1"/>
  <c r="AW554" i="8"/>
  <c r="BA554" i="8" s="1"/>
  <c r="AZ554" i="8"/>
  <c r="BD554" i="8" s="1"/>
  <c r="AX554" i="8"/>
  <c r="BB554" i="8" s="1"/>
  <c r="AT554" i="8"/>
  <c r="AS554" i="8"/>
  <c r="AU554" i="8"/>
  <c r="AV554" i="8"/>
  <c r="AY546" i="8"/>
  <c r="BC546" i="8" s="1"/>
  <c r="AW546" i="8"/>
  <c r="BA546" i="8" s="1"/>
  <c r="AZ546" i="8"/>
  <c r="BD546" i="8" s="1"/>
  <c r="AX546" i="8"/>
  <c r="BB546" i="8" s="1"/>
  <c r="AT546" i="8"/>
  <c r="AS546" i="8"/>
  <c r="AU546" i="8"/>
  <c r="AV546" i="8"/>
  <c r="AX538" i="8"/>
  <c r="BB538" i="8" s="1"/>
  <c r="AW538" i="8"/>
  <c r="BA538" i="8" s="1"/>
  <c r="AZ538" i="8"/>
  <c r="BD538" i="8" s="1"/>
  <c r="AY538" i="8"/>
  <c r="BC538" i="8" s="1"/>
  <c r="AT538" i="8"/>
  <c r="AS538" i="8"/>
  <c r="AV538" i="8"/>
  <c r="AU538" i="8"/>
  <c r="AW530" i="8"/>
  <c r="AZ530" i="8"/>
  <c r="AY530" i="8"/>
  <c r="AX530" i="8"/>
  <c r="AT530" i="8"/>
  <c r="AS530" i="8"/>
  <c r="AV530" i="8"/>
  <c r="AU530" i="8"/>
  <c r="AZ522" i="8"/>
  <c r="BD522" i="8" s="1"/>
  <c r="AY522" i="8"/>
  <c r="BC522" i="8" s="1"/>
  <c r="AX522" i="8"/>
  <c r="BB522" i="8" s="1"/>
  <c r="AW522" i="8"/>
  <c r="BA522" i="8" s="1"/>
  <c r="AT522" i="8"/>
  <c r="AS522" i="8"/>
  <c r="AV522" i="8"/>
  <c r="AU522" i="8"/>
  <c r="AZ514" i="8"/>
  <c r="BD514" i="8" s="1"/>
  <c r="AY514" i="8"/>
  <c r="BC514" i="8" s="1"/>
  <c r="AX514" i="8"/>
  <c r="BB514" i="8" s="1"/>
  <c r="AW514" i="8"/>
  <c r="BA514" i="8" s="1"/>
  <c r="AT514" i="8"/>
  <c r="AS514" i="8"/>
  <c r="AV514" i="8"/>
  <c r="AU514" i="8"/>
  <c r="AZ506" i="8"/>
  <c r="AY506" i="8"/>
  <c r="AX506" i="8"/>
  <c r="AW506" i="8"/>
  <c r="AT506" i="8"/>
  <c r="AS506" i="8"/>
  <c r="AV506" i="8"/>
  <c r="AU506" i="8"/>
  <c r="AW498" i="8"/>
  <c r="BA498" i="8" s="1"/>
  <c r="AZ498" i="8"/>
  <c r="BD498" i="8" s="1"/>
  <c r="AY498" i="8"/>
  <c r="BC498" i="8" s="1"/>
  <c r="AX498" i="8"/>
  <c r="BB498" i="8" s="1"/>
  <c r="AT498" i="8"/>
  <c r="AS498" i="8"/>
  <c r="AV498" i="8"/>
  <c r="AU498" i="8"/>
  <c r="AY490" i="8"/>
  <c r="BC490" i="8" s="1"/>
  <c r="AX490" i="8"/>
  <c r="BB490" i="8" s="1"/>
  <c r="AW490" i="8"/>
  <c r="BA490" i="8" s="1"/>
  <c r="AZ490" i="8"/>
  <c r="BD490" i="8" s="1"/>
  <c r="AT490" i="8"/>
  <c r="AS490" i="8"/>
  <c r="AV490" i="8"/>
  <c r="AU490" i="8"/>
  <c r="AZ482" i="8"/>
  <c r="BD482" i="8" s="1"/>
  <c r="AY482" i="8"/>
  <c r="BC482" i="8" s="1"/>
  <c r="AX482" i="8"/>
  <c r="BB482" i="8" s="1"/>
  <c r="AW482" i="8"/>
  <c r="BA482" i="8" s="1"/>
  <c r="AT482" i="8"/>
  <c r="AS482" i="8"/>
  <c r="AV482" i="8"/>
  <c r="AU482" i="8"/>
  <c r="AZ474" i="8"/>
  <c r="BD474" i="8" s="1"/>
  <c r="AY474" i="8"/>
  <c r="BC474" i="8" s="1"/>
  <c r="AX474" i="8"/>
  <c r="BB474" i="8" s="1"/>
  <c r="AW474" i="8"/>
  <c r="BA474" i="8" s="1"/>
  <c r="AT474" i="8"/>
  <c r="AS474" i="8"/>
  <c r="AV474" i="8"/>
  <c r="AU474" i="8"/>
  <c r="AW466" i="8"/>
  <c r="BA466" i="8" s="1"/>
  <c r="AZ466" i="8"/>
  <c r="BD466" i="8" s="1"/>
  <c r="AY466" i="8"/>
  <c r="BC466" i="8" s="1"/>
  <c r="AX466" i="8"/>
  <c r="BB466" i="8" s="1"/>
  <c r="AT466" i="8"/>
  <c r="AS466" i="8"/>
  <c r="AV466" i="8"/>
  <c r="AU466" i="8"/>
  <c r="AX458" i="8"/>
  <c r="BB458" i="8" s="1"/>
  <c r="AW458" i="8"/>
  <c r="BA458" i="8" s="1"/>
  <c r="AZ458" i="8"/>
  <c r="BD458" i="8" s="1"/>
  <c r="AY458" i="8"/>
  <c r="BC458" i="8" s="1"/>
  <c r="AT458" i="8"/>
  <c r="AS458" i="8"/>
  <c r="AV458" i="8"/>
  <c r="AU458" i="8"/>
  <c r="AX442" i="8"/>
  <c r="BB442" i="8" s="1"/>
  <c r="AW442" i="8"/>
  <c r="BA442" i="8" s="1"/>
  <c r="AZ442" i="8"/>
  <c r="BD442" i="8" s="1"/>
  <c r="AY442" i="8"/>
  <c r="BC442" i="8" s="1"/>
  <c r="AT442" i="8"/>
  <c r="AS442" i="8"/>
  <c r="AV442" i="8"/>
  <c r="AU442" i="8"/>
  <c r="AZ434" i="8"/>
  <c r="BD434" i="8" s="1"/>
  <c r="AY434" i="8"/>
  <c r="BC434" i="8" s="1"/>
  <c r="AX434" i="8"/>
  <c r="BB434" i="8" s="1"/>
  <c r="AW434" i="8"/>
  <c r="BA434" i="8" s="1"/>
  <c r="AT434" i="8"/>
  <c r="AS434" i="8"/>
  <c r="AV434" i="8"/>
  <c r="AU434" i="8"/>
  <c r="AX426" i="8"/>
  <c r="BB426" i="8" s="1"/>
  <c r="AW426" i="8"/>
  <c r="BA426" i="8" s="1"/>
  <c r="AZ426" i="8"/>
  <c r="BD426" i="8" s="1"/>
  <c r="AY426" i="8"/>
  <c r="BC426" i="8" s="1"/>
  <c r="AS426" i="8"/>
  <c r="AU426" i="8"/>
  <c r="AT426" i="8"/>
  <c r="AV426" i="8"/>
  <c r="AZ418" i="8"/>
  <c r="BD418" i="8" s="1"/>
  <c r="AY418" i="8"/>
  <c r="BC418" i="8" s="1"/>
  <c r="AW418" i="8"/>
  <c r="BA418" i="8" s="1"/>
  <c r="AX418" i="8"/>
  <c r="BB418" i="8" s="1"/>
  <c r="AS418" i="8"/>
  <c r="AV418" i="8"/>
  <c r="AU418" i="8"/>
  <c r="AT418" i="8"/>
  <c r="AX410" i="8"/>
  <c r="BB410" i="8" s="1"/>
  <c r="AW410" i="8"/>
  <c r="BA410" i="8" s="1"/>
  <c r="AZ410" i="8"/>
  <c r="BD410" i="8" s="1"/>
  <c r="AY410" i="8"/>
  <c r="BC410" i="8" s="1"/>
  <c r="AS410" i="8"/>
  <c r="AU410" i="8"/>
  <c r="AT410" i="8"/>
  <c r="AV410" i="8"/>
  <c r="AW394" i="8"/>
  <c r="BA394" i="8" s="1"/>
  <c r="AZ394" i="8"/>
  <c r="BD394" i="8" s="1"/>
  <c r="AY394" i="8"/>
  <c r="BC394" i="8" s="1"/>
  <c r="AX394" i="8"/>
  <c r="BB394" i="8" s="1"/>
  <c r="AU394" i="8"/>
  <c r="AS394" i="8"/>
  <c r="AV394" i="8"/>
  <c r="AT394" i="8"/>
  <c r="AW386" i="8"/>
  <c r="BA386" i="8" s="1"/>
  <c r="AZ386" i="8"/>
  <c r="BD386" i="8" s="1"/>
  <c r="AY386" i="8"/>
  <c r="BC386" i="8" s="1"/>
  <c r="AX386" i="8"/>
  <c r="BB386" i="8" s="1"/>
  <c r="AU386" i="8"/>
  <c r="AS386" i="8"/>
  <c r="AV386" i="8"/>
  <c r="AT386" i="8"/>
  <c r="AW378" i="8"/>
  <c r="BA378" i="8" s="1"/>
  <c r="AZ378" i="8"/>
  <c r="BD378" i="8" s="1"/>
  <c r="AY378" i="8"/>
  <c r="BC378" i="8" s="1"/>
  <c r="AX378" i="8"/>
  <c r="BB378" i="8" s="1"/>
  <c r="AU378" i="8"/>
  <c r="AS378" i="8"/>
  <c r="AV378" i="8"/>
  <c r="AT378" i="8"/>
  <c r="AW370" i="8"/>
  <c r="BA370" i="8" s="1"/>
  <c r="AZ370" i="8"/>
  <c r="BD370" i="8" s="1"/>
  <c r="AY370" i="8"/>
  <c r="BC370" i="8" s="1"/>
  <c r="AX370" i="8"/>
  <c r="BB370" i="8" s="1"/>
  <c r="AU370" i="8"/>
  <c r="AS370" i="8"/>
  <c r="AV370" i="8"/>
  <c r="AT370" i="8"/>
  <c r="AZ362" i="8"/>
  <c r="BD362" i="8" s="1"/>
  <c r="AY362" i="8"/>
  <c r="BC362" i="8" s="1"/>
  <c r="AX362" i="8"/>
  <c r="BB362" i="8" s="1"/>
  <c r="AW362" i="8"/>
  <c r="BA362" i="8" s="1"/>
  <c r="AU362" i="8"/>
  <c r="AS362" i="8"/>
  <c r="AV362" i="8"/>
  <c r="AT362" i="8"/>
  <c r="AZ354" i="8"/>
  <c r="BD354" i="8" s="1"/>
  <c r="AY354" i="8"/>
  <c r="BC354" i="8" s="1"/>
  <c r="AX354" i="8"/>
  <c r="BB354" i="8" s="1"/>
  <c r="AW354" i="8"/>
  <c r="BA354" i="8" s="1"/>
  <c r="AU354" i="8"/>
  <c r="AS354" i="8"/>
  <c r="AV354" i="8"/>
  <c r="AT354" i="8"/>
  <c r="AZ338" i="8"/>
  <c r="BD338" i="8" s="1"/>
  <c r="AY338" i="8"/>
  <c r="BC338" i="8" s="1"/>
  <c r="AX338" i="8"/>
  <c r="BB338" i="8" s="1"/>
  <c r="AW338" i="8"/>
  <c r="BA338" i="8" s="1"/>
  <c r="AU338" i="8"/>
  <c r="AS338" i="8"/>
  <c r="AV338" i="8"/>
  <c r="AT338" i="8"/>
  <c r="AZ330" i="8"/>
  <c r="BD330" i="8" s="1"/>
  <c r="AY330" i="8"/>
  <c r="BC330" i="8" s="1"/>
  <c r="AX330" i="8"/>
  <c r="BB330" i="8" s="1"/>
  <c r="AW330" i="8"/>
  <c r="BA330" i="8" s="1"/>
  <c r="AU330" i="8"/>
  <c r="AS330" i="8"/>
  <c r="AV330" i="8"/>
  <c r="AT330" i="8"/>
  <c r="AZ322" i="8"/>
  <c r="BD322" i="8" s="1"/>
  <c r="AY322" i="8"/>
  <c r="BC322" i="8" s="1"/>
  <c r="AX322" i="8"/>
  <c r="BB322" i="8" s="1"/>
  <c r="AW322" i="8"/>
  <c r="AU322" i="8"/>
  <c r="AS322" i="8"/>
  <c r="AV322" i="8"/>
  <c r="AT322" i="8"/>
  <c r="AZ314" i="8"/>
  <c r="BD314" i="8" s="1"/>
  <c r="AY314" i="8"/>
  <c r="BC314" i="8" s="1"/>
  <c r="AX314" i="8"/>
  <c r="BB314" i="8" s="1"/>
  <c r="AW314" i="8"/>
  <c r="BA314" i="8" s="1"/>
  <c r="AU314" i="8"/>
  <c r="AS314" i="8"/>
  <c r="AV314" i="8"/>
  <c r="AT314" i="8"/>
  <c r="AZ306" i="8"/>
  <c r="BD306" i="8" s="1"/>
  <c r="AY306" i="8"/>
  <c r="BC306" i="8" s="1"/>
  <c r="AX306" i="8"/>
  <c r="BB306" i="8" s="1"/>
  <c r="AW306" i="8"/>
  <c r="BA306" i="8" s="1"/>
  <c r="AU306" i="8"/>
  <c r="AS306" i="8"/>
  <c r="AV306" i="8"/>
  <c r="AT306" i="8"/>
  <c r="AZ298" i="8"/>
  <c r="BD298" i="8" s="1"/>
  <c r="AY298" i="8"/>
  <c r="BC298" i="8" s="1"/>
  <c r="AX298" i="8"/>
  <c r="BB298" i="8" s="1"/>
  <c r="AW298" i="8"/>
  <c r="BA298" i="8" s="1"/>
  <c r="AU298" i="8"/>
  <c r="AS298" i="8"/>
  <c r="AV298" i="8"/>
  <c r="AT298" i="8"/>
  <c r="AZ290" i="8"/>
  <c r="BD290" i="8" s="1"/>
  <c r="AY290" i="8"/>
  <c r="BC290" i="8" s="1"/>
  <c r="AX290" i="8"/>
  <c r="BB290" i="8" s="1"/>
  <c r="AW290" i="8"/>
  <c r="BA290" i="8" s="1"/>
  <c r="AU290" i="8"/>
  <c r="AS290" i="8"/>
  <c r="AV290" i="8"/>
  <c r="AT290" i="8"/>
  <c r="AZ282" i="8"/>
  <c r="BD282" i="8" s="1"/>
  <c r="AY282" i="8"/>
  <c r="BC282" i="8" s="1"/>
  <c r="AX282" i="8"/>
  <c r="BB282" i="8" s="1"/>
  <c r="AW282" i="8"/>
  <c r="BA282" i="8" s="1"/>
  <c r="AU282" i="8"/>
  <c r="AS282" i="8"/>
  <c r="AV282" i="8"/>
  <c r="AT282" i="8"/>
  <c r="AZ274" i="8"/>
  <c r="AY274" i="8"/>
  <c r="AX274" i="8"/>
  <c r="AW274" i="8"/>
  <c r="AU274" i="8"/>
  <c r="AS274" i="8"/>
  <c r="AV274" i="8"/>
  <c r="AT274" i="8"/>
  <c r="AZ266" i="8"/>
  <c r="BD266" i="8" s="1"/>
  <c r="AY266" i="8"/>
  <c r="BC266" i="8" s="1"/>
  <c r="AX266" i="8"/>
  <c r="BB266" i="8" s="1"/>
  <c r="AW266" i="8"/>
  <c r="BA266" i="8" s="1"/>
  <c r="AU266" i="8"/>
  <c r="AS266" i="8"/>
  <c r="AV266" i="8"/>
  <c r="AT266" i="8"/>
  <c r="AZ258" i="8"/>
  <c r="BD258" i="8" s="1"/>
  <c r="AY258" i="8"/>
  <c r="BC258" i="8" s="1"/>
  <c r="AX258" i="8"/>
  <c r="BB258" i="8" s="1"/>
  <c r="AW258" i="8"/>
  <c r="BA258" i="8" s="1"/>
  <c r="AU258" i="8"/>
  <c r="AS258" i="8"/>
  <c r="AV258" i="8"/>
  <c r="AT258" i="8"/>
  <c r="AZ242" i="8"/>
  <c r="BD242" i="8" s="1"/>
  <c r="AY242" i="8"/>
  <c r="BC242" i="8" s="1"/>
  <c r="AX242" i="8"/>
  <c r="BB242" i="8" s="1"/>
  <c r="AW242" i="8"/>
  <c r="BA242" i="8" s="1"/>
  <c r="AU242" i="8"/>
  <c r="AS242" i="8"/>
  <c r="AV242" i="8"/>
  <c r="AT242" i="8"/>
  <c r="AZ234" i="8"/>
  <c r="BD234" i="8" s="1"/>
  <c r="AY234" i="8"/>
  <c r="BC234" i="8" s="1"/>
  <c r="AX234" i="8"/>
  <c r="BB234" i="8" s="1"/>
  <c r="AW234" i="8"/>
  <c r="BA234" i="8" s="1"/>
  <c r="AU234" i="8"/>
  <c r="AS234" i="8"/>
  <c r="AV234" i="8"/>
  <c r="AT234" i="8"/>
  <c r="AZ226" i="8"/>
  <c r="BD226" i="8" s="1"/>
  <c r="AY226" i="8"/>
  <c r="BC226" i="8" s="1"/>
  <c r="AX226" i="8"/>
  <c r="BB226" i="8" s="1"/>
  <c r="AW226" i="8"/>
  <c r="BA226" i="8" s="1"/>
  <c r="AU226" i="8"/>
  <c r="AS226" i="8"/>
  <c r="AV226" i="8"/>
  <c r="AT226" i="8"/>
  <c r="AZ218" i="8"/>
  <c r="BD218" i="8" s="1"/>
  <c r="AY218" i="8"/>
  <c r="BC218" i="8" s="1"/>
  <c r="AX218" i="8"/>
  <c r="BB218" i="8" s="1"/>
  <c r="AW218" i="8"/>
  <c r="BA218" i="8" s="1"/>
  <c r="AU218" i="8"/>
  <c r="AS218" i="8"/>
  <c r="AV218" i="8"/>
  <c r="AT218" i="8"/>
  <c r="AZ210" i="8"/>
  <c r="BD210" i="8" s="1"/>
  <c r="AY210" i="8"/>
  <c r="BC210" i="8" s="1"/>
  <c r="AX210" i="8"/>
  <c r="BB210" i="8" s="1"/>
  <c r="AW210" i="8"/>
  <c r="BA210" i="8" s="1"/>
  <c r="AU210" i="8"/>
  <c r="AT210" i="8"/>
  <c r="AV210" i="8"/>
  <c r="AS210" i="8"/>
  <c r="AW202" i="8"/>
  <c r="BA202" i="8" s="1"/>
  <c r="AY202" i="8"/>
  <c r="BC202" i="8" s="1"/>
  <c r="AZ202" i="8"/>
  <c r="BD202" i="8" s="1"/>
  <c r="AX202" i="8"/>
  <c r="BB202" i="8" s="1"/>
  <c r="AV202" i="8"/>
  <c r="AU202" i="8"/>
  <c r="AS202" i="8"/>
  <c r="AT202" i="8"/>
  <c r="AW194" i="8"/>
  <c r="BA194" i="8" s="1"/>
  <c r="AY194" i="8"/>
  <c r="BC194" i="8" s="1"/>
  <c r="AZ194" i="8"/>
  <c r="BD194" i="8" s="1"/>
  <c r="AX194" i="8"/>
  <c r="BB194" i="8" s="1"/>
  <c r="AV194" i="8"/>
  <c r="AU194" i="8"/>
  <c r="AS194" i="8"/>
  <c r="AT194" i="8"/>
  <c r="AW186" i="8"/>
  <c r="BA186" i="8" s="1"/>
  <c r="AY186" i="8"/>
  <c r="BC186" i="8" s="1"/>
  <c r="AZ186" i="8"/>
  <c r="BD186" i="8" s="1"/>
  <c r="AX186" i="8"/>
  <c r="BB186" i="8" s="1"/>
  <c r="AV186" i="8"/>
  <c r="AU186" i="8"/>
  <c r="AS186" i="8"/>
  <c r="AT186" i="8"/>
  <c r="AW170" i="8"/>
  <c r="BA170" i="8" s="1"/>
  <c r="AY170" i="8"/>
  <c r="BC170" i="8" s="1"/>
  <c r="AZ170" i="8"/>
  <c r="BD170" i="8" s="1"/>
  <c r="AX170" i="8"/>
  <c r="BB170" i="8" s="1"/>
  <c r="AV170" i="8"/>
  <c r="AU170" i="8"/>
  <c r="AS170" i="8"/>
  <c r="AT170" i="8"/>
  <c r="AW162" i="8"/>
  <c r="BA162" i="8" s="1"/>
  <c r="AY162" i="8"/>
  <c r="BC162" i="8" s="1"/>
  <c r="AZ162" i="8"/>
  <c r="BD162" i="8" s="1"/>
  <c r="AX162" i="8"/>
  <c r="BB162" i="8" s="1"/>
  <c r="AV162" i="8"/>
  <c r="AU162" i="8"/>
  <c r="AS162" i="8"/>
  <c r="AT162" i="8"/>
  <c r="AW154" i="8"/>
  <c r="BA154" i="8" s="1"/>
  <c r="AY154" i="8"/>
  <c r="BC154" i="8" s="1"/>
  <c r="AZ154" i="8"/>
  <c r="BD154" i="8" s="1"/>
  <c r="AX154" i="8"/>
  <c r="BB154" i="8" s="1"/>
  <c r="AV154" i="8"/>
  <c r="AU154" i="8"/>
  <c r="AS154" i="8"/>
  <c r="AT154" i="8"/>
  <c r="AW146" i="8"/>
  <c r="BA146" i="8" s="1"/>
  <c r="AY146" i="8"/>
  <c r="BC146" i="8" s="1"/>
  <c r="AZ146" i="8"/>
  <c r="BD146" i="8" s="1"/>
  <c r="AX146" i="8"/>
  <c r="BB146" i="8" s="1"/>
  <c r="AV146" i="8"/>
  <c r="AU146" i="8"/>
  <c r="AS146" i="8"/>
  <c r="AT146" i="8"/>
  <c r="AW130" i="8"/>
  <c r="BA130" i="8" s="1"/>
  <c r="AY130" i="8"/>
  <c r="BC130" i="8" s="1"/>
  <c r="AZ130" i="8"/>
  <c r="BD130" i="8" s="1"/>
  <c r="AX130" i="8"/>
  <c r="BB130" i="8" s="1"/>
  <c r="AV130" i="8"/>
  <c r="AU130" i="8"/>
  <c r="AS130" i="8"/>
  <c r="AT130" i="8"/>
  <c r="AW122" i="8"/>
  <c r="BA122" i="8" s="1"/>
  <c r="AY122" i="8"/>
  <c r="BC122" i="8" s="1"/>
  <c r="AZ122" i="8"/>
  <c r="BD122" i="8" s="1"/>
  <c r="AX122" i="8"/>
  <c r="BB122" i="8" s="1"/>
  <c r="AV122" i="8"/>
  <c r="AU122" i="8"/>
  <c r="AS122" i="8"/>
  <c r="AT122" i="8"/>
  <c r="AW114" i="8"/>
  <c r="BA114" i="8" s="1"/>
  <c r="AY114" i="8"/>
  <c r="BC114" i="8" s="1"/>
  <c r="AZ114" i="8"/>
  <c r="BD114" i="8" s="1"/>
  <c r="AX114" i="8"/>
  <c r="BB114" i="8" s="1"/>
  <c r="AV114" i="8"/>
  <c r="AU114" i="8"/>
  <c r="AS114" i="8"/>
  <c r="AT114" i="8"/>
  <c r="AW106" i="8"/>
  <c r="BA106" i="8" s="1"/>
  <c r="AY106" i="8"/>
  <c r="BC106" i="8" s="1"/>
  <c r="AZ106" i="8"/>
  <c r="BD106" i="8" s="1"/>
  <c r="AX106" i="8"/>
  <c r="BB106" i="8" s="1"/>
  <c r="AV106" i="8"/>
  <c r="AU106" i="8"/>
  <c r="AS106" i="8"/>
  <c r="AT106" i="8"/>
  <c r="AW98" i="8"/>
  <c r="BA98" i="8" s="1"/>
  <c r="AY98" i="8"/>
  <c r="BC98" i="8" s="1"/>
  <c r="AZ98" i="8"/>
  <c r="BD98" i="8" s="1"/>
  <c r="AX98" i="8"/>
  <c r="BB98" i="8" s="1"/>
  <c r="AV98" i="8"/>
  <c r="AU98" i="8"/>
  <c r="AS98" i="8"/>
  <c r="AT98" i="8"/>
  <c r="AW91" i="8"/>
  <c r="BA91" i="8" s="1"/>
  <c r="AY91" i="8"/>
  <c r="BC91" i="8" s="1"/>
  <c r="AZ91" i="8"/>
  <c r="BD91" i="8" s="1"/>
  <c r="AX91" i="8"/>
  <c r="BB91" i="8" s="1"/>
  <c r="AV91" i="8"/>
  <c r="AU91" i="8"/>
  <c r="AS91" i="8"/>
  <c r="AT91" i="8"/>
  <c r="AW83" i="8"/>
  <c r="BA83" i="8" s="1"/>
  <c r="AY83" i="8"/>
  <c r="BC83" i="8" s="1"/>
  <c r="AZ83" i="8"/>
  <c r="BD83" i="8" s="1"/>
  <c r="AX83" i="8"/>
  <c r="BB83" i="8" s="1"/>
  <c r="AV83" i="8"/>
  <c r="AU83" i="8"/>
  <c r="AS83" i="8"/>
  <c r="AT83" i="8"/>
  <c r="AW75" i="8"/>
  <c r="BA75" i="8" s="1"/>
  <c r="AY75" i="8"/>
  <c r="BC75" i="8" s="1"/>
  <c r="AZ75" i="8"/>
  <c r="BD75" i="8" s="1"/>
  <c r="AX75" i="8"/>
  <c r="BB75" i="8" s="1"/>
  <c r="AV75" i="8"/>
  <c r="AU75" i="8"/>
  <c r="AS75" i="8"/>
  <c r="AT75" i="8"/>
  <c r="AZ67" i="8"/>
  <c r="BD67" i="8" s="1"/>
  <c r="AY67" i="8"/>
  <c r="BC67" i="8" s="1"/>
  <c r="AW67" i="8"/>
  <c r="BA67" i="8" s="1"/>
  <c r="AX67" i="8"/>
  <c r="BB67" i="8" s="1"/>
  <c r="AV67" i="8"/>
  <c r="AU67" i="8"/>
  <c r="AS67" i="8"/>
  <c r="AT67" i="8"/>
  <c r="AZ59" i="8"/>
  <c r="BD59" i="8" s="1"/>
  <c r="AY59" i="8"/>
  <c r="BC59" i="8" s="1"/>
  <c r="AW59" i="8"/>
  <c r="BA59" i="8" s="1"/>
  <c r="AX59" i="8"/>
  <c r="BB59" i="8" s="1"/>
  <c r="AV59" i="8"/>
  <c r="AU59" i="8"/>
  <c r="AS59" i="8"/>
  <c r="AT59" i="8"/>
  <c r="AZ35" i="8"/>
  <c r="BD35" i="8" s="1"/>
  <c r="AY35" i="8"/>
  <c r="BC35" i="8" s="1"/>
  <c r="AW35" i="8"/>
  <c r="BA35" i="8" s="1"/>
  <c r="AX35" i="8"/>
  <c r="BB35" i="8" s="1"/>
  <c r="AU35" i="8"/>
  <c r="AV35" i="8"/>
  <c r="AS35" i="8"/>
  <c r="AT35" i="8"/>
  <c r="AZ27" i="8"/>
  <c r="BD27" i="8" s="1"/>
  <c r="AY27" i="8"/>
  <c r="BC27" i="8" s="1"/>
  <c r="AW27" i="8"/>
  <c r="BA27" i="8" s="1"/>
  <c r="AX27" i="8"/>
  <c r="BB27" i="8" s="1"/>
  <c r="AU27" i="8"/>
  <c r="AV27" i="8"/>
  <c r="AS27" i="8"/>
  <c r="AT27" i="8"/>
  <c r="AZ19" i="8"/>
  <c r="BD19" i="8" s="1"/>
  <c r="AW19" i="8"/>
  <c r="BA19" i="8" s="1"/>
  <c r="AX19" i="8"/>
  <c r="BB19" i="8" s="1"/>
  <c r="AY19" i="8"/>
  <c r="BC19" i="8" s="1"/>
  <c r="AU19" i="8"/>
  <c r="AV19" i="8"/>
  <c r="AS19" i="8"/>
  <c r="AT19" i="8"/>
  <c r="AZ577" i="8"/>
  <c r="BD577" i="8" s="1"/>
  <c r="AY577" i="8"/>
  <c r="BC577" i="8" s="1"/>
  <c r="AX577" i="8"/>
  <c r="BB577" i="8" s="1"/>
  <c r="AW577" i="8"/>
  <c r="BA577" i="8" s="1"/>
  <c r="AV577" i="8"/>
  <c r="AS577" i="8"/>
  <c r="AT577" i="8"/>
  <c r="AU577" i="8"/>
  <c r="AZ569" i="8"/>
  <c r="BD569" i="8" s="1"/>
  <c r="AW569" i="8"/>
  <c r="BA569" i="8" s="1"/>
  <c r="AY569" i="8"/>
  <c r="BC569" i="8" s="1"/>
  <c r="AX569" i="8"/>
  <c r="BB569" i="8" s="1"/>
  <c r="AV569" i="8"/>
  <c r="AS569" i="8"/>
  <c r="AT569" i="8"/>
  <c r="AU569" i="8"/>
  <c r="AZ561" i="8"/>
  <c r="BD561" i="8" s="1"/>
  <c r="AW561" i="8"/>
  <c r="BA561" i="8" s="1"/>
  <c r="AX561" i="8"/>
  <c r="BB561" i="8" s="1"/>
  <c r="AY561" i="8"/>
  <c r="BC561" i="8" s="1"/>
  <c r="AV561" i="8"/>
  <c r="AS561" i="8"/>
  <c r="AT561" i="8"/>
  <c r="AU561" i="8"/>
  <c r="AZ553" i="8"/>
  <c r="BD553" i="8" s="1"/>
  <c r="AW553" i="8"/>
  <c r="BA553" i="8" s="1"/>
  <c r="AX553" i="8"/>
  <c r="BB553" i="8" s="1"/>
  <c r="AY553" i="8"/>
  <c r="BC553" i="8" s="1"/>
  <c r="AV553" i="8"/>
  <c r="AS553" i="8"/>
  <c r="AT553" i="8"/>
  <c r="AU553" i="8"/>
  <c r="AZ545" i="8"/>
  <c r="BD545" i="8" s="1"/>
  <c r="AW545" i="8"/>
  <c r="BA545" i="8" s="1"/>
  <c r="AX545" i="8"/>
  <c r="BB545" i="8" s="1"/>
  <c r="AY545" i="8"/>
  <c r="BC545" i="8" s="1"/>
  <c r="AV545" i="8"/>
  <c r="AS545" i="8"/>
  <c r="AT545" i="8"/>
  <c r="AU545" i="8"/>
  <c r="AZ537" i="8"/>
  <c r="AW537" i="8"/>
  <c r="AX537" i="8"/>
  <c r="AY537" i="8"/>
  <c r="AS537" i="8"/>
  <c r="AV537" i="8"/>
  <c r="AU537" i="8"/>
  <c r="AT537" i="8"/>
  <c r="AZ529" i="8"/>
  <c r="BD529" i="8" s="1"/>
  <c r="AW529" i="8"/>
  <c r="BA529" i="8" s="1"/>
  <c r="AX529" i="8"/>
  <c r="BB529" i="8" s="1"/>
  <c r="AY529" i="8"/>
  <c r="BC529" i="8" s="1"/>
  <c r="AS529" i="8"/>
  <c r="AV529" i="8"/>
  <c r="AT529" i="8"/>
  <c r="AU529" i="8"/>
  <c r="AZ521" i="8"/>
  <c r="BD521" i="8" s="1"/>
  <c r="AW521" i="8"/>
  <c r="BA521" i="8" s="1"/>
  <c r="AX521" i="8"/>
  <c r="BB521" i="8" s="1"/>
  <c r="AY521" i="8"/>
  <c r="BC521" i="8" s="1"/>
  <c r="AS521" i="8"/>
  <c r="AV521" i="8"/>
  <c r="AU521" i="8"/>
  <c r="AT521" i="8"/>
  <c r="AZ513" i="8"/>
  <c r="BD513" i="8" s="1"/>
  <c r="AW513" i="8"/>
  <c r="BA513" i="8" s="1"/>
  <c r="AX513" i="8"/>
  <c r="BB513" i="8" s="1"/>
  <c r="AY513" i="8"/>
  <c r="BC513" i="8" s="1"/>
  <c r="AS513" i="8"/>
  <c r="AV513" i="8"/>
  <c r="AT513" i="8"/>
  <c r="AU513" i="8"/>
  <c r="AZ505" i="8"/>
  <c r="BD505" i="8" s="1"/>
  <c r="AW505" i="8"/>
  <c r="BA505" i="8" s="1"/>
  <c r="AX505" i="8"/>
  <c r="BB505" i="8" s="1"/>
  <c r="AY505" i="8"/>
  <c r="BC505" i="8" s="1"/>
  <c r="AS505" i="8"/>
  <c r="AV505" i="8"/>
  <c r="AU505" i="8"/>
  <c r="AT505" i="8"/>
  <c r="AZ489" i="8"/>
  <c r="BD489" i="8" s="1"/>
  <c r="AW489" i="8"/>
  <c r="BA489" i="8" s="1"/>
  <c r="AX489" i="8"/>
  <c r="BB489" i="8" s="1"/>
  <c r="AY489" i="8"/>
  <c r="BC489" i="8" s="1"/>
  <c r="AS489" i="8"/>
  <c r="AV489" i="8"/>
  <c r="AU489" i="8"/>
  <c r="AT489" i="8"/>
  <c r="AZ481" i="8"/>
  <c r="BD481" i="8" s="1"/>
  <c r="AW481" i="8"/>
  <c r="BA481" i="8" s="1"/>
  <c r="AX481" i="8"/>
  <c r="BB481" i="8" s="1"/>
  <c r="AY481" i="8"/>
  <c r="BC481" i="8" s="1"/>
  <c r="AS481" i="8"/>
  <c r="AV481" i="8"/>
  <c r="AT481" i="8"/>
  <c r="AU481" i="8"/>
  <c r="AZ473" i="8"/>
  <c r="BD473" i="8" s="1"/>
  <c r="AW473" i="8"/>
  <c r="BA473" i="8" s="1"/>
  <c r="AX473" i="8"/>
  <c r="BB473" i="8" s="1"/>
  <c r="AY473" i="8"/>
  <c r="BC473" i="8" s="1"/>
  <c r="AS473" i="8"/>
  <c r="AU473" i="8"/>
  <c r="AT473" i="8"/>
  <c r="AV473" i="8"/>
  <c r="AZ465" i="8"/>
  <c r="BD465" i="8" s="1"/>
  <c r="AW465" i="8"/>
  <c r="BA465" i="8" s="1"/>
  <c r="AX465" i="8"/>
  <c r="BB465" i="8" s="1"/>
  <c r="AY465" i="8"/>
  <c r="BC465" i="8" s="1"/>
  <c r="AS465" i="8"/>
  <c r="AV465" i="8"/>
  <c r="AT465" i="8"/>
  <c r="AU465" i="8"/>
  <c r="AZ457" i="8"/>
  <c r="BD457" i="8" s="1"/>
  <c r="AY457" i="8"/>
  <c r="BC457" i="8" s="1"/>
  <c r="AX457" i="8"/>
  <c r="BB457" i="8" s="1"/>
  <c r="AW457" i="8"/>
  <c r="BA457" i="8" s="1"/>
  <c r="AS457" i="8"/>
  <c r="AU457" i="8"/>
  <c r="AT457" i="8"/>
  <c r="AV457" i="8"/>
  <c r="AZ449" i="8"/>
  <c r="BD449" i="8" s="1"/>
  <c r="AW449" i="8"/>
  <c r="BA449" i="8" s="1"/>
  <c r="AY449" i="8"/>
  <c r="BC449" i="8" s="1"/>
  <c r="AX449" i="8"/>
  <c r="BB449" i="8" s="1"/>
  <c r="AS449" i="8"/>
  <c r="AV449" i="8"/>
  <c r="AT449" i="8"/>
  <c r="AU449" i="8"/>
  <c r="AZ441" i="8"/>
  <c r="BD441" i="8" s="1"/>
  <c r="AW441" i="8"/>
  <c r="BA441" i="8" s="1"/>
  <c r="AY441" i="8"/>
  <c r="BC441" i="8" s="1"/>
  <c r="AX441" i="8"/>
  <c r="BB441" i="8" s="1"/>
  <c r="AS441" i="8"/>
  <c r="AU441" i="8"/>
  <c r="AT441" i="8"/>
  <c r="AV441" i="8"/>
  <c r="AZ433" i="8"/>
  <c r="BD433" i="8" s="1"/>
  <c r="AW433" i="8"/>
  <c r="BA433" i="8" s="1"/>
  <c r="AY433" i="8"/>
  <c r="BC433" i="8" s="1"/>
  <c r="AX433" i="8"/>
  <c r="BB433" i="8" s="1"/>
  <c r="AV433" i="8"/>
  <c r="AT433" i="8"/>
  <c r="AS433" i="8"/>
  <c r="AU433" i="8"/>
  <c r="AZ425" i="8"/>
  <c r="BD425" i="8" s="1"/>
  <c r="AW425" i="8"/>
  <c r="BA425" i="8" s="1"/>
  <c r="AX425" i="8"/>
  <c r="BB425" i="8" s="1"/>
  <c r="AY425" i="8"/>
  <c r="BC425" i="8" s="1"/>
  <c r="AU425" i="8"/>
  <c r="AT425" i="8"/>
  <c r="AS425" i="8"/>
  <c r="AV425" i="8"/>
  <c r="AZ417" i="8"/>
  <c r="BD417" i="8" s="1"/>
  <c r="AW417" i="8"/>
  <c r="BA417" i="8" s="1"/>
  <c r="AY417" i="8"/>
  <c r="BC417" i="8" s="1"/>
  <c r="AX417" i="8"/>
  <c r="BB417" i="8" s="1"/>
  <c r="AV417" i="8"/>
  <c r="AT417" i="8"/>
  <c r="AS417" i="8"/>
  <c r="AU417" i="8"/>
  <c r="AZ409" i="8"/>
  <c r="BD409" i="8" s="1"/>
  <c r="AY409" i="8"/>
  <c r="BC409" i="8" s="1"/>
  <c r="AX409" i="8"/>
  <c r="BB409" i="8" s="1"/>
  <c r="AW409" i="8"/>
  <c r="AU409" i="8"/>
  <c r="AT409" i="8"/>
  <c r="AV409" i="8"/>
  <c r="AS409" i="8"/>
  <c r="AZ401" i="8"/>
  <c r="BD401" i="8" s="1"/>
  <c r="AY401" i="8"/>
  <c r="BC401" i="8" s="1"/>
  <c r="AX401" i="8"/>
  <c r="BB401" i="8" s="1"/>
  <c r="AW401" i="8"/>
  <c r="BA401" i="8" s="1"/>
  <c r="AT401" i="8"/>
  <c r="AS401" i="8"/>
  <c r="AV401" i="8"/>
  <c r="AU401" i="8"/>
  <c r="AZ393" i="8"/>
  <c r="BD393" i="8" s="1"/>
  <c r="AY393" i="8"/>
  <c r="BC393" i="8" s="1"/>
  <c r="AX393" i="8"/>
  <c r="BB393" i="8" s="1"/>
  <c r="AW393" i="8"/>
  <c r="BA393" i="8" s="1"/>
  <c r="AT393" i="8"/>
  <c r="AS393" i="8"/>
  <c r="AV393" i="8"/>
  <c r="AU393" i="8"/>
  <c r="AY385" i="8"/>
  <c r="BC385" i="8" s="1"/>
  <c r="AX385" i="8"/>
  <c r="BB385" i="8" s="1"/>
  <c r="AZ385" i="8"/>
  <c r="BD385" i="8" s="1"/>
  <c r="AW385" i="8"/>
  <c r="BA385" i="8" s="1"/>
  <c r="AT385" i="8"/>
  <c r="AS385" i="8"/>
  <c r="AV385" i="8"/>
  <c r="AU385" i="8"/>
  <c r="AZ377" i="8"/>
  <c r="BD377" i="8" s="1"/>
  <c r="AY377" i="8"/>
  <c r="BC377" i="8" s="1"/>
  <c r="AX377" i="8"/>
  <c r="BB377" i="8" s="1"/>
  <c r="AW377" i="8"/>
  <c r="BA377" i="8" s="1"/>
  <c r="AT377" i="8"/>
  <c r="AS377" i="8"/>
  <c r="AV377" i="8"/>
  <c r="AU377" i="8"/>
  <c r="AY369" i="8"/>
  <c r="BC369" i="8" s="1"/>
  <c r="AX369" i="8"/>
  <c r="BB369" i="8" s="1"/>
  <c r="AZ369" i="8"/>
  <c r="BD369" i="8" s="1"/>
  <c r="AW369" i="8"/>
  <c r="BA369" i="8" s="1"/>
  <c r="AT369" i="8"/>
  <c r="AS369" i="8"/>
  <c r="AV369" i="8"/>
  <c r="AU369" i="8"/>
  <c r="AY361" i="8"/>
  <c r="BC361" i="8" s="1"/>
  <c r="AX361" i="8"/>
  <c r="BB361" i="8" s="1"/>
  <c r="AZ361" i="8"/>
  <c r="BD361" i="8" s="1"/>
  <c r="AW361" i="8"/>
  <c r="BA361" i="8" s="1"/>
  <c r="AT361" i="8"/>
  <c r="AS361" i="8"/>
  <c r="AV361" i="8"/>
  <c r="AU361" i="8"/>
  <c r="AY353" i="8"/>
  <c r="BC353" i="8" s="1"/>
  <c r="AX353" i="8"/>
  <c r="BB353" i="8" s="1"/>
  <c r="AZ353" i="8"/>
  <c r="BD353" i="8" s="1"/>
  <c r="AW353" i="8"/>
  <c r="BA353" i="8" s="1"/>
  <c r="AT353" i="8"/>
  <c r="AS353" i="8"/>
  <c r="AV353" i="8"/>
  <c r="AU353" i="8"/>
  <c r="AY345" i="8"/>
  <c r="BC345" i="8" s="1"/>
  <c r="AX345" i="8"/>
  <c r="BB345" i="8" s="1"/>
  <c r="AZ345" i="8"/>
  <c r="BD345" i="8" s="1"/>
  <c r="AW345" i="8"/>
  <c r="BA345" i="8" s="1"/>
  <c r="AT345" i="8"/>
  <c r="AS345" i="8"/>
  <c r="AV345" i="8"/>
  <c r="AU345" i="8"/>
  <c r="AY337" i="8"/>
  <c r="AX337" i="8"/>
  <c r="AZ337" i="8"/>
  <c r="AW337" i="8"/>
  <c r="AT337" i="8"/>
  <c r="AS337" i="8"/>
  <c r="AV337" i="8"/>
  <c r="AU337" i="8"/>
  <c r="AY329" i="8"/>
  <c r="BC329" i="8" s="1"/>
  <c r="AX329" i="8"/>
  <c r="BB329" i="8" s="1"/>
  <c r="AZ329" i="8"/>
  <c r="BD329" i="8" s="1"/>
  <c r="AW329" i="8"/>
  <c r="BA329" i="8" s="1"/>
  <c r="AT329" i="8"/>
  <c r="AS329" i="8"/>
  <c r="AV329" i="8"/>
  <c r="AU329" i="8"/>
  <c r="AY321" i="8"/>
  <c r="BC321" i="8" s="1"/>
  <c r="AX321" i="8"/>
  <c r="BB321" i="8" s="1"/>
  <c r="AZ321" i="8"/>
  <c r="BD321" i="8" s="1"/>
  <c r="AW321" i="8"/>
  <c r="BA321" i="8" s="1"/>
  <c r="AT321" i="8"/>
  <c r="AS321" i="8"/>
  <c r="AV321" i="8"/>
  <c r="AU321" i="8"/>
  <c r="AZ313" i="8"/>
  <c r="BD313" i="8" s="1"/>
  <c r="AY313" i="8"/>
  <c r="BC313" i="8" s="1"/>
  <c r="AX313" i="8"/>
  <c r="BB313" i="8" s="1"/>
  <c r="AW313" i="8"/>
  <c r="BA313" i="8" s="1"/>
  <c r="AT313" i="8"/>
  <c r="AS313" i="8"/>
  <c r="AV313" i="8"/>
  <c r="AU313" i="8"/>
  <c r="AZ297" i="8"/>
  <c r="BD297" i="8" s="1"/>
  <c r="AY297" i="8"/>
  <c r="BC297" i="8" s="1"/>
  <c r="AX297" i="8"/>
  <c r="BB297" i="8" s="1"/>
  <c r="AW297" i="8"/>
  <c r="BA297" i="8" s="1"/>
  <c r="AT297" i="8"/>
  <c r="AS297" i="8"/>
  <c r="AV297" i="8"/>
  <c r="AU297" i="8"/>
  <c r="AZ289" i="8"/>
  <c r="BD289" i="8" s="1"/>
  <c r="AY289" i="8"/>
  <c r="BC289" i="8" s="1"/>
  <c r="AX289" i="8"/>
  <c r="BB289" i="8" s="1"/>
  <c r="AW289" i="8"/>
  <c r="BA289" i="8" s="1"/>
  <c r="AT289" i="8"/>
  <c r="AS289" i="8"/>
  <c r="AV289" i="8"/>
  <c r="AU289" i="8"/>
  <c r="AZ281" i="8"/>
  <c r="BD281" i="8" s="1"/>
  <c r="AY281" i="8"/>
  <c r="BC281" i="8" s="1"/>
  <c r="AX281" i="8"/>
  <c r="BB281" i="8" s="1"/>
  <c r="AW281" i="8"/>
  <c r="BA281" i="8" s="1"/>
  <c r="AT281" i="8"/>
  <c r="AS281" i="8"/>
  <c r="AV281" i="8"/>
  <c r="AU281" i="8"/>
  <c r="AZ273" i="8"/>
  <c r="BD273" i="8" s="1"/>
  <c r="AY273" i="8"/>
  <c r="BC273" i="8" s="1"/>
  <c r="AX273" i="8"/>
  <c r="BB273" i="8" s="1"/>
  <c r="AW273" i="8"/>
  <c r="BA273" i="8" s="1"/>
  <c r="AT273" i="8"/>
  <c r="AS273" i="8"/>
  <c r="AV273" i="8"/>
  <c r="AU273" i="8"/>
  <c r="AZ265" i="8"/>
  <c r="BD265" i="8" s="1"/>
  <c r="AY265" i="8"/>
  <c r="BC265" i="8" s="1"/>
  <c r="AX265" i="8"/>
  <c r="BB265" i="8" s="1"/>
  <c r="AW265" i="8"/>
  <c r="BA265" i="8" s="1"/>
  <c r="AT265" i="8"/>
  <c r="AS265" i="8"/>
  <c r="AV265" i="8"/>
  <c r="AU265" i="8"/>
  <c r="AY257" i="8"/>
  <c r="BC257" i="8" s="1"/>
  <c r="AX257" i="8"/>
  <c r="BB257" i="8" s="1"/>
  <c r="AW257" i="8"/>
  <c r="BA257" i="8" s="1"/>
  <c r="AZ257" i="8"/>
  <c r="BD257" i="8" s="1"/>
  <c r="AT257" i="8"/>
  <c r="AS257" i="8"/>
  <c r="AV257" i="8"/>
  <c r="AU257" i="8"/>
  <c r="AY241" i="8"/>
  <c r="BC241" i="8" s="1"/>
  <c r="AX241" i="8"/>
  <c r="BB241" i="8" s="1"/>
  <c r="AW241" i="8"/>
  <c r="BA241" i="8" s="1"/>
  <c r="AZ241" i="8"/>
  <c r="BD241" i="8" s="1"/>
  <c r="AT241" i="8"/>
  <c r="AS241" i="8"/>
  <c r="AV241" i="8"/>
  <c r="AU241" i="8"/>
  <c r="AY233" i="8"/>
  <c r="BC233" i="8" s="1"/>
  <c r="AX233" i="8"/>
  <c r="BB233" i="8" s="1"/>
  <c r="AW233" i="8"/>
  <c r="BA233" i="8" s="1"/>
  <c r="AZ233" i="8"/>
  <c r="BD233" i="8" s="1"/>
  <c r="AT233" i="8"/>
  <c r="AS233" i="8"/>
  <c r="AV233" i="8"/>
  <c r="AU233" i="8"/>
  <c r="AY225" i="8"/>
  <c r="BC225" i="8" s="1"/>
  <c r="AW225" i="8"/>
  <c r="BA225" i="8" s="1"/>
  <c r="AZ225" i="8"/>
  <c r="BD225" i="8" s="1"/>
  <c r="AX225" i="8"/>
  <c r="BB225" i="8" s="1"/>
  <c r="AT225" i="8"/>
  <c r="AS225" i="8"/>
  <c r="AV225" i="8"/>
  <c r="AU225" i="8"/>
  <c r="AY217" i="8"/>
  <c r="BC217" i="8" s="1"/>
  <c r="AW217" i="8"/>
  <c r="BA217" i="8" s="1"/>
  <c r="AX217" i="8"/>
  <c r="BB217" i="8" s="1"/>
  <c r="AZ217" i="8"/>
  <c r="BD217" i="8" s="1"/>
  <c r="AT217" i="8"/>
  <c r="AV217" i="8"/>
  <c r="AU217" i="8"/>
  <c r="AS217" i="8"/>
  <c r="AW209" i="8"/>
  <c r="BA209" i="8" s="1"/>
  <c r="AY209" i="8"/>
  <c r="BC209" i="8" s="1"/>
  <c r="AX209" i="8"/>
  <c r="BB209" i="8" s="1"/>
  <c r="AT209" i="8"/>
  <c r="AZ209" i="8"/>
  <c r="BD209" i="8" s="1"/>
  <c r="AV209" i="8"/>
  <c r="AU209" i="8"/>
  <c r="AS209" i="8"/>
  <c r="AZ201" i="8"/>
  <c r="BD201" i="8" s="1"/>
  <c r="AY201" i="8"/>
  <c r="BC201" i="8" s="1"/>
  <c r="AX201" i="8"/>
  <c r="BB201" i="8" s="1"/>
  <c r="AW201" i="8"/>
  <c r="BA201" i="8" s="1"/>
  <c r="AS201" i="8"/>
  <c r="AU201" i="8"/>
  <c r="AV201" i="8"/>
  <c r="AT201" i="8"/>
  <c r="AZ193" i="8"/>
  <c r="BD193" i="8" s="1"/>
  <c r="AY193" i="8"/>
  <c r="BC193" i="8" s="1"/>
  <c r="AX193" i="8"/>
  <c r="BB193" i="8" s="1"/>
  <c r="AW193" i="8"/>
  <c r="BA193" i="8" s="1"/>
  <c r="AS193" i="8"/>
  <c r="AU193" i="8"/>
  <c r="AV193" i="8"/>
  <c r="AT193" i="8"/>
  <c r="AZ185" i="8"/>
  <c r="BD185" i="8" s="1"/>
  <c r="AY185" i="8"/>
  <c r="BC185" i="8" s="1"/>
  <c r="AX185" i="8"/>
  <c r="BB185" i="8" s="1"/>
  <c r="AW185" i="8"/>
  <c r="BA185" i="8" s="1"/>
  <c r="AS185" i="8"/>
  <c r="AU185" i="8"/>
  <c r="AV185" i="8"/>
  <c r="AT185" i="8"/>
  <c r="AZ169" i="8"/>
  <c r="BD169" i="8" s="1"/>
  <c r="AY169" i="8"/>
  <c r="BC169" i="8" s="1"/>
  <c r="AX169" i="8"/>
  <c r="BB169" i="8" s="1"/>
  <c r="AW169" i="8"/>
  <c r="BA169" i="8" s="1"/>
  <c r="AS169" i="8"/>
  <c r="AU169" i="8"/>
  <c r="AV169" i="8"/>
  <c r="AT169" i="8"/>
  <c r="AZ161" i="8"/>
  <c r="BD161" i="8" s="1"/>
  <c r="AY161" i="8"/>
  <c r="BC161" i="8" s="1"/>
  <c r="AX161" i="8"/>
  <c r="BB161" i="8" s="1"/>
  <c r="AW161" i="8"/>
  <c r="BA161" i="8" s="1"/>
  <c r="AS161" i="8"/>
  <c r="AU161" i="8"/>
  <c r="AV161" i="8"/>
  <c r="AT161" i="8"/>
  <c r="AZ145" i="8"/>
  <c r="BD145" i="8" s="1"/>
  <c r="AY145" i="8"/>
  <c r="BC145" i="8" s="1"/>
  <c r="AX145" i="8"/>
  <c r="BB145" i="8" s="1"/>
  <c r="AW145" i="8"/>
  <c r="BA145" i="8" s="1"/>
  <c r="AS145" i="8"/>
  <c r="AU145" i="8"/>
  <c r="AV145" i="8"/>
  <c r="AT145" i="8"/>
  <c r="AZ137" i="8"/>
  <c r="BD137" i="8" s="1"/>
  <c r="AY137" i="8"/>
  <c r="BC137" i="8" s="1"/>
  <c r="AX137" i="8"/>
  <c r="BB137" i="8" s="1"/>
  <c r="AW137" i="8"/>
  <c r="BA137" i="8" s="1"/>
  <c r="AS137" i="8"/>
  <c r="AU137" i="8"/>
  <c r="AV137" i="8"/>
  <c r="AT137" i="8"/>
  <c r="AZ129" i="8"/>
  <c r="BD129" i="8" s="1"/>
  <c r="AY129" i="8"/>
  <c r="BC129" i="8" s="1"/>
  <c r="AX129" i="8"/>
  <c r="BB129" i="8" s="1"/>
  <c r="AW129" i="8"/>
  <c r="BA129" i="8" s="1"/>
  <c r="AS129" i="8"/>
  <c r="AU129" i="8"/>
  <c r="AV129" i="8"/>
  <c r="AT129" i="8"/>
  <c r="AZ121" i="8"/>
  <c r="BD121" i="8" s="1"/>
  <c r="AY121" i="8"/>
  <c r="BC121" i="8" s="1"/>
  <c r="AX121" i="8"/>
  <c r="BB121" i="8" s="1"/>
  <c r="AW121" i="8"/>
  <c r="BA121" i="8" s="1"/>
  <c r="AS121" i="8"/>
  <c r="AU121" i="8"/>
  <c r="AV121" i="8"/>
  <c r="AT121" i="8"/>
  <c r="AZ105" i="8"/>
  <c r="BD105" i="8" s="1"/>
  <c r="AY105" i="8"/>
  <c r="BC105" i="8" s="1"/>
  <c r="AX105" i="8"/>
  <c r="BB105" i="8" s="1"/>
  <c r="AW105" i="8"/>
  <c r="BA105" i="8" s="1"/>
  <c r="AS105" i="8"/>
  <c r="AU105" i="8"/>
  <c r="AT105" i="8"/>
  <c r="AV105" i="8"/>
  <c r="AZ97" i="8"/>
  <c r="BD97" i="8" s="1"/>
  <c r="AY97" i="8"/>
  <c r="BC97" i="8" s="1"/>
  <c r="AX97" i="8"/>
  <c r="BB97" i="8" s="1"/>
  <c r="AW97" i="8"/>
  <c r="BA97" i="8" s="1"/>
  <c r="AS97" i="8"/>
  <c r="AU97" i="8"/>
  <c r="AT97" i="8"/>
  <c r="AV97" i="8"/>
  <c r="AZ90" i="8"/>
  <c r="BD90" i="8" s="1"/>
  <c r="AY90" i="8"/>
  <c r="BC90" i="8" s="1"/>
  <c r="AX90" i="8"/>
  <c r="BB90" i="8" s="1"/>
  <c r="AW90" i="8"/>
  <c r="BA90" i="8" s="1"/>
  <c r="AS90" i="8"/>
  <c r="AU90" i="8"/>
  <c r="AT90" i="8"/>
  <c r="AV90" i="8"/>
  <c r="AZ82" i="8"/>
  <c r="BD82" i="8" s="1"/>
  <c r="AY82" i="8"/>
  <c r="BC82" i="8" s="1"/>
  <c r="AX82" i="8"/>
  <c r="BB82" i="8" s="1"/>
  <c r="AW82" i="8"/>
  <c r="BA82" i="8" s="1"/>
  <c r="AS82" i="8"/>
  <c r="AU82" i="8"/>
  <c r="AT82" i="8"/>
  <c r="AV82" i="8"/>
  <c r="AZ74" i="8"/>
  <c r="BD74" i="8" s="1"/>
  <c r="AY74" i="8"/>
  <c r="BC74" i="8" s="1"/>
  <c r="AX74" i="8"/>
  <c r="BB74" i="8" s="1"/>
  <c r="AW74" i="8"/>
  <c r="BA74" i="8" s="1"/>
  <c r="AS74" i="8"/>
  <c r="AU74" i="8"/>
  <c r="AT74" i="8"/>
  <c r="AV74" i="8"/>
  <c r="AY58" i="8"/>
  <c r="BC58" i="8" s="1"/>
  <c r="AX58" i="8"/>
  <c r="BB58" i="8" s="1"/>
  <c r="AW58" i="8"/>
  <c r="BA58" i="8" s="1"/>
  <c r="AS58" i="8"/>
  <c r="AZ58" i="8"/>
  <c r="BD58" i="8" s="1"/>
  <c r="AU58" i="8"/>
  <c r="AT58" i="8"/>
  <c r="AV58" i="8"/>
  <c r="AY42" i="8"/>
  <c r="BC42" i="8" s="1"/>
  <c r="AX42" i="8"/>
  <c r="BB42" i="8" s="1"/>
  <c r="AW42" i="8"/>
  <c r="BA42" i="8" s="1"/>
  <c r="AS42" i="8"/>
  <c r="AZ42" i="8"/>
  <c r="BD42" i="8" s="1"/>
  <c r="AU42" i="8"/>
  <c r="AT42" i="8"/>
  <c r="AY34" i="8"/>
  <c r="BC34" i="8" s="1"/>
  <c r="AX34" i="8"/>
  <c r="BB34" i="8" s="1"/>
  <c r="AW34" i="8"/>
  <c r="BA34" i="8" s="1"/>
  <c r="AS34" i="8"/>
  <c r="AZ34" i="8"/>
  <c r="BD34" i="8" s="1"/>
  <c r="AU34" i="8"/>
  <c r="AT34" i="8"/>
  <c r="AV34" i="8"/>
  <c r="AX18" i="8"/>
  <c r="BB18" i="8" s="1"/>
  <c r="AW18" i="8"/>
  <c r="BA18" i="8" s="1"/>
  <c r="AY18" i="8"/>
  <c r="BC18" i="8" s="1"/>
  <c r="AZ18" i="8"/>
  <c r="BD18" i="8" s="1"/>
  <c r="AS18" i="8"/>
  <c r="AU18" i="8"/>
  <c r="AT18" i="8"/>
  <c r="AV18" i="8"/>
  <c r="AZ576" i="8"/>
  <c r="AY576" i="8"/>
  <c r="AX576" i="8"/>
  <c r="AW576" i="8"/>
  <c r="AT576" i="8"/>
  <c r="AS576" i="8"/>
  <c r="AU576" i="8"/>
  <c r="AV576" i="8"/>
  <c r="AW568" i="8"/>
  <c r="BA568" i="8" s="1"/>
  <c r="AY568" i="8"/>
  <c r="BC568" i="8" s="1"/>
  <c r="AZ568" i="8"/>
  <c r="BD568" i="8" s="1"/>
  <c r="AX568" i="8"/>
  <c r="BB568" i="8" s="1"/>
  <c r="AT568" i="8"/>
  <c r="AS568" i="8"/>
  <c r="AU568" i="8"/>
  <c r="AV568" i="8"/>
  <c r="AW560" i="8"/>
  <c r="BA560" i="8" s="1"/>
  <c r="AZ560" i="8"/>
  <c r="BD560" i="8" s="1"/>
  <c r="AY560" i="8"/>
  <c r="BC560" i="8" s="1"/>
  <c r="AX560" i="8"/>
  <c r="BB560" i="8" s="1"/>
  <c r="AT560" i="8"/>
  <c r="AS560" i="8"/>
  <c r="AU560" i="8"/>
  <c r="AV560" i="8"/>
  <c r="AW552" i="8"/>
  <c r="BA552" i="8" s="1"/>
  <c r="AZ552" i="8"/>
  <c r="BD552" i="8" s="1"/>
  <c r="AY552" i="8"/>
  <c r="BC552" i="8" s="1"/>
  <c r="AX552" i="8"/>
  <c r="BB552" i="8" s="1"/>
  <c r="AT552" i="8"/>
  <c r="AS552" i="8"/>
  <c r="AU552" i="8"/>
  <c r="AV552" i="8"/>
  <c r="AW544" i="8"/>
  <c r="BA544" i="8" s="1"/>
  <c r="AZ544" i="8"/>
  <c r="BD544" i="8" s="1"/>
  <c r="AY544" i="8"/>
  <c r="BC544" i="8" s="1"/>
  <c r="AX544" i="8"/>
  <c r="BB544" i="8" s="1"/>
  <c r="AT544" i="8"/>
  <c r="AS544" i="8"/>
  <c r="AU544" i="8"/>
  <c r="AV544" i="8"/>
  <c r="AZ536" i="8"/>
  <c r="AY536" i="8"/>
  <c r="AX536" i="8"/>
  <c r="AW536" i="8"/>
  <c r="AT536" i="8"/>
  <c r="AS536" i="8"/>
  <c r="AU536" i="8"/>
  <c r="AV536" i="8"/>
  <c r="AZ528" i="8"/>
  <c r="BD528" i="8" s="1"/>
  <c r="AY528" i="8"/>
  <c r="BC528" i="8" s="1"/>
  <c r="AX528" i="8"/>
  <c r="BB528" i="8" s="1"/>
  <c r="AW528" i="8"/>
  <c r="BA528" i="8" s="1"/>
  <c r="AT528" i="8"/>
  <c r="AS528" i="8"/>
  <c r="AU528" i="8"/>
  <c r="AV528" i="8"/>
  <c r="AZ520" i="8"/>
  <c r="BD520" i="8" s="1"/>
  <c r="AY520" i="8"/>
  <c r="BC520" i="8" s="1"/>
  <c r="AX520" i="8"/>
  <c r="BB520" i="8" s="1"/>
  <c r="AW520" i="8"/>
  <c r="BA520" i="8" s="1"/>
  <c r="AT520" i="8"/>
  <c r="AS520" i="8"/>
  <c r="AU520" i="8"/>
  <c r="AV520" i="8"/>
  <c r="AZ512" i="8"/>
  <c r="BD512" i="8" s="1"/>
  <c r="AY512" i="8"/>
  <c r="BC512" i="8" s="1"/>
  <c r="AX512" i="8"/>
  <c r="BB512" i="8" s="1"/>
  <c r="AW512" i="8"/>
  <c r="BA512" i="8" s="1"/>
  <c r="AT512" i="8"/>
  <c r="AS512" i="8"/>
  <c r="AU512" i="8"/>
  <c r="AV512" i="8"/>
  <c r="AZ504" i="8"/>
  <c r="BD504" i="8" s="1"/>
  <c r="AY504" i="8"/>
  <c r="BC504" i="8" s="1"/>
  <c r="AX504" i="8"/>
  <c r="BB504" i="8" s="1"/>
  <c r="AW504" i="8"/>
  <c r="BA504" i="8" s="1"/>
  <c r="AT504" i="8"/>
  <c r="AS504" i="8"/>
  <c r="AU504" i="8"/>
  <c r="AV504" i="8"/>
  <c r="AZ496" i="8"/>
  <c r="BD496" i="8" s="1"/>
  <c r="AY496" i="8"/>
  <c r="BC496" i="8" s="1"/>
  <c r="AX496" i="8"/>
  <c r="BB496" i="8" s="1"/>
  <c r="AW496" i="8"/>
  <c r="BA496" i="8" s="1"/>
  <c r="AT496" i="8"/>
  <c r="AS496" i="8"/>
  <c r="AU496" i="8"/>
  <c r="AV496" i="8"/>
  <c r="AZ488" i="8"/>
  <c r="BD488" i="8" s="1"/>
  <c r="AY488" i="8"/>
  <c r="BC488" i="8" s="1"/>
  <c r="AX488" i="8"/>
  <c r="BB488" i="8" s="1"/>
  <c r="AW488" i="8"/>
  <c r="BA488" i="8" s="1"/>
  <c r="AT488" i="8"/>
  <c r="AS488" i="8"/>
  <c r="AU488" i="8"/>
  <c r="AV488" i="8"/>
  <c r="AZ480" i="8"/>
  <c r="BD480" i="8" s="1"/>
  <c r="AW480" i="8"/>
  <c r="BA480" i="8" s="1"/>
  <c r="AY480" i="8"/>
  <c r="BC480" i="8" s="1"/>
  <c r="AX480" i="8"/>
  <c r="BB480" i="8" s="1"/>
  <c r="AT480" i="8"/>
  <c r="AS480" i="8"/>
  <c r="AV480" i="8"/>
  <c r="AU480" i="8"/>
  <c r="AZ472" i="8"/>
  <c r="BD472" i="8" s="1"/>
  <c r="AY472" i="8"/>
  <c r="BC472" i="8" s="1"/>
  <c r="AX472" i="8"/>
  <c r="BB472" i="8" s="1"/>
  <c r="AW472" i="8"/>
  <c r="BA472" i="8" s="1"/>
  <c r="AT472" i="8"/>
  <c r="AS472" i="8"/>
  <c r="AU472" i="8"/>
  <c r="AV472" i="8"/>
  <c r="AZ464" i="8"/>
  <c r="BD464" i="8" s="1"/>
  <c r="AY464" i="8"/>
  <c r="BC464" i="8" s="1"/>
  <c r="AX464" i="8"/>
  <c r="BB464" i="8" s="1"/>
  <c r="AW464" i="8"/>
  <c r="BA464" i="8" s="1"/>
  <c r="AT464" i="8"/>
  <c r="AS464" i="8"/>
  <c r="AV464" i="8"/>
  <c r="AU464" i="8"/>
  <c r="AW456" i="8"/>
  <c r="BA456" i="8" s="1"/>
  <c r="AY456" i="8"/>
  <c r="BC456" i="8" s="1"/>
  <c r="AX456" i="8"/>
  <c r="BB456" i="8" s="1"/>
  <c r="AZ456" i="8"/>
  <c r="BD456" i="8" s="1"/>
  <c r="AT456" i="8"/>
  <c r="AS456" i="8"/>
  <c r="AU456" i="8"/>
  <c r="AV456" i="8"/>
  <c r="AZ448" i="8"/>
  <c r="BD448" i="8" s="1"/>
  <c r="AY448" i="8"/>
  <c r="BC448" i="8" s="1"/>
  <c r="AX448" i="8"/>
  <c r="BB448" i="8" s="1"/>
  <c r="AW448" i="8"/>
  <c r="BA448" i="8" s="1"/>
  <c r="AT448" i="8"/>
  <c r="AS448" i="8"/>
  <c r="AV448" i="8"/>
  <c r="AU448" i="8"/>
  <c r="AW440" i="8"/>
  <c r="BA440" i="8" s="1"/>
  <c r="AZ440" i="8"/>
  <c r="BD440" i="8" s="1"/>
  <c r="AY440" i="8"/>
  <c r="BC440" i="8" s="1"/>
  <c r="AX440" i="8"/>
  <c r="BB440" i="8" s="1"/>
  <c r="AT440" i="8"/>
  <c r="AS440" i="8"/>
  <c r="AU440" i="8"/>
  <c r="AV440" i="8"/>
  <c r="AZ432" i="8"/>
  <c r="BD432" i="8" s="1"/>
  <c r="AW432" i="8"/>
  <c r="BA432" i="8" s="1"/>
  <c r="AY432" i="8"/>
  <c r="BC432" i="8" s="1"/>
  <c r="AX432" i="8"/>
  <c r="BB432" i="8" s="1"/>
  <c r="AS432" i="8"/>
  <c r="AU432" i="8"/>
  <c r="AT432" i="8"/>
  <c r="AV432" i="8"/>
  <c r="AW424" i="8"/>
  <c r="BA424" i="8" s="1"/>
  <c r="AZ424" i="8"/>
  <c r="BD424" i="8" s="1"/>
  <c r="AX424" i="8"/>
  <c r="BB424" i="8" s="1"/>
  <c r="AY424" i="8"/>
  <c r="BC424" i="8" s="1"/>
  <c r="AS424" i="8"/>
  <c r="AV424" i="8"/>
  <c r="AT424" i="8"/>
  <c r="AU424" i="8"/>
  <c r="AZ416" i="8"/>
  <c r="BD416" i="8" s="1"/>
  <c r="AW416" i="8"/>
  <c r="BA416" i="8" s="1"/>
  <c r="AY416" i="8"/>
  <c r="BC416" i="8" s="1"/>
  <c r="AX416" i="8"/>
  <c r="BB416" i="8" s="1"/>
  <c r="AS416" i="8"/>
  <c r="AU416" i="8"/>
  <c r="AT416" i="8"/>
  <c r="AV416" i="8"/>
  <c r="AW400" i="8"/>
  <c r="BA400" i="8" s="1"/>
  <c r="AZ400" i="8"/>
  <c r="BD400" i="8" s="1"/>
  <c r="AY400" i="8"/>
  <c r="BC400" i="8" s="1"/>
  <c r="AX400" i="8"/>
  <c r="BB400" i="8" s="1"/>
  <c r="AU400" i="8"/>
  <c r="AS400" i="8"/>
  <c r="AT400" i="8"/>
  <c r="AV400" i="8"/>
  <c r="AW392" i="8"/>
  <c r="BA392" i="8" s="1"/>
  <c r="AY392" i="8"/>
  <c r="BC392" i="8" s="1"/>
  <c r="AX392" i="8"/>
  <c r="BB392" i="8" s="1"/>
  <c r="AZ392" i="8"/>
  <c r="BD392" i="8" s="1"/>
  <c r="AU392" i="8"/>
  <c r="AS392" i="8"/>
  <c r="AV392" i="8"/>
  <c r="AT392" i="8"/>
  <c r="AW376" i="8"/>
  <c r="BA376" i="8" s="1"/>
  <c r="AY376" i="8"/>
  <c r="BC376" i="8" s="1"/>
  <c r="AX376" i="8"/>
  <c r="BB376" i="8" s="1"/>
  <c r="AZ376" i="8"/>
  <c r="BD376" i="8" s="1"/>
  <c r="AU376" i="8"/>
  <c r="AS376" i="8"/>
  <c r="AT376" i="8"/>
  <c r="AV376" i="8"/>
  <c r="AZ368" i="8"/>
  <c r="BD368" i="8" s="1"/>
  <c r="AY368" i="8"/>
  <c r="BC368" i="8" s="1"/>
  <c r="AX368" i="8"/>
  <c r="BB368" i="8" s="1"/>
  <c r="AW368" i="8"/>
  <c r="BA368" i="8" s="1"/>
  <c r="AU368" i="8"/>
  <c r="AS368" i="8"/>
  <c r="AV368" i="8"/>
  <c r="AT368" i="8"/>
  <c r="AZ360" i="8"/>
  <c r="BD360" i="8" s="1"/>
  <c r="AY360" i="8"/>
  <c r="BC360" i="8" s="1"/>
  <c r="AX360" i="8"/>
  <c r="BB360" i="8" s="1"/>
  <c r="AW360" i="8"/>
  <c r="BA360" i="8" s="1"/>
  <c r="AU360" i="8"/>
  <c r="AS360" i="8"/>
  <c r="AV360" i="8"/>
  <c r="AT360" i="8"/>
  <c r="AZ352" i="8"/>
  <c r="BD352" i="8" s="1"/>
  <c r="AY352" i="8"/>
  <c r="BC352" i="8" s="1"/>
  <c r="AX352" i="8"/>
  <c r="BB352" i="8" s="1"/>
  <c r="AW352" i="8"/>
  <c r="BA352" i="8" s="1"/>
  <c r="AU352" i="8"/>
  <c r="AS352" i="8"/>
  <c r="AV352" i="8"/>
  <c r="AT352" i="8"/>
  <c r="AZ344" i="8"/>
  <c r="BD344" i="8" s="1"/>
  <c r="AY344" i="8"/>
  <c r="BC344" i="8" s="1"/>
  <c r="AX344" i="8"/>
  <c r="BB344" i="8" s="1"/>
  <c r="AW344" i="8"/>
  <c r="AU344" i="8"/>
  <c r="AS344" i="8"/>
  <c r="AV344" i="8"/>
  <c r="AT344" i="8"/>
  <c r="AZ336" i="8"/>
  <c r="BD336" i="8" s="1"/>
  <c r="AY336" i="8"/>
  <c r="BC336" i="8" s="1"/>
  <c r="AX336" i="8"/>
  <c r="BB336" i="8" s="1"/>
  <c r="AW336" i="8"/>
  <c r="BA336" i="8" s="1"/>
  <c r="AU336" i="8"/>
  <c r="AS336" i="8"/>
  <c r="AV336" i="8"/>
  <c r="AT336" i="8"/>
  <c r="AZ328" i="8"/>
  <c r="BD328" i="8" s="1"/>
  <c r="AY328" i="8"/>
  <c r="BC328" i="8" s="1"/>
  <c r="AX328" i="8"/>
  <c r="BB328" i="8" s="1"/>
  <c r="AW328" i="8"/>
  <c r="BA328" i="8" s="1"/>
  <c r="AU328" i="8"/>
  <c r="AS328" i="8"/>
  <c r="AV328" i="8"/>
  <c r="AT328" i="8"/>
  <c r="AZ312" i="8"/>
  <c r="AY312" i="8"/>
  <c r="AX312" i="8"/>
  <c r="AW312" i="8"/>
  <c r="AU312" i="8"/>
  <c r="AS312" i="8"/>
  <c r="AV312" i="8"/>
  <c r="AT312" i="8"/>
  <c r="AZ288" i="8"/>
  <c r="BD288" i="8" s="1"/>
  <c r="AY288" i="8"/>
  <c r="BC288" i="8" s="1"/>
  <c r="AX288" i="8"/>
  <c r="BB288" i="8" s="1"/>
  <c r="AW288" i="8"/>
  <c r="BA288" i="8" s="1"/>
  <c r="AU288" i="8"/>
  <c r="AS288" i="8"/>
  <c r="AV288" i="8"/>
  <c r="AT288" i="8"/>
  <c r="AZ280" i="8"/>
  <c r="BD280" i="8" s="1"/>
  <c r="AY280" i="8"/>
  <c r="BC280" i="8" s="1"/>
  <c r="AX280" i="8"/>
  <c r="BB280" i="8" s="1"/>
  <c r="AW280" i="8"/>
  <c r="BA280" i="8" s="1"/>
  <c r="AU280" i="8"/>
  <c r="AS280" i="8"/>
  <c r="AV280" i="8"/>
  <c r="AT280" i="8"/>
  <c r="AZ272" i="8"/>
  <c r="BD272" i="8" s="1"/>
  <c r="AY272" i="8"/>
  <c r="BC272" i="8" s="1"/>
  <c r="AX272" i="8"/>
  <c r="BB272" i="8" s="1"/>
  <c r="AW272" i="8"/>
  <c r="BA272" i="8" s="1"/>
  <c r="AU272" i="8"/>
  <c r="AS272" i="8"/>
  <c r="AV272" i="8"/>
  <c r="AT272" i="8"/>
  <c r="AZ264" i="8"/>
  <c r="BD264" i="8" s="1"/>
  <c r="AY264" i="8"/>
  <c r="BC264" i="8" s="1"/>
  <c r="AX264" i="8"/>
  <c r="BB264" i="8" s="1"/>
  <c r="AW264" i="8"/>
  <c r="BA264" i="8" s="1"/>
  <c r="AU264" i="8"/>
  <c r="AS264" i="8"/>
  <c r="AV264" i="8"/>
  <c r="AT264" i="8"/>
  <c r="AZ256" i="8"/>
  <c r="BD256" i="8" s="1"/>
  <c r="AY256" i="8"/>
  <c r="BC256" i="8" s="1"/>
  <c r="AX256" i="8"/>
  <c r="BB256" i="8" s="1"/>
  <c r="AW256" i="8"/>
  <c r="BA256" i="8" s="1"/>
  <c r="AU256" i="8"/>
  <c r="AS256" i="8"/>
  <c r="AV256" i="8"/>
  <c r="AT256" i="8"/>
  <c r="AZ240" i="8"/>
  <c r="AY240" i="8"/>
  <c r="AX240" i="8"/>
  <c r="AW240" i="8"/>
  <c r="AU240" i="8"/>
  <c r="AS240" i="8"/>
  <c r="AV240" i="8"/>
  <c r="AT240" i="8"/>
  <c r="AZ232" i="8"/>
  <c r="BD232" i="8" s="1"/>
  <c r="AY232" i="8"/>
  <c r="BC232" i="8" s="1"/>
  <c r="AX232" i="8"/>
  <c r="BB232" i="8" s="1"/>
  <c r="AW232" i="8"/>
  <c r="BA232" i="8" s="1"/>
  <c r="AU232" i="8"/>
  <c r="AS232" i="8"/>
  <c r="AV232" i="8"/>
  <c r="AT232" i="8"/>
  <c r="AZ224" i="8"/>
  <c r="BD224" i="8" s="1"/>
  <c r="AY224" i="8"/>
  <c r="BC224" i="8" s="1"/>
  <c r="AX224" i="8"/>
  <c r="BB224" i="8" s="1"/>
  <c r="AW224" i="8"/>
  <c r="BA224" i="8" s="1"/>
  <c r="AU224" i="8"/>
  <c r="AS224" i="8"/>
  <c r="AV224" i="8"/>
  <c r="AT224" i="8"/>
  <c r="AZ216" i="8"/>
  <c r="BD216" i="8" s="1"/>
  <c r="AY216" i="8"/>
  <c r="BC216" i="8" s="1"/>
  <c r="AX216" i="8"/>
  <c r="BB216" i="8" s="1"/>
  <c r="AW216" i="8"/>
  <c r="BA216" i="8" s="1"/>
  <c r="AU216" i="8"/>
  <c r="AT216" i="8"/>
  <c r="AS216" i="8"/>
  <c r="AV216" i="8"/>
  <c r="AZ208" i="8"/>
  <c r="BD208" i="8" s="1"/>
  <c r="AY208" i="8"/>
  <c r="BC208" i="8" s="1"/>
  <c r="AX208" i="8"/>
  <c r="BB208" i="8" s="1"/>
  <c r="AW208" i="8"/>
  <c r="BA208" i="8" s="1"/>
  <c r="AU208" i="8"/>
  <c r="AT208" i="8"/>
  <c r="AV208" i="8"/>
  <c r="AS208" i="8"/>
  <c r="AW200" i="8"/>
  <c r="AY200" i="8"/>
  <c r="AZ200" i="8"/>
  <c r="AX200" i="8"/>
  <c r="AV200" i="8"/>
  <c r="AU200" i="8"/>
  <c r="AS200" i="8"/>
  <c r="AT200" i="8"/>
  <c r="AW192" i="8"/>
  <c r="BA192" i="8" s="1"/>
  <c r="AY192" i="8"/>
  <c r="BC192" i="8" s="1"/>
  <c r="AZ192" i="8"/>
  <c r="BD192" i="8" s="1"/>
  <c r="AX192" i="8"/>
  <c r="BB192" i="8" s="1"/>
  <c r="AV192" i="8"/>
  <c r="AU192" i="8"/>
  <c r="AS192" i="8"/>
  <c r="AT192" i="8"/>
  <c r="AW184" i="8"/>
  <c r="BA184" i="8" s="1"/>
  <c r="AY184" i="8"/>
  <c r="BC184" i="8" s="1"/>
  <c r="AZ184" i="8"/>
  <c r="BD184" i="8" s="1"/>
  <c r="AX184" i="8"/>
  <c r="BB184" i="8" s="1"/>
  <c r="AV184" i="8"/>
  <c r="AU184" i="8"/>
  <c r="AS184" i="8"/>
  <c r="AT184" i="8"/>
  <c r="AW168" i="8"/>
  <c r="BA168" i="8" s="1"/>
  <c r="AY168" i="8"/>
  <c r="BC168" i="8" s="1"/>
  <c r="AZ168" i="8"/>
  <c r="BD168" i="8" s="1"/>
  <c r="AX168" i="8"/>
  <c r="BB168" i="8" s="1"/>
  <c r="AV168" i="8"/>
  <c r="AU168" i="8"/>
  <c r="AS168" i="8"/>
  <c r="AT168" i="8"/>
  <c r="AW160" i="8"/>
  <c r="AY160" i="8"/>
  <c r="AZ160" i="8"/>
  <c r="AX160" i="8"/>
  <c r="AV160" i="8"/>
  <c r="AU160" i="8"/>
  <c r="AS160" i="8"/>
  <c r="AT160" i="8"/>
  <c r="AW144" i="8"/>
  <c r="BA144" i="8" s="1"/>
  <c r="AY144" i="8"/>
  <c r="BC144" i="8" s="1"/>
  <c r="AZ144" i="8"/>
  <c r="BD144" i="8" s="1"/>
  <c r="AX144" i="8"/>
  <c r="BB144" i="8" s="1"/>
  <c r="AV144" i="8"/>
  <c r="AU144" i="8"/>
  <c r="AS144" i="8"/>
  <c r="AT144" i="8"/>
  <c r="AW136" i="8"/>
  <c r="BA136" i="8" s="1"/>
  <c r="AY136" i="8"/>
  <c r="BC136" i="8" s="1"/>
  <c r="AZ136" i="8"/>
  <c r="BD136" i="8" s="1"/>
  <c r="AX136" i="8"/>
  <c r="BB136" i="8" s="1"/>
  <c r="AV136" i="8"/>
  <c r="AU136" i="8"/>
  <c r="AS136" i="8"/>
  <c r="AT136" i="8"/>
  <c r="AW128" i="8"/>
  <c r="BA128" i="8" s="1"/>
  <c r="AY128" i="8"/>
  <c r="BC128" i="8" s="1"/>
  <c r="AZ128" i="8"/>
  <c r="BD128" i="8" s="1"/>
  <c r="AX128" i="8"/>
  <c r="BB128" i="8" s="1"/>
  <c r="AV128" i="8"/>
  <c r="AU128" i="8"/>
  <c r="AS128" i="8"/>
  <c r="AT128" i="8"/>
  <c r="AW120" i="8"/>
  <c r="BA120" i="8" s="1"/>
  <c r="AY120" i="8"/>
  <c r="BC120" i="8" s="1"/>
  <c r="AZ120" i="8"/>
  <c r="BD120" i="8" s="1"/>
  <c r="AX120" i="8"/>
  <c r="BB120" i="8" s="1"/>
  <c r="AV120" i="8"/>
  <c r="AU120" i="8"/>
  <c r="AS120" i="8"/>
  <c r="AT120" i="8"/>
  <c r="AW104" i="8"/>
  <c r="BA104" i="8" s="1"/>
  <c r="AY104" i="8"/>
  <c r="BC104" i="8" s="1"/>
  <c r="AX104" i="8"/>
  <c r="BB104" i="8" s="1"/>
  <c r="AZ104" i="8"/>
  <c r="BD104" i="8" s="1"/>
  <c r="AV104" i="8"/>
  <c r="AU104" i="8"/>
  <c r="AS104" i="8"/>
  <c r="AT104" i="8"/>
  <c r="AW89" i="8"/>
  <c r="BA89" i="8" s="1"/>
  <c r="AY89" i="8"/>
  <c r="BC89" i="8" s="1"/>
  <c r="AX89" i="8"/>
  <c r="BB89" i="8" s="1"/>
  <c r="AZ89" i="8"/>
  <c r="BD89" i="8" s="1"/>
  <c r="AV89" i="8"/>
  <c r="AU89" i="8"/>
  <c r="AS89" i="8"/>
  <c r="AT89" i="8"/>
  <c r="AW81" i="8"/>
  <c r="BA81" i="8" s="1"/>
  <c r="AY81" i="8"/>
  <c r="BC81" i="8" s="1"/>
  <c r="AX81" i="8"/>
  <c r="BB81" i="8" s="1"/>
  <c r="AZ81" i="8"/>
  <c r="BD81" i="8" s="1"/>
  <c r="AV81" i="8"/>
  <c r="AU81" i="8"/>
  <c r="AS81" i="8"/>
  <c r="AT81" i="8"/>
  <c r="AW73" i="8"/>
  <c r="BA73" i="8" s="1"/>
  <c r="AY73" i="8"/>
  <c r="BC73" i="8" s="1"/>
  <c r="AX73" i="8"/>
  <c r="BB73" i="8" s="1"/>
  <c r="AZ73" i="8"/>
  <c r="BD73" i="8" s="1"/>
  <c r="AV73" i="8"/>
  <c r="AU73" i="8"/>
  <c r="AS73" i="8"/>
  <c r="AT73" i="8"/>
  <c r="AZ57" i="8"/>
  <c r="BD57" i="8" s="1"/>
  <c r="AY57" i="8"/>
  <c r="BC57" i="8" s="1"/>
  <c r="AW57" i="8"/>
  <c r="BA57" i="8" s="1"/>
  <c r="AX57" i="8"/>
  <c r="BB57" i="8" s="1"/>
  <c r="AV57" i="8"/>
  <c r="AU57" i="8"/>
  <c r="AS57" i="8"/>
  <c r="AT57" i="8"/>
  <c r="AZ33" i="8"/>
  <c r="BD33" i="8" s="1"/>
  <c r="AY33" i="8"/>
  <c r="BC33" i="8" s="1"/>
  <c r="AW33" i="8"/>
  <c r="BA33" i="8" s="1"/>
  <c r="AX33" i="8"/>
  <c r="BB33" i="8" s="1"/>
  <c r="AU33" i="8"/>
  <c r="AV33" i="8"/>
  <c r="AT33" i="8"/>
  <c r="AS33" i="8"/>
  <c r="AZ25" i="8"/>
  <c r="BD25" i="8" s="1"/>
  <c r="AY25" i="8"/>
  <c r="BC25" i="8" s="1"/>
  <c r="AW25" i="8"/>
  <c r="BA25" i="8" s="1"/>
  <c r="AX25" i="8"/>
  <c r="BB25" i="8" s="1"/>
  <c r="AU25" i="8"/>
  <c r="AV25" i="8"/>
  <c r="AT25" i="8"/>
  <c r="AS25" i="8"/>
  <c r="AZ17" i="8"/>
  <c r="BD17" i="8" s="1"/>
  <c r="AW17" i="8"/>
  <c r="BA17" i="8" s="1"/>
  <c r="AY17" i="8"/>
  <c r="BC17" i="8" s="1"/>
  <c r="AX17" i="8"/>
  <c r="BB17" i="8" s="1"/>
  <c r="AU17" i="8"/>
  <c r="AV17" i="8"/>
  <c r="AT17" i="8"/>
  <c r="AS17" i="8"/>
  <c r="AZ575" i="8"/>
  <c r="BD575" i="8" s="1"/>
  <c r="AY575" i="8"/>
  <c r="BC575" i="8" s="1"/>
  <c r="AW575" i="8"/>
  <c r="BA575" i="8" s="1"/>
  <c r="AX575" i="8"/>
  <c r="BB575" i="8" s="1"/>
  <c r="AV575" i="8"/>
  <c r="AS575" i="8"/>
  <c r="AU575" i="8"/>
  <c r="AT575" i="8"/>
  <c r="AZ567" i="8"/>
  <c r="BD567" i="8" s="1"/>
  <c r="AW567" i="8"/>
  <c r="BA567" i="8" s="1"/>
  <c r="AY567" i="8"/>
  <c r="BC567" i="8" s="1"/>
  <c r="AX567" i="8"/>
  <c r="BB567" i="8" s="1"/>
  <c r="AV567" i="8"/>
  <c r="AS567" i="8"/>
  <c r="AU567" i="8"/>
  <c r="AT567" i="8"/>
  <c r="AZ559" i="8"/>
  <c r="BD559" i="8" s="1"/>
  <c r="AW559" i="8"/>
  <c r="BA559" i="8" s="1"/>
  <c r="AX559" i="8"/>
  <c r="BB559" i="8" s="1"/>
  <c r="AY559" i="8"/>
  <c r="BC559" i="8" s="1"/>
  <c r="AV559" i="8"/>
  <c r="AS559" i="8"/>
  <c r="AU559" i="8"/>
  <c r="AT559" i="8"/>
  <c r="AZ551" i="8"/>
  <c r="BD551" i="8" s="1"/>
  <c r="AW551" i="8"/>
  <c r="BA551" i="8" s="1"/>
  <c r="AX551" i="8"/>
  <c r="BB551" i="8" s="1"/>
  <c r="AY551" i="8"/>
  <c r="BC551" i="8" s="1"/>
  <c r="AV551" i="8"/>
  <c r="AS551" i="8"/>
  <c r="AU551" i="8"/>
  <c r="AT551" i="8"/>
  <c r="AZ543" i="8"/>
  <c r="AW543" i="8"/>
  <c r="AX543" i="8"/>
  <c r="AY543" i="8"/>
  <c r="AS543" i="8"/>
  <c r="AV543" i="8"/>
  <c r="AU543" i="8"/>
  <c r="AT543" i="8"/>
  <c r="AZ535" i="8"/>
  <c r="AW535" i="8"/>
  <c r="AY535" i="8"/>
  <c r="AX535" i="8"/>
  <c r="AS535" i="8"/>
  <c r="AU535" i="8"/>
  <c r="AT535" i="8"/>
  <c r="AV535" i="8"/>
  <c r="AZ527" i="8"/>
  <c r="BD527" i="8" s="1"/>
  <c r="AW527" i="8"/>
  <c r="BA527" i="8" s="1"/>
  <c r="AY527" i="8"/>
  <c r="BC527" i="8" s="1"/>
  <c r="AX527" i="8"/>
  <c r="BB527" i="8" s="1"/>
  <c r="AS527" i="8"/>
  <c r="AV527" i="8"/>
  <c r="AU527" i="8"/>
  <c r="AT527" i="8"/>
  <c r="AZ519" i="8"/>
  <c r="BD519" i="8" s="1"/>
  <c r="AW519" i="8"/>
  <c r="BA519" i="8" s="1"/>
  <c r="AY519" i="8"/>
  <c r="BC519" i="8" s="1"/>
  <c r="AX519" i="8"/>
  <c r="BB519" i="8" s="1"/>
  <c r="AS519" i="8"/>
  <c r="AU519" i="8"/>
  <c r="AT519" i="8"/>
  <c r="AV519" i="8"/>
  <c r="AZ511" i="8"/>
  <c r="BD511" i="8" s="1"/>
  <c r="AW511" i="8"/>
  <c r="BA511" i="8" s="1"/>
  <c r="AY511" i="8"/>
  <c r="BC511" i="8" s="1"/>
  <c r="AX511" i="8"/>
  <c r="BB511" i="8" s="1"/>
  <c r="AS511" i="8"/>
  <c r="AV511" i="8"/>
  <c r="AU511" i="8"/>
  <c r="AT511" i="8"/>
  <c r="AZ503" i="8"/>
  <c r="BD503" i="8" s="1"/>
  <c r="AW503" i="8"/>
  <c r="BA503" i="8" s="1"/>
  <c r="AY503" i="8"/>
  <c r="BC503" i="8" s="1"/>
  <c r="AX503" i="8"/>
  <c r="BB503" i="8" s="1"/>
  <c r="AS503" i="8"/>
  <c r="AU503" i="8"/>
  <c r="AT503" i="8"/>
  <c r="AV503" i="8"/>
  <c r="AZ495" i="8"/>
  <c r="BD495" i="8" s="1"/>
  <c r="AW495" i="8"/>
  <c r="BA495" i="8" s="1"/>
  <c r="AY495" i="8"/>
  <c r="BC495" i="8" s="1"/>
  <c r="AX495" i="8"/>
  <c r="BB495" i="8" s="1"/>
  <c r="AS495" i="8"/>
  <c r="AV495" i="8"/>
  <c r="AU495" i="8"/>
  <c r="AT495" i="8"/>
  <c r="AZ479" i="8"/>
  <c r="BD479" i="8" s="1"/>
  <c r="AW479" i="8"/>
  <c r="BA479" i="8" s="1"/>
  <c r="AY479" i="8"/>
  <c r="BC479" i="8" s="1"/>
  <c r="AX479" i="8"/>
  <c r="BB479" i="8" s="1"/>
  <c r="AS479" i="8"/>
  <c r="AV479" i="8"/>
  <c r="AU479" i="8"/>
  <c r="AT479" i="8"/>
  <c r="AZ471" i="8"/>
  <c r="BD471" i="8" s="1"/>
  <c r="AW471" i="8"/>
  <c r="BA471" i="8" s="1"/>
  <c r="AY471" i="8"/>
  <c r="BC471" i="8" s="1"/>
  <c r="AX471" i="8"/>
  <c r="BB471" i="8" s="1"/>
  <c r="AS471" i="8"/>
  <c r="AU471" i="8"/>
  <c r="AT471" i="8"/>
  <c r="AV471" i="8"/>
  <c r="AZ463" i="8"/>
  <c r="BD463" i="8" s="1"/>
  <c r="AY463" i="8"/>
  <c r="BC463" i="8" s="1"/>
  <c r="AX463" i="8"/>
  <c r="BB463" i="8" s="1"/>
  <c r="AW463" i="8"/>
  <c r="BA463" i="8" s="1"/>
  <c r="AS463" i="8"/>
  <c r="AV463" i="8"/>
  <c r="AU463" i="8"/>
  <c r="AT463" i="8"/>
  <c r="AZ455" i="8"/>
  <c r="BD455" i="8" s="1"/>
  <c r="AY455" i="8"/>
  <c r="BC455" i="8" s="1"/>
  <c r="AX455" i="8"/>
  <c r="BB455" i="8" s="1"/>
  <c r="AW455" i="8"/>
  <c r="BA455" i="8" s="1"/>
  <c r="AS455" i="8"/>
  <c r="AU455" i="8"/>
  <c r="AT455" i="8"/>
  <c r="AV455" i="8"/>
  <c r="AZ447" i="8"/>
  <c r="BD447" i="8" s="1"/>
  <c r="AX447" i="8"/>
  <c r="BB447" i="8" s="1"/>
  <c r="AW447" i="8"/>
  <c r="BA447" i="8" s="1"/>
  <c r="AY447" i="8"/>
  <c r="BC447" i="8" s="1"/>
  <c r="AS447" i="8"/>
  <c r="AV447" i="8"/>
  <c r="AU447" i="8"/>
  <c r="AT447" i="8"/>
  <c r="AZ439" i="8"/>
  <c r="BD439" i="8" s="1"/>
  <c r="AY439" i="8"/>
  <c r="BC439" i="8" s="1"/>
  <c r="AX439" i="8"/>
  <c r="BB439" i="8" s="1"/>
  <c r="AW439" i="8"/>
  <c r="BA439" i="8" s="1"/>
  <c r="AS439" i="8"/>
  <c r="AU439" i="8"/>
  <c r="AT439" i="8"/>
  <c r="AV439" i="8"/>
  <c r="AZ431" i="8"/>
  <c r="BD431" i="8" s="1"/>
  <c r="AX431" i="8"/>
  <c r="BB431" i="8" s="1"/>
  <c r="AW431" i="8"/>
  <c r="AY431" i="8"/>
  <c r="BC431" i="8" s="1"/>
  <c r="AU431" i="8"/>
  <c r="AS431" i="8"/>
  <c r="AT431" i="8"/>
  <c r="AV431" i="8"/>
  <c r="AZ423" i="8"/>
  <c r="BD423" i="8" s="1"/>
  <c r="AY423" i="8"/>
  <c r="BC423" i="8" s="1"/>
  <c r="AX423" i="8"/>
  <c r="BB423" i="8" s="1"/>
  <c r="AW423" i="8"/>
  <c r="BA423" i="8" s="1"/>
  <c r="AT423" i="8"/>
  <c r="AS423" i="8"/>
  <c r="AV423" i="8"/>
  <c r="AU423" i="8"/>
  <c r="AZ415" i="8"/>
  <c r="BD415" i="8" s="1"/>
  <c r="AY415" i="8"/>
  <c r="BC415" i="8" s="1"/>
  <c r="AW415" i="8"/>
  <c r="BA415" i="8" s="1"/>
  <c r="AX415" i="8"/>
  <c r="BB415" i="8" s="1"/>
  <c r="AU415" i="8"/>
  <c r="AS415" i="8"/>
  <c r="AV415" i="8"/>
  <c r="AT415" i="8"/>
  <c r="AZ407" i="8"/>
  <c r="BD407" i="8" s="1"/>
  <c r="AW407" i="8"/>
  <c r="BA407" i="8" s="1"/>
  <c r="AX407" i="8"/>
  <c r="BB407" i="8" s="1"/>
  <c r="AY407" i="8"/>
  <c r="BC407" i="8" s="1"/>
  <c r="AT407" i="8"/>
  <c r="AS407" i="8"/>
  <c r="AV407" i="8"/>
  <c r="AU407" i="8"/>
  <c r="AX399" i="8"/>
  <c r="BB399" i="8" s="1"/>
  <c r="AW399" i="8"/>
  <c r="BA399" i="8" s="1"/>
  <c r="AZ399" i="8"/>
  <c r="BD399" i="8" s="1"/>
  <c r="AY399" i="8"/>
  <c r="BC399" i="8" s="1"/>
  <c r="AT399" i="8"/>
  <c r="AS399" i="8"/>
  <c r="AV399" i="8"/>
  <c r="AU399" i="8"/>
  <c r="AY391" i="8"/>
  <c r="BC391" i="8" s="1"/>
  <c r="AX391" i="8"/>
  <c r="BB391" i="8" s="1"/>
  <c r="AZ391" i="8"/>
  <c r="BD391" i="8" s="1"/>
  <c r="AW391" i="8"/>
  <c r="BA391" i="8" s="1"/>
  <c r="AT391" i="8"/>
  <c r="AS391" i="8"/>
  <c r="AV391" i="8"/>
  <c r="AU391" i="8"/>
  <c r="AY375" i="8"/>
  <c r="BC375" i="8" s="1"/>
  <c r="AX375" i="8"/>
  <c r="BB375" i="8" s="1"/>
  <c r="AZ375" i="8"/>
  <c r="BD375" i="8" s="1"/>
  <c r="AW375" i="8"/>
  <c r="BA375" i="8" s="1"/>
  <c r="AT375" i="8"/>
  <c r="AS375" i="8"/>
  <c r="AV375" i="8"/>
  <c r="AU375" i="8"/>
  <c r="AY367" i="8"/>
  <c r="BC367" i="8" s="1"/>
  <c r="AX367" i="8"/>
  <c r="BB367" i="8" s="1"/>
  <c r="AZ367" i="8"/>
  <c r="BD367" i="8" s="1"/>
  <c r="AW367" i="8"/>
  <c r="BA367" i="8" s="1"/>
  <c r="AT367" i="8"/>
  <c r="AS367" i="8"/>
  <c r="AV367" i="8"/>
  <c r="AU367" i="8"/>
  <c r="AY359" i="8"/>
  <c r="BC359" i="8" s="1"/>
  <c r="AX359" i="8"/>
  <c r="BB359" i="8" s="1"/>
  <c r="AZ359" i="8"/>
  <c r="BD359" i="8" s="1"/>
  <c r="AW359" i="8"/>
  <c r="BA359" i="8" s="1"/>
  <c r="AT359" i="8"/>
  <c r="AS359" i="8"/>
  <c r="AV359" i="8"/>
  <c r="AU359" i="8"/>
  <c r="AY351" i="8"/>
  <c r="BC351" i="8" s="1"/>
  <c r="AX351" i="8"/>
  <c r="BB351" i="8" s="1"/>
  <c r="AZ351" i="8"/>
  <c r="BD351" i="8" s="1"/>
  <c r="AW351" i="8"/>
  <c r="BA351" i="8" s="1"/>
  <c r="AT351" i="8"/>
  <c r="AS351" i="8"/>
  <c r="AV351" i="8"/>
  <c r="AU351" i="8"/>
  <c r="AY335" i="8"/>
  <c r="BC335" i="8" s="1"/>
  <c r="AX335" i="8"/>
  <c r="BB335" i="8" s="1"/>
  <c r="AZ335" i="8"/>
  <c r="BD335" i="8" s="1"/>
  <c r="AW335" i="8"/>
  <c r="BA335" i="8" s="1"/>
  <c r="AT335" i="8"/>
  <c r="AS335" i="8"/>
  <c r="AV335" i="8"/>
  <c r="AU335" i="8"/>
  <c r="AY327" i="8"/>
  <c r="BC327" i="8" s="1"/>
  <c r="AX327" i="8"/>
  <c r="BB327" i="8" s="1"/>
  <c r="AZ327" i="8"/>
  <c r="BD327" i="8" s="1"/>
  <c r="AW327" i="8"/>
  <c r="BA327" i="8" s="1"/>
  <c r="AT327" i="8"/>
  <c r="AS327" i="8"/>
  <c r="AV327" i="8"/>
  <c r="AU327" i="8"/>
  <c r="AZ311" i="8"/>
  <c r="BD311" i="8" s="1"/>
  <c r="AY311" i="8"/>
  <c r="BC311" i="8" s="1"/>
  <c r="AX311" i="8"/>
  <c r="BB311" i="8" s="1"/>
  <c r="AW311" i="8"/>
  <c r="BA311" i="8" s="1"/>
  <c r="AT311" i="8"/>
  <c r="AS311" i="8"/>
  <c r="AV311" i="8"/>
  <c r="AU311" i="8"/>
  <c r="AZ303" i="8"/>
  <c r="BD303" i="8" s="1"/>
  <c r="AY303" i="8"/>
  <c r="BC303" i="8" s="1"/>
  <c r="AX303" i="8"/>
  <c r="BB303" i="8" s="1"/>
  <c r="AW303" i="8"/>
  <c r="BA303" i="8" s="1"/>
  <c r="AT303" i="8"/>
  <c r="AS303" i="8"/>
  <c r="AV303" i="8"/>
  <c r="AU303" i="8"/>
  <c r="AZ295" i="8"/>
  <c r="BD295" i="8" s="1"/>
  <c r="AY295" i="8"/>
  <c r="BC295" i="8" s="1"/>
  <c r="AX295" i="8"/>
  <c r="BB295" i="8" s="1"/>
  <c r="AW295" i="8"/>
  <c r="BA295" i="8" s="1"/>
  <c r="AT295" i="8"/>
  <c r="AS295" i="8"/>
  <c r="AV295" i="8"/>
  <c r="AU295" i="8"/>
  <c r="AZ287" i="8"/>
  <c r="BD287" i="8" s="1"/>
  <c r="AY287" i="8"/>
  <c r="BC287" i="8" s="1"/>
  <c r="AX287" i="8"/>
  <c r="BB287" i="8" s="1"/>
  <c r="AW287" i="8"/>
  <c r="BA287" i="8" s="1"/>
  <c r="AT287" i="8"/>
  <c r="AS287" i="8"/>
  <c r="AV287" i="8"/>
  <c r="AU287" i="8"/>
  <c r="AZ279" i="8"/>
  <c r="BD279" i="8" s="1"/>
  <c r="AY279" i="8"/>
  <c r="BC279" i="8" s="1"/>
  <c r="AX279" i="8"/>
  <c r="BB279" i="8" s="1"/>
  <c r="AW279" i="8"/>
  <c r="BA279" i="8" s="1"/>
  <c r="AT279" i="8"/>
  <c r="AS279" i="8"/>
  <c r="AV279" i="8"/>
  <c r="AU279" i="8"/>
  <c r="AZ271" i="8"/>
  <c r="BD271" i="8" s="1"/>
  <c r="AY271" i="8"/>
  <c r="BC271" i="8" s="1"/>
  <c r="AX271" i="8"/>
  <c r="BB271" i="8" s="1"/>
  <c r="AW271" i="8"/>
  <c r="BA271" i="8" s="1"/>
  <c r="AT271" i="8"/>
  <c r="AS271" i="8"/>
  <c r="AV271" i="8"/>
  <c r="AU271" i="8"/>
  <c r="AY263" i="8"/>
  <c r="BC263" i="8" s="1"/>
  <c r="AX263" i="8"/>
  <c r="BB263" i="8" s="1"/>
  <c r="AW263" i="8"/>
  <c r="BA263" i="8" s="1"/>
  <c r="AZ263" i="8"/>
  <c r="BD263" i="8" s="1"/>
  <c r="AT263" i="8"/>
  <c r="AS263" i="8"/>
  <c r="AV263" i="8"/>
  <c r="AU263" i="8"/>
  <c r="AY255" i="8"/>
  <c r="BC255" i="8" s="1"/>
  <c r="AX255" i="8"/>
  <c r="BB255" i="8" s="1"/>
  <c r="AW255" i="8"/>
  <c r="BA255" i="8" s="1"/>
  <c r="AZ255" i="8"/>
  <c r="BD255" i="8" s="1"/>
  <c r="AT255" i="8"/>
  <c r="AS255" i="8"/>
  <c r="AV255" i="8"/>
  <c r="AU255" i="8"/>
  <c r="AY247" i="8"/>
  <c r="BC247" i="8" s="1"/>
  <c r="AX247" i="8"/>
  <c r="BB247" i="8" s="1"/>
  <c r="AW247" i="8"/>
  <c r="BA247" i="8" s="1"/>
  <c r="AZ247" i="8"/>
  <c r="BD247" i="8" s="1"/>
  <c r="AT247" i="8"/>
  <c r="AS247" i="8"/>
  <c r="AV247" i="8"/>
  <c r="AU247" i="8"/>
  <c r="AY239" i="8"/>
  <c r="BC239" i="8" s="1"/>
  <c r="AX239" i="8"/>
  <c r="BB239" i="8" s="1"/>
  <c r="AW239" i="8"/>
  <c r="BA239" i="8" s="1"/>
  <c r="AZ239" i="8"/>
  <c r="BD239" i="8" s="1"/>
  <c r="AT239" i="8"/>
  <c r="AS239" i="8"/>
  <c r="AV239" i="8"/>
  <c r="AU239" i="8"/>
  <c r="AY231" i="8"/>
  <c r="BC231" i="8" s="1"/>
  <c r="AW231" i="8"/>
  <c r="BA231" i="8" s="1"/>
  <c r="AZ231" i="8"/>
  <c r="BD231" i="8" s="1"/>
  <c r="AX231" i="8"/>
  <c r="BB231" i="8" s="1"/>
  <c r="AT231" i="8"/>
  <c r="AS231" i="8"/>
  <c r="AV231" i="8"/>
  <c r="AU231" i="8"/>
  <c r="AY223" i="8"/>
  <c r="BC223" i="8" s="1"/>
  <c r="AW223" i="8"/>
  <c r="BA223" i="8" s="1"/>
  <c r="AZ223" i="8"/>
  <c r="BD223" i="8" s="1"/>
  <c r="AT223" i="8"/>
  <c r="AS223" i="8"/>
  <c r="AX223" i="8"/>
  <c r="BB223" i="8" s="1"/>
  <c r="AV223" i="8"/>
  <c r="AU223" i="8"/>
  <c r="AY215" i="8"/>
  <c r="BC215" i="8" s="1"/>
  <c r="AW215" i="8"/>
  <c r="BA215" i="8" s="1"/>
  <c r="AZ215" i="8"/>
  <c r="BD215" i="8" s="1"/>
  <c r="AX215" i="8"/>
  <c r="BB215" i="8" s="1"/>
  <c r="AT215" i="8"/>
  <c r="AS215" i="8"/>
  <c r="AV215" i="8"/>
  <c r="AU215" i="8"/>
  <c r="AW207" i="8"/>
  <c r="BA207" i="8" s="1"/>
  <c r="AY207" i="8"/>
  <c r="BC207" i="8" s="1"/>
  <c r="AX207" i="8"/>
  <c r="BB207" i="8" s="1"/>
  <c r="AZ207" i="8"/>
  <c r="BD207" i="8" s="1"/>
  <c r="AT207" i="8"/>
  <c r="AS207" i="8"/>
  <c r="AV207" i="8"/>
  <c r="AU207" i="8"/>
  <c r="AZ199" i="8"/>
  <c r="BD199" i="8" s="1"/>
  <c r="AY199" i="8"/>
  <c r="BC199" i="8" s="1"/>
  <c r="AW199" i="8"/>
  <c r="BA199" i="8" s="1"/>
  <c r="AX199" i="8"/>
  <c r="BB199" i="8" s="1"/>
  <c r="AS199" i="8"/>
  <c r="AU199" i="8"/>
  <c r="AV199" i="8"/>
  <c r="AT199" i="8"/>
  <c r="AZ191" i="8"/>
  <c r="BD191" i="8" s="1"/>
  <c r="AY191" i="8"/>
  <c r="BC191" i="8" s="1"/>
  <c r="AW191" i="8"/>
  <c r="BA191" i="8" s="1"/>
  <c r="AX191" i="8"/>
  <c r="BB191" i="8" s="1"/>
  <c r="AS191" i="8"/>
  <c r="AU191" i="8"/>
  <c r="AV191" i="8"/>
  <c r="AT191" i="8"/>
  <c r="AZ183" i="8"/>
  <c r="BD183" i="8" s="1"/>
  <c r="AY183" i="8"/>
  <c r="BC183" i="8" s="1"/>
  <c r="AW183" i="8"/>
  <c r="BA183" i="8" s="1"/>
  <c r="AX183" i="8"/>
  <c r="BB183" i="8" s="1"/>
  <c r="AS183" i="8"/>
  <c r="AU183" i="8"/>
  <c r="AV183" i="8"/>
  <c r="AT183" i="8"/>
  <c r="AZ175" i="8"/>
  <c r="BD175" i="8" s="1"/>
  <c r="AY175" i="8"/>
  <c r="BC175" i="8" s="1"/>
  <c r="AW175" i="8"/>
  <c r="BA175" i="8" s="1"/>
  <c r="AX175" i="8"/>
  <c r="BB175" i="8" s="1"/>
  <c r="AS175" i="8"/>
  <c r="AU175" i="8"/>
  <c r="AV175" i="8"/>
  <c r="AT175" i="8"/>
  <c r="AZ167" i="8"/>
  <c r="BD167" i="8" s="1"/>
  <c r="AY167" i="8"/>
  <c r="BC167" i="8" s="1"/>
  <c r="AW167" i="8"/>
  <c r="BA167" i="8" s="1"/>
  <c r="AX167" i="8"/>
  <c r="BB167" i="8" s="1"/>
  <c r="AS167" i="8"/>
  <c r="AU167" i="8"/>
  <c r="AV167" i="8"/>
  <c r="AT167" i="8"/>
  <c r="AZ159" i="8"/>
  <c r="BD159" i="8" s="1"/>
  <c r="AY159" i="8"/>
  <c r="BC159" i="8" s="1"/>
  <c r="AW159" i="8"/>
  <c r="BA159" i="8" s="1"/>
  <c r="AX159" i="8"/>
  <c r="BB159" i="8" s="1"/>
  <c r="AS159" i="8"/>
  <c r="AU159" i="8"/>
  <c r="AV159" i="8"/>
  <c r="AT159" i="8"/>
  <c r="AZ151" i="8"/>
  <c r="BD151" i="8" s="1"/>
  <c r="AY151" i="8"/>
  <c r="BC151" i="8" s="1"/>
  <c r="AW151" i="8"/>
  <c r="BA151" i="8" s="1"/>
  <c r="AX151" i="8"/>
  <c r="BB151" i="8" s="1"/>
  <c r="AS151" i="8"/>
  <c r="AU151" i="8"/>
  <c r="AT151" i="8"/>
  <c r="AV151" i="8"/>
  <c r="AZ135" i="8"/>
  <c r="BD135" i="8" s="1"/>
  <c r="AY135" i="8"/>
  <c r="BC135" i="8" s="1"/>
  <c r="AW135" i="8"/>
  <c r="BA135" i="8" s="1"/>
  <c r="AX135" i="8"/>
  <c r="BB135" i="8" s="1"/>
  <c r="AS135" i="8"/>
  <c r="AU135" i="8"/>
  <c r="AT135" i="8"/>
  <c r="AV135" i="8"/>
  <c r="AZ119" i="8"/>
  <c r="BD119" i="8" s="1"/>
  <c r="AY119" i="8"/>
  <c r="BC119" i="8" s="1"/>
  <c r="AW119" i="8"/>
  <c r="BA119" i="8" s="1"/>
  <c r="AX119" i="8"/>
  <c r="BB119" i="8" s="1"/>
  <c r="AS119" i="8"/>
  <c r="AU119" i="8"/>
  <c r="AT119" i="8"/>
  <c r="AV119" i="8"/>
  <c r="AZ96" i="8"/>
  <c r="BD96" i="8" s="1"/>
  <c r="AY96" i="8"/>
  <c r="BC96" i="8" s="1"/>
  <c r="AW96" i="8"/>
  <c r="BA96" i="8" s="1"/>
  <c r="AS96" i="8"/>
  <c r="AX96" i="8"/>
  <c r="BB96" i="8" s="1"/>
  <c r="AV96" i="8"/>
  <c r="AU96" i="8"/>
  <c r="AT96" i="8"/>
  <c r="AZ88" i="8"/>
  <c r="AY88" i="8"/>
  <c r="AW88" i="8"/>
  <c r="AX88" i="8"/>
  <c r="AS88" i="8"/>
  <c r="AV88" i="8"/>
  <c r="AU88" i="8"/>
  <c r="AT88" i="8"/>
  <c r="AZ80" i="8"/>
  <c r="BD80" i="8" s="1"/>
  <c r="AY80" i="8"/>
  <c r="BC80" i="8" s="1"/>
  <c r="AW80" i="8"/>
  <c r="AS80" i="8"/>
  <c r="AX80" i="8"/>
  <c r="BB80" i="8" s="1"/>
  <c r="AV80" i="8"/>
  <c r="AU80" i="8"/>
  <c r="AT80" i="8"/>
  <c r="AZ72" i="8"/>
  <c r="BD72" i="8" s="1"/>
  <c r="AY72" i="8"/>
  <c r="BC72" i="8" s="1"/>
  <c r="AW72" i="8"/>
  <c r="BA72" i="8" s="1"/>
  <c r="AX72" i="8"/>
  <c r="BB72" i="8" s="1"/>
  <c r="AS72" i="8"/>
  <c r="AV72" i="8"/>
  <c r="AU72" i="8"/>
  <c r="AT72" i="8"/>
  <c r="AY56" i="8"/>
  <c r="BC56" i="8" s="1"/>
  <c r="AX56" i="8"/>
  <c r="BB56" i="8" s="1"/>
  <c r="AW56" i="8"/>
  <c r="BA56" i="8" s="1"/>
  <c r="AS56" i="8"/>
  <c r="AZ56" i="8"/>
  <c r="BD56" i="8" s="1"/>
  <c r="AV56" i="8"/>
  <c r="AU56" i="8"/>
  <c r="AT56" i="8"/>
  <c r="AY48" i="8"/>
  <c r="BC48" i="8" s="1"/>
  <c r="AX48" i="8"/>
  <c r="BB48" i="8" s="1"/>
  <c r="AW48" i="8"/>
  <c r="AZ48" i="8"/>
  <c r="BD48" i="8" s="1"/>
  <c r="AS48" i="8"/>
  <c r="AU48" i="8"/>
  <c r="AT48" i="8"/>
  <c r="AV48" i="8"/>
  <c r="AY40" i="8"/>
  <c r="BC40" i="8" s="1"/>
  <c r="AX40" i="8"/>
  <c r="BB40" i="8" s="1"/>
  <c r="AW40" i="8"/>
  <c r="BA40" i="8" s="1"/>
  <c r="AS40" i="8"/>
  <c r="AZ40" i="8"/>
  <c r="BD40" i="8" s="1"/>
  <c r="AU40" i="8"/>
  <c r="AT40" i="8"/>
  <c r="AV40" i="8"/>
  <c r="AY32" i="8"/>
  <c r="BC32" i="8" s="1"/>
  <c r="AX32" i="8"/>
  <c r="BB32" i="8" s="1"/>
  <c r="AW32" i="8"/>
  <c r="BA32" i="8" s="1"/>
  <c r="AS32" i="8"/>
  <c r="AZ32" i="8"/>
  <c r="BD32" i="8" s="1"/>
  <c r="AU32" i="8"/>
  <c r="AT32" i="8"/>
  <c r="AV32" i="8"/>
  <c r="AX16" i="8"/>
  <c r="BB16" i="8" s="1"/>
  <c r="AW16" i="8"/>
  <c r="BA16" i="8" s="1"/>
  <c r="AY16" i="8"/>
  <c r="BC16" i="8" s="1"/>
  <c r="AS16" i="8"/>
  <c r="AZ16" i="8"/>
  <c r="BD16" i="8" s="1"/>
  <c r="AU16" i="8"/>
  <c r="AT16" i="8"/>
  <c r="AV16" i="8"/>
  <c r="AK234" i="8"/>
  <c r="AJ234" i="8"/>
  <c r="AI234" i="8"/>
  <c r="AL234" i="8"/>
  <c r="AH234" i="8"/>
  <c r="AL546" i="8"/>
  <c r="AK546" i="8"/>
  <c r="AI546" i="8"/>
  <c r="AH546" i="8"/>
  <c r="AJ546" i="8"/>
  <c r="AH232" i="8"/>
  <c r="AL232" i="8"/>
  <c r="AK232" i="8"/>
  <c r="AJ232" i="8"/>
  <c r="AI232" i="8"/>
  <c r="AH486" i="8"/>
  <c r="AL486" i="8"/>
  <c r="AJ486" i="8"/>
  <c r="AI486" i="8"/>
  <c r="AK486" i="8"/>
  <c r="AL132" i="8"/>
  <c r="AJ132" i="8"/>
  <c r="AI132" i="8"/>
  <c r="AK132" i="8"/>
  <c r="AH132" i="8"/>
  <c r="AH510" i="8"/>
  <c r="AL510" i="8"/>
  <c r="AJ510" i="8"/>
  <c r="AI510" i="8"/>
  <c r="AK510" i="8"/>
  <c r="AH259" i="8"/>
  <c r="AK259" i="8"/>
  <c r="AJ259" i="8"/>
  <c r="AI259" i="8"/>
  <c r="AL259" i="8"/>
  <c r="AL351" i="8"/>
  <c r="AK351" i="8"/>
  <c r="AJ351" i="8"/>
  <c r="AI351" i="8"/>
  <c r="AH351" i="8"/>
  <c r="AL407" i="8"/>
  <c r="AK407" i="8"/>
  <c r="AI407" i="8"/>
  <c r="AJ407" i="8"/>
  <c r="AH407" i="8"/>
  <c r="AI555" i="8"/>
  <c r="AH555" i="8"/>
  <c r="AK555" i="8"/>
  <c r="AJ555" i="8"/>
  <c r="AL555" i="8"/>
  <c r="AJ382" i="11"/>
  <c r="AI382" i="11"/>
  <c r="AH382" i="11"/>
  <c r="AG382" i="11"/>
  <c r="AF382" i="11"/>
  <c r="AE382" i="11"/>
  <c r="AJ57" i="11"/>
  <c r="AI57" i="11"/>
  <c r="AH57" i="11"/>
  <c r="AG57" i="11"/>
  <c r="AF57" i="11"/>
  <c r="AE57" i="11"/>
  <c r="AD470" i="11"/>
  <c r="AK470" i="11" s="1"/>
  <c r="AD469" i="11"/>
  <c r="AF469" i="11" s="1"/>
  <c r="AD468" i="11"/>
  <c r="AI468" i="11" s="1"/>
  <c r="AD467" i="11"/>
  <c r="AD466" i="11"/>
  <c r="AI466" i="11" s="1"/>
  <c r="AD465" i="11"/>
  <c r="AH465" i="11" s="1"/>
  <c r="AD464" i="11"/>
  <c r="AD463" i="11"/>
  <c r="AH463" i="11" s="1"/>
  <c r="AD462" i="11"/>
  <c r="AD461" i="11"/>
  <c r="AI461" i="11" s="1"/>
  <c r="AD460" i="11"/>
  <c r="AI460" i="11" s="1"/>
  <c r="AD459" i="11"/>
  <c r="AI459" i="11" s="1"/>
  <c r="AD458" i="11"/>
  <c r="AH458" i="11" s="1"/>
  <c r="AD457" i="11"/>
  <c r="AD456" i="11"/>
  <c r="AH456" i="11" s="1"/>
  <c r="AD455" i="11"/>
  <c r="AD454" i="11"/>
  <c r="AD453" i="11"/>
  <c r="AI453" i="11" s="1"/>
  <c r="AD452" i="11"/>
  <c r="AH452" i="11" s="1"/>
  <c r="AD451" i="11"/>
  <c r="AI451" i="11" s="1"/>
  <c r="AD450" i="11"/>
  <c r="AD449" i="11"/>
  <c r="AH449" i="11" s="1"/>
  <c r="AD448" i="11"/>
  <c r="AD447" i="11"/>
  <c r="AI447" i="11" s="1"/>
  <c r="AD446" i="11"/>
  <c r="AI446" i="11" s="1"/>
  <c r="AD445" i="11"/>
  <c r="AH445" i="11" s="1"/>
  <c r="AD444" i="11"/>
  <c r="AI444" i="11" s="1"/>
  <c r="AD443" i="11"/>
  <c r="AI443" i="11" s="1"/>
  <c r="AD442" i="11"/>
  <c r="AD441" i="11"/>
  <c r="AH441" i="11" s="1"/>
  <c r="AD440" i="11"/>
  <c r="AD439" i="11"/>
  <c r="AD438" i="11"/>
  <c r="AI438" i="11" s="1"/>
  <c r="AD437" i="11"/>
  <c r="AH437" i="11" s="1"/>
  <c r="AD436" i="11"/>
  <c r="AI436" i="11" s="1"/>
  <c r="AD435" i="11"/>
  <c r="AD434" i="11"/>
  <c r="AD433" i="11"/>
  <c r="AH433" i="11" s="1"/>
  <c r="AD432" i="11"/>
  <c r="AD431" i="11"/>
  <c r="AI431" i="11" s="1"/>
  <c r="AD430" i="11"/>
  <c r="AI430" i="11" s="1"/>
  <c r="AD429" i="11"/>
  <c r="AH429" i="11" s="1"/>
  <c r="AD428" i="11"/>
  <c r="AI428" i="11" s="1"/>
  <c r="AD427" i="11"/>
  <c r="AJ427" i="11" s="1"/>
  <c r="AD426" i="11"/>
  <c r="AJ426" i="11" s="1"/>
  <c r="AD425" i="11"/>
  <c r="AI425" i="11" s="1"/>
  <c r="AD424" i="11"/>
  <c r="AI424" i="11" s="1"/>
  <c r="AD423" i="11"/>
  <c r="AD422" i="11"/>
  <c r="AI422" i="11" s="1"/>
  <c r="AD421" i="11"/>
  <c r="AD420" i="11"/>
  <c r="AI420" i="11" s="1"/>
  <c r="AD419" i="11"/>
  <c r="AI419" i="11" s="1"/>
  <c r="AD418" i="11"/>
  <c r="AH418" i="11" s="1"/>
  <c r="AD417" i="11"/>
  <c r="AI417" i="11" s="1"/>
  <c r="AD416" i="11"/>
  <c r="AD415" i="11"/>
  <c r="AJ415" i="11" s="1"/>
  <c r="AD414" i="11"/>
  <c r="AI414" i="11" s="1"/>
  <c r="AD413" i="11"/>
  <c r="AH413" i="11" s="1"/>
  <c r="AD412" i="11"/>
  <c r="AJ412" i="11" s="1"/>
  <c r="AD411" i="11"/>
  <c r="AH411" i="11" s="1"/>
  <c r="AD410" i="11"/>
  <c r="AI410" i="11" s="1"/>
  <c r="AD409" i="11"/>
  <c r="AD408" i="11"/>
  <c r="AI408" i="11" s="1"/>
  <c r="AD407" i="11"/>
  <c r="AE407" i="11" s="1"/>
  <c r="AD406" i="11"/>
  <c r="AD405" i="11"/>
  <c r="AI405" i="11" s="1"/>
  <c r="AD404" i="11"/>
  <c r="AJ404" i="11" s="1"/>
  <c r="AD403" i="11"/>
  <c r="AH403" i="11" s="1"/>
  <c r="AD402" i="11"/>
  <c r="AE402" i="11" s="1"/>
  <c r="AD401" i="11"/>
  <c r="AI401" i="11" s="1"/>
  <c r="AD400" i="11"/>
  <c r="AH400" i="11" s="1"/>
  <c r="AD399" i="11"/>
  <c r="AD398" i="11"/>
  <c r="AE398" i="11" s="1"/>
  <c r="AD397" i="11"/>
  <c r="AH397" i="11" s="1"/>
  <c r="AD396" i="11"/>
  <c r="AD395" i="11"/>
  <c r="AD394" i="11"/>
  <c r="AD393" i="11"/>
  <c r="AI393" i="11" s="1"/>
  <c r="AD392" i="11"/>
  <c r="AI392" i="11" s="1"/>
  <c r="AD391" i="11"/>
  <c r="AD390" i="11"/>
  <c r="AD389" i="11"/>
  <c r="AJ389" i="11" s="1"/>
  <c r="AD388" i="11"/>
  <c r="AK388" i="11" s="1"/>
  <c r="AD387" i="11"/>
  <c r="AK387" i="11" s="1"/>
  <c r="AD386" i="11"/>
  <c r="AD385" i="11"/>
  <c r="AK385" i="11" s="1"/>
  <c r="AD384" i="11"/>
  <c r="AK384" i="11" s="1"/>
  <c r="AD383" i="11"/>
  <c r="AD381" i="11"/>
  <c r="AK381" i="11" s="1"/>
  <c r="AD380" i="11"/>
  <c r="AJ380" i="11" s="1"/>
  <c r="AD379" i="11"/>
  <c r="AI379" i="11" s="1"/>
  <c r="AD378" i="11"/>
  <c r="AK378" i="11" s="1"/>
  <c r="AD377" i="11"/>
  <c r="AD376" i="11"/>
  <c r="AK376" i="11" s="1"/>
  <c r="AD375" i="11"/>
  <c r="AI375" i="11" s="1"/>
  <c r="AD374" i="11"/>
  <c r="AD373" i="11"/>
  <c r="AI373" i="11" s="1"/>
  <c r="AD372" i="11"/>
  <c r="AD371" i="11"/>
  <c r="AI371" i="11" s="1"/>
  <c r="AD370" i="11"/>
  <c r="AK370" i="11" s="1"/>
  <c r="AD369" i="11"/>
  <c r="AI369" i="11" s="1"/>
  <c r="AD368" i="11"/>
  <c r="AI368" i="11" s="1"/>
  <c r="AD367" i="11"/>
  <c r="AJ367" i="11" s="1"/>
  <c r="AD366" i="11"/>
  <c r="AF366" i="11" s="1"/>
  <c r="AD365" i="11"/>
  <c r="AK365" i="11" s="1"/>
  <c r="AD364" i="11"/>
  <c r="AJ364" i="11" s="1"/>
  <c r="AD363" i="11"/>
  <c r="AJ363" i="11" s="1"/>
  <c r="AD362" i="11"/>
  <c r="AF362" i="11" s="1"/>
  <c r="AD361" i="11"/>
  <c r="AK361" i="11" s="1"/>
  <c r="AD360" i="11"/>
  <c r="AD359" i="11"/>
  <c r="AF359" i="11" s="1"/>
  <c r="AD358" i="11"/>
  <c r="AK358" i="11" s="1"/>
  <c r="AD357" i="11"/>
  <c r="AF357" i="11" s="1"/>
  <c r="AD356" i="11"/>
  <c r="AF356" i="11" s="1"/>
  <c r="AD355" i="11"/>
  <c r="AD354" i="11"/>
  <c r="AD353" i="11"/>
  <c r="AK353" i="11" s="1"/>
  <c r="AD352" i="11"/>
  <c r="AK352" i="11" s="1"/>
  <c r="AD351" i="11"/>
  <c r="AI351" i="11" s="1"/>
  <c r="AD350" i="11"/>
  <c r="AD349" i="11"/>
  <c r="AD348" i="11"/>
  <c r="AF348" i="11" s="1"/>
  <c r="AD347" i="11"/>
  <c r="AK347" i="11" s="1"/>
  <c r="AD346" i="11"/>
  <c r="AK346" i="11" s="1"/>
  <c r="AD345" i="11"/>
  <c r="AD344" i="11"/>
  <c r="AK344" i="11" s="1"/>
  <c r="AD343" i="11"/>
  <c r="AK343" i="11" s="1"/>
  <c r="AD342" i="11"/>
  <c r="AK342" i="11" s="1"/>
  <c r="AD341" i="11"/>
  <c r="AI341" i="11" s="1"/>
  <c r="AD340" i="11"/>
  <c r="AH340" i="11" s="1"/>
  <c r="AD339" i="11"/>
  <c r="AJ339" i="11" s="1"/>
  <c r="AD338" i="11"/>
  <c r="AI338" i="11" s="1"/>
  <c r="AD337" i="11"/>
  <c r="AD336" i="11"/>
  <c r="AH336" i="11" s="1"/>
  <c r="AD335" i="11"/>
  <c r="AE335" i="11" s="1"/>
  <c r="AD334" i="11"/>
  <c r="AD333" i="11"/>
  <c r="AD332" i="11"/>
  <c r="AD331" i="11"/>
  <c r="AK331" i="11" s="1"/>
  <c r="AD330" i="11"/>
  <c r="AJ330" i="11" s="1"/>
  <c r="AD329" i="11"/>
  <c r="AD328" i="11"/>
  <c r="AD327" i="11"/>
  <c r="AD326" i="11"/>
  <c r="AD325" i="11"/>
  <c r="AJ325" i="11" s="1"/>
  <c r="AD324" i="11"/>
  <c r="AD323" i="11"/>
  <c r="AJ323" i="11" s="1"/>
  <c r="AD322" i="11"/>
  <c r="AD321" i="11"/>
  <c r="AG321" i="11" s="1"/>
  <c r="AD320" i="11"/>
  <c r="AE320" i="11" s="1"/>
  <c r="AD319" i="11"/>
  <c r="AD318" i="11"/>
  <c r="AJ318" i="11" s="1"/>
  <c r="AD317" i="11"/>
  <c r="AD316" i="11"/>
  <c r="AD315" i="11"/>
  <c r="AK315" i="11" s="1"/>
  <c r="AD314" i="11"/>
  <c r="AD313" i="11"/>
  <c r="AJ313" i="11" s="1"/>
  <c r="AD312" i="11"/>
  <c r="AK312" i="11" s="1"/>
  <c r="AD311" i="11"/>
  <c r="AE311" i="11" s="1"/>
  <c r="AD310" i="11"/>
  <c r="AG310" i="11" s="1"/>
  <c r="AD309" i="11"/>
  <c r="AD308" i="11"/>
  <c r="AD307" i="11"/>
  <c r="AD306" i="11"/>
  <c r="AD305" i="11"/>
  <c r="AD304" i="11"/>
  <c r="AD303" i="11"/>
  <c r="AJ303" i="11" s="1"/>
  <c r="AD302" i="11"/>
  <c r="AG302" i="11" s="1"/>
  <c r="AD301" i="11"/>
  <c r="AD300" i="11"/>
  <c r="AK300" i="11" s="1"/>
  <c r="AD299" i="11"/>
  <c r="AD298" i="11"/>
  <c r="AD297" i="11"/>
  <c r="AK297" i="11" s="1"/>
  <c r="AD296" i="11"/>
  <c r="AE296" i="11" s="1"/>
  <c r="AD295" i="11"/>
  <c r="AK295" i="11" s="1"/>
  <c r="AD294" i="11"/>
  <c r="AK294" i="11" s="1"/>
  <c r="AD293" i="11"/>
  <c r="AE293" i="11" s="1"/>
  <c r="AD292" i="11"/>
  <c r="AH292" i="11" s="1"/>
  <c r="AD291" i="11"/>
  <c r="AG291" i="11" s="1"/>
  <c r="AD290" i="11"/>
  <c r="AD289" i="11"/>
  <c r="AD288" i="11"/>
  <c r="AE288" i="11" s="1"/>
  <c r="AD287" i="11"/>
  <c r="AD286" i="11"/>
  <c r="AK286" i="11" s="1"/>
  <c r="AD285" i="11"/>
  <c r="AD284" i="11"/>
  <c r="AD283" i="11"/>
  <c r="AD282" i="11"/>
  <c r="AK282" i="11" s="1"/>
  <c r="AD281" i="11"/>
  <c r="AD280" i="11"/>
  <c r="AD279" i="11"/>
  <c r="AK279" i="11" s="1"/>
  <c r="AD278" i="11"/>
  <c r="AK278" i="11" s="1"/>
  <c r="AD277" i="11"/>
  <c r="AJ277" i="11" s="1"/>
  <c r="AD276" i="11"/>
  <c r="AD275" i="11"/>
  <c r="AK275" i="11" s="1"/>
  <c r="AD274" i="11"/>
  <c r="AJ274" i="11" s="1"/>
  <c r="AD273" i="11"/>
  <c r="AI273" i="11" s="1"/>
  <c r="AD272" i="11"/>
  <c r="AH272" i="11" s="1"/>
  <c r="AD271" i="11"/>
  <c r="AK271" i="11" s="1"/>
  <c r="AD270" i="11"/>
  <c r="AJ270" i="11" s="1"/>
  <c r="AD269" i="11"/>
  <c r="AI269" i="11" s="1"/>
  <c r="AD268" i="11"/>
  <c r="AD267" i="11"/>
  <c r="AD266" i="11"/>
  <c r="AF266" i="11" s="1"/>
  <c r="AD265" i="11"/>
  <c r="AJ265" i="11" s="1"/>
  <c r="AD264" i="11"/>
  <c r="AI264" i="11" s="1"/>
  <c r="AD263" i="11"/>
  <c r="AE263" i="11" s="1"/>
  <c r="AD262" i="11"/>
  <c r="AD261" i="11"/>
  <c r="AJ261" i="11" s="1"/>
  <c r="AD260" i="11"/>
  <c r="AI260" i="11" s="1"/>
  <c r="AD259" i="11"/>
  <c r="AJ259" i="11" s="1"/>
  <c r="AD258" i="11"/>
  <c r="AD257" i="11"/>
  <c r="AD256" i="11"/>
  <c r="AI256" i="11" s="1"/>
  <c r="AD255" i="11"/>
  <c r="AJ255" i="11" s="1"/>
  <c r="AD254" i="11"/>
  <c r="AI254" i="11" s="1"/>
  <c r="AD253" i="11"/>
  <c r="AG253" i="11" s="1"/>
  <c r="AD252" i="11"/>
  <c r="AD251" i="11"/>
  <c r="AI251" i="11" s="1"/>
  <c r="AD250" i="11"/>
  <c r="AG250" i="11" s="1"/>
  <c r="AD249" i="11"/>
  <c r="AF249" i="11" s="1"/>
  <c r="AD248" i="11"/>
  <c r="AK248" i="11" s="1"/>
  <c r="AD247" i="11"/>
  <c r="AK247" i="11" s="1"/>
  <c r="AD246" i="11"/>
  <c r="AI246" i="11" s="1"/>
  <c r="AD245" i="11"/>
  <c r="AK245" i="11" s="1"/>
  <c r="AD244" i="11"/>
  <c r="AG244" i="11" s="1"/>
  <c r="AD243" i="11"/>
  <c r="AK243" i="11" s="1"/>
  <c r="AD242" i="11"/>
  <c r="AH242" i="11" s="1"/>
  <c r="AD241" i="11"/>
  <c r="AG241" i="11" s="1"/>
  <c r="AD240" i="11"/>
  <c r="AG240" i="11" s="1"/>
  <c r="AD239" i="11"/>
  <c r="AD238" i="11"/>
  <c r="AD237" i="11"/>
  <c r="AE237" i="11" s="1"/>
  <c r="AD236" i="11"/>
  <c r="AD235" i="11"/>
  <c r="AK235" i="11" s="1"/>
  <c r="AD234" i="11"/>
  <c r="AK234" i="11" s="1"/>
  <c r="AD233" i="11"/>
  <c r="AD232" i="11"/>
  <c r="AF232" i="11" s="1"/>
  <c r="AD231" i="11"/>
  <c r="AD230" i="11"/>
  <c r="AG230" i="11" s="1"/>
  <c r="AD229" i="11"/>
  <c r="AI229" i="11" s="1"/>
  <c r="AD228" i="11"/>
  <c r="AD227" i="11"/>
  <c r="AJ227" i="11" s="1"/>
  <c r="AD226" i="11"/>
  <c r="AD225" i="11"/>
  <c r="AH225" i="11" s="1"/>
  <c r="AD224" i="11"/>
  <c r="AG224" i="11" s="1"/>
  <c r="AD223" i="11"/>
  <c r="AJ223" i="11" s="1"/>
  <c r="AD222" i="11"/>
  <c r="AI222" i="11" s="1"/>
  <c r="AD221" i="11"/>
  <c r="AH221" i="11" s="1"/>
  <c r="AD220" i="11"/>
  <c r="AE220" i="11" s="1"/>
  <c r="AD219" i="11"/>
  <c r="AD218" i="11"/>
  <c r="AD217" i="11"/>
  <c r="AK217" i="11" s="1"/>
  <c r="AD216" i="11"/>
  <c r="AD215" i="11"/>
  <c r="AK215" i="11" s="1"/>
  <c r="AD214" i="11"/>
  <c r="AI214" i="11" s="1"/>
  <c r="AD213" i="11"/>
  <c r="AD212" i="11"/>
  <c r="AD211" i="11"/>
  <c r="AH211" i="11" s="1"/>
  <c r="AD210" i="11"/>
  <c r="AI210" i="11" s="1"/>
  <c r="AD209" i="11"/>
  <c r="AH209" i="11" s="1"/>
  <c r="AD208" i="11"/>
  <c r="AG208" i="11" s="1"/>
  <c r="AD207" i="11"/>
  <c r="AJ207" i="11" s="1"/>
  <c r="AD206" i="11"/>
  <c r="AG206" i="11" s="1"/>
  <c r="AD205" i="11"/>
  <c r="AD204" i="11"/>
  <c r="AJ204" i="11" s="1"/>
  <c r="AD203" i="11"/>
  <c r="AD202" i="11"/>
  <c r="AK202" i="11" s="1"/>
  <c r="AD201" i="11"/>
  <c r="AD200" i="11"/>
  <c r="AD199" i="11"/>
  <c r="AD198" i="11"/>
  <c r="AI198" i="11" s="1"/>
  <c r="AD197" i="11"/>
  <c r="AD196" i="11"/>
  <c r="AD195" i="11"/>
  <c r="AK195" i="11" s="1"/>
  <c r="AD194" i="11"/>
  <c r="AF194" i="11" s="1"/>
  <c r="AD193" i="11"/>
  <c r="AJ193" i="11" s="1"/>
  <c r="AD192" i="11"/>
  <c r="AD191" i="11"/>
  <c r="AJ191" i="11" s="1"/>
  <c r="AD190" i="11"/>
  <c r="AD189" i="11"/>
  <c r="AD188" i="11"/>
  <c r="AD187" i="11"/>
  <c r="AD186" i="11"/>
  <c r="AG186" i="11" s="1"/>
  <c r="AD185" i="11"/>
  <c r="AK185" i="11" s="1"/>
  <c r="AD184" i="11"/>
  <c r="AD183" i="11"/>
  <c r="AD182" i="11"/>
  <c r="AD181" i="11"/>
  <c r="AD180" i="11"/>
  <c r="AG180" i="11" s="1"/>
  <c r="AD179" i="11"/>
  <c r="AI179" i="11" s="1"/>
  <c r="AD178" i="11"/>
  <c r="AE178" i="11" s="1"/>
  <c r="AD177" i="11"/>
  <c r="AH177" i="11" s="1"/>
  <c r="AD176" i="11"/>
  <c r="AK176" i="11" s="1"/>
  <c r="AD175" i="11"/>
  <c r="AK175" i="11" s="1"/>
  <c r="AD174" i="11"/>
  <c r="AI174" i="11" s="1"/>
  <c r="AD173" i="11"/>
  <c r="AD172" i="11"/>
  <c r="AE172" i="11" s="1"/>
  <c r="AD171" i="11"/>
  <c r="AK171" i="11" s="1"/>
  <c r="AD170" i="11"/>
  <c r="AD169" i="11"/>
  <c r="AJ169" i="11" s="1"/>
  <c r="AD168" i="11"/>
  <c r="AD167" i="11"/>
  <c r="AK167" i="11" s="1"/>
  <c r="AD166" i="11"/>
  <c r="AD165" i="11"/>
  <c r="AJ165" i="11" s="1"/>
  <c r="AD164" i="11"/>
  <c r="AG164" i="11" s="1"/>
  <c r="AD163" i="11"/>
  <c r="AE163" i="11" s="1"/>
  <c r="AD162" i="11"/>
  <c r="AG162" i="11" s="1"/>
  <c r="AD161" i="11"/>
  <c r="AJ161" i="11" s="1"/>
  <c r="AD160" i="11"/>
  <c r="AF160" i="11" s="1"/>
  <c r="AD159" i="11"/>
  <c r="AK159" i="11" s="1"/>
  <c r="AD158" i="11"/>
  <c r="AD157" i="11"/>
  <c r="AG157" i="11" s="1"/>
  <c r="AD156" i="11"/>
  <c r="AE156" i="11" s="1"/>
  <c r="AD155" i="11"/>
  <c r="AJ155" i="11" s="1"/>
  <c r="AD154" i="11"/>
  <c r="AI154" i="11" s="1"/>
  <c r="AD153" i="11"/>
  <c r="AI153" i="11" s="1"/>
  <c r="AD152" i="11"/>
  <c r="AJ152" i="11" s="1"/>
  <c r="AD151" i="11"/>
  <c r="AD150" i="11"/>
  <c r="AK150" i="11" s="1"/>
  <c r="AD149" i="11"/>
  <c r="AD148" i="11"/>
  <c r="AJ148" i="11" s="1"/>
  <c r="AD147" i="11"/>
  <c r="AH147" i="11" s="1"/>
  <c r="AD146" i="11"/>
  <c r="AK146" i="11" s="1"/>
  <c r="AD145" i="11"/>
  <c r="AI145" i="11" s="1"/>
  <c r="AD144" i="11"/>
  <c r="AF144" i="11" s="1"/>
  <c r="AD143" i="11"/>
  <c r="AI143" i="11" s="1"/>
  <c r="AD142" i="11"/>
  <c r="AD141" i="11"/>
  <c r="AJ141" i="11" s="1"/>
  <c r="AD140" i="11"/>
  <c r="AH140" i="11" s="1"/>
  <c r="AD139" i="11"/>
  <c r="AI139" i="11" s="1"/>
  <c r="AD138" i="11"/>
  <c r="AJ138" i="11" s="1"/>
  <c r="AD137" i="11"/>
  <c r="AD136" i="11"/>
  <c r="AG136" i="11" s="1"/>
  <c r="AD135" i="11"/>
  <c r="AK135" i="11" s="1"/>
  <c r="AD134" i="11"/>
  <c r="AJ134" i="11" s="1"/>
  <c r="AD133" i="11"/>
  <c r="AI133" i="11" s="1"/>
  <c r="AD132" i="11"/>
  <c r="AK132" i="11" s="1"/>
  <c r="AD131" i="11"/>
  <c r="AH131" i="11" s="1"/>
  <c r="AD130" i="11"/>
  <c r="AG130" i="11" s="1"/>
  <c r="AD129" i="11"/>
  <c r="AK129" i="11" s="1"/>
  <c r="AD128" i="11"/>
  <c r="AJ128" i="11" s="1"/>
  <c r="AD127" i="11"/>
  <c r="AJ127" i="11" s="1"/>
  <c r="AD126" i="11"/>
  <c r="AI126" i="11" s="1"/>
  <c r="AD125" i="11"/>
  <c r="AK125" i="11" s="1"/>
  <c r="AD124" i="11"/>
  <c r="AD123" i="11"/>
  <c r="AI123" i="11" s="1"/>
  <c r="AD122" i="11"/>
  <c r="AG122" i="11" s="1"/>
  <c r="AD121" i="11"/>
  <c r="AK121" i="11" s="1"/>
  <c r="AD120" i="11"/>
  <c r="AD119" i="11"/>
  <c r="AD118" i="11"/>
  <c r="AD117" i="11"/>
  <c r="AF117" i="11" s="1"/>
  <c r="AD116" i="11"/>
  <c r="AK116" i="11" s="1"/>
  <c r="AD115" i="11"/>
  <c r="AG115" i="11" s="1"/>
  <c r="AD114" i="11"/>
  <c r="AJ114" i="11" s="1"/>
  <c r="AD113" i="11"/>
  <c r="AK113" i="11" s="1"/>
  <c r="AD112" i="11"/>
  <c r="AD111" i="11"/>
  <c r="AH111" i="11" s="1"/>
  <c r="AD110" i="11"/>
  <c r="AF110" i="11" s="1"/>
  <c r="AD109" i="11"/>
  <c r="AG109" i="11" s="1"/>
  <c r="AD108" i="11"/>
  <c r="AG108" i="11" s="1"/>
  <c r="AD107" i="11"/>
  <c r="AJ107" i="11" s="1"/>
  <c r="AD106" i="11"/>
  <c r="AD105" i="11"/>
  <c r="AD104" i="11"/>
  <c r="AI104" i="11" s="1"/>
  <c r="AD103" i="11"/>
  <c r="AF103" i="11" s="1"/>
  <c r="AD102" i="11"/>
  <c r="AD101" i="11"/>
  <c r="AK101" i="11" s="1"/>
  <c r="AD100" i="11"/>
  <c r="AG100" i="11" s="1"/>
  <c r="AD99" i="11"/>
  <c r="AF99" i="11" s="1"/>
  <c r="AD98" i="11"/>
  <c r="AD97" i="11"/>
  <c r="AD96" i="11"/>
  <c r="AH96" i="11" s="1"/>
  <c r="AD95" i="11"/>
  <c r="AI95" i="11" s="1"/>
  <c r="AD94" i="11"/>
  <c r="AF94" i="11" s="1"/>
  <c r="AD93" i="11"/>
  <c r="AF93" i="11" s="1"/>
  <c r="AD92" i="11"/>
  <c r="AK92" i="11" s="1"/>
  <c r="AD91" i="11"/>
  <c r="AD90" i="11"/>
  <c r="AD89" i="11"/>
  <c r="AJ89" i="11" s="1"/>
  <c r="AD88" i="11"/>
  <c r="AI88" i="11" s="1"/>
  <c r="AD87" i="11"/>
  <c r="AK87" i="11" s="1"/>
  <c r="AD86" i="11"/>
  <c r="AK86" i="11" s="1"/>
  <c r="AD85" i="11"/>
  <c r="AJ85" i="11" s="1"/>
  <c r="AD84" i="11"/>
  <c r="AK84" i="11" s="1"/>
  <c r="AD83" i="11"/>
  <c r="AI83" i="11" s="1"/>
  <c r="AD82" i="11"/>
  <c r="AI82" i="11" s="1"/>
  <c r="AD81" i="11"/>
  <c r="AF81" i="11" s="1"/>
  <c r="AD80" i="11"/>
  <c r="AK80" i="11" s="1"/>
  <c r="AD79" i="11"/>
  <c r="AG79" i="11" s="1"/>
  <c r="AD78" i="11"/>
  <c r="AE78" i="11" s="1"/>
  <c r="AD77" i="11"/>
  <c r="AI77" i="11" s="1"/>
  <c r="AD76" i="11"/>
  <c r="AE76" i="11" s="1"/>
  <c r="AD75" i="11"/>
  <c r="AG75" i="11" s="1"/>
  <c r="AD74" i="11"/>
  <c r="AK74" i="11" s="1"/>
  <c r="AD73" i="11"/>
  <c r="AK73" i="11" s="1"/>
  <c r="AD72" i="11"/>
  <c r="AH72" i="11" s="1"/>
  <c r="AD71" i="11"/>
  <c r="AF71" i="11" s="1"/>
  <c r="AD70" i="11"/>
  <c r="AG70" i="11" s="1"/>
  <c r="AD69" i="11"/>
  <c r="AG69" i="11" s="1"/>
  <c r="AD68" i="11"/>
  <c r="AI68" i="11" s="1"/>
  <c r="AD67" i="11"/>
  <c r="AJ67" i="11" s="1"/>
  <c r="AD66" i="11"/>
  <c r="AH66" i="11" s="1"/>
  <c r="AD65" i="11"/>
  <c r="AH65" i="11" s="1"/>
  <c r="AD64" i="11"/>
  <c r="AI64" i="11" s="1"/>
  <c r="AD63" i="11"/>
  <c r="AE63" i="11" s="1"/>
  <c r="AD62" i="11"/>
  <c r="AJ62" i="11" s="1"/>
  <c r="AD61" i="11"/>
  <c r="AK61" i="11" s="1"/>
  <c r="AD60" i="11"/>
  <c r="AG60" i="11" s="1"/>
  <c r="AD59" i="11"/>
  <c r="AF59" i="11" s="1"/>
  <c r="AD58" i="11"/>
  <c r="AK58" i="11" s="1"/>
  <c r="AD56" i="11"/>
  <c r="AD55" i="11"/>
  <c r="AG55" i="11" s="1"/>
  <c r="AD54" i="11"/>
  <c r="AK54" i="11" s="1"/>
  <c r="AD53" i="11"/>
  <c r="AJ53" i="11" s="1"/>
  <c r="AD52" i="11"/>
  <c r="AD51" i="11"/>
  <c r="AK51" i="11" s="1"/>
  <c r="AD50" i="11"/>
  <c r="AJ50" i="11" s="1"/>
  <c r="AD49" i="11"/>
  <c r="AJ49" i="11" s="1"/>
  <c r="AD48" i="11"/>
  <c r="AK48" i="11" s="1"/>
  <c r="AD47" i="11"/>
  <c r="AJ47" i="11" s="1"/>
  <c r="AD46" i="11"/>
  <c r="AJ46" i="11" s="1"/>
  <c r="AD45" i="11"/>
  <c r="AI45" i="11" s="1"/>
  <c r="AD44" i="11"/>
  <c r="AJ44" i="11" s="1"/>
  <c r="AD43" i="11"/>
  <c r="AJ43" i="11" s="1"/>
  <c r="AD42" i="11"/>
  <c r="AJ42" i="11" s="1"/>
  <c r="AD41" i="11"/>
  <c r="AJ41" i="11" s="1"/>
  <c r="AD40" i="11"/>
  <c r="AI40" i="11" s="1"/>
  <c r="AD39" i="11"/>
  <c r="AJ39" i="11" s="1"/>
  <c r="AD38" i="11"/>
  <c r="AI38" i="11" s="1"/>
  <c r="AD37" i="11"/>
  <c r="AG37" i="11" s="1"/>
  <c r="AD36" i="11"/>
  <c r="AK36" i="11" s="1"/>
  <c r="AD35" i="11"/>
  <c r="AD34" i="11"/>
  <c r="AJ34" i="11" s="1"/>
  <c r="AD33" i="11"/>
  <c r="AD32" i="11"/>
  <c r="AH32" i="11" s="1"/>
  <c r="AD31" i="11"/>
  <c r="AE31" i="11" s="1"/>
  <c r="AD30" i="11"/>
  <c r="AE30" i="11" s="1"/>
  <c r="AD29" i="11"/>
  <c r="AI29" i="11" s="1"/>
  <c r="AD28" i="11"/>
  <c r="AI28" i="11" s="1"/>
  <c r="AD27" i="11"/>
  <c r="AH27" i="11" s="1"/>
  <c r="AD26" i="11"/>
  <c r="AH26" i="11" s="1"/>
  <c r="AD25" i="11"/>
  <c r="AH25" i="11" s="1"/>
  <c r="AD24" i="11"/>
  <c r="AH24" i="11" s="1"/>
  <c r="AD23" i="11"/>
  <c r="AH23" i="11" s="1"/>
  <c r="AD22" i="11"/>
  <c r="AH22" i="11" s="1"/>
  <c r="AD21" i="11"/>
  <c r="AH21" i="11" s="1"/>
  <c r="AD20" i="11"/>
  <c r="AH20" i="11" s="1"/>
  <c r="AD19" i="11"/>
  <c r="AH19" i="11" s="1"/>
  <c r="AD18" i="11"/>
  <c r="AH18" i="11" s="1"/>
  <c r="AD17" i="11"/>
  <c r="AH17" i="11" s="1"/>
  <c r="AD16" i="11"/>
  <c r="AH16" i="11" s="1"/>
  <c r="AD15" i="11"/>
  <c r="AH15" i="11" s="1"/>
  <c r="AD14" i="11"/>
  <c r="AH14" i="11" s="1"/>
  <c r="AD13" i="11"/>
  <c r="AH13" i="11" s="1"/>
  <c r="AD12" i="11"/>
  <c r="AH12" i="11" s="1"/>
  <c r="AD11" i="11"/>
  <c r="AH11" i="11" s="1"/>
  <c r="AD10" i="11"/>
  <c r="AH10" i="11" s="1"/>
  <c r="AD9" i="11"/>
  <c r="AH9" i="11" s="1"/>
  <c r="AD8" i="11"/>
  <c r="AH8" i="11" s="1"/>
  <c r="AD7" i="11"/>
  <c r="AI7" i="11" s="1"/>
  <c r="BD240" i="8" l="1"/>
  <c r="BP240" i="8"/>
  <c r="BL240" i="8"/>
  <c r="BH240" i="8"/>
  <c r="BD312" i="8"/>
  <c r="BH312" i="8"/>
  <c r="BP312" i="8"/>
  <c r="BL312" i="8"/>
  <c r="BD536" i="8"/>
  <c r="BH536" i="8"/>
  <c r="BP536" i="8"/>
  <c r="BL536" i="8"/>
  <c r="BD88" i="8"/>
  <c r="BP88" i="8"/>
  <c r="BH88" i="8"/>
  <c r="BL88" i="8"/>
  <c r="BD535" i="8"/>
  <c r="BH535" i="8"/>
  <c r="BP535" i="8"/>
  <c r="BL535" i="8"/>
  <c r="BA200" i="8"/>
  <c r="I13" i="22" s="1"/>
  <c r="T13" i="22" s="1"/>
  <c r="BI200" i="8"/>
  <c r="BE200" i="8"/>
  <c r="BM200" i="8"/>
  <c r="BB95" i="8"/>
  <c r="BN95" i="8"/>
  <c r="BF95" i="8"/>
  <c r="BJ95" i="8"/>
  <c r="BA278" i="8"/>
  <c r="F12" i="22" s="1"/>
  <c r="Q12" i="22" s="1"/>
  <c r="BE278" i="8"/>
  <c r="F165" i="22" s="1"/>
  <c r="Q165" i="22" s="1"/>
  <c r="BM278" i="8"/>
  <c r="BI278" i="8"/>
  <c r="F175" i="22" s="1"/>
  <c r="Q175" i="22" s="1"/>
  <c r="BA350" i="8"/>
  <c r="BE350" i="8"/>
  <c r="BI350" i="8"/>
  <c r="D176" i="22" s="1"/>
  <c r="O176" i="22" s="1"/>
  <c r="BM350" i="8"/>
  <c r="D186" i="22" s="1"/>
  <c r="O186" i="22" s="1"/>
  <c r="BD542" i="8"/>
  <c r="BP542" i="8"/>
  <c r="BH542" i="8"/>
  <c r="BL542" i="8"/>
  <c r="BA337" i="8"/>
  <c r="BM337" i="8"/>
  <c r="BI337" i="8"/>
  <c r="BE337" i="8"/>
  <c r="BC537" i="8"/>
  <c r="BG537" i="8"/>
  <c r="BK537" i="8"/>
  <c r="BO537" i="8"/>
  <c r="BA274" i="8"/>
  <c r="BE274" i="8"/>
  <c r="BI274" i="8"/>
  <c r="BM274" i="8"/>
  <c r="BA506" i="8"/>
  <c r="J10" i="22" s="1"/>
  <c r="U10" i="22" s="1"/>
  <c r="BE506" i="8"/>
  <c r="BM506" i="8"/>
  <c r="BI506" i="8"/>
  <c r="BB530" i="8"/>
  <c r="BF530" i="8"/>
  <c r="BN530" i="8"/>
  <c r="BJ530" i="8"/>
  <c r="F187" i="22"/>
  <c r="Q187" i="22" s="1"/>
  <c r="D188" i="22"/>
  <c r="O188" i="22" s="1"/>
  <c r="L188" i="22"/>
  <c r="E177" i="22"/>
  <c r="P177" i="22" s="1"/>
  <c r="C178" i="22"/>
  <c r="N178" i="22" s="1"/>
  <c r="K178" i="22"/>
  <c r="V178" i="22" s="1"/>
  <c r="C165" i="22"/>
  <c r="N165" i="22" s="1"/>
  <c r="G167" i="22"/>
  <c r="R167" i="22" s="1"/>
  <c r="E168" i="22"/>
  <c r="P168" i="22" s="1"/>
  <c r="D163" i="22"/>
  <c r="C185" i="22"/>
  <c r="N185" i="22" s="1"/>
  <c r="G187" i="22"/>
  <c r="E188" i="22"/>
  <c r="D183" i="22"/>
  <c r="F177" i="22"/>
  <c r="Q177" i="22" s="1"/>
  <c r="D178" i="22"/>
  <c r="O178" i="22" s="1"/>
  <c r="L178" i="22"/>
  <c r="W178" i="22" s="1"/>
  <c r="D165" i="22"/>
  <c r="O165" i="22" s="1"/>
  <c r="H167" i="22"/>
  <c r="S167" i="22" s="1"/>
  <c r="F168" i="22"/>
  <c r="Q168" i="22" s="1"/>
  <c r="D185" i="22"/>
  <c r="O185" i="22" s="1"/>
  <c r="H187" i="22"/>
  <c r="S187" i="22" s="1"/>
  <c r="F188" i="22"/>
  <c r="C175" i="22"/>
  <c r="N175" i="22" s="1"/>
  <c r="G177" i="22"/>
  <c r="R177" i="22" s="1"/>
  <c r="E178" i="22"/>
  <c r="P178" i="22" s="1"/>
  <c r="D173" i="22"/>
  <c r="O173" i="22" s="1"/>
  <c r="E165" i="22"/>
  <c r="P165" i="22" s="1"/>
  <c r="C166" i="22"/>
  <c r="N166" i="22" s="1"/>
  <c r="I167" i="22"/>
  <c r="T167" i="22" s="1"/>
  <c r="G168" i="22"/>
  <c r="R168" i="22" s="1"/>
  <c r="F163" i="22"/>
  <c r="E185" i="22"/>
  <c r="P185" i="22" s="1"/>
  <c r="C186" i="22"/>
  <c r="N186" i="22" s="1"/>
  <c r="I187" i="22"/>
  <c r="T187" i="22" s="1"/>
  <c r="G188" i="22"/>
  <c r="R188" i="22" s="1"/>
  <c r="F183" i="22"/>
  <c r="Q183" i="22" s="1"/>
  <c r="D175" i="22"/>
  <c r="O175" i="22" s="1"/>
  <c r="H177" i="22"/>
  <c r="S177" i="22" s="1"/>
  <c r="F178" i="22"/>
  <c r="Q178" i="22" s="1"/>
  <c r="D166" i="22"/>
  <c r="O166" i="22" s="1"/>
  <c r="J167" i="22"/>
  <c r="U167" i="22" s="1"/>
  <c r="H168" i="22"/>
  <c r="S168" i="22" s="1"/>
  <c r="D187" i="22"/>
  <c r="O187" i="22" s="1"/>
  <c r="L187" i="22"/>
  <c r="G175" i="22"/>
  <c r="R175" i="22" s="1"/>
  <c r="E176" i="22"/>
  <c r="P176" i="22" s="1"/>
  <c r="C177" i="22"/>
  <c r="N177" i="22" s="1"/>
  <c r="K177" i="22"/>
  <c r="V177" i="22" s="1"/>
  <c r="I178" i="22"/>
  <c r="E167" i="22"/>
  <c r="P167" i="22" s="1"/>
  <c r="C168" i="22"/>
  <c r="N168" i="22" s="1"/>
  <c r="K168" i="22"/>
  <c r="V168" i="22" s="1"/>
  <c r="E187" i="22"/>
  <c r="P187" i="22" s="1"/>
  <c r="C188" i="22"/>
  <c r="N188" i="22" s="1"/>
  <c r="K188" i="22"/>
  <c r="V188" i="22" s="1"/>
  <c r="D177" i="22"/>
  <c r="L177" i="22"/>
  <c r="W177" i="22" s="1"/>
  <c r="C187" i="22"/>
  <c r="N187" i="22" s="1"/>
  <c r="J187" i="22"/>
  <c r="U187" i="22" s="1"/>
  <c r="I177" i="22"/>
  <c r="T177" i="22" s="1"/>
  <c r="G165" i="22"/>
  <c r="R165" i="22" s="1"/>
  <c r="F167" i="22"/>
  <c r="Q167" i="22" s="1"/>
  <c r="K187" i="22"/>
  <c r="V187" i="22" s="1"/>
  <c r="J177" i="22"/>
  <c r="U177" i="22" s="1"/>
  <c r="K167" i="22"/>
  <c r="V167" i="22" s="1"/>
  <c r="F185" i="22"/>
  <c r="Q185" i="22" s="1"/>
  <c r="H188" i="22"/>
  <c r="E175" i="22"/>
  <c r="P175" i="22" s="1"/>
  <c r="G178" i="22"/>
  <c r="R178" i="22" s="1"/>
  <c r="L167" i="22"/>
  <c r="E186" i="22"/>
  <c r="P186" i="22" s="1"/>
  <c r="C167" i="22"/>
  <c r="N167" i="22" s="1"/>
  <c r="L168" i="22"/>
  <c r="C176" i="22"/>
  <c r="N176" i="22" s="1"/>
  <c r="H178" i="22"/>
  <c r="S178" i="22" s="1"/>
  <c r="E166" i="22"/>
  <c r="P166" i="22" s="1"/>
  <c r="F173" i="22"/>
  <c r="Q173" i="22" s="1"/>
  <c r="D168" i="22"/>
  <c r="O168" i="22" s="1"/>
  <c r="G185" i="22"/>
  <c r="R185" i="22" s="1"/>
  <c r="I188" i="22"/>
  <c r="T188" i="22" s="1"/>
  <c r="I168" i="22"/>
  <c r="T168" i="22" s="1"/>
  <c r="D167" i="22"/>
  <c r="O167" i="22" s="1"/>
  <c r="BB131" i="8"/>
  <c r="BN131" i="8"/>
  <c r="BJ131" i="8"/>
  <c r="BF131" i="8"/>
  <c r="BC435" i="8"/>
  <c r="BK435" i="8"/>
  <c r="BO435" i="8"/>
  <c r="BG435" i="8"/>
  <c r="BC451" i="8"/>
  <c r="BG451" i="8"/>
  <c r="BK451" i="8"/>
  <c r="BO451" i="8"/>
  <c r="BB507" i="8"/>
  <c r="BF507" i="8"/>
  <c r="BN507" i="8"/>
  <c r="BJ507" i="8"/>
  <c r="BB116" i="8"/>
  <c r="BJ116" i="8"/>
  <c r="BF116" i="8"/>
  <c r="BN116" i="8"/>
  <c r="BA236" i="8"/>
  <c r="BE236" i="8"/>
  <c r="BI236" i="8"/>
  <c r="BM236" i="8"/>
  <c r="BA244" i="8"/>
  <c r="BM244" i="8"/>
  <c r="BE244" i="8"/>
  <c r="BI244" i="8"/>
  <c r="BA324" i="8"/>
  <c r="BI324" i="8"/>
  <c r="BE324" i="8"/>
  <c r="BM324" i="8"/>
  <c r="BD508" i="8"/>
  <c r="BH508" i="8"/>
  <c r="BL508" i="8"/>
  <c r="BP508" i="8"/>
  <c r="BC541" i="8"/>
  <c r="BG541" i="8"/>
  <c r="BO541" i="8"/>
  <c r="BK541" i="8"/>
  <c r="BD95" i="8"/>
  <c r="BP95" i="8"/>
  <c r="BL95" i="8"/>
  <c r="BH95" i="8"/>
  <c r="BB278" i="8"/>
  <c r="BJ278" i="8"/>
  <c r="BN278" i="8"/>
  <c r="BF278" i="8"/>
  <c r="BB350" i="8"/>
  <c r="BJ350" i="8"/>
  <c r="BF350" i="8"/>
  <c r="BN350" i="8"/>
  <c r="BA542" i="8"/>
  <c r="BI542" i="8"/>
  <c r="BM542" i="8"/>
  <c r="BE542" i="8"/>
  <c r="BA160" i="8"/>
  <c r="BE160" i="8"/>
  <c r="BM160" i="8"/>
  <c r="BI160" i="8"/>
  <c r="BD576" i="8"/>
  <c r="BP576" i="8"/>
  <c r="BL576" i="8"/>
  <c r="BH576" i="8"/>
  <c r="BB88" i="8"/>
  <c r="BN88" i="8"/>
  <c r="BJ88" i="8"/>
  <c r="BF88" i="8"/>
  <c r="BB535" i="8"/>
  <c r="BJ535" i="8"/>
  <c r="BN535" i="8"/>
  <c r="BF535" i="8"/>
  <c r="BC543" i="8"/>
  <c r="BK543" i="8"/>
  <c r="BG543" i="8"/>
  <c r="BO543" i="8"/>
  <c r="BB160" i="8"/>
  <c r="BF160" i="8"/>
  <c r="BN160" i="8"/>
  <c r="BJ160" i="8"/>
  <c r="BB200" i="8"/>
  <c r="BF200" i="8"/>
  <c r="BJ200" i="8"/>
  <c r="BN200" i="8"/>
  <c r="BA240" i="8"/>
  <c r="BI240" i="8"/>
  <c r="BE240" i="8"/>
  <c r="BM240" i="8"/>
  <c r="BA312" i="8"/>
  <c r="BE312" i="8"/>
  <c r="BM312" i="8"/>
  <c r="BI312" i="8"/>
  <c r="BA536" i="8"/>
  <c r="BI536" i="8"/>
  <c r="BE536" i="8"/>
  <c r="BM536" i="8"/>
  <c r="BA576" i="8"/>
  <c r="BM576" i="8"/>
  <c r="BI576" i="8"/>
  <c r="BE576" i="8"/>
  <c r="BD337" i="8"/>
  <c r="BL337" i="8"/>
  <c r="BH337" i="8"/>
  <c r="BP337" i="8"/>
  <c r="BB537" i="8"/>
  <c r="BF537" i="8"/>
  <c r="BJ537" i="8"/>
  <c r="BN537" i="8"/>
  <c r="BB274" i="8"/>
  <c r="BF274" i="8"/>
  <c r="BN274" i="8"/>
  <c r="BJ274" i="8"/>
  <c r="BB506" i="8"/>
  <c r="BF506" i="8"/>
  <c r="BN506" i="8"/>
  <c r="BJ506" i="8"/>
  <c r="BC530" i="8"/>
  <c r="BG530" i="8"/>
  <c r="BO530" i="8"/>
  <c r="BK530" i="8"/>
  <c r="BA131" i="8"/>
  <c r="BM131" i="8"/>
  <c r="BI131" i="8"/>
  <c r="BE131" i="8"/>
  <c r="BA435" i="8"/>
  <c r="BI435" i="8"/>
  <c r="BM435" i="8"/>
  <c r="BE435" i="8"/>
  <c r="BA451" i="8"/>
  <c r="J12" i="22" s="1"/>
  <c r="U12" i="22" s="1"/>
  <c r="BE451" i="8"/>
  <c r="BM451" i="8"/>
  <c r="BI451" i="8"/>
  <c r="BC507" i="8"/>
  <c r="BO507" i="8"/>
  <c r="BG507" i="8"/>
  <c r="BK507" i="8"/>
  <c r="BD116" i="8"/>
  <c r="BH116" i="8"/>
  <c r="BL116" i="8"/>
  <c r="BP116" i="8"/>
  <c r="BB236" i="8"/>
  <c r="BJ236" i="8"/>
  <c r="BN236" i="8"/>
  <c r="BF236" i="8"/>
  <c r="BB244" i="8"/>
  <c r="BF244" i="8"/>
  <c r="BN244" i="8"/>
  <c r="BJ244" i="8"/>
  <c r="BB324" i="8"/>
  <c r="BJ324" i="8"/>
  <c r="BF324" i="8"/>
  <c r="BN324" i="8"/>
  <c r="BB508" i="8"/>
  <c r="BF508" i="8"/>
  <c r="BJ508" i="8"/>
  <c r="BN508" i="8"/>
  <c r="BB541" i="8"/>
  <c r="BF541" i="8"/>
  <c r="BJ541" i="8"/>
  <c r="BN541" i="8"/>
  <c r="BC95" i="8"/>
  <c r="BK95" i="8"/>
  <c r="BG95" i="8"/>
  <c r="BO95" i="8"/>
  <c r="BC278" i="8"/>
  <c r="BO278" i="8"/>
  <c r="BG278" i="8"/>
  <c r="BK278" i="8"/>
  <c r="BC350" i="8"/>
  <c r="BO350" i="8"/>
  <c r="BG350" i="8"/>
  <c r="BK350" i="8"/>
  <c r="BB542" i="8"/>
  <c r="BF542" i="8"/>
  <c r="BN542" i="8"/>
  <c r="BJ542" i="8"/>
  <c r="BD543" i="8"/>
  <c r="BH543" i="8"/>
  <c r="BL543" i="8"/>
  <c r="BP543" i="8"/>
  <c r="BA88" i="8"/>
  <c r="BM88" i="8"/>
  <c r="BI88" i="8"/>
  <c r="BE88" i="8"/>
  <c r="BC535" i="8"/>
  <c r="BG535" i="8"/>
  <c r="BK535" i="8"/>
  <c r="BO535" i="8"/>
  <c r="BB543" i="8"/>
  <c r="BJ543" i="8"/>
  <c r="BN543" i="8"/>
  <c r="BF543" i="8"/>
  <c r="BD160" i="8"/>
  <c r="BP160" i="8"/>
  <c r="BL160" i="8"/>
  <c r="BH160" i="8"/>
  <c r="BD200" i="8"/>
  <c r="BL200" i="8"/>
  <c r="BH200" i="8"/>
  <c r="BP200" i="8"/>
  <c r="BB240" i="8"/>
  <c r="BF240" i="8"/>
  <c r="BJ240" i="8"/>
  <c r="BN240" i="8"/>
  <c r="BB312" i="8"/>
  <c r="BN312" i="8"/>
  <c r="BF312" i="8"/>
  <c r="BJ312" i="8"/>
  <c r="BB536" i="8"/>
  <c r="BJ536" i="8"/>
  <c r="BF536" i="8"/>
  <c r="BN536" i="8"/>
  <c r="BB576" i="8"/>
  <c r="BN576" i="8"/>
  <c r="BF576" i="8"/>
  <c r="BJ576" i="8"/>
  <c r="BB337" i="8"/>
  <c r="BN337" i="8"/>
  <c r="BF337" i="8"/>
  <c r="BJ337" i="8"/>
  <c r="BA537" i="8"/>
  <c r="BI537" i="8"/>
  <c r="BE537" i="8"/>
  <c r="BM537" i="8"/>
  <c r="BC274" i="8"/>
  <c r="BG274" i="8"/>
  <c r="BK274" i="8"/>
  <c r="BO274" i="8"/>
  <c r="BC506" i="8"/>
  <c r="BK506" i="8"/>
  <c r="BG506" i="8"/>
  <c r="BO506" i="8"/>
  <c r="BD530" i="8"/>
  <c r="BH530" i="8"/>
  <c r="BP530" i="8"/>
  <c r="BL530" i="8"/>
  <c r="BC131" i="8"/>
  <c r="BO131" i="8"/>
  <c r="BK131" i="8"/>
  <c r="BG131" i="8"/>
  <c r="BB435" i="8"/>
  <c r="BJ435" i="8"/>
  <c r="BN435" i="8"/>
  <c r="BF435" i="8"/>
  <c r="BB451" i="8"/>
  <c r="BF451" i="8"/>
  <c r="BN451" i="8"/>
  <c r="BJ451" i="8"/>
  <c r="BA507" i="8"/>
  <c r="H13" i="22" s="1"/>
  <c r="S13" i="22" s="1"/>
  <c r="BI507" i="8"/>
  <c r="BE507" i="8"/>
  <c r="BM507" i="8"/>
  <c r="BC116" i="8"/>
  <c r="BK116" i="8"/>
  <c r="BO116" i="8"/>
  <c r="BG116" i="8"/>
  <c r="BC236" i="8"/>
  <c r="BK236" i="8"/>
  <c r="BO236" i="8"/>
  <c r="BG236" i="8"/>
  <c r="BC244" i="8"/>
  <c r="BG244" i="8"/>
  <c r="BO244" i="8"/>
  <c r="BK244" i="8"/>
  <c r="BC324" i="8"/>
  <c r="BK324" i="8"/>
  <c r="BG324" i="8"/>
  <c r="BO324" i="8"/>
  <c r="BC508" i="8"/>
  <c r="BG508" i="8"/>
  <c r="BK508" i="8"/>
  <c r="BO508" i="8"/>
  <c r="BA541" i="8"/>
  <c r="BE541" i="8"/>
  <c r="BI541" i="8"/>
  <c r="BM541" i="8"/>
  <c r="BA95" i="8"/>
  <c r="BE95" i="8"/>
  <c r="BM95" i="8"/>
  <c r="BI95" i="8"/>
  <c r="BD278" i="8"/>
  <c r="BP278" i="8"/>
  <c r="BL278" i="8"/>
  <c r="BH278" i="8"/>
  <c r="BD350" i="8"/>
  <c r="BP350" i="8"/>
  <c r="BH350" i="8"/>
  <c r="BL350" i="8"/>
  <c r="BC542" i="8"/>
  <c r="BG542" i="8"/>
  <c r="BK542" i="8"/>
  <c r="BO542" i="8"/>
  <c r="BC88" i="8"/>
  <c r="BK88" i="8"/>
  <c r="BG88" i="8"/>
  <c r="BO88" i="8"/>
  <c r="BA535" i="8"/>
  <c r="BM535" i="8"/>
  <c r="BI535" i="8"/>
  <c r="BE535" i="8"/>
  <c r="BA543" i="8"/>
  <c r="BM543" i="8"/>
  <c r="BI543" i="8"/>
  <c r="BE543" i="8"/>
  <c r="BC160" i="8"/>
  <c r="BO160" i="8"/>
  <c r="BK160" i="8"/>
  <c r="BG160" i="8"/>
  <c r="BC200" i="8"/>
  <c r="BG200" i="8"/>
  <c r="BO200" i="8"/>
  <c r="BK200" i="8"/>
  <c r="BC240" i="8"/>
  <c r="BG240" i="8"/>
  <c r="BK240" i="8"/>
  <c r="BO240" i="8"/>
  <c r="BC312" i="8"/>
  <c r="BO312" i="8"/>
  <c r="BG312" i="8"/>
  <c r="BK312" i="8"/>
  <c r="BC536" i="8"/>
  <c r="BG536" i="8"/>
  <c r="BO536" i="8"/>
  <c r="BK536" i="8"/>
  <c r="BC576" i="8"/>
  <c r="BK576" i="8"/>
  <c r="BG576" i="8"/>
  <c r="BO576" i="8"/>
  <c r="BC337" i="8"/>
  <c r="BG337" i="8"/>
  <c r="BK337" i="8"/>
  <c r="BO337" i="8"/>
  <c r="BD537" i="8"/>
  <c r="BL537" i="8"/>
  <c r="BP537" i="8"/>
  <c r="BH537" i="8"/>
  <c r="BD274" i="8"/>
  <c r="BH274" i="8"/>
  <c r="BP274" i="8"/>
  <c r="BL274" i="8"/>
  <c r="BD506" i="8"/>
  <c r="BL506" i="8"/>
  <c r="BP506" i="8"/>
  <c r="BH506" i="8"/>
  <c r="BA530" i="8"/>
  <c r="BE530" i="8"/>
  <c r="BI530" i="8"/>
  <c r="BM530" i="8"/>
  <c r="BD131" i="8"/>
  <c r="BH131" i="8"/>
  <c r="BP131" i="8"/>
  <c r="BL131" i="8"/>
  <c r="BD435" i="8"/>
  <c r="BL435" i="8"/>
  <c r="BP435" i="8"/>
  <c r="BH435" i="8"/>
  <c r="BD451" i="8"/>
  <c r="BH451" i="8"/>
  <c r="BL451" i="8"/>
  <c r="BP451" i="8"/>
  <c r="BD507" i="8"/>
  <c r="BP507" i="8"/>
  <c r="BH507" i="8"/>
  <c r="BL507" i="8"/>
  <c r="BA116" i="8"/>
  <c r="BI116" i="8"/>
  <c r="BE116" i="8"/>
  <c r="BM116" i="8"/>
  <c r="BD236" i="8"/>
  <c r="BP236" i="8"/>
  <c r="BH236" i="8"/>
  <c r="BL236" i="8"/>
  <c r="BD244" i="8"/>
  <c r="BH244" i="8"/>
  <c r="BL244" i="8"/>
  <c r="BP244" i="8"/>
  <c r="BD324" i="8"/>
  <c r="BL324" i="8"/>
  <c r="BH324" i="8"/>
  <c r="BP324" i="8"/>
  <c r="BA508" i="8"/>
  <c r="BE508" i="8"/>
  <c r="BM508" i="8"/>
  <c r="BI508" i="8"/>
  <c r="BD541" i="8"/>
  <c r="BP541" i="8"/>
  <c r="BL541" i="8"/>
  <c r="BH541" i="8"/>
  <c r="C10" i="22"/>
  <c r="N10" i="22" s="1"/>
  <c r="C238" i="21" s="1"/>
  <c r="H36" i="21"/>
  <c r="H456" i="21"/>
  <c r="H246" i="21"/>
  <c r="C39" i="21"/>
  <c r="C459" i="21"/>
  <c r="C249" i="21"/>
  <c r="J37" i="21"/>
  <c r="J457" i="21"/>
  <c r="J247" i="21"/>
  <c r="F39" i="21"/>
  <c r="F459" i="21"/>
  <c r="F249" i="21"/>
  <c r="E37" i="21"/>
  <c r="E457" i="21"/>
  <c r="E247" i="21"/>
  <c r="G37" i="21"/>
  <c r="G457" i="21"/>
  <c r="G247" i="21"/>
  <c r="K39" i="21"/>
  <c r="K459" i="21"/>
  <c r="K249" i="21"/>
  <c r="G38" i="21"/>
  <c r="G458" i="21"/>
  <c r="G248" i="21"/>
  <c r="E36" i="21"/>
  <c r="E456" i="21"/>
  <c r="E246" i="21"/>
  <c r="J38" i="21"/>
  <c r="J458" i="21"/>
  <c r="J248" i="21"/>
  <c r="D38" i="21"/>
  <c r="D458" i="21"/>
  <c r="D248" i="21"/>
  <c r="J36" i="21"/>
  <c r="J456" i="21"/>
  <c r="J246" i="21"/>
  <c r="E39" i="21"/>
  <c r="E459" i="21"/>
  <c r="E249" i="21"/>
  <c r="D37" i="21"/>
  <c r="D457" i="21"/>
  <c r="D247" i="21"/>
  <c r="H39" i="21"/>
  <c r="H459" i="21"/>
  <c r="H249" i="21"/>
  <c r="L38" i="21"/>
  <c r="L458" i="21"/>
  <c r="L248" i="21"/>
  <c r="I37" i="21"/>
  <c r="I457" i="21"/>
  <c r="I247" i="21"/>
  <c r="L37" i="21"/>
  <c r="L247" i="21"/>
  <c r="L457" i="21"/>
  <c r="G36" i="21"/>
  <c r="G456" i="21"/>
  <c r="G246" i="21"/>
  <c r="J39" i="21"/>
  <c r="J459" i="21"/>
  <c r="J249" i="21"/>
  <c r="F38" i="21"/>
  <c r="F458" i="21"/>
  <c r="F248" i="21"/>
  <c r="D36" i="21"/>
  <c r="D456" i="21"/>
  <c r="D246" i="21"/>
  <c r="I38" i="21"/>
  <c r="I458" i="21"/>
  <c r="I248" i="21"/>
  <c r="F37" i="21"/>
  <c r="F457" i="21"/>
  <c r="F247" i="21"/>
  <c r="I36" i="21"/>
  <c r="I456" i="21"/>
  <c r="I246" i="21"/>
  <c r="D39" i="21"/>
  <c r="D459" i="21"/>
  <c r="D249" i="21"/>
  <c r="L36" i="21"/>
  <c r="L456" i="21"/>
  <c r="L246" i="21"/>
  <c r="G39" i="21"/>
  <c r="G459" i="21"/>
  <c r="G249" i="21"/>
  <c r="C38" i="21"/>
  <c r="C458" i="21"/>
  <c r="C248" i="21"/>
  <c r="H37" i="21"/>
  <c r="H457" i="21"/>
  <c r="H247" i="21"/>
  <c r="L39" i="21"/>
  <c r="L249" i="21"/>
  <c r="L459" i="21"/>
  <c r="K37" i="21"/>
  <c r="K457" i="21"/>
  <c r="K247" i="21"/>
  <c r="C37" i="21"/>
  <c r="C457" i="21"/>
  <c r="C247" i="21"/>
  <c r="K38" i="21"/>
  <c r="K458" i="21"/>
  <c r="K248" i="21"/>
  <c r="E38" i="21"/>
  <c r="E458" i="21"/>
  <c r="E248" i="21"/>
  <c r="K36" i="21"/>
  <c r="K456" i="21"/>
  <c r="K246" i="21"/>
  <c r="H38" i="21"/>
  <c r="H458" i="21"/>
  <c r="H248" i="21"/>
  <c r="F36" i="21"/>
  <c r="F456" i="21"/>
  <c r="F246" i="21"/>
  <c r="I39" i="21"/>
  <c r="I459" i="21"/>
  <c r="I249" i="21"/>
  <c r="N18" i="22"/>
  <c r="T17" i="22"/>
  <c r="U17" i="22"/>
  <c r="R17" i="22"/>
  <c r="W17" i="22"/>
  <c r="Q17" i="22"/>
  <c r="V17" i="22"/>
  <c r="S17" i="22"/>
  <c r="P17" i="22"/>
  <c r="O17" i="22"/>
  <c r="BA388" i="8"/>
  <c r="E11" i="22" s="1"/>
  <c r="P11" i="22" s="1"/>
  <c r="BA492" i="8"/>
  <c r="D11" i="22" s="1"/>
  <c r="O11" i="22" s="1"/>
  <c r="BA344" i="8"/>
  <c r="BA409" i="8"/>
  <c r="F13" i="22" s="1"/>
  <c r="Q13" i="22" s="1"/>
  <c r="BA322" i="8"/>
  <c r="BA411" i="8"/>
  <c r="BA48" i="8"/>
  <c r="G11" i="22" s="1"/>
  <c r="R11" i="22" s="1"/>
  <c r="BA80" i="8"/>
  <c r="F11" i="22" s="1"/>
  <c r="Q11" i="22" s="1"/>
  <c r="BA431" i="8"/>
  <c r="I11" i="22" s="1"/>
  <c r="T11" i="22" s="1"/>
  <c r="BA499" i="8"/>
  <c r="K15" i="22"/>
  <c r="V15" i="22" s="1"/>
  <c r="C15" i="22"/>
  <c r="N15" i="22" s="1"/>
  <c r="E14" i="22"/>
  <c r="P14" i="22" s="1"/>
  <c r="I12" i="22"/>
  <c r="T12" i="22" s="1"/>
  <c r="C11" i="22"/>
  <c r="N11" i="22" s="1"/>
  <c r="E10" i="22"/>
  <c r="P10" i="22" s="1"/>
  <c r="J15" i="22"/>
  <c r="U15" i="22" s="1"/>
  <c r="L14" i="22"/>
  <c r="W14" i="22" s="1"/>
  <c r="D14" i="22"/>
  <c r="O14" i="22" s="1"/>
  <c r="L10" i="22"/>
  <c r="W10" i="22" s="1"/>
  <c r="D10" i="22"/>
  <c r="O10" i="22" s="1"/>
  <c r="I15" i="22"/>
  <c r="T15" i="22" s="1"/>
  <c r="K14" i="22"/>
  <c r="V14" i="22" s="1"/>
  <c r="C14" i="22"/>
  <c r="N14" i="22" s="1"/>
  <c r="E13" i="22"/>
  <c r="P13" i="22" s="1"/>
  <c r="G12" i="22"/>
  <c r="R12" i="22" s="1"/>
  <c r="K10" i="22"/>
  <c r="V10" i="22" s="1"/>
  <c r="H15" i="22"/>
  <c r="S15" i="22" s="1"/>
  <c r="J14" i="22"/>
  <c r="U14" i="22" s="1"/>
  <c r="D13" i="22"/>
  <c r="O13" i="22" s="1"/>
  <c r="G15" i="22"/>
  <c r="R15" i="22" s="1"/>
  <c r="I14" i="22"/>
  <c r="T14" i="22" s="1"/>
  <c r="C13" i="22"/>
  <c r="N13" i="22" s="1"/>
  <c r="E12" i="22"/>
  <c r="P12" i="22" s="1"/>
  <c r="I10" i="22"/>
  <c r="T10" i="22" s="1"/>
  <c r="F15" i="22"/>
  <c r="Q15" i="22" s="1"/>
  <c r="H14" i="22"/>
  <c r="S14" i="22" s="1"/>
  <c r="D12" i="22"/>
  <c r="O12" i="22" s="1"/>
  <c r="H10" i="22"/>
  <c r="S10" i="22" s="1"/>
  <c r="E15" i="22"/>
  <c r="P15" i="22" s="1"/>
  <c r="G14" i="22"/>
  <c r="R14" i="22" s="1"/>
  <c r="C12" i="22"/>
  <c r="N12" i="22" s="1"/>
  <c r="G10" i="22"/>
  <c r="R10" i="22" s="1"/>
  <c r="L15" i="22"/>
  <c r="W15" i="22" s="1"/>
  <c r="D15" i="22"/>
  <c r="O15" i="22" s="1"/>
  <c r="F14" i="22"/>
  <c r="Q14" i="22" s="1"/>
  <c r="L11" i="22"/>
  <c r="W11" i="22" s="1"/>
  <c r="F10" i="22"/>
  <c r="Q10" i="22" s="1"/>
  <c r="AO486" i="8"/>
  <c r="AR486" i="8" s="1"/>
  <c r="AO510" i="8"/>
  <c r="AR510" i="8" s="1"/>
  <c r="AK374" i="8"/>
  <c r="AJ374" i="8"/>
  <c r="AI374" i="8"/>
  <c r="AH374" i="8"/>
  <c r="AL374" i="8"/>
  <c r="AJ63" i="8"/>
  <c r="AH63" i="8"/>
  <c r="AL63" i="8"/>
  <c r="AK63" i="8"/>
  <c r="AI63" i="8"/>
  <c r="AI256" i="8"/>
  <c r="AH256" i="8"/>
  <c r="AL256" i="8"/>
  <c r="AJ256" i="8"/>
  <c r="AK256" i="8"/>
  <c r="AK136" i="8"/>
  <c r="AJ136" i="8"/>
  <c r="AL136" i="8"/>
  <c r="AI136" i="8"/>
  <c r="AH136" i="8"/>
  <c r="AL297" i="8"/>
  <c r="AJ297" i="8"/>
  <c r="AI297" i="8"/>
  <c r="AH297" i="8"/>
  <c r="AK297" i="8"/>
  <c r="AL496" i="8"/>
  <c r="AH496" i="8"/>
  <c r="AJ496" i="8"/>
  <c r="AI496" i="8"/>
  <c r="AK496" i="8"/>
  <c r="AK569" i="8"/>
  <c r="AJ569" i="8"/>
  <c r="AH569" i="8"/>
  <c r="AI569" i="8"/>
  <c r="AL569" i="8"/>
  <c r="AK459" i="8"/>
  <c r="AI459" i="8"/>
  <c r="AJ459" i="8"/>
  <c r="AH459" i="8"/>
  <c r="AL459" i="8"/>
  <c r="AK469" i="8"/>
  <c r="AI469" i="8"/>
  <c r="AH469" i="8"/>
  <c r="AJ469" i="8"/>
  <c r="AL469" i="8"/>
  <c r="AL283" i="8"/>
  <c r="AK283" i="8"/>
  <c r="AI283" i="8"/>
  <c r="AJ283" i="8"/>
  <c r="AH283" i="8"/>
  <c r="AI361" i="8"/>
  <c r="AH361" i="8"/>
  <c r="AL361" i="8"/>
  <c r="AK361" i="8"/>
  <c r="AJ361" i="8"/>
  <c r="AL513" i="8"/>
  <c r="AK513" i="8"/>
  <c r="AI513" i="8"/>
  <c r="AH513" i="8"/>
  <c r="AJ513" i="8"/>
  <c r="AI500" i="8"/>
  <c r="AK500" i="8"/>
  <c r="AJ500" i="8"/>
  <c r="AH500" i="8"/>
  <c r="AL500" i="8"/>
  <c r="AL549" i="8"/>
  <c r="AK549" i="8"/>
  <c r="AI549" i="8"/>
  <c r="AH549" i="8"/>
  <c r="AJ549" i="8"/>
  <c r="AK511" i="8"/>
  <c r="AH511" i="8"/>
  <c r="AL511" i="8"/>
  <c r="AJ511" i="8"/>
  <c r="AI511" i="8"/>
  <c r="AK75" i="8"/>
  <c r="AJ75" i="8"/>
  <c r="AI75" i="8"/>
  <c r="AH75" i="8"/>
  <c r="AL75" i="8"/>
  <c r="AK233" i="8"/>
  <c r="AJ233" i="8"/>
  <c r="AH233" i="8"/>
  <c r="AL233" i="8"/>
  <c r="AI233" i="8"/>
  <c r="AL192" i="8"/>
  <c r="AK192" i="8"/>
  <c r="AJ192" i="8"/>
  <c r="AI192" i="8"/>
  <c r="AH192" i="8"/>
  <c r="AJ279" i="8"/>
  <c r="AI279" i="8"/>
  <c r="AL279" i="8"/>
  <c r="AK279" i="8"/>
  <c r="AH279" i="8"/>
  <c r="AL380" i="8"/>
  <c r="AK380" i="8"/>
  <c r="AJ380" i="8"/>
  <c r="AI380" i="8"/>
  <c r="AH380" i="8"/>
  <c r="AK386" i="8"/>
  <c r="AJ386" i="8"/>
  <c r="AI386" i="8"/>
  <c r="AH386" i="8"/>
  <c r="AL386" i="8"/>
  <c r="AH385" i="8"/>
  <c r="AL385" i="8"/>
  <c r="AK385" i="8"/>
  <c r="AJ385" i="8"/>
  <c r="AI385" i="8"/>
  <c r="AK399" i="8"/>
  <c r="AH399" i="8"/>
  <c r="AL399" i="8"/>
  <c r="AJ399" i="8"/>
  <c r="AI399" i="8"/>
  <c r="AL155" i="8"/>
  <c r="AK155" i="8"/>
  <c r="AI155" i="8"/>
  <c r="AH155" i="8"/>
  <c r="AJ155" i="8"/>
  <c r="AL254" i="8"/>
  <c r="AH254" i="8"/>
  <c r="AK254" i="8"/>
  <c r="AI254" i="8"/>
  <c r="AJ254" i="8"/>
  <c r="AK287" i="8"/>
  <c r="AI287" i="8"/>
  <c r="AL287" i="8"/>
  <c r="AJ287" i="8"/>
  <c r="AH287" i="8"/>
  <c r="AL262" i="8"/>
  <c r="AK262" i="8"/>
  <c r="AJ262" i="8"/>
  <c r="AI262" i="8"/>
  <c r="AH262" i="8"/>
  <c r="AL362" i="8"/>
  <c r="AK362" i="8"/>
  <c r="AJ362" i="8"/>
  <c r="AI362" i="8"/>
  <c r="AH362" i="8"/>
  <c r="AL544" i="8"/>
  <c r="AK544" i="8"/>
  <c r="AI544" i="8"/>
  <c r="AH544" i="8"/>
  <c r="AJ544" i="8"/>
  <c r="AL562" i="8"/>
  <c r="AK562" i="8"/>
  <c r="AI562" i="8"/>
  <c r="AH562" i="8"/>
  <c r="AJ562" i="8"/>
  <c r="AJ87" i="8"/>
  <c r="AH87" i="8"/>
  <c r="AI87" i="8"/>
  <c r="AL87" i="8"/>
  <c r="AK87" i="8"/>
  <c r="AL323" i="8"/>
  <c r="AK323" i="8"/>
  <c r="AI323" i="8"/>
  <c r="AH323" i="8"/>
  <c r="AJ323" i="8"/>
  <c r="AJ154" i="8"/>
  <c r="AI154" i="8"/>
  <c r="AH154" i="8"/>
  <c r="AK154" i="8"/>
  <c r="AL154" i="8"/>
  <c r="AK458" i="8"/>
  <c r="AJ458" i="8"/>
  <c r="AH458" i="8"/>
  <c r="AL458" i="8"/>
  <c r="AI458" i="8"/>
  <c r="AI268" i="8"/>
  <c r="AH268" i="8"/>
  <c r="AL268" i="8"/>
  <c r="AK268" i="8"/>
  <c r="AJ268" i="8"/>
  <c r="AH476" i="8"/>
  <c r="AL476" i="8"/>
  <c r="AJ476" i="8"/>
  <c r="AI476" i="8"/>
  <c r="AK476" i="8"/>
  <c r="AJ13" i="8"/>
  <c r="AH13" i="8"/>
  <c r="AI13" i="8"/>
  <c r="AK13" i="8"/>
  <c r="AL13" i="8"/>
  <c r="AL448" i="8"/>
  <c r="AJ448" i="8"/>
  <c r="AK448" i="8"/>
  <c r="AI448" i="8"/>
  <c r="AH448" i="8"/>
  <c r="AL221" i="8"/>
  <c r="AJ221" i="8"/>
  <c r="AI221" i="8"/>
  <c r="AH221" i="8"/>
  <c r="AK221" i="8"/>
  <c r="AL190" i="8"/>
  <c r="AK190" i="8"/>
  <c r="AI190" i="8"/>
  <c r="AH190" i="8"/>
  <c r="AJ190" i="8"/>
  <c r="AH37" i="8"/>
  <c r="AL37" i="8"/>
  <c r="AK37" i="8"/>
  <c r="AJ37" i="8"/>
  <c r="AI37" i="8"/>
  <c r="AL170" i="8"/>
  <c r="AK170" i="8"/>
  <c r="AI170" i="8"/>
  <c r="AH170" i="8"/>
  <c r="AJ170" i="8"/>
  <c r="AI468" i="8"/>
  <c r="AJ468" i="8"/>
  <c r="AH468" i="8"/>
  <c r="AL468" i="8"/>
  <c r="AK468" i="8"/>
  <c r="AI358" i="8"/>
  <c r="AH358" i="8"/>
  <c r="AL358" i="8"/>
  <c r="AK358" i="8"/>
  <c r="AJ358" i="8"/>
  <c r="AK411" i="8"/>
  <c r="AJ411" i="8"/>
  <c r="AH411" i="8"/>
  <c r="AL411" i="8"/>
  <c r="AI411" i="8"/>
  <c r="AL416" i="8"/>
  <c r="AK416" i="8"/>
  <c r="AI416" i="8"/>
  <c r="AH416" i="8"/>
  <c r="AJ416" i="8"/>
  <c r="AH539" i="8"/>
  <c r="AL539" i="8"/>
  <c r="AJ539" i="8"/>
  <c r="AI539" i="8"/>
  <c r="AK539" i="8"/>
  <c r="AK168" i="8"/>
  <c r="AJ168" i="8"/>
  <c r="AL168" i="8"/>
  <c r="AI168" i="8"/>
  <c r="AH168" i="8"/>
  <c r="AL403" i="8"/>
  <c r="AK403" i="8"/>
  <c r="AI403" i="8"/>
  <c r="AH403" i="8"/>
  <c r="AJ403" i="8"/>
  <c r="AL215" i="8"/>
  <c r="AK215" i="8"/>
  <c r="AJ215" i="8"/>
  <c r="AI215" i="8"/>
  <c r="AH215" i="8"/>
  <c r="AJ561" i="8"/>
  <c r="AI561" i="8"/>
  <c r="AL561" i="8"/>
  <c r="AK561" i="8"/>
  <c r="AH561" i="8"/>
  <c r="AJ91" i="8"/>
  <c r="AH91" i="8"/>
  <c r="AL91" i="8"/>
  <c r="AK91" i="8"/>
  <c r="AI91" i="8"/>
  <c r="AH410" i="8"/>
  <c r="AK410" i="8"/>
  <c r="AL410" i="8"/>
  <c r="AJ410" i="8"/>
  <c r="AI410" i="8"/>
  <c r="AL173" i="8"/>
  <c r="AK173" i="8"/>
  <c r="AI173" i="8"/>
  <c r="AH173" i="8"/>
  <c r="AJ173" i="8"/>
  <c r="AI336" i="8"/>
  <c r="AH336" i="8"/>
  <c r="AL336" i="8"/>
  <c r="AJ336" i="8"/>
  <c r="AK336" i="8"/>
  <c r="AL531" i="8"/>
  <c r="AK531" i="8"/>
  <c r="AI531" i="8"/>
  <c r="AH531" i="8"/>
  <c r="AJ531" i="8"/>
  <c r="AH288" i="8"/>
  <c r="AK288" i="8"/>
  <c r="AJ288" i="8"/>
  <c r="AI288" i="8"/>
  <c r="AL288" i="8"/>
  <c r="AK230" i="8"/>
  <c r="AJ230" i="8"/>
  <c r="AH230" i="8"/>
  <c r="AL230" i="8"/>
  <c r="AI230" i="8"/>
  <c r="AL426" i="8"/>
  <c r="AJ426" i="8"/>
  <c r="AK426" i="8"/>
  <c r="AI426" i="8"/>
  <c r="AH426" i="8"/>
  <c r="AK471" i="8"/>
  <c r="AL471" i="8"/>
  <c r="AH471" i="8"/>
  <c r="AJ471" i="8"/>
  <c r="AI471" i="8"/>
  <c r="AJ295" i="8"/>
  <c r="AI295" i="8"/>
  <c r="AK295" i="8"/>
  <c r="AH295" i="8"/>
  <c r="AL295" i="8"/>
  <c r="AL534" i="8"/>
  <c r="AJ534" i="8"/>
  <c r="AI534" i="8"/>
  <c r="AK534" i="8"/>
  <c r="AH534" i="8"/>
  <c r="AL553" i="8"/>
  <c r="AK553" i="8"/>
  <c r="AI553" i="8"/>
  <c r="AH553" i="8"/>
  <c r="AJ553" i="8"/>
  <c r="AK412" i="8"/>
  <c r="AI412" i="8"/>
  <c r="AL412" i="8"/>
  <c r="AJ412" i="8"/>
  <c r="AH412" i="8"/>
  <c r="AJ263" i="8"/>
  <c r="AK263" i="8"/>
  <c r="AI263" i="8"/>
  <c r="AL263" i="8"/>
  <c r="AH263" i="8"/>
  <c r="AI189" i="8"/>
  <c r="AH189" i="8"/>
  <c r="AL189" i="8"/>
  <c r="AK189" i="8"/>
  <c r="AJ189" i="8"/>
  <c r="AI133" i="8"/>
  <c r="AH133" i="8"/>
  <c r="AL133" i="8"/>
  <c r="AK133" i="8"/>
  <c r="AJ133" i="8"/>
  <c r="AL528" i="8"/>
  <c r="AK528" i="8"/>
  <c r="AI528" i="8"/>
  <c r="AH528" i="8"/>
  <c r="AJ528" i="8"/>
  <c r="AH239" i="8"/>
  <c r="AK239" i="8"/>
  <c r="AJ239" i="8"/>
  <c r="AI239" i="8"/>
  <c r="AL239" i="8"/>
  <c r="AL388" i="8"/>
  <c r="AI388" i="8"/>
  <c r="AK388" i="8"/>
  <c r="AJ388" i="8"/>
  <c r="AH388" i="8"/>
  <c r="AI82" i="8"/>
  <c r="AL82" i="8"/>
  <c r="AK82" i="8"/>
  <c r="AJ82" i="8"/>
  <c r="AH82" i="8"/>
  <c r="AL367" i="8"/>
  <c r="AK367" i="8"/>
  <c r="AJ367" i="8"/>
  <c r="AI367" i="8"/>
  <c r="AH367" i="8"/>
  <c r="AK231" i="8"/>
  <c r="AJ231" i="8"/>
  <c r="AI231" i="8"/>
  <c r="AL231" i="8"/>
  <c r="AH231" i="8"/>
  <c r="AL572" i="8"/>
  <c r="AK572" i="8"/>
  <c r="AI572" i="8"/>
  <c r="AH572" i="8"/>
  <c r="AJ572" i="8"/>
  <c r="AJ157" i="8"/>
  <c r="AI157" i="8"/>
  <c r="AH157" i="8"/>
  <c r="AL157" i="8"/>
  <c r="AK157" i="8"/>
  <c r="AN546" i="8"/>
  <c r="AQ546" i="8" s="1"/>
  <c r="AM546" i="8"/>
  <c r="AP546" i="8" s="1"/>
  <c r="AO546" i="8"/>
  <c r="AR546" i="8" s="1"/>
  <c r="AK29" i="8"/>
  <c r="AJ29" i="8"/>
  <c r="AI29" i="8"/>
  <c r="AH29" i="8"/>
  <c r="AL29" i="8"/>
  <c r="AL460" i="8"/>
  <c r="AJ460" i="8"/>
  <c r="AK460" i="8"/>
  <c r="AI460" i="8"/>
  <c r="AH460" i="8"/>
  <c r="AK567" i="8"/>
  <c r="AJ567" i="8"/>
  <c r="AH567" i="8"/>
  <c r="AL567" i="8"/>
  <c r="AI567" i="8"/>
  <c r="AL558" i="8"/>
  <c r="AK558" i="8"/>
  <c r="AI558" i="8"/>
  <c r="AH558" i="8"/>
  <c r="AJ558" i="8"/>
  <c r="AL76" i="8"/>
  <c r="AK76" i="8"/>
  <c r="AJ76" i="8"/>
  <c r="AI76" i="8"/>
  <c r="AH76" i="8"/>
  <c r="AL104" i="8"/>
  <c r="AK104" i="8"/>
  <c r="AI104" i="8"/>
  <c r="AH104" i="8"/>
  <c r="AJ104" i="8"/>
  <c r="AH229" i="8"/>
  <c r="AL229" i="8"/>
  <c r="AK229" i="8"/>
  <c r="AJ229" i="8"/>
  <c r="AI229" i="8"/>
  <c r="AK478" i="8"/>
  <c r="AL478" i="8"/>
  <c r="AH478" i="8"/>
  <c r="AJ478" i="8"/>
  <c r="AI478" i="8"/>
  <c r="AL107" i="8"/>
  <c r="AK107" i="8"/>
  <c r="AJ107" i="8"/>
  <c r="AH107" i="8"/>
  <c r="AI107" i="8"/>
  <c r="AL84" i="8"/>
  <c r="AK84" i="8"/>
  <c r="AJ84" i="8"/>
  <c r="AI84" i="8"/>
  <c r="AH84" i="8"/>
  <c r="AL393" i="8"/>
  <c r="AJ393" i="8"/>
  <c r="AK393" i="8"/>
  <c r="AI393" i="8"/>
  <c r="AH393" i="8"/>
  <c r="AH314" i="8"/>
  <c r="AK314" i="8"/>
  <c r="AL314" i="8"/>
  <c r="AJ314" i="8"/>
  <c r="AI314" i="8"/>
  <c r="AL392" i="8"/>
  <c r="AI392" i="8"/>
  <c r="AH392" i="8"/>
  <c r="AK392" i="8"/>
  <c r="AJ392" i="8"/>
  <c r="AI302" i="8"/>
  <c r="AH302" i="8"/>
  <c r="AL302" i="8"/>
  <c r="AK302" i="8"/>
  <c r="AJ302" i="8"/>
  <c r="AL390" i="8"/>
  <c r="AJ390" i="8"/>
  <c r="AK390" i="8"/>
  <c r="AI390" i="8"/>
  <c r="AH390" i="8"/>
  <c r="AL565" i="8"/>
  <c r="AJ565" i="8"/>
  <c r="AI565" i="8"/>
  <c r="AH565" i="8"/>
  <c r="AK565" i="8"/>
  <c r="AH342" i="8"/>
  <c r="AL342" i="8"/>
  <c r="AK342" i="8"/>
  <c r="AJ342" i="8"/>
  <c r="AI342" i="8"/>
  <c r="AJ121" i="8"/>
  <c r="AI121" i="8"/>
  <c r="AH121" i="8"/>
  <c r="AL121" i="8"/>
  <c r="AK121" i="8"/>
  <c r="AL210" i="8"/>
  <c r="AK210" i="8"/>
  <c r="AI210" i="8"/>
  <c r="AH210" i="8"/>
  <c r="AJ210" i="8"/>
  <c r="AJ564" i="8"/>
  <c r="AI564" i="8"/>
  <c r="AL564" i="8"/>
  <c r="AK564" i="8"/>
  <c r="AH564" i="8"/>
  <c r="AL332" i="8"/>
  <c r="AK332" i="8"/>
  <c r="AI332" i="8"/>
  <c r="AH332" i="8"/>
  <c r="AJ332" i="8"/>
  <c r="AL310" i="8"/>
  <c r="AJ310" i="8"/>
  <c r="AH310" i="8"/>
  <c r="AK310" i="8"/>
  <c r="AI310" i="8"/>
  <c r="AH212" i="8"/>
  <c r="AL212" i="8"/>
  <c r="AK212" i="8"/>
  <c r="AJ212" i="8"/>
  <c r="AI212" i="8"/>
  <c r="AH328" i="8"/>
  <c r="AK328" i="8"/>
  <c r="AL328" i="8"/>
  <c r="AJ328" i="8"/>
  <c r="AI328" i="8"/>
  <c r="AH225" i="8"/>
  <c r="AL225" i="8"/>
  <c r="AK225" i="8"/>
  <c r="AJ225" i="8"/>
  <c r="AI225" i="8"/>
  <c r="AL32" i="8"/>
  <c r="AJ32" i="8"/>
  <c r="AI32" i="8"/>
  <c r="AH32" i="8"/>
  <c r="AK32" i="8"/>
  <c r="AH522" i="8"/>
  <c r="AL522" i="8"/>
  <c r="AJ522" i="8"/>
  <c r="AI522" i="8"/>
  <c r="AK522" i="8"/>
  <c r="AL54" i="8"/>
  <c r="AK54" i="8"/>
  <c r="AJ54" i="8"/>
  <c r="AI54" i="8"/>
  <c r="AH54" i="8"/>
  <c r="AL371" i="8"/>
  <c r="AK371" i="8"/>
  <c r="AJ371" i="8"/>
  <c r="AI371" i="8"/>
  <c r="AH371" i="8"/>
  <c r="AL286" i="8"/>
  <c r="AK286" i="8"/>
  <c r="AI286" i="8"/>
  <c r="AJ286" i="8"/>
  <c r="AH286" i="8"/>
  <c r="AH551" i="8"/>
  <c r="AL551" i="8"/>
  <c r="AJ551" i="8"/>
  <c r="AI551" i="8"/>
  <c r="AK551" i="8"/>
  <c r="AL220" i="8"/>
  <c r="AK220" i="8"/>
  <c r="AI220" i="8"/>
  <c r="AH220" i="8"/>
  <c r="AJ220" i="8"/>
  <c r="AL443" i="8"/>
  <c r="AK443" i="8"/>
  <c r="AI443" i="8"/>
  <c r="AJ443" i="8"/>
  <c r="AH443" i="8"/>
  <c r="AI48" i="8"/>
  <c r="AL48" i="8"/>
  <c r="AK48" i="8"/>
  <c r="AJ48" i="8"/>
  <c r="AH48" i="8"/>
  <c r="AJ272" i="8"/>
  <c r="AI272" i="8"/>
  <c r="AL272" i="8"/>
  <c r="AH272" i="8"/>
  <c r="AK272" i="8"/>
  <c r="AL46" i="8"/>
  <c r="AK46" i="8"/>
  <c r="AJ46" i="8"/>
  <c r="AI46" i="8"/>
  <c r="AH46" i="8"/>
  <c r="AK114" i="8"/>
  <c r="AJ114" i="8"/>
  <c r="AI114" i="8"/>
  <c r="AL114" i="8"/>
  <c r="AH114" i="8"/>
  <c r="AH441" i="8"/>
  <c r="AK441" i="8"/>
  <c r="AI441" i="8"/>
  <c r="AL441" i="8"/>
  <c r="AJ441" i="8"/>
  <c r="AL25" i="8"/>
  <c r="AJ25" i="8"/>
  <c r="AI25" i="8"/>
  <c r="AH25" i="8"/>
  <c r="AK25" i="8"/>
  <c r="AL258" i="8"/>
  <c r="AH258" i="8"/>
  <c r="AJ258" i="8"/>
  <c r="AI258" i="8"/>
  <c r="AK258" i="8"/>
  <c r="AL128" i="8"/>
  <c r="AK128" i="8"/>
  <c r="AI128" i="8"/>
  <c r="AH128" i="8"/>
  <c r="AJ128" i="8"/>
  <c r="AJ161" i="8"/>
  <c r="AI161" i="8"/>
  <c r="AH161" i="8"/>
  <c r="AL161" i="8"/>
  <c r="AK161" i="8"/>
  <c r="AH422" i="8"/>
  <c r="AK422" i="8"/>
  <c r="AL422" i="8"/>
  <c r="AJ422" i="8"/>
  <c r="AI422" i="8"/>
  <c r="AL40" i="8"/>
  <c r="AK40" i="8"/>
  <c r="AJ40" i="8"/>
  <c r="AH40" i="8"/>
  <c r="AI40" i="8"/>
  <c r="AI213" i="8"/>
  <c r="AH213" i="8"/>
  <c r="AL213" i="8"/>
  <c r="AK213" i="8"/>
  <c r="AJ213" i="8"/>
  <c r="AL327" i="8"/>
  <c r="AK327" i="8"/>
  <c r="AI327" i="8"/>
  <c r="AJ327" i="8"/>
  <c r="AH327" i="8"/>
  <c r="AK276" i="8"/>
  <c r="AJ276" i="8"/>
  <c r="AI276" i="8"/>
  <c r="AH276" i="8"/>
  <c r="AL276" i="8"/>
  <c r="AK512" i="8"/>
  <c r="AJ512" i="8"/>
  <c r="AH512" i="8"/>
  <c r="AI512" i="8"/>
  <c r="AL512" i="8"/>
  <c r="AJ99" i="8"/>
  <c r="AI99" i="8"/>
  <c r="AH99" i="8"/>
  <c r="AL99" i="8"/>
  <c r="AK99" i="8"/>
  <c r="AK72" i="8"/>
  <c r="AJ72" i="8"/>
  <c r="AI72" i="8"/>
  <c r="AH72" i="8"/>
  <c r="AL72" i="8"/>
  <c r="AL306" i="8"/>
  <c r="AK306" i="8"/>
  <c r="AI306" i="8"/>
  <c r="AJ306" i="8"/>
  <c r="AH306" i="8"/>
  <c r="AL201" i="8"/>
  <c r="AJ201" i="8"/>
  <c r="AI201" i="8"/>
  <c r="AH201" i="8"/>
  <c r="AK201" i="8"/>
  <c r="AI473" i="8"/>
  <c r="AJ473" i="8"/>
  <c r="AH473" i="8"/>
  <c r="AL473" i="8"/>
  <c r="AK473" i="8"/>
  <c r="AK485" i="8"/>
  <c r="AI485" i="8"/>
  <c r="AH485" i="8"/>
  <c r="AL485" i="8"/>
  <c r="AJ485" i="8"/>
  <c r="AJ547" i="8"/>
  <c r="AI547" i="8"/>
  <c r="AL547" i="8"/>
  <c r="AK547" i="8"/>
  <c r="AH547" i="8"/>
  <c r="AI525" i="8"/>
  <c r="AK525" i="8"/>
  <c r="AJ525" i="8"/>
  <c r="AL525" i="8"/>
  <c r="AH525" i="8"/>
  <c r="AL69" i="8"/>
  <c r="AJ69" i="8"/>
  <c r="AI69" i="8"/>
  <c r="AH69" i="8"/>
  <c r="AK69" i="8"/>
  <c r="AK413" i="8"/>
  <c r="AI413" i="8"/>
  <c r="AJ413" i="8"/>
  <c r="AH413" i="8"/>
  <c r="AL413" i="8"/>
  <c r="AH86" i="8"/>
  <c r="AL86" i="8"/>
  <c r="AK86" i="8"/>
  <c r="AJ86" i="8"/>
  <c r="AI86" i="8"/>
  <c r="AI285" i="8"/>
  <c r="AH285" i="8"/>
  <c r="AL285" i="8"/>
  <c r="AK285" i="8"/>
  <c r="AJ285" i="8"/>
  <c r="AK504" i="8"/>
  <c r="AJ504" i="8"/>
  <c r="AH504" i="8"/>
  <c r="AI504" i="8"/>
  <c r="AL504" i="8"/>
  <c r="AL340" i="8"/>
  <c r="AK340" i="8"/>
  <c r="AJ340" i="8"/>
  <c r="AI340" i="8"/>
  <c r="AH340" i="8"/>
  <c r="AH376" i="8"/>
  <c r="AL376" i="8"/>
  <c r="AK376" i="8"/>
  <c r="AJ376" i="8"/>
  <c r="AI376" i="8"/>
  <c r="AH126" i="8"/>
  <c r="AL126" i="8"/>
  <c r="AK126" i="8"/>
  <c r="AI126" i="8"/>
  <c r="AJ126" i="8"/>
  <c r="AK289" i="8"/>
  <c r="AJ289" i="8"/>
  <c r="AH289" i="8"/>
  <c r="AL289" i="8"/>
  <c r="AI289" i="8"/>
  <c r="AL129" i="8"/>
  <c r="AJ129" i="8"/>
  <c r="AI129" i="8"/>
  <c r="AK129" i="8"/>
  <c r="AH129" i="8"/>
  <c r="AK501" i="8"/>
  <c r="AH501" i="8"/>
  <c r="AL501" i="8"/>
  <c r="AI501" i="8"/>
  <c r="AJ501" i="8"/>
  <c r="AH559" i="8"/>
  <c r="AL559" i="8"/>
  <c r="AJ559" i="8"/>
  <c r="AI559" i="8"/>
  <c r="AK559" i="8"/>
  <c r="AI484" i="8"/>
  <c r="AK484" i="8"/>
  <c r="AH484" i="8"/>
  <c r="AL484" i="8"/>
  <c r="AJ484" i="8"/>
  <c r="AI209" i="8"/>
  <c r="AH209" i="8"/>
  <c r="AL209" i="8"/>
  <c r="AK209" i="8"/>
  <c r="AJ209" i="8"/>
  <c r="AO259" i="8"/>
  <c r="AR259" i="8" s="1"/>
  <c r="AN259" i="8"/>
  <c r="AQ259" i="8" s="1"/>
  <c r="AM259" i="8"/>
  <c r="AP259" i="8" s="1"/>
  <c r="AO232" i="8"/>
  <c r="AR232" i="8" s="1"/>
  <c r="AN232" i="8"/>
  <c r="AQ232" i="8" s="1"/>
  <c r="AM232" i="8"/>
  <c r="AP232" i="8" s="1"/>
  <c r="AI265" i="8"/>
  <c r="AH265" i="8"/>
  <c r="AL265" i="8"/>
  <c r="AJ265" i="8"/>
  <c r="AK265" i="8"/>
  <c r="AL19" i="8"/>
  <c r="AK19" i="8"/>
  <c r="AJ19" i="8"/>
  <c r="AI19" i="8"/>
  <c r="AH19" i="8"/>
  <c r="AJ203" i="8"/>
  <c r="AI203" i="8"/>
  <c r="AL203" i="8"/>
  <c r="AH203" i="8"/>
  <c r="AK203" i="8"/>
  <c r="AH382" i="8"/>
  <c r="AL382" i="8"/>
  <c r="AK382" i="8"/>
  <c r="AJ382" i="8"/>
  <c r="AI382" i="8"/>
  <c r="AL89" i="8"/>
  <c r="AK89" i="8"/>
  <c r="AJ89" i="8"/>
  <c r="AI89" i="8"/>
  <c r="AH89" i="8"/>
  <c r="AL321" i="8"/>
  <c r="AJ321" i="8"/>
  <c r="AK321" i="8"/>
  <c r="AI321" i="8"/>
  <c r="AH321" i="8"/>
  <c r="AK101" i="8"/>
  <c r="AJ101" i="8"/>
  <c r="AI101" i="8"/>
  <c r="AH101" i="8"/>
  <c r="AL101" i="8"/>
  <c r="AK359" i="8"/>
  <c r="AJ359" i="8"/>
  <c r="AI359" i="8"/>
  <c r="AH359" i="8"/>
  <c r="AL359" i="8"/>
  <c r="AK463" i="8"/>
  <c r="AL463" i="8"/>
  <c r="AH463" i="8"/>
  <c r="AJ463" i="8"/>
  <c r="AI463" i="8"/>
  <c r="AL158" i="8"/>
  <c r="AK158" i="8"/>
  <c r="AI158" i="8"/>
  <c r="AH158" i="8"/>
  <c r="AJ158" i="8"/>
  <c r="AL45" i="8"/>
  <c r="AJ45" i="8"/>
  <c r="AI45" i="8"/>
  <c r="AH45" i="8"/>
  <c r="AK45" i="8"/>
  <c r="AK149" i="8"/>
  <c r="AJ149" i="8"/>
  <c r="AL149" i="8"/>
  <c r="AI149" i="8"/>
  <c r="AH149" i="8"/>
  <c r="AH188" i="8"/>
  <c r="AL188" i="8"/>
  <c r="AK188" i="8"/>
  <c r="AJ188" i="8"/>
  <c r="AI188" i="8"/>
  <c r="AJ467" i="8"/>
  <c r="AL467" i="8"/>
  <c r="AK467" i="8"/>
  <c r="AH467" i="8"/>
  <c r="AI467" i="8"/>
  <c r="AJ493" i="8"/>
  <c r="AL493" i="8"/>
  <c r="AK493" i="8"/>
  <c r="AI493" i="8"/>
  <c r="AH493" i="8"/>
  <c r="AK548" i="8"/>
  <c r="AJ548" i="8"/>
  <c r="AH548" i="8"/>
  <c r="AL548" i="8"/>
  <c r="AI548" i="8"/>
  <c r="AK119" i="8"/>
  <c r="AJ119" i="8"/>
  <c r="AL119" i="8"/>
  <c r="AI119" i="8"/>
  <c r="AH119" i="8"/>
  <c r="AK18" i="8"/>
  <c r="AJ18" i="8"/>
  <c r="AI18" i="8"/>
  <c r="AH18" i="8"/>
  <c r="AL18" i="8"/>
  <c r="AL294" i="8"/>
  <c r="AJ294" i="8"/>
  <c r="AI294" i="8"/>
  <c r="AH294" i="8"/>
  <c r="AK294" i="8"/>
  <c r="AH171" i="8"/>
  <c r="AL171" i="8"/>
  <c r="AK171" i="8"/>
  <c r="AJ171" i="8"/>
  <c r="AI171" i="8"/>
  <c r="AL453" i="8"/>
  <c r="AJ453" i="8"/>
  <c r="AK453" i="8"/>
  <c r="AI453" i="8"/>
  <c r="AH453" i="8"/>
  <c r="AL224" i="8"/>
  <c r="AJ224" i="8"/>
  <c r="AI224" i="8"/>
  <c r="AH224" i="8"/>
  <c r="AK224" i="8"/>
  <c r="AK573" i="8"/>
  <c r="AJ573" i="8"/>
  <c r="AH573" i="8"/>
  <c r="AI573" i="8"/>
  <c r="AL573" i="8"/>
  <c r="AH431" i="8"/>
  <c r="AK431" i="8"/>
  <c r="AL431" i="8"/>
  <c r="AJ431" i="8"/>
  <c r="AI431" i="8"/>
  <c r="AK186" i="8"/>
  <c r="AJ186" i="8"/>
  <c r="AH186" i="8"/>
  <c r="AL186" i="8"/>
  <c r="AI186" i="8"/>
  <c r="AK526" i="8"/>
  <c r="AH526" i="8"/>
  <c r="AL526" i="8"/>
  <c r="AJ526" i="8"/>
  <c r="AI526" i="8"/>
  <c r="AL529" i="8"/>
  <c r="AK529" i="8"/>
  <c r="AI529" i="8"/>
  <c r="AH529" i="8"/>
  <c r="AJ529" i="8"/>
  <c r="AL122" i="8"/>
  <c r="AK122" i="8"/>
  <c r="AI122" i="8"/>
  <c r="AH122" i="8"/>
  <c r="AJ122" i="8"/>
  <c r="AK141" i="8"/>
  <c r="AJ141" i="8"/>
  <c r="AI141" i="8"/>
  <c r="AL141" i="8"/>
  <c r="AH141" i="8"/>
  <c r="AL194" i="8"/>
  <c r="AK194" i="8"/>
  <c r="AI194" i="8"/>
  <c r="AH194" i="8"/>
  <c r="AJ194" i="8"/>
  <c r="AL370" i="8"/>
  <c r="AK370" i="8"/>
  <c r="AJ370" i="8"/>
  <c r="AI370" i="8"/>
  <c r="AH370" i="8"/>
  <c r="AH52" i="8"/>
  <c r="AL52" i="8"/>
  <c r="AK52" i="8"/>
  <c r="AJ52" i="8"/>
  <c r="AI52" i="8"/>
  <c r="AL105" i="8"/>
  <c r="AJ105" i="8"/>
  <c r="AI105" i="8"/>
  <c r="AK105" i="8"/>
  <c r="AH105" i="8"/>
  <c r="AH398" i="8"/>
  <c r="AK398" i="8"/>
  <c r="AJ398" i="8"/>
  <c r="AI398" i="8"/>
  <c r="AL398" i="8"/>
  <c r="AH94" i="8"/>
  <c r="AL94" i="8"/>
  <c r="AK94" i="8"/>
  <c r="AJ94" i="8"/>
  <c r="AI94" i="8"/>
  <c r="AI490" i="8"/>
  <c r="AL490" i="8"/>
  <c r="AJ490" i="8"/>
  <c r="AK490" i="8"/>
  <c r="AH490" i="8"/>
  <c r="AH492" i="8"/>
  <c r="AL492" i="8"/>
  <c r="AJ492" i="8"/>
  <c r="AI492" i="8"/>
  <c r="AK492" i="8"/>
  <c r="AL335" i="8"/>
  <c r="AK335" i="8"/>
  <c r="AI335" i="8"/>
  <c r="AH335" i="8"/>
  <c r="AJ335" i="8"/>
  <c r="AL425" i="8"/>
  <c r="AK425" i="8"/>
  <c r="AI425" i="8"/>
  <c r="AJ425" i="8"/>
  <c r="AH425" i="8"/>
  <c r="AL22" i="8"/>
  <c r="AJ22" i="8"/>
  <c r="AI22" i="8"/>
  <c r="AH22" i="8"/>
  <c r="AK22" i="8"/>
  <c r="AK571" i="8"/>
  <c r="AJ571" i="8"/>
  <c r="AH571" i="8"/>
  <c r="AL571" i="8"/>
  <c r="AI571" i="8"/>
  <c r="AL187" i="8"/>
  <c r="AJ187" i="8"/>
  <c r="AI187" i="8"/>
  <c r="AH187" i="8"/>
  <c r="AK187" i="8"/>
  <c r="AH202" i="8"/>
  <c r="AL202" i="8"/>
  <c r="AK202" i="8"/>
  <c r="AJ202" i="8"/>
  <c r="AI202" i="8"/>
  <c r="AL57" i="8"/>
  <c r="AJ57" i="8"/>
  <c r="AI57" i="8"/>
  <c r="AH57" i="8"/>
  <c r="AK57" i="8"/>
  <c r="AJ261" i="8"/>
  <c r="AI261" i="8"/>
  <c r="AH261" i="8"/>
  <c r="AL261" i="8"/>
  <c r="AK261" i="8"/>
  <c r="AI120" i="8"/>
  <c r="AH120" i="8"/>
  <c r="AL120" i="8"/>
  <c r="AK120" i="8"/>
  <c r="AJ120" i="8"/>
  <c r="AH241" i="8"/>
  <c r="AL241" i="8"/>
  <c r="AK241" i="8"/>
  <c r="AI241" i="8"/>
  <c r="AJ241" i="8"/>
  <c r="AL90" i="8"/>
  <c r="AK90" i="8"/>
  <c r="AJ90" i="8"/>
  <c r="AI90" i="8"/>
  <c r="AH90" i="8"/>
  <c r="AL436" i="8"/>
  <c r="AJ436" i="8"/>
  <c r="AH436" i="8"/>
  <c r="AK436" i="8"/>
  <c r="AI436" i="8"/>
  <c r="AL483" i="8"/>
  <c r="AH483" i="8"/>
  <c r="AI483" i="8"/>
  <c r="AK483" i="8"/>
  <c r="AJ483" i="8"/>
  <c r="AL47" i="8"/>
  <c r="AK47" i="8"/>
  <c r="AJ47" i="8"/>
  <c r="AH47" i="8"/>
  <c r="AI47" i="8"/>
  <c r="AL214" i="8"/>
  <c r="AK214" i="8"/>
  <c r="AI214" i="8"/>
  <c r="AH214" i="8"/>
  <c r="AJ214" i="8"/>
  <c r="AL280" i="8"/>
  <c r="AK280" i="8"/>
  <c r="AI280" i="8"/>
  <c r="AH280" i="8"/>
  <c r="AJ280" i="8"/>
  <c r="AH238" i="8"/>
  <c r="AI238" i="8"/>
  <c r="AL238" i="8"/>
  <c r="AJ238" i="8"/>
  <c r="AK238" i="8"/>
  <c r="AJ353" i="8"/>
  <c r="AI353" i="8"/>
  <c r="AH353" i="8"/>
  <c r="AL353" i="8"/>
  <c r="AK353" i="8"/>
  <c r="AI368" i="8"/>
  <c r="AH368" i="8"/>
  <c r="AL368" i="8"/>
  <c r="AK368" i="8"/>
  <c r="AJ368" i="8"/>
  <c r="AI67" i="8"/>
  <c r="AL67" i="8"/>
  <c r="AK67" i="8"/>
  <c r="AJ67" i="8"/>
  <c r="AH67" i="8"/>
  <c r="AJ418" i="8"/>
  <c r="AI418" i="8"/>
  <c r="AL418" i="8"/>
  <c r="AK418" i="8"/>
  <c r="AH418" i="8"/>
  <c r="AL207" i="8"/>
  <c r="AK207" i="8"/>
  <c r="AI207" i="8"/>
  <c r="AH207" i="8"/>
  <c r="AJ207" i="8"/>
  <c r="AH291" i="8"/>
  <c r="AK291" i="8"/>
  <c r="AJ291" i="8"/>
  <c r="AI291" i="8"/>
  <c r="AL291" i="8"/>
  <c r="AJ299" i="8"/>
  <c r="AI299" i="8"/>
  <c r="AL299" i="8"/>
  <c r="AK299" i="8"/>
  <c r="AH299" i="8"/>
  <c r="AO407" i="8"/>
  <c r="AR407" i="8" s="1"/>
  <c r="AN407" i="8"/>
  <c r="AQ407" i="8" s="1"/>
  <c r="AM407" i="8"/>
  <c r="AP407" i="8" s="1"/>
  <c r="AM351" i="8"/>
  <c r="AP351" i="8" s="1"/>
  <c r="AO351" i="8"/>
  <c r="AR351" i="8" s="1"/>
  <c r="AN351" i="8"/>
  <c r="AQ351" i="8" s="1"/>
  <c r="AO234" i="8"/>
  <c r="AR234" i="8" s="1"/>
  <c r="AM234" i="8"/>
  <c r="AP234" i="8" s="1"/>
  <c r="AN234" i="8"/>
  <c r="AQ234" i="8" s="1"/>
  <c r="AI406" i="8"/>
  <c r="AH406" i="8"/>
  <c r="AL406" i="8"/>
  <c r="AK406" i="8"/>
  <c r="AJ406" i="8"/>
  <c r="AL81" i="8"/>
  <c r="AK81" i="8"/>
  <c r="AJ81" i="8"/>
  <c r="AI81" i="8"/>
  <c r="AH81" i="8"/>
  <c r="AK309" i="8"/>
  <c r="AJ309" i="8"/>
  <c r="AH309" i="8"/>
  <c r="AL309" i="8"/>
  <c r="AI309" i="8"/>
  <c r="AK404" i="8"/>
  <c r="AI404" i="8"/>
  <c r="AL404" i="8"/>
  <c r="AJ404" i="8"/>
  <c r="AH404" i="8"/>
  <c r="AJ74" i="8"/>
  <c r="AH74" i="8"/>
  <c r="AL74" i="8"/>
  <c r="AK74" i="8"/>
  <c r="AI74" i="8"/>
  <c r="AI78" i="8"/>
  <c r="AL78" i="8"/>
  <c r="AK78" i="8"/>
  <c r="AJ78" i="8"/>
  <c r="AH78" i="8"/>
  <c r="AL557" i="8"/>
  <c r="AJ557" i="8"/>
  <c r="AI557" i="8"/>
  <c r="AH557" i="8"/>
  <c r="AK557" i="8"/>
  <c r="AJ509" i="8"/>
  <c r="AI509" i="8"/>
  <c r="AL509" i="8"/>
  <c r="AH509" i="8"/>
  <c r="AK509" i="8"/>
  <c r="AH235" i="8"/>
  <c r="AL235" i="8"/>
  <c r="AK235" i="8"/>
  <c r="AJ235" i="8"/>
  <c r="AI235" i="8"/>
  <c r="AK366" i="8"/>
  <c r="AJ366" i="8"/>
  <c r="AI366" i="8"/>
  <c r="AH366" i="8"/>
  <c r="AL366" i="8"/>
  <c r="AO555" i="8"/>
  <c r="AR555" i="8" s="1"/>
  <c r="AN555" i="8"/>
  <c r="AQ555" i="8" s="1"/>
  <c r="AM555" i="8"/>
  <c r="AP555" i="8" s="1"/>
  <c r="AO132" i="8"/>
  <c r="AR132" i="8" s="1"/>
  <c r="AN132" i="8"/>
  <c r="AQ132" i="8" s="1"/>
  <c r="AM132" i="8"/>
  <c r="AP132" i="8" s="1"/>
  <c r="AL381" i="8"/>
  <c r="AK381" i="8"/>
  <c r="AJ381" i="8"/>
  <c r="AI381" i="8"/>
  <c r="AH381" i="8"/>
  <c r="AL58" i="8"/>
  <c r="AK58" i="8"/>
  <c r="AJ58" i="8"/>
  <c r="AI58" i="8"/>
  <c r="AH58" i="8"/>
  <c r="AL389" i="8"/>
  <c r="AI389" i="8"/>
  <c r="AK389" i="8"/>
  <c r="AJ389" i="8"/>
  <c r="AH389" i="8"/>
  <c r="AK80" i="8"/>
  <c r="AJ80" i="8"/>
  <c r="AI80" i="8"/>
  <c r="AH80" i="8"/>
  <c r="AL80" i="8"/>
  <c r="AK134" i="8"/>
  <c r="AJ134" i="8"/>
  <c r="AI134" i="8"/>
  <c r="AL134" i="8"/>
  <c r="AH134" i="8"/>
  <c r="AH73" i="8"/>
  <c r="AL73" i="8"/>
  <c r="AK73" i="8"/>
  <c r="AI73" i="8"/>
  <c r="AJ73" i="8"/>
  <c r="AI106" i="8"/>
  <c r="AH106" i="8"/>
  <c r="AL106" i="8"/>
  <c r="AK106" i="8"/>
  <c r="AJ106" i="8"/>
  <c r="AJ454" i="8"/>
  <c r="AI454" i="8"/>
  <c r="AL454" i="8"/>
  <c r="AK454" i="8"/>
  <c r="AH454" i="8"/>
  <c r="AL55" i="8"/>
  <c r="AK55" i="8"/>
  <c r="AJ55" i="8"/>
  <c r="AI55" i="8"/>
  <c r="AH55" i="8"/>
  <c r="AL179" i="8"/>
  <c r="AK179" i="8"/>
  <c r="AI179" i="8"/>
  <c r="AH179" i="8"/>
  <c r="AJ179" i="8"/>
  <c r="AJ432" i="8"/>
  <c r="AI432" i="8"/>
  <c r="AL432" i="8"/>
  <c r="AK432" i="8"/>
  <c r="AH432" i="8"/>
  <c r="AK326" i="8"/>
  <c r="AJ326" i="8"/>
  <c r="AI326" i="8"/>
  <c r="AH326" i="8"/>
  <c r="AL326" i="8"/>
  <c r="AL447" i="8"/>
  <c r="AK447" i="8"/>
  <c r="AI447" i="8"/>
  <c r="AJ447" i="8"/>
  <c r="AH447" i="8"/>
  <c r="AJ255" i="8"/>
  <c r="AH255" i="8"/>
  <c r="AL255" i="8"/>
  <c r="AK255" i="8"/>
  <c r="AI255" i="8"/>
  <c r="AH27" i="8"/>
  <c r="AL27" i="8"/>
  <c r="AK27" i="8"/>
  <c r="AJ27" i="8"/>
  <c r="AI27" i="8"/>
  <c r="AK524" i="8"/>
  <c r="AJ524" i="8"/>
  <c r="AH524" i="8"/>
  <c r="AL524" i="8"/>
  <c r="AI524" i="8"/>
  <c r="AJ427" i="8"/>
  <c r="AI427" i="8"/>
  <c r="AL427" i="8"/>
  <c r="AK427" i="8"/>
  <c r="AH427" i="8"/>
  <c r="AH264" i="8"/>
  <c r="AK264" i="8"/>
  <c r="AL264" i="8"/>
  <c r="AJ264" i="8"/>
  <c r="AI264" i="8"/>
  <c r="AJ169" i="8"/>
  <c r="AI169" i="8"/>
  <c r="AH169" i="8"/>
  <c r="AL169" i="8"/>
  <c r="AK169" i="8"/>
  <c r="AI260" i="8"/>
  <c r="AH260" i="8"/>
  <c r="AL260" i="8"/>
  <c r="AK260" i="8"/>
  <c r="AJ260" i="8"/>
  <c r="AL162" i="8"/>
  <c r="AK162" i="8"/>
  <c r="AI162" i="8"/>
  <c r="AH162" i="8"/>
  <c r="AJ162" i="8"/>
  <c r="AJ237" i="8"/>
  <c r="AL237" i="8"/>
  <c r="AI237" i="8"/>
  <c r="AH237" i="8"/>
  <c r="AK237" i="8"/>
  <c r="AI130" i="8"/>
  <c r="AH130" i="8"/>
  <c r="AL130" i="8"/>
  <c r="AK130" i="8"/>
  <c r="AJ130" i="8"/>
  <c r="AL181" i="8"/>
  <c r="AK181" i="8"/>
  <c r="AJ181" i="8"/>
  <c r="AI181" i="8"/>
  <c r="AH181" i="8"/>
  <c r="AK92" i="8"/>
  <c r="AJ92" i="8"/>
  <c r="AI92" i="8"/>
  <c r="AH92" i="8"/>
  <c r="AL92" i="8"/>
  <c r="AK307" i="8"/>
  <c r="AI307" i="8"/>
  <c r="AL307" i="8"/>
  <c r="AH307" i="8"/>
  <c r="AJ307" i="8"/>
  <c r="AI423" i="8"/>
  <c r="AH423" i="8"/>
  <c r="AL423" i="8"/>
  <c r="AK423" i="8"/>
  <c r="AJ423" i="8"/>
  <c r="AJ488" i="8"/>
  <c r="AL488" i="8"/>
  <c r="AK488" i="8"/>
  <c r="AI488" i="8"/>
  <c r="AH488" i="8"/>
  <c r="AL360" i="8"/>
  <c r="AK360" i="8"/>
  <c r="AJ360" i="8"/>
  <c r="AI360" i="8"/>
  <c r="AH360" i="8"/>
  <c r="AL184" i="8"/>
  <c r="AJ184" i="8"/>
  <c r="AI184" i="8"/>
  <c r="AH184" i="8"/>
  <c r="AK184" i="8"/>
  <c r="AH222" i="8"/>
  <c r="AL222" i="8"/>
  <c r="AK222" i="8"/>
  <c r="AI222" i="8"/>
  <c r="AJ222" i="8"/>
  <c r="AJ298" i="8"/>
  <c r="AI298" i="8"/>
  <c r="AK298" i="8"/>
  <c r="AH298" i="8"/>
  <c r="AL298" i="8"/>
  <c r="AK68" i="8"/>
  <c r="AI68" i="8"/>
  <c r="AH68" i="8"/>
  <c r="AL68" i="8"/>
  <c r="AJ68" i="8"/>
  <c r="AK480" i="8"/>
  <c r="AI480" i="8"/>
  <c r="AH480" i="8"/>
  <c r="AL480" i="8"/>
  <c r="AJ480" i="8"/>
  <c r="AL257" i="8"/>
  <c r="AK257" i="8"/>
  <c r="AI257" i="8"/>
  <c r="AH257" i="8"/>
  <c r="AJ257" i="8"/>
  <c r="AK420" i="8"/>
  <c r="AI420" i="8"/>
  <c r="AL420" i="8"/>
  <c r="AJ420" i="8"/>
  <c r="AH420" i="8"/>
  <c r="AI445" i="8"/>
  <c r="AH445" i="8"/>
  <c r="AL445" i="8"/>
  <c r="AK445" i="8"/>
  <c r="AJ445" i="8"/>
  <c r="AK146" i="8"/>
  <c r="AJ146" i="8"/>
  <c r="AL146" i="8"/>
  <c r="AI146" i="8"/>
  <c r="AH146" i="8"/>
  <c r="AL568" i="8"/>
  <c r="AJ568" i="8"/>
  <c r="AI568" i="8"/>
  <c r="AH568" i="8"/>
  <c r="AK568" i="8"/>
  <c r="AJ28" i="8"/>
  <c r="AH28" i="8"/>
  <c r="AI28" i="8"/>
  <c r="AK28" i="8"/>
  <c r="AL28" i="8"/>
  <c r="AH499" i="8"/>
  <c r="AL499" i="8"/>
  <c r="AJ499" i="8"/>
  <c r="AI499" i="8"/>
  <c r="AK499" i="8"/>
  <c r="AH457" i="8"/>
  <c r="AK457" i="8"/>
  <c r="AL457" i="8"/>
  <c r="AJ457" i="8"/>
  <c r="AI457" i="8"/>
  <c r="AJ560" i="8"/>
  <c r="AI560" i="8"/>
  <c r="AL560" i="8"/>
  <c r="AK560" i="8"/>
  <c r="AH560" i="8"/>
  <c r="AJ455" i="8"/>
  <c r="AI455" i="8"/>
  <c r="AL455" i="8"/>
  <c r="AK455" i="8"/>
  <c r="AH455" i="8"/>
  <c r="AM486" i="8"/>
  <c r="AP486" i="8" s="1"/>
  <c r="AN486" i="8"/>
  <c r="AQ486" i="8" s="1"/>
  <c r="AK491" i="8"/>
  <c r="AI491" i="8"/>
  <c r="AH491" i="8"/>
  <c r="AL491" i="8"/>
  <c r="AJ491" i="8"/>
  <c r="AK31" i="8"/>
  <c r="AI31" i="8"/>
  <c r="AH31" i="8"/>
  <c r="AL31" i="8"/>
  <c r="AJ31" i="8"/>
  <c r="AK208" i="8"/>
  <c r="AJ208" i="8"/>
  <c r="AI208" i="8"/>
  <c r="AL208" i="8"/>
  <c r="AH208" i="8"/>
  <c r="AJ71" i="8"/>
  <c r="AH71" i="8"/>
  <c r="AL71" i="8"/>
  <c r="AK71" i="8"/>
  <c r="AI71" i="8"/>
  <c r="AK269" i="8"/>
  <c r="AJ269" i="8"/>
  <c r="AL269" i="8"/>
  <c r="AI269" i="8"/>
  <c r="AH269" i="8"/>
  <c r="AJ150" i="8"/>
  <c r="AI150" i="8"/>
  <c r="AH150" i="8"/>
  <c r="AL150" i="8"/>
  <c r="AK150" i="8"/>
  <c r="AK489" i="8"/>
  <c r="AL489" i="8"/>
  <c r="AI489" i="8"/>
  <c r="AH489" i="8"/>
  <c r="AJ489" i="8"/>
  <c r="AL145" i="8"/>
  <c r="AK145" i="8"/>
  <c r="AJ145" i="8"/>
  <c r="AH145" i="8"/>
  <c r="AI145" i="8"/>
  <c r="AH20" i="8"/>
  <c r="AL20" i="8"/>
  <c r="AK20" i="8"/>
  <c r="AJ20" i="8"/>
  <c r="AI20" i="8"/>
  <c r="AH199" i="8"/>
  <c r="AL199" i="8"/>
  <c r="AK199" i="8"/>
  <c r="AJ199" i="8"/>
  <c r="AI199" i="8"/>
  <c r="AK98" i="8"/>
  <c r="AJ98" i="8"/>
  <c r="AL98" i="8"/>
  <c r="AI98" i="8"/>
  <c r="AH98" i="8"/>
  <c r="AJ15" i="8"/>
  <c r="AH15" i="8"/>
  <c r="AL15" i="8"/>
  <c r="AI15" i="8"/>
  <c r="AK15" i="8"/>
  <c r="AL429" i="8"/>
  <c r="AJ429" i="8"/>
  <c r="AH429" i="8"/>
  <c r="AI429" i="8"/>
  <c r="AK429" i="8"/>
  <c r="AH566" i="8"/>
  <c r="AL566" i="8"/>
  <c r="AJ566" i="8"/>
  <c r="AI566" i="8"/>
  <c r="AK566" i="8"/>
  <c r="AI102" i="8"/>
  <c r="AH102" i="8"/>
  <c r="AL102" i="8"/>
  <c r="AK102" i="8"/>
  <c r="AJ102" i="8"/>
  <c r="AH437" i="8"/>
  <c r="AK437" i="8"/>
  <c r="AL437" i="8"/>
  <c r="AJ437" i="8"/>
  <c r="AI437" i="8"/>
  <c r="AK14" i="8"/>
  <c r="AJ14" i="8"/>
  <c r="AI14" i="8"/>
  <c r="AH14" i="8"/>
  <c r="AL14" i="8"/>
  <c r="AH378" i="8"/>
  <c r="AL378" i="8"/>
  <c r="AK378" i="8"/>
  <c r="AJ378" i="8"/>
  <c r="AI378" i="8"/>
  <c r="AK494" i="8"/>
  <c r="AL494" i="8"/>
  <c r="AI494" i="8"/>
  <c r="AH494" i="8"/>
  <c r="AJ494" i="8"/>
  <c r="AJ391" i="8"/>
  <c r="AL391" i="8"/>
  <c r="AK391" i="8"/>
  <c r="AI391" i="8"/>
  <c r="AH391" i="8"/>
  <c r="AL12" i="8"/>
  <c r="AK12" i="8"/>
  <c r="AJ12" i="8"/>
  <c r="AI12" i="8"/>
  <c r="AH12" i="8"/>
  <c r="AL217" i="8"/>
  <c r="AK217" i="8"/>
  <c r="AI217" i="8"/>
  <c r="AH217" i="8"/>
  <c r="AJ217" i="8"/>
  <c r="AK498" i="8"/>
  <c r="AJ498" i="8"/>
  <c r="AH498" i="8"/>
  <c r="AL498" i="8"/>
  <c r="AI498" i="8"/>
  <c r="AL142" i="8"/>
  <c r="AJ142" i="8"/>
  <c r="AI142" i="8"/>
  <c r="AK142" i="8"/>
  <c r="AH142" i="8"/>
  <c r="AJ124" i="8"/>
  <c r="AI124" i="8"/>
  <c r="AH124" i="8"/>
  <c r="AL124" i="8"/>
  <c r="AK124" i="8"/>
  <c r="AJ482" i="8"/>
  <c r="AL482" i="8"/>
  <c r="AK482" i="8"/>
  <c r="AH482" i="8"/>
  <c r="AI482" i="8"/>
  <c r="AH430" i="8"/>
  <c r="AK430" i="8"/>
  <c r="AL430" i="8"/>
  <c r="AJ430" i="8"/>
  <c r="AI430" i="8"/>
  <c r="AL387" i="8"/>
  <c r="AK387" i="8"/>
  <c r="AJ387" i="8"/>
  <c r="AI387" i="8"/>
  <c r="AH387" i="8"/>
  <c r="AK109" i="8"/>
  <c r="AJ109" i="8"/>
  <c r="AL109" i="8"/>
  <c r="AI109" i="8"/>
  <c r="AH109" i="8"/>
  <c r="AL354" i="8"/>
  <c r="AK354" i="8"/>
  <c r="AJ354" i="8"/>
  <c r="AI354" i="8"/>
  <c r="AH354" i="8"/>
  <c r="AK329" i="8"/>
  <c r="AJ329" i="8"/>
  <c r="AI329" i="8"/>
  <c r="AH329" i="8"/>
  <c r="AL329" i="8"/>
  <c r="AL97" i="8"/>
  <c r="AK97" i="8"/>
  <c r="AJ97" i="8"/>
  <c r="AI97" i="8"/>
  <c r="AH97" i="8"/>
  <c r="AK247" i="8"/>
  <c r="AJ247" i="8"/>
  <c r="AL247" i="8"/>
  <c r="AH247" i="8"/>
  <c r="AI247" i="8"/>
  <c r="AH123" i="8"/>
  <c r="AL123" i="8"/>
  <c r="AK123" i="8"/>
  <c r="AJ123" i="8"/>
  <c r="AI123" i="8"/>
  <c r="AL440" i="8"/>
  <c r="AJ440" i="8"/>
  <c r="AH440" i="8"/>
  <c r="AK440" i="8"/>
  <c r="AI440" i="8"/>
  <c r="AK439" i="8"/>
  <c r="AJ439" i="8"/>
  <c r="AH439" i="8"/>
  <c r="AL439" i="8"/>
  <c r="AI439" i="8"/>
  <c r="AL318" i="8"/>
  <c r="AJ318" i="8"/>
  <c r="AK318" i="8"/>
  <c r="AI318" i="8"/>
  <c r="AH318" i="8"/>
  <c r="AJ21" i="8"/>
  <c r="AH21" i="8"/>
  <c r="AI21" i="8"/>
  <c r="AK21" i="8"/>
  <c r="AL21" i="8"/>
  <c r="AK93" i="8"/>
  <c r="AJ93" i="8"/>
  <c r="AI93" i="8"/>
  <c r="AH93" i="8"/>
  <c r="AL93" i="8"/>
  <c r="AK554" i="8"/>
  <c r="AJ554" i="8"/>
  <c r="AH554" i="8"/>
  <c r="AI554" i="8"/>
  <c r="AL554" i="8"/>
  <c r="AJ243" i="8"/>
  <c r="AI243" i="8"/>
  <c r="AL243" i="8"/>
  <c r="AH243" i="8"/>
  <c r="AK243" i="8"/>
  <c r="AL375" i="8"/>
  <c r="AK375" i="8"/>
  <c r="AJ375" i="8"/>
  <c r="AI375" i="8"/>
  <c r="AH375" i="8"/>
  <c r="AL125" i="8"/>
  <c r="AK125" i="8"/>
  <c r="AI125" i="8"/>
  <c r="AH125" i="8"/>
  <c r="AJ125" i="8"/>
  <c r="AJ433" i="8"/>
  <c r="AI433" i="8"/>
  <c r="AL433" i="8"/>
  <c r="AK433" i="8"/>
  <c r="AH433" i="8"/>
  <c r="AK180" i="8"/>
  <c r="AJ180" i="8"/>
  <c r="AI180" i="8"/>
  <c r="AL180" i="8"/>
  <c r="AH180" i="8"/>
  <c r="AH352" i="8"/>
  <c r="AL352" i="8"/>
  <c r="AK352" i="8"/>
  <c r="AJ352" i="8"/>
  <c r="AI352" i="8"/>
  <c r="AL204" i="8"/>
  <c r="AJ204" i="8"/>
  <c r="AI204" i="8"/>
  <c r="AH204" i="8"/>
  <c r="AK204" i="8"/>
  <c r="AJ292" i="8"/>
  <c r="AI292" i="8"/>
  <c r="AK292" i="8"/>
  <c r="AH292" i="8"/>
  <c r="AL292" i="8"/>
  <c r="AK517" i="8"/>
  <c r="AJ517" i="8"/>
  <c r="AH517" i="8"/>
  <c r="AI517" i="8"/>
  <c r="AL517" i="8"/>
  <c r="AK424" i="8"/>
  <c r="AJ424" i="8"/>
  <c r="AH424" i="8"/>
  <c r="AL424" i="8"/>
  <c r="AI424" i="8"/>
  <c r="AL417" i="8"/>
  <c r="AJ417" i="8"/>
  <c r="AK417" i="8"/>
  <c r="AI417" i="8"/>
  <c r="AH417" i="8"/>
  <c r="AJ519" i="8"/>
  <c r="AL519" i="8"/>
  <c r="AK519" i="8"/>
  <c r="AH519" i="8"/>
  <c r="AI519" i="8"/>
  <c r="AL456" i="8"/>
  <c r="AJ456" i="8"/>
  <c r="AH456" i="8"/>
  <c r="AI456" i="8"/>
  <c r="AK456" i="8"/>
  <c r="AH570" i="8"/>
  <c r="AL570" i="8"/>
  <c r="AJ570" i="8"/>
  <c r="AI570" i="8"/>
  <c r="AK570" i="8"/>
  <c r="AL273" i="8"/>
  <c r="AH273" i="8"/>
  <c r="AI273" i="8"/>
  <c r="AK273" i="8"/>
  <c r="AJ273" i="8"/>
  <c r="AK35" i="8"/>
  <c r="AI35" i="8"/>
  <c r="AH35" i="8"/>
  <c r="AL35" i="8"/>
  <c r="AJ35" i="8"/>
  <c r="AK395" i="8"/>
  <c r="AH395" i="8"/>
  <c r="AL395" i="8"/>
  <c r="AJ395" i="8"/>
  <c r="AI395" i="8"/>
  <c r="AJ56" i="8"/>
  <c r="AH56" i="8"/>
  <c r="AL56" i="8"/>
  <c r="AK56" i="8"/>
  <c r="AI56" i="8"/>
  <c r="AJ479" i="8"/>
  <c r="AH479" i="8"/>
  <c r="AL479" i="8"/>
  <c r="AI479" i="8"/>
  <c r="AK479" i="8"/>
  <c r="AK505" i="8"/>
  <c r="AJ505" i="8"/>
  <c r="AH505" i="8"/>
  <c r="AI505" i="8"/>
  <c r="AL505" i="8"/>
  <c r="AL550" i="8"/>
  <c r="AJ550" i="8"/>
  <c r="AI550" i="8"/>
  <c r="AK550" i="8"/>
  <c r="AH550" i="8"/>
  <c r="AL434" i="8"/>
  <c r="AK434" i="8"/>
  <c r="AI434" i="8"/>
  <c r="AH434" i="8"/>
  <c r="AJ434" i="8"/>
  <c r="AN510" i="8"/>
  <c r="AQ510" i="8" s="1"/>
  <c r="AM510" i="8"/>
  <c r="AP510" i="8" s="1"/>
  <c r="AL348" i="8"/>
  <c r="AK348" i="8"/>
  <c r="AJ348" i="8"/>
  <c r="AI348" i="8"/>
  <c r="AH348" i="8"/>
  <c r="AH315" i="8"/>
  <c r="AK315" i="8"/>
  <c r="AL315" i="8"/>
  <c r="AJ315" i="8"/>
  <c r="AI315" i="8"/>
  <c r="AL293" i="8"/>
  <c r="AJ293" i="8"/>
  <c r="AH293" i="8"/>
  <c r="AK293" i="8"/>
  <c r="AI293" i="8"/>
  <c r="AH271" i="8"/>
  <c r="AK271" i="8"/>
  <c r="AL271" i="8"/>
  <c r="AJ271" i="8"/>
  <c r="AI271" i="8"/>
  <c r="AL341" i="8"/>
  <c r="AK341" i="8"/>
  <c r="AJ341" i="8"/>
  <c r="AI341" i="8"/>
  <c r="AH341" i="8"/>
  <c r="AI175" i="8"/>
  <c r="AH175" i="8"/>
  <c r="AL175" i="8"/>
  <c r="AJ175" i="8"/>
  <c r="AK175" i="8"/>
  <c r="AJ520" i="8"/>
  <c r="AI520" i="8"/>
  <c r="AL520" i="8"/>
  <c r="AH520" i="8"/>
  <c r="AK520" i="8"/>
  <c r="AK195" i="8"/>
  <c r="AJ195" i="8"/>
  <c r="AI195" i="8"/>
  <c r="AL195" i="8"/>
  <c r="AH195" i="8"/>
  <c r="AK165" i="8"/>
  <c r="AJ165" i="8"/>
  <c r="AI165" i="8"/>
  <c r="AL165" i="8"/>
  <c r="AH165" i="8"/>
  <c r="AK373" i="8"/>
  <c r="AJ373" i="8"/>
  <c r="AI373" i="8"/>
  <c r="AH373" i="8"/>
  <c r="AL373" i="8"/>
  <c r="AI206" i="8"/>
  <c r="AH206" i="8"/>
  <c r="AL206" i="8"/>
  <c r="AK206" i="8"/>
  <c r="AJ206" i="8"/>
  <c r="AI357" i="8"/>
  <c r="AH357" i="8"/>
  <c r="AL357" i="8"/>
  <c r="AK357" i="8"/>
  <c r="AJ357" i="8"/>
  <c r="AJ394" i="8"/>
  <c r="AK394" i="8"/>
  <c r="AI394" i="8"/>
  <c r="AH394" i="8"/>
  <c r="AL394" i="8"/>
  <c r="AL218" i="8"/>
  <c r="AK218" i="8"/>
  <c r="AJ218" i="8"/>
  <c r="AI218" i="8"/>
  <c r="AH218" i="8"/>
  <c r="AL347" i="8"/>
  <c r="AK347" i="8"/>
  <c r="AJ347" i="8"/>
  <c r="AI347" i="8"/>
  <c r="AH347" i="8"/>
  <c r="AJ316" i="8"/>
  <c r="AI316" i="8"/>
  <c r="AL316" i="8"/>
  <c r="AH316" i="8"/>
  <c r="AK316" i="8"/>
  <c r="AJ516" i="8"/>
  <c r="AI516" i="8"/>
  <c r="AK516" i="8"/>
  <c r="AL516" i="8"/>
  <c r="AH516" i="8"/>
  <c r="AL527" i="8"/>
  <c r="AJ527" i="8"/>
  <c r="AI527" i="8"/>
  <c r="AK527" i="8"/>
  <c r="AH527" i="8"/>
  <c r="AL267" i="8"/>
  <c r="AK267" i="8"/>
  <c r="AI267" i="8"/>
  <c r="AH267" i="8"/>
  <c r="AJ267" i="8"/>
  <c r="AK79" i="8"/>
  <c r="AI79" i="8"/>
  <c r="AH79" i="8"/>
  <c r="AL79" i="8"/>
  <c r="AJ79" i="8"/>
  <c r="AL502" i="8"/>
  <c r="AI502" i="8"/>
  <c r="AH502" i="8"/>
  <c r="AJ502" i="8"/>
  <c r="AK502" i="8"/>
  <c r="AH140" i="8"/>
  <c r="AL140" i="8"/>
  <c r="AK140" i="8"/>
  <c r="AJ140" i="8"/>
  <c r="AI140" i="8"/>
  <c r="AK344" i="8"/>
  <c r="AJ344" i="8"/>
  <c r="AI344" i="8"/>
  <c r="AH344" i="8"/>
  <c r="AL344" i="8"/>
  <c r="AL532" i="8"/>
  <c r="AK532" i="8"/>
  <c r="AI532" i="8"/>
  <c r="AH532" i="8"/>
  <c r="AJ532" i="8"/>
  <c r="AJ281" i="8"/>
  <c r="AI281" i="8"/>
  <c r="AH281" i="8"/>
  <c r="AL281" i="8"/>
  <c r="AK281" i="8"/>
  <c r="AJ282" i="8"/>
  <c r="AI282" i="8"/>
  <c r="AL282" i="8"/>
  <c r="AK282" i="8"/>
  <c r="AH282" i="8"/>
  <c r="AL62" i="8"/>
  <c r="AK62" i="8"/>
  <c r="AJ62" i="8"/>
  <c r="AH62" i="8"/>
  <c r="AI62" i="8"/>
  <c r="AJ377" i="8"/>
  <c r="AI377" i="8"/>
  <c r="AH377" i="8"/>
  <c r="AL377" i="8"/>
  <c r="AK377" i="8"/>
  <c r="AJ38" i="8"/>
  <c r="AH38" i="8"/>
  <c r="AL38" i="8"/>
  <c r="AK38" i="8"/>
  <c r="AI38" i="8"/>
  <c r="AL245" i="8"/>
  <c r="AH245" i="8"/>
  <c r="AJ245" i="8"/>
  <c r="AI245" i="8"/>
  <c r="AK245" i="8"/>
  <c r="AL428" i="8"/>
  <c r="AK428" i="8"/>
  <c r="AI428" i="8"/>
  <c r="AJ428" i="8"/>
  <c r="AH428" i="8"/>
  <c r="AI196" i="8"/>
  <c r="AH196" i="8"/>
  <c r="AL196" i="8"/>
  <c r="AJ196" i="8"/>
  <c r="AK196" i="8"/>
  <c r="AK369" i="8"/>
  <c r="AJ369" i="8"/>
  <c r="AI369" i="8"/>
  <c r="AH369" i="8"/>
  <c r="AL369" i="8"/>
  <c r="AL151" i="8"/>
  <c r="AK151" i="8"/>
  <c r="AJ151" i="8"/>
  <c r="AH151" i="8"/>
  <c r="AI151" i="8"/>
  <c r="AI275" i="8"/>
  <c r="AH275" i="8"/>
  <c r="AL275" i="8"/>
  <c r="AJ275" i="8"/>
  <c r="AK275" i="8"/>
  <c r="AL334" i="8"/>
  <c r="AK334" i="8"/>
  <c r="AJ334" i="8"/>
  <c r="AI334" i="8"/>
  <c r="AH334" i="8"/>
  <c r="AJ147" i="8"/>
  <c r="AI147" i="8"/>
  <c r="AH147" i="8"/>
  <c r="AL147" i="8"/>
  <c r="AK147" i="8"/>
  <c r="AH308" i="8"/>
  <c r="AK308" i="8"/>
  <c r="AJ308" i="8"/>
  <c r="AI308" i="8"/>
  <c r="AL308" i="8"/>
  <c r="AI325" i="8"/>
  <c r="AH325" i="8"/>
  <c r="AL325" i="8"/>
  <c r="AJ325" i="8"/>
  <c r="AK325" i="8"/>
  <c r="AH163" i="8"/>
  <c r="AL163" i="8"/>
  <c r="AK163" i="8"/>
  <c r="AJ163" i="8"/>
  <c r="AI163" i="8"/>
  <c r="AL77" i="8"/>
  <c r="AK77" i="8"/>
  <c r="AJ77" i="8"/>
  <c r="AI77" i="8"/>
  <c r="AH77" i="8"/>
  <c r="AK465" i="8"/>
  <c r="AI465" i="8"/>
  <c r="AH465" i="8"/>
  <c r="AL465" i="8"/>
  <c r="AJ465" i="8"/>
  <c r="AH242" i="8"/>
  <c r="AK242" i="8"/>
  <c r="AL242" i="8"/>
  <c r="AJ242" i="8"/>
  <c r="AI242" i="8"/>
  <c r="AJ379" i="8"/>
  <c r="AI379" i="8"/>
  <c r="AH379" i="8"/>
  <c r="AL379" i="8"/>
  <c r="AK379" i="8"/>
  <c r="AK205" i="8"/>
  <c r="AJ205" i="8"/>
  <c r="AI205" i="8"/>
  <c r="AL205" i="8"/>
  <c r="AH205" i="8"/>
  <c r="AJ400" i="8"/>
  <c r="AH400" i="8"/>
  <c r="AL400" i="8"/>
  <c r="AK400" i="8"/>
  <c r="AI400" i="8"/>
  <c r="AH185" i="8"/>
  <c r="AL185" i="8"/>
  <c r="AK185" i="8"/>
  <c r="AI185" i="8"/>
  <c r="AJ185" i="8"/>
  <c r="AH466" i="8"/>
  <c r="AL466" i="8"/>
  <c r="AJ466" i="8"/>
  <c r="AI466" i="8"/>
  <c r="AK466" i="8"/>
  <c r="AJ330" i="8"/>
  <c r="AL330" i="8"/>
  <c r="AK330" i="8"/>
  <c r="AH330" i="8"/>
  <c r="AI330" i="8"/>
  <c r="AJ472" i="8"/>
  <c r="AH472" i="8"/>
  <c r="AL472" i="8"/>
  <c r="AI472" i="8"/>
  <c r="AK472" i="8"/>
  <c r="AK266" i="8"/>
  <c r="AJ266" i="8"/>
  <c r="AL266" i="8"/>
  <c r="AI266" i="8"/>
  <c r="AH266" i="8"/>
  <c r="AK290" i="8"/>
  <c r="AI290" i="8"/>
  <c r="AL290" i="8"/>
  <c r="AJ290" i="8"/>
  <c r="AH290" i="8"/>
  <c r="AK475" i="8"/>
  <c r="AI475" i="8"/>
  <c r="AH475" i="8"/>
  <c r="AL475" i="8"/>
  <c r="AJ475" i="8"/>
  <c r="AL183" i="8"/>
  <c r="AJ183" i="8"/>
  <c r="AI183" i="8"/>
  <c r="AH183" i="8"/>
  <c r="AK183" i="8"/>
  <c r="AL167" i="8"/>
  <c r="AJ167" i="8"/>
  <c r="AI167" i="8"/>
  <c r="AK167" i="8"/>
  <c r="AH167" i="8"/>
  <c r="AK16" i="8"/>
  <c r="AJ16" i="8"/>
  <c r="AI16" i="8"/>
  <c r="AH16" i="8"/>
  <c r="AL16" i="8"/>
  <c r="AK226" i="8"/>
  <c r="AJ226" i="8"/>
  <c r="AH226" i="8"/>
  <c r="AI226" i="8"/>
  <c r="AL226" i="8"/>
  <c r="AK53" i="8"/>
  <c r="AI53" i="8"/>
  <c r="AH53" i="8"/>
  <c r="AL53" i="8"/>
  <c r="AJ53" i="8"/>
  <c r="AK523" i="8"/>
  <c r="AH523" i="8"/>
  <c r="AL523" i="8"/>
  <c r="AJ523" i="8"/>
  <c r="AI523" i="8"/>
  <c r="AJ17" i="8"/>
  <c r="AH17" i="8"/>
  <c r="AI17" i="8"/>
  <c r="AL17" i="8"/>
  <c r="AK17" i="8"/>
  <c r="AH574" i="8"/>
  <c r="AL574" i="8"/>
  <c r="AJ574" i="8"/>
  <c r="AI574" i="8"/>
  <c r="AK574" i="8"/>
  <c r="AJ533" i="8"/>
  <c r="AI533" i="8"/>
  <c r="AL533" i="8"/>
  <c r="AK533" i="8"/>
  <c r="AH533" i="8"/>
  <c r="AJ322" i="8"/>
  <c r="AI322" i="8"/>
  <c r="AL322" i="8"/>
  <c r="AH322" i="8"/>
  <c r="AK322" i="8"/>
  <c r="AH401" i="8"/>
  <c r="AK401" i="8"/>
  <c r="AL401" i="8"/>
  <c r="AJ401" i="8"/>
  <c r="AI401" i="8"/>
  <c r="AL313" i="8"/>
  <c r="AJ313" i="8"/>
  <c r="AH313" i="8"/>
  <c r="AK313" i="8"/>
  <c r="AI313" i="8"/>
  <c r="AL356" i="8"/>
  <c r="AK356" i="8"/>
  <c r="AJ356" i="8"/>
  <c r="AI356" i="8"/>
  <c r="AH356" i="8"/>
  <c r="AL515" i="8"/>
  <c r="AI515" i="8"/>
  <c r="AH515" i="8"/>
  <c r="AK515" i="8"/>
  <c r="AJ515" i="8"/>
  <c r="AL39" i="8"/>
  <c r="AJ39" i="8"/>
  <c r="AI39" i="8"/>
  <c r="AH39" i="8"/>
  <c r="AK39" i="8"/>
  <c r="AL301" i="8"/>
  <c r="AJ301" i="8"/>
  <c r="AH301" i="8"/>
  <c r="AK301" i="8"/>
  <c r="AI301" i="8"/>
  <c r="AL96" i="8"/>
  <c r="AK96" i="8"/>
  <c r="AJ96" i="8"/>
  <c r="AI96" i="8"/>
  <c r="AH96" i="8"/>
  <c r="AL33" i="8"/>
  <c r="AK33" i="8"/>
  <c r="AJ33" i="8"/>
  <c r="AI33" i="8"/>
  <c r="AH33" i="8"/>
  <c r="AK159" i="8"/>
  <c r="AJ159" i="8"/>
  <c r="AL159" i="8"/>
  <c r="AI159" i="8"/>
  <c r="AH159" i="8"/>
  <c r="AK521" i="8"/>
  <c r="AJ521" i="8"/>
  <c r="AH521" i="8"/>
  <c r="AL521" i="8"/>
  <c r="AI521" i="8"/>
  <c r="AJ193" i="8"/>
  <c r="AI193" i="8"/>
  <c r="AL193" i="8"/>
  <c r="AK193" i="8"/>
  <c r="AH193" i="8"/>
  <c r="AL300" i="8"/>
  <c r="AK300" i="8"/>
  <c r="AI300" i="8"/>
  <c r="AJ300" i="8"/>
  <c r="AH300" i="8"/>
  <c r="AK284" i="8"/>
  <c r="AI284" i="8"/>
  <c r="AL284" i="8"/>
  <c r="AH284" i="8"/>
  <c r="AJ284" i="8"/>
  <c r="AI339" i="8"/>
  <c r="AH339" i="8"/>
  <c r="AL339" i="8"/>
  <c r="AK339" i="8"/>
  <c r="AJ339" i="8"/>
  <c r="AL345" i="8"/>
  <c r="AK345" i="8"/>
  <c r="AJ345" i="8"/>
  <c r="AI345" i="8"/>
  <c r="AH345" i="8"/>
  <c r="AI540" i="8"/>
  <c r="AH540" i="8"/>
  <c r="AK540" i="8"/>
  <c r="AJ540" i="8"/>
  <c r="AL540" i="8"/>
  <c r="AK172" i="8"/>
  <c r="AJ172" i="8"/>
  <c r="AI172" i="8"/>
  <c r="AL172" i="8"/>
  <c r="AH172" i="8"/>
  <c r="AL563" i="8"/>
  <c r="AK563" i="8"/>
  <c r="AI563" i="8"/>
  <c r="AH563" i="8"/>
  <c r="AJ563" i="8"/>
  <c r="AI442" i="8"/>
  <c r="AH442" i="8"/>
  <c r="AL442" i="8"/>
  <c r="AK442" i="8"/>
  <c r="AJ442" i="8"/>
  <c r="AI449" i="8"/>
  <c r="AH449" i="8"/>
  <c r="AL449" i="8"/>
  <c r="AJ449" i="8"/>
  <c r="AK449" i="8"/>
  <c r="AK575" i="8"/>
  <c r="AJ575" i="8"/>
  <c r="AH575" i="8"/>
  <c r="AL575" i="8"/>
  <c r="AI575" i="8"/>
  <c r="AL83" i="8"/>
  <c r="AJ83" i="8"/>
  <c r="AI83" i="8"/>
  <c r="AH83" i="8"/>
  <c r="AK83" i="8"/>
  <c r="AH137" i="8"/>
  <c r="AL137" i="8"/>
  <c r="AK137" i="8"/>
  <c r="AJ137" i="8"/>
  <c r="AI137" i="8"/>
  <c r="AI216" i="8"/>
  <c r="AH216" i="8"/>
  <c r="AL216" i="8"/>
  <c r="AJ216" i="8"/>
  <c r="AK216" i="8"/>
  <c r="AL338" i="8"/>
  <c r="AK338" i="8"/>
  <c r="AJ338" i="8"/>
  <c r="AI338" i="8"/>
  <c r="AH338" i="8"/>
  <c r="AJ110" i="8"/>
  <c r="AI110" i="8"/>
  <c r="AH110" i="8"/>
  <c r="AL110" i="8"/>
  <c r="AK110" i="8"/>
  <c r="AL419" i="8"/>
  <c r="AJ419" i="8"/>
  <c r="AH419" i="8"/>
  <c r="AI419" i="8"/>
  <c r="AK419" i="8"/>
  <c r="AH481" i="8"/>
  <c r="AL481" i="8"/>
  <c r="AJ481" i="8"/>
  <c r="AI481" i="8"/>
  <c r="AK481" i="8"/>
  <c r="AJ182" i="8"/>
  <c r="AI182" i="8"/>
  <c r="AL182" i="8"/>
  <c r="AK182" i="8"/>
  <c r="AH182" i="8"/>
  <c r="AL409" i="8"/>
  <c r="AJ409" i="8"/>
  <c r="AH409" i="8"/>
  <c r="AK409" i="8"/>
  <c r="AI409" i="8"/>
  <c r="AH311" i="8"/>
  <c r="AK311" i="8"/>
  <c r="AJ311" i="8"/>
  <c r="AI311" i="8"/>
  <c r="AL311" i="8"/>
  <c r="AI514" i="8"/>
  <c r="AK514" i="8"/>
  <c r="AJ514" i="8"/>
  <c r="AL514" i="8"/>
  <c r="AH514" i="8"/>
  <c r="AK462" i="8"/>
  <c r="AL462" i="8"/>
  <c r="AI462" i="8"/>
  <c r="AH462" i="8"/>
  <c r="AJ462" i="8"/>
  <c r="AJ477" i="8"/>
  <c r="AL477" i="8"/>
  <c r="AK477" i="8"/>
  <c r="AH477" i="8"/>
  <c r="AI477" i="8"/>
  <c r="AJ474" i="8"/>
  <c r="AH474" i="8"/>
  <c r="AL474" i="8"/>
  <c r="AI474" i="8"/>
  <c r="AK474" i="8"/>
  <c r="AL191" i="8"/>
  <c r="AK191" i="8"/>
  <c r="AJ191" i="8"/>
  <c r="AH191" i="8"/>
  <c r="AI191" i="8"/>
  <c r="AK552" i="8"/>
  <c r="AJ552" i="8"/>
  <c r="AH552" i="8"/>
  <c r="AL552" i="8"/>
  <c r="AI552" i="8"/>
  <c r="AJ396" i="8"/>
  <c r="AH396" i="8"/>
  <c r="AK396" i="8"/>
  <c r="AI396" i="8"/>
  <c r="AL396" i="8"/>
  <c r="AI461" i="8"/>
  <c r="AH461" i="8"/>
  <c r="AL461" i="8"/>
  <c r="AK461" i="8"/>
  <c r="AJ461" i="8"/>
  <c r="AL303" i="8"/>
  <c r="AK303" i="8"/>
  <c r="AI303" i="8"/>
  <c r="AJ303" i="8"/>
  <c r="AH303" i="8"/>
  <c r="AK438" i="8"/>
  <c r="AJ438" i="8"/>
  <c r="AH438" i="8"/>
  <c r="AL438" i="8"/>
  <c r="AI438" i="8"/>
  <c r="AJ333" i="8"/>
  <c r="AI333" i="8"/>
  <c r="AH333" i="8"/>
  <c r="AL333" i="8"/>
  <c r="AK333" i="8"/>
  <c r="AL317" i="8"/>
  <c r="AJ317" i="8"/>
  <c r="AH317" i="8"/>
  <c r="AI317" i="8"/>
  <c r="AK317" i="8"/>
  <c r="AH34" i="8"/>
  <c r="AL34" i="8"/>
  <c r="AK34" i="8"/>
  <c r="AJ34" i="8"/>
  <c r="AI34" i="8"/>
  <c r="AH470" i="8"/>
  <c r="AL470" i="8"/>
  <c r="AJ470" i="8"/>
  <c r="AI470" i="8"/>
  <c r="AK470" i="8"/>
  <c r="AI59" i="8"/>
  <c r="AL59" i="8"/>
  <c r="AK59" i="8"/>
  <c r="AH59" i="8"/>
  <c r="AJ59" i="8"/>
  <c r="AL518" i="8"/>
  <c r="AK518" i="8"/>
  <c r="AI518" i="8"/>
  <c r="AH518" i="8"/>
  <c r="AJ518" i="8"/>
  <c r="AI349" i="8"/>
  <c r="AH349" i="8"/>
  <c r="AL349" i="8"/>
  <c r="AK349" i="8"/>
  <c r="AJ349" i="8"/>
  <c r="AJ503" i="8"/>
  <c r="AI503" i="8"/>
  <c r="AK503" i="8"/>
  <c r="AL503" i="8"/>
  <c r="AH503" i="8"/>
  <c r="AL42" i="8"/>
  <c r="AJ42" i="8"/>
  <c r="AI42" i="8"/>
  <c r="AH42" i="8"/>
  <c r="AK42" i="8"/>
  <c r="AI464" i="8"/>
  <c r="AK464" i="8"/>
  <c r="AH464" i="8"/>
  <c r="AL464" i="8"/>
  <c r="AJ464" i="8"/>
  <c r="AL577" i="8"/>
  <c r="AK577" i="8"/>
  <c r="AJ577" i="8"/>
  <c r="AI577" i="8"/>
  <c r="AH577" i="8"/>
  <c r="AL166" i="8"/>
  <c r="AJ166" i="8"/>
  <c r="AI166" i="8"/>
  <c r="AK166" i="8"/>
  <c r="AH166" i="8"/>
  <c r="AL495" i="8"/>
  <c r="AH495" i="8"/>
  <c r="AK495" i="8"/>
  <c r="AI495" i="8"/>
  <c r="AJ495" i="8"/>
  <c r="AK405" i="8"/>
  <c r="AI405" i="8"/>
  <c r="AJ405" i="8"/>
  <c r="AH405" i="8"/>
  <c r="AL405" i="8"/>
  <c r="AK144" i="8"/>
  <c r="AJ144" i="8"/>
  <c r="AI144" i="8"/>
  <c r="AL144" i="8"/>
  <c r="AH144" i="8"/>
  <c r="AI415" i="8"/>
  <c r="AH415" i="8"/>
  <c r="AL415" i="8"/>
  <c r="AK415" i="8"/>
  <c r="AJ415" i="8"/>
  <c r="AL148" i="8"/>
  <c r="AK148" i="8"/>
  <c r="AJ148" i="8"/>
  <c r="AH148" i="8"/>
  <c r="AI148" i="8"/>
  <c r="AL135" i="8"/>
  <c r="AK135" i="8"/>
  <c r="AI135" i="8"/>
  <c r="AH135" i="8"/>
  <c r="AJ135" i="8"/>
  <c r="AK211" i="8"/>
  <c r="AJ211" i="8"/>
  <c r="AI211" i="8"/>
  <c r="AL211" i="8"/>
  <c r="AH211" i="8"/>
  <c r="AK223" i="8"/>
  <c r="AJ223" i="8"/>
  <c r="AH223" i="8"/>
  <c r="AL223" i="8"/>
  <c r="AI223" i="8"/>
  <c r="AI277" i="8"/>
  <c r="AJ277" i="8"/>
  <c r="AH277" i="8"/>
  <c r="AL277" i="8"/>
  <c r="AK277" i="8"/>
  <c r="AL85" i="8"/>
  <c r="AK85" i="8"/>
  <c r="AJ85" i="8"/>
  <c r="AI85" i="8"/>
  <c r="AH85" i="8"/>
  <c r="AI219" i="8"/>
  <c r="AH219" i="8"/>
  <c r="AL219" i="8"/>
  <c r="AK219" i="8"/>
  <c r="AJ219" i="8"/>
  <c r="AJ197" i="8"/>
  <c r="AI197" i="8"/>
  <c r="AL197" i="8"/>
  <c r="AK197" i="8"/>
  <c r="AH197" i="8"/>
  <c r="AH174" i="8"/>
  <c r="AL174" i="8"/>
  <c r="AK174" i="8"/>
  <c r="AJ174" i="8"/>
  <c r="AI174" i="8"/>
  <c r="AL355" i="8"/>
  <c r="AK355" i="8"/>
  <c r="AJ355" i="8"/>
  <c r="AI355" i="8"/>
  <c r="AH355" i="8"/>
  <c r="AH414" i="8"/>
  <c r="AK414" i="8"/>
  <c r="AL414" i="8"/>
  <c r="AJ414" i="8"/>
  <c r="AI414" i="8"/>
  <c r="AL100" i="8"/>
  <c r="AK100" i="8"/>
  <c r="AJ100" i="8"/>
  <c r="AH100" i="8"/>
  <c r="AI100" i="8"/>
  <c r="AK556" i="8"/>
  <c r="AJ556" i="8"/>
  <c r="AH556" i="8"/>
  <c r="AL556" i="8"/>
  <c r="AI556" i="8"/>
  <c r="AL538" i="8"/>
  <c r="AJ538" i="8"/>
  <c r="AI538" i="8"/>
  <c r="AK538" i="8"/>
  <c r="AH538" i="8"/>
  <c r="AL545" i="8"/>
  <c r="AJ545" i="8"/>
  <c r="AI545" i="8"/>
  <c r="AK545" i="8"/>
  <c r="AH545" i="8"/>
  <c r="AG246" i="11"/>
  <c r="AE246" i="11"/>
  <c r="AF338" i="11"/>
  <c r="AJ353" i="11"/>
  <c r="AH246" i="11"/>
  <c r="AF342" i="11"/>
  <c r="AJ381" i="11"/>
  <c r="AG271" i="11"/>
  <c r="AI343" i="11"/>
  <c r="AJ312" i="11"/>
  <c r="AG32" i="11"/>
  <c r="AG95" i="11"/>
  <c r="AK232" i="11"/>
  <c r="AK220" i="11"/>
  <c r="AF246" i="11"/>
  <c r="AF320" i="11"/>
  <c r="AK340" i="11"/>
  <c r="AI24" i="11"/>
  <c r="AI225" i="11"/>
  <c r="AG232" i="11"/>
  <c r="AK246" i="11"/>
  <c r="AF264" i="11"/>
  <c r="AH320" i="11"/>
  <c r="AK380" i="11"/>
  <c r="AH264" i="11"/>
  <c r="AI320" i="11"/>
  <c r="AG266" i="11"/>
  <c r="AF291" i="11"/>
  <c r="AF380" i="11"/>
  <c r="AJ96" i="11"/>
  <c r="AH266" i="11"/>
  <c r="AH380" i="11"/>
  <c r="AJ79" i="11"/>
  <c r="AI243" i="11"/>
  <c r="AK266" i="11"/>
  <c r="AI380" i="11"/>
  <c r="AG24" i="11"/>
  <c r="AI110" i="11"/>
  <c r="AJ246" i="11"/>
  <c r="AE264" i="11"/>
  <c r="AG320" i="11"/>
  <c r="AK293" i="11"/>
  <c r="AH185" i="11"/>
  <c r="AH323" i="11"/>
  <c r="AH366" i="11"/>
  <c r="AI388" i="11"/>
  <c r="AF414" i="11"/>
  <c r="AJ24" i="11"/>
  <c r="AI185" i="11"/>
  <c r="AI366" i="11"/>
  <c r="AK24" i="11"/>
  <c r="AG202" i="11"/>
  <c r="AF245" i="11"/>
  <c r="AF293" i="11"/>
  <c r="AJ366" i="11"/>
  <c r="AH384" i="11"/>
  <c r="AJ68" i="11"/>
  <c r="AJ215" i="11"/>
  <c r="AG245" i="11"/>
  <c r="AG293" i="11"/>
  <c r="AJ320" i="11"/>
  <c r="AF341" i="11"/>
  <c r="AK366" i="11"/>
  <c r="AF404" i="11"/>
  <c r="AI111" i="11"/>
  <c r="AG87" i="11"/>
  <c r="AG113" i="11"/>
  <c r="AG220" i="11"/>
  <c r="AG243" i="11"/>
  <c r="AJ245" i="11"/>
  <c r="AE266" i="11"/>
  <c r="AH293" i="11"/>
  <c r="AI352" i="11"/>
  <c r="AK379" i="11"/>
  <c r="AF381" i="11"/>
  <c r="AE411" i="11"/>
  <c r="AJ220" i="11"/>
  <c r="AH243" i="11"/>
  <c r="AI293" i="11"/>
  <c r="AF312" i="11"/>
  <c r="AI381" i="11"/>
  <c r="AF392" i="11"/>
  <c r="AH425" i="11"/>
  <c r="AH431" i="11"/>
  <c r="AH37" i="11"/>
  <c r="AG54" i="11"/>
  <c r="AK64" i="11"/>
  <c r="AF111" i="11"/>
  <c r="AI157" i="11"/>
  <c r="AF242" i="11"/>
  <c r="AF311" i="11"/>
  <c r="AF371" i="11"/>
  <c r="AF16" i="11"/>
  <c r="AG30" i="11"/>
  <c r="AH55" i="11"/>
  <c r="AH70" i="11"/>
  <c r="AF74" i="11"/>
  <c r="AE253" i="11"/>
  <c r="AH312" i="11"/>
  <c r="AK367" i="11"/>
  <c r="AF384" i="11"/>
  <c r="AF388" i="11"/>
  <c r="AJ392" i="11"/>
  <c r="AJ410" i="11"/>
  <c r="AF9" i="11"/>
  <c r="AH160" i="11"/>
  <c r="AF195" i="11"/>
  <c r="AK224" i="11"/>
  <c r="AH248" i="11"/>
  <c r="AJ254" i="11"/>
  <c r="AF269" i="11"/>
  <c r="AH288" i="11"/>
  <c r="AF335" i="11"/>
  <c r="AJ388" i="11"/>
  <c r="AE393" i="11"/>
  <c r="AG335" i="11"/>
  <c r="AH346" i="11"/>
  <c r="AH356" i="11"/>
  <c r="AI361" i="11"/>
  <c r="AI385" i="11"/>
  <c r="AI346" i="11"/>
  <c r="AK356" i="11"/>
  <c r="AJ373" i="11"/>
  <c r="AH401" i="11"/>
  <c r="AJ420" i="11"/>
  <c r="AK373" i="11"/>
  <c r="AJ401" i="11"/>
  <c r="AG16" i="11"/>
  <c r="AJ28" i="11"/>
  <c r="AK72" i="11"/>
  <c r="AH361" i="11"/>
  <c r="AI16" i="11"/>
  <c r="AK28" i="11"/>
  <c r="AH49" i="11"/>
  <c r="AK75" i="11"/>
  <c r="AG101" i="11"/>
  <c r="AG132" i="11"/>
  <c r="AE250" i="11"/>
  <c r="AI272" i="11"/>
  <c r="AF288" i="11"/>
  <c r="AJ294" i="11"/>
  <c r="AJ407" i="11"/>
  <c r="AJ16" i="11"/>
  <c r="AI12" i="11"/>
  <c r="AG29" i="11"/>
  <c r="AF31" i="11"/>
  <c r="AI54" i="11"/>
  <c r="AI113" i="11"/>
  <c r="AH146" i="11"/>
  <c r="AE251" i="11"/>
  <c r="AJ256" i="11"/>
  <c r="AJ260" i="11"/>
  <c r="AH279" i="11"/>
  <c r="AJ288" i="11"/>
  <c r="AH295" i="11"/>
  <c r="AG311" i="11"/>
  <c r="AF325" i="11"/>
  <c r="AH335" i="11"/>
  <c r="AH362" i="11"/>
  <c r="AH369" i="11"/>
  <c r="AF373" i="11"/>
  <c r="AJ385" i="11"/>
  <c r="AE408" i="11"/>
  <c r="AH419" i="11"/>
  <c r="AJ12" i="11"/>
  <c r="AG31" i="11"/>
  <c r="AI279" i="11"/>
  <c r="AI295" i="11"/>
  <c r="AH311" i="11"/>
  <c r="AI325" i="11"/>
  <c r="AJ335" i="11"/>
  <c r="AI359" i="11"/>
  <c r="AK362" i="11"/>
  <c r="AK369" i="11"/>
  <c r="AH373" i="11"/>
  <c r="AK12" i="11"/>
  <c r="AK27" i="11"/>
  <c r="AG64" i="11"/>
  <c r="AI74" i="11"/>
  <c r="AF163" i="11"/>
  <c r="AJ186" i="11"/>
  <c r="AG270" i="11"/>
  <c r="AK311" i="11"/>
  <c r="AK359" i="11"/>
  <c r="AE401" i="11"/>
  <c r="AH420" i="11"/>
  <c r="AG172" i="11"/>
  <c r="AG254" i="11"/>
  <c r="AG260" i="11"/>
  <c r="AI364" i="11"/>
  <c r="AK368" i="11"/>
  <c r="AF14" i="11"/>
  <c r="AJ20" i="11"/>
  <c r="AE29" i="11"/>
  <c r="AE32" i="11"/>
  <c r="AI55" i="11"/>
  <c r="AG62" i="11"/>
  <c r="AG146" i="11"/>
  <c r="AJ172" i="11"/>
  <c r="AH254" i="11"/>
  <c r="AH260" i="11"/>
  <c r="AG265" i="11"/>
  <c r="AI270" i="11"/>
  <c r="AK272" i="11"/>
  <c r="AI315" i="11"/>
  <c r="AK364" i="11"/>
  <c r="AI378" i="11"/>
  <c r="AF385" i="11"/>
  <c r="AG22" i="11"/>
  <c r="AH50" i="11"/>
  <c r="AH87" i="11"/>
  <c r="AH116" i="11"/>
  <c r="AJ131" i="11"/>
  <c r="AG139" i="11"/>
  <c r="AG152" i="11"/>
  <c r="AG163" i="11"/>
  <c r="AF217" i="11"/>
  <c r="AJ242" i="11"/>
  <c r="AH253" i="11"/>
  <c r="AK269" i="11"/>
  <c r="AH271" i="11"/>
  <c r="AF286" i="11"/>
  <c r="AF292" i="11"/>
  <c r="AH296" i="11"/>
  <c r="AJ331" i="11"/>
  <c r="AH338" i="11"/>
  <c r="AJ343" i="11"/>
  <c r="AH348" i="11"/>
  <c r="AI389" i="11"/>
  <c r="AH426" i="11"/>
  <c r="AJ15" i="11"/>
  <c r="AH58" i="11"/>
  <c r="AI63" i="11"/>
  <c r="AJ58" i="11"/>
  <c r="AI22" i="11"/>
  <c r="AF49" i="11"/>
  <c r="AF64" i="11"/>
  <c r="AG72" i="11"/>
  <c r="AJ144" i="11"/>
  <c r="AF148" i="11"/>
  <c r="AH152" i="11"/>
  <c r="AH163" i="11"/>
  <c r="AH178" i="11"/>
  <c r="AH217" i="11"/>
  <c r="AF229" i="11"/>
  <c r="AI234" i="11"/>
  <c r="AF237" i="11"/>
  <c r="AK242" i="11"/>
  <c r="AJ253" i="11"/>
  <c r="AF273" i="11"/>
  <c r="AG286" i="11"/>
  <c r="AK288" i="11"/>
  <c r="AG292" i="11"/>
  <c r="AK296" i="11"/>
  <c r="AI311" i="11"/>
  <c r="AI313" i="11"/>
  <c r="AF318" i="11"/>
  <c r="AI335" i="11"/>
  <c r="AJ338" i="11"/>
  <c r="AK348" i="11"/>
  <c r="AH363" i="11"/>
  <c r="AF368" i="11"/>
  <c r="AH370" i="11"/>
  <c r="AI384" i="11"/>
  <c r="AF400" i="11"/>
  <c r="AJ403" i="11"/>
  <c r="AF407" i="11"/>
  <c r="AI426" i="11"/>
  <c r="AJ22" i="11"/>
  <c r="AI163" i="11"/>
  <c r="AJ178" i="11"/>
  <c r="AK273" i="11"/>
  <c r="AI286" i="11"/>
  <c r="AI318" i="11"/>
  <c r="AK338" i="11"/>
  <c r="AH368" i="11"/>
  <c r="AJ384" i="11"/>
  <c r="AJ400" i="11"/>
  <c r="AF19" i="11"/>
  <c r="AK45" i="11"/>
  <c r="AK49" i="11"/>
  <c r="AF95" i="11"/>
  <c r="AG110" i="11"/>
  <c r="AI127" i="11"/>
  <c r="AK145" i="11"/>
  <c r="AF172" i="11"/>
  <c r="AK178" i="11"/>
  <c r="AF254" i="11"/>
  <c r="AF260" i="11"/>
  <c r="AF270" i="11"/>
  <c r="AF272" i="11"/>
  <c r="AJ286" i="11"/>
  <c r="AI321" i="11"/>
  <c r="AK335" i="11"/>
  <c r="AI358" i="11"/>
  <c r="AF364" i="11"/>
  <c r="AJ418" i="11"/>
  <c r="AH447" i="11"/>
  <c r="AI187" i="11"/>
  <c r="AF187" i="11"/>
  <c r="AK187" i="11"/>
  <c r="AH197" i="11"/>
  <c r="AF197" i="11"/>
  <c r="AJ197" i="11"/>
  <c r="AG197" i="11"/>
  <c r="AI267" i="11"/>
  <c r="AJ267" i="11"/>
  <c r="AH267" i="11"/>
  <c r="AG267" i="11"/>
  <c r="AE334" i="11"/>
  <c r="AK334" i="11"/>
  <c r="AJ334" i="11"/>
  <c r="AG334" i="11"/>
  <c r="AF334" i="11"/>
  <c r="AG138" i="11"/>
  <c r="AE149" i="11"/>
  <c r="AK149" i="11"/>
  <c r="AH162" i="11"/>
  <c r="AJ164" i="11"/>
  <c r="AI171" i="11"/>
  <c r="AH171" i="11"/>
  <c r="AH187" i="11"/>
  <c r="AI194" i="11"/>
  <c r="AI216" i="11"/>
  <c r="AG216" i="11"/>
  <c r="AF216" i="11"/>
  <c r="AI252" i="11"/>
  <c r="AG252" i="11"/>
  <c r="AJ252" i="11"/>
  <c r="AF252" i="11"/>
  <c r="AE252" i="11"/>
  <c r="AJ33" i="11"/>
  <c r="AF33" i="11"/>
  <c r="AF78" i="11"/>
  <c r="AK97" i="11"/>
  <c r="AG97" i="11"/>
  <c r="AF11" i="11"/>
  <c r="AF17" i="11"/>
  <c r="AE21" i="11"/>
  <c r="AI26" i="11"/>
  <c r="AJ30" i="11"/>
  <c r="AF30" i="11"/>
  <c r="AG33" i="11"/>
  <c r="AG38" i="11"/>
  <c r="AK41" i="11"/>
  <c r="AI51" i="11"/>
  <c r="AK67" i="11"/>
  <c r="AF67" i="11"/>
  <c r="AG73" i="11"/>
  <c r="AF76" i="11"/>
  <c r="AG78" i="11"/>
  <c r="AI84" i="11"/>
  <c r="AF96" i="11"/>
  <c r="AI96" i="11"/>
  <c r="AJ97" i="11"/>
  <c r="AF122" i="11"/>
  <c r="AH122" i="11"/>
  <c r="AJ125" i="11"/>
  <c r="AF134" i="11"/>
  <c r="AK139" i="11"/>
  <c r="AH139" i="11"/>
  <c r="AG149" i="11"/>
  <c r="AK156" i="11"/>
  <c r="AK162" i="11"/>
  <c r="AJ171" i="11"/>
  <c r="AJ187" i="11"/>
  <c r="AF198" i="11"/>
  <c r="AI259" i="11"/>
  <c r="AG259" i="11"/>
  <c r="AF259" i="11"/>
  <c r="AE259" i="11"/>
  <c r="AE281" i="11"/>
  <c r="AF281" i="11"/>
  <c r="AK281" i="11"/>
  <c r="AJ281" i="11"/>
  <c r="AI281" i="11"/>
  <c r="AH281" i="11"/>
  <c r="AK299" i="11"/>
  <c r="AJ299" i="11"/>
  <c r="AI299" i="11"/>
  <c r="AH299" i="11"/>
  <c r="AF299" i="11"/>
  <c r="AK372" i="11"/>
  <c r="AF372" i="11"/>
  <c r="AE181" i="11"/>
  <c r="AI181" i="11"/>
  <c r="AG181" i="11"/>
  <c r="AJ213" i="11"/>
  <c r="AK213" i="11"/>
  <c r="AG17" i="11"/>
  <c r="AF21" i="11"/>
  <c r="AI73" i="11"/>
  <c r="AH76" i="11"/>
  <c r="AH78" i="11"/>
  <c r="AK90" i="11"/>
  <c r="AJ90" i="11"/>
  <c r="AK119" i="11"/>
  <c r="AI119" i="11"/>
  <c r="AE48" i="11"/>
  <c r="AG90" i="11"/>
  <c r="AH181" i="11"/>
  <c r="AI199" i="11"/>
  <c r="AH199" i="11"/>
  <c r="AI33" i="11"/>
  <c r="AI17" i="11"/>
  <c r="AE27" i="11"/>
  <c r="AK33" i="11"/>
  <c r="AF36" i="11"/>
  <c r="AI76" i="11"/>
  <c r="AF85" i="11"/>
  <c r="AH150" i="11"/>
  <c r="AJ189" i="11"/>
  <c r="AK189" i="11"/>
  <c r="AI205" i="11"/>
  <c r="AG205" i="11"/>
  <c r="AF205" i="11"/>
  <c r="AJ11" i="11"/>
  <c r="AE15" i="11"/>
  <c r="AJ17" i="11"/>
  <c r="AE20" i="11"/>
  <c r="AI21" i="11"/>
  <c r="AF27" i="11"/>
  <c r="AJ29" i="11"/>
  <c r="AK30" i="11"/>
  <c r="AI31" i="11"/>
  <c r="AH36" i="11"/>
  <c r="AH44" i="11"/>
  <c r="AG48" i="11"/>
  <c r="AI52" i="11"/>
  <c r="AG52" i="11"/>
  <c r="AF66" i="11"/>
  <c r="AJ76" i="11"/>
  <c r="AK78" i="11"/>
  <c r="AI90" i="11"/>
  <c r="AG94" i="11"/>
  <c r="AG104" i="11"/>
  <c r="AF109" i="11"/>
  <c r="AJ111" i="11"/>
  <c r="AF123" i="11"/>
  <c r="AI147" i="11"/>
  <c r="AJ181" i="11"/>
  <c r="AH189" i="11"/>
  <c r="AI196" i="11"/>
  <c r="AG196" i="11"/>
  <c r="AK308" i="11"/>
  <c r="AJ308" i="11"/>
  <c r="AH308" i="11"/>
  <c r="AE8" i="11"/>
  <c r="AF15" i="11"/>
  <c r="AK17" i="11"/>
  <c r="AF20" i="11"/>
  <c r="AK21" i="11"/>
  <c r="AE24" i="11"/>
  <c r="AG27" i="11"/>
  <c r="AK29" i="11"/>
  <c r="AJ31" i="11"/>
  <c r="AJ37" i="11"/>
  <c r="AK37" i="11"/>
  <c r="AH39" i="11"/>
  <c r="AI66" i="11"/>
  <c r="AF68" i="11"/>
  <c r="AK70" i="11"/>
  <c r="AI70" i="11"/>
  <c r="AH94" i="11"/>
  <c r="AH109" i="11"/>
  <c r="AG123" i="11"/>
  <c r="AK190" i="11"/>
  <c r="AI190" i="11"/>
  <c r="AF196" i="11"/>
  <c r="AG238" i="11"/>
  <c r="AK238" i="11"/>
  <c r="AJ238" i="11"/>
  <c r="AH238" i="11"/>
  <c r="AF238" i="11"/>
  <c r="AE11" i="11"/>
  <c r="AE17" i="11"/>
  <c r="AF26" i="11"/>
  <c r="AE51" i="11"/>
  <c r="AG11" i="11"/>
  <c r="AH38" i="11"/>
  <c r="AH98" i="11"/>
  <c r="AI98" i="11"/>
  <c r="AI11" i="11"/>
  <c r="AG21" i="11"/>
  <c r="AK23" i="11"/>
  <c r="AJ78" i="11"/>
  <c r="AK98" i="11"/>
  <c r="AK104" i="11"/>
  <c r="AJ104" i="11"/>
  <c r="AF114" i="11"/>
  <c r="AG119" i="11"/>
  <c r="AG135" i="11"/>
  <c r="AG15" i="11"/>
  <c r="AG20" i="11"/>
  <c r="AF24" i="11"/>
  <c r="AJ27" i="11"/>
  <c r="AK40" i="11"/>
  <c r="AE40" i="11"/>
  <c r="AJ66" i="11"/>
  <c r="AH101" i="11"/>
  <c r="AF101" i="11"/>
  <c r="AE152" i="11"/>
  <c r="AK152" i="11"/>
  <c r="AI152" i="11"/>
  <c r="AF152" i="11"/>
  <c r="AK155" i="11"/>
  <c r="AI155" i="11"/>
  <c r="AI159" i="11"/>
  <c r="AG159" i="11"/>
  <c r="AI191" i="11"/>
  <c r="AH191" i="11"/>
  <c r="AH196" i="11"/>
  <c r="AE235" i="11"/>
  <c r="AJ235" i="11"/>
  <c r="AG235" i="11"/>
  <c r="AK239" i="11"/>
  <c r="AI239" i="11"/>
  <c r="AE304" i="11"/>
  <c r="AI304" i="11"/>
  <c r="AK304" i="11"/>
  <c r="AJ304" i="11"/>
  <c r="AH304" i="11"/>
  <c r="AH328" i="11"/>
  <c r="AI328" i="11"/>
  <c r="AG328" i="11"/>
  <c r="AF354" i="11"/>
  <c r="AI354" i="11"/>
  <c r="AK354" i="11"/>
  <c r="AH354" i="11"/>
  <c r="AK172" i="11"/>
  <c r="AH232" i="11"/>
  <c r="AG237" i="11"/>
  <c r="AG242" i="11"/>
  <c r="AJ243" i="11"/>
  <c r="AJ248" i="11"/>
  <c r="AF251" i="11"/>
  <c r="AF253" i="11"/>
  <c r="AK256" i="11"/>
  <c r="AH269" i="11"/>
  <c r="AE271" i="11"/>
  <c r="AI271" i="11"/>
  <c r="AG272" i="11"/>
  <c r="AH273" i="11"/>
  <c r="AE279" i="11"/>
  <c r="AF279" i="11"/>
  <c r="AI296" i="11"/>
  <c r="AJ315" i="11"/>
  <c r="AE323" i="11"/>
  <c r="AK323" i="11"/>
  <c r="AE331" i="11"/>
  <c r="AG331" i="11"/>
  <c r="AI348" i="11"/>
  <c r="AH352" i="11"/>
  <c r="AJ352" i="11"/>
  <c r="AI356" i="11"/>
  <c r="AJ358" i="11"/>
  <c r="AI363" i="11"/>
  <c r="AJ370" i="11"/>
  <c r="AI370" i="11"/>
  <c r="AK163" i="11"/>
  <c r="AK193" i="11"/>
  <c r="AI193" i="11"/>
  <c r="AI204" i="11"/>
  <c r="AK207" i="11"/>
  <c r="AK221" i="11"/>
  <c r="AI232" i="11"/>
  <c r="AJ237" i="11"/>
  <c r="AH251" i="11"/>
  <c r="AI255" i="11"/>
  <c r="AK255" i="11"/>
  <c r="AI266" i="11"/>
  <c r="AJ266" i="11"/>
  <c r="AJ269" i="11"/>
  <c r="AF271" i="11"/>
  <c r="AG279" i="11"/>
  <c r="AI288" i="11"/>
  <c r="AE295" i="11"/>
  <c r="AJ295" i="11"/>
  <c r="AJ296" i="11"/>
  <c r="AF302" i="11"/>
  <c r="AH321" i="11"/>
  <c r="AG323" i="11"/>
  <c r="AH331" i="11"/>
  <c r="AI340" i="11"/>
  <c r="AF340" i="11"/>
  <c r="AJ340" i="11"/>
  <c r="AJ348" i="11"/>
  <c r="AF352" i="11"/>
  <c r="AJ356" i="11"/>
  <c r="AH359" i="11"/>
  <c r="AJ359" i="11"/>
  <c r="AK363" i="11"/>
  <c r="AF370" i="11"/>
  <c r="AK287" i="11"/>
  <c r="AJ287" i="11"/>
  <c r="AE316" i="11"/>
  <c r="AG316" i="11"/>
  <c r="AJ316" i="11"/>
  <c r="AE327" i="11"/>
  <c r="AF327" i="11"/>
  <c r="AH327" i="11"/>
  <c r="AI355" i="11"/>
  <c r="AK355" i="11"/>
  <c r="AK375" i="11"/>
  <c r="AH375" i="11"/>
  <c r="AF375" i="11"/>
  <c r="AI268" i="11"/>
  <c r="AK268" i="11"/>
  <c r="AF277" i="11"/>
  <c r="AG287" i="11"/>
  <c r="AE294" i="11"/>
  <c r="AG294" i="11"/>
  <c r="AF303" i="11"/>
  <c r="AK307" i="11"/>
  <c r="AJ307" i="11"/>
  <c r="AH316" i="11"/>
  <c r="AG327" i="11"/>
  <c r="AE330" i="11"/>
  <c r="AK330" i="11"/>
  <c r="AK339" i="11"/>
  <c r="AF344" i="11"/>
  <c r="AJ349" i="11"/>
  <c r="AF349" i="11"/>
  <c r="AK349" i="11"/>
  <c r="AF355" i="11"/>
  <c r="AJ386" i="11"/>
  <c r="AK386" i="11"/>
  <c r="AI386" i="11"/>
  <c r="AH386" i="11"/>
  <c r="AF386" i="11"/>
  <c r="AF202" i="11"/>
  <c r="AH202" i="11"/>
  <c r="AJ230" i="11"/>
  <c r="AE234" i="11"/>
  <c r="AJ234" i="11"/>
  <c r="AF241" i="11"/>
  <c r="AE256" i="11"/>
  <c r="AJ268" i="11"/>
  <c r="AJ271" i="11"/>
  <c r="AG274" i="11"/>
  <c r="AG277" i="11"/>
  <c r="AJ279" i="11"/>
  <c r="AE286" i="11"/>
  <c r="AH286" i="11"/>
  <c r="AH287" i="11"/>
  <c r="AF294" i="11"/>
  <c r="AI300" i="11"/>
  <c r="AG303" i="11"/>
  <c r="AF307" i="11"/>
  <c r="AE312" i="11"/>
  <c r="AG312" i="11"/>
  <c r="AI312" i="11"/>
  <c r="AK316" i="11"/>
  <c r="AI327" i="11"/>
  <c r="AF330" i="11"/>
  <c r="AH344" i="11"/>
  <c r="AF347" i="11"/>
  <c r="AI349" i="11"/>
  <c r="AH355" i="11"/>
  <c r="AI357" i="11"/>
  <c r="AE227" i="11"/>
  <c r="AK227" i="11"/>
  <c r="AI248" i="11"/>
  <c r="AF248" i="11"/>
  <c r="AF256" i="11"/>
  <c r="AI265" i="11"/>
  <c r="AF265" i="11"/>
  <c r="AI274" i="11"/>
  <c r="AH277" i="11"/>
  <c r="AI287" i="11"/>
  <c r="AH294" i="11"/>
  <c r="AJ300" i="11"/>
  <c r="AH303" i="11"/>
  <c r="AG307" i="11"/>
  <c r="AE315" i="11"/>
  <c r="AF315" i="11"/>
  <c r="AJ327" i="11"/>
  <c r="AG330" i="11"/>
  <c r="AF333" i="11"/>
  <c r="AJ333" i="11"/>
  <c r="AI344" i="11"/>
  <c r="AH347" i="11"/>
  <c r="AJ355" i="11"/>
  <c r="AK377" i="11"/>
  <c r="AJ377" i="11"/>
  <c r="AH377" i="11"/>
  <c r="AF377" i="11"/>
  <c r="AJ391" i="11"/>
  <c r="AI391" i="11"/>
  <c r="AH391" i="11"/>
  <c r="AF391" i="11"/>
  <c r="AK391" i="11"/>
  <c r="AG227" i="11"/>
  <c r="AE242" i="11"/>
  <c r="AI242" i="11"/>
  <c r="AE248" i="11"/>
  <c r="AI253" i="11"/>
  <c r="AK253" i="11"/>
  <c r="AH256" i="11"/>
  <c r="AI261" i="11"/>
  <c r="AK261" i="11"/>
  <c r="AE265" i="11"/>
  <c r="AE269" i="11"/>
  <c r="AE272" i="11"/>
  <c r="AJ272" i="11"/>
  <c r="AE273" i="11"/>
  <c r="AJ273" i="11"/>
  <c r="AK274" i="11"/>
  <c r="AI294" i="11"/>
  <c r="AF296" i="11"/>
  <c r="AI303" i="11"/>
  <c r="AI307" i="11"/>
  <c r="AG315" i="11"/>
  <c r="AK327" i="11"/>
  <c r="AI330" i="11"/>
  <c r="AI333" i="11"/>
  <c r="AJ344" i="11"/>
  <c r="AF363" i="11"/>
  <c r="AI377" i="11"/>
  <c r="AJ414" i="11"/>
  <c r="AJ369" i="11"/>
  <c r="AJ378" i="11"/>
  <c r="AI387" i="11"/>
  <c r="AK389" i="11"/>
  <c r="AF403" i="11"/>
  <c r="AE405" i="11"/>
  <c r="AH407" i="11"/>
  <c r="AF410" i="11"/>
  <c r="AE412" i="11"/>
  <c r="AH405" i="11"/>
  <c r="AI407" i="11"/>
  <c r="AF415" i="11"/>
  <c r="AJ419" i="11"/>
  <c r="AH424" i="11"/>
  <c r="AH443" i="11"/>
  <c r="AJ424" i="11"/>
  <c r="AF376" i="11"/>
  <c r="AF389" i="11"/>
  <c r="AH393" i="11"/>
  <c r="AI404" i="11"/>
  <c r="AJ408" i="11"/>
  <c r="AF411" i="11"/>
  <c r="AH414" i="11"/>
  <c r="AH417" i="11"/>
  <c r="AK320" i="11"/>
  <c r="AF369" i="11"/>
  <c r="AF378" i="11"/>
  <c r="AH389" i="11"/>
  <c r="AI411" i="11"/>
  <c r="AJ425" i="11"/>
  <c r="AE10" i="11"/>
  <c r="AF10" i="11"/>
  <c r="AJ10" i="11"/>
  <c r="AG10" i="11"/>
  <c r="AJ124" i="11"/>
  <c r="AF124" i="11"/>
  <c r="AE173" i="11"/>
  <c r="AK173" i="11"/>
  <c r="AH173" i="11"/>
  <c r="AG173" i="11"/>
  <c r="AJ201" i="11"/>
  <c r="AK201" i="11"/>
  <c r="AE7" i="11"/>
  <c r="AF8" i="11"/>
  <c r="AG9" i="11"/>
  <c r="AI10" i="11"/>
  <c r="AK11" i="11"/>
  <c r="AE13" i="11"/>
  <c r="AG14" i="11"/>
  <c r="AI15" i="11"/>
  <c r="AK16" i="11"/>
  <c r="AE18" i="11"/>
  <c r="AG19" i="11"/>
  <c r="AI20" i="11"/>
  <c r="AJ21" i="11"/>
  <c r="AK22" i="11"/>
  <c r="AE25" i="11"/>
  <c r="AG26" i="11"/>
  <c r="AI27" i="11"/>
  <c r="AH29" i="11"/>
  <c r="AF29" i="11"/>
  <c r="AH31" i="11"/>
  <c r="AK31" i="11"/>
  <c r="AF32" i="11"/>
  <c r="AF34" i="11"/>
  <c r="AG36" i="11"/>
  <c r="AJ38" i="11"/>
  <c r="AE38" i="11"/>
  <c r="AG40" i="11"/>
  <c r="AF43" i="11"/>
  <c r="AF46" i="11"/>
  <c r="AF48" i="11"/>
  <c r="AG51" i="11"/>
  <c r="AJ59" i="11"/>
  <c r="AE64" i="11"/>
  <c r="AH64" i="11"/>
  <c r="AG67" i="11"/>
  <c r="AG74" i="11"/>
  <c r="AI78" i="11"/>
  <c r="AK82" i="11"/>
  <c r="AG83" i="11"/>
  <c r="AK85" i="11"/>
  <c r="AH97" i="11"/>
  <c r="AJ99" i="11"/>
  <c r="AH113" i="11"/>
  <c r="AK114" i="11"/>
  <c r="AH117" i="11"/>
  <c r="AH119" i="11"/>
  <c r="AH124" i="11"/>
  <c r="AJ173" i="11"/>
  <c r="AJ180" i="11"/>
  <c r="AK180" i="11"/>
  <c r="AF180" i="11"/>
  <c r="AJ183" i="11"/>
  <c r="AI183" i="11"/>
  <c r="AH183" i="11"/>
  <c r="AF183" i="11"/>
  <c r="AE214" i="11"/>
  <c r="AJ214" i="11"/>
  <c r="AK214" i="11"/>
  <c r="AF214" i="11"/>
  <c r="AI14" i="11"/>
  <c r="AF18" i="11"/>
  <c r="AI19" i="11"/>
  <c r="AK34" i="11"/>
  <c r="AG43" i="11"/>
  <c r="AE91" i="11"/>
  <c r="AJ91" i="11"/>
  <c r="AE112" i="11"/>
  <c r="AK112" i="11"/>
  <c r="AH112" i="11"/>
  <c r="AJ158" i="11"/>
  <c r="AK158" i="11"/>
  <c r="AF158" i="11"/>
  <c r="AE184" i="11"/>
  <c r="AG184" i="11"/>
  <c r="AF184" i="11"/>
  <c r="AI184" i="11"/>
  <c r="AK184" i="11"/>
  <c r="AE83" i="11"/>
  <c r="AH83" i="11"/>
  <c r="AF13" i="11"/>
  <c r="AK46" i="11"/>
  <c r="AK99" i="11"/>
  <c r="AE105" i="11"/>
  <c r="AJ105" i="11"/>
  <c r="AE118" i="11"/>
  <c r="AK118" i="11"/>
  <c r="AH118" i="11"/>
  <c r="AI124" i="11"/>
  <c r="AJ7" i="11"/>
  <c r="AI8" i="11"/>
  <c r="AJ9" i="11"/>
  <c r="AK10" i="11"/>
  <c r="AE12" i="11"/>
  <c r="AG13" i="11"/>
  <c r="AJ14" i="11"/>
  <c r="AK15" i="11"/>
  <c r="AG18" i="11"/>
  <c r="AJ19" i="11"/>
  <c r="AK20" i="11"/>
  <c r="AE23" i="11"/>
  <c r="AG25" i="11"/>
  <c r="AJ26" i="11"/>
  <c r="AH28" i="11"/>
  <c r="AE28" i="11"/>
  <c r="AI32" i="11"/>
  <c r="AJ35" i="11"/>
  <c r="AE35" i="11"/>
  <c r="AH43" i="11"/>
  <c r="AJ45" i="11"/>
  <c r="AF45" i="11"/>
  <c r="AI48" i="11"/>
  <c r="AJ54" i="11"/>
  <c r="AH54" i="11"/>
  <c r="AE56" i="11"/>
  <c r="AK56" i="11"/>
  <c r="AJ74" i="11"/>
  <c r="AG80" i="11"/>
  <c r="AJ83" i="11"/>
  <c r="AG91" i="11"/>
  <c r="AG105" i="11"/>
  <c r="AJ108" i="11"/>
  <c r="AF112" i="11"/>
  <c r="AF118" i="11"/>
  <c r="AE125" i="11"/>
  <c r="AI125" i="11"/>
  <c r="AF125" i="11"/>
  <c r="AE166" i="11"/>
  <c r="AJ166" i="11"/>
  <c r="AF166" i="11"/>
  <c r="AK166" i="11"/>
  <c r="AG166" i="11"/>
  <c r="AJ184" i="11"/>
  <c r="AK7" i="11"/>
  <c r="AG8" i="11"/>
  <c r="AI9" i="11"/>
  <c r="AH7" i="11"/>
  <c r="AJ8" i="11"/>
  <c r="AK9" i="11"/>
  <c r="AF12" i="11"/>
  <c r="AI13" i="11"/>
  <c r="AK14" i="11"/>
  <c r="AE16" i="11"/>
  <c r="AI18" i="11"/>
  <c r="AK19" i="11"/>
  <c r="AE22" i="11"/>
  <c r="AF23" i="11"/>
  <c r="AI25" i="11"/>
  <c r="AK26" i="11"/>
  <c r="AF28" i="11"/>
  <c r="AJ32" i="11"/>
  <c r="AG35" i="11"/>
  <c r="AK43" i="11"/>
  <c r="AE45" i="11"/>
  <c r="AE54" i="11"/>
  <c r="AG56" i="11"/>
  <c r="AE72" i="11"/>
  <c r="AJ72" i="11"/>
  <c r="AK83" i="11"/>
  <c r="AE90" i="11"/>
  <c r="AH90" i="11"/>
  <c r="AH91" i="11"/>
  <c r="AE104" i="11"/>
  <c r="AH104" i="11"/>
  <c r="AH105" i="11"/>
  <c r="AK108" i="11"/>
  <c r="AG112" i="11"/>
  <c r="AF116" i="11"/>
  <c r="AG118" i="11"/>
  <c r="AG125" i="11"/>
  <c r="AE138" i="11"/>
  <c r="AH138" i="11"/>
  <c r="AF138" i="11"/>
  <c r="AK138" i="11"/>
  <c r="AI138" i="11"/>
  <c r="AE151" i="11"/>
  <c r="AF151" i="11"/>
  <c r="AI166" i="11"/>
  <c r="AE206" i="11"/>
  <c r="AK206" i="11"/>
  <c r="AI206" i="11"/>
  <c r="AJ206" i="11"/>
  <c r="AH206" i="11"/>
  <c r="AF206" i="11"/>
  <c r="AF25" i="11"/>
  <c r="AG7" i="11"/>
  <c r="AK8" i="11"/>
  <c r="AG12" i="11"/>
  <c r="AJ13" i="11"/>
  <c r="AJ18" i="11"/>
  <c r="AF22" i="11"/>
  <c r="AG23" i="11"/>
  <c r="AJ25" i="11"/>
  <c r="AG28" i="11"/>
  <c r="AH30" i="11"/>
  <c r="AI30" i="11"/>
  <c r="AK32" i="11"/>
  <c r="AH33" i="11"/>
  <c r="AE33" i="11"/>
  <c r="AF37" i="11"/>
  <c r="AF41" i="11"/>
  <c r="AG45" i="11"/>
  <c r="AF54" i="11"/>
  <c r="AJ55" i="11"/>
  <c r="AE55" i="11"/>
  <c r="AJ64" i="11"/>
  <c r="AF72" i="11"/>
  <c r="AF87" i="11"/>
  <c r="AF90" i="11"/>
  <c r="AI91" i="11"/>
  <c r="AF104" i="11"/>
  <c r="AI105" i="11"/>
  <c r="AI112" i="11"/>
  <c r="AG116" i="11"/>
  <c r="AI118" i="11"/>
  <c r="AH125" i="11"/>
  <c r="AH126" i="11"/>
  <c r="AK126" i="11"/>
  <c r="AJ151" i="11"/>
  <c r="AE153" i="11"/>
  <c r="AG153" i="11"/>
  <c r="AK153" i="11"/>
  <c r="AJ153" i="11"/>
  <c r="AH153" i="11"/>
  <c r="AH203" i="11"/>
  <c r="AI203" i="11"/>
  <c r="AF203" i="11"/>
  <c r="AG203" i="11"/>
  <c r="AK13" i="11"/>
  <c r="AK18" i="11"/>
  <c r="AI23" i="11"/>
  <c r="AK25" i="11"/>
  <c r="AJ36" i="11"/>
  <c r="AI36" i="11"/>
  <c r="AK91" i="11"/>
  <c r="AK105" i="11"/>
  <c r="AJ112" i="11"/>
  <c r="AJ118" i="11"/>
  <c r="AE132" i="11"/>
  <c r="AH132" i="11"/>
  <c r="AJ132" i="11"/>
  <c r="AI132" i="11"/>
  <c r="AF7" i="11"/>
  <c r="AE9" i="11"/>
  <c r="AE14" i="11"/>
  <c r="AE19" i="11"/>
  <c r="AJ23" i="11"/>
  <c r="AE26" i="11"/>
  <c r="AE36" i="11"/>
  <c r="AJ40" i="11"/>
  <c r="AF40" i="11"/>
  <c r="AJ48" i="11"/>
  <c r="AH48" i="11"/>
  <c r="AJ51" i="11"/>
  <c r="AF51" i="11"/>
  <c r="AJ52" i="11"/>
  <c r="AE52" i="11"/>
  <c r="AE67" i="11"/>
  <c r="AH67" i="11"/>
  <c r="AJ71" i="11"/>
  <c r="AE97" i="11"/>
  <c r="AI97" i="11"/>
  <c r="AE113" i="11"/>
  <c r="AJ113" i="11"/>
  <c r="AE119" i="11"/>
  <c r="AJ119" i="11"/>
  <c r="AE127" i="11"/>
  <c r="AK127" i="11"/>
  <c r="AF127" i="11"/>
  <c r="AF168" i="11"/>
  <c r="AI168" i="11"/>
  <c r="AG175" i="11"/>
  <c r="AF175" i="11"/>
  <c r="AJ175" i="11"/>
  <c r="AE212" i="11"/>
  <c r="AK212" i="11"/>
  <c r="AI212" i="11"/>
  <c r="AJ212" i="11"/>
  <c r="AH212" i="11"/>
  <c r="AG212" i="11"/>
  <c r="AF212" i="11"/>
  <c r="AE226" i="11"/>
  <c r="AK226" i="11"/>
  <c r="AJ226" i="11"/>
  <c r="AF226" i="11"/>
  <c r="AI226" i="11"/>
  <c r="AE134" i="11"/>
  <c r="AI134" i="11"/>
  <c r="AE146" i="11"/>
  <c r="AI146" i="11"/>
  <c r="AE148" i="11"/>
  <c r="AI148" i="11"/>
  <c r="AE150" i="11"/>
  <c r="AF150" i="11"/>
  <c r="AE162" i="11"/>
  <c r="AI162" i="11"/>
  <c r="AJ177" i="11"/>
  <c r="AI177" i="11"/>
  <c r="AF177" i="11"/>
  <c r="AH182" i="11"/>
  <c r="AG182" i="11"/>
  <c r="AK208" i="11"/>
  <c r="AJ208" i="11"/>
  <c r="AF208" i="11"/>
  <c r="AE241" i="11"/>
  <c r="AK241" i="11"/>
  <c r="AJ241" i="11"/>
  <c r="AH241" i="11"/>
  <c r="AI250" i="11"/>
  <c r="AK250" i="11"/>
  <c r="AJ250" i="11"/>
  <c r="AH250" i="11"/>
  <c r="AF250" i="11"/>
  <c r="AE301" i="11"/>
  <c r="AI301" i="11"/>
  <c r="AJ301" i="11"/>
  <c r="AH301" i="11"/>
  <c r="AG301" i="11"/>
  <c r="AF301" i="11"/>
  <c r="AK301" i="11"/>
  <c r="AE219" i="11"/>
  <c r="AK219" i="11"/>
  <c r="AJ219" i="11"/>
  <c r="AF219" i="11"/>
  <c r="AI257" i="11"/>
  <c r="AK257" i="11"/>
  <c r="AJ257" i="11"/>
  <c r="AH257" i="11"/>
  <c r="AG257" i="11"/>
  <c r="AF257" i="11"/>
  <c r="AE257" i="11"/>
  <c r="AE280" i="11"/>
  <c r="AF280" i="11"/>
  <c r="AK280" i="11"/>
  <c r="AJ280" i="11"/>
  <c r="AI280" i="11"/>
  <c r="AH280" i="11"/>
  <c r="AG280" i="11"/>
  <c r="AE326" i="11"/>
  <c r="AI326" i="11"/>
  <c r="AH326" i="11"/>
  <c r="AK326" i="11"/>
  <c r="AJ326" i="11"/>
  <c r="AG326" i="11"/>
  <c r="AF326" i="11"/>
  <c r="AE141" i="11"/>
  <c r="AK141" i="11"/>
  <c r="AE142" i="11"/>
  <c r="AK142" i="11"/>
  <c r="AE145" i="11"/>
  <c r="AG145" i="11"/>
  <c r="AE176" i="11"/>
  <c r="AJ176" i="11"/>
  <c r="AI176" i="11"/>
  <c r="AG176" i="11"/>
  <c r="AI192" i="11"/>
  <c r="AF192" i="11"/>
  <c r="AE218" i="11"/>
  <c r="AK218" i="11"/>
  <c r="AJ218" i="11"/>
  <c r="AH218" i="11"/>
  <c r="AI219" i="11"/>
  <c r="AE231" i="11"/>
  <c r="AI231" i="11"/>
  <c r="AK231" i="11"/>
  <c r="AH231" i="11"/>
  <c r="AI258" i="11"/>
  <c r="AK258" i="11"/>
  <c r="AJ258" i="11"/>
  <c r="AH258" i="11"/>
  <c r="AG258" i="11"/>
  <c r="AF258" i="11"/>
  <c r="AI262" i="11"/>
  <c r="AK262" i="11"/>
  <c r="AJ262" i="11"/>
  <c r="AH262" i="11"/>
  <c r="AG262" i="11"/>
  <c r="AF262" i="11"/>
  <c r="AE262" i="11"/>
  <c r="AK134" i="11"/>
  <c r="AE139" i="11"/>
  <c r="AJ139" i="11"/>
  <c r="AF141" i="11"/>
  <c r="AF142" i="11"/>
  <c r="AF145" i="11"/>
  <c r="AJ146" i="11"/>
  <c r="AK148" i="11"/>
  <c r="AG156" i="11"/>
  <c r="AJ162" i="11"/>
  <c r="AK169" i="11"/>
  <c r="AF169" i="11"/>
  <c r="AF176" i="11"/>
  <c r="AK179" i="11"/>
  <c r="AH179" i="11"/>
  <c r="AE205" i="11"/>
  <c r="AK205" i="11"/>
  <c r="AJ205" i="11"/>
  <c r="AH205" i="11"/>
  <c r="AF209" i="11"/>
  <c r="AF218" i="11"/>
  <c r="AF231" i="11"/>
  <c r="AE239" i="11"/>
  <c r="AJ239" i="11"/>
  <c r="AH239" i="11"/>
  <c r="AG239" i="11"/>
  <c r="AF239" i="11"/>
  <c r="AI241" i="11"/>
  <c r="AE244" i="11"/>
  <c r="AH244" i="11"/>
  <c r="AK244" i="11"/>
  <c r="AJ244" i="11"/>
  <c r="AI244" i="11"/>
  <c r="AF244" i="11"/>
  <c r="AE258" i="11"/>
  <c r="AI263" i="11"/>
  <c r="AK263" i="11"/>
  <c r="AJ263" i="11"/>
  <c r="AH263" i="11"/>
  <c r="AG263" i="11"/>
  <c r="AF263" i="11"/>
  <c r="AI141" i="11"/>
  <c r="AH142" i="11"/>
  <c r="AH145" i="11"/>
  <c r="AJ156" i="11"/>
  <c r="AH176" i="11"/>
  <c r="AE198" i="11"/>
  <c r="AK198" i="11"/>
  <c r="AJ198" i="11"/>
  <c r="AH198" i="11"/>
  <c r="AG209" i="11"/>
  <c r="AG218" i="11"/>
  <c r="AG231" i="11"/>
  <c r="AK209" i="11"/>
  <c r="AI218" i="11"/>
  <c r="AJ231" i="11"/>
  <c r="AI247" i="11"/>
  <c r="AH247" i="11"/>
  <c r="AG247" i="11"/>
  <c r="AF247" i="11"/>
  <c r="AE247" i="11"/>
  <c r="AJ145" i="11"/>
  <c r="AJ149" i="11"/>
  <c r="AE155" i="11"/>
  <c r="AF155" i="11"/>
  <c r="AJ159" i="11"/>
  <c r="AI161" i="11"/>
  <c r="AF161" i="11"/>
  <c r="AG191" i="11"/>
  <c r="AF191" i="11"/>
  <c r="AG198" i="11"/>
  <c r="AE217" i="11"/>
  <c r="AJ217" i="11"/>
  <c r="AI217" i="11"/>
  <c r="AG217" i="11"/>
  <c r="AE224" i="11"/>
  <c r="AJ224" i="11"/>
  <c r="AI224" i="11"/>
  <c r="AH224" i="11"/>
  <c r="AF224" i="11"/>
  <c r="AE240" i="11"/>
  <c r="AK240" i="11"/>
  <c r="AJ240" i="11"/>
  <c r="AI240" i="11"/>
  <c r="AH240" i="11"/>
  <c r="AF240" i="11"/>
  <c r="AJ247" i="11"/>
  <c r="AI249" i="11"/>
  <c r="AK249" i="11"/>
  <c r="AJ249" i="11"/>
  <c r="AH249" i="11"/>
  <c r="AG249" i="11"/>
  <c r="AE249" i="11"/>
  <c r="AE306" i="11"/>
  <c r="AG306" i="11"/>
  <c r="AK306" i="11"/>
  <c r="AJ306" i="11"/>
  <c r="AI306" i="11"/>
  <c r="AH306" i="11"/>
  <c r="AF306" i="11"/>
  <c r="AE285" i="11"/>
  <c r="AJ285" i="11"/>
  <c r="AK285" i="11"/>
  <c r="AI285" i="11"/>
  <c r="AH285" i="11"/>
  <c r="AG285" i="11"/>
  <c r="AF285" i="11"/>
  <c r="AE276" i="11"/>
  <c r="AJ276" i="11"/>
  <c r="AH276" i="11"/>
  <c r="AE283" i="11"/>
  <c r="AI283" i="11"/>
  <c r="AG283" i="11"/>
  <c r="AE289" i="11"/>
  <c r="AI289" i="11"/>
  <c r="AH289" i="11"/>
  <c r="AG289" i="11"/>
  <c r="AF289" i="11"/>
  <c r="AE314" i="11"/>
  <c r="AG314" i="11"/>
  <c r="AK314" i="11"/>
  <c r="AJ314" i="11"/>
  <c r="AI314" i="11"/>
  <c r="AH314" i="11"/>
  <c r="AJ163" i="11"/>
  <c r="AK181" i="11"/>
  <c r="AH245" i="11"/>
  <c r="AG251" i="11"/>
  <c r="AH252" i="11"/>
  <c r="AK254" i="11"/>
  <c r="AH259" i="11"/>
  <c r="AK260" i="11"/>
  <c r="AG264" i="11"/>
  <c r="AH265" i="11"/>
  <c r="AK267" i="11"/>
  <c r="AH270" i="11"/>
  <c r="AF276" i="11"/>
  <c r="AF283" i="11"/>
  <c r="AJ289" i="11"/>
  <c r="AE292" i="11"/>
  <c r="AK292" i="11"/>
  <c r="AJ292" i="11"/>
  <c r="AI292" i="11"/>
  <c r="AE302" i="11"/>
  <c r="AJ302" i="11"/>
  <c r="AK302" i="11"/>
  <c r="AI302" i="11"/>
  <c r="AH302" i="11"/>
  <c r="AF314" i="11"/>
  <c r="AG276" i="11"/>
  <c r="AE278" i="11"/>
  <c r="AJ278" i="11"/>
  <c r="AH283" i="11"/>
  <c r="AE284" i="11"/>
  <c r="AK284" i="11"/>
  <c r="AI284" i="11"/>
  <c r="AK289" i="11"/>
  <c r="AE319" i="11"/>
  <c r="AI319" i="11"/>
  <c r="AH319" i="11"/>
  <c r="AK319" i="11"/>
  <c r="AJ319" i="11"/>
  <c r="AG319" i="11"/>
  <c r="AF319" i="11"/>
  <c r="AE324" i="11"/>
  <c r="AG324" i="11"/>
  <c r="AF324" i="11"/>
  <c r="AJ324" i="11"/>
  <c r="AK324" i="11"/>
  <c r="AI324" i="11"/>
  <c r="AH324" i="11"/>
  <c r="AE337" i="11"/>
  <c r="AK337" i="11"/>
  <c r="AJ337" i="11"/>
  <c r="AH337" i="11"/>
  <c r="AG337" i="11"/>
  <c r="AF337" i="11"/>
  <c r="AJ251" i="11"/>
  <c r="AK252" i="11"/>
  <c r="AE255" i="11"/>
  <c r="AK259" i="11"/>
  <c r="AE261" i="11"/>
  <c r="AJ264" i="11"/>
  <c r="AK265" i="11"/>
  <c r="AE268" i="11"/>
  <c r="AE275" i="11"/>
  <c r="AI275" i="11"/>
  <c r="AG275" i="11"/>
  <c r="AI276" i="11"/>
  <c r="AF278" i="11"/>
  <c r="AE282" i="11"/>
  <c r="AH282" i="11"/>
  <c r="AF282" i="11"/>
  <c r="AJ283" i="11"/>
  <c r="AF284" i="11"/>
  <c r="AE290" i="11"/>
  <c r="AJ290" i="11"/>
  <c r="AI290" i="11"/>
  <c r="AH290" i="11"/>
  <c r="AG290" i="11"/>
  <c r="AE298" i="11"/>
  <c r="AF298" i="11"/>
  <c r="AK298" i="11"/>
  <c r="AJ298" i="11"/>
  <c r="AI298" i="11"/>
  <c r="AE309" i="11"/>
  <c r="AJ309" i="11"/>
  <c r="AI309" i="11"/>
  <c r="AH309" i="11"/>
  <c r="AG309" i="11"/>
  <c r="AF309" i="11"/>
  <c r="AI337" i="11"/>
  <c r="AE345" i="11"/>
  <c r="AG345" i="11"/>
  <c r="AH345" i="11"/>
  <c r="AK345" i="11"/>
  <c r="AI345" i="11"/>
  <c r="AF345" i="11"/>
  <c r="AJ345" i="11"/>
  <c r="AI172" i="11"/>
  <c r="AG178" i="11"/>
  <c r="AF181" i="11"/>
  <c r="AG189" i="11"/>
  <c r="AI197" i="11"/>
  <c r="AG215" i="11"/>
  <c r="AE232" i="11"/>
  <c r="AJ232" i="11"/>
  <c r="AF234" i="11"/>
  <c r="AE238" i="11"/>
  <c r="AI238" i="11"/>
  <c r="AE243" i="11"/>
  <c r="AF243" i="11"/>
  <c r="AG248" i="11"/>
  <c r="AK251" i="11"/>
  <c r="AE254" i="11"/>
  <c r="AF255" i="11"/>
  <c r="AG256" i="11"/>
  <c r="AE260" i="11"/>
  <c r="AF261" i="11"/>
  <c r="AK264" i="11"/>
  <c r="AE267" i="11"/>
  <c r="AF268" i="11"/>
  <c r="AG269" i="11"/>
  <c r="AF275" i="11"/>
  <c r="AK276" i="11"/>
  <c r="AG278" i="11"/>
  <c r="AG282" i="11"/>
  <c r="AK283" i="11"/>
  <c r="AG284" i="11"/>
  <c r="AE287" i="11"/>
  <c r="AF287" i="11"/>
  <c r="AF290" i="11"/>
  <c r="AG298" i="11"/>
  <c r="AK309" i="11"/>
  <c r="AG255" i="11"/>
  <c r="AG261" i="11"/>
  <c r="AF267" i="11"/>
  <c r="AG268" i="11"/>
  <c r="AH275" i="11"/>
  <c r="AE277" i="11"/>
  <c r="AK277" i="11"/>
  <c r="AI277" i="11"/>
  <c r="AH278" i="11"/>
  <c r="AI282" i="11"/>
  <c r="AH284" i="11"/>
  <c r="AK290" i="11"/>
  <c r="AE297" i="11"/>
  <c r="AI297" i="11"/>
  <c r="AH297" i="11"/>
  <c r="AG297" i="11"/>
  <c r="AF297" i="11"/>
  <c r="AH298" i="11"/>
  <c r="AE305" i="11"/>
  <c r="AF305" i="11"/>
  <c r="AJ305" i="11"/>
  <c r="AI305" i="11"/>
  <c r="AH305" i="11"/>
  <c r="AG305" i="11"/>
  <c r="AE310" i="11"/>
  <c r="AK310" i="11"/>
  <c r="AJ310" i="11"/>
  <c r="AI310" i="11"/>
  <c r="AH310" i="11"/>
  <c r="AE317" i="11"/>
  <c r="AG317" i="11"/>
  <c r="AF317" i="11"/>
  <c r="AJ317" i="11"/>
  <c r="AK317" i="11"/>
  <c r="AI317" i="11"/>
  <c r="AH317" i="11"/>
  <c r="AE245" i="11"/>
  <c r="AI245" i="11"/>
  <c r="AH255" i="11"/>
  <c r="AH261" i="11"/>
  <c r="AH268" i="11"/>
  <c r="AE270" i="11"/>
  <c r="AK270" i="11"/>
  <c r="AE274" i="11"/>
  <c r="AH274" i="11"/>
  <c r="AF274" i="11"/>
  <c r="AJ275" i="11"/>
  <c r="AI278" i="11"/>
  <c r="AJ282" i="11"/>
  <c r="AJ284" i="11"/>
  <c r="AE291" i="11"/>
  <c r="AK291" i="11"/>
  <c r="AJ291" i="11"/>
  <c r="AI291" i="11"/>
  <c r="AH291" i="11"/>
  <c r="AJ297" i="11"/>
  <c r="AK305" i="11"/>
  <c r="AF310" i="11"/>
  <c r="AE322" i="11"/>
  <c r="AK322" i="11"/>
  <c r="AG322" i="11"/>
  <c r="AJ322" i="11"/>
  <c r="AI322" i="11"/>
  <c r="AH322" i="11"/>
  <c r="AF322" i="11"/>
  <c r="AJ416" i="11"/>
  <c r="AH416" i="11"/>
  <c r="AE329" i="11"/>
  <c r="AK329" i="11"/>
  <c r="AG329" i="11"/>
  <c r="AE332" i="11"/>
  <c r="AG332" i="11"/>
  <c r="AF332" i="11"/>
  <c r="AK332" i="11"/>
  <c r="AJ332" i="11"/>
  <c r="AJ293" i="11"/>
  <c r="AJ311" i="11"/>
  <c r="AF329" i="11"/>
  <c r="AH332" i="11"/>
  <c r="AE374" i="11"/>
  <c r="AG374" i="11"/>
  <c r="AH374" i="11"/>
  <c r="AK374" i="11"/>
  <c r="AJ374" i="11"/>
  <c r="AI374" i="11"/>
  <c r="AF374" i="11"/>
  <c r="AE300" i="11"/>
  <c r="AH300" i="11"/>
  <c r="AE308" i="11"/>
  <c r="AI308" i="11"/>
  <c r="AE313" i="11"/>
  <c r="AK313" i="11"/>
  <c r="AF313" i="11"/>
  <c r="AH329" i="11"/>
  <c r="AI332" i="11"/>
  <c r="AE350" i="11"/>
  <c r="AG350" i="11"/>
  <c r="AJ350" i="11"/>
  <c r="AI350" i="11"/>
  <c r="AH350" i="11"/>
  <c r="AF350" i="11"/>
  <c r="AE383" i="11"/>
  <c r="AG383" i="11"/>
  <c r="AJ383" i="11"/>
  <c r="AH383" i="11"/>
  <c r="AF383" i="11"/>
  <c r="AK383" i="11"/>
  <c r="AI383" i="11"/>
  <c r="AG273" i="11"/>
  <c r="AG281" i="11"/>
  <c r="AG288" i="11"/>
  <c r="AF295" i="11"/>
  <c r="AG296" i="11"/>
  <c r="AF300" i="11"/>
  <c r="AF304" i="11"/>
  <c r="AF308" i="11"/>
  <c r="AG313" i="11"/>
  <c r="AI329" i="11"/>
  <c r="AE333" i="11"/>
  <c r="AH333" i="11"/>
  <c r="AG333" i="11"/>
  <c r="AK333" i="11"/>
  <c r="AE336" i="11"/>
  <c r="AK336" i="11"/>
  <c r="AJ336" i="11"/>
  <c r="AI336" i="11"/>
  <c r="AG336" i="11"/>
  <c r="AF336" i="11"/>
  <c r="AE342" i="11"/>
  <c r="AG342" i="11"/>
  <c r="AJ342" i="11"/>
  <c r="AI342" i="11"/>
  <c r="AH342" i="11"/>
  <c r="AK350" i="11"/>
  <c r="AG295" i="11"/>
  <c r="AE299" i="11"/>
  <c r="AG299" i="11"/>
  <c r="AG300" i="11"/>
  <c r="AE303" i="11"/>
  <c r="AK303" i="11"/>
  <c r="AG304" i="11"/>
  <c r="AE307" i="11"/>
  <c r="AH307" i="11"/>
  <c r="AG308" i="11"/>
  <c r="AH313" i="11"/>
  <c r="AE318" i="11"/>
  <c r="AH318" i="11"/>
  <c r="AG318" i="11"/>
  <c r="AK318" i="11"/>
  <c r="AE321" i="11"/>
  <c r="AK321" i="11"/>
  <c r="AJ321" i="11"/>
  <c r="AF321" i="11"/>
  <c r="AE325" i="11"/>
  <c r="AH325" i="11"/>
  <c r="AG325" i="11"/>
  <c r="AK325" i="11"/>
  <c r="AE328" i="11"/>
  <c r="AK328" i="11"/>
  <c r="AJ328" i="11"/>
  <c r="AF328" i="11"/>
  <c r="AJ329" i="11"/>
  <c r="AE351" i="11"/>
  <c r="AG351" i="11"/>
  <c r="AK351" i="11"/>
  <c r="AJ351" i="11"/>
  <c r="AH351" i="11"/>
  <c r="AF351" i="11"/>
  <c r="AE360" i="11"/>
  <c r="AG360" i="11"/>
  <c r="AH360" i="11"/>
  <c r="AK360" i="11"/>
  <c r="AJ360" i="11"/>
  <c r="AI360" i="11"/>
  <c r="AF360" i="11"/>
  <c r="AH315" i="11"/>
  <c r="AI316" i="11"/>
  <c r="AI323" i="11"/>
  <c r="AH330" i="11"/>
  <c r="AI331" i="11"/>
  <c r="AE354" i="11"/>
  <c r="AG354" i="11"/>
  <c r="AJ354" i="11"/>
  <c r="AE368" i="11"/>
  <c r="AG368" i="11"/>
  <c r="AJ368" i="11"/>
  <c r="AH372" i="11"/>
  <c r="AE341" i="11"/>
  <c r="AG341" i="11"/>
  <c r="AH341" i="11"/>
  <c r="AE347" i="11"/>
  <c r="AG347" i="11"/>
  <c r="AE357" i="11"/>
  <c r="AG357" i="11"/>
  <c r="AH357" i="11"/>
  <c r="AE362" i="11"/>
  <c r="AG362" i="11"/>
  <c r="AE371" i="11"/>
  <c r="AG371" i="11"/>
  <c r="AH371" i="11"/>
  <c r="AI372" i="11"/>
  <c r="AE376" i="11"/>
  <c r="AG376" i="11"/>
  <c r="AE387" i="11"/>
  <c r="AG387" i="11"/>
  <c r="AJ387" i="11"/>
  <c r="AH387" i="11"/>
  <c r="AF387" i="11"/>
  <c r="AF399" i="11"/>
  <c r="AI399" i="11"/>
  <c r="AJ399" i="11"/>
  <c r="AH399" i="11"/>
  <c r="AE399" i="11"/>
  <c r="AI439" i="11"/>
  <c r="AH439" i="11"/>
  <c r="AE365" i="11"/>
  <c r="AG365" i="11"/>
  <c r="AJ365" i="11"/>
  <c r="AJ395" i="11"/>
  <c r="AE395" i="11"/>
  <c r="AF395" i="11"/>
  <c r="AI435" i="11"/>
  <c r="AH435" i="11"/>
  <c r="AE339" i="11"/>
  <c r="AG339" i="11"/>
  <c r="AH339" i="11"/>
  <c r="AE343" i="11"/>
  <c r="AG343" i="11"/>
  <c r="AE353" i="11"/>
  <c r="AG353" i="11"/>
  <c r="AH353" i="11"/>
  <c r="AE358" i="11"/>
  <c r="AG358" i="11"/>
  <c r="AF365" i="11"/>
  <c r="AE367" i="11"/>
  <c r="AG367" i="11"/>
  <c r="AH367" i="11"/>
  <c r="AH376" i="11"/>
  <c r="AE390" i="11"/>
  <c r="AG390" i="11"/>
  <c r="AJ390" i="11"/>
  <c r="AI390" i="11"/>
  <c r="AH390" i="11"/>
  <c r="AF390" i="11"/>
  <c r="AH395" i="11"/>
  <c r="AH334" i="11"/>
  <c r="AF339" i="11"/>
  <c r="AJ341" i="11"/>
  <c r="AF343" i="11"/>
  <c r="AE346" i="11"/>
  <c r="AG346" i="11"/>
  <c r="AJ346" i="11"/>
  <c r="AI347" i="11"/>
  <c r="AF353" i="11"/>
  <c r="AJ357" i="11"/>
  <c r="AF358" i="11"/>
  <c r="AE361" i="11"/>
  <c r="AG361" i="11"/>
  <c r="AJ361" i="11"/>
  <c r="AI362" i="11"/>
  <c r="AH365" i="11"/>
  <c r="AF367" i="11"/>
  <c r="AJ371" i="11"/>
  <c r="AE375" i="11"/>
  <c r="AG375" i="11"/>
  <c r="AJ375" i="11"/>
  <c r="AI376" i="11"/>
  <c r="AK390" i="11"/>
  <c r="AI396" i="11"/>
  <c r="AE396" i="11"/>
  <c r="AJ396" i="11"/>
  <c r="AH396" i="11"/>
  <c r="AF396" i="11"/>
  <c r="AI423" i="11"/>
  <c r="AJ423" i="11"/>
  <c r="AH423" i="11"/>
  <c r="AF316" i="11"/>
  <c r="AF323" i="11"/>
  <c r="AF331" i="11"/>
  <c r="AI334" i="11"/>
  <c r="AG338" i="11"/>
  <c r="AE338" i="11"/>
  <c r="AI339" i="11"/>
  <c r="AE340" i="11"/>
  <c r="AG340" i="11"/>
  <c r="AK341" i="11"/>
  <c r="AH343" i="11"/>
  <c r="AF346" i="11"/>
  <c r="AJ347" i="11"/>
  <c r="AE349" i="11"/>
  <c r="AG349" i="11"/>
  <c r="AH349" i="11"/>
  <c r="AI353" i="11"/>
  <c r="AE355" i="11"/>
  <c r="AG355" i="11"/>
  <c r="AK357" i="11"/>
  <c r="AH358" i="11"/>
  <c r="AF361" i="11"/>
  <c r="AJ362" i="11"/>
  <c r="AE364" i="11"/>
  <c r="AG364" i="11"/>
  <c r="AH364" i="11"/>
  <c r="AI365" i="11"/>
  <c r="AI367" i="11"/>
  <c r="AE369" i="11"/>
  <c r="AG369" i="11"/>
  <c r="AK371" i="11"/>
  <c r="AJ376" i="11"/>
  <c r="AE379" i="11"/>
  <c r="AG379" i="11"/>
  <c r="AJ379" i="11"/>
  <c r="AH379" i="11"/>
  <c r="AF379" i="11"/>
  <c r="AE372" i="11"/>
  <c r="AG372" i="11"/>
  <c r="AJ372" i="11"/>
  <c r="AE344" i="11"/>
  <c r="AG344" i="11"/>
  <c r="AE348" i="11"/>
  <c r="AG348" i="11"/>
  <c r="AE352" i="11"/>
  <c r="AG352" i="11"/>
  <c r="AE356" i="11"/>
  <c r="AG356" i="11"/>
  <c r="AE359" i="11"/>
  <c r="AG359" i="11"/>
  <c r="AE363" i="11"/>
  <c r="AG363" i="11"/>
  <c r="AE366" i="11"/>
  <c r="AG366" i="11"/>
  <c r="AE370" i="11"/>
  <c r="AG370" i="11"/>
  <c r="AE373" i="11"/>
  <c r="AG373" i="11"/>
  <c r="AE377" i="11"/>
  <c r="AG377" i="11"/>
  <c r="AH378" i="11"/>
  <c r="AE380" i="11"/>
  <c r="AG380" i="11"/>
  <c r="AH381" i="11"/>
  <c r="AE384" i="11"/>
  <c r="AG384" i="11"/>
  <c r="AH385" i="11"/>
  <c r="AH388" i="11"/>
  <c r="AE391" i="11"/>
  <c r="AG391" i="11"/>
  <c r="AJ398" i="11"/>
  <c r="AH398" i="11"/>
  <c r="AI403" i="11"/>
  <c r="AE403" i="11"/>
  <c r="AI454" i="11"/>
  <c r="AH454" i="11"/>
  <c r="AJ409" i="11"/>
  <c r="AE409" i="11"/>
  <c r="AJ406" i="11"/>
  <c r="AE406" i="11"/>
  <c r="AH409" i="11"/>
  <c r="AE386" i="11"/>
  <c r="AG386" i="11"/>
  <c r="AE389" i="11"/>
  <c r="AG389" i="11"/>
  <c r="AE404" i="11"/>
  <c r="AH404" i="11"/>
  <c r="AH406" i="11"/>
  <c r="AE410" i="11"/>
  <c r="AH410" i="11"/>
  <c r="AI412" i="11"/>
  <c r="AH412" i="11"/>
  <c r="AI427" i="11"/>
  <c r="AH427" i="11"/>
  <c r="AJ394" i="11"/>
  <c r="AE394" i="11"/>
  <c r="AE378" i="11"/>
  <c r="AG378" i="11"/>
  <c r="AE381" i="11"/>
  <c r="AG381" i="11"/>
  <c r="AE385" i="11"/>
  <c r="AG385" i="11"/>
  <c r="AE388" i="11"/>
  <c r="AG388" i="11"/>
  <c r="AE392" i="11"/>
  <c r="AH392" i="11"/>
  <c r="AH394" i="11"/>
  <c r="AI397" i="11"/>
  <c r="AE397" i="11"/>
  <c r="AJ397" i="11"/>
  <c r="AI400" i="11"/>
  <c r="AE400" i="11"/>
  <c r="AJ402" i="11"/>
  <c r="AH402" i="11"/>
  <c r="AI418" i="11"/>
  <c r="AI421" i="11"/>
  <c r="AJ421" i="11"/>
  <c r="AH421" i="11"/>
  <c r="AJ413" i="11"/>
  <c r="AE413" i="11"/>
  <c r="AH422" i="11"/>
  <c r="AJ422" i="11"/>
  <c r="AH408" i="11"/>
  <c r="AJ411" i="11"/>
  <c r="AI415" i="11"/>
  <c r="AH468" i="11"/>
  <c r="AJ393" i="11"/>
  <c r="AJ405" i="11"/>
  <c r="AJ417" i="11"/>
  <c r="AH461" i="11"/>
  <c r="AH469" i="11"/>
  <c r="AI39" i="11"/>
  <c r="AE42" i="11"/>
  <c r="AI44" i="11"/>
  <c r="AE47" i="11"/>
  <c r="AG49" i="11"/>
  <c r="AI50" i="11"/>
  <c r="AE53" i="11"/>
  <c r="AI58" i="11"/>
  <c r="AK59" i="11"/>
  <c r="AF61" i="11"/>
  <c r="AH62" i="11"/>
  <c r="AJ63" i="11"/>
  <c r="AE89" i="11"/>
  <c r="AK89" i="11"/>
  <c r="AI89" i="11"/>
  <c r="AG89" i="11"/>
  <c r="AK39" i="11"/>
  <c r="AF42" i="11"/>
  <c r="AK44" i="11"/>
  <c r="AF47" i="11"/>
  <c r="AK50" i="11"/>
  <c r="AF53" i="11"/>
  <c r="AE60" i="11"/>
  <c r="AI60" i="11"/>
  <c r="AG61" i="11"/>
  <c r="AI62" i="11"/>
  <c r="AK63" i="11"/>
  <c r="AE65" i="11"/>
  <c r="AF65" i="11"/>
  <c r="AJ65" i="11"/>
  <c r="AE69" i="11"/>
  <c r="AH69" i="11"/>
  <c r="AE77" i="11"/>
  <c r="AJ77" i="11"/>
  <c r="AH77" i="11"/>
  <c r="AF77" i="11"/>
  <c r="AF89" i="11"/>
  <c r="AE92" i="11"/>
  <c r="AG92" i="11"/>
  <c r="AF92" i="11"/>
  <c r="AJ92" i="11"/>
  <c r="AH92" i="11"/>
  <c r="AE137" i="11"/>
  <c r="AK137" i="11"/>
  <c r="AI137" i="11"/>
  <c r="AG137" i="11"/>
  <c r="AJ137" i="11"/>
  <c r="AH137" i="11"/>
  <c r="AF137" i="11"/>
  <c r="AE34" i="11"/>
  <c r="AF35" i="11"/>
  <c r="AI37" i="11"/>
  <c r="AK38" i="11"/>
  <c r="AE41" i="11"/>
  <c r="AG42" i="11"/>
  <c r="AI43" i="11"/>
  <c r="AE46" i="11"/>
  <c r="AG47" i="11"/>
  <c r="AI49" i="11"/>
  <c r="AF52" i="11"/>
  <c r="AG53" i="11"/>
  <c r="AK55" i="11"/>
  <c r="AF56" i="11"/>
  <c r="AF60" i="11"/>
  <c r="AH61" i="11"/>
  <c r="AG65" i="11"/>
  <c r="AF69" i="11"/>
  <c r="AG77" i="11"/>
  <c r="AH89" i="11"/>
  <c r="AI92" i="11"/>
  <c r="AH47" i="11"/>
  <c r="AE102" i="11"/>
  <c r="AK102" i="11"/>
  <c r="AJ102" i="11"/>
  <c r="AH102" i="11"/>
  <c r="AG102" i="11"/>
  <c r="AF102" i="11"/>
  <c r="AI102" i="11"/>
  <c r="AE200" i="11"/>
  <c r="AH200" i="11"/>
  <c r="AG200" i="11"/>
  <c r="AJ200" i="11"/>
  <c r="AI200" i="11"/>
  <c r="AK200" i="11"/>
  <c r="AF200" i="11"/>
  <c r="AE233" i="11"/>
  <c r="AG233" i="11"/>
  <c r="AF233" i="11"/>
  <c r="AK233" i="11"/>
  <c r="AJ233" i="11"/>
  <c r="AI233" i="11"/>
  <c r="AH233" i="11"/>
  <c r="AG34" i="11"/>
  <c r="AH35" i="11"/>
  <c r="AE39" i="11"/>
  <c r="AG41" i="11"/>
  <c r="AI42" i="11"/>
  <c r="AE44" i="11"/>
  <c r="AG46" i="11"/>
  <c r="AI47" i="11"/>
  <c r="AE50" i="11"/>
  <c r="AH52" i="11"/>
  <c r="AI53" i="11"/>
  <c r="AH56" i="11"/>
  <c r="AH60" i="11"/>
  <c r="AF63" i="11"/>
  <c r="AI65" i="11"/>
  <c r="AE68" i="11"/>
  <c r="AK68" i="11"/>
  <c r="AG68" i="11"/>
  <c r="AI69" i="11"/>
  <c r="AE73" i="11"/>
  <c r="AJ73" i="11"/>
  <c r="AF73" i="11"/>
  <c r="AK77" i="11"/>
  <c r="AE79" i="11"/>
  <c r="AF79" i="11"/>
  <c r="AK79" i="11"/>
  <c r="AI79" i="11"/>
  <c r="AE80" i="11"/>
  <c r="AH80" i="11"/>
  <c r="AI80" i="11"/>
  <c r="AF80" i="11"/>
  <c r="AG82" i="11"/>
  <c r="AE93" i="11"/>
  <c r="AH93" i="11"/>
  <c r="AG93" i="11"/>
  <c r="AK93" i="11"/>
  <c r="AI93" i="11"/>
  <c r="AE100" i="11"/>
  <c r="AI100" i="11"/>
  <c r="AH100" i="11"/>
  <c r="AK100" i="11"/>
  <c r="AJ100" i="11"/>
  <c r="AF100" i="11"/>
  <c r="AE103" i="11"/>
  <c r="AK103" i="11"/>
  <c r="AJ103" i="11"/>
  <c r="AI103" i="11"/>
  <c r="AG103" i="11"/>
  <c r="AE106" i="11"/>
  <c r="AG106" i="11"/>
  <c r="AF106" i="11"/>
  <c r="AJ106" i="11"/>
  <c r="AI106" i="11"/>
  <c r="AH106" i="11"/>
  <c r="AK106" i="11"/>
  <c r="AE61" i="11"/>
  <c r="AJ61" i="11"/>
  <c r="AE75" i="11"/>
  <c r="AF75" i="11"/>
  <c r="AJ75" i="11"/>
  <c r="AE81" i="11"/>
  <c r="AJ81" i="11"/>
  <c r="AK81" i="11"/>
  <c r="AH81" i="11"/>
  <c r="AF39" i="11"/>
  <c r="AH41" i="11"/>
  <c r="AK42" i="11"/>
  <c r="AH46" i="11"/>
  <c r="AK53" i="11"/>
  <c r="AE62" i="11"/>
  <c r="AK62" i="11"/>
  <c r="AG63" i="11"/>
  <c r="AG81" i="11"/>
  <c r="AE84" i="11"/>
  <c r="AG84" i="11"/>
  <c r="AF84" i="11"/>
  <c r="AJ84" i="11"/>
  <c r="AE86" i="11"/>
  <c r="AI86" i="11"/>
  <c r="AH86" i="11"/>
  <c r="AJ86" i="11"/>
  <c r="AF86" i="11"/>
  <c r="AE88" i="11"/>
  <c r="AK88" i="11"/>
  <c r="AJ88" i="11"/>
  <c r="AH88" i="11"/>
  <c r="AF88" i="11"/>
  <c r="AE107" i="11"/>
  <c r="AH107" i="11"/>
  <c r="AG107" i="11"/>
  <c r="AK107" i="11"/>
  <c r="AI107" i="11"/>
  <c r="AE120" i="11"/>
  <c r="AG120" i="11"/>
  <c r="AF120" i="11"/>
  <c r="AJ120" i="11"/>
  <c r="AI120" i="11"/>
  <c r="AH120" i="11"/>
  <c r="AK120" i="11"/>
  <c r="AH42" i="11"/>
  <c r="AH53" i="11"/>
  <c r="AE59" i="11"/>
  <c r="AH59" i="11"/>
  <c r="AI61" i="11"/>
  <c r="AE71" i="11"/>
  <c r="AG71" i="11"/>
  <c r="AK71" i="11"/>
  <c r="AE82" i="11"/>
  <c r="AH82" i="11"/>
  <c r="AF82" i="11"/>
  <c r="AH34" i="11"/>
  <c r="AI35" i="11"/>
  <c r="AF44" i="11"/>
  <c r="AK47" i="11"/>
  <c r="AF50" i="11"/>
  <c r="AI56" i="11"/>
  <c r="AE58" i="11"/>
  <c r="AG58" i="11"/>
  <c r="AG59" i="11"/>
  <c r="AJ60" i="11"/>
  <c r="AK65" i="11"/>
  <c r="AJ69" i="11"/>
  <c r="AH71" i="11"/>
  <c r="AH75" i="11"/>
  <c r="AI34" i="11"/>
  <c r="AK35" i="11"/>
  <c r="AE37" i="11"/>
  <c r="AF38" i="11"/>
  <c r="AG39" i="11"/>
  <c r="AH40" i="11"/>
  <c r="AI41" i="11"/>
  <c r="AE43" i="11"/>
  <c r="AG44" i="11"/>
  <c r="AH45" i="11"/>
  <c r="AI46" i="11"/>
  <c r="AE49" i="11"/>
  <c r="AG50" i="11"/>
  <c r="AH51" i="11"/>
  <c r="AK52" i="11"/>
  <c r="AF55" i="11"/>
  <c r="AJ56" i="11"/>
  <c r="AF58" i="11"/>
  <c r="AI59" i="11"/>
  <c r="AK60" i="11"/>
  <c r="AF62" i="11"/>
  <c r="AH63" i="11"/>
  <c r="AE66" i="11"/>
  <c r="AG66" i="11"/>
  <c r="AK66" i="11"/>
  <c r="AH68" i="11"/>
  <c r="AK69" i="11"/>
  <c r="AE70" i="11"/>
  <c r="AF70" i="11"/>
  <c r="AJ70" i="11"/>
  <c r="AI71" i="11"/>
  <c r="AH73" i="11"/>
  <c r="AE74" i="11"/>
  <c r="AH74" i="11"/>
  <c r="AI75" i="11"/>
  <c r="AH79" i="11"/>
  <c r="AJ80" i="11"/>
  <c r="AI81" i="11"/>
  <c r="AJ82" i="11"/>
  <c r="AH84" i="11"/>
  <c r="AG86" i="11"/>
  <c r="AG88" i="11"/>
  <c r="AJ93" i="11"/>
  <c r="AH103" i="11"/>
  <c r="AF107" i="11"/>
  <c r="AE95" i="11"/>
  <c r="AK95" i="11"/>
  <c r="AJ95" i="11"/>
  <c r="AE98" i="11"/>
  <c r="AG98" i="11"/>
  <c r="AF98" i="11"/>
  <c r="AE110" i="11"/>
  <c r="AK110" i="11"/>
  <c r="AJ110" i="11"/>
  <c r="AG121" i="11"/>
  <c r="AE123" i="11"/>
  <c r="AK123" i="11"/>
  <c r="AJ123" i="11"/>
  <c r="AE126" i="11"/>
  <c r="AG126" i="11"/>
  <c r="AF126" i="11"/>
  <c r="AH129" i="11"/>
  <c r="AG131" i="11"/>
  <c r="AE133" i="11"/>
  <c r="AG133" i="11"/>
  <c r="AF133" i="11"/>
  <c r="AJ133" i="11"/>
  <c r="AE117" i="11"/>
  <c r="AK117" i="11"/>
  <c r="AJ121" i="11"/>
  <c r="AH133" i="11"/>
  <c r="AE135" i="11"/>
  <c r="AI135" i="11"/>
  <c r="AH135" i="11"/>
  <c r="AF135" i="11"/>
  <c r="AE136" i="11"/>
  <c r="AK136" i="11"/>
  <c r="AJ136" i="11"/>
  <c r="AH136" i="11"/>
  <c r="AF136" i="11"/>
  <c r="AE154" i="11"/>
  <c r="AH154" i="11"/>
  <c r="AG154" i="11"/>
  <c r="AF154" i="11"/>
  <c r="AK154" i="11"/>
  <c r="AJ154" i="11"/>
  <c r="AE165" i="11"/>
  <c r="AG165" i="11"/>
  <c r="AK165" i="11"/>
  <c r="AI165" i="11"/>
  <c r="AH165" i="11"/>
  <c r="AF165" i="11"/>
  <c r="AE167" i="11"/>
  <c r="AF167" i="11"/>
  <c r="AI167" i="11"/>
  <c r="AJ167" i="11"/>
  <c r="AH167" i="11"/>
  <c r="AG167" i="11"/>
  <c r="AE115" i="11"/>
  <c r="AI115" i="11"/>
  <c r="AH115" i="11"/>
  <c r="AE128" i="11"/>
  <c r="AI128" i="11"/>
  <c r="AH128" i="11"/>
  <c r="AF128" i="11"/>
  <c r="AE130" i="11"/>
  <c r="AK130" i="11"/>
  <c r="AJ130" i="11"/>
  <c r="AH130" i="11"/>
  <c r="AK76" i="11"/>
  <c r="AE94" i="11"/>
  <c r="AJ94" i="11"/>
  <c r="AI94" i="11"/>
  <c r="AH95" i="11"/>
  <c r="AJ98" i="11"/>
  <c r="AE109" i="11"/>
  <c r="AJ109" i="11"/>
  <c r="AI109" i="11"/>
  <c r="AH110" i="11"/>
  <c r="AF115" i="11"/>
  <c r="AG117" i="11"/>
  <c r="AE122" i="11"/>
  <c r="AJ122" i="11"/>
  <c r="AI122" i="11"/>
  <c r="AH123" i="11"/>
  <c r="AJ126" i="11"/>
  <c r="AG128" i="11"/>
  <c r="AF130" i="11"/>
  <c r="AK133" i="11"/>
  <c r="AJ135" i="11"/>
  <c r="AI136" i="11"/>
  <c r="AE85" i="11"/>
  <c r="AH85" i="11"/>
  <c r="AG85" i="11"/>
  <c r="AE96" i="11"/>
  <c r="AK96" i="11"/>
  <c r="AE99" i="11"/>
  <c r="AH99" i="11"/>
  <c r="AG99" i="11"/>
  <c r="AE111" i="11"/>
  <c r="AK111" i="11"/>
  <c r="AE114" i="11"/>
  <c r="AH114" i="11"/>
  <c r="AG114" i="11"/>
  <c r="AJ115" i="11"/>
  <c r="AI117" i="11"/>
  <c r="AE124" i="11"/>
  <c r="AK124" i="11"/>
  <c r="AK128" i="11"/>
  <c r="AI130" i="11"/>
  <c r="AE140" i="11"/>
  <c r="AG140" i="11"/>
  <c r="AF140" i="11"/>
  <c r="AK140" i="11"/>
  <c r="AJ140" i="11"/>
  <c r="AE143" i="11"/>
  <c r="AK143" i="11"/>
  <c r="AJ143" i="11"/>
  <c r="AH143" i="11"/>
  <c r="AG143" i="11"/>
  <c r="AF143" i="11"/>
  <c r="AE108" i="11"/>
  <c r="AI108" i="11"/>
  <c r="AH108" i="11"/>
  <c r="AK115" i="11"/>
  <c r="AJ117" i="11"/>
  <c r="AE121" i="11"/>
  <c r="AI121" i="11"/>
  <c r="AH121" i="11"/>
  <c r="AE129" i="11"/>
  <c r="AJ129" i="11"/>
  <c r="AI129" i="11"/>
  <c r="AG129" i="11"/>
  <c r="AE131" i="11"/>
  <c r="AK131" i="11"/>
  <c r="AI131" i="11"/>
  <c r="AE170" i="11"/>
  <c r="AK170" i="11"/>
  <c r="AF170" i="11"/>
  <c r="AI170" i="11"/>
  <c r="AH170" i="11"/>
  <c r="AG170" i="11"/>
  <c r="AE188" i="11"/>
  <c r="AH188" i="11"/>
  <c r="AG188" i="11"/>
  <c r="AJ188" i="11"/>
  <c r="AI188" i="11"/>
  <c r="AF188" i="11"/>
  <c r="AI67" i="11"/>
  <c r="AI72" i="11"/>
  <c r="AG76" i="11"/>
  <c r="AI85" i="11"/>
  <c r="AE87" i="11"/>
  <c r="AJ87" i="11"/>
  <c r="AI87" i="11"/>
  <c r="AK94" i="11"/>
  <c r="AG96" i="11"/>
  <c r="AI99" i="11"/>
  <c r="AE101" i="11"/>
  <c r="AJ101" i="11"/>
  <c r="AI101" i="11"/>
  <c r="AF108" i="11"/>
  <c r="AK109" i="11"/>
  <c r="AG111" i="11"/>
  <c r="AI114" i="11"/>
  <c r="AE116" i="11"/>
  <c r="AJ116" i="11"/>
  <c r="AI116" i="11"/>
  <c r="AF121" i="11"/>
  <c r="AK122" i="11"/>
  <c r="AG124" i="11"/>
  <c r="AF129" i="11"/>
  <c r="AF131" i="11"/>
  <c r="AI140" i="11"/>
  <c r="AE144" i="11"/>
  <c r="AK144" i="11"/>
  <c r="AI144" i="11"/>
  <c r="AH144" i="11"/>
  <c r="AG144" i="11"/>
  <c r="AE147" i="11"/>
  <c r="AG147" i="11"/>
  <c r="AF147" i="11"/>
  <c r="AK147" i="11"/>
  <c r="AJ147" i="11"/>
  <c r="AJ170" i="11"/>
  <c r="AK188" i="11"/>
  <c r="AF434" i="11"/>
  <c r="AE434" i="11"/>
  <c r="AK434" i="11"/>
  <c r="AJ434" i="11"/>
  <c r="AG434" i="11"/>
  <c r="AI434" i="11"/>
  <c r="AH434" i="11"/>
  <c r="AG151" i="11"/>
  <c r="AE157" i="11"/>
  <c r="AF157" i="11"/>
  <c r="AH158" i="11"/>
  <c r="AE160" i="11"/>
  <c r="AJ160" i="11"/>
  <c r="AG161" i="11"/>
  <c r="AE168" i="11"/>
  <c r="AG168" i="11"/>
  <c r="AJ168" i="11"/>
  <c r="AH151" i="11"/>
  <c r="AI158" i="11"/>
  <c r="AH161" i="11"/>
  <c r="AE174" i="11"/>
  <c r="AH174" i="11"/>
  <c r="AG174" i="11"/>
  <c r="AK174" i="11"/>
  <c r="AE182" i="11"/>
  <c r="AK182" i="11"/>
  <c r="AJ182" i="11"/>
  <c r="AF182" i="11"/>
  <c r="AE186" i="11"/>
  <c r="AF186" i="11"/>
  <c r="AI186" i="11"/>
  <c r="AH186" i="11"/>
  <c r="AG142" i="11"/>
  <c r="AF149" i="11"/>
  <c r="AG150" i="11"/>
  <c r="AI151" i="11"/>
  <c r="AF156" i="11"/>
  <c r="AH157" i="11"/>
  <c r="AG160" i="11"/>
  <c r="AE164" i="11"/>
  <c r="AK164" i="11"/>
  <c r="AF164" i="11"/>
  <c r="AH168" i="11"/>
  <c r="AE169" i="11"/>
  <c r="AI169" i="11"/>
  <c r="AF174" i="11"/>
  <c r="AG127" i="11"/>
  <c r="AG134" i="11"/>
  <c r="AG141" i="11"/>
  <c r="AI142" i="11"/>
  <c r="AG148" i="11"/>
  <c r="AH149" i="11"/>
  <c r="AI150" i="11"/>
  <c r="AK151" i="11"/>
  <c r="AG155" i="11"/>
  <c r="AH156" i="11"/>
  <c r="AJ157" i="11"/>
  <c r="AE159" i="11"/>
  <c r="AH159" i="11"/>
  <c r="AI160" i="11"/>
  <c r="AH164" i="11"/>
  <c r="AK168" i="11"/>
  <c r="AG169" i="11"/>
  <c r="AE171" i="11"/>
  <c r="AG171" i="11"/>
  <c r="AJ174" i="11"/>
  <c r="AI182" i="11"/>
  <c r="AK186" i="11"/>
  <c r="AE190" i="11"/>
  <c r="AJ190" i="11"/>
  <c r="AH190" i="11"/>
  <c r="AG190" i="11"/>
  <c r="AF83" i="11"/>
  <c r="AF91" i="11"/>
  <c r="AF97" i="11"/>
  <c r="AF105" i="11"/>
  <c r="AF113" i="11"/>
  <c r="AF119" i="11"/>
  <c r="AH127" i="11"/>
  <c r="AF132" i="11"/>
  <c r="AH134" i="11"/>
  <c r="AF139" i="11"/>
  <c r="AH141" i="11"/>
  <c r="AJ142" i="11"/>
  <c r="AF146" i="11"/>
  <c r="AH148" i="11"/>
  <c r="AI149" i="11"/>
  <c r="AJ150" i="11"/>
  <c r="AF153" i="11"/>
  <c r="AH155" i="11"/>
  <c r="AI156" i="11"/>
  <c r="AK157" i="11"/>
  <c r="AF159" i="11"/>
  <c r="AK160" i="11"/>
  <c r="AF162" i="11"/>
  <c r="AI164" i="11"/>
  <c r="AH169" i="11"/>
  <c r="AF171" i="11"/>
  <c r="AE175" i="11"/>
  <c r="AI175" i="11"/>
  <c r="AH175" i="11"/>
  <c r="AE177" i="11"/>
  <c r="AK177" i="11"/>
  <c r="AG177" i="11"/>
  <c r="AE179" i="11"/>
  <c r="AG179" i="11"/>
  <c r="AF179" i="11"/>
  <c r="AJ179" i="11"/>
  <c r="AE180" i="11"/>
  <c r="AI180" i="11"/>
  <c r="AH180" i="11"/>
  <c r="AE183" i="11"/>
  <c r="AK183" i="11"/>
  <c r="AG183" i="11"/>
  <c r="AE185" i="11"/>
  <c r="AG185" i="11"/>
  <c r="AF185" i="11"/>
  <c r="AJ185" i="11"/>
  <c r="AF190" i="11"/>
  <c r="AE210" i="11"/>
  <c r="AK210" i="11"/>
  <c r="AJ210" i="11"/>
  <c r="AH210" i="11"/>
  <c r="AG210" i="11"/>
  <c r="AF210" i="11"/>
  <c r="AE158" i="11"/>
  <c r="AG158" i="11"/>
  <c r="AE161" i="11"/>
  <c r="AK161" i="11"/>
  <c r="AE192" i="11"/>
  <c r="AK192" i="11"/>
  <c r="AJ192" i="11"/>
  <c r="AH192" i="11"/>
  <c r="AG192" i="11"/>
  <c r="AE195" i="11"/>
  <c r="AI195" i="11"/>
  <c r="AH195" i="11"/>
  <c r="AJ195" i="11"/>
  <c r="AG195" i="11"/>
  <c r="AE204" i="11"/>
  <c r="AK204" i="11"/>
  <c r="AH204" i="11"/>
  <c r="AG204" i="11"/>
  <c r="AF204" i="11"/>
  <c r="AE228" i="11"/>
  <c r="AJ228" i="11"/>
  <c r="AI228" i="11"/>
  <c r="AG228" i="11"/>
  <c r="AF228" i="11"/>
  <c r="AK228" i="11"/>
  <c r="AH228" i="11"/>
  <c r="AE211" i="11"/>
  <c r="AK211" i="11"/>
  <c r="AE223" i="11"/>
  <c r="AK223" i="11"/>
  <c r="AI223" i="11"/>
  <c r="AH223" i="11"/>
  <c r="AH166" i="11"/>
  <c r="AH172" i="11"/>
  <c r="AI173" i="11"/>
  <c r="AI178" i="11"/>
  <c r="AH184" i="11"/>
  <c r="AE187" i="11"/>
  <c r="AG187" i="11"/>
  <c r="AE191" i="11"/>
  <c r="AK191" i="11"/>
  <c r="AE196" i="11"/>
  <c r="AK196" i="11"/>
  <c r="AJ196" i="11"/>
  <c r="AE202" i="11"/>
  <c r="AJ202" i="11"/>
  <c r="AI202" i="11"/>
  <c r="AE208" i="11"/>
  <c r="AI208" i="11"/>
  <c r="AH208" i="11"/>
  <c r="AF211" i="11"/>
  <c r="AF223" i="11"/>
  <c r="AE194" i="11"/>
  <c r="AH194" i="11"/>
  <c r="AG194" i="11"/>
  <c r="AE199" i="11"/>
  <c r="AG199" i="11"/>
  <c r="AF199" i="11"/>
  <c r="AG211" i="11"/>
  <c r="AE221" i="11"/>
  <c r="AJ221" i="11"/>
  <c r="AI221" i="11"/>
  <c r="AG221" i="11"/>
  <c r="AF221" i="11"/>
  <c r="AG223" i="11"/>
  <c r="AE225" i="11"/>
  <c r="AG225" i="11"/>
  <c r="AF225" i="11"/>
  <c r="AK225" i="11"/>
  <c r="AE229" i="11"/>
  <c r="AK229" i="11"/>
  <c r="AJ229" i="11"/>
  <c r="AH229" i="11"/>
  <c r="AG229" i="11"/>
  <c r="AE201" i="11"/>
  <c r="AI201" i="11"/>
  <c r="AH201" i="11"/>
  <c r="AE207" i="11"/>
  <c r="AH207" i="11"/>
  <c r="AG207" i="11"/>
  <c r="AI211" i="11"/>
  <c r="AE213" i="11"/>
  <c r="AG213" i="11"/>
  <c r="AF213" i="11"/>
  <c r="AE236" i="11"/>
  <c r="AK236" i="11"/>
  <c r="AJ236" i="11"/>
  <c r="AI236" i="11"/>
  <c r="AG236" i="11"/>
  <c r="AF236" i="11"/>
  <c r="AE189" i="11"/>
  <c r="AI189" i="11"/>
  <c r="AE193" i="11"/>
  <c r="AG193" i="11"/>
  <c r="AF193" i="11"/>
  <c r="AJ194" i="11"/>
  <c r="AJ199" i="11"/>
  <c r="AF201" i="11"/>
  <c r="AF207" i="11"/>
  <c r="AJ211" i="11"/>
  <c r="AH213" i="11"/>
  <c r="AE222" i="11"/>
  <c r="AK222" i="11"/>
  <c r="AJ222" i="11"/>
  <c r="AH222" i="11"/>
  <c r="AG222" i="11"/>
  <c r="AJ225" i="11"/>
  <c r="AE230" i="11"/>
  <c r="AK230" i="11"/>
  <c r="AI230" i="11"/>
  <c r="AH230" i="11"/>
  <c r="AH236" i="11"/>
  <c r="AF173" i="11"/>
  <c r="AF178" i="11"/>
  <c r="AF189" i="11"/>
  <c r="AH193" i="11"/>
  <c r="AK194" i="11"/>
  <c r="AE197" i="11"/>
  <c r="AK197" i="11"/>
  <c r="AK199" i="11"/>
  <c r="AG201" i="11"/>
  <c r="AE203" i="11"/>
  <c r="AK203" i="11"/>
  <c r="AJ203" i="11"/>
  <c r="AI207" i="11"/>
  <c r="AE209" i="11"/>
  <c r="AJ209" i="11"/>
  <c r="AI209" i="11"/>
  <c r="AI213" i="11"/>
  <c r="AE215" i="11"/>
  <c r="AI215" i="11"/>
  <c r="AH215" i="11"/>
  <c r="AF215" i="11"/>
  <c r="AE216" i="11"/>
  <c r="AK216" i="11"/>
  <c r="AJ216" i="11"/>
  <c r="AH216" i="11"/>
  <c r="AF222" i="11"/>
  <c r="AF230" i="11"/>
  <c r="AH237" i="11"/>
  <c r="AF464" i="11"/>
  <c r="AE464" i="11"/>
  <c r="AK464" i="11"/>
  <c r="AJ464" i="11"/>
  <c r="AG464" i="11"/>
  <c r="AI464" i="11"/>
  <c r="AH464" i="11"/>
  <c r="AF220" i="11"/>
  <c r="AF227" i="11"/>
  <c r="AF235" i="11"/>
  <c r="AI237" i="11"/>
  <c r="AF457" i="11"/>
  <c r="AE457" i="11"/>
  <c r="AK457" i="11"/>
  <c r="AJ457" i="11"/>
  <c r="AG457" i="11"/>
  <c r="AI457" i="11"/>
  <c r="AH457" i="11"/>
  <c r="AG214" i="11"/>
  <c r="AG219" i="11"/>
  <c r="AH220" i="11"/>
  <c r="AG226" i="11"/>
  <c r="AH227" i="11"/>
  <c r="AG234" i="11"/>
  <c r="AH235" i="11"/>
  <c r="AK237" i="11"/>
  <c r="AH214" i="11"/>
  <c r="AH219" i="11"/>
  <c r="AI220" i="11"/>
  <c r="AH226" i="11"/>
  <c r="AI227" i="11"/>
  <c r="AH234" i="11"/>
  <c r="AI235" i="11"/>
  <c r="AF450" i="11"/>
  <c r="AE450" i="11"/>
  <c r="AK450" i="11"/>
  <c r="AJ450" i="11"/>
  <c r="AG450" i="11"/>
  <c r="AI450" i="11"/>
  <c r="AH450" i="11"/>
  <c r="AF442" i="11"/>
  <c r="AE442" i="11"/>
  <c r="AK442" i="11"/>
  <c r="AJ442" i="11"/>
  <c r="AG442" i="11"/>
  <c r="AI442" i="11"/>
  <c r="AH442" i="11"/>
  <c r="AK392" i="11"/>
  <c r="AG392" i="11"/>
  <c r="AF393" i="11"/>
  <c r="AI394" i="11"/>
  <c r="AK396" i="11"/>
  <c r="AG396" i="11"/>
  <c r="AF397" i="11"/>
  <c r="AI398" i="11"/>
  <c r="AK400" i="11"/>
  <c r="AG400" i="11"/>
  <c r="AF401" i="11"/>
  <c r="AI402" i="11"/>
  <c r="AK404" i="11"/>
  <c r="AG404" i="11"/>
  <c r="AF405" i="11"/>
  <c r="AI406" i="11"/>
  <c r="AK407" i="11"/>
  <c r="AG407" i="11"/>
  <c r="AF408" i="11"/>
  <c r="AI409" i="11"/>
  <c r="AK411" i="11"/>
  <c r="AG411" i="11"/>
  <c r="AF412" i="11"/>
  <c r="AI413" i="11"/>
  <c r="AF429" i="11"/>
  <c r="AE429" i="11"/>
  <c r="AK429" i="11"/>
  <c r="AJ429" i="11"/>
  <c r="AG429" i="11"/>
  <c r="AF437" i="11"/>
  <c r="AE437" i="11"/>
  <c r="AK437" i="11"/>
  <c r="AJ437" i="11"/>
  <c r="AG437" i="11"/>
  <c r="AF445" i="11"/>
  <c r="AE445" i="11"/>
  <c r="AK445" i="11"/>
  <c r="AJ445" i="11"/>
  <c r="AG445" i="11"/>
  <c r="AF452" i="11"/>
  <c r="AE452" i="11"/>
  <c r="AK452" i="11"/>
  <c r="AJ452" i="11"/>
  <c r="AG452" i="11"/>
  <c r="AE416" i="11"/>
  <c r="AK416" i="11"/>
  <c r="AG416" i="11"/>
  <c r="AF432" i="11"/>
  <c r="AE432" i="11"/>
  <c r="AK432" i="11"/>
  <c r="AJ432" i="11"/>
  <c r="AG432" i="11"/>
  <c r="AF440" i="11"/>
  <c r="AE440" i="11"/>
  <c r="AK440" i="11"/>
  <c r="AJ440" i="11"/>
  <c r="AG440" i="11"/>
  <c r="AF448" i="11"/>
  <c r="AE448" i="11"/>
  <c r="AK448" i="11"/>
  <c r="AJ448" i="11"/>
  <c r="AG448" i="11"/>
  <c r="AF455" i="11"/>
  <c r="AE455" i="11"/>
  <c r="AK455" i="11"/>
  <c r="AJ455" i="11"/>
  <c r="AG455" i="11"/>
  <c r="AF462" i="11"/>
  <c r="AE462" i="11"/>
  <c r="AK462" i="11"/>
  <c r="AJ462" i="11"/>
  <c r="AG462" i="11"/>
  <c r="AK395" i="11"/>
  <c r="AG395" i="11"/>
  <c r="AK399" i="11"/>
  <c r="AG399" i="11"/>
  <c r="AK403" i="11"/>
  <c r="AG403" i="11"/>
  <c r="AK410" i="11"/>
  <c r="AG410" i="11"/>
  <c r="AE414" i="11"/>
  <c r="AK414" i="11"/>
  <c r="AG414" i="11"/>
  <c r="AF416" i="11"/>
  <c r="AF418" i="11"/>
  <c r="AE418" i="11"/>
  <c r="AK418" i="11"/>
  <c r="AG418" i="11"/>
  <c r="AF420" i="11"/>
  <c r="AE420" i="11"/>
  <c r="AK420" i="11"/>
  <c r="AG420" i="11"/>
  <c r="AF422" i="11"/>
  <c r="AE422" i="11"/>
  <c r="AK422" i="11"/>
  <c r="AG422" i="11"/>
  <c r="AF424" i="11"/>
  <c r="AE424" i="11"/>
  <c r="AK424" i="11"/>
  <c r="AG424" i="11"/>
  <c r="AF426" i="11"/>
  <c r="AE426" i="11"/>
  <c r="AK426" i="11"/>
  <c r="AG426" i="11"/>
  <c r="AI429" i="11"/>
  <c r="AH432" i="11"/>
  <c r="AF435" i="11"/>
  <c r="AE435" i="11"/>
  <c r="AK435" i="11"/>
  <c r="AJ435" i="11"/>
  <c r="AG435" i="11"/>
  <c r="AI437" i="11"/>
  <c r="AH440" i="11"/>
  <c r="AF443" i="11"/>
  <c r="AE443" i="11"/>
  <c r="AK443" i="11"/>
  <c r="AJ443" i="11"/>
  <c r="AG443" i="11"/>
  <c r="AI445" i="11"/>
  <c r="AH448" i="11"/>
  <c r="AI452" i="11"/>
  <c r="AH455" i="11"/>
  <c r="AF458" i="11"/>
  <c r="AE458" i="11"/>
  <c r="AK458" i="11"/>
  <c r="AJ458" i="11"/>
  <c r="AG458" i="11"/>
  <c r="AH462" i="11"/>
  <c r="AF465" i="11"/>
  <c r="AE465" i="11"/>
  <c r="AK465" i="11"/>
  <c r="AJ465" i="11"/>
  <c r="AG465" i="11"/>
  <c r="AF430" i="11"/>
  <c r="AE430" i="11"/>
  <c r="AK430" i="11"/>
  <c r="AJ430" i="11"/>
  <c r="AG430" i="11"/>
  <c r="AI432" i="11"/>
  <c r="AF438" i="11"/>
  <c r="AE438" i="11"/>
  <c r="AK438" i="11"/>
  <c r="AJ438" i="11"/>
  <c r="AG438" i="11"/>
  <c r="AI440" i="11"/>
  <c r="AF446" i="11"/>
  <c r="AE446" i="11"/>
  <c r="AK446" i="11"/>
  <c r="AJ446" i="11"/>
  <c r="AG446" i="11"/>
  <c r="AI448" i="11"/>
  <c r="AF453" i="11"/>
  <c r="AE453" i="11"/>
  <c r="AK453" i="11"/>
  <c r="AJ453" i="11"/>
  <c r="AG453" i="11"/>
  <c r="AI455" i="11"/>
  <c r="AF460" i="11"/>
  <c r="AE460" i="11"/>
  <c r="AK460" i="11"/>
  <c r="AJ460" i="11"/>
  <c r="AG460" i="11"/>
  <c r="AI462" i="11"/>
  <c r="AF467" i="11"/>
  <c r="AE467" i="11"/>
  <c r="AK467" i="11"/>
  <c r="AJ467" i="11"/>
  <c r="AG467" i="11"/>
  <c r="AK394" i="11"/>
  <c r="AG394" i="11"/>
  <c r="AK398" i="11"/>
  <c r="AG398" i="11"/>
  <c r="AK402" i="11"/>
  <c r="AG402" i="11"/>
  <c r="AK406" i="11"/>
  <c r="AG406" i="11"/>
  <c r="AK409" i="11"/>
  <c r="AG409" i="11"/>
  <c r="AK413" i="11"/>
  <c r="AG413" i="11"/>
  <c r="AE415" i="11"/>
  <c r="AK415" i="11"/>
  <c r="AG415" i="11"/>
  <c r="AI416" i="11"/>
  <c r="AH430" i="11"/>
  <c r="AF433" i="11"/>
  <c r="AE433" i="11"/>
  <c r="AK433" i="11"/>
  <c r="AJ433" i="11"/>
  <c r="AG433" i="11"/>
  <c r="AH438" i="11"/>
  <c r="AF441" i="11"/>
  <c r="AE441" i="11"/>
  <c r="AK441" i="11"/>
  <c r="AJ441" i="11"/>
  <c r="AG441" i="11"/>
  <c r="AH446" i="11"/>
  <c r="AF449" i="11"/>
  <c r="AE449" i="11"/>
  <c r="AK449" i="11"/>
  <c r="AJ449" i="11"/>
  <c r="AG449" i="11"/>
  <c r="AH453" i="11"/>
  <c r="AF456" i="11"/>
  <c r="AE456" i="11"/>
  <c r="AK456" i="11"/>
  <c r="AJ456" i="11"/>
  <c r="AG456" i="11"/>
  <c r="AI458" i="11"/>
  <c r="AH460" i="11"/>
  <c r="AF463" i="11"/>
  <c r="AE463" i="11"/>
  <c r="AK463" i="11"/>
  <c r="AJ463" i="11"/>
  <c r="AG463" i="11"/>
  <c r="AI465" i="11"/>
  <c r="AH467" i="11"/>
  <c r="AF428" i="11"/>
  <c r="AE428" i="11"/>
  <c r="AK428" i="11"/>
  <c r="AJ428" i="11"/>
  <c r="AG428" i="11"/>
  <c r="AF436" i="11"/>
  <c r="AE436" i="11"/>
  <c r="AK436" i="11"/>
  <c r="AJ436" i="11"/>
  <c r="AG436" i="11"/>
  <c r="AF444" i="11"/>
  <c r="AE444" i="11"/>
  <c r="AK444" i="11"/>
  <c r="AJ444" i="11"/>
  <c r="AG444" i="11"/>
  <c r="AF451" i="11"/>
  <c r="AE451" i="11"/>
  <c r="AK451" i="11"/>
  <c r="AJ451" i="11"/>
  <c r="AG451" i="11"/>
  <c r="AF459" i="11"/>
  <c r="AE459" i="11"/>
  <c r="AK459" i="11"/>
  <c r="AJ459" i="11"/>
  <c r="AG459" i="11"/>
  <c r="AF466" i="11"/>
  <c r="AE466" i="11"/>
  <c r="AK466" i="11"/>
  <c r="AJ466" i="11"/>
  <c r="AG466" i="11"/>
  <c r="AI467" i="11"/>
  <c r="AK393" i="11"/>
  <c r="AG393" i="11"/>
  <c r="AF394" i="11"/>
  <c r="AI395" i="11"/>
  <c r="AK397" i="11"/>
  <c r="AG397" i="11"/>
  <c r="AF398" i="11"/>
  <c r="AK401" i="11"/>
  <c r="AG401" i="11"/>
  <c r="AF402" i="11"/>
  <c r="AK405" i="11"/>
  <c r="AG405" i="11"/>
  <c r="AF406" i="11"/>
  <c r="AK408" i="11"/>
  <c r="AG408" i="11"/>
  <c r="AF409" i="11"/>
  <c r="AK412" i="11"/>
  <c r="AG412" i="11"/>
  <c r="AF413" i="11"/>
  <c r="AH415" i="11"/>
  <c r="AF417" i="11"/>
  <c r="AE417" i="11"/>
  <c r="AK417" i="11"/>
  <c r="AG417" i="11"/>
  <c r="AF419" i="11"/>
  <c r="AE419" i="11"/>
  <c r="AK419" i="11"/>
  <c r="AG419" i="11"/>
  <c r="AF421" i="11"/>
  <c r="AE421" i="11"/>
  <c r="AK421" i="11"/>
  <c r="AG421" i="11"/>
  <c r="AF423" i="11"/>
  <c r="AE423" i="11"/>
  <c r="AK423" i="11"/>
  <c r="AG423" i="11"/>
  <c r="AF425" i="11"/>
  <c r="AE425" i="11"/>
  <c r="AK425" i="11"/>
  <c r="AG425" i="11"/>
  <c r="AF427" i="11"/>
  <c r="AE427" i="11"/>
  <c r="AK427" i="11"/>
  <c r="AG427" i="11"/>
  <c r="AH428" i="11"/>
  <c r="AF431" i="11"/>
  <c r="AE431" i="11"/>
  <c r="AK431" i="11"/>
  <c r="AJ431" i="11"/>
  <c r="AG431" i="11"/>
  <c r="AI433" i="11"/>
  <c r="AH436" i="11"/>
  <c r="AF439" i="11"/>
  <c r="AE439" i="11"/>
  <c r="AK439" i="11"/>
  <c r="AJ439" i="11"/>
  <c r="AG439" i="11"/>
  <c r="AI441" i="11"/>
  <c r="AH444" i="11"/>
  <c r="AF447" i="11"/>
  <c r="AE447" i="11"/>
  <c r="AK447" i="11"/>
  <c r="AJ447" i="11"/>
  <c r="AG447" i="11"/>
  <c r="AI449" i="11"/>
  <c r="AH451" i="11"/>
  <c r="AF454" i="11"/>
  <c r="AE454" i="11"/>
  <c r="AK454" i="11"/>
  <c r="AJ454" i="11"/>
  <c r="AG454" i="11"/>
  <c r="AI456" i="11"/>
  <c r="AH459" i="11"/>
  <c r="AF461" i="11"/>
  <c r="AE461" i="11"/>
  <c r="AK461" i="11"/>
  <c r="AJ461" i="11"/>
  <c r="AG461" i="11"/>
  <c r="AI463" i="11"/>
  <c r="AH466" i="11"/>
  <c r="AF468" i="11"/>
  <c r="AE468" i="11"/>
  <c r="AK468" i="11"/>
  <c r="AJ468" i="11"/>
  <c r="AG468" i="11"/>
  <c r="AG469" i="11"/>
  <c r="AI469" i="11"/>
  <c r="AJ469" i="11"/>
  <c r="AK469" i="11"/>
  <c r="AE469" i="11"/>
  <c r="AE470" i="11"/>
  <c r="AF470" i="11"/>
  <c r="AG470" i="11"/>
  <c r="AH470" i="11"/>
  <c r="AI470" i="11"/>
  <c r="AJ470" i="11"/>
  <c r="X3" i="7"/>
  <c r="X4" i="7"/>
  <c r="X5" i="7"/>
  <c r="Z5" i="7" s="1"/>
  <c r="X6" i="7"/>
  <c r="AA6" i="7" s="1"/>
  <c r="X7" i="7"/>
  <c r="X8" i="7"/>
  <c r="X9" i="7"/>
  <c r="Y9" i="7" s="1"/>
  <c r="X10" i="7"/>
  <c r="Z10" i="7" s="1"/>
  <c r="X11" i="7"/>
  <c r="AA11" i="7" s="1"/>
  <c r="X12" i="7"/>
  <c r="X13" i="7"/>
  <c r="AB13" i="7" s="1"/>
  <c r="X14" i="7"/>
  <c r="Y14" i="7" s="1"/>
  <c r="X15" i="7"/>
  <c r="X16" i="7"/>
  <c r="AC16" i="7" s="1"/>
  <c r="X2" i="7"/>
  <c r="Z2" i="7" s="1"/>
  <c r="M3" i="7"/>
  <c r="N3" i="7" s="1"/>
  <c r="P3" i="7"/>
  <c r="U3" i="7"/>
  <c r="Y3" i="7"/>
  <c r="Z3" i="7"/>
  <c r="AA3" i="7"/>
  <c r="AB3" i="7"/>
  <c r="AC3" i="7"/>
  <c r="AD3" i="7"/>
  <c r="AE3" i="7"/>
  <c r="AF3" i="7"/>
  <c r="AG3" i="7"/>
  <c r="AH3" i="7"/>
  <c r="M4" i="7"/>
  <c r="N4" i="7" s="1"/>
  <c r="O4" i="7"/>
  <c r="P4" i="7"/>
  <c r="Q4" i="7"/>
  <c r="S4" i="7"/>
  <c r="T4" i="7"/>
  <c r="W4" i="7"/>
  <c r="Y4" i="7"/>
  <c r="Z4" i="7"/>
  <c r="AA4" i="7"/>
  <c r="AB4" i="7"/>
  <c r="AC4" i="7"/>
  <c r="AD4" i="7"/>
  <c r="AE4" i="7"/>
  <c r="AF4" i="7"/>
  <c r="AG4" i="7"/>
  <c r="AH4" i="7"/>
  <c r="M5" i="7"/>
  <c r="P5" i="7" s="1"/>
  <c r="N5" i="7"/>
  <c r="O5" i="7"/>
  <c r="U5" i="7"/>
  <c r="V5" i="7"/>
  <c r="W5" i="7"/>
  <c r="Y5" i="7"/>
  <c r="AB5" i="7"/>
  <c r="AC5" i="7"/>
  <c r="AF5" i="7"/>
  <c r="AG5" i="7"/>
  <c r="M6" i="7"/>
  <c r="N6" i="7" s="1"/>
  <c r="Z6" i="7"/>
  <c r="AD6" i="7"/>
  <c r="AH6" i="7"/>
  <c r="M7" i="7"/>
  <c r="N7" i="7" s="1"/>
  <c r="P7" i="7"/>
  <c r="Q7" i="7"/>
  <c r="U7" i="7"/>
  <c r="Y7" i="7"/>
  <c r="Z7" i="7"/>
  <c r="AA7" i="7"/>
  <c r="AB7" i="7"/>
  <c r="AC7" i="7"/>
  <c r="AD7" i="7"/>
  <c r="AE7" i="7"/>
  <c r="AF7" i="7"/>
  <c r="AG7" i="7"/>
  <c r="AH7" i="7"/>
  <c r="M8" i="7"/>
  <c r="N8" i="7" s="1"/>
  <c r="W8" i="7"/>
  <c r="Y8" i="7"/>
  <c r="Z8" i="7"/>
  <c r="AA8" i="7"/>
  <c r="AB8" i="7"/>
  <c r="AC8" i="7"/>
  <c r="AD8" i="7"/>
  <c r="AE8" i="7"/>
  <c r="AF8" i="7"/>
  <c r="AG8" i="7"/>
  <c r="AH8" i="7"/>
  <c r="M9" i="7"/>
  <c r="T9" i="7" s="1"/>
  <c r="P9" i="7"/>
  <c r="Q9" i="7"/>
  <c r="R9" i="7"/>
  <c r="S9" i="7"/>
  <c r="U9" i="7"/>
  <c r="AA9" i="7"/>
  <c r="AB9" i="7"/>
  <c r="AE9" i="7"/>
  <c r="AF9" i="7"/>
  <c r="M10" i="7"/>
  <c r="N10" i="7" s="1"/>
  <c r="Y10" i="7"/>
  <c r="AC10" i="7"/>
  <c r="AG10" i="7"/>
  <c r="M11" i="7"/>
  <c r="N11" i="7" s="1"/>
  <c r="Q11" i="7"/>
  <c r="Y11" i="7"/>
  <c r="Z11" i="7"/>
  <c r="AB11" i="7"/>
  <c r="AC11" i="7"/>
  <c r="AD11" i="7"/>
  <c r="AE11" i="7"/>
  <c r="AF11" i="7"/>
  <c r="AG11" i="7"/>
  <c r="AH11" i="7"/>
  <c r="M12" i="7"/>
  <c r="N12" i="7" s="1"/>
  <c r="O12" i="7"/>
  <c r="P12" i="7"/>
  <c r="Q12" i="7"/>
  <c r="S12" i="7"/>
  <c r="T12" i="7"/>
  <c r="U12" i="7"/>
  <c r="W12" i="7"/>
  <c r="Y12" i="7"/>
  <c r="Z12" i="7"/>
  <c r="AA12" i="7"/>
  <c r="AB12" i="7"/>
  <c r="AC12" i="7"/>
  <c r="AD12" i="7"/>
  <c r="AE12" i="7"/>
  <c r="AF12" i="7"/>
  <c r="AG12" i="7"/>
  <c r="AH12" i="7"/>
  <c r="M13" i="7"/>
  <c r="P13" i="7" s="1"/>
  <c r="N13" i="7"/>
  <c r="O13" i="7"/>
  <c r="T13" i="7"/>
  <c r="U13" i="7"/>
  <c r="V13" i="7"/>
  <c r="W13" i="7"/>
  <c r="Z13" i="7"/>
  <c r="AA13" i="7"/>
  <c r="AD13" i="7"/>
  <c r="AE13" i="7"/>
  <c r="AH13" i="7"/>
  <c r="M14" i="7"/>
  <c r="N14" i="7" s="1"/>
  <c r="AB14" i="7"/>
  <c r="AF14" i="7"/>
  <c r="M15" i="7"/>
  <c r="N15" i="7" s="1"/>
  <c r="P15" i="7"/>
  <c r="U15" i="7"/>
  <c r="Y15" i="7"/>
  <c r="Z15" i="7"/>
  <c r="AA15" i="7"/>
  <c r="AB15" i="7"/>
  <c r="AC15" i="7"/>
  <c r="AD15" i="7"/>
  <c r="AE15" i="7"/>
  <c r="AF15" i="7"/>
  <c r="AG15" i="7"/>
  <c r="AH15" i="7"/>
  <c r="M16" i="7"/>
  <c r="N16" i="7" s="1"/>
  <c r="T16" i="7"/>
  <c r="W16" i="7"/>
  <c r="Y16" i="7"/>
  <c r="Z16" i="7"/>
  <c r="AA16" i="7"/>
  <c r="AB16" i="7"/>
  <c r="AD16" i="7"/>
  <c r="AE16" i="7"/>
  <c r="AF16" i="7"/>
  <c r="AG16" i="7"/>
  <c r="AH16" i="7"/>
  <c r="M2" i="7"/>
  <c r="O2" i="7" s="1"/>
  <c r="B2" i="7"/>
  <c r="J2" i="7" s="1"/>
  <c r="B3" i="7"/>
  <c r="C3" i="7" s="1"/>
  <c r="B4" i="7"/>
  <c r="D4" i="7" s="1"/>
  <c r="C4" i="7"/>
  <c r="B5" i="7"/>
  <c r="E5" i="7" s="1"/>
  <c r="C5" i="7"/>
  <c r="D5" i="7"/>
  <c r="F5" i="7"/>
  <c r="L5" i="7"/>
  <c r="B6" i="7"/>
  <c r="C6" i="7" s="1"/>
  <c r="B7" i="7"/>
  <c r="C7" i="7" s="1"/>
  <c r="B8" i="7"/>
  <c r="D8" i="7" s="1"/>
  <c r="C8" i="7"/>
  <c r="B9" i="7"/>
  <c r="E9" i="7" s="1"/>
  <c r="F9" i="7"/>
  <c r="G9" i="7"/>
  <c r="H9" i="7"/>
  <c r="B10" i="7"/>
  <c r="C10" i="7" s="1"/>
  <c r="D10" i="7"/>
  <c r="E10" i="7"/>
  <c r="F10" i="7"/>
  <c r="H10" i="7"/>
  <c r="L10" i="7"/>
  <c r="B11" i="7"/>
  <c r="C11" i="7" s="1"/>
  <c r="B12" i="7"/>
  <c r="D12" i="7" s="1"/>
  <c r="C12" i="7"/>
  <c r="G12" i="7"/>
  <c r="K12" i="7"/>
  <c r="B13" i="7"/>
  <c r="E13" i="7" s="1"/>
  <c r="D13" i="7"/>
  <c r="F13" i="7"/>
  <c r="G13" i="7"/>
  <c r="H13" i="7"/>
  <c r="J13" i="7"/>
  <c r="K13" i="7"/>
  <c r="L13" i="7"/>
  <c r="B14" i="7"/>
  <c r="C14" i="7" s="1"/>
  <c r="D14" i="7"/>
  <c r="E14" i="7"/>
  <c r="F14" i="7"/>
  <c r="H14" i="7"/>
  <c r="I14" i="7"/>
  <c r="J14" i="7"/>
  <c r="L14" i="7"/>
  <c r="B15" i="7"/>
  <c r="C15" i="7" s="1"/>
  <c r="B16" i="7"/>
  <c r="D16" i="7" s="1"/>
  <c r="K16" i="7"/>
  <c r="B1" i="6"/>
  <c r="B2" i="6"/>
  <c r="H12" i="22" l="1"/>
  <c r="S12" i="22" s="1"/>
  <c r="K13" i="22"/>
  <c r="V13" i="22" s="1"/>
  <c r="K451" i="21" s="1"/>
  <c r="G13" i="22"/>
  <c r="R13" i="22" s="1"/>
  <c r="G31" i="21" s="1"/>
  <c r="J13" i="22"/>
  <c r="U13" i="22" s="1"/>
  <c r="J241" i="21" s="1"/>
  <c r="K12" i="22"/>
  <c r="V12" i="22" s="1"/>
  <c r="K30" i="21" s="1"/>
  <c r="L12" i="22"/>
  <c r="W12" i="22" s="1"/>
  <c r="L450" i="21" s="1"/>
  <c r="G176" i="22"/>
  <c r="R176" i="22" s="1"/>
  <c r="G402" i="21" s="1"/>
  <c r="G166" i="22"/>
  <c r="R166" i="22" s="1"/>
  <c r="G607" i="21" s="1"/>
  <c r="H11" i="22"/>
  <c r="S11" i="22" s="1"/>
  <c r="S9" i="22" s="1"/>
  <c r="L13" i="22"/>
  <c r="W13" i="22" s="1"/>
  <c r="L241" i="21" s="1"/>
  <c r="G186" i="22"/>
  <c r="R186" i="22" s="1"/>
  <c r="G625" i="21" s="1"/>
  <c r="BJ510" i="8"/>
  <c r="BK510" i="8"/>
  <c r="BL510" i="8"/>
  <c r="BI510" i="8"/>
  <c r="BE486" i="8"/>
  <c r="BG486" i="8"/>
  <c r="BH486" i="8"/>
  <c r="BF486" i="8"/>
  <c r="BF555" i="8"/>
  <c r="BH555" i="8"/>
  <c r="BE555" i="8"/>
  <c r="BG555" i="8"/>
  <c r="BL351" i="8"/>
  <c r="BJ351" i="8"/>
  <c r="BK351" i="8"/>
  <c r="BI351" i="8"/>
  <c r="BJ232" i="8"/>
  <c r="BK232" i="8"/>
  <c r="BL232" i="8"/>
  <c r="BI232" i="8"/>
  <c r="F202" i="21"/>
  <c r="F624" i="21"/>
  <c r="F411" i="21"/>
  <c r="G195" i="21"/>
  <c r="BI555" i="8"/>
  <c r="BL555" i="8"/>
  <c r="BJ555" i="8"/>
  <c r="BK555" i="8"/>
  <c r="BO351" i="8"/>
  <c r="BP351" i="8"/>
  <c r="BN351" i="8"/>
  <c r="BM351" i="8"/>
  <c r="BP232" i="8"/>
  <c r="BN232" i="8"/>
  <c r="BM232" i="8"/>
  <c r="BO232" i="8"/>
  <c r="I187" i="21"/>
  <c r="I609" i="21"/>
  <c r="I396" i="21"/>
  <c r="C402" i="21"/>
  <c r="C615" i="21"/>
  <c r="C191" i="21"/>
  <c r="H396" i="21"/>
  <c r="H609" i="21"/>
  <c r="H187" i="21"/>
  <c r="F193" i="21"/>
  <c r="F617" i="21"/>
  <c r="F404" i="21"/>
  <c r="C393" i="21"/>
  <c r="C606" i="21"/>
  <c r="C184" i="21"/>
  <c r="BP555" i="8"/>
  <c r="BN555" i="8"/>
  <c r="BO555" i="8"/>
  <c r="BM555" i="8"/>
  <c r="BF351" i="8"/>
  <c r="BG351" i="8"/>
  <c r="BE351" i="8"/>
  <c r="BH351" i="8"/>
  <c r="BE259" i="8"/>
  <c r="BF259" i="8"/>
  <c r="BG259" i="8"/>
  <c r="BH259" i="8"/>
  <c r="I414" i="21"/>
  <c r="I627" i="21"/>
  <c r="I205" i="21"/>
  <c r="F194" i="21"/>
  <c r="G184" i="21"/>
  <c r="G393" i="21"/>
  <c r="G606" i="21"/>
  <c r="H195" i="21"/>
  <c r="C394" i="21"/>
  <c r="C607" i="21"/>
  <c r="C185" i="21"/>
  <c r="D202" i="21"/>
  <c r="D624" i="21"/>
  <c r="D411" i="21"/>
  <c r="D393" i="21"/>
  <c r="D184" i="21"/>
  <c r="D606" i="21"/>
  <c r="C624" i="21"/>
  <c r="C411" i="21"/>
  <c r="C202" i="21"/>
  <c r="BK259" i="8"/>
  <c r="BL259" i="8"/>
  <c r="BI259" i="8"/>
  <c r="BJ259" i="8"/>
  <c r="BM546" i="8"/>
  <c r="BN546" i="8"/>
  <c r="BO546" i="8"/>
  <c r="BP546" i="8"/>
  <c r="F192" i="21"/>
  <c r="F614" i="21"/>
  <c r="F401" i="21"/>
  <c r="E394" i="21"/>
  <c r="E607" i="21"/>
  <c r="E185" i="21"/>
  <c r="W168" i="22"/>
  <c r="W188" i="22"/>
  <c r="W167" i="22"/>
  <c r="W187" i="22"/>
  <c r="I195" i="21"/>
  <c r="K414" i="21"/>
  <c r="K205" i="21"/>
  <c r="K627" i="21"/>
  <c r="K609" i="21"/>
  <c r="K396" i="21"/>
  <c r="K187" i="21"/>
  <c r="T178" i="22"/>
  <c r="C203" i="21"/>
  <c r="C412" i="21"/>
  <c r="C625" i="21"/>
  <c r="E606" i="21"/>
  <c r="E393" i="21"/>
  <c r="E184" i="21"/>
  <c r="C192" i="21"/>
  <c r="C401" i="21"/>
  <c r="C614" i="21"/>
  <c r="BL407" i="8"/>
  <c r="BJ407" i="8"/>
  <c r="BK407" i="8"/>
  <c r="BI407" i="8"/>
  <c r="BM259" i="8"/>
  <c r="BN259" i="8"/>
  <c r="BO259" i="8"/>
  <c r="BP259" i="8"/>
  <c r="BE546" i="8"/>
  <c r="BF546" i="8"/>
  <c r="BG546" i="8"/>
  <c r="BH546" i="8"/>
  <c r="J11" i="22"/>
  <c r="U11" i="22" s="1"/>
  <c r="J29" i="21" s="1"/>
  <c r="G411" i="21"/>
  <c r="G624" i="21"/>
  <c r="G202" i="21"/>
  <c r="H617" i="21"/>
  <c r="H404" i="21"/>
  <c r="H193" i="21"/>
  <c r="J195" i="21"/>
  <c r="C205" i="21"/>
  <c r="C414" i="21"/>
  <c r="C627" i="21"/>
  <c r="C609" i="21"/>
  <c r="C187" i="21"/>
  <c r="C396" i="21"/>
  <c r="K195" i="21"/>
  <c r="D607" i="21"/>
  <c r="D185" i="21"/>
  <c r="D394" i="21"/>
  <c r="E411" i="21"/>
  <c r="E202" i="21"/>
  <c r="E624" i="21"/>
  <c r="O163" i="22"/>
  <c r="D395" i="21" s="1"/>
  <c r="K193" i="21"/>
  <c r="K617" i="21"/>
  <c r="K404" i="21"/>
  <c r="BF132" i="8"/>
  <c r="BG132" i="8"/>
  <c r="BE132" i="8"/>
  <c r="BH132" i="8"/>
  <c r="BK234" i="8"/>
  <c r="BL234" i="8"/>
  <c r="BI234" i="8"/>
  <c r="BJ234" i="8"/>
  <c r="BN407" i="8"/>
  <c r="BO407" i="8"/>
  <c r="BP407" i="8"/>
  <c r="BM407" i="8"/>
  <c r="BJ546" i="8"/>
  <c r="BK546" i="8"/>
  <c r="BL546" i="8"/>
  <c r="BI546" i="8"/>
  <c r="BM510" i="8"/>
  <c r="BN510" i="8"/>
  <c r="BP510" i="8"/>
  <c r="BO510" i="8"/>
  <c r="D396" i="21"/>
  <c r="D187" i="21"/>
  <c r="D609" i="21"/>
  <c r="G404" i="21"/>
  <c r="G193" i="21"/>
  <c r="G617" i="21"/>
  <c r="L195" i="21"/>
  <c r="C195" i="21"/>
  <c r="F393" i="21"/>
  <c r="F184" i="21"/>
  <c r="F606" i="21"/>
  <c r="D192" i="21"/>
  <c r="D614" i="21"/>
  <c r="D401" i="21"/>
  <c r="L617" i="21"/>
  <c r="L193" i="21"/>
  <c r="L404" i="21"/>
  <c r="O183" i="22"/>
  <c r="D413" i="21" s="1"/>
  <c r="E187" i="21"/>
  <c r="E396" i="21"/>
  <c r="E609" i="21"/>
  <c r="C617" i="21"/>
  <c r="C193" i="21"/>
  <c r="C404" i="21"/>
  <c r="D414" i="21"/>
  <c r="D627" i="21"/>
  <c r="D205" i="21"/>
  <c r="BK132" i="8"/>
  <c r="BI132" i="8"/>
  <c r="BL132" i="8"/>
  <c r="BJ132" i="8"/>
  <c r="BF234" i="8"/>
  <c r="BH234" i="8"/>
  <c r="BE234" i="8"/>
  <c r="BG234" i="8"/>
  <c r="BM486" i="8"/>
  <c r="BN486" i="8"/>
  <c r="BO486" i="8"/>
  <c r="BP486" i="8"/>
  <c r="D625" i="21"/>
  <c r="D203" i="21"/>
  <c r="D412" i="21"/>
  <c r="E192" i="21"/>
  <c r="E614" i="21"/>
  <c r="E401" i="21"/>
  <c r="O177" i="22"/>
  <c r="D404" i="21" s="1"/>
  <c r="E615" i="21"/>
  <c r="E191" i="21"/>
  <c r="E402" i="21"/>
  <c r="Q163" i="22"/>
  <c r="F395" i="21" s="1"/>
  <c r="D194" i="21"/>
  <c r="Q188" i="22"/>
  <c r="F396" i="21"/>
  <c r="F609" i="21"/>
  <c r="F187" i="21"/>
  <c r="D193" i="21"/>
  <c r="P188" i="22"/>
  <c r="E203" i="21" s="1"/>
  <c r="E195" i="21"/>
  <c r="F204" i="21"/>
  <c r="F626" i="21"/>
  <c r="F413" i="21"/>
  <c r="BF407" i="8"/>
  <c r="BG407" i="8"/>
  <c r="BE407" i="8"/>
  <c r="BH407" i="8"/>
  <c r="BE510" i="8"/>
  <c r="BG510" i="8"/>
  <c r="BH510" i="8"/>
  <c r="BF510" i="8"/>
  <c r="BJ486" i="8"/>
  <c r="BK486" i="8"/>
  <c r="BL486" i="8"/>
  <c r="BI486" i="8"/>
  <c r="BO132" i="8"/>
  <c r="BM132" i="8"/>
  <c r="BN132" i="8"/>
  <c r="BP132" i="8"/>
  <c r="BP234" i="8"/>
  <c r="BN234" i="8"/>
  <c r="BM234" i="8"/>
  <c r="BO234" i="8"/>
  <c r="BF232" i="8"/>
  <c r="BE232" i="8"/>
  <c r="BG232" i="8"/>
  <c r="BH232" i="8"/>
  <c r="D402" i="21"/>
  <c r="D615" i="21"/>
  <c r="D191" i="21"/>
  <c r="S188" i="22"/>
  <c r="G614" i="21"/>
  <c r="G192" i="21"/>
  <c r="G401" i="21"/>
  <c r="G396" i="21"/>
  <c r="G187" i="21"/>
  <c r="G609" i="21"/>
  <c r="E617" i="21"/>
  <c r="E193" i="21"/>
  <c r="E404" i="21"/>
  <c r="F403" i="21"/>
  <c r="F616" i="21"/>
  <c r="F195" i="21"/>
  <c r="R187" i="22"/>
  <c r="G627" i="21" s="1"/>
  <c r="F40" i="21"/>
  <c r="E40" i="21"/>
  <c r="M37" i="21"/>
  <c r="G40" i="21"/>
  <c r="M38" i="21"/>
  <c r="J40" i="21"/>
  <c r="I250" i="21"/>
  <c r="E250" i="21"/>
  <c r="H40" i="21"/>
  <c r="K250" i="21"/>
  <c r="D40" i="21"/>
  <c r="L40" i="21"/>
  <c r="M39" i="21"/>
  <c r="K460" i="21"/>
  <c r="M247" i="21"/>
  <c r="I40" i="21"/>
  <c r="H250" i="21"/>
  <c r="K40" i="21"/>
  <c r="D33" i="21"/>
  <c r="D453" i="21"/>
  <c r="D243" i="21"/>
  <c r="E33" i="21"/>
  <c r="E453" i="21"/>
  <c r="E243" i="21"/>
  <c r="I28" i="21"/>
  <c r="T9" i="22"/>
  <c r="I448" i="21"/>
  <c r="I238" i="21"/>
  <c r="F30" i="21"/>
  <c r="F450" i="21"/>
  <c r="F240" i="21"/>
  <c r="E31" i="21"/>
  <c r="E451" i="21"/>
  <c r="E241" i="21"/>
  <c r="D32" i="21"/>
  <c r="D452" i="21"/>
  <c r="D242" i="21"/>
  <c r="C33" i="21"/>
  <c r="C453" i="21"/>
  <c r="C243" i="21"/>
  <c r="L460" i="21"/>
  <c r="G460" i="21"/>
  <c r="D460" i="21"/>
  <c r="L33" i="21"/>
  <c r="L243" i="21"/>
  <c r="L453" i="21"/>
  <c r="C28" i="21"/>
  <c r="N9" i="22"/>
  <c r="C448" i="21"/>
  <c r="E30" i="21"/>
  <c r="E450" i="21"/>
  <c r="E240" i="21"/>
  <c r="D31" i="21"/>
  <c r="D451" i="21"/>
  <c r="D241" i="21"/>
  <c r="C32" i="21"/>
  <c r="C452" i="21"/>
  <c r="C242" i="21"/>
  <c r="L32" i="21"/>
  <c r="L242" i="21"/>
  <c r="L452" i="21"/>
  <c r="K33" i="21"/>
  <c r="K453" i="21"/>
  <c r="K243" i="21"/>
  <c r="M248" i="21"/>
  <c r="F460" i="21"/>
  <c r="F28" i="21"/>
  <c r="Q9" i="22"/>
  <c r="F448" i="21"/>
  <c r="F238" i="21"/>
  <c r="G28" i="21"/>
  <c r="G448" i="21"/>
  <c r="G238" i="21"/>
  <c r="H28" i="21"/>
  <c r="H448" i="21"/>
  <c r="H238" i="21"/>
  <c r="C31" i="21"/>
  <c r="C451" i="21"/>
  <c r="C241" i="21"/>
  <c r="K32" i="21"/>
  <c r="K452" i="21"/>
  <c r="K242" i="21"/>
  <c r="J33" i="21"/>
  <c r="J453" i="21"/>
  <c r="J243" i="21"/>
  <c r="M458" i="21"/>
  <c r="M457" i="21"/>
  <c r="E460" i="21"/>
  <c r="M249" i="21"/>
  <c r="D29" i="21"/>
  <c r="D449" i="21"/>
  <c r="D239" i="21"/>
  <c r="E29" i="21"/>
  <c r="E449" i="21"/>
  <c r="E239" i="21"/>
  <c r="D30" i="21"/>
  <c r="D450" i="21"/>
  <c r="D240" i="21"/>
  <c r="K31" i="21"/>
  <c r="J32" i="21"/>
  <c r="J452" i="21"/>
  <c r="J242" i="21"/>
  <c r="I33" i="21"/>
  <c r="I453" i="21"/>
  <c r="I243" i="21"/>
  <c r="E28" i="21"/>
  <c r="P9" i="22"/>
  <c r="E448" i="21"/>
  <c r="E238" i="21"/>
  <c r="M459" i="21"/>
  <c r="L29" i="21"/>
  <c r="L239" i="21"/>
  <c r="L449" i="21"/>
  <c r="C30" i="21"/>
  <c r="C450" i="21"/>
  <c r="C240" i="21"/>
  <c r="I32" i="21"/>
  <c r="I452" i="21"/>
  <c r="I242" i="21"/>
  <c r="H33" i="21"/>
  <c r="H453" i="21"/>
  <c r="H243" i="21"/>
  <c r="D28" i="21"/>
  <c r="O9" i="22"/>
  <c r="D448" i="21"/>
  <c r="D238" i="21"/>
  <c r="C29" i="21"/>
  <c r="C449" i="21"/>
  <c r="C239" i="21"/>
  <c r="F29" i="21"/>
  <c r="F449" i="21"/>
  <c r="F239" i="21"/>
  <c r="J250" i="21"/>
  <c r="F250" i="21"/>
  <c r="J30" i="21"/>
  <c r="J450" i="21"/>
  <c r="J240" i="21"/>
  <c r="K240" i="21"/>
  <c r="G33" i="21"/>
  <c r="G453" i="21"/>
  <c r="G243" i="21"/>
  <c r="K28" i="21"/>
  <c r="K448" i="21"/>
  <c r="K238" i="21"/>
  <c r="L28" i="21"/>
  <c r="L448" i="21"/>
  <c r="L238" i="21"/>
  <c r="I30" i="21"/>
  <c r="I450" i="21"/>
  <c r="I240" i="21"/>
  <c r="G29" i="21"/>
  <c r="G449" i="21"/>
  <c r="G239" i="21"/>
  <c r="J460" i="21"/>
  <c r="H31" i="21"/>
  <c r="H451" i="21"/>
  <c r="H241" i="21"/>
  <c r="I31" i="21"/>
  <c r="I451" i="21"/>
  <c r="I241" i="21"/>
  <c r="H32" i="21"/>
  <c r="H452" i="21"/>
  <c r="H242" i="21"/>
  <c r="J28" i="21"/>
  <c r="J448" i="21"/>
  <c r="J238" i="21"/>
  <c r="I29" i="21"/>
  <c r="I449" i="21"/>
  <c r="I239" i="21"/>
  <c r="H30" i="21"/>
  <c r="H450" i="21"/>
  <c r="H240" i="21"/>
  <c r="N17" i="22"/>
  <c r="C456" i="21"/>
  <c r="C460" i="21" s="1"/>
  <c r="C246" i="21"/>
  <c r="I460" i="21"/>
  <c r="D250" i="21"/>
  <c r="F32" i="21"/>
  <c r="F452" i="21"/>
  <c r="F242" i="21"/>
  <c r="G32" i="21"/>
  <c r="G452" i="21"/>
  <c r="G242" i="21"/>
  <c r="F33" i="21"/>
  <c r="F453" i="21"/>
  <c r="F243" i="21"/>
  <c r="G30" i="21"/>
  <c r="G450" i="21"/>
  <c r="G240" i="21"/>
  <c r="F31" i="21"/>
  <c r="F451" i="21"/>
  <c r="F241" i="21"/>
  <c r="E32" i="21"/>
  <c r="E452" i="21"/>
  <c r="E242" i="21"/>
  <c r="H460" i="21"/>
  <c r="L250" i="21"/>
  <c r="G250" i="21"/>
  <c r="C36" i="21"/>
  <c r="M36" i="21" s="1"/>
  <c r="K11" i="22"/>
  <c r="V11" i="22" s="1"/>
  <c r="V9" i="22" s="1"/>
  <c r="AO534" i="8"/>
  <c r="AR534" i="8" s="1"/>
  <c r="AO336" i="8"/>
  <c r="AR336" i="8" s="1"/>
  <c r="AO243" i="8"/>
  <c r="AR243" i="8" s="1"/>
  <c r="AM378" i="8"/>
  <c r="AP378" i="8" s="1"/>
  <c r="AO105" i="8"/>
  <c r="AR105" i="8" s="1"/>
  <c r="AO129" i="8"/>
  <c r="AR129" i="8" s="1"/>
  <c r="AO512" i="8"/>
  <c r="AR512" i="8" s="1"/>
  <c r="AM399" i="8"/>
  <c r="AP399" i="8" s="1"/>
  <c r="AO97" i="8"/>
  <c r="AR97" i="8" s="1"/>
  <c r="AO360" i="8"/>
  <c r="AR360" i="8" s="1"/>
  <c r="AO90" i="8"/>
  <c r="AR90" i="8" s="1"/>
  <c r="AO221" i="8"/>
  <c r="AR221" i="8" s="1"/>
  <c r="AO167" i="8"/>
  <c r="AR167" i="8" s="1"/>
  <c r="AN268" i="8"/>
  <c r="AQ268" i="8" s="1"/>
  <c r="AN233" i="8"/>
  <c r="AQ233" i="8" s="1"/>
  <c r="AO135" i="8"/>
  <c r="AR135" i="8" s="1"/>
  <c r="AO39" i="8"/>
  <c r="AR39" i="8" s="1"/>
  <c r="AO197" i="8"/>
  <c r="AR197" i="8" s="1"/>
  <c r="AO311" i="8"/>
  <c r="AR311" i="8" s="1"/>
  <c r="AO427" i="8"/>
  <c r="AR427" i="8" s="1"/>
  <c r="AO74" i="8"/>
  <c r="AR74" i="8" s="1"/>
  <c r="AO302" i="8"/>
  <c r="AR302" i="8" s="1"/>
  <c r="AO399" i="8"/>
  <c r="AR399" i="8" s="1"/>
  <c r="AM267" i="8"/>
  <c r="AP267" i="8" s="1"/>
  <c r="AM316" i="8"/>
  <c r="AP316" i="8" s="1"/>
  <c r="AO203" i="8"/>
  <c r="AR203" i="8" s="1"/>
  <c r="AM419" i="8"/>
  <c r="AP419" i="8" s="1"/>
  <c r="AN449" i="8"/>
  <c r="AQ449" i="8" s="1"/>
  <c r="AM533" i="8"/>
  <c r="AP533" i="8" s="1"/>
  <c r="AN167" i="8"/>
  <c r="AQ167" i="8" s="1"/>
  <c r="AN62" i="8"/>
  <c r="AQ62" i="8" s="1"/>
  <c r="AM175" i="8"/>
  <c r="AP175" i="8" s="1"/>
  <c r="AM433" i="8"/>
  <c r="AP433" i="8" s="1"/>
  <c r="AM20" i="8"/>
  <c r="AP20" i="8" s="1"/>
  <c r="AN455" i="8"/>
  <c r="AQ455" i="8" s="1"/>
  <c r="AN326" i="8"/>
  <c r="AQ326" i="8" s="1"/>
  <c r="AM509" i="8"/>
  <c r="AP509" i="8" s="1"/>
  <c r="AN187" i="8"/>
  <c r="AQ187" i="8" s="1"/>
  <c r="AN294" i="8"/>
  <c r="AQ294" i="8" s="1"/>
  <c r="AO119" i="8"/>
  <c r="AR119" i="8" s="1"/>
  <c r="AN203" i="8"/>
  <c r="AQ203" i="8" s="1"/>
  <c r="AO376" i="8"/>
  <c r="AR376" i="8" s="1"/>
  <c r="AN86" i="8"/>
  <c r="AQ86" i="8" s="1"/>
  <c r="AN327" i="8"/>
  <c r="AQ327" i="8" s="1"/>
  <c r="AM371" i="8"/>
  <c r="AP371" i="8" s="1"/>
  <c r="AO565" i="8"/>
  <c r="AR565" i="8" s="1"/>
  <c r="AO229" i="8"/>
  <c r="AR229" i="8" s="1"/>
  <c r="AO470" i="8"/>
  <c r="AR470" i="8" s="1"/>
  <c r="AO137" i="8"/>
  <c r="AR137" i="8" s="1"/>
  <c r="AO449" i="8"/>
  <c r="AR449" i="8" s="1"/>
  <c r="AO345" i="8"/>
  <c r="AR345" i="8" s="1"/>
  <c r="AO494" i="8"/>
  <c r="AR494" i="8" s="1"/>
  <c r="AM47" i="8"/>
  <c r="AP47" i="8" s="1"/>
  <c r="AO265" i="8"/>
  <c r="AR265" i="8" s="1"/>
  <c r="AO276" i="8"/>
  <c r="AR276" i="8" s="1"/>
  <c r="AM235" i="8"/>
  <c r="AP235" i="8" s="1"/>
  <c r="AO219" i="8"/>
  <c r="AR219" i="8" s="1"/>
  <c r="AN144" i="8"/>
  <c r="AQ144" i="8" s="1"/>
  <c r="AM191" i="8"/>
  <c r="AP191" i="8" s="1"/>
  <c r="AO96" i="8"/>
  <c r="AR96" i="8" s="1"/>
  <c r="AN16" i="8"/>
  <c r="AQ16" i="8" s="1"/>
  <c r="AM290" i="8"/>
  <c r="AP290" i="8" s="1"/>
  <c r="AO205" i="8"/>
  <c r="AR205" i="8" s="1"/>
  <c r="AM282" i="8"/>
  <c r="AP282" i="8" s="1"/>
  <c r="AN532" i="8"/>
  <c r="AQ532" i="8" s="1"/>
  <c r="AN347" i="8"/>
  <c r="AQ347" i="8" s="1"/>
  <c r="AM520" i="8"/>
  <c r="AP520" i="8" s="1"/>
  <c r="AO341" i="8"/>
  <c r="AR341" i="8" s="1"/>
  <c r="AM517" i="8"/>
  <c r="AP517" i="8" s="1"/>
  <c r="AO352" i="8"/>
  <c r="AR352" i="8" s="1"/>
  <c r="AO391" i="8"/>
  <c r="AR391" i="8" s="1"/>
  <c r="AO181" i="8"/>
  <c r="AR181" i="8" s="1"/>
  <c r="AO169" i="8"/>
  <c r="AR169" i="8" s="1"/>
  <c r="AN524" i="8"/>
  <c r="AQ524" i="8" s="1"/>
  <c r="AO55" i="8"/>
  <c r="AR55" i="8" s="1"/>
  <c r="AN235" i="8"/>
  <c r="AQ235" i="8" s="1"/>
  <c r="AO368" i="8"/>
  <c r="AR368" i="8" s="1"/>
  <c r="AN47" i="8"/>
  <c r="AQ47" i="8" s="1"/>
  <c r="AM52" i="8"/>
  <c r="AP52" i="8" s="1"/>
  <c r="AN119" i="8"/>
  <c r="AQ119" i="8" s="1"/>
  <c r="AN501" i="8"/>
  <c r="AQ501" i="8" s="1"/>
  <c r="AM504" i="8"/>
  <c r="AP504" i="8" s="1"/>
  <c r="AN525" i="8"/>
  <c r="AQ525" i="8" s="1"/>
  <c r="AM512" i="8"/>
  <c r="AP512" i="8" s="1"/>
  <c r="AM422" i="8"/>
  <c r="AP422" i="8" s="1"/>
  <c r="AO121" i="8"/>
  <c r="AR121" i="8" s="1"/>
  <c r="AM528" i="8"/>
  <c r="AP528" i="8" s="1"/>
  <c r="AM534" i="8"/>
  <c r="AP534" i="8" s="1"/>
  <c r="AM288" i="8"/>
  <c r="AP288" i="8" s="1"/>
  <c r="AM468" i="8"/>
  <c r="AP468" i="8" s="1"/>
  <c r="AN385" i="8"/>
  <c r="AQ385" i="8" s="1"/>
  <c r="AM31" i="8"/>
  <c r="AP31" i="8" s="1"/>
  <c r="AN31" i="8"/>
  <c r="AQ31" i="8" s="1"/>
  <c r="AN80" i="8"/>
  <c r="AQ80" i="8" s="1"/>
  <c r="AO80" i="8"/>
  <c r="AR80" i="8" s="1"/>
  <c r="AM80" i="8"/>
  <c r="AP80" i="8" s="1"/>
  <c r="AO207" i="8"/>
  <c r="AR207" i="8" s="1"/>
  <c r="AN207" i="8"/>
  <c r="AQ207" i="8" s="1"/>
  <c r="AM207" i="8"/>
  <c r="AP207" i="8" s="1"/>
  <c r="AO436" i="8"/>
  <c r="AR436" i="8" s="1"/>
  <c r="AN436" i="8"/>
  <c r="AQ436" i="8" s="1"/>
  <c r="AO241" i="8"/>
  <c r="AR241" i="8" s="1"/>
  <c r="AN241" i="8"/>
  <c r="AQ241" i="8" s="1"/>
  <c r="AM241" i="8"/>
  <c r="AP241" i="8" s="1"/>
  <c r="AM120" i="8"/>
  <c r="AP120" i="8" s="1"/>
  <c r="AO120" i="8"/>
  <c r="AR120" i="8" s="1"/>
  <c r="AM559" i="8"/>
  <c r="AP559" i="8" s="1"/>
  <c r="AN559" i="8"/>
  <c r="AQ559" i="8" s="1"/>
  <c r="AO559" i="8"/>
  <c r="AR559" i="8" s="1"/>
  <c r="AM310" i="8"/>
  <c r="AP310" i="8" s="1"/>
  <c r="AO310" i="8"/>
  <c r="AR310" i="8" s="1"/>
  <c r="AN314" i="8"/>
  <c r="AQ314" i="8" s="1"/>
  <c r="AO314" i="8"/>
  <c r="AR314" i="8" s="1"/>
  <c r="AO173" i="8"/>
  <c r="AR173" i="8" s="1"/>
  <c r="AM173" i="8"/>
  <c r="AP173" i="8" s="1"/>
  <c r="AN173" i="8"/>
  <c r="AQ173" i="8" s="1"/>
  <c r="AN37" i="8"/>
  <c r="AQ37" i="8" s="1"/>
  <c r="AO37" i="8"/>
  <c r="AR37" i="8" s="1"/>
  <c r="AM37" i="8"/>
  <c r="AP37" i="8" s="1"/>
  <c r="AO538" i="8"/>
  <c r="AR538" i="8" s="1"/>
  <c r="AN538" i="8"/>
  <c r="AQ538" i="8" s="1"/>
  <c r="AM538" i="8"/>
  <c r="AP538" i="8" s="1"/>
  <c r="AO100" i="8"/>
  <c r="AR100" i="8" s="1"/>
  <c r="AN100" i="8"/>
  <c r="AQ100" i="8" s="1"/>
  <c r="AM100" i="8"/>
  <c r="AP100" i="8" s="1"/>
  <c r="AO211" i="8"/>
  <c r="AR211" i="8" s="1"/>
  <c r="AO148" i="8"/>
  <c r="AR148" i="8" s="1"/>
  <c r="AM148" i="8"/>
  <c r="AP148" i="8" s="1"/>
  <c r="AN148" i="8"/>
  <c r="AQ148" i="8" s="1"/>
  <c r="AO59" i="8"/>
  <c r="AR59" i="8" s="1"/>
  <c r="AN59" i="8"/>
  <c r="AQ59" i="8" s="1"/>
  <c r="AM34" i="8"/>
  <c r="AP34" i="8" s="1"/>
  <c r="AN311" i="8"/>
  <c r="AQ311" i="8" s="1"/>
  <c r="AO442" i="8"/>
  <c r="AR442" i="8" s="1"/>
  <c r="AN442" i="8"/>
  <c r="AQ442" i="8" s="1"/>
  <c r="AM442" i="8"/>
  <c r="AP442" i="8" s="1"/>
  <c r="AO172" i="8"/>
  <c r="AR172" i="8" s="1"/>
  <c r="AM172" i="8"/>
  <c r="AP172" i="8" s="1"/>
  <c r="AN345" i="8"/>
  <c r="AQ345" i="8" s="1"/>
  <c r="AO284" i="8"/>
  <c r="AR284" i="8" s="1"/>
  <c r="AN300" i="8"/>
  <c r="AQ300" i="8" s="1"/>
  <c r="AM96" i="8"/>
  <c r="AP96" i="8" s="1"/>
  <c r="AO226" i="8"/>
  <c r="AR226" i="8" s="1"/>
  <c r="AM226" i="8"/>
  <c r="AP226" i="8" s="1"/>
  <c r="AN226" i="8"/>
  <c r="AQ226" i="8" s="1"/>
  <c r="AN183" i="8"/>
  <c r="AQ183" i="8" s="1"/>
  <c r="AO183" i="8"/>
  <c r="AR183" i="8" s="1"/>
  <c r="AO290" i="8"/>
  <c r="AR290" i="8" s="1"/>
  <c r="AN290" i="8"/>
  <c r="AQ290" i="8" s="1"/>
  <c r="AN266" i="8"/>
  <c r="AQ266" i="8" s="1"/>
  <c r="AM266" i="8"/>
  <c r="AP266" i="8" s="1"/>
  <c r="AO266" i="8"/>
  <c r="AR266" i="8" s="1"/>
  <c r="AO325" i="8"/>
  <c r="AR325" i="8" s="1"/>
  <c r="AM325" i="8"/>
  <c r="AP325" i="8" s="1"/>
  <c r="AN325" i="8"/>
  <c r="AQ325" i="8" s="1"/>
  <c r="AO147" i="8"/>
  <c r="AR147" i="8" s="1"/>
  <c r="AN147" i="8"/>
  <c r="AQ147" i="8" s="1"/>
  <c r="AM147" i="8"/>
  <c r="AP147" i="8" s="1"/>
  <c r="AM369" i="8"/>
  <c r="AP369" i="8" s="1"/>
  <c r="AN369" i="8"/>
  <c r="AQ369" i="8" s="1"/>
  <c r="AO369" i="8"/>
  <c r="AR369" i="8" s="1"/>
  <c r="AM428" i="8"/>
  <c r="AP428" i="8" s="1"/>
  <c r="AN245" i="8"/>
  <c r="AQ245" i="8" s="1"/>
  <c r="AM245" i="8"/>
  <c r="AP245" i="8" s="1"/>
  <c r="AO62" i="8"/>
  <c r="AR62" i="8" s="1"/>
  <c r="AM62" i="8"/>
  <c r="AP62" i="8" s="1"/>
  <c r="AO282" i="8"/>
  <c r="AR282" i="8" s="1"/>
  <c r="AN282" i="8"/>
  <c r="AQ282" i="8" s="1"/>
  <c r="AM347" i="8"/>
  <c r="AP347" i="8" s="1"/>
  <c r="AO218" i="8"/>
  <c r="AR218" i="8" s="1"/>
  <c r="AM218" i="8"/>
  <c r="AP218" i="8" s="1"/>
  <c r="AN218" i="8"/>
  <c r="AQ218" i="8" s="1"/>
  <c r="AO520" i="8"/>
  <c r="AR520" i="8" s="1"/>
  <c r="AM341" i="8"/>
  <c r="AP341" i="8" s="1"/>
  <c r="AN341" i="8"/>
  <c r="AQ341" i="8" s="1"/>
  <c r="AO434" i="8"/>
  <c r="AR434" i="8" s="1"/>
  <c r="AN434" i="8"/>
  <c r="AQ434" i="8" s="1"/>
  <c r="AM434" i="8"/>
  <c r="AP434" i="8" s="1"/>
  <c r="AM273" i="8"/>
  <c r="AP273" i="8" s="1"/>
  <c r="AO273" i="8"/>
  <c r="AR273" i="8" s="1"/>
  <c r="AN273" i="8"/>
  <c r="AQ273" i="8" s="1"/>
  <c r="AO456" i="8"/>
  <c r="AR456" i="8" s="1"/>
  <c r="AN456" i="8"/>
  <c r="AQ456" i="8" s="1"/>
  <c r="AM456" i="8"/>
  <c r="AP456" i="8" s="1"/>
  <c r="AO424" i="8"/>
  <c r="AR424" i="8" s="1"/>
  <c r="AN424" i="8"/>
  <c r="AQ424" i="8" s="1"/>
  <c r="AM424" i="8"/>
  <c r="AP424" i="8" s="1"/>
  <c r="AO93" i="8"/>
  <c r="AR93" i="8" s="1"/>
  <c r="AM93" i="8"/>
  <c r="AP93" i="8" s="1"/>
  <c r="AN93" i="8"/>
  <c r="AQ93" i="8" s="1"/>
  <c r="AN318" i="8"/>
  <c r="AQ318" i="8" s="1"/>
  <c r="AO123" i="8"/>
  <c r="AR123" i="8" s="1"/>
  <c r="AN123" i="8"/>
  <c r="AQ123" i="8" s="1"/>
  <c r="AM123" i="8"/>
  <c r="AP123" i="8" s="1"/>
  <c r="AO329" i="8"/>
  <c r="AR329" i="8" s="1"/>
  <c r="AM329" i="8"/>
  <c r="AP329" i="8" s="1"/>
  <c r="AN329" i="8"/>
  <c r="AQ329" i="8" s="1"/>
  <c r="AN109" i="8"/>
  <c r="AQ109" i="8" s="1"/>
  <c r="AO142" i="8"/>
  <c r="AR142" i="8" s="1"/>
  <c r="AM142" i="8"/>
  <c r="AP142" i="8" s="1"/>
  <c r="AN142" i="8"/>
  <c r="AQ142" i="8" s="1"/>
  <c r="AN391" i="8"/>
  <c r="AQ391" i="8" s="1"/>
  <c r="AN437" i="8"/>
  <c r="AQ437" i="8" s="1"/>
  <c r="AM437" i="8"/>
  <c r="AP437" i="8" s="1"/>
  <c r="AO437" i="8"/>
  <c r="AR437" i="8" s="1"/>
  <c r="AM429" i="8"/>
  <c r="AP429" i="8" s="1"/>
  <c r="AO429" i="8"/>
  <c r="AR429" i="8" s="1"/>
  <c r="AN429" i="8"/>
  <c r="AQ429" i="8" s="1"/>
  <c r="AO199" i="8"/>
  <c r="AR199" i="8" s="1"/>
  <c r="AN199" i="8"/>
  <c r="AQ199" i="8" s="1"/>
  <c r="AM199" i="8"/>
  <c r="AP199" i="8" s="1"/>
  <c r="AO145" i="8"/>
  <c r="AR145" i="8" s="1"/>
  <c r="AO71" i="8"/>
  <c r="AR71" i="8" s="1"/>
  <c r="AN71" i="8"/>
  <c r="AQ71" i="8" s="1"/>
  <c r="AM71" i="8"/>
  <c r="AP71" i="8" s="1"/>
  <c r="AN457" i="8"/>
  <c r="AQ457" i="8" s="1"/>
  <c r="AO146" i="8"/>
  <c r="AR146" i="8" s="1"/>
  <c r="AN146" i="8"/>
  <c r="AQ146" i="8" s="1"/>
  <c r="AM146" i="8"/>
  <c r="AP146" i="8" s="1"/>
  <c r="AO445" i="8"/>
  <c r="AR445" i="8" s="1"/>
  <c r="AN445" i="8"/>
  <c r="AQ445" i="8" s="1"/>
  <c r="AM445" i="8"/>
  <c r="AP445" i="8" s="1"/>
  <c r="AO68" i="8"/>
  <c r="AR68" i="8" s="1"/>
  <c r="AM68" i="8"/>
  <c r="AP68" i="8" s="1"/>
  <c r="AM222" i="8"/>
  <c r="AP222" i="8" s="1"/>
  <c r="AO222" i="8"/>
  <c r="AR222" i="8" s="1"/>
  <c r="AN222" i="8"/>
  <c r="AQ222" i="8" s="1"/>
  <c r="AM181" i="8"/>
  <c r="AP181" i="8" s="1"/>
  <c r="AN130" i="8"/>
  <c r="AQ130" i="8" s="1"/>
  <c r="AM130" i="8"/>
  <c r="AP130" i="8" s="1"/>
  <c r="AO130" i="8"/>
  <c r="AR130" i="8" s="1"/>
  <c r="AO162" i="8"/>
  <c r="AR162" i="8" s="1"/>
  <c r="AN162" i="8"/>
  <c r="AQ162" i="8" s="1"/>
  <c r="AM162" i="8"/>
  <c r="AP162" i="8" s="1"/>
  <c r="AM169" i="8"/>
  <c r="AP169" i="8" s="1"/>
  <c r="AO27" i="8"/>
  <c r="AR27" i="8" s="1"/>
  <c r="AN27" i="8"/>
  <c r="AQ27" i="8" s="1"/>
  <c r="AM27" i="8"/>
  <c r="AP27" i="8" s="1"/>
  <c r="AM55" i="8"/>
  <c r="AP55" i="8" s="1"/>
  <c r="AN55" i="8"/>
  <c r="AQ55" i="8" s="1"/>
  <c r="AN58" i="8"/>
  <c r="AQ58" i="8" s="1"/>
  <c r="AM58" i="8"/>
  <c r="AP58" i="8" s="1"/>
  <c r="AO58" i="8"/>
  <c r="AR58" i="8" s="1"/>
  <c r="AM81" i="8"/>
  <c r="AP81" i="8" s="1"/>
  <c r="AN67" i="8"/>
  <c r="AQ67" i="8" s="1"/>
  <c r="AM368" i="8"/>
  <c r="AP368" i="8" s="1"/>
  <c r="AN261" i="8"/>
  <c r="AQ261" i="8" s="1"/>
  <c r="AN122" i="8"/>
  <c r="AQ122" i="8" s="1"/>
  <c r="AM122" i="8"/>
  <c r="AP122" i="8" s="1"/>
  <c r="AO122" i="8"/>
  <c r="AR122" i="8" s="1"/>
  <c r="AM188" i="8"/>
  <c r="AP188" i="8" s="1"/>
  <c r="AO188" i="8"/>
  <c r="AR188" i="8" s="1"/>
  <c r="AO158" i="8"/>
  <c r="AR158" i="8" s="1"/>
  <c r="AM158" i="8"/>
  <c r="AP158" i="8" s="1"/>
  <c r="AN158" i="8"/>
  <c r="AQ158" i="8" s="1"/>
  <c r="AM321" i="8"/>
  <c r="AP321" i="8" s="1"/>
  <c r="AN321" i="8"/>
  <c r="AQ321" i="8" s="1"/>
  <c r="AO321" i="8"/>
  <c r="AR321" i="8" s="1"/>
  <c r="AN19" i="8"/>
  <c r="AQ19" i="8" s="1"/>
  <c r="AN209" i="8"/>
  <c r="AQ209" i="8" s="1"/>
  <c r="AN376" i="8"/>
  <c r="AQ376" i="8" s="1"/>
  <c r="AO504" i="8"/>
  <c r="AR504" i="8" s="1"/>
  <c r="AN504" i="8"/>
  <c r="AQ504" i="8" s="1"/>
  <c r="AM285" i="8"/>
  <c r="AP285" i="8" s="1"/>
  <c r="AO285" i="8"/>
  <c r="AR285" i="8" s="1"/>
  <c r="AN285" i="8"/>
  <c r="AQ285" i="8" s="1"/>
  <c r="AO525" i="8"/>
  <c r="AR525" i="8" s="1"/>
  <c r="AM525" i="8"/>
  <c r="AP525" i="8" s="1"/>
  <c r="AO99" i="8"/>
  <c r="AR99" i="8" s="1"/>
  <c r="AN99" i="8"/>
  <c r="AQ99" i="8" s="1"/>
  <c r="AM99" i="8"/>
  <c r="AP99" i="8" s="1"/>
  <c r="AN40" i="8"/>
  <c r="AQ40" i="8" s="1"/>
  <c r="AO40" i="8"/>
  <c r="AR40" i="8" s="1"/>
  <c r="AM40" i="8"/>
  <c r="AP40" i="8" s="1"/>
  <c r="AM128" i="8"/>
  <c r="AP128" i="8" s="1"/>
  <c r="AO128" i="8"/>
  <c r="AR128" i="8" s="1"/>
  <c r="AN551" i="8"/>
  <c r="AQ551" i="8" s="1"/>
  <c r="AM551" i="8"/>
  <c r="AP551" i="8" s="1"/>
  <c r="AO551" i="8"/>
  <c r="AR551" i="8" s="1"/>
  <c r="AN225" i="8"/>
  <c r="AQ225" i="8" s="1"/>
  <c r="AN121" i="8"/>
  <c r="AQ121" i="8" s="1"/>
  <c r="AM121" i="8"/>
  <c r="AP121" i="8" s="1"/>
  <c r="AM302" i="8"/>
  <c r="AP302" i="8" s="1"/>
  <c r="AM229" i="8"/>
  <c r="AP229" i="8" s="1"/>
  <c r="AO76" i="8"/>
  <c r="AR76" i="8" s="1"/>
  <c r="AM76" i="8"/>
  <c r="AP76" i="8" s="1"/>
  <c r="AO367" i="8"/>
  <c r="AR367" i="8" s="1"/>
  <c r="AN367" i="8"/>
  <c r="AQ367" i="8" s="1"/>
  <c r="AM367" i="8"/>
  <c r="AP367" i="8" s="1"/>
  <c r="AN82" i="8"/>
  <c r="AQ82" i="8" s="1"/>
  <c r="AM82" i="8"/>
  <c r="AP82" i="8" s="1"/>
  <c r="AO82" i="8"/>
  <c r="AR82" i="8" s="1"/>
  <c r="AO189" i="8"/>
  <c r="AR189" i="8" s="1"/>
  <c r="AN288" i="8"/>
  <c r="AQ288" i="8" s="1"/>
  <c r="AO539" i="8"/>
  <c r="AR539" i="8" s="1"/>
  <c r="AN539" i="8"/>
  <c r="AQ539" i="8" s="1"/>
  <c r="AM539" i="8"/>
  <c r="AP539" i="8" s="1"/>
  <c r="AN358" i="8"/>
  <c r="AQ358" i="8" s="1"/>
  <c r="AO544" i="8"/>
  <c r="AR544" i="8" s="1"/>
  <c r="AO287" i="8"/>
  <c r="AR287" i="8" s="1"/>
  <c r="AM287" i="8"/>
  <c r="AP287" i="8" s="1"/>
  <c r="AN287" i="8"/>
  <c r="AQ287" i="8" s="1"/>
  <c r="AN75" i="8"/>
  <c r="AQ75" i="8" s="1"/>
  <c r="AM75" i="8"/>
  <c r="AP75" i="8" s="1"/>
  <c r="AO75" i="8"/>
  <c r="AR75" i="8" s="1"/>
  <c r="AO513" i="8"/>
  <c r="AR513" i="8" s="1"/>
  <c r="AN513" i="8"/>
  <c r="AQ513" i="8" s="1"/>
  <c r="AM513" i="8"/>
  <c r="AP513" i="8" s="1"/>
  <c r="AO469" i="8"/>
  <c r="AR469" i="8" s="1"/>
  <c r="AM469" i="8"/>
  <c r="AP469" i="8" s="1"/>
  <c r="AN469" i="8"/>
  <c r="AQ469" i="8" s="1"/>
  <c r="AM63" i="8"/>
  <c r="AP63" i="8" s="1"/>
  <c r="AO63" i="8"/>
  <c r="AR63" i="8" s="1"/>
  <c r="AN63" i="8"/>
  <c r="AQ63" i="8" s="1"/>
  <c r="AO322" i="8"/>
  <c r="AR322" i="8" s="1"/>
  <c r="AN322" i="8"/>
  <c r="AQ322" i="8" s="1"/>
  <c r="AO379" i="8"/>
  <c r="AR379" i="8" s="1"/>
  <c r="AN379" i="8"/>
  <c r="AQ379" i="8" s="1"/>
  <c r="AM379" i="8"/>
  <c r="AP379" i="8" s="1"/>
  <c r="AO454" i="8"/>
  <c r="AR454" i="8" s="1"/>
  <c r="AM454" i="8"/>
  <c r="AP454" i="8" s="1"/>
  <c r="AN454" i="8"/>
  <c r="AQ454" i="8" s="1"/>
  <c r="AM425" i="8"/>
  <c r="AP425" i="8" s="1"/>
  <c r="AN425" i="8"/>
  <c r="AQ425" i="8" s="1"/>
  <c r="AM104" i="8"/>
  <c r="AP104" i="8" s="1"/>
  <c r="AO104" i="8"/>
  <c r="AR104" i="8" s="1"/>
  <c r="AN386" i="8"/>
  <c r="AQ386" i="8" s="1"/>
  <c r="AO386" i="8"/>
  <c r="AR386" i="8" s="1"/>
  <c r="AM386" i="8"/>
  <c r="AP386" i="8" s="1"/>
  <c r="AO361" i="8"/>
  <c r="AR361" i="8" s="1"/>
  <c r="AN361" i="8"/>
  <c r="AQ361" i="8" s="1"/>
  <c r="AM361" i="8"/>
  <c r="AP361" i="8" s="1"/>
  <c r="AN414" i="8"/>
  <c r="AQ414" i="8" s="1"/>
  <c r="AN174" i="8"/>
  <c r="AQ174" i="8" s="1"/>
  <c r="AO174" i="8"/>
  <c r="AR174" i="8" s="1"/>
  <c r="AM174" i="8"/>
  <c r="AP174" i="8" s="1"/>
  <c r="AM197" i="8"/>
  <c r="AP197" i="8" s="1"/>
  <c r="AN197" i="8"/>
  <c r="AQ197" i="8" s="1"/>
  <c r="AO85" i="8"/>
  <c r="AR85" i="8" s="1"/>
  <c r="AN85" i="8"/>
  <c r="AQ85" i="8" s="1"/>
  <c r="AM85" i="8"/>
  <c r="AP85" i="8" s="1"/>
  <c r="AO223" i="8"/>
  <c r="AR223" i="8" s="1"/>
  <c r="AN223" i="8"/>
  <c r="AQ223" i="8" s="1"/>
  <c r="AM223" i="8"/>
  <c r="AP223" i="8" s="1"/>
  <c r="AN211" i="8"/>
  <c r="AQ211" i="8" s="1"/>
  <c r="AM42" i="8"/>
  <c r="AP42" i="8" s="1"/>
  <c r="AN42" i="8"/>
  <c r="AQ42" i="8" s="1"/>
  <c r="AO42" i="8"/>
  <c r="AR42" i="8" s="1"/>
  <c r="AN552" i="8"/>
  <c r="AQ552" i="8" s="1"/>
  <c r="AO474" i="8"/>
  <c r="AR474" i="8" s="1"/>
  <c r="AN474" i="8"/>
  <c r="AQ474" i="8" s="1"/>
  <c r="AM474" i="8"/>
  <c r="AP474" i="8" s="1"/>
  <c r="AO462" i="8"/>
  <c r="AR462" i="8" s="1"/>
  <c r="AM462" i="8"/>
  <c r="AP462" i="8" s="1"/>
  <c r="AN462" i="8"/>
  <c r="AQ462" i="8" s="1"/>
  <c r="AM311" i="8"/>
  <c r="AP311" i="8" s="1"/>
  <c r="AN137" i="8"/>
  <c r="AQ137" i="8" s="1"/>
  <c r="AM137" i="8"/>
  <c r="AP137" i="8" s="1"/>
  <c r="AN540" i="8"/>
  <c r="AQ540" i="8" s="1"/>
  <c r="AN284" i="8"/>
  <c r="AQ284" i="8" s="1"/>
  <c r="AO33" i="8"/>
  <c r="AR33" i="8" s="1"/>
  <c r="AN33" i="8"/>
  <c r="AQ33" i="8" s="1"/>
  <c r="AM33" i="8"/>
  <c r="AP33" i="8" s="1"/>
  <c r="AN96" i="8"/>
  <c r="AQ96" i="8" s="1"/>
  <c r="AO356" i="8"/>
  <c r="AR356" i="8" s="1"/>
  <c r="AN356" i="8"/>
  <c r="AQ356" i="8" s="1"/>
  <c r="AM356" i="8"/>
  <c r="AP356" i="8" s="1"/>
  <c r="AO533" i="8"/>
  <c r="AR533" i="8" s="1"/>
  <c r="AM330" i="8"/>
  <c r="AP330" i="8" s="1"/>
  <c r="AN185" i="8"/>
  <c r="AQ185" i="8" s="1"/>
  <c r="AO185" i="8"/>
  <c r="AR185" i="8" s="1"/>
  <c r="AM185" i="8"/>
  <c r="AP185" i="8" s="1"/>
  <c r="AM205" i="8"/>
  <c r="AP205" i="8" s="1"/>
  <c r="AO242" i="8"/>
  <c r="AR242" i="8" s="1"/>
  <c r="AM242" i="8"/>
  <c r="AP242" i="8" s="1"/>
  <c r="AN242" i="8"/>
  <c r="AQ242" i="8" s="1"/>
  <c r="AM163" i="8"/>
  <c r="AP163" i="8" s="1"/>
  <c r="AM151" i="8"/>
  <c r="AP151" i="8" s="1"/>
  <c r="AO38" i="8"/>
  <c r="AR38" i="8" s="1"/>
  <c r="AN38" i="8"/>
  <c r="AQ38" i="8" s="1"/>
  <c r="AO532" i="8"/>
  <c r="AR532" i="8" s="1"/>
  <c r="AM532" i="8"/>
  <c r="AP532" i="8" s="1"/>
  <c r="AO140" i="8"/>
  <c r="AR140" i="8" s="1"/>
  <c r="AN140" i="8"/>
  <c r="AQ140" i="8" s="1"/>
  <c r="AM140" i="8"/>
  <c r="AP140" i="8" s="1"/>
  <c r="AM502" i="8"/>
  <c r="AP502" i="8" s="1"/>
  <c r="AO502" i="8"/>
  <c r="AR502" i="8" s="1"/>
  <c r="AN502" i="8"/>
  <c r="AQ502" i="8" s="1"/>
  <c r="AO267" i="8"/>
  <c r="AR267" i="8" s="1"/>
  <c r="AN267" i="8"/>
  <c r="AQ267" i="8" s="1"/>
  <c r="AO516" i="8"/>
  <c r="AR516" i="8" s="1"/>
  <c r="AN516" i="8"/>
  <c r="AQ516" i="8" s="1"/>
  <c r="AM516" i="8"/>
  <c r="AP516" i="8" s="1"/>
  <c r="AO316" i="8"/>
  <c r="AR316" i="8" s="1"/>
  <c r="AN520" i="8"/>
  <c r="AQ520" i="8" s="1"/>
  <c r="AO293" i="8"/>
  <c r="AR293" i="8" s="1"/>
  <c r="AM293" i="8"/>
  <c r="AP293" i="8" s="1"/>
  <c r="AN293" i="8"/>
  <c r="AQ293" i="8" s="1"/>
  <c r="AO570" i="8"/>
  <c r="AR570" i="8" s="1"/>
  <c r="AN570" i="8"/>
  <c r="AQ570" i="8" s="1"/>
  <c r="AM570" i="8"/>
  <c r="AP570" i="8" s="1"/>
  <c r="AN180" i="8"/>
  <c r="AQ180" i="8" s="1"/>
  <c r="AM375" i="8"/>
  <c r="AP375" i="8" s="1"/>
  <c r="AN375" i="8"/>
  <c r="AQ375" i="8" s="1"/>
  <c r="AO375" i="8"/>
  <c r="AR375" i="8" s="1"/>
  <c r="AM109" i="8"/>
  <c r="AP109" i="8" s="1"/>
  <c r="AO109" i="8"/>
  <c r="AR109" i="8" s="1"/>
  <c r="AN217" i="8"/>
  <c r="AQ217" i="8" s="1"/>
  <c r="AO102" i="8"/>
  <c r="AR102" i="8" s="1"/>
  <c r="AM102" i="8"/>
  <c r="AP102" i="8" s="1"/>
  <c r="AN102" i="8"/>
  <c r="AQ102" i="8" s="1"/>
  <c r="AO150" i="8"/>
  <c r="AR150" i="8" s="1"/>
  <c r="AM150" i="8"/>
  <c r="AP150" i="8" s="1"/>
  <c r="AN150" i="8"/>
  <c r="AQ150" i="8" s="1"/>
  <c r="AO499" i="8"/>
  <c r="AR499" i="8" s="1"/>
  <c r="AM499" i="8"/>
  <c r="AP499" i="8" s="1"/>
  <c r="AN499" i="8"/>
  <c r="AQ499" i="8" s="1"/>
  <c r="AN488" i="8"/>
  <c r="AQ488" i="8" s="1"/>
  <c r="AN181" i="8"/>
  <c r="AQ181" i="8" s="1"/>
  <c r="AM73" i="8"/>
  <c r="AP73" i="8" s="1"/>
  <c r="AM78" i="8"/>
  <c r="AP78" i="8" s="1"/>
  <c r="AN78" i="8"/>
  <c r="AQ78" i="8" s="1"/>
  <c r="AO78" i="8"/>
  <c r="AR78" i="8" s="1"/>
  <c r="AN291" i="8"/>
  <c r="AQ291" i="8" s="1"/>
  <c r="AO291" i="8"/>
  <c r="AR291" i="8" s="1"/>
  <c r="AM291" i="8"/>
  <c r="AP291" i="8" s="1"/>
  <c r="AN238" i="8"/>
  <c r="AQ238" i="8" s="1"/>
  <c r="AM238" i="8"/>
  <c r="AP238" i="8" s="1"/>
  <c r="AO238" i="8"/>
  <c r="AR238" i="8" s="1"/>
  <c r="AO194" i="8"/>
  <c r="AR194" i="8" s="1"/>
  <c r="AM194" i="8"/>
  <c r="AP194" i="8" s="1"/>
  <c r="AN194" i="8"/>
  <c r="AQ194" i="8" s="1"/>
  <c r="AM526" i="8"/>
  <c r="AP526" i="8" s="1"/>
  <c r="AN431" i="8"/>
  <c r="AQ431" i="8" s="1"/>
  <c r="AO431" i="8"/>
  <c r="AR431" i="8" s="1"/>
  <c r="AM431" i="8"/>
  <c r="AP431" i="8" s="1"/>
  <c r="AO548" i="8"/>
  <c r="AR548" i="8" s="1"/>
  <c r="AN548" i="8"/>
  <c r="AQ548" i="8" s="1"/>
  <c r="AM548" i="8"/>
  <c r="AP548" i="8" s="1"/>
  <c r="AM203" i="8"/>
  <c r="AP203" i="8" s="1"/>
  <c r="AM209" i="8"/>
  <c r="AP209" i="8" s="1"/>
  <c r="AO209" i="8"/>
  <c r="AR209" i="8" s="1"/>
  <c r="AM86" i="8"/>
  <c r="AP86" i="8" s="1"/>
  <c r="AO86" i="8"/>
  <c r="AR86" i="8" s="1"/>
  <c r="AO547" i="8"/>
  <c r="AR547" i="8" s="1"/>
  <c r="AN547" i="8"/>
  <c r="AQ547" i="8" s="1"/>
  <c r="AM547" i="8"/>
  <c r="AP547" i="8" s="1"/>
  <c r="AO306" i="8"/>
  <c r="AR306" i="8" s="1"/>
  <c r="AN306" i="8"/>
  <c r="AQ306" i="8" s="1"/>
  <c r="AM306" i="8"/>
  <c r="AP306" i="8" s="1"/>
  <c r="AN114" i="8"/>
  <c r="AQ114" i="8" s="1"/>
  <c r="AM114" i="8"/>
  <c r="AP114" i="8" s="1"/>
  <c r="AO114" i="8"/>
  <c r="AR114" i="8" s="1"/>
  <c r="AO272" i="8"/>
  <c r="AR272" i="8" s="1"/>
  <c r="AM272" i="8"/>
  <c r="AP272" i="8" s="1"/>
  <c r="AN48" i="8"/>
  <c r="AQ48" i="8" s="1"/>
  <c r="AM48" i="8"/>
  <c r="AP48" i="8" s="1"/>
  <c r="AO48" i="8"/>
  <c r="AR48" i="8" s="1"/>
  <c r="AO564" i="8"/>
  <c r="AR564" i="8" s="1"/>
  <c r="AM564" i="8"/>
  <c r="AP564" i="8" s="1"/>
  <c r="AO342" i="8"/>
  <c r="AR342" i="8" s="1"/>
  <c r="AN342" i="8"/>
  <c r="AQ342" i="8" s="1"/>
  <c r="AM342" i="8"/>
  <c r="AP342" i="8" s="1"/>
  <c r="AN390" i="8"/>
  <c r="AQ390" i="8" s="1"/>
  <c r="AM390" i="8"/>
  <c r="AP390" i="8" s="1"/>
  <c r="AO390" i="8"/>
  <c r="AR390" i="8" s="1"/>
  <c r="AM314" i="8"/>
  <c r="AP314" i="8" s="1"/>
  <c r="AN229" i="8"/>
  <c r="AQ229" i="8" s="1"/>
  <c r="AN76" i="8"/>
  <c r="AQ76" i="8" s="1"/>
  <c r="AN157" i="8"/>
  <c r="AQ157" i="8" s="1"/>
  <c r="AM157" i="8"/>
  <c r="AP157" i="8" s="1"/>
  <c r="AO157" i="8"/>
  <c r="AR157" i="8" s="1"/>
  <c r="AM189" i="8"/>
  <c r="AP189" i="8" s="1"/>
  <c r="AN189" i="8"/>
  <c r="AQ189" i="8" s="1"/>
  <c r="AO230" i="8"/>
  <c r="AR230" i="8" s="1"/>
  <c r="AM230" i="8"/>
  <c r="AP230" i="8" s="1"/>
  <c r="AN230" i="8"/>
  <c r="AQ230" i="8" s="1"/>
  <c r="AN336" i="8"/>
  <c r="AQ336" i="8" s="1"/>
  <c r="AO561" i="8"/>
  <c r="AR561" i="8" s="1"/>
  <c r="AN561" i="8"/>
  <c r="AQ561" i="8" s="1"/>
  <c r="AM561" i="8"/>
  <c r="AP561" i="8" s="1"/>
  <c r="AO411" i="8"/>
  <c r="AR411" i="8" s="1"/>
  <c r="AM411" i="8"/>
  <c r="AP411" i="8" s="1"/>
  <c r="AN411" i="8"/>
  <c r="AQ411" i="8" s="1"/>
  <c r="AN468" i="8"/>
  <c r="AQ468" i="8" s="1"/>
  <c r="AO468" i="8"/>
  <c r="AR468" i="8" s="1"/>
  <c r="AM13" i="8"/>
  <c r="AP13" i="8" s="1"/>
  <c r="AO13" i="8"/>
  <c r="AR13" i="8" s="1"/>
  <c r="AN13" i="8"/>
  <c r="AQ13" i="8" s="1"/>
  <c r="AN323" i="8"/>
  <c r="AQ323" i="8" s="1"/>
  <c r="AO323" i="8"/>
  <c r="AR323" i="8" s="1"/>
  <c r="AM323" i="8"/>
  <c r="AP323" i="8" s="1"/>
  <c r="AM262" i="8"/>
  <c r="AP262" i="8" s="1"/>
  <c r="AO262" i="8"/>
  <c r="AR262" i="8" s="1"/>
  <c r="AN262" i="8"/>
  <c r="AQ262" i="8" s="1"/>
  <c r="AM233" i="8"/>
  <c r="AP233" i="8" s="1"/>
  <c r="AO233" i="8"/>
  <c r="AR233" i="8" s="1"/>
  <c r="AM549" i="8"/>
  <c r="AP549" i="8" s="1"/>
  <c r="AO297" i="8"/>
  <c r="AR297" i="8" s="1"/>
  <c r="AN297" i="8"/>
  <c r="AQ297" i="8" s="1"/>
  <c r="AM297" i="8"/>
  <c r="AP297" i="8" s="1"/>
  <c r="AM414" i="8"/>
  <c r="AP414" i="8" s="1"/>
  <c r="AO414" i="8"/>
  <c r="AR414" i="8" s="1"/>
  <c r="AO428" i="8"/>
  <c r="AR428" i="8" s="1"/>
  <c r="AN428" i="8"/>
  <c r="AQ428" i="8" s="1"/>
  <c r="AN145" i="8"/>
  <c r="AQ145" i="8" s="1"/>
  <c r="AM145" i="8"/>
  <c r="AP145" i="8" s="1"/>
  <c r="AO529" i="8"/>
  <c r="AR529" i="8" s="1"/>
  <c r="AN529" i="8"/>
  <c r="AQ529" i="8" s="1"/>
  <c r="AM529" i="8"/>
  <c r="AP529" i="8" s="1"/>
  <c r="AO493" i="8"/>
  <c r="AR493" i="8" s="1"/>
  <c r="AM493" i="8"/>
  <c r="AP493" i="8" s="1"/>
  <c r="AN493" i="8"/>
  <c r="AQ493" i="8" s="1"/>
  <c r="AO569" i="8"/>
  <c r="AR569" i="8" s="1"/>
  <c r="AN569" i="8"/>
  <c r="AQ569" i="8" s="1"/>
  <c r="AM569" i="8"/>
  <c r="AP569" i="8" s="1"/>
  <c r="AN166" i="8"/>
  <c r="AQ166" i="8" s="1"/>
  <c r="AM166" i="8"/>
  <c r="AP166" i="8" s="1"/>
  <c r="AO166" i="8"/>
  <c r="AR166" i="8" s="1"/>
  <c r="AM470" i="8"/>
  <c r="AP470" i="8" s="1"/>
  <c r="AN470" i="8"/>
  <c r="AQ470" i="8" s="1"/>
  <c r="AN83" i="8"/>
  <c r="AQ83" i="8" s="1"/>
  <c r="AM83" i="8"/>
  <c r="AP83" i="8" s="1"/>
  <c r="AO83" i="8"/>
  <c r="AR83" i="8" s="1"/>
  <c r="AN172" i="8"/>
  <c r="AQ172" i="8" s="1"/>
  <c r="AN339" i="8"/>
  <c r="AQ339" i="8" s="1"/>
  <c r="AM284" i="8"/>
  <c r="AP284" i="8" s="1"/>
  <c r="AN533" i="8"/>
  <c r="AQ533" i="8" s="1"/>
  <c r="AM17" i="8"/>
  <c r="AP17" i="8" s="1"/>
  <c r="AN17" i="8"/>
  <c r="AQ17" i="8" s="1"/>
  <c r="AO17" i="8"/>
  <c r="AR17" i="8" s="1"/>
  <c r="AN53" i="8"/>
  <c r="AQ53" i="8" s="1"/>
  <c r="AM183" i="8"/>
  <c r="AP183" i="8" s="1"/>
  <c r="AN472" i="8"/>
  <c r="AQ472" i="8" s="1"/>
  <c r="AO472" i="8"/>
  <c r="AR472" i="8" s="1"/>
  <c r="AM472" i="8"/>
  <c r="AP472" i="8" s="1"/>
  <c r="AN330" i="8"/>
  <c r="AQ330" i="8" s="1"/>
  <c r="AN205" i="8"/>
  <c r="AQ205" i="8" s="1"/>
  <c r="AO151" i="8"/>
  <c r="AR151" i="8" s="1"/>
  <c r="AO245" i="8"/>
  <c r="AR245" i="8" s="1"/>
  <c r="AM38" i="8"/>
  <c r="AP38" i="8" s="1"/>
  <c r="AN316" i="8"/>
  <c r="AQ316" i="8" s="1"/>
  <c r="AO206" i="8"/>
  <c r="AR206" i="8" s="1"/>
  <c r="AN206" i="8"/>
  <c r="AQ206" i="8" s="1"/>
  <c r="AM206" i="8"/>
  <c r="AP206" i="8" s="1"/>
  <c r="AO195" i="8"/>
  <c r="AR195" i="8" s="1"/>
  <c r="AM195" i="8"/>
  <c r="AP195" i="8" s="1"/>
  <c r="AO550" i="8"/>
  <c r="AR550" i="8" s="1"/>
  <c r="AM550" i="8"/>
  <c r="AP550" i="8" s="1"/>
  <c r="AN550" i="8"/>
  <c r="AQ550" i="8" s="1"/>
  <c r="AN292" i="8"/>
  <c r="AQ292" i="8" s="1"/>
  <c r="AO433" i="8"/>
  <c r="AR433" i="8" s="1"/>
  <c r="AM243" i="8"/>
  <c r="AP243" i="8" s="1"/>
  <c r="AO554" i="8"/>
  <c r="AR554" i="8" s="1"/>
  <c r="AN554" i="8"/>
  <c r="AQ554" i="8" s="1"/>
  <c r="AM554" i="8"/>
  <c r="AP554" i="8" s="1"/>
  <c r="AN97" i="8"/>
  <c r="AQ97" i="8" s="1"/>
  <c r="AM97" i="8"/>
  <c r="AP97" i="8" s="1"/>
  <c r="AM217" i="8"/>
  <c r="AP217" i="8" s="1"/>
  <c r="AO217" i="8"/>
  <c r="AR217" i="8" s="1"/>
  <c r="AM391" i="8"/>
  <c r="AP391" i="8" s="1"/>
  <c r="AO20" i="8"/>
  <c r="AR20" i="8" s="1"/>
  <c r="AN20" i="8"/>
  <c r="AQ20" i="8" s="1"/>
  <c r="AM360" i="8"/>
  <c r="AP360" i="8" s="1"/>
  <c r="AO237" i="8"/>
  <c r="AR237" i="8" s="1"/>
  <c r="AO264" i="8"/>
  <c r="AR264" i="8" s="1"/>
  <c r="AN264" i="8"/>
  <c r="AQ264" i="8" s="1"/>
  <c r="AM427" i="8"/>
  <c r="AP427" i="8" s="1"/>
  <c r="AO255" i="8"/>
  <c r="AR255" i="8" s="1"/>
  <c r="AM255" i="8"/>
  <c r="AP255" i="8" s="1"/>
  <c r="AN255" i="8"/>
  <c r="AQ255" i="8" s="1"/>
  <c r="AO381" i="8"/>
  <c r="AR381" i="8" s="1"/>
  <c r="AN381" i="8"/>
  <c r="AQ381" i="8" s="1"/>
  <c r="AM381" i="8"/>
  <c r="AP381" i="8" s="1"/>
  <c r="AO235" i="8"/>
  <c r="AR235" i="8" s="1"/>
  <c r="AO557" i="8"/>
  <c r="AR557" i="8" s="1"/>
  <c r="AM557" i="8"/>
  <c r="AP557" i="8" s="1"/>
  <c r="AN557" i="8"/>
  <c r="AQ557" i="8" s="1"/>
  <c r="AM214" i="8"/>
  <c r="AP214" i="8" s="1"/>
  <c r="AO214" i="8"/>
  <c r="AR214" i="8" s="1"/>
  <c r="AN214" i="8"/>
  <c r="AQ214" i="8" s="1"/>
  <c r="AN90" i="8"/>
  <c r="AQ90" i="8" s="1"/>
  <c r="AM90" i="8"/>
  <c r="AP90" i="8" s="1"/>
  <c r="AN22" i="8"/>
  <c r="AQ22" i="8" s="1"/>
  <c r="AM22" i="8"/>
  <c r="AP22" i="8" s="1"/>
  <c r="AO22" i="8"/>
  <c r="AR22" i="8" s="1"/>
  <c r="AN94" i="8"/>
  <c r="AQ94" i="8" s="1"/>
  <c r="AN105" i="8"/>
  <c r="AQ105" i="8" s="1"/>
  <c r="AM105" i="8"/>
  <c r="AP105" i="8" s="1"/>
  <c r="AM370" i="8"/>
  <c r="AP370" i="8" s="1"/>
  <c r="AN573" i="8"/>
  <c r="AQ573" i="8" s="1"/>
  <c r="AO224" i="8"/>
  <c r="AR224" i="8" s="1"/>
  <c r="AM224" i="8"/>
  <c r="AP224" i="8" s="1"/>
  <c r="AN224" i="8"/>
  <c r="AQ224" i="8" s="1"/>
  <c r="AN171" i="8"/>
  <c r="AQ171" i="8" s="1"/>
  <c r="AO171" i="8"/>
  <c r="AR171" i="8" s="1"/>
  <c r="AM171" i="8"/>
  <c r="AP171" i="8" s="1"/>
  <c r="AM18" i="8"/>
  <c r="AP18" i="8" s="1"/>
  <c r="AN18" i="8"/>
  <c r="AQ18" i="8" s="1"/>
  <c r="AO18" i="8"/>
  <c r="AR18" i="8" s="1"/>
  <c r="AN188" i="8"/>
  <c r="AQ188" i="8" s="1"/>
  <c r="AO359" i="8"/>
  <c r="AR359" i="8" s="1"/>
  <c r="AN359" i="8"/>
  <c r="AQ359" i="8" s="1"/>
  <c r="AM359" i="8"/>
  <c r="AP359" i="8" s="1"/>
  <c r="AN89" i="8"/>
  <c r="AQ89" i="8" s="1"/>
  <c r="AO89" i="8"/>
  <c r="AR89" i="8" s="1"/>
  <c r="AM89" i="8"/>
  <c r="AP89" i="8" s="1"/>
  <c r="AN129" i="8"/>
  <c r="AQ129" i="8" s="1"/>
  <c r="AM129" i="8"/>
  <c r="AP129" i="8" s="1"/>
  <c r="AN512" i="8"/>
  <c r="AQ512" i="8" s="1"/>
  <c r="AN25" i="8"/>
  <c r="AQ25" i="8" s="1"/>
  <c r="AO25" i="8"/>
  <c r="AR25" i="8" s="1"/>
  <c r="AM25" i="8"/>
  <c r="AP25" i="8" s="1"/>
  <c r="AN272" i="8"/>
  <c r="AQ272" i="8" s="1"/>
  <c r="AM443" i="8"/>
  <c r="AP443" i="8" s="1"/>
  <c r="AO371" i="8"/>
  <c r="AR371" i="8" s="1"/>
  <c r="AN371" i="8"/>
  <c r="AQ371" i="8" s="1"/>
  <c r="AM32" i="8"/>
  <c r="AP32" i="8" s="1"/>
  <c r="AN310" i="8"/>
  <c r="AQ310" i="8" s="1"/>
  <c r="AO332" i="8"/>
  <c r="AR332" i="8" s="1"/>
  <c r="AN564" i="8"/>
  <c r="AQ564" i="8" s="1"/>
  <c r="AM84" i="8"/>
  <c r="AP84" i="8" s="1"/>
  <c r="AO84" i="8"/>
  <c r="AR84" i="8" s="1"/>
  <c r="AN84" i="8"/>
  <c r="AQ84" i="8" s="1"/>
  <c r="AO558" i="8"/>
  <c r="AR558" i="8" s="1"/>
  <c r="AN412" i="8"/>
  <c r="AQ412" i="8" s="1"/>
  <c r="AM412" i="8"/>
  <c r="AP412" i="8" s="1"/>
  <c r="AO412" i="8"/>
  <c r="AR412" i="8" s="1"/>
  <c r="AN295" i="8"/>
  <c r="AQ295" i="8" s="1"/>
  <c r="AO288" i="8"/>
  <c r="AR288" i="8" s="1"/>
  <c r="AO403" i="8"/>
  <c r="AR403" i="8" s="1"/>
  <c r="AM403" i="8"/>
  <c r="AP403" i="8" s="1"/>
  <c r="AN403" i="8"/>
  <c r="AQ403" i="8" s="1"/>
  <c r="AM221" i="8"/>
  <c r="AP221" i="8" s="1"/>
  <c r="AN221" i="8"/>
  <c r="AQ221" i="8" s="1"/>
  <c r="AM544" i="8"/>
  <c r="AP544" i="8" s="1"/>
  <c r="AO279" i="8"/>
  <c r="AR279" i="8" s="1"/>
  <c r="AN279" i="8"/>
  <c r="AQ279" i="8" s="1"/>
  <c r="AM279" i="8"/>
  <c r="AP279" i="8" s="1"/>
  <c r="AN549" i="8"/>
  <c r="AQ549" i="8" s="1"/>
  <c r="AO549" i="8"/>
  <c r="AR549" i="8" s="1"/>
  <c r="AO283" i="8"/>
  <c r="AR283" i="8" s="1"/>
  <c r="AM283" i="8"/>
  <c r="AP283" i="8" s="1"/>
  <c r="AN283" i="8"/>
  <c r="AQ283" i="8" s="1"/>
  <c r="AM459" i="8"/>
  <c r="AP459" i="8" s="1"/>
  <c r="AO136" i="8"/>
  <c r="AR136" i="8" s="1"/>
  <c r="AM136" i="8"/>
  <c r="AP136" i="8" s="1"/>
  <c r="AO256" i="8"/>
  <c r="AR256" i="8" s="1"/>
  <c r="AM256" i="8"/>
  <c r="AP256" i="8" s="1"/>
  <c r="AN256" i="8"/>
  <c r="AQ256" i="8" s="1"/>
  <c r="AN401" i="8"/>
  <c r="AQ401" i="8" s="1"/>
  <c r="AM401" i="8"/>
  <c r="AP401" i="8" s="1"/>
  <c r="AO401" i="8"/>
  <c r="AR401" i="8" s="1"/>
  <c r="AN196" i="8"/>
  <c r="AQ196" i="8" s="1"/>
  <c r="AO196" i="8"/>
  <c r="AR196" i="8" s="1"/>
  <c r="AM196" i="8"/>
  <c r="AP196" i="8" s="1"/>
  <c r="AO56" i="8"/>
  <c r="AR56" i="8" s="1"/>
  <c r="AM56" i="8"/>
  <c r="AP56" i="8" s="1"/>
  <c r="AN56" i="8"/>
  <c r="AQ56" i="8" s="1"/>
  <c r="AO180" i="8"/>
  <c r="AR180" i="8" s="1"/>
  <c r="AM180" i="8"/>
  <c r="AP180" i="8" s="1"/>
  <c r="AO260" i="8"/>
  <c r="AR260" i="8" s="1"/>
  <c r="AN260" i="8"/>
  <c r="AQ260" i="8" s="1"/>
  <c r="AM260" i="8"/>
  <c r="AP260" i="8" s="1"/>
  <c r="AO526" i="8"/>
  <c r="AR526" i="8" s="1"/>
  <c r="AN526" i="8"/>
  <c r="AQ526" i="8" s="1"/>
  <c r="AM573" i="8"/>
  <c r="AP573" i="8" s="1"/>
  <c r="AO573" i="8"/>
  <c r="AR573" i="8" s="1"/>
  <c r="AN213" i="8"/>
  <c r="AQ213" i="8" s="1"/>
  <c r="AM213" i="8"/>
  <c r="AP213" i="8" s="1"/>
  <c r="AO161" i="8"/>
  <c r="AR161" i="8" s="1"/>
  <c r="AN161" i="8"/>
  <c r="AQ161" i="8" s="1"/>
  <c r="AM161" i="8"/>
  <c r="AP161" i="8" s="1"/>
  <c r="AN54" i="8"/>
  <c r="AQ54" i="8" s="1"/>
  <c r="AO54" i="8"/>
  <c r="AR54" i="8" s="1"/>
  <c r="AM54" i="8"/>
  <c r="AP54" i="8" s="1"/>
  <c r="AO239" i="8"/>
  <c r="AR239" i="8" s="1"/>
  <c r="AN239" i="8"/>
  <c r="AQ239" i="8" s="1"/>
  <c r="AM239" i="8"/>
  <c r="AP239" i="8" s="1"/>
  <c r="AM410" i="8"/>
  <c r="AP410" i="8" s="1"/>
  <c r="AO410" i="8"/>
  <c r="AR410" i="8" s="1"/>
  <c r="AN410" i="8"/>
  <c r="AQ410" i="8" s="1"/>
  <c r="AO545" i="8"/>
  <c r="AR545" i="8" s="1"/>
  <c r="AM545" i="8"/>
  <c r="AP545" i="8" s="1"/>
  <c r="AN545" i="8"/>
  <c r="AQ545" i="8" s="1"/>
  <c r="AO556" i="8"/>
  <c r="AR556" i="8" s="1"/>
  <c r="AM556" i="8"/>
  <c r="AP556" i="8" s="1"/>
  <c r="AN219" i="8"/>
  <c r="AQ219" i="8" s="1"/>
  <c r="AM277" i="8"/>
  <c r="AP277" i="8" s="1"/>
  <c r="AN277" i="8"/>
  <c r="AQ277" i="8" s="1"/>
  <c r="AO277" i="8"/>
  <c r="AR277" i="8" s="1"/>
  <c r="AN135" i="8"/>
  <c r="AQ135" i="8" s="1"/>
  <c r="AN405" i="8"/>
  <c r="AQ405" i="8" s="1"/>
  <c r="AO317" i="8"/>
  <c r="AR317" i="8" s="1"/>
  <c r="AM317" i="8"/>
  <c r="AP317" i="8" s="1"/>
  <c r="AN317" i="8"/>
  <c r="AQ317" i="8" s="1"/>
  <c r="AO191" i="8"/>
  <c r="AR191" i="8" s="1"/>
  <c r="AN191" i="8"/>
  <c r="AQ191" i="8" s="1"/>
  <c r="AN409" i="8"/>
  <c r="AQ409" i="8" s="1"/>
  <c r="AM409" i="8"/>
  <c r="AP409" i="8" s="1"/>
  <c r="AO182" i="8"/>
  <c r="AR182" i="8" s="1"/>
  <c r="AN182" i="8"/>
  <c r="AQ182" i="8" s="1"/>
  <c r="AM182" i="8"/>
  <c r="AP182" i="8" s="1"/>
  <c r="AO419" i="8"/>
  <c r="AR419" i="8" s="1"/>
  <c r="AO563" i="8"/>
  <c r="AR563" i="8" s="1"/>
  <c r="AM563" i="8"/>
  <c r="AP563" i="8" s="1"/>
  <c r="AN563" i="8"/>
  <c r="AQ563" i="8" s="1"/>
  <c r="AO465" i="8"/>
  <c r="AR465" i="8" s="1"/>
  <c r="AN465" i="8"/>
  <c r="AQ465" i="8" s="1"/>
  <c r="AM465" i="8"/>
  <c r="AP465" i="8" s="1"/>
  <c r="AN308" i="8"/>
  <c r="AQ308" i="8" s="1"/>
  <c r="AN334" i="8"/>
  <c r="AQ334" i="8" s="1"/>
  <c r="AO334" i="8"/>
  <c r="AR334" i="8" s="1"/>
  <c r="AM334" i="8"/>
  <c r="AP334" i="8" s="1"/>
  <c r="AN275" i="8"/>
  <c r="AQ275" i="8" s="1"/>
  <c r="AO275" i="8"/>
  <c r="AR275" i="8" s="1"/>
  <c r="AM275" i="8"/>
  <c r="AP275" i="8" s="1"/>
  <c r="AN151" i="8"/>
  <c r="AQ151" i="8" s="1"/>
  <c r="AM527" i="8"/>
  <c r="AP527" i="8" s="1"/>
  <c r="AO527" i="8"/>
  <c r="AR527" i="8" s="1"/>
  <c r="AN527" i="8"/>
  <c r="AQ527" i="8" s="1"/>
  <c r="AN195" i="8"/>
  <c r="AQ195" i="8" s="1"/>
  <c r="AN175" i="8"/>
  <c r="AQ175" i="8" s="1"/>
  <c r="AN479" i="8"/>
  <c r="AQ479" i="8" s="1"/>
  <c r="AO479" i="8"/>
  <c r="AR479" i="8" s="1"/>
  <c r="AM479" i="8"/>
  <c r="AP479" i="8" s="1"/>
  <c r="AO417" i="8"/>
  <c r="AR417" i="8" s="1"/>
  <c r="AO292" i="8"/>
  <c r="AR292" i="8" s="1"/>
  <c r="AM352" i="8"/>
  <c r="AP352" i="8" s="1"/>
  <c r="AN243" i="8"/>
  <c r="AQ243" i="8" s="1"/>
  <c r="AN440" i="8"/>
  <c r="AQ440" i="8" s="1"/>
  <c r="AM440" i="8"/>
  <c r="AP440" i="8" s="1"/>
  <c r="AO440" i="8"/>
  <c r="AR440" i="8" s="1"/>
  <c r="AM354" i="8"/>
  <c r="AP354" i="8" s="1"/>
  <c r="AO387" i="8"/>
  <c r="AR387" i="8" s="1"/>
  <c r="AN387" i="8"/>
  <c r="AQ387" i="8" s="1"/>
  <c r="AM387" i="8"/>
  <c r="AP387" i="8" s="1"/>
  <c r="AN498" i="8"/>
  <c r="AQ498" i="8" s="1"/>
  <c r="AM498" i="8"/>
  <c r="AP498" i="8" s="1"/>
  <c r="AO498" i="8"/>
  <c r="AR498" i="8" s="1"/>
  <c r="AO12" i="8"/>
  <c r="AN12" i="8"/>
  <c r="AN566" i="8"/>
  <c r="AQ566" i="8" s="1"/>
  <c r="AO455" i="8"/>
  <c r="AR455" i="8" s="1"/>
  <c r="AM455" i="8"/>
  <c r="AP455" i="8" s="1"/>
  <c r="AO480" i="8"/>
  <c r="AR480" i="8" s="1"/>
  <c r="AM480" i="8"/>
  <c r="AP480" i="8" s="1"/>
  <c r="AN480" i="8"/>
  <c r="AQ480" i="8" s="1"/>
  <c r="AN307" i="8"/>
  <c r="AQ307" i="8" s="1"/>
  <c r="AO307" i="8"/>
  <c r="AR307" i="8" s="1"/>
  <c r="AM307" i="8"/>
  <c r="AP307" i="8" s="1"/>
  <c r="AM237" i="8"/>
  <c r="AP237" i="8" s="1"/>
  <c r="AN237" i="8"/>
  <c r="AQ237" i="8" s="1"/>
  <c r="AN427" i="8"/>
  <c r="AQ427" i="8" s="1"/>
  <c r="AM326" i="8"/>
  <c r="AP326" i="8" s="1"/>
  <c r="AO326" i="8"/>
  <c r="AR326" i="8" s="1"/>
  <c r="AO366" i="8"/>
  <c r="AR366" i="8" s="1"/>
  <c r="AN366" i="8"/>
  <c r="AQ366" i="8" s="1"/>
  <c r="AM366" i="8"/>
  <c r="AP366" i="8" s="1"/>
  <c r="AO309" i="8"/>
  <c r="AR309" i="8" s="1"/>
  <c r="AM309" i="8"/>
  <c r="AP309" i="8" s="1"/>
  <c r="AN309" i="8"/>
  <c r="AQ309" i="8" s="1"/>
  <c r="AM67" i="8"/>
  <c r="AP67" i="8" s="1"/>
  <c r="AO67" i="8"/>
  <c r="AR67" i="8" s="1"/>
  <c r="AN280" i="8"/>
  <c r="AQ280" i="8" s="1"/>
  <c r="AM436" i="8"/>
  <c r="AP436" i="8" s="1"/>
  <c r="AN120" i="8"/>
  <c r="AQ120" i="8" s="1"/>
  <c r="AO261" i="8"/>
  <c r="AR261" i="8" s="1"/>
  <c r="AM261" i="8"/>
  <c r="AP261" i="8" s="1"/>
  <c r="AO187" i="8"/>
  <c r="AR187" i="8" s="1"/>
  <c r="AM187" i="8"/>
  <c r="AP187" i="8" s="1"/>
  <c r="AO370" i="8"/>
  <c r="AR370" i="8" s="1"/>
  <c r="AN370" i="8"/>
  <c r="AQ370" i="8" s="1"/>
  <c r="AM294" i="8"/>
  <c r="AP294" i="8" s="1"/>
  <c r="AO294" i="8"/>
  <c r="AR294" i="8" s="1"/>
  <c r="AO467" i="8"/>
  <c r="AR467" i="8" s="1"/>
  <c r="AN467" i="8"/>
  <c r="AQ467" i="8" s="1"/>
  <c r="AM467" i="8"/>
  <c r="AP467" i="8" s="1"/>
  <c r="AN45" i="8"/>
  <c r="AQ45" i="8" s="1"/>
  <c r="AM45" i="8"/>
  <c r="AP45" i="8" s="1"/>
  <c r="AO45" i="8"/>
  <c r="AR45" i="8" s="1"/>
  <c r="AO463" i="8"/>
  <c r="AR463" i="8" s="1"/>
  <c r="AN463" i="8"/>
  <c r="AQ463" i="8" s="1"/>
  <c r="AM463" i="8"/>
  <c r="AP463" i="8" s="1"/>
  <c r="AN101" i="8"/>
  <c r="AQ101" i="8" s="1"/>
  <c r="AO126" i="8"/>
  <c r="AR126" i="8" s="1"/>
  <c r="AM126" i="8"/>
  <c r="AP126" i="8" s="1"/>
  <c r="AN126" i="8"/>
  <c r="AQ126" i="8" s="1"/>
  <c r="AM376" i="8"/>
  <c r="AP376" i="8" s="1"/>
  <c r="AO340" i="8"/>
  <c r="AR340" i="8" s="1"/>
  <c r="AM340" i="8"/>
  <c r="AP340" i="8" s="1"/>
  <c r="AO327" i="8"/>
  <c r="AR327" i="8" s="1"/>
  <c r="AM327" i="8"/>
  <c r="AP327" i="8" s="1"/>
  <c r="AM332" i="8"/>
  <c r="AP332" i="8" s="1"/>
  <c r="AN478" i="8"/>
  <c r="AQ478" i="8" s="1"/>
  <c r="AM558" i="8"/>
  <c r="AP558" i="8" s="1"/>
  <c r="AN558" i="8"/>
  <c r="AQ558" i="8" s="1"/>
  <c r="AN572" i="8"/>
  <c r="AQ572" i="8" s="1"/>
  <c r="AN133" i="8"/>
  <c r="AQ133" i="8" s="1"/>
  <c r="AN553" i="8"/>
  <c r="AQ553" i="8" s="1"/>
  <c r="AO553" i="8"/>
  <c r="AR553" i="8" s="1"/>
  <c r="AM553" i="8"/>
  <c r="AP553" i="8" s="1"/>
  <c r="AO295" i="8"/>
  <c r="AR295" i="8" s="1"/>
  <c r="AM295" i="8"/>
  <c r="AP295" i="8" s="1"/>
  <c r="AO448" i="8"/>
  <c r="AR448" i="8" s="1"/>
  <c r="AN448" i="8"/>
  <c r="AQ448" i="8" s="1"/>
  <c r="AM448" i="8"/>
  <c r="AP448" i="8" s="1"/>
  <c r="AO562" i="8"/>
  <c r="AR562" i="8" s="1"/>
  <c r="AN562" i="8"/>
  <c r="AQ562" i="8" s="1"/>
  <c r="AM562" i="8"/>
  <c r="AP562" i="8" s="1"/>
  <c r="AM362" i="8"/>
  <c r="AP362" i="8" s="1"/>
  <c r="AO155" i="8"/>
  <c r="AR155" i="8" s="1"/>
  <c r="AN155" i="8"/>
  <c r="AQ155" i="8" s="1"/>
  <c r="AM155" i="8"/>
  <c r="AP155" i="8" s="1"/>
  <c r="AM385" i="8"/>
  <c r="AP385" i="8" s="1"/>
  <c r="AO385" i="8"/>
  <c r="AR385" i="8" s="1"/>
  <c r="AM380" i="8"/>
  <c r="AP380" i="8" s="1"/>
  <c r="AO380" i="8"/>
  <c r="AR380" i="8" s="1"/>
  <c r="AN380" i="8"/>
  <c r="AQ380" i="8" s="1"/>
  <c r="AM511" i="8"/>
  <c r="AP511" i="8" s="1"/>
  <c r="AO511" i="8"/>
  <c r="AR511" i="8" s="1"/>
  <c r="AN511" i="8"/>
  <c r="AQ511" i="8" s="1"/>
  <c r="AO496" i="8"/>
  <c r="AR496" i="8" s="1"/>
  <c r="AN496" i="8"/>
  <c r="AQ496" i="8" s="1"/>
  <c r="AM496" i="8"/>
  <c r="AP496" i="8" s="1"/>
  <c r="AN518" i="8"/>
  <c r="AQ518" i="8" s="1"/>
  <c r="AO518" i="8"/>
  <c r="AR518" i="8" s="1"/>
  <c r="AO110" i="8"/>
  <c r="AR110" i="8" s="1"/>
  <c r="AM110" i="8"/>
  <c r="AP110" i="8" s="1"/>
  <c r="AN110" i="8"/>
  <c r="AQ110" i="8" s="1"/>
  <c r="AM430" i="8"/>
  <c r="AP430" i="8" s="1"/>
  <c r="AN430" i="8"/>
  <c r="AQ430" i="8" s="1"/>
  <c r="AO430" i="8"/>
  <c r="AR430" i="8" s="1"/>
  <c r="AN423" i="8"/>
  <c r="AQ423" i="8" s="1"/>
  <c r="AM423" i="8"/>
  <c r="AP423" i="8" s="1"/>
  <c r="AO423" i="8"/>
  <c r="AR423" i="8" s="1"/>
  <c r="AO308" i="8"/>
  <c r="AR308" i="8" s="1"/>
  <c r="AM308" i="8"/>
  <c r="AP308" i="8" s="1"/>
  <c r="AO271" i="8"/>
  <c r="AR271" i="8" s="1"/>
  <c r="AN271" i="8"/>
  <c r="AQ271" i="8" s="1"/>
  <c r="AM271" i="8"/>
  <c r="AP271" i="8" s="1"/>
  <c r="AO348" i="8"/>
  <c r="AR348" i="8" s="1"/>
  <c r="AM348" i="8"/>
  <c r="AP348" i="8" s="1"/>
  <c r="AN348" i="8"/>
  <c r="AQ348" i="8" s="1"/>
  <c r="AO395" i="8"/>
  <c r="AR395" i="8" s="1"/>
  <c r="AN395" i="8"/>
  <c r="AQ395" i="8" s="1"/>
  <c r="AM395" i="8"/>
  <c r="AP395" i="8" s="1"/>
  <c r="AN35" i="8"/>
  <c r="AQ35" i="8" s="1"/>
  <c r="AM35" i="8"/>
  <c r="AP35" i="8" s="1"/>
  <c r="AO35" i="8"/>
  <c r="AR35" i="8" s="1"/>
  <c r="AO519" i="8"/>
  <c r="AR519" i="8" s="1"/>
  <c r="AN519" i="8"/>
  <c r="AQ519" i="8" s="1"/>
  <c r="AM519" i="8"/>
  <c r="AP519" i="8" s="1"/>
  <c r="AM417" i="8"/>
  <c r="AP417" i="8" s="1"/>
  <c r="AN125" i="8"/>
  <c r="AQ125" i="8" s="1"/>
  <c r="AN354" i="8"/>
  <c r="AQ354" i="8" s="1"/>
  <c r="AO354" i="8"/>
  <c r="AR354" i="8" s="1"/>
  <c r="AN482" i="8"/>
  <c r="AQ482" i="8" s="1"/>
  <c r="AM482" i="8"/>
  <c r="AP482" i="8" s="1"/>
  <c r="AO482" i="8"/>
  <c r="AR482" i="8" s="1"/>
  <c r="AO124" i="8"/>
  <c r="AR124" i="8" s="1"/>
  <c r="AM124" i="8"/>
  <c r="AP124" i="8" s="1"/>
  <c r="AN124" i="8"/>
  <c r="AQ124" i="8" s="1"/>
  <c r="AO98" i="8"/>
  <c r="AR98" i="8" s="1"/>
  <c r="AN98" i="8"/>
  <c r="AQ98" i="8" s="1"/>
  <c r="AM98" i="8"/>
  <c r="AP98" i="8" s="1"/>
  <c r="AM269" i="8"/>
  <c r="AP269" i="8" s="1"/>
  <c r="AN269" i="8"/>
  <c r="AQ269" i="8" s="1"/>
  <c r="AO269" i="8"/>
  <c r="AR269" i="8" s="1"/>
  <c r="AO208" i="8"/>
  <c r="AR208" i="8" s="1"/>
  <c r="AM208" i="8"/>
  <c r="AP208" i="8" s="1"/>
  <c r="AN208" i="8"/>
  <c r="AQ208" i="8" s="1"/>
  <c r="AO491" i="8"/>
  <c r="AR491" i="8" s="1"/>
  <c r="AM491" i="8"/>
  <c r="AP491" i="8" s="1"/>
  <c r="AN491" i="8"/>
  <c r="AQ491" i="8" s="1"/>
  <c r="AM568" i="8"/>
  <c r="AP568" i="8" s="1"/>
  <c r="AN568" i="8"/>
  <c r="AQ568" i="8" s="1"/>
  <c r="AO568" i="8"/>
  <c r="AR568" i="8" s="1"/>
  <c r="AO420" i="8"/>
  <c r="AR420" i="8" s="1"/>
  <c r="AM420" i="8"/>
  <c r="AP420" i="8" s="1"/>
  <c r="AN420" i="8"/>
  <c r="AQ420" i="8" s="1"/>
  <c r="AM92" i="8"/>
  <c r="AP92" i="8" s="1"/>
  <c r="AN92" i="8"/>
  <c r="AQ92" i="8" s="1"/>
  <c r="AO92" i="8"/>
  <c r="AR92" i="8" s="1"/>
  <c r="AO524" i="8"/>
  <c r="AR524" i="8" s="1"/>
  <c r="AM524" i="8"/>
  <c r="AP524" i="8" s="1"/>
  <c r="AO179" i="8"/>
  <c r="AR179" i="8" s="1"/>
  <c r="AN179" i="8"/>
  <c r="AQ179" i="8" s="1"/>
  <c r="AM179" i="8"/>
  <c r="AP179" i="8" s="1"/>
  <c r="AO106" i="8"/>
  <c r="AR106" i="8" s="1"/>
  <c r="AM106" i="8"/>
  <c r="AP106" i="8" s="1"/>
  <c r="AN106" i="8"/>
  <c r="AQ106" i="8" s="1"/>
  <c r="AN74" i="8"/>
  <c r="AQ74" i="8" s="1"/>
  <c r="AM74" i="8"/>
  <c r="AP74" i="8" s="1"/>
  <c r="AN404" i="8"/>
  <c r="AQ404" i="8" s="1"/>
  <c r="AM404" i="8"/>
  <c r="AP404" i="8" s="1"/>
  <c r="AO404" i="8"/>
  <c r="AR404" i="8" s="1"/>
  <c r="AM353" i="8"/>
  <c r="AP353" i="8" s="1"/>
  <c r="AO353" i="8"/>
  <c r="AR353" i="8" s="1"/>
  <c r="AN353" i="8"/>
  <c r="AQ353" i="8" s="1"/>
  <c r="AO483" i="8"/>
  <c r="AR483" i="8" s="1"/>
  <c r="AN483" i="8"/>
  <c r="AQ483" i="8" s="1"/>
  <c r="AM483" i="8"/>
  <c r="AP483" i="8" s="1"/>
  <c r="AO57" i="8"/>
  <c r="AR57" i="8" s="1"/>
  <c r="AN57" i="8"/>
  <c r="AQ57" i="8" s="1"/>
  <c r="AM57" i="8"/>
  <c r="AP57" i="8" s="1"/>
  <c r="AO202" i="8"/>
  <c r="AR202" i="8" s="1"/>
  <c r="AM202" i="8"/>
  <c r="AP202" i="8" s="1"/>
  <c r="AN202" i="8"/>
  <c r="AQ202" i="8" s="1"/>
  <c r="AO335" i="8"/>
  <c r="AR335" i="8" s="1"/>
  <c r="AM335" i="8"/>
  <c r="AP335" i="8" s="1"/>
  <c r="AN335" i="8"/>
  <c r="AQ335" i="8" s="1"/>
  <c r="AO398" i="8"/>
  <c r="AR398" i="8" s="1"/>
  <c r="AM398" i="8"/>
  <c r="AP398" i="8" s="1"/>
  <c r="AN398" i="8"/>
  <c r="AQ398" i="8" s="1"/>
  <c r="AN141" i="8"/>
  <c r="AQ141" i="8" s="1"/>
  <c r="AO186" i="8"/>
  <c r="AR186" i="8" s="1"/>
  <c r="AM186" i="8"/>
  <c r="AP186" i="8" s="1"/>
  <c r="AN186" i="8"/>
  <c r="AQ186" i="8" s="1"/>
  <c r="AM101" i="8"/>
  <c r="AP101" i="8" s="1"/>
  <c r="AO101" i="8"/>
  <c r="AR101" i="8" s="1"/>
  <c r="AM501" i="8"/>
  <c r="AP501" i="8" s="1"/>
  <c r="AO501" i="8"/>
  <c r="AR501" i="8" s="1"/>
  <c r="AM69" i="8"/>
  <c r="AP69" i="8" s="1"/>
  <c r="AN69" i="8"/>
  <c r="AQ69" i="8" s="1"/>
  <c r="AO69" i="8"/>
  <c r="AR69" i="8" s="1"/>
  <c r="AO473" i="8"/>
  <c r="AR473" i="8" s="1"/>
  <c r="AN473" i="8"/>
  <c r="AQ473" i="8" s="1"/>
  <c r="AM473" i="8"/>
  <c r="AP473" i="8" s="1"/>
  <c r="AM201" i="8"/>
  <c r="AP201" i="8" s="1"/>
  <c r="AN201" i="8"/>
  <c r="AQ201" i="8" s="1"/>
  <c r="AO201" i="8"/>
  <c r="AR201" i="8" s="1"/>
  <c r="AN258" i="8"/>
  <c r="AQ258" i="8" s="1"/>
  <c r="AO258" i="8"/>
  <c r="AR258" i="8" s="1"/>
  <c r="AM258" i="8"/>
  <c r="AP258" i="8" s="1"/>
  <c r="AM441" i="8"/>
  <c r="AP441" i="8" s="1"/>
  <c r="AN441" i="8"/>
  <c r="AQ441" i="8" s="1"/>
  <c r="AN443" i="8"/>
  <c r="AQ443" i="8" s="1"/>
  <c r="AO443" i="8"/>
  <c r="AR443" i="8" s="1"/>
  <c r="AN220" i="8"/>
  <c r="AQ220" i="8" s="1"/>
  <c r="AO220" i="8"/>
  <c r="AR220" i="8" s="1"/>
  <c r="AM220" i="8"/>
  <c r="AP220" i="8" s="1"/>
  <c r="AO522" i="8"/>
  <c r="AR522" i="8" s="1"/>
  <c r="AN522" i="8"/>
  <c r="AQ522" i="8" s="1"/>
  <c r="AM522" i="8"/>
  <c r="AP522" i="8" s="1"/>
  <c r="AO32" i="8"/>
  <c r="AR32" i="8" s="1"/>
  <c r="AN32" i="8"/>
  <c r="AQ32" i="8" s="1"/>
  <c r="AM225" i="8"/>
  <c r="AP225" i="8" s="1"/>
  <c r="AO225" i="8"/>
  <c r="AR225" i="8" s="1"/>
  <c r="AO460" i="8"/>
  <c r="AR460" i="8" s="1"/>
  <c r="AN460" i="8"/>
  <c r="AQ460" i="8" s="1"/>
  <c r="AO29" i="8"/>
  <c r="AR29" i="8" s="1"/>
  <c r="AM29" i="8"/>
  <c r="AP29" i="8" s="1"/>
  <c r="AN29" i="8"/>
  <c r="AQ29" i="8" s="1"/>
  <c r="AO231" i="8"/>
  <c r="AR231" i="8" s="1"/>
  <c r="AN231" i="8"/>
  <c r="AQ231" i="8" s="1"/>
  <c r="AM231" i="8"/>
  <c r="AP231" i="8" s="1"/>
  <c r="AO388" i="8"/>
  <c r="AR388" i="8" s="1"/>
  <c r="AN388" i="8"/>
  <c r="AQ388" i="8" s="1"/>
  <c r="AM388" i="8"/>
  <c r="AP388" i="8" s="1"/>
  <c r="AM133" i="8"/>
  <c r="AP133" i="8" s="1"/>
  <c r="AO133" i="8"/>
  <c r="AR133" i="8" s="1"/>
  <c r="AN263" i="8"/>
  <c r="AQ263" i="8" s="1"/>
  <c r="AM263" i="8"/>
  <c r="AP263" i="8" s="1"/>
  <c r="AO263" i="8"/>
  <c r="AR263" i="8" s="1"/>
  <c r="AM336" i="8"/>
  <c r="AP336" i="8" s="1"/>
  <c r="AO91" i="8"/>
  <c r="AR91" i="8" s="1"/>
  <c r="AN91" i="8"/>
  <c r="AQ91" i="8" s="1"/>
  <c r="AM91" i="8"/>
  <c r="AP91" i="8" s="1"/>
  <c r="AO215" i="8"/>
  <c r="AR215" i="8" s="1"/>
  <c r="AN215" i="8"/>
  <c r="AQ215" i="8" s="1"/>
  <c r="AM215" i="8"/>
  <c r="AP215" i="8" s="1"/>
  <c r="AO358" i="8"/>
  <c r="AR358" i="8" s="1"/>
  <c r="AM358" i="8"/>
  <c r="AP358" i="8" s="1"/>
  <c r="AM170" i="8"/>
  <c r="AP170" i="8" s="1"/>
  <c r="AO170" i="8"/>
  <c r="AR170" i="8" s="1"/>
  <c r="AN170" i="8"/>
  <c r="AQ170" i="8" s="1"/>
  <c r="AO362" i="8"/>
  <c r="AR362" i="8" s="1"/>
  <c r="AN362" i="8"/>
  <c r="AQ362" i="8" s="1"/>
  <c r="AO459" i="8"/>
  <c r="AR459" i="8" s="1"/>
  <c r="AN459" i="8"/>
  <c r="AQ459" i="8" s="1"/>
  <c r="AN136" i="8"/>
  <c r="AQ136" i="8" s="1"/>
  <c r="AO374" i="8"/>
  <c r="AR374" i="8" s="1"/>
  <c r="AM374" i="8"/>
  <c r="AP374" i="8" s="1"/>
  <c r="AN374" i="8"/>
  <c r="AQ374" i="8" s="1"/>
  <c r="AN28" i="8"/>
  <c r="AQ28" i="8" s="1"/>
  <c r="AO28" i="8"/>
  <c r="AR28" i="8" s="1"/>
  <c r="AM28" i="8"/>
  <c r="AP28" i="8" s="1"/>
  <c r="AO488" i="8"/>
  <c r="AR488" i="8" s="1"/>
  <c r="AM488" i="8"/>
  <c r="AP488" i="8" s="1"/>
  <c r="AM503" i="8"/>
  <c r="AP503" i="8" s="1"/>
  <c r="AO503" i="8"/>
  <c r="AR503" i="8" s="1"/>
  <c r="AN503" i="8"/>
  <c r="AQ503" i="8" s="1"/>
  <c r="AN349" i="8"/>
  <c r="AQ349" i="8" s="1"/>
  <c r="AO349" i="8"/>
  <c r="AR349" i="8" s="1"/>
  <c r="AM349" i="8"/>
  <c r="AP349" i="8" s="1"/>
  <c r="AM461" i="8"/>
  <c r="AP461" i="8" s="1"/>
  <c r="AN461" i="8"/>
  <c r="AQ461" i="8" s="1"/>
  <c r="AO461" i="8"/>
  <c r="AR461" i="8" s="1"/>
  <c r="AO540" i="8"/>
  <c r="AR540" i="8" s="1"/>
  <c r="AM540" i="8"/>
  <c r="AP540" i="8" s="1"/>
  <c r="AO159" i="8"/>
  <c r="AR159" i="8" s="1"/>
  <c r="AM159" i="8"/>
  <c r="AP159" i="8" s="1"/>
  <c r="AO301" i="8"/>
  <c r="AR301" i="8" s="1"/>
  <c r="AM301" i="8"/>
  <c r="AP301" i="8" s="1"/>
  <c r="AN301" i="8"/>
  <c r="AQ301" i="8" s="1"/>
  <c r="AO466" i="8"/>
  <c r="AR466" i="8" s="1"/>
  <c r="AN466" i="8"/>
  <c r="AQ466" i="8" s="1"/>
  <c r="AM466" i="8"/>
  <c r="AP466" i="8" s="1"/>
  <c r="AM355" i="8"/>
  <c r="AP355" i="8" s="1"/>
  <c r="AO355" i="8"/>
  <c r="AR355" i="8" s="1"/>
  <c r="AN355" i="8"/>
  <c r="AQ355" i="8" s="1"/>
  <c r="AM135" i="8"/>
  <c r="AP135" i="8" s="1"/>
  <c r="AN303" i="8"/>
  <c r="AQ303" i="8" s="1"/>
  <c r="AO303" i="8"/>
  <c r="AR303" i="8" s="1"/>
  <c r="AO477" i="8"/>
  <c r="AR477" i="8" s="1"/>
  <c r="AM477" i="8"/>
  <c r="AP477" i="8" s="1"/>
  <c r="AN477" i="8"/>
  <c r="AQ477" i="8" s="1"/>
  <c r="AM514" i="8"/>
  <c r="AP514" i="8" s="1"/>
  <c r="AN514" i="8"/>
  <c r="AQ514" i="8" s="1"/>
  <c r="AO514" i="8"/>
  <c r="AR514" i="8" s="1"/>
  <c r="AO409" i="8"/>
  <c r="AR409" i="8" s="1"/>
  <c r="AN419" i="8"/>
  <c r="AQ419" i="8" s="1"/>
  <c r="AM575" i="8"/>
  <c r="AP575" i="8" s="1"/>
  <c r="AO575" i="8"/>
  <c r="AR575" i="8" s="1"/>
  <c r="AN575" i="8"/>
  <c r="AQ575" i="8" s="1"/>
  <c r="AM39" i="8"/>
  <c r="AP39" i="8" s="1"/>
  <c r="AN39" i="8"/>
  <c r="AQ39" i="8" s="1"/>
  <c r="AO515" i="8"/>
  <c r="AR515" i="8" s="1"/>
  <c r="AN515" i="8"/>
  <c r="AQ515" i="8" s="1"/>
  <c r="AM515" i="8"/>
  <c r="AP515" i="8" s="1"/>
  <c r="AM313" i="8"/>
  <c r="AP313" i="8" s="1"/>
  <c r="AO313" i="8"/>
  <c r="AR313" i="8" s="1"/>
  <c r="AN313" i="8"/>
  <c r="AQ313" i="8" s="1"/>
  <c r="AO523" i="8"/>
  <c r="AR523" i="8" s="1"/>
  <c r="AM523" i="8"/>
  <c r="AP523" i="8" s="1"/>
  <c r="AN523" i="8"/>
  <c r="AQ523" i="8" s="1"/>
  <c r="AM53" i="8"/>
  <c r="AP53" i="8" s="1"/>
  <c r="AO53" i="8"/>
  <c r="AR53" i="8" s="1"/>
  <c r="AM167" i="8"/>
  <c r="AP167" i="8" s="1"/>
  <c r="AO400" i="8"/>
  <c r="AR400" i="8" s="1"/>
  <c r="AN400" i="8"/>
  <c r="AQ400" i="8" s="1"/>
  <c r="AM400" i="8"/>
  <c r="AP400" i="8" s="1"/>
  <c r="AO281" i="8"/>
  <c r="AR281" i="8" s="1"/>
  <c r="AM281" i="8"/>
  <c r="AP281" i="8" s="1"/>
  <c r="AN281" i="8"/>
  <c r="AQ281" i="8" s="1"/>
  <c r="AM79" i="8"/>
  <c r="AP79" i="8" s="1"/>
  <c r="AO79" i="8"/>
  <c r="AR79" i="8" s="1"/>
  <c r="AN79" i="8"/>
  <c r="AQ79" i="8" s="1"/>
  <c r="AO357" i="8"/>
  <c r="AR357" i="8" s="1"/>
  <c r="AN357" i="8"/>
  <c r="AQ357" i="8" s="1"/>
  <c r="AM357" i="8"/>
  <c r="AP357" i="8" s="1"/>
  <c r="AN165" i="8"/>
  <c r="AQ165" i="8" s="1"/>
  <c r="AO165" i="8"/>
  <c r="AR165" i="8" s="1"/>
  <c r="AM165" i="8"/>
  <c r="AP165" i="8" s="1"/>
  <c r="AN417" i="8"/>
  <c r="AQ417" i="8" s="1"/>
  <c r="AM292" i="8"/>
  <c r="AP292" i="8" s="1"/>
  <c r="AN433" i="8"/>
  <c r="AQ433" i="8" s="1"/>
  <c r="AM125" i="8"/>
  <c r="AP125" i="8" s="1"/>
  <c r="AO125" i="8"/>
  <c r="AR125" i="8" s="1"/>
  <c r="AN21" i="8"/>
  <c r="AQ21" i="8" s="1"/>
  <c r="AM21" i="8"/>
  <c r="AP21" i="8" s="1"/>
  <c r="AO247" i="8"/>
  <c r="AR247" i="8" s="1"/>
  <c r="AN247" i="8"/>
  <c r="AQ247" i="8" s="1"/>
  <c r="AM247" i="8"/>
  <c r="AP247" i="8" s="1"/>
  <c r="AM12" i="8"/>
  <c r="AN14" i="8"/>
  <c r="AQ14" i="8" s="1"/>
  <c r="AM14" i="8"/>
  <c r="AP14" i="8" s="1"/>
  <c r="AO14" i="8"/>
  <c r="AR14" i="8" s="1"/>
  <c r="AM566" i="8"/>
  <c r="AP566" i="8" s="1"/>
  <c r="AO15" i="8"/>
  <c r="AR15" i="8" s="1"/>
  <c r="AM15" i="8"/>
  <c r="AP15" i="8" s="1"/>
  <c r="AN15" i="8"/>
  <c r="AQ15" i="8" s="1"/>
  <c r="AM560" i="8"/>
  <c r="AP560" i="8" s="1"/>
  <c r="AO560" i="8"/>
  <c r="AR560" i="8" s="1"/>
  <c r="AN560" i="8"/>
  <c r="AQ560" i="8" s="1"/>
  <c r="AM257" i="8"/>
  <c r="AP257" i="8" s="1"/>
  <c r="AO257" i="8"/>
  <c r="AR257" i="8" s="1"/>
  <c r="AN257" i="8"/>
  <c r="AQ257" i="8" s="1"/>
  <c r="AN68" i="8"/>
  <c r="AQ68" i="8" s="1"/>
  <c r="AM298" i="8"/>
  <c r="AP298" i="8" s="1"/>
  <c r="AN298" i="8"/>
  <c r="AQ298" i="8" s="1"/>
  <c r="AO298" i="8"/>
  <c r="AR298" i="8" s="1"/>
  <c r="AN360" i="8"/>
  <c r="AQ360" i="8" s="1"/>
  <c r="AM264" i="8"/>
  <c r="AP264" i="8" s="1"/>
  <c r="AO134" i="8"/>
  <c r="AR134" i="8" s="1"/>
  <c r="AM134" i="8"/>
  <c r="AP134" i="8" s="1"/>
  <c r="AN134" i="8"/>
  <c r="AQ134" i="8" s="1"/>
  <c r="AO389" i="8"/>
  <c r="AR389" i="8" s="1"/>
  <c r="AN389" i="8"/>
  <c r="AQ389" i="8" s="1"/>
  <c r="AM389" i="8"/>
  <c r="AP389" i="8" s="1"/>
  <c r="AM418" i="8"/>
  <c r="AP418" i="8" s="1"/>
  <c r="AN418" i="8"/>
  <c r="AQ418" i="8" s="1"/>
  <c r="AO418" i="8"/>
  <c r="AR418" i="8" s="1"/>
  <c r="AO280" i="8"/>
  <c r="AR280" i="8" s="1"/>
  <c r="AM280" i="8"/>
  <c r="AP280" i="8" s="1"/>
  <c r="AO425" i="8"/>
  <c r="AR425" i="8" s="1"/>
  <c r="AN492" i="8"/>
  <c r="AQ492" i="8" s="1"/>
  <c r="AM492" i="8"/>
  <c r="AP492" i="8" s="1"/>
  <c r="AO492" i="8"/>
  <c r="AR492" i="8" s="1"/>
  <c r="AN490" i="8"/>
  <c r="AQ490" i="8" s="1"/>
  <c r="AO490" i="8"/>
  <c r="AR490" i="8" s="1"/>
  <c r="AM490" i="8"/>
  <c r="AP490" i="8" s="1"/>
  <c r="AO52" i="8"/>
  <c r="AR52" i="8" s="1"/>
  <c r="AN52" i="8"/>
  <c r="AQ52" i="8" s="1"/>
  <c r="AM119" i="8"/>
  <c r="AP119" i="8" s="1"/>
  <c r="AN149" i="8"/>
  <c r="AQ149" i="8" s="1"/>
  <c r="AO149" i="8"/>
  <c r="AR149" i="8" s="1"/>
  <c r="AM149" i="8"/>
  <c r="AP149" i="8" s="1"/>
  <c r="AM289" i="8"/>
  <c r="AP289" i="8" s="1"/>
  <c r="AN289" i="8"/>
  <c r="AQ289" i="8" s="1"/>
  <c r="AO289" i="8"/>
  <c r="AR289" i="8" s="1"/>
  <c r="AN340" i="8"/>
  <c r="AQ340" i="8" s="1"/>
  <c r="AM72" i="8"/>
  <c r="AP72" i="8" s="1"/>
  <c r="AO72" i="8"/>
  <c r="AR72" i="8" s="1"/>
  <c r="AN422" i="8"/>
  <c r="AQ422" i="8" s="1"/>
  <c r="AO422" i="8"/>
  <c r="AR422" i="8" s="1"/>
  <c r="AN46" i="8"/>
  <c r="AQ46" i="8" s="1"/>
  <c r="AO46" i="8"/>
  <c r="AR46" i="8" s="1"/>
  <c r="AM46" i="8"/>
  <c r="AP46" i="8" s="1"/>
  <c r="AN212" i="8"/>
  <c r="AQ212" i="8" s="1"/>
  <c r="AM212" i="8"/>
  <c r="AP212" i="8" s="1"/>
  <c r="AO212" i="8"/>
  <c r="AR212" i="8" s="1"/>
  <c r="AN332" i="8"/>
  <c r="AQ332" i="8" s="1"/>
  <c r="AO210" i="8"/>
  <c r="AR210" i="8" s="1"/>
  <c r="AM210" i="8"/>
  <c r="AP210" i="8" s="1"/>
  <c r="AN210" i="8"/>
  <c r="AQ210" i="8" s="1"/>
  <c r="AN565" i="8"/>
  <c r="AQ565" i="8" s="1"/>
  <c r="AM565" i="8"/>
  <c r="AP565" i="8" s="1"/>
  <c r="AN302" i="8"/>
  <c r="AQ302" i="8" s="1"/>
  <c r="AO392" i="8"/>
  <c r="AR392" i="8" s="1"/>
  <c r="AM392" i="8"/>
  <c r="AP392" i="8" s="1"/>
  <c r="AN392" i="8"/>
  <c r="AQ392" i="8" s="1"/>
  <c r="AO393" i="8"/>
  <c r="AR393" i="8" s="1"/>
  <c r="AN393" i="8"/>
  <c r="AQ393" i="8" s="1"/>
  <c r="AM393" i="8"/>
  <c r="AP393" i="8" s="1"/>
  <c r="AO478" i="8"/>
  <c r="AR478" i="8" s="1"/>
  <c r="AN104" i="8"/>
  <c r="AQ104" i="8" s="1"/>
  <c r="AM460" i="8"/>
  <c r="AP460" i="8" s="1"/>
  <c r="AO572" i="8"/>
  <c r="AR572" i="8" s="1"/>
  <c r="AM572" i="8"/>
  <c r="AP572" i="8" s="1"/>
  <c r="AO528" i="8"/>
  <c r="AR528" i="8" s="1"/>
  <c r="AN528" i="8"/>
  <c r="AQ528" i="8" s="1"/>
  <c r="AN534" i="8"/>
  <c r="AQ534" i="8" s="1"/>
  <c r="AN471" i="8"/>
  <c r="AQ471" i="8" s="1"/>
  <c r="AO471" i="8"/>
  <c r="AR471" i="8" s="1"/>
  <c r="AM471" i="8"/>
  <c r="AP471" i="8" s="1"/>
  <c r="AO426" i="8"/>
  <c r="AR426" i="8" s="1"/>
  <c r="AN426" i="8"/>
  <c r="AQ426" i="8" s="1"/>
  <c r="AO531" i="8"/>
  <c r="AR531" i="8" s="1"/>
  <c r="AN531" i="8"/>
  <c r="AQ531" i="8" s="1"/>
  <c r="AM531" i="8"/>
  <c r="AP531" i="8" s="1"/>
  <c r="AN476" i="8"/>
  <c r="AQ476" i="8" s="1"/>
  <c r="AO476" i="8"/>
  <c r="AR476" i="8" s="1"/>
  <c r="AM476" i="8"/>
  <c r="AP476" i="8" s="1"/>
  <c r="AO268" i="8"/>
  <c r="AR268" i="8" s="1"/>
  <c r="AM268" i="8"/>
  <c r="AP268" i="8" s="1"/>
  <c r="AO154" i="8"/>
  <c r="AR154" i="8" s="1"/>
  <c r="AN154" i="8"/>
  <c r="AQ154" i="8" s="1"/>
  <c r="AM154" i="8"/>
  <c r="AP154" i="8" s="1"/>
  <c r="AM254" i="8"/>
  <c r="AP254" i="8" s="1"/>
  <c r="AO254" i="8"/>
  <c r="AR254" i="8" s="1"/>
  <c r="AN254" i="8"/>
  <c r="AQ254" i="8" s="1"/>
  <c r="AO192" i="8"/>
  <c r="AR192" i="8" s="1"/>
  <c r="AN192" i="8"/>
  <c r="AQ192" i="8" s="1"/>
  <c r="AM192" i="8"/>
  <c r="AP192" i="8" s="1"/>
  <c r="AO163" i="8"/>
  <c r="AR163" i="8" s="1"/>
  <c r="AN163" i="8"/>
  <c r="AQ163" i="8" s="1"/>
  <c r="AO405" i="8"/>
  <c r="AR405" i="8" s="1"/>
  <c r="AM405" i="8"/>
  <c r="AP405" i="8" s="1"/>
  <c r="AN495" i="8"/>
  <c r="AQ495" i="8" s="1"/>
  <c r="AO495" i="8"/>
  <c r="AR495" i="8" s="1"/>
  <c r="AM495" i="8"/>
  <c r="AP495" i="8" s="1"/>
  <c r="AM333" i="8"/>
  <c r="AP333" i="8" s="1"/>
  <c r="AN333" i="8"/>
  <c r="AQ333" i="8" s="1"/>
  <c r="AO333" i="8"/>
  <c r="AR333" i="8" s="1"/>
  <c r="AM338" i="8"/>
  <c r="AP338" i="8" s="1"/>
  <c r="AN338" i="8"/>
  <c r="AQ338" i="8" s="1"/>
  <c r="AO338" i="8"/>
  <c r="AR338" i="8" s="1"/>
  <c r="AO216" i="8"/>
  <c r="AR216" i="8" s="1"/>
  <c r="AM216" i="8"/>
  <c r="AP216" i="8" s="1"/>
  <c r="AN216" i="8"/>
  <c r="AQ216" i="8" s="1"/>
  <c r="AM193" i="8"/>
  <c r="AP193" i="8" s="1"/>
  <c r="AN193" i="8"/>
  <c r="AQ193" i="8" s="1"/>
  <c r="AO193" i="8"/>
  <c r="AR193" i="8" s="1"/>
  <c r="AO574" i="8"/>
  <c r="AR574" i="8" s="1"/>
  <c r="AM574" i="8"/>
  <c r="AP574" i="8" s="1"/>
  <c r="AN574" i="8"/>
  <c r="AQ574" i="8" s="1"/>
  <c r="AN556" i="8"/>
  <c r="AQ556" i="8" s="1"/>
  <c r="AM219" i="8"/>
  <c r="AP219" i="8" s="1"/>
  <c r="AM211" i="8"/>
  <c r="AP211" i="8" s="1"/>
  <c r="AN415" i="8"/>
  <c r="AQ415" i="8" s="1"/>
  <c r="AO415" i="8"/>
  <c r="AR415" i="8" s="1"/>
  <c r="AM415" i="8"/>
  <c r="AP415" i="8" s="1"/>
  <c r="AO144" i="8"/>
  <c r="AR144" i="8" s="1"/>
  <c r="AM144" i="8"/>
  <c r="AP144" i="8" s="1"/>
  <c r="AO577" i="8"/>
  <c r="AR577" i="8" s="1"/>
  <c r="AN577" i="8"/>
  <c r="AQ577" i="8" s="1"/>
  <c r="AM577" i="8"/>
  <c r="AP577" i="8" s="1"/>
  <c r="AO464" i="8"/>
  <c r="AR464" i="8" s="1"/>
  <c r="AM464" i="8"/>
  <c r="AP464" i="8" s="1"/>
  <c r="AN464" i="8"/>
  <c r="AQ464" i="8" s="1"/>
  <c r="AM518" i="8"/>
  <c r="AP518" i="8" s="1"/>
  <c r="AM59" i="8"/>
  <c r="AP59" i="8" s="1"/>
  <c r="AO34" i="8"/>
  <c r="AR34" i="8" s="1"/>
  <c r="AN34" i="8"/>
  <c r="AQ34" i="8" s="1"/>
  <c r="AN438" i="8"/>
  <c r="AQ438" i="8" s="1"/>
  <c r="AO438" i="8"/>
  <c r="AR438" i="8" s="1"/>
  <c r="AM438" i="8"/>
  <c r="AP438" i="8" s="1"/>
  <c r="AM303" i="8"/>
  <c r="AP303" i="8" s="1"/>
  <c r="AM396" i="8"/>
  <c r="AP396" i="8" s="1"/>
  <c r="AO396" i="8"/>
  <c r="AR396" i="8" s="1"/>
  <c r="AN396" i="8"/>
  <c r="AQ396" i="8" s="1"/>
  <c r="AM552" i="8"/>
  <c r="AP552" i="8" s="1"/>
  <c r="AO552" i="8"/>
  <c r="AR552" i="8" s="1"/>
  <c r="AO481" i="8"/>
  <c r="AR481" i="8" s="1"/>
  <c r="AN481" i="8"/>
  <c r="AQ481" i="8" s="1"/>
  <c r="AM481" i="8"/>
  <c r="AP481" i="8" s="1"/>
  <c r="AM449" i="8"/>
  <c r="AP449" i="8" s="1"/>
  <c r="AM345" i="8"/>
  <c r="AP345" i="8" s="1"/>
  <c r="AO339" i="8"/>
  <c r="AR339" i="8" s="1"/>
  <c r="AM339" i="8"/>
  <c r="AP339" i="8" s="1"/>
  <c r="AO300" i="8"/>
  <c r="AR300" i="8" s="1"/>
  <c r="AM300" i="8"/>
  <c r="AP300" i="8" s="1"/>
  <c r="AN521" i="8"/>
  <c r="AQ521" i="8" s="1"/>
  <c r="AO521" i="8"/>
  <c r="AR521" i="8" s="1"/>
  <c r="AM521" i="8"/>
  <c r="AP521" i="8" s="1"/>
  <c r="AN159" i="8"/>
  <c r="AQ159" i="8" s="1"/>
  <c r="AM322" i="8"/>
  <c r="AP322" i="8" s="1"/>
  <c r="AO16" i="8"/>
  <c r="AR16" i="8" s="1"/>
  <c r="AM16" i="8"/>
  <c r="AP16" i="8" s="1"/>
  <c r="AO475" i="8"/>
  <c r="AR475" i="8" s="1"/>
  <c r="AN475" i="8"/>
  <c r="AQ475" i="8" s="1"/>
  <c r="AM475" i="8"/>
  <c r="AP475" i="8" s="1"/>
  <c r="AO330" i="8"/>
  <c r="AR330" i="8" s="1"/>
  <c r="AO77" i="8"/>
  <c r="AR77" i="8" s="1"/>
  <c r="AM77" i="8"/>
  <c r="AP77" i="8" s="1"/>
  <c r="AN77" i="8"/>
  <c r="AQ77" i="8" s="1"/>
  <c r="AO377" i="8"/>
  <c r="AR377" i="8" s="1"/>
  <c r="AM377" i="8"/>
  <c r="AP377" i="8" s="1"/>
  <c r="AN377" i="8"/>
  <c r="AQ377" i="8" s="1"/>
  <c r="AO344" i="8"/>
  <c r="AR344" i="8" s="1"/>
  <c r="AN344" i="8"/>
  <c r="AQ344" i="8" s="1"/>
  <c r="AM344" i="8"/>
  <c r="AP344" i="8" s="1"/>
  <c r="AO347" i="8"/>
  <c r="AR347" i="8" s="1"/>
  <c r="AN394" i="8"/>
  <c r="AQ394" i="8" s="1"/>
  <c r="AM394" i="8"/>
  <c r="AP394" i="8" s="1"/>
  <c r="AO394" i="8"/>
  <c r="AR394" i="8" s="1"/>
  <c r="AO373" i="8"/>
  <c r="AR373" i="8" s="1"/>
  <c r="AN373" i="8"/>
  <c r="AQ373" i="8" s="1"/>
  <c r="AM373" i="8"/>
  <c r="AP373" i="8" s="1"/>
  <c r="AO175" i="8"/>
  <c r="AR175" i="8" s="1"/>
  <c r="AN315" i="8"/>
  <c r="AQ315" i="8" s="1"/>
  <c r="AO315" i="8"/>
  <c r="AR315" i="8" s="1"/>
  <c r="AM315" i="8"/>
  <c r="AP315" i="8" s="1"/>
  <c r="AO505" i="8"/>
  <c r="AR505" i="8" s="1"/>
  <c r="AM505" i="8"/>
  <c r="AP505" i="8" s="1"/>
  <c r="AN505" i="8"/>
  <c r="AQ505" i="8" s="1"/>
  <c r="AO517" i="8"/>
  <c r="AR517" i="8" s="1"/>
  <c r="AN517" i="8"/>
  <c r="AQ517" i="8" s="1"/>
  <c r="AN204" i="8"/>
  <c r="AQ204" i="8" s="1"/>
  <c r="AM204" i="8"/>
  <c r="AP204" i="8" s="1"/>
  <c r="AO204" i="8"/>
  <c r="AR204" i="8" s="1"/>
  <c r="AN352" i="8"/>
  <c r="AQ352" i="8" s="1"/>
  <c r="AO21" i="8"/>
  <c r="AR21" i="8" s="1"/>
  <c r="AM318" i="8"/>
  <c r="AP318" i="8" s="1"/>
  <c r="AO318" i="8"/>
  <c r="AR318" i="8" s="1"/>
  <c r="AO439" i="8"/>
  <c r="AR439" i="8" s="1"/>
  <c r="AM439" i="8"/>
  <c r="AP439" i="8" s="1"/>
  <c r="AN439" i="8"/>
  <c r="AQ439" i="8" s="1"/>
  <c r="AM494" i="8"/>
  <c r="AP494" i="8" s="1"/>
  <c r="AN494" i="8"/>
  <c r="AQ494" i="8" s="1"/>
  <c r="AO378" i="8"/>
  <c r="AR378" i="8" s="1"/>
  <c r="AN378" i="8"/>
  <c r="AQ378" i="8" s="1"/>
  <c r="AO566" i="8"/>
  <c r="AR566" i="8" s="1"/>
  <c r="AO489" i="8"/>
  <c r="AR489" i="8" s="1"/>
  <c r="AM489" i="8"/>
  <c r="AP489" i="8" s="1"/>
  <c r="AN489" i="8"/>
  <c r="AQ489" i="8" s="1"/>
  <c r="AO31" i="8"/>
  <c r="AR31" i="8" s="1"/>
  <c r="AO457" i="8"/>
  <c r="AR457" i="8" s="1"/>
  <c r="AM457" i="8"/>
  <c r="AP457" i="8" s="1"/>
  <c r="AO184" i="8"/>
  <c r="AR184" i="8" s="1"/>
  <c r="AN184" i="8"/>
  <c r="AQ184" i="8" s="1"/>
  <c r="AM184" i="8"/>
  <c r="AP184" i="8" s="1"/>
  <c r="AN169" i="8"/>
  <c r="AQ169" i="8" s="1"/>
  <c r="AO447" i="8"/>
  <c r="AR447" i="8" s="1"/>
  <c r="AN447" i="8"/>
  <c r="AQ447" i="8" s="1"/>
  <c r="AM447" i="8"/>
  <c r="AP447" i="8" s="1"/>
  <c r="AM432" i="8"/>
  <c r="AP432" i="8" s="1"/>
  <c r="AN432" i="8"/>
  <c r="AQ432" i="8" s="1"/>
  <c r="AO432" i="8"/>
  <c r="AR432" i="8" s="1"/>
  <c r="AO73" i="8"/>
  <c r="AR73" i="8" s="1"/>
  <c r="AN73" i="8"/>
  <c r="AQ73" i="8" s="1"/>
  <c r="AN509" i="8"/>
  <c r="AQ509" i="8" s="1"/>
  <c r="AO509" i="8"/>
  <c r="AR509" i="8" s="1"/>
  <c r="AO81" i="8"/>
  <c r="AR81" i="8" s="1"/>
  <c r="AN81" i="8"/>
  <c r="AQ81" i="8" s="1"/>
  <c r="AO406" i="8"/>
  <c r="AR406" i="8" s="1"/>
  <c r="AM406" i="8"/>
  <c r="AP406" i="8" s="1"/>
  <c r="AN406" i="8"/>
  <c r="AQ406" i="8" s="1"/>
  <c r="AN299" i="8"/>
  <c r="AQ299" i="8" s="1"/>
  <c r="AO299" i="8"/>
  <c r="AR299" i="8" s="1"/>
  <c r="AM299" i="8"/>
  <c r="AP299" i="8" s="1"/>
  <c r="AN368" i="8"/>
  <c r="AQ368" i="8" s="1"/>
  <c r="AO47" i="8"/>
  <c r="AR47" i="8" s="1"/>
  <c r="AO571" i="8"/>
  <c r="AR571" i="8" s="1"/>
  <c r="AN571" i="8"/>
  <c r="AQ571" i="8" s="1"/>
  <c r="AM571" i="8"/>
  <c r="AP571" i="8" s="1"/>
  <c r="AM94" i="8"/>
  <c r="AP94" i="8" s="1"/>
  <c r="AO94" i="8"/>
  <c r="AR94" i="8" s="1"/>
  <c r="AM141" i="8"/>
  <c r="AP141" i="8" s="1"/>
  <c r="AO141" i="8"/>
  <c r="AR141" i="8" s="1"/>
  <c r="AM453" i="8"/>
  <c r="AP453" i="8" s="1"/>
  <c r="AN453" i="8"/>
  <c r="AQ453" i="8" s="1"/>
  <c r="AO453" i="8"/>
  <c r="AR453" i="8" s="1"/>
  <c r="AO382" i="8"/>
  <c r="AR382" i="8" s="1"/>
  <c r="AM382" i="8"/>
  <c r="AP382" i="8" s="1"/>
  <c r="AN382" i="8"/>
  <c r="AQ382" i="8" s="1"/>
  <c r="AO19" i="8"/>
  <c r="AR19" i="8" s="1"/>
  <c r="AM19" i="8"/>
  <c r="AP19" i="8" s="1"/>
  <c r="AN265" i="8"/>
  <c r="AQ265" i="8" s="1"/>
  <c r="AM265" i="8"/>
  <c r="AP265" i="8" s="1"/>
  <c r="AN484" i="8"/>
  <c r="AQ484" i="8" s="1"/>
  <c r="AO484" i="8"/>
  <c r="AR484" i="8" s="1"/>
  <c r="AM484" i="8"/>
  <c r="AP484" i="8" s="1"/>
  <c r="AO413" i="8"/>
  <c r="AR413" i="8" s="1"/>
  <c r="AN413" i="8"/>
  <c r="AQ413" i="8" s="1"/>
  <c r="AM413" i="8"/>
  <c r="AP413" i="8" s="1"/>
  <c r="AO485" i="8"/>
  <c r="AR485" i="8" s="1"/>
  <c r="AM485" i="8"/>
  <c r="AP485" i="8" s="1"/>
  <c r="AN485" i="8"/>
  <c r="AQ485" i="8" s="1"/>
  <c r="AN72" i="8"/>
  <c r="AQ72" i="8" s="1"/>
  <c r="AM276" i="8"/>
  <c r="AP276" i="8" s="1"/>
  <c r="AN276" i="8"/>
  <c r="AQ276" i="8" s="1"/>
  <c r="AO213" i="8"/>
  <c r="AR213" i="8" s="1"/>
  <c r="AN128" i="8"/>
  <c r="AQ128" i="8" s="1"/>
  <c r="AO441" i="8"/>
  <c r="AR441" i="8" s="1"/>
  <c r="AM286" i="8"/>
  <c r="AP286" i="8" s="1"/>
  <c r="AN286" i="8"/>
  <c r="AQ286" i="8" s="1"/>
  <c r="AO286" i="8"/>
  <c r="AR286" i="8" s="1"/>
  <c r="AO328" i="8"/>
  <c r="AR328" i="8" s="1"/>
  <c r="AM328" i="8"/>
  <c r="AP328" i="8" s="1"/>
  <c r="AN328" i="8"/>
  <c r="AQ328" i="8" s="1"/>
  <c r="AM107" i="8"/>
  <c r="AP107" i="8" s="1"/>
  <c r="AO107" i="8"/>
  <c r="AR107" i="8" s="1"/>
  <c r="AN107" i="8"/>
  <c r="AQ107" i="8" s="1"/>
  <c r="AM478" i="8"/>
  <c r="AP478" i="8" s="1"/>
  <c r="AM567" i="8"/>
  <c r="AP567" i="8" s="1"/>
  <c r="AO567" i="8"/>
  <c r="AR567" i="8" s="1"/>
  <c r="AN567" i="8"/>
  <c r="AQ567" i="8" s="1"/>
  <c r="AM426" i="8"/>
  <c r="AP426" i="8" s="1"/>
  <c r="AO168" i="8"/>
  <c r="AR168" i="8" s="1"/>
  <c r="AN168" i="8"/>
  <c r="AQ168" i="8" s="1"/>
  <c r="AM168" i="8"/>
  <c r="AP168" i="8" s="1"/>
  <c r="AO416" i="8"/>
  <c r="AR416" i="8" s="1"/>
  <c r="AM416" i="8"/>
  <c r="AP416" i="8" s="1"/>
  <c r="AN416" i="8"/>
  <c r="AQ416" i="8" s="1"/>
  <c r="AM190" i="8"/>
  <c r="AP190" i="8" s="1"/>
  <c r="AO190" i="8"/>
  <c r="AR190" i="8" s="1"/>
  <c r="AN190" i="8"/>
  <c r="AQ190" i="8" s="1"/>
  <c r="AO458" i="8"/>
  <c r="AR458" i="8" s="1"/>
  <c r="AN458" i="8"/>
  <c r="AQ458" i="8" s="1"/>
  <c r="AM458" i="8"/>
  <c r="AP458" i="8" s="1"/>
  <c r="AO87" i="8"/>
  <c r="AR87" i="8" s="1"/>
  <c r="AM87" i="8"/>
  <c r="AP87" i="8" s="1"/>
  <c r="AN87" i="8"/>
  <c r="AQ87" i="8" s="1"/>
  <c r="AN544" i="8"/>
  <c r="AQ544" i="8" s="1"/>
  <c r="AN399" i="8"/>
  <c r="AQ399" i="8" s="1"/>
  <c r="AN500" i="8"/>
  <c r="AQ500" i="8" s="1"/>
  <c r="AO500" i="8"/>
  <c r="AR500" i="8" s="1"/>
  <c r="AM500" i="8"/>
  <c r="AP500" i="8" s="1"/>
  <c r="G16" i="7"/>
  <c r="S16" i="7"/>
  <c r="T15" i="7"/>
  <c r="S13" i="7"/>
  <c r="W9" i="7"/>
  <c r="O9" i="7"/>
  <c r="S8" i="7"/>
  <c r="T7" i="7"/>
  <c r="T5" i="7"/>
  <c r="D9" i="7"/>
  <c r="L6" i="7"/>
  <c r="C16" i="7"/>
  <c r="C9" i="7"/>
  <c r="J6" i="7"/>
  <c r="K5" i="7"/>
  <c r="K4" i="7"/>
  <c r="C2" i="7"/>
  <c r="Q16" i="7"/>
  <c r="Q15" i="7"/>
  <c r="R13" i="7"/>
  <c r="V9" i="7"/>
  <c r="N9" i="7"/>
  <c r="Q8" i="7"/>
  <c r="S5" i="7"/>
  <c r="E6" i="7"/>
  <c r="I6" i="7"/>
  <c r="J5" i="7"/>
  <c r="J4" i="7"/>
  <c r="P16" i="7"/>
  <c r="Q13" i="7"/>
  <c r="P8" i="7"/>
  <c r="R5" i="7"/>
  <c r="C13" i="7"/>
  <c r="J10" i="7"/>
  <c r="K9" i="7"/>
  <c r="K8" i="7"/>
  <c r="H6" i="7"/>
  <c r="H5" i="7"/>
  <c r="G4" i="7"/>
  <c r="O16" i="7"/>
  <c r="U11" i="7"/>
  <c r="O8" i="7"/>
  <c r="Q5" i="7"/>
  <c r="U4" i="7"/>
  <c r="L9" i="7"/>
  <c r="I10" i="7"/>
  <c r="J9" i="7"/>
  <c r="G8" i="7"/>
  <c r="F6" i="7"/>
  <c r="G5" i="7"/>
  <c r="F4" i="7"/>
  <c r="T11" i="7"/>
  <c r="T3" i="7"/>
  <c r="D6" i="7"/>
  <c r="U16" i="7"/>
  <c r="P11" i="7"/>
  <c r="U8" i="7"/>
  <c r="Q3" i="7"/>
  <c r="T8" i="7"/>
  <c r="AE14" i="7"/>
  <c r="AA14" i="7"/>
  <c r="AB10" i="7"/>
  <c r="AG6" i="7"/>
  <c r="AH14" i="7"/>
  <c r="AD14" i="7"/>
  <c r="Z14" i="7"/>
  <c r="AG13" i="7"/>
  <c r="AC13" i="7"/>
  <c r="Y13" i="7"/>
  <c r="AE10" i="7"/>
  <c r="AA10" i="7"/>
  <c r="AH9" i="7"/>
  <c r="AD9" i="7"/>
  <c r="Z9" i="7"/>
  <c r="AF6" i="7"/>
  <c r="AB6" i="7"/>
  <c r="AE5" i="7"/>
  <c r="AA5" i="7"/>
  <c r="AF10" i="7"/>
  <c r="AC6" i="7"/>
  <c r="Y6" i="7"/>
  <c r="AG14" i="7"/>
  <c r="AC14" i="7"/>
  <c r="AF13" i="7"/>
  <c r="AH10" i="7"/>
  <c r="AD10" i="7"/>
  <c r="AG9" i="7"/>
  <c r="AC9" i="7"/>
  <c r="AE6" i="7"/>
  <c r="AH5" i="7"/>
  <c r="AD5" i="7"/>
  <c r="AC2" i="7"/>
  <c r="AB2" i="7"/>
  <c r="Y2" i="7"/>
  <c r="AE2" i="7"/>
  <c r="AA2" i="7"/>
  <c r="AG2" i="7"/>
  <c r="AF2" i="7"/>
  <c r="AH2" i="7"/>
  <c r="AD2" i="7"/>
  <c r="Q14" i="7"/>
  <c r="U10" i="7"/>
  <c r="Q10" i="7"/>
  <c r="U6" i="7"/>
  <c r="Q6" i="7"/>
  <c r="V16" i="7"/>
  <c r="R16" i="7"/>
  <c r="W15" i="7"/>
  <c r="S15" i="7"/>
  <c r="O15" i="7"/>
  <c r="T14" i="7"/>
  <c r="P14" i="7"/>
  <c r="V12" i="7"/>
  <c r="R12" i="7"/>
  <c r="W11" i="7"/>
  <c r="S11" i="7"/>
  <c r="O11" i="7"/>
  <c r="T10" i="7"/>
  <c r="P10" i="7"/>
  <c r="V8" i="7"/>
  <c r="R8" i="7"/>
  <c r="W7" i="7"/>
  <c r="S7" i="7"/>
  <c r="O7" i="7"/>
  <c r="T6" i="7"/>
  <c r="P6" i="7"/>
  <c r="V4" i="7"/>
  <c r="R4" i="7"/>
  <c r="W3" i="7"/>
  <c r="S3" i="7"/>
  <c r="O3" i="7"/>
  <c r="V15" i="7"/>
  <c r="R15" i="7"/>
  <c r="W14" i="7"/>
  <c r="S14" i="7"/>
  <c r="O14" i="7"/>
  <c r="V11" i="7"/>
  <c r="R11" i="7"/>
  <c r="W10" i="7"/>
  <c r="S10" i="7"/>
  <c r="O10" i="7"/>
  <c r="V7" i="7"/>
  <c r="R7" i="7"/>
  <c r="W6" i="7"/>
  <c r="S6" i="7"/>
  <c r="O6" i="7"/>
  <c r="V3" i="7"/>
  <c r="R3" i="7"/>
  <c r="U14" i="7"/>
  <c r="V14" i="7"/>
  <c r="R14" i="7"/>
  <c r="V10" i="7"/>
  <c r="R10" i="7"/>
  <c r="V6" i="7"/>
  <c r="R6" i="7"/>
  <c r="V2" i="7"/>
  <c r="R2" i="7"/>
  <c r="U2" i="7"/>
  <c r="Q2" i="7"/>
  <c r="N2" i="7"/>
  <c r="T2" i="7"/>
  <c r="P2" i="7"/>
  <c r="W2" i="7"/>
  <c r="S2" i="7"/>
  <c r="H2" i="7"/>
  <c r="L2" i="7"/>
  <c r="F2" i="7"/>
  <c r="K2" i="7"/>
  <c r="G2" i="7"/>
  <c r="D2" i="7"/>
  <c r="I2" i="7"/>
  <c r="E2" i="7"/>
  <c r="F11" i="7"/>
  <c r="F3" i="7"/>
  <c r="J16" i="7"/>
  <c r="F16" i="7"/>
  <c r="J12" i="7"/>
  <c r="F12" i="7"/>
  <c r="I7" i="7"/>
  <c r="E7" i="7"/>
  <c r="I3" i="7"/>
  <c r="E3" i="7"/>
  <c r="J15" i="7"/>
  <c r="F15" i="7"/>
  <c r="J11" i="7"/>
  <c r="J3" i="7"/>
  <c r="I11" i="7"/>
  <c r="E11" i="7"/>
  <c r="J8" i="7"/>
  <c r="F8" i="7"/>
  <c r="I16" i="7"/>
  <c r="E16" i="7"/>
  <c r="L15" i="7"/>
  <c r="H15" i="7"/>
  <c r="D15" i="7"/>
  <c r="K14" i="7"/>
  <c r="G14" i="7"/>
  <c r="I12" i="7"/>
  <c r="E12" i="7"/>
  <c r="L11" i="7"/>
  <c r="H11" i="7"/>
  <c r="D11" i="7"/>
  <c r="K10" i="7"/>
  <c r="G10" i="7"/>
  <c r="I8" i="7"/>
  <c r="E8" i="7"/>
  <c r="L7" i="7"/>
  <c r="H7" i="7"/>
  <c r="D7" i="7"/>
  <c r="K6" i="7"/>
  <c r="G6" i="7"/>
  <c r="I4" i="7"/>
  <c r="E4" i="7"/>
  <c r="L3" i="7"/>
  <c r="H3" i="7"/>
  <c r="D3" i="7"/>
  <c r="J7" i="7"/>
  <c r="F7" i="7"/>
  <c r="I15" i="7"/>
  <c r="E15" i="7"/>
  <c r="L16" i="7"/>
  <c r="H16" i="7"/>
  <c r="K15" i="7"/>
  <c r="G15" i="7"/>
  <c r="I13" i="7"/>
  <c r="L12" i="7"/>
  <c r="H12" i="7"/>
  <c r="K11" i="7"/>
  <c r="G11" i="7"/>
  <c r="I9" i="7"/>
  <c r="L8" i="7"/>
  <c r="H8" i="7"/>
  <c r="K7" i="7"/>
  <c r="G7" i="7"/>
  <c r="I5" i="7"/>
  <c r="L4" i="7"/>
  <c r="H4" i="7"/>
  <c r="K3" i="7"/>
  <c r="G3" i="7"/>
  <c r="K241" i="21" l="1"/>
  <c r="E703" i="21"/>
  <c r="E708" i="21"/>
  <c r="E705" i="21"/>
  <c r="E698" i="21"/>
  <c r="E707" i="21"/>
  <c r="E704" i="21"/>
  <c r="E706" i="21"/>
  <c r="E699" i="21"/>
  <c r="E671" i="21"/>
  <c r="E700" i="21"/>
  <c r="E695" i="21"/>
  <c r="E669" i="21"/>
  <c r="E674" i="21"/>
  <c r="E697" i="21"/>
  <c r="E689" i="21"/>
  <c r="E667" i="21"/>
  <c r="E680" i="21"/>
  <c r="E678" i="21"/>
  <c r="E687" i="21"/>
  <c r="E684" i="21"/>
  <c r="E688" i="21"/>
  <c r="E672" i="21"/>
  <c r="E685" i="21"/>
  <c r="E702" i="21"/>
  <c r="E690" i="21"/>
  <c r="E693" i="21"/>
  <c r="E670" i="21"/>
  <c r="E673" i="21"/>
  <c r="E694" i="21"/>
  <c r="E676" i="21"/>
  <c r="E668" i="21"/>
  <c r="E701" i="21"/>
  <c r="E681" i="21"/>
  <c r="E692" i="21"/>
  <c r="E677" i="21"/>
  <c r="E675" i="21"/>
  <c r="E686" i="21"/>
  <c r="E683" i="21"/>
  <c r="E679" i="21"/>
  <c r="E696" i="21"/>
  <c r="E691" i="21"/>
  <c r="E682" i="21"/>
  <c r="D706" i="21"/>
  <c r="D703" i="21"/>
  <c r="D708" i="21"/>
  <c r="D705" i="21"/>
  <c r="D698" i="21"/>
  <c r="D707" i="21"/>
  <c r="D704" i="21"/>
  <c r="D671" i="21"/>
  <c r="D700" i="21"/>
  <c r="D699" i="21"/>
  <c r="D684" i="21"/>
  <c r="D701" i="21"/>
  <c r="D685" i="21"/>
  <c r="D693" i="21"/>
  <c r="D669" i="21"/>
  <c r="D697" i="21"/>
  <c r="D668" i="21"/>
  <c r="D689" i="21"/>
  <c r="D673" i="21"/>
  <c r="D682" i="21"/>
  <c r="D677" i="21"/>
  <c r="D681" i="21"/>
  <c r="D674" i="21"/>
  <c r="D672" i="21"/>
  <c r="D702" i="21"/>
  <c r="D667" i="21"/>
  <c r="D690" i="21"/>
  <c r="D675" i="21"/>
  <c r="D686" i="21"/>
  <c r="D683" i="21"/>
  <c r="D679" i="21"/>
  <c r="D696" i="21"/>
  <c r="D691" i="21"/>
  <c r="D688" i="21"/>
  <c r="D678" i="21"/>
  <c r="D694" i="21"/>
  <c r="D676" i="21"/>
  <c r="D692" i="21"/>
  <c r="D670" i="21"/>
  <c r="D695" i="21"/>
  <c r="D680" i="21"/>
  <c r="D687" i="21"/>
  <c r="C706" i="21"/>
  <c r="C703" i="21"/>
  <c r="C708" i="21"/>
  <c r="C705" i="21"/>
  <c r="C698" i="21"/>
  <c r="C707" i="21"/>
  <c r="C704" i="21"/>
  <c r="C671" i="21"/>
  <c r="C700" i="21"/>
  <c r="C699" i="21"/>
  <c r="C691" i="21"/>
  <c r="C687" i="21"/>
  <c r="C673" i="21"/>
  <c r="C684" i="21"/>
  <c r="C672" i="21"/>
  <c r="C685" i="21"/>
  <c r="C690" i="21"/>
  <c r="C692" i="21"/>
  <c r="C669" i="21"/>
  <c r="C693" i="21"/>
  <c r="C683" i="21"/>
  <c r="C681" i="21"/>
  <c r="C678" i="21"/>
  <c r="C697" i="21"/>
  <c r="C679" i="21"/>
  <c r="C689" i="21"/>
  <c r="C682" i="21"/>
  <c r="C688" i="21"/>
  <c r="C677" i="21"/>
  <c r="C667" i="21"/>
  <c r="C694" i="21"/>
  <c r="C676" i="21"/>
  <c r="C701" i="21"/>
  <c r="C670" i="21"/>
  <c r="C686" i="21"/>
  <c r="C674" i="21"/>
  <c r="C702" i="21"/>
  <c r="C668" i="21"/>
  <c r="C696" i="21"/>
  <c r="C675" i="21"/>
  <c r="C695" i="21"/>
  <c r="C680" i="21"/>
  <c r="J451" i="21"/>
  <c r="L240" i="21"/>
  <c r="L30" i="21"/>
  <c r="M30" i="21" s="1"/>
  <c r="R414" i="21"/>
  <c r="W414" i="21"/>
  <c r="Y414" i="21"/>
  <c r="D626" i="21"/>
  <c r="D617" i="21"/>
  <c r="D204" i="21"/>
  <c r="F608" i="21"/>
  <c r="F186" i="21"/>
  <c r="E412" i="21"/>
  <c r="J31" i="21"/>
  <c r="J34" i="21" s="1"/>
  <c r="E625" i="21"/>
  <c r="D186" i="21"/>
  <c r="G414" i="21"/>
  <c r="G205" i="21"/>
  <c r="D608" i="21"/>
  <c r="G241" i="21"/>
  <c r="R9" i="22"/>
  <c r="G451" i="21"/>
  <c r="T404" i="21"/>
  <c r="U402" i="21"/>
  <c r="R402" i="21"/>
  <c r="V404" i="21"/>
  <c r="S404" i="21"/>
  <c r="Z404" i="21"/>
  <c r="S402" i="21"/>
  <c r="T403" i="21"/>
  <c r="U401" i="21"/>
  <c r="U404" i="21"/>
  <c r="Y404" i="21"/>
  <c r="R401" i="21"/>
  <c r="T401" i="21"/>
  <c r="R404" i="21"/>
  <c r="S401" i="21"/>
  <c r="R396" i="21"/>
  <c r="U396" i="21"/>
  <c r="S393" i="21"/>
  <c r="T396" i="21"/>
  <c r="R412" i="21"/>
  <c r="S396" i="21"/>
  <c r="W396" i="21"/>
  <c r="T413" i="21"/>
  <c r="T393" i="21"/>
  <c r="S411" i="21"/>
  <c r="T411" i="21"/>
  <c r="R394" i="21"/>
  <c r="U393" i="21"/>
  <c r="S394" i="21"/>
  <c r="U411" i="21"/>
  <c r="R393" i="21"/>
  <c r="V396" i="21"/>
  <c r="R413" i="21"/>
  <c r="Y396" i="21"/>
  <c r="R411" i="21"/>
  <c r="T395" i="21"/>
  <c r="R395" i="21"/>
  <c r="K450" i="21"/>
  <c r="L31" i="21"/>
  <c r="W9" i="22"/>
  <c r="G191" i="21"/>
  <c r="G615" i="21"/>
  <c r="H239" i="21"/>
  <c r="H449" i="21"/>
  <c r="H29" i="21"/>
  <c r="H34" i="21" s="1"/>
  <c r="G394" i="21"/>
  <c r="G185" i="21"/>
  <c r="L451" i="21"/>
  <c r="G412" i="21"/>
  <c r="G203" i="21"/>
  <c r="BK128" i="8"/>
  <c r="BI128" i="8"/>
  <c r="BJ128" i="8"/>
  <c r="BL128" i="8"/>
  <c r="BF447" i="8"/>
  <c r="BE447" i="8"/>
  <c r="BH447" i="8"/>
  <c r="BG447" i="8"/>
  <c r="BF300" i="8"/>
  <c r="BE300" i="8"/>
  <c r="BG300" i="8"/>
  <c r="BH300" i="8"/>
  <c r="BO333" i="8"/>
  <c r="BP333" i="8"/>
  <c r="BM333" i="8"/>
  <c r="BN333" i="8"/>
  <c r="BI565" i="8"/>
  <c r="BL565" i="8"/>
  <c r="BK565" i="8"/>
  <c r="BJ565" i="8"/>
  <c r="BI247" i="8"/>
  <c r="BJ247" i="8"/>
  <c r="BL247" i="8"/>
  <c r="BK247" i="8"/>
  <c r="BI466" i="8"/>
  <c r="BJ466" i="8"/>
  <c r="BL466" i="8"/>
  <c r="BK466" i="8"/>
  <c r="BJ522" i="8"/>
  <c r="BK522" i="8"/>
  <c r="BL522" i="8"/>
  <c r="BI522" i="8"/>
  <c r="BE404" i="8"/>
  <c r="BF404" i="8"/>
  <c r="BG404" i="8"/>
  <c r="BH404" i="8"/>
  <c r="BO98" i="8"/>
  <c r="BN98" i="8"/>
  <c r="BP98" i="8"/>
  <c r="BM98" i="8"/>
  <c r="BO385" i="8"/>
  <c r="BP385" i="8"/>
  <c r="BM385" i="8"/>
  <c r="BN385" i="8"/>
  <c r="BO309" i="8"/>
  <c r="BP309" i="8"/>
  <c r="BM309" i="8"/>
  <c r="BN309" i="8"/>
  <c r="BP527" i="8"/>
  <c r="BM527" i="8"/>
  <c r="BN527" i="8"/>
  <c r="BO527" i="8"/>
  <c r="BF260" i="8"/>
  <c r="BG260" i="8"/>
  <c r="BH260" i="8"/>
  <c r="BE260" i="8"/>
  <c r="BI129" i="8"/>
  <c r="BJ129" i="8"/>
  <c r="BK129" i="8"/>
  <c r="BL129" i="8"/>
  <c r="H201" i="22"/>
  <c r="S201" i="22" s="1"/>
  <c r="BK206" i="8"/>
  <c r="BI206" i="8"/>
  <c r="BJ206" i="8"/>
  <c r="BL206" i="8"/>
  <c r="BI561" i="8"/>
  <c r="BL561" i="8"/>
  <c r="BK561" i="8"/>
  <c r="BJ561" i="8"/>
  <c r="BK291" i="8"/>
  <c r="BL291" i="8"/>
  <c r="BI291" i="8"/>
  <c r="BJ291" i="8"/>
  <c r="BI284" i="8"/>
  <c r="BJ284" i="8"/>
  <c r="BK284" i="8"/>
  <c r="BL284" i="8"/>
  <c r="BI539" i="8"/>
  <c r="BL539" i="8"/>
  <c r="BJ539" i="8"/>
  <c r="BK539" i="8"/>
  <c r="BO162" i="8"/>
  <c r="BN162" i="8"/>
  <c r="BP162" i="8"/>
  <c r="BM162" i="8"/>
  <c r="BE267" i="8"/>
  <c r="BF267" i="8"/>
  <c r="BG267" i="8"/>
  <c r="BH267" i="8"/>
  <c r="D196" i="22"/>
  <c r="O196" i="22" s="1"/>
  <c r="BN328" i="8"/>
  <c r="BO328" i="8"/>
  <c r="BM328" i="8"/>
  <c r="BP328" i="8"/>
  <c r="F210" i="22"/>
  <c r="Q210" i="22" s="1"/>
  <c r="BK299" i="8"/>
  <c r="BL299" i="8"/>
  <c r="BI299" i="8"/>
  <c r="BJ299" i="8"/>
  <c r="BK204" i="8"/>
  <c r="BI204" i="8"/>
  <c r="BL204" i="8"/>
  <c r="BJ204" i="8"/>
  <c r="BI396" i="8"/>
  <c r="BJ396" i="8"/>
  <c r="BK396" i="8"/>
  <c r="BL396" i="8"/>
  <c r="BF216" i="8"/>
  <c r="BE216" i="8"/>
  <c r="E163" i="22" s="1"/>
  <c r="BG216" i="8"/>
  <c r="BH216" i="8"/>
  <c r="BE572" i="8"/>
  <c r="BF572" i="8"/>
  <c r="BG572" i="8"/>
  <c r="BH572" i="8"/>
  <c r="BM422" i="8"/>
  <c r="BN422" i="8"/>
  <c r="BO422" i="8"/>
  <c r="BP422" i="8"/>
  <c r="BE257" i="8"/>
  <c r="BH257" i="8"/>
  <c r="BF257" i="8"/>
  <c r="BG257" i="8"/>
  <c r="BI523" i="8"/>
  <c r="BL523" i="8"/>
  <c r="BJ523" i="8"/>
  <c r="BK523" i="8"/>
  <c r="E202" i="22"/>
  <c r="P202" i="22" s="1"/>
  <c r="BE301" i="8"/>
  <c r="BG301" i="8"/>
  <c r="BH301" i="8"/>
  <c r="BF301" i="8"/>
  <c r="BE231" i="8"/>
  <c r="BF231" i="8"/>
  <c r="BH231" i="8"/>
  <c r="BG231" i="8"/>
  <c r="BI69" i="8"/>
  <c r="J175" i="22" s="1"/>
  <c r="U175" i="22" s="1"/>
  <c r="BJ69" i="8"/>
  <c r="BK69" i="8"/>
  <c r="BL69" i="8"/>
  <c r="BJ568" i="8"/>
  <c r="BK568" i="8"/>
  <c r="BL568" i="8"/>
  <c r="BI568" i="8"/>
  <c r="BP395" i="8"/>
  <c r="BM395" i="8"/>
  <c r="BN395" i="8"/>
  <c r="BO395" i="8"/>
  <c r="BI155" i="8"/>
  <c r="BJ155" i="8"/>
  <c r="BK155" i="8"/>
  <c r="BL155" i="8"/>
  <c r="BI370" i="8"/>
  <c r="BJ370" i="8"/>
  <c r="BK370" i="8"/>
  <c r="BL370" i="8"/>
  <c r="BM440" i="8"/>
  <c r="BN440" i="8"/>
  <c r="BO440" i="8"/>
  <c r="BP440" i="8"/>
  <c r="BO279" i="8"/>
  <c r="BP279" i="8"/>
  <c r="BM279" i="8"/>
  <c r="BN279" i="8"/>
  <c r="BM87" i="8"/>
  <c r="BN87" i="8"/>
  <c r="BO87" i="8"/>
  <c r="BP87" i="8"/>
  <c r="BE416" i="8"/>
  <c r="BF416" i="8"/>
  <c r="BH416" i="8"/>
  <c r="BG416" i="8"/>
  <c r="BG567" i="8"/>
  <c r="BH567" i="8"/>
  <c r="BF567" i="8"/>
  <c r="BE567" i="8"/>
  <c r="BN286" i="8"/>
  <c r="BM286" i="8"/>
  <c r="BP286" i="8"/>
  <c r="BO286" i="8"/>
  <c r="BK72" i="8"/>
  <c r="BI72" i="8"/>
  <c r="BJ72" i="8"/>
  <c r="BL72" i="8"/>
  <c r="BM484" i="8"/>
  <c r="BN484" i="8"/>
  <c r="BO484" i="8"/>
  <c r="BP484" i="8"/>
  <c r="BN382" i="8"/>
  <c r="BO382" i="8"/>
  <c r="BP382" i="8"/>
  <c r="BM382" i="8"/>
  <c r="BG571" i="8"/>
  <c r="BH571" i="8"/>
  <c r="BE571" i="8"/>
  <c r="BF571" i="8"/>
  <c r="BI406" i="8"/>
  <c r="BJ406" i="8"/>
  <c r="BK406" i="8"/>
  <c r="BL406" i="8"/>
  <c r="BN73" i="8"/>
  <c r="BP73" i="8"/>
  <c r="BM73" i="8"/>
  <c r="BO73" i="8"/>
  <c r="BF184" i="8"/>
  <c r="BG184" i="8"/>
  <c r="BE184" i="8"/>
  <c r="BH184" i="8"/>
  <c r="BP489" i="8"/>
  <c r="BM489" i="8"/>
  <c r="BN489" i="8"/>
  <c r="BO489" i="8"/>
  <c r="BN439" i="8"/>
  <c r="BP439" i="8"/>
  <c r="BM439" i="8"/>
  <c r="BO439" i="8"/>
  <c r="BI517" i="8"/>
  <c r="BL517" i="8"/>
  <c r="BK517" i="8"/>
  <c r="BJ517" i="8"/>
  <c r="BM175" i="8"/>
  <c r="BN175" i="8"/>
  <c r="BO175" i="8"/>
  <c r="BP175" i="8"/>
  <c r="BE344" i="8"/>
  <c r="BH344" i="8"/>
  <c r="BF344" i="8"/>
  <c r="BG344" i="8"/>
  <c r="BN77" i="8"/>
  <c r="BM77" i="8"/>
  <c r="BO77" i="8"/>
  <c r="BP77" i="8"/>
  <c r="H209" i="22"/>
  <c r="S209" i="22" s="1"/>
  <c r="BI159" i="8"/>
  <c r="BJ159" i="8"/>
  <c r="BK159" i="8"/>
  <c r="BL159" i="8"/>
  <c r="BF345" i="8"/>
  <c r="BG345" i="8"/>
  <c r="BE345" i="8"/>
  <c r="BH345" i="8"/>
  <c r="BO396" i="8"/>
  <c r="BP396" i="8"/>
  <c r="BN396" i="8"/>
  <c r="BM396" i="8"/>
  <c r="BE59" i="8"/>
  <c r="BH59" i="8"/>
  <c r="BF59" i="8"/>
  <c r="BG59" i="8"/>
  <c r="BF144" i="8"/>
  <c r="BG144" i="8"/>
  <c r="BE144" i="8"/>
  <c r="BH144" i="8"/>
  <c r="BJ574" i="8"/>
  <c r="BK574" i="8"/>
  <c r="BL574" i="8"/>
  <c r="BI574" i="8"/>
  <c r="BP216" i="8"/>
  <c r="BN216" i="8"/>
  <c r="BM216" i="8"/>
  <c r="E183" i="22" s="1"/>
  <c r="BO216" i="8"/>
  <c r="BP495" i="8"/>
  <c r="BM495" i="8"/>
  <c r="BN495" i="8"/>
  <c r="BO495" i="8"/>
  <c r="BP192" i="8"/>
  <c r="BN192" i="8"/>
  <c r="BO192" i="8"/>
  <c r="BM192" i="8"/>
  <c r="BP268" i="8"/>
  <c r="BN268" i="8"/>
  <c r="BM268" i="8"/>
  <c r="BO268" i="8"/>
  <c r="BM426" i="8"/>
  <c r="BN426" i="8"/>
  <c r="BO426" i="8"/>
  <c r="BP426" i="8"/>
  <c r="BM572" i="8"/>
  <c r="BN572" i="8"/>
  <c r="BO572" i="8"/>
  <c r="BP572" i="8"/>
  <c r="BE392" i="8"/>
  <c r="BF392" i="8"/>
  <c r="BH392" i="8"/>
  <c r="BG392" i="8"/>
  <c r="BI332" i="8"/>
  <c r="BJ332" i="8"/>
  <c r="BK332" i="8"/>
  <c r="BL332" i="8"/>
  <c r="BI422" i="8"/>
  <c r="BJ422" i="8"/>
  <c r="BK422" i="8"/>
  <c r="BL422" i="8"/>
  <c r="BM149" i="8"/>
  <c r="BN149" i="8"/>
  <c r="BO149" i="8"/>
  <c r="BP149" i="8"/>
  <c r="BM492" i="8"/>
  <c r="BN492" i="8"/>
  <c r="BO492" i="8"/>
  <c r="BP492" i="8"/>
  <c r="BE418" i="8"/>
  <c r="BH418" i="8"/>
  <c r="BF418" i="8"/>
  <c r="BG418" i="8"/>
  <c r="BI360" i="8"/>
  <c r="BJ360" i="8"/>
  <c r="BK360" i="8"/>
  <c r="BL360" i="8"/>
  <c r="BJ560" i="8"/>
  <c r="BK560" i="8"/>
  <c r="BL560" i="8"/>
  <c r="BI560" i="8"/>
  <c r="BF14" i="8"/>
  <c r="BG14" i="8"/>
  <c r="BH14" i="8"/>
  <c r="BE14" i="8"/>
  <c r="I193" i="22"/>
  <c r="BM125" i="8"/>
  <c r="BN125" i="8"/>
  <c r="BO125" i="8"/>
  <c r="BP125" i="8"/>
  <c r="BF357" i="8"/>
  <c r="BG357" i="8"/>
  <c r="BH357" i="8"/>
  <c r="BE357" i="8"/>
  <c r="BO281" i="8"/>
  <c r="BP281" i="8"/>
  <c r="BM281" i="8"/>
  <c r="BN281" i="8"/>
  <c r="BF523" i="8"/>
  <c r="BH523" i="8"/>
  <c r="BE523" i="8"/>
  <c r="BG523" i="8"/>
  <c r="E195" i="22"/>
  <c r="P195" i="22" s="1"/>
  <c r="BI39" i="8"/>
  <c r="BJ39" i="8"/>
  <c r="BK39" i="8"/>
  <c r="BL39" i="8"/>
  <c r="BJ514" i="8"/>
  <c r="BK514" i="8"/>
  <c r="BL514" i="8"/>
  <c r="BI514" i="8"/>
  <c r="BL355" i="8"/>
  <c r="BJ355" i="8"/>
  <c r="BK355" i="8"/>
  <c r="BI355" i="8"/>
  <c r="BO301" i="8"/>
  <c r="BP301" i="8"/>
  <c r="BM301" i="8"/>
  <c r="BN301" i="8"/>
  <c r="BF349" i="8"/>
  <c r="BG349" i="8"/>
  <c r="BE349" i="8"/>
  <c r="BH349" i="8"/>
  <c r="BF28" i="8"/>
  <c r="BG28" i="8"/>
  <c r="BH28" i="8"/>
  <c r="BE28" i="8"/>
  <c r="K165" i="22" s="1"/>
  <c r="V165" i="22" s="1"/>
  <c r="BN459" i="8"/>
  <c r="BP459" i="8"/>
  <c r="BM459" i="8"/>
  <c r="BO459" i="8"/>
  <c r="BE215" i="8"/>
  <c r="BF215" i="8"/>
  <c r="BG215" i="8"/>
  <c r="BH215" i="8"/>
  <c r="BE263" i="8"/>
  <c r="BF263" i="8"/>
  <c r="BG263" i="8"/>
  <c r="BH263" i="8"/>
  <c r="BI231" i="8"/>
  <c r="BJ231" i="8"/>
  <c r="BL231" i="8"/>
  <c r="BK231" i="8"/>
  <c r="BE225" i="8"/>
  <c r="BH225" i="8"/>
  <c r="BF225" i="8"/>
  <c r="BG225" i="8"/>
  <c r="BL220" i="8"/>
  <c r="BJ220" i="8"/>
  <c r="BI220" i="8"/>
  <c r="BK220" i="8"/>
  <c r="BM201" i="8"/>
  <c r="BN201" i="8"/>
  <c r="BO201" i="8"/>
  <c r="BP201" i="8"/>
  <c r="BE69" i="8"/>
  <c r="J165" i="22" s="1"/>
  <c r="U165" i="22" s="1"/>
  <c r="BH69" i="8"/>
  <c r="BG69" i="8"/>
  <c r="BF69" i="8"/>
  <c r="BI141" i="8"/>
  <c r="BJ141" i="8"/>
  <c r="BK141" i="8"/>
  <c r="BL141" i="8"/>
  <c r="E200" i="22"/>
  <c r="BF202" i="8"/>
  <c r="BH202" i="8"/>
  <c r="BE202" i="8"/>
  <c r="BG202" i="8"/>
  <c r="BL353" i="8"/>
  <c r="BI353" i="8"/>
  <c r="BJ353" i="8"/>
  <c r="BK353" i="8"/>
  <c r="BK106" i="8"/>
  <c r="BI106" i="8"/>
  <c r="BL106" i="8"/>
  <c r="BJ106" i="8"/>
  <c r="BO92" i="8"/>
  <c r="BM92" i="8"/>
  <c r="BN92" i="8"/>
  <c r="BP92" i="8"/>
  <c r="BE568" i="8"/>
  <c r="BF568" i="8"/>
  <c r="BG568" i="8"/>
  <c r="BH568" i="8"/>
  <c r="BK269" i="8"/>
  <c r="BL269" i="8"/>
  <c r="BI269" i="8"/>
  <c r="BJ269" i="8"/>
  <c r="BM482" i="8"/>
  <c r="BN482" i="8"/>
  <c r="BO482" i="8"/>
  <c r="BP482" i="8"/>
  <c r="BI519" i="8"/>
  <c r="BL519" i="8"/>
  <c r="BJ519" i="8"/>
  <c r="BK519" i="8"/>
  <c r="BI348" i="8"/>
  <c r="BJ348" i="8"/>
  <c r="BK348" i="8"/>
  <c r="BL348" i="8"/>
  <c r="BN423" i="8"/>
  <c r="BO423" i="8"/>
  <c r="BP423" i="8"/>
  <c r="BM423" i="8"/>
  <c r="BO110" i="8"/>
  <c r="BN110" i="8"/>
  <c r="BP110" i="8"/>
  <c r="BM110" i="8"/>
  <c r="BF511" i="8"/>
  <c r="BE511" i="8"/>
  <c r="BH511" i="8"/>
  <c r="BG511" i="8"/>
  <c r="BM155" i="8"/>
  <c r="BN155" i="8"/>
  <c r="BO155" i="8"/>
  <c r="BP155" i="8"/>
  <c r="BE295" i="8"/>
  <c r="BF295" i="8"/>
  <c r="BH295" i="8"/>
  <c r="BG295" i="8"/>
  <c r="BE558" i="8"/>
  <c r="BG558" i="8"/>
  <c r="BH558" i="8"/>
  <c r="BF558" i="8"/>
  <c r="BK126" i="8"/>
  <c r="BI126" i="8"/>
  <c r="BJ126" i="8"/>
  <c r="BL126" i="8"/>
  <c r="G203" i="22"/>
  <c r="R203" i="22" s="1"/>
  <c r="BE45" i="8"/>
  <c r="BH45" i="8"/>
  <c r="BG45" i="8"/>
  <c r="BF45" i="8"/>
  <c r="K196" i="22"/>
  <c r="V196" i="22" s="1"/>
  <c r="BN370" i="8"/>
  <c r="BP370" i="8"/>
  <c r="BO370" i="8"/>
  <c r="BM370" i="8"/>
  <c r="BN67" i="8"/>
  <c r="BO67" i="8"/>
  <c r="BP67" i="8"/>
  <c r="BM67" i="8"/>
  <c r="BN326" i="8"/>
  <c r="BM326" i="8"/>
  <c r="BO326" i="8"/>
  <c r="BP326" i="8"/>
  <c r="BJ480" i="8"/>
  <c r="BK480" i="8"/>
  <c r="BL480" i="8"/>
  <c r="BI480" i="8"/>
  <c r="BM498" i="8"/>
  <c r="BN498" i="8"/>
  <c r="BO498" i="8"/>
  <c r="BP498" i="8"/>
  <c r="BE440" i="8"/>
  <c r="BG440" i="8"/>
  <c r="BH440" i="8"/>
  <c r="BF440" i="8"/>
  <c r="BI479" i="8"/>
  <c r="BL479" i="8"/>
  <c r="BK479" i="8"/>
  <c r="BJ479" i="8"/>
  <c r="BM275" i="8"/>
  <c r="BN275" i="8"/>
  <c r="BO275" i="8"/>
  <c r="BP275" i="8"/>
  <c r="BP465" i="8"/>
  <c r="BM465" i="8"/>
  <c r="BO465" i="8"/>
  <c r="BN465" i="8"/>
  <c r="BF409" i="8"/>
  <c r="BE409" i="8"/>
  <c r="BG409" i="8"/>
  <c r="BH409" i="8"/>
  <c r="BI135" i="8"/>
  <c r="BJ135" i="8"/>
  <c r="BK135" i="8"/>
  <c r="BL135" i="8"/>
  <c r="I203" i="22"/>
  <c r="T203" i="22" s="1"/>
  <c r="BF545" i="8"/>
  <c r="BE545" i="8"/>
  <c r="BG545" i="8"/>
  <c r="BH545" i="8"/>
  <c r="BE54" i="8"/>
  <c r="BG54" i="8"/>
  <c r="BF54" i="8"/>
  <c r="BH54" i="8"/>
  <c r="BP573" i="8"/>
  <c r="BO573" i="8"/>
  <c r="BM573" i="8"/>
  <c r="BN573" i="8"/>
  <c r="BO180" i="8"/>
  <c r="BM180" i="8"/>
  <c r="BN180" i="8"/>
  <c r="BP180" i="8"/>
  <c r="BF401" i="8"/>
  <c r="BE401" i="8"/>
  <c r="BG401" i="8"/>
  <c r="BH401" i="8"/>
  <c r="BK283" i="8"/>
  <c r="BL283" i="8"/>
  <c r="BI283" i="8"/>
  <c r="BJ283" i="8"/>
  <c r="BE544" i="8"/>
  <c r="BF544" i="8"/>
  <c r="BH544" i="8"/>
  <c r="BG544" i="8"/>
  <c r="BM412" i="8"/>
  <c r="BN412" i="8"/>
  <c r="BO412" i="8"/>
  <c r="BP412" i="8"/>
  <c r="BN332" i="8"/>
  <c r="BO332" i="8"/>
  <c r="BP332" i="8"/>
  <c r="BM332" i="8"/>
  <c r="BM25" i="8"/>
  <c r="BN25" i="8"/>
  <c r="BO25" i="8"/>
  <c r="BP25" i="8"/>
  <c r="BF359" i="8"/>
  <c r="BG359" i="8"/>
  <c r="BE359" i="8"/>
  <c r="BH359" i="8"/>
  <c r="BM171" i="8"/>
  <c r="BN171" i="8"/>
  <c r="BO171" i="8"/>
  <c r="BP171" i="8"/>
  <c r="BI105" i="8"/>
  <c r="BJ105" i="8"/>
  <c r="BK105" i="8"/>
  <c r="BL105" i="8"/>
  <c r="BP214" i="8"/>
  <c r="BN214" i="8"/>
  <c r="BO214" i="8"/>
  <c r="BM214" i="8"/>
  <c r="BO381" i="8"/>
  <c r="BP381" i="8"/>
  <c r="BM381" i="8"/>
  <c r="BN381" i="8"/>
  <c r="BE360" i="8"/>
  <c r="BH360" i="8"/>
  <c r="BF360" i="8"/>
  <c r="BG360" i="8"/>
  <c r="BE554" i="8"/>
  <c r="BF554" i="8"/>
  <c r="BG554" i="8"/>
  <c r="BH554" i="8"/>
  <c r="BM550" i="8"/>
  <c r="BN550" i="8"/>
  <c r="BP550" i="8"/>
  <c r="BO550" i="8"/>
  <c r="BM245" i="8"/>
  <c r="BN245" i="8"/>
  <c r="BO245" i="8"/>
  <c r="BP245" i="8"/>
  <c r="BI53" i="8"/>
  <c r="BJ53" i="8"/>
  <c r="BK53" i="8"/>
  <c r="BL53" i="8"/>
  <c r="L202" i="22"/>
  <c r="W202" i="22" s="1"/>
  <c r="BM83" i="8"/>
  <c r="BN83" i="8"/>
  <c r="BO83" i="8"/>
  <c r="BP83" i="8"/>
  <c r="BG569" i="8"/>
  <c r="BH569" i="8"/>
  <c r="BE569" i="8"/>
  <c r="BF569" i="8"/>
  <c r="BP529" i="8"/>
  <c r="BM529" i="8"/>
  <c r="BO529" i="8"/>
  <c r="BN529" i="8"/>
  <c r="BK297" i="8"/>
  <c r="BL297" i="8"/>
  <c r="BI297" i="8"/>
  <c r="BJ297" i="8"/>
  <c r="BF323" i="8"/>
  <c r="BG323" i="8"/>
  <c r="BE323" i="8"/>
  <c r="BH323" i="8"/>
  <c r="BL411" i="8"/>
  <c r="BJ411" i="8"/>
  <c r="BK411" i="8"/>
  <c r="BI411" i="8"/>
  <c r="BF230" i="8"/>
  <c r="BE230" i="8"/>
  <c r="BG230" i="8"/>
  <c r="BH230" i="8"/>
  <c r="BI229" i="8"/>
  <c r="BK229" i="8"/>
  <c r="BJ229" i="8"/>
  <c r="BL229" i="8"/>
  <c r="BE564" i="8"/>
  <c r="BH564" i="8"/>
  <c r="BF564" i="8"/>
  <c r="BG564" i="8"/>
  <c r="BF114" i="8"/>
  <c r="BH114" i="8"/>
  <c r="BE114" i="8"/>
  <c r="BG114" i="8"/>
  <c r="BO86" i="8"/>
  <c r="BN86" i="8"/>
  <c r="BP86" i="8"/>
  <c r="BM86" i="8"/>
  <c r="J210" i="22"/>
  <c r="U210" i="22" s="1"/>
  <c r="BF431" i="8"/>
  <c r="BG431" i="8"/>
  <c r="BE431" i="8"/>
  <c r="BH431" i="8"/>
  <c r="BF238" i="8"/>
  <c r="BE238" i="8"/>
  <c r="BG238" i="8"/>
  <c r="BH238" i="8"/>
  <c r="BE73" i="8"/>
  <c r="BH73" i="8"/>
  <c r="BF73" i="8"/>
  <c r="BG73" i="8"/>
  <c r="BO150" i="8"/>
  <c r="BN150" i="8"/>
  <c r="BP150" i="8"/>
  <c r="BM150" i="8"/>
  <c r="BL375" i="8"/>
  <c r="BJ375" i="8"/>
  <c r="BK375" i="8"/>
  <c r="BI375" i="8"/>
  <c r="BO293" i="8"/>
  <c r="BP293" i="8"/>
  <c r="BM293" i="8"/>
  <c r="BN293" i="8"/>
  <c r="BJ502" i="8"/>
  <c r="BK502" i="8"/>
  <c r="BL502" i="8"/>
  <c r="BI502" i="8"/>
  <c r="BK38" i="8"/>
  <c r="BL38" i="8"/>
  <c r="BI38" i="8"/>
  <c r="BJ38" i="8"/>
  <c r="L201" i="22"/>
  <c r="W201" i="22" s="1"/>
  <c r="BH185" i="8"/>
  <c r="BE185" i="8"/>
  <c r="BG185" i="8"/>
  <c r="BF185" i="8"/>
  <c r="C193" i="22"/>
  <c r="BK96" i="8"/>
  <c r="BI96" i="8"/>
  <c r="BJ96" i="8"/>
  <c r="BL96" i="8"/>
  <c r="BF311" i="8"/>
  <c r="BG311" i="8"/>
  <c r="BE311" i="8"/>
  <c r="BH311" i="8"/>
  <c r="BP42" i="8"/>
  <c r="BM42" i="8"/>
  <c r="BO42" i="8"/>
  <c r="BN42" i="8"/>
  <c r="BI85" i="8"/>
  <c r="BJ85" i="8"/>
  <c r="BK85" i="8"/>
  <c r="BL85" i="8"/>
  <c r="BF361" i="8"/>
  <c r="BG361" i="8"/>
  <c r="BE361" i="8"/>
  <c r="BH361" i="8"/>
  <c r="BL425" i="8"/>
  <c r="BI425" i="8"/>
  <c r="BK425" i="8"/>
  <c r="BJ425" i="8"/>
  <c r="BI322" i="8"/>
  <c r="BJ322" i="8"/>
  <c r="BK322" i="8"/>
  <c r="BL322" i="8"/>
  <c r="BF513" i="8"/>
  <c r="BE513" i="8"/>
  <c r="BG513" i="8"/>
  <c r="BH513" i="8"/>
  <c r="BO287" i="8"/>
  <c r="BP287" i="8"/>
  <c r="BN287" i="8"/>
  <c r="BM287" i="8"/>
  <c r="BM82" i="8"/>
  <c r="BO82" i="8"/>
  <c r="BN82" i="8"/>
  <c r="BP82" i="8"/>
  <c r="BE229" i="8"/>
  <c r="BG229" i="8"/>
  <c r="BH229" i="8"/>
  <c r="BF229" i="8"/>
  <c r="BO128" i="8"/>
  <c r="BM128" i="8"/>
  <c r="BN128" i="8"/>
  <c r="BP128" i="8"/>
  <c r="BF525" i="8"/>
  <c r="BE525" i="8"/>
  <c r="BG525" i="8"/>
  <c r="BH525" i="8"/>
  <c r="BI209" i="8"/>
  <c r="BJ209" i="8"/>
  <c r="BK209" i="8"/>
  <c r="BL209" i="8"/>
  <c r="K202" i="22"/>
  <c r="V202" i="22" s="1"/>
  <c r="BP188" i="8"/>
  <c r="BN188" i="8"/>
  <c r="BM188" i="8"/>
  <c r="BO188" i="8"/>
  <c r="E208" i="22"/>
  <c r="P208" i="22" s="1"/>
  <c r="BE81" i="8"/>
  <c r="BH81" i="8"/>
  <c r="BF81" i="8"/>
  <c r="BG81" i="8"/>
  <c r="F195" i="22"/>
  <c r="Q195" i="22" s="1"/>
  <c r="BM27" i="8"/>
  <c r="BN27" i="8"/>
  <c r="BP27" i="8"/>
  <c r="BO27" i="8"/>
  <c r="BH181" i="8"/>
  <c r="BE181" i="8"/>
  <c r="BG181" i="8"/>
  <c r="BF181" i="8"/>
  <c r="BN445" i="8"/>
  <c r="BP445" i="8"/>
  <c r="BO445" i="8"/>
  <c r="BM445" i="8"/>
  <c r="BM145" i="8"/>
  <c r="BN145" i="8"/>
  <c r="BO145" i="8"/>
  <c r="BP145" i="8"/>
  <c r="BF437" i="8"/>
  <c r="BG437" i="8"/>
  <c r="BE437" i="8"/>
  <c r="BH437" i="8"/>
  <c r="BF329" i="8"/>
  <c r="BG329" i="8"/>
  <c r="BE329" i="8"/>
  <c r="BH329" i="8"/>
  <c r="BM93" i="8"/>
  <c r="BN93" i="8"/>
  <c r="BO93" i="8"/>
  <c r="BP93" i="8"/>
  <c r="BM273" i="8"/>
  <c r="BN273" i="8"/>
  <c r="BO273" i="8"/>
  <c r="BP273" i="8"/>
  <c r="C209" i="22"/>
  <c r="N209" i="22" s="1"/>
  <c r="BK218" i="8"/>
  <c r="BI218" i="8"/>
  <c r="BJ218" i="8"/>
  <c r="BL218" i="8"/>
  <c r="BE245" i="8"/>
  <c r="BG245" i="8"/>
  <c r="BH245" i="8"/>
  <c r="BF245" i="8"/>
  <c r="BM147" i="8"/>
  <c r="BN147" i="8"/>
  <c r="BO147" i="8"/>
  <c r="BP147" i="8"/>
  <c r="BN290" i="8"/>
  <c r="BP290" i="8"/>
  <c r="BM290" i="8"/>
  <c r="BO290" i="8"/>
  <c r="BN284" i="8"/>
  <c r="BO284" i="8"/>
  <c r="BP284" i="8"/>
  <c r="BM284" i="8"/>
  <c r="BF34" i="8"/>
  <c r="BG34" i="8"/>
  <c r="BH34" i="8"/>
  <c r="BE34" i="8"/>
  <c r="BK100" i="8"/>
  <c r="BI100" i="8"/>
  <c r="BL100" i="8"/>
  <c r="BJ100" i="8"/>
  <c r="BI173" i="8"/>
  <c r="BJ173" i="8"/>
  <c r="BK173" i="8"/>
  <c r="BL173" i="8"/>
  <c r="BI559" i="8"/>
  <c r="BL559" i="8"/>
  <c r="BJ559" i="8"/>
  <c r="BK559" i="8"/>
  <c r="BM436" i="8"/>
  <c r="BN436" i="8"/>
  <c r="BO436" i="8"/>
  <c r="BP436" i="8"/>
  <c r="BE31" i="8"/>
  <c r="BH31" i="8"/>
  <c r="BG31" i="8"/>
  <c r="BF31" i="8"/>
  <c r="BE512" i="8"/>
  <c r="BF512" i="8"/>
  <c r="BG512" i="8"/>
  <c r="BH512" i="8"/>
  <c r="BI235" i="8"/>
  <c r="BJ235" i="8"/>
  <c r="BK235" i="8"/>
  <c r="BL235" i="8"/>
  <c r="BO341" i="8"/>
  <c r="BP341" i="8"/>
  <c r="BM341" i="8"/>
  <c r="BN341" i="8"/>
  <c r="BO96" i="8"/>
  <c r="BM96" i="8"/>
  <c r="BN96" i="8"/>
  <c r="BP96" i="8"/>
  <c r="BM494" i="8"/>
  <c r="BN494" i="8"/>
  <c r="BP494" i="8"/>
  <c r="BO494" i="8"/>
  <c r="BL327" i="8"/>
  <c r="BJ327" i="8"/>
  <c r="BK327" i="8"/>
  <c r="BI327" i="8"/>
  <c r="BI326" i="8"/>
  <c r="BJ326" i="8"/>
  <c r="BK326" i="8"/>
  <c r="BL326" i="8"/>
  <c r="BL449" i="8"/>
  <c r="BI449" i="8"/>
  <c r="BJ449" i="8"/>
  <c r="BK449" i="8"/>
  <c r="BN427" i="8"/>
  <c r="BO427" i="8"/>
  <c r="BP427" i="8"/>
  <c r="BM427" i="8"/>
  <c r="BM221" i="8"/>
  <c r="BN221" i="8"/>
  <c r="BO221" i="8"/>
  <c r="BP221" i="8"/>
  <c r="BE378" i="8"/>
  <c r="BH378" i="8"/>
  <c r="BF378" i="8"/>
  <c r="BG378" i="8"/>
  <c r="Q412" i="21"/>
  <c r="L187" i="21"/>
  <c r="L396" i="21"/>
  <c r="L609" i="21"/>
  <c r="Q411" i="21"/>
  <c r="BE107" i="8"/>
  <c r="BH107" i="8"/>
  <c r="BF107" i="8"/>
  <c r="BG107" i="8"/>
  <c r="BN81" i="8"/>
  <c r="BM81" i="8"/>
  <c r="BO81" i="8"/>
  <c r="BP81" i="8"/>
  <c r="F209" i="22"/>
  <c r="Q209" i="22" s="1"/>
  <c r="BN394" i="8"/>
  <c r="BO394" i="8"/>
  <c r="BP394" i="8"/>
  <c r="BM394" i="8"/>
  <c r="BI193" i="8"/>
  <c r="BJ193" i="8"/>
  <c r="BK193" i="8"/>
  <c r="BL193" i="8"/>
  <c r="BF393" i="8"/>
  <c r="BE393" i="8"/>
  <c r="BG393" i="8"/>
  <c r="BH393" i="8"/>
  <c r="BK68" i="8"/>
  <c r="BI68" i="8"/>
  <c r="BL68" i="8"/>
  <c r="BJ68" i="8"/>
  <c r="BN79" i="8"/>
  <c r="BO79" i="8"/>
  <c r="BM79" i="8"/>
  <c r="BP79" i="8"/>
  <c r="BM540" i="8"/>
  <c r="BN540" i="8"/>
  <c r="BO540" i="8"/>
  <c r="BP540" i="8"/>
  <c r="BM29" i="8"/>
  <c r="BN29" i="8"/>
  <c r="BO29" i="8"/>
  <c r="BP29" i="8"/>
  <c r="BN57" i="8"/>
  <c r="BP57" i="8"/>
  <c r="BM57" i="8"/>
  <c r="BO57" i="8"/>
  <c r="BK271" i="8"/>
  <c r="BL271" i="8"/>
  <c r="BI271" i="8"/>
  <c r="BJ271" i="8"/>
  <c r="BO327" i="8"/>
  <c r="BP327" i="8"/>
  <c r="BM327" i="8"/>
  <c r="BN327" i="8"/>
  <c r="BN292" i="8"/>
  <c r="BM292" i="8"/>
  <c r="BO292" i="8"/>
  <c r="BP292" i="8"/>
  <c r="I208" i="22"/>
  <c r="T208" i="22" s="1"/>
  <c r="BI161" i="8"/>
  <c r="BJ161" i="8"/>
  <c r="BK161" i="8"/>
  <c r="BL161" i="8"/>
  <c r="BO371" i="8"/>
  <c r="BP371" i="8"/>
  <c r="BM371" i="8"/>
  <c r="BN371" i="8"/>
  <c r="BP557" i="8"/>
  <c r="BO557" i="8"/>
  <c r="BM557" i="8"/>
  <c r="BN557" i="8"/>
  <c r="BE470" i="8"/>
  <c r="BG470" i="8"/>
  <c r="BH470" i="8"/>
  <c r="BF470" i="8"/>
  <c r="BI390" i="8"/>
  <c r="BJ390" i="8"/>
  <c r="BK390" i="8"/>
  <c r="BL390" i="8"/>
  <c r="BI217" i="8"/>
  <c r="BJ217" i="8"/>
  <c r="BK217" i="8"/>
  <c r="BL217" i="8"/>
  <c r="BP533" i="8"/>
  <c r="BM533" i="8"/>
  <c r="BN533" i="8"/>
  <c r="BO533" i="8"/>
  <c r="BE63" i="8"/>
  <c r="BH63" i="8"/>
  <c r="BG63" i="8"/>
  <c r="BF63" i="8"/>
  <c r="BK122" i="8"/>
  <c r="BI122" i="8"/>
  <c r="BJ122" i="8"/>
  <c r="BL122" i="8"/>
  <c r="BM119" i="8"/>
  <c r="BN119" i="8"/>
  <c r="BO119" i="8"/>
  <c r="BP119" i="8"/>
  <c r="BP567" i="8"/>
  <c r="BN567" i="8"/>
  <c r="BM567" i="8"/>
  <c r="BO567" i="8"/>
  <c r="BE94" i="8"/>
  <c r="BG94" i="8"/>
  <c r="BF94" i="8"/>
  <c r="BH94" i="8"/>
  <c r="BF439" i="8"/>
  <c r="BE439" i="8"/>
  <c r="BG439" i="8"/>
  <c r="BH439" i="8"/>
  <c r="BO347" i="8"/>
  <c r="BP347" i="8"/>
  <c r="BM347" i="8"/>
  <c r="BN347" i="8"/>
  <c r="BJ556" i="8"/>
  <c r="BK556" i="8"/>
  <c r="BL556" i="8"/>
  <c r="BI556" i="8"/>
  <c r="J178" i="22" s="1"/>
  <c r="U178" i="22" s="1"/>
  <c r="BF268" i="8"/>
  <c r="BG268" i="8"/>
  <c r="BE268" i="8"/>
  <c r="BH268" i="8"/>
  <c r="BH149" i="8"/>
  <c r="BE149" i="8"/>
  <c r="BG149" i="8"/>
  <c r="BF149" i="8"/>
  <c r="BI21" i="8"/>
  <c r="BJ21" i="8"/>
  <c r="BK21" i="8"/>
  <c r="BL21" i="8"/>
  <c r="J202" i="22"/>
  <c r="U202" i="22" s="1"/>
  <c r="BH135" i="8"/>
  <c r="BE135" i="8"/>
  <c r="BF135" i="8"/>
  <c r="BG135" i="8"/>
  <c r="I196" i="22"/>
  <c r="T196" i="22" s="1"/>
  <c r="BL459" i="8"/>
  <c r="BJ459" i="8"/>
  <c r="BK459" i="8"/>
  <c r="BI459" i="8"/>
  <c r="BM263" i="8"/>
  <c r="BN263" i="8"/>
  <c r="BO263" i="8"/>
  <c r="BP263" i="8"/>
  <c r="BP220" i="8"/>
  <c r="BN220" i="8"/>
  <c r="BM220" i="8"/>
  <c r="BO220" i="8"/>
  <c r="BO186" i="8"/>
  <c r="BN186" i="8"/>
  <c r="BP186" i="8"/>
  <c r="BM186" i="8"/>
  <c r="BM524" i="8"/>
  <c r="BN524" i="8"/>
  <c r="BO524" i="8"/>
  <c r="BP524" i="8"/>
  <c r="BF519" i="8"/>
  <c r="BE519" i="8"/>
  <c r="BH519" i="8"/>
  <c r="BG519" i="8"/>
  <c r="BP511" i="8"/>
  <c r="BM511" i="8"/>
  <c r="BN511" i="8"/>
  <c r="BO511" i="8"/>
  <c r="BM448" i="8"/>
  <c r="BN448" i="8"/>
  <c r="BO448" i="8"/>
  <c r="BP448" i="8"/>
  <c r="BM45" i="8"/>
  <c r="BN45" i="8"/>
  <c r="BO45" i="8"/>
  <c r="BP45" i="8"/>
  <c r="K210" i="22"/>
  <c r="V210" i="22" s="1"/>
  <c r="BN366" i="8"/>
  <c r="BM366" i="8"/>
  <c r="BO366" i="8"/>
  <c r="BP366" i="8"/>
  <c r="BF459" i="8"/>
  <c r="BH459" i="8"/>
  <c r="BE459" i="8"/>
  <c r="BG459" i="8"/>
  <c r="BE500" i="8"/>
  <c r="BF500" i="8"/>
  <c r="BG500" i="8"/>
  <c r="BH500" i="8"/>
  <c r="BE458" i="8"/>
  <c r="BH458" i="8"/>
  <c r="BF458" i="8"/>
  <c r="BG458" i="8"/>
  <c r="BM416" i="8"/>
  <c r="BN416" i="8"/>
  <c r="BO416" i="8"/>
  <c r="BP416" i="8"/>
  <c r="BE478" i="8"/>
  <c r="BG478" i="8"/>
  <c r="BH478" i="8"/>
  <c r="BF478" i="8"/>
  <c r="BI286" i="8"/>
  <c r="BJ286" i="8"/>
  <c r="BK286" i="8"/>
  <c r="BL286" i="8"/>
  <c r="BI485" i="8"/>
  <c r="BL485" i="8"/>
  <c r="BK485" i="8"/>
  <c r="BJ485" i="8"/>
  <c r="BJ484" i="8"/>
  <c r="BK484" i="8"/>
  <c r="BL484" i="8"/>
  <c r="BI484" i="8"/>
  <c r="BN453" i="8"/>
  <c r="BP453" i="8"/>
  <c r="BO453" i="8"/>
  <c r="BM453" i="8"/>
  <c r="BI571" i="8"/>
  <c r="BL571" i="8"/>
  <c r="BJ571" i="8"/>
  <c r="BK571" i="8"/>
  <c r="BE406" i="8"/>
  <c r="BF406" i="8"/>
  <c r="BG406" i="8"/>
  <c r="BH406" i="8"/>
  <c r="BM432" i="8"/>
  <c r="BN432" i="8"/>
  <c r="BO432" i="8"/>
  <c r="BP432" i="8"/>
  <c r="BK184" i="8"/>
  <c r="BI184" i="8"/>
  <c r="BJ184" i="8"/>
  <c r="BL184" i="8"/>
  <c r="BM566" i="8"/>
  <c r="BN566" i="8"/>
  <c r="BO566" i="8"/>
  <c r="BP566" i="8"/>
  <c r="BN318" i="8"/>
  <c r="BM318" i="8"/>
  <c r="BP318" i="8"/>
  <c r="BO318" i="8"/>
  <c r="BP517" i="8"/>
  <c r="BM517" i="8"/>
  <c r="BN517" i="8"/>
  <c r="BO517" i="8"/>
  <c r="BF373" i="8"/>
  <c r="BG373" i="8"/>
  <c r="BH373" i="8"/>
  <c r="BE373" i="8"/>
  <c r="BI344" i="8"/>
  <c r="BJ344" i="8"/>
  <c r="BK344" i="8"/>
  <c r="BL344" i="8"/>
  <c r="BN330" i="8"/>
  <c r="BM330" i="8"/>
  <c r="BO330" i="8"/>
  <c r="BP330" i="8"/>
  <c r="BF521" i="8"/>
  <c r="BE521" i="8"/>
  <c r="BG521" i="8"/>
  <c r="BH521" i="8"/>
  <c r="BF449" i="8"/>
  <c r="BE449" i="8"/>
  <c r="BG449" i="8"/>
  <c r="BH449" i="8"/>
  <c r="BE396" i="8"/>
  <c r="BF396" i="8"/>
  <c r="BH396" i="8"/>
  <c r="BG396" i="8"/>
  <c r="BE518" i="8"/>
  <c r="BG518" i="8"/>
  <c r="BH518" i="8"/>
  <c r="BF518" i="8"/>
  <c r="BO144" i="8"/>
  <c r="BM144" i="8"/>
  <c r="BN144" i="8"/>
  <c r="BP144" i="8"/>
  <c r="BE574" i="8"/>
  <c r="BF574" i="8"/>
  <c r="BG574" i="8"/>
  <c r="BH574" i="8"/>
  <c r="BN338" i="8"/>
  <c r="BP338" i="8"/>
  <c r="BM338" i="8"/>
  <c r="BO338" i="8"/>
  <c r="BI495" i="8"/>
  <c r="BL495" i="8"/>
  <c r="BJ495" i="8"/>
  <c r="BK495" i="8"/>
  <c r="BI254" i="8"/>
  <c r="BK254" i="8"/>
  <c r="BL254" i="8"/>
  <c r="BJ254" i="8"/>
  <c r="BE476" i="8"/>
  <c r="BF476" i="8"/>
  <c r="BG476" i="8"/>
  <c r="BH476" i="8"/>
  <c r="BF471" i="8"/>
  <c r="BE471" i="8"/>
  <c r="BG471" i="8"/>
  <c r="BH471" i="8"/>
  <c r="BE460" i="8"/>
  <c r="BF460" i="8"/>
  <c r="BG460" i="8"/>
  <c r="BH460" i="8"/>
  <c r="BM392" i="8"/>
  <c r="BN392" i="8"/>
  <c r="BO392" i="8"/>
  <c r="BP392" i="8"/>
  <c r="BP212" i="8"/>
  <c r="BN212" i="8"/>
  <c r="BM212" i="8"/>
  <c r="BO212" i="8"/>
  <c r="BP72" i="8"/>
  <c r="BM72" i="8"/>
  <c r="BN72" i="8"/>
  <c r="BO72" i="8"/>
  <c r="BI149" i="8"/>
  <c r="BJ149" i="8"/>
  <c r="BK149" i="8"/>
  <c r="BL149" i="8"/>
  <c r="BE492" i="8"/>
  <c r="BF492" i="8"/>
  <c r="BG492" i="8"/>
  <c r="BH492" i="8"/>
  <c r="BF389" i="8"/>
  <c r="BG389" i="8"/>
  <c r="BE389" i="8"/>
  <c r="BH389" i="8"/>
  <c r="BN298" i="8"/>
  <c r="BM298" i="8"/>
  <c r="BO298" i="8"/>
  <c r="BP298" i="8"/>
  <c r="BM560" i="8"/>
  <c r="BN560" i="8"/>
  <c r="BO560" i="8"/>
  <c r="BP560" i="8"/>
  <c r="BK14" i="8"/>
  <c r="BL14" i="8"/>
  <c r="BI14" i="8"/>
  <c r="BJ14" i="8"/>
  <c r="I200" i="22"/>
  <c r="BH125" i="8"/>
  <c r="BE125" i="8"/>
  <c r="BG125" i="8"/>
  <c r="BF125" i="8"/>
  <c r="BL357" i="8"/>
  <c r="BI357" i="8"/>
  <c r="BJ357" i="8"/>
  <c r="BK357" i="8"/>
  <c r="BE400" i="8"/>
  <c r="BF400" i="8"/>
  <c r="BH400" i="8"/>
  <c r="BG400" i="8"/>
  <c r="BP523" i="8"/>
  <c r="BN523" i="8"/>
  <c r="BO523" i="8"/>
  <c r="BM523" i="8"/>
  <c r="E209" i="22"/>
  <c r="P209" i="22" s="1"/>
  <c r="BE39" i="8"/>
  <c r="BH39" i="8"/>
  <c r="BF39" i="8"/>
  <c r="BG39" i="8"/>
  <c r="BE514" i="8"/>
  <c r="BG514" i="8"/>
  <c r="BH514" i="8"/>
  <c r="BF514" i="8"/>
  <c r="BO355" i="8"/>
  <c r="BP355" i="8"/>
  <c r="BM355" i="8"/>
  <c r="BN355" i="8"/>
  <c r="BH159" i="8"/>
  <c r="BE159" i="8"/>
  <c r="BF159" i="8"/>
  <c r="BG159" i="8"/>
  <c r="BO349" i="8"/>
  <c r="BP349" i="8"/>
  <c r="BM349" i="8"/>
  <c r="BN349" i="8"/>
  <c r="BP28" i="8"/>
  <c r="BM28" i="8"/>
  <c r="K185" i="22" s="1"/>
  <c r="V185" i="22" s="1"/>
  <c r="BN28" i="8"/>
  <c r="BO28" i="8"/>
  <c r="BI362" i="8"/>
  <c r="BJ362" i="8"/>
  <c r="BK362" i="8"/>
  <c r="BL362" i="8"/>
  <c r="BI215" i="8"/>
  <c r="BJ215" i="8"/>
  <c r="BK215" i="8"/>
  <c r="BL215" i="8"/>
  <c r="BK263" i="8"/>
  <c r="BL263" i="8"/>
  <c r="BI263" i="8"/>
  <c r="BJ263" i="8"/>
  <c r="BM231" i="8"/>
  <c r="BN231" i="8"/>
  <c r="BO231" i="8"/>
  <c r="BP231" i="8"/>
  <c r="BK32" i="8"/>
  <c r="BI32" i="8"/>
  <c r="BJ32" i="8"/>
  <c r="BL32" i="8"/>
  <c r="BN443" i="8"/>
  <c r="BP443" i="8"/>
  <c r="BM443" i="8"/>
  <c r="BO443" i="8"/>
  <c r="BI201" i="8"/>
  <c r="BJ201" i="8"/>
  <c r="BK201" i="8"/>
  <c r="BL201" i="8"/>
  <c r="BP501" i="8"/>
  <c r="BM501" i="8"/>
  <c r="BN501" i="8"/>
  <c r="BO501" i="8"/>
  <c r="BI398" i="8"/>
  <c r="BJ398" i="8"/>
  <c r="BK398" i="8"/>
  <c r="BL398" i="8"/>
  <c r="BP202" i="8"/>
  <c r="BN202" i="8"/>
  <c r="BM202" i="8"/>
  <c r="BO202" i="8"/>
  <c r="BO353" i="8"/>
  <c r="BP353" i="8"/>
  <c r="BM353" i="8"/>
  <c r="BN353" i="8"/>
  <c r="BF106" i="8"/>
  <c r="BH106" i="8"/>
  <c r="BE106" i="8"/>
  <c r="BG106" i="8"/>
  <c r="BK92" i="8"/>
  <c r="BI92" i="8"/>
  <c r="BJ92" i="8"/>
  <c r="BL92" i="8"/>
  <c r="BI491" i="8"/>
  <c r="BL491" i="8"/>
  <c r="BJ491" i="8"/>
  <c r="BK491" i="8"/>
  <c r="BE269" i="8"/>
  <c r="BG269" i="8"/>
  <c r="BH269" i="8"/>
  <c r="BF269" i="8"/>
  <c r="BE482" i="8"/>
  <c r="BF482" i="8"/>
  <c r="BG482" i="8"/>
  <c r="BH482" i="8"/>
  <c r="BP519" i="8"/>
  <c r="BN519" i="8"/>
  <c r="BO519" i="8"/>
  <c r="BM519" i="8"/>
  <c r="BE348" i="8"/>
  <c r="BF348" i="8"/>
  <c r="BG348" i="8"/>
  <c r="BH348" i="8"/>
  <c r="BF423" i="8"/>
  <c r="BE423" i="8"/>
  <c r="BG423" i="8"/>
  <c r="BH423" i="8"/>
  <c r="BM518" i="8"/>
  <c r="BN518" i="8"/>
  <c r="BO518" i="8"/>
  <c r="BP518" i="8"/>
  <c r="BI380" i="8"/>
  <c r="BJ380" i="8"/>
  <c r="BK380" i="8"/>
  <c r="BL380" i="8"/>
  <c r="BE362" i="8"/>
  <c r="BF362" i="8"/>
  <c r="BG362" i="8"/>
  <c r="BH362" i="8"/>
  <c r="BO295" i="8"/>
  <c r="BP295" i="8"/>
  <c r="BM295" i="8"/>
  <c r="BN295" i="8"/>
  <c r="BJ478" i="8"/>
  <c r="BK478" i="8"/>
  <c r="BL478" i="8"/>
  <c r="BI478" i="8"/>
  <c r="BF126" i="8"/>
  <c r="BG126" i="8"/>
  <c r="BH126" i="8"/>
  <c r="BE126" i="8"/>
  <c r="G196" i="22"/>
  <c r="R196" i="22" s="1"/>
  <c r="BI45" i="8"/>
  <c r="BJ45" i="8"/>
  <c r="BK45" i="8"/>
  <c r="BL45" i="8"/>
  <c r="K203" i="22"/>
  <c r="V203" i="22" s="1"/>
  <c r="BH187" i="8"/>
  <c r="BE187" i="8"/>
  <c r="BF187" i="8"/>
  <c r="BG187" i="8"/>
  <c r="BE67" i="8"/>
  <c r="BH67" i="8"/>
  <c r="BF67" i="8"/>
  <c r="BG67" i="8"/>
  <c r="BE326" i="8"/>
  <c r="BF326" i="8"/>
  <c r="BG326" i="8"/>
  <c r="BH326" i="8"/>
  <c r="BE480" i="8"/>
  <c r="BF480" i="8"/>
  <c r="BG480" i="8"/>
  <c r="BH480" i="8"/>
  <c r="BE498" i="8"/>
  <c r="BH498" i="8"/>
  <c r="BF498" i="8"/>
  <c r="BG498" i="8"/>
  <c r="BI440" i="8"/>
  <c r="BJ440" i="8"/>
  <c r="BK440" i="8"/>
  <c r="BL440" i="8"/>
  <c r="BI175" i="8"/>
  <c r="BJ175" i="8"/>
  <c r="BK175" i="8"/>
  <c r="BL175" i="8"/>
  <c r="BK275" i="8"/>
  <c r="BL275" i="8"/>
  <c r="BI275" i="8"/>
  <c r="BJ275" i="8"/>
  <c r="BI563" i="8"/>
  <c r="BL563" i="8"/>
  <c r="BK563" i="8"/>
  <c r="BJ563" i="8"/>
  <c r="BL409" i="8"/>
  <c r="BI409" i="8"/>
  <c r="BJ409" i="8"/>
  <c r="BK409" i="8"/>
  <c r="BO277" i="8"/>
  <c r="BP277" i="8"/>
  <c r="BM277" i="8"/>
  <c r="BN277" i="8"/>
  <c r="BP545" i="8"/>
  <c r="BM545" i="8"/>
  <c r="BO545" i="8"/>
  <c r="BN545" i="8"/>
  <c r="BP54" i="8"/>
  <c r="BM54" i="8"/>
  <c r="BO54" i="8"/>
  <c r="BN54" i="8"/>
  <c r="BG573" i="8"/>
  <c r="BH573" i="8"/>
  <c r="BF573" i="8"/>
  <c r="BE573" i="8"/>
  <c r="BK56" i="8"/>
  <c r="BI56" i="8"/>
  <c r="BJ56" i="8"/>
  <c r="BL56" i="8"/>
  <c r="BL401" i="8"/>
  <c r="BI401" i="8"/>
  <c r="BK401" i="8"/>
  <c r="BJ401" i="8"/>
  <c r="BE283" i="8"/>
  <c r="BF283" i="8"/>
  <c r="BH283" i="8"/>
  <c r="BG283" i="8"/>
  <c r="BI221" i="8"/>
  <c r="BJ221" i="8"/>
  <c r="BK221" i="8"/>
  <c r="BL221" i="8"/>
  <c r="BE412" i="8"/>
  <c r="BF412" i="8"/>
  <c r="BH412" i="8"/>
  <c r="BG412" i="8"/>
  <c r="BI310" i="8"/>
  <c r="BJ310" i="8"/>
  <c r="BK310" i="8"/>
  <c r="BL310" i="8"/>
  <c r="BI25" i="8"/>
  <c r="BJ25" i="8"/>
  <c r="BK25" i="8"/>
  <c r="BL25" i="8"/>
  <c r="BL359" i="8"/>
  <c r="BJ359" i="8"/>
  <c r="BK359" i="8"/>
  <c r="BI359" i="8"/>
  <c r="BI171" i="8"/>
  <c r="BJ171" i="8"/>
  <c r="BK171" i="8"/>
  <c r="BL171" i="8"/>
  <c r="BK94" i="8"/>
  <c r="BI94" i="8"/>
  <c r="BJ94" i="8"/>
  <c r="BL94" i="8"/>
  <c r="BF214" i="8"/>
  <c r="BE214" i="8"/>
  <c r="BG214" i="8"/>
  <c r="BH214" i="8"/>
  <c r="BI255" i="8"/>
  <c r="BJ255" i="8"/>
  <c r="BK255" i="8"/>
  <c r="BL255" i="8"/>
  <c r="BK20" i="8"/>
  <c r="BI20" i="8"/>
  <c r="BJ20" i="8"/>
  <c r="BL20" i="8"/>
  <c r="D201" i="22"/>
  <c r="O201" i="22" s="1"/>
  <c r="BJ554" i="8"/>
  <c r="BK554" i="8"/>
  <c r="BL554" i="8"/>
  <c r="BI554" i="8"/>
  <c r="BH195" i="8"/>
  <c r="BE195" i="8"/>
  <c r="BF195" i="8"/>
  <c r="BG195" i="8"/>
  <c r="BM151" i="8"/>
  <c r="BN151" i="8"/>
  <c r="BO151" i="8"/>
  <c r="BP151" i="8"/>
  <c r="BM17" i="8"/>
  <c r="BN17" i="8"/>
  <c r="BO17" i="8"/>
  <c r="BP17" i="8"/>
  <c r="H207" i="22"/>
  <c r="BE83" i="8"/>
  <c r="BH83" i="8"/>
  <c r="BF83" i="8"/>
  <c r="BG83" i="8"/>
  <c r="BI569" i="8"/>
  <c r="BL569" i="8"/>
  <c r="BJ569" i="8"/>
  <c r="BK569" i="8"/>
  <c r="BH145" i="8"/>
  <c r="BE145" i="8"/>
  <c r="BG145" i="8"/>
  <c r="BF145" i="8"/>
  <c r="BO297" i="8"/>
  <c r="BP297" i="8"/>
  <c r="BM297" i="8"/>
  <c r="BN297" i="8"/>
  <c r="BO323" i="8"/>
  <c r="BP323" i="8"/>
  <c r="BM323" i="8"/>
  <c r="BN323" i="8"/>
  <c r="BF411" i="8"/>
  <c r="BG411" i="8"/>
  <c r="BH411" i="8"/>
  <c r="BE411" i="8"/>
  <c r="BP230" i="8"/>
  <c r="BN230" i="8"/>
  <c r="BO230" i="8"/>
  <c r="BM230" i="8"/>
  <c r="BE314" i="8"/>
  <c r="BF314" i="8"/>
  <c r="BG314" i="8"/>
  <c r="BH314" i="8"/>
  <c r="BM564" i="8"/>
  <c r="BN564" i="8"/>
  <c r="BO564" i="8"/>
  <c r="BP564" i="8"/>
  <c r="BK114" i="8"/>
  <c r="BI114" i="8"/>
  <c r="BL114" i="8"/>
  <c r="BJ114" i="8"/>
  <c r="BE86" i="8"/>
  <c r="BG86" i="8"/>
  <c r="BH86" i="8"/>
  <c r="BF86" i="8"/>
  <c r="J196" i="22"/>
  <c r="U196" i="22" s="1"/>
  <c r="BN431" i="8"/>
  <c r="BP431" i="8"/>
  <c r="BM431" i="8"/>
  <c r="BO431" i="8"/>
  <c r="BI238" i="8"/>
  <c r="BK238" i="8"/>
  <c r="BJ238" i="8"/>
  <c r="BL238" i="8"/>
  <c r="BI181" i="8"/>
  <c r="BJ181" i="8"/>
  <c r="BK181" i="8"/>
  <c r="BL181" i="8"/>
  <c r="BK102" i="8"/>
  <c r="BI102" i="8"/>
  <c r="BJ102" i="8"/>
  <c r="BL102" i="8"/>
  <c r="D202" i="22"/>
  <c r="O202" i="22" s="1"/>
  <c r="BF375" i="8"/>
  <c r="BG375" i="8"/>
  <c r="BE375" i="8"/>
  <c r="BH375" i="8"/>
  <c r="BJ520" i="8"/>
  <c r="BK520" i="8"/>
  <c r="BL520" i="8"/>
  <c r="BI520" i="8"/>
  <c r="BM502" i="8"/>
  <c r="BN502" i="8"/>
  <c r="BO502" i="8"/>
  <c r="BP502" i="8"/>
  <c r="BP38" i="8"/>
  <c r="BM38" i="8"/>
  <c r="BO38" i="8"/>
  <c r="BN38" i="8"/>
  <c r="L208" i="22"/>
  <c r="W208" i="22" s="1"/>
  <c r="BM185" i="8"/>
  <c r="BN185" i="8"/>
  <c r="BO185" i="8"/>
  <c r="BP185" i="8"/>
  <c r="C207" i="22"/>
  <c r="BE33" i="8"/>
  <c r="BH33" i="8"/>
  <c r="BF33" i="8"/>
  <c r="BG33" i="8"/>
  <c r="BI462" i="8"/>
  <c r="BJ462" i="8"/>
  <c r="BK462" i="8"/>
  <c r="BL462" i="8"/>
  <c r="BK42" i="8"/>
  <c r="BI42" i="8"/>
  <c r="BL42" i="8"/>
  <c r="BJ42" i="8"/>
  <c r="BM85" i="8"/>
  <c r="BN85" i="8"/>
  <c r="BO85" i="8"/>
  <c r="BP85" i="8"/>
  <c r="BL361" i="8"/>
  <c r="BI361" i="8"/>
  <c r="BK361" i="8"/>
  <c r="BJ361" i="8"/>
  <c r="BF425" i="8"/>
  <c r="BE425" i="8"/>
  <c r="BG425" i="8"/>
  <c r="BH425" i="8"/>
  <c r="BN322" i="8"/>
  <c r="BP322" i="8"/>
  <c r="BM322" i="8"/>
  <c r="BO322" i="8"/>
  <c r="BI513" i="8"/>
  <c r="BL513" i="8"/>
  <c r="BK513" i="8"/>
  <c r="BJ513" i="8"/>
  <c r="BM544" i="8"/>
  <c r="BN544" i="8"/>
  <c r="BO544" i="8"/>
  <c r="BP544" i="8"/>
  <c r="BF82" i="8"/>
  <c r="BH82" i="8"/>
  <c r="BE82" i="8"/>
  <c r="BG82" i="8"/>
  <c r="BF302" i="8"/>
  <c r="BG302" i="8"/>
  <c r="BE302" i="8"/>
  <c r="BH302" i="8"/>
  <c r="BF128" i="8"/>
  <c r="BG128" i="8"/>
  <c r="BE128" i="8"/>
  <c r="BH128" i="8"/>
  <c r="BP525" i="8"/>
  <c r="BO525" i="8"/>
  <c r="BM525" i="8"/>
  <c r="BN525" i="8"/>
  <c r="BI19" i="8"/>
  <c r="BJ19" i="8"/>
  <c r="BK19" i="8"/>
  <c r="BL19" i="8"/>
  <c r="BF188" i="8"/>
  <c r="BG188" i="8"/>
  <c r="BE188" i="8"/>
  <c r="BH188" i="8"/>
  <c r="E194" i="22"/>
  <c r="P194" i="22" s="1"/>
  <c r="BP58" i="8"/>
  <c r="BM58" i="8"/>
  <c r="BN58" i="8"/>
  <c r="BO58" i="8"/>
  <c r="L210" i="22"/>
  <c r="W210" i="22" s="1"/>
  <c r="BH169" i="8"/>
  <c r="BE169" i="8"/>
  <c r="BG169" i="8"/>
  <c r="BF169" i="8"/>
  <c r="BI222" i="8"/>
  <c r="BK222" i="8"/>
  <c r="BJ222" i="8"/>
  <c r="BL222" i="8"/>
  <c r="BF146" i="8"/>
  <c r="BG146" i="8"/>
  <c r="BE146" i="8"/>
  <c r="BH146" i="8"/>
  <c r="BH199" i="8"/>
  <c r="BE199" i="8"/>
  <c r="BF199" i="8"/>
  <c r="BG199" i="8"/>
  <c r="BL437" i="8"/>
  <c r="BI437" i="8"/>
  <c r="BK437" i="8"/>
  <c r="BJ437" i="8"/>
  <c r="BO329" i="8"/>
  <c r="BP329" i="8"/>
  <c r="BM329" i="8"/>
  <c r="BN329" i="8"/>
  <c r="BE424" i="8"/>
  <c r="BF424" i="8"/>
  <c r="BH424" i="8"/>
  <c r="BG424" i="8"/>
  <c r="BE273" i="8"/>
  <c r="BH273" i="8"/>
  <c r="BF273" i="8"/>
  <c r="BG273" i="8"/>
  <c r="C195" i="22"/>
  <c r="N195" i="22" s="1"/>
  <c r="BF218" i="8"/>
  <c r="BH218" i="8"/>
  <c r="BE218" i="8"/>
  <c r="BG218" i="8"/>
  <c r="BI245" i="8"/>
  <c r="BK245" i="8"/>
  <c r="BL245" i="8"/>
  <c r="BJ245" i="8"/>
  <c r="BL325" i="8"/>
  <c r="BI325" i="8"/>
  <c r="BJ325" i="8"/>
  <c r="BK325" i="8"/>
  <c r="BM183" i="8"/>
  <c r="BN183" i="8"/>
  <c r="BO183" i="8"/>
  <c r="BP183" i="8"/>
  <c r="BL345" i="8"/>
  <c r="BI345" i="8"/>
  <c r="BJ345" i="8"/>
  <c r="BK345" i="8"/>
  <c r="BI59" i="8"/>
  <c r="BJ59" i="8"/>
  <c r="BK59" i="8"/>
  <c r="BL59" i="8"/>
  <c r="BO100" i="8"/>
  <c r="BM100" i="8"/>
  <c r="BN100" i="8"/>
  <c r="BP100" i="8"/>
  <c r="BH173" i="8"/>
  <c r="BE173" i="8"/>
  <c r="BG173" i="8"/>
  <c r="BF173" i="8"/>
  <c r="BF559" i="8"/>
  <c r="BE559" i="8"/>
  <c r="BG559" i="8"/>
  <c r="BH559" i="8"/>
  <c r="BE207" i="8"/>
  <c r="BF207" i="8"/>
  <c r="BG207" i="8"/>
  <c r="BH207" i="8"/>
  <c r="BL385" i="8"/>
  <c r="BI385" i="8"/>
  <c r="BJ385" i="8"/>
  <c r="BK385" i="8"/>
  <c r="BI525" i="8"/>
  <c r="BL525" i="8"/>
  <c r="BJ525" i="8"/>
  <c r="BK525" i="8"/>
  <c r="BN55" i="8"/>
  <c r="BM55" i="8"/>
  <c r="BO55" i="8"/>
  <c r="BP55" i="8"/>
  <c r="BE520" i="8"/>
  <c r="BF520" i="8"/>
  <c r="BG520" i="8"/>
  <c r="BH520" i="8"/>
  <c r="BH191" i="8"/>
  <c r="BE191" i="8"/>
  <c r="BF191" i="8"/>
  <c r="BG191" i="8"/>
  <c r="BO345" i="8"/>
  <c r="BP345" i="8"/>
  <c r="BM345" i="8"/>
  <c r="BN345" i="8"/>
  <c r="BK86" i="8"/>
  <c r="BI86" i="8"/>
  <c r="BJ86" i="8"/>
  <c r="BL86" i="8"/>
  <c r="J203" i="22"/>
  <c r="U203" i="22" s="1"/>
  <c r="BL455" i="8"/>
  <c r="BJ455" i="8"/>
  <c r="BK455" i="8"/>
  <c r="BI455" i="8"/>
  <c r="BF419" i="8"/>
  <c r="BG419" i="8"/>
  <c r="BH419" i="8"/>
  <c r="BE419" i="8"/>
  <c r="BO311" i="8"/>
  <c r="BP311" i="8"/>
  <c r="BM311" i="8"/>
  <c r="BN311" i="8"/>
  <c r="BO90" i="8"/>
  <c r="BN90" i="8"/>
  <c r="BP90" i="8"/>
  <c r="BM90" i="8"/>
  <c r="BM243" i="8"/>
  <c r="BN243" i="8"/>
  <c r="BO243" i="8"/>
  <c r="BP243" i="8"/>
  <c r="J239" i="21"/>
  <c r="U9" i="22"/>
  <c r="BL399" i="8"/>
  <c r="BJ399" i="8"/>
  <c r="BK399" i="8"/>
  <c r="BI399" i="8"/>
  <c r="BI368" i="8"/>
  <c r="BJ368" i="8"/>
  <c r="BK368" i="8"/>
  <c r="BL368" i="8"/>
  <c r="BF377" i="8"/>
  <c r="BE377" i="8"/>
  <c r="BG377" i="8"/>
  <c r="BH377" i="8"/>
  <c r="BM464" i="8"/>
  <c r="BN464" i="8"/>
  <c r="BO464" i="8"/>
  <c r="BP464" i="8"/>
  <c r="BF154" i="8"/>
  <c r="BG154" i="8"/>
  <c r="BE154" i="8"/>
  <c r="BH154" i="8"/>
  <c r="BO289" i="8"/>
  <c r="BP289" i="8"/>
  <c r="BM289" i="8"/>
  <c r="BN289" i="8"/>
  <c r="I209" i="22"/>
  <c r="T209" i="22" s="1"/>
  <c r="BE15" i="8"/>
  <c r="BH15" i="8"/>
  <c r="BG15" i="8"/>
  <c r="BF15" i="8"/>
  <c r="BP477" i="8"/>
  <c r="BO477" i="8"/>
  <c r="BM477" i="8"/>
  <c r="BN477" i="8"/>
  <c r="BI91" i="8"/>
  <c r="BJ91" i="8"/>
  <c r="BK91" i="8"/>
  <c r="BL91" i="8"/>
  <c r="BE101" i="8"/>
  <c r="BH101" i="8"/>
  <c r="BG101" i="8"/>
  <c r="BF101" i="8"/>
  <c r="BK208" i="8"/>
  <c r="BI208" i="8"/>
  <c r="BJ208" i="8"/>
  <c r="BL208" i="8"/>
  <c r="BI553" i="8"/>
  <c r="BL553" i="8"/>
  <c r="BJ553" i="8"/>
  <c r="BK553" i="8"/>
  <c r="BE237" i="8"/>
  <c r="BG237" i="8"/>
  <c r="BH237" i="8"/>
  <c r="BF237" i="8"/>
  <c r="BL317" i="8"/>
  <c r="BI317" i="8"/>
  <c r="BJ317" i="8"/>
  <c r="BK317" i="8"/>
  <c r="BI549" i="8"/>
  <c r="BL549" i="8"/>
  <c r="BK549" i="8"/>
  <c r="BJ549" i="8"/>
  <c r="BF427" i="8"/>
  <c r="BG427" i="8"/>
  <c r="BH427" i="8"/>
  <c r="BE427" i="8"/>
  <c r="BF493" i="8"/>
  <c r="BE493" i="8"/>
  <c r="BG493" i="8"/>
  <c r="BH493" i="8"/>
  <c r="BK48" i="8"/>
  <c r="BI48" i="8"/>
  <c r="BJ48" i="8"/>
  <c r="BL48" i="8"/>
  <c r="G200" i="22"/>
  <c r="BJ570" i="8"/>
  <c r="BK570" i="8"/>
  <c r="BL570" i="8"/>
  <c r="BI570" i="8"/>
  <c r="BE223" i="8"/>
  <c r="BF223" i="8"/>
  <c r="BG223" i="8"/>
  <c r="BH223" i="8"/>
  <c r="BE75" i="8"/>
  <c r="BH75" i="8"/>
  <c r="BF75" i="8"/>
  <c r="BG75" i="8"/>
  <c r="BF321" i="8"/>
  <c r="BG321" i="8"/>
  <c r="BE321" i="8"/>
  <c r="BH321" i="8"/>
  <c r="BM470" i="8"/>
  <c r="BN470" i="8"/>
  <c r="BO470" i="8"/>
  <c r="BP470" i="8"/>
  <c r="BI416" i="8"/>
  <c r="BJ416" i="8"/>
  <c r="BK416" i="8"/>
  <c r="BL416" i="8"/>
  <c r="BE484" i="8"/>
  <c r="BF484" i="8"/>
  <c r="BG484" i="8"/>
  <c r="BH484" i="8"/>
  <c r="BI169" i="8"/>
  <c r="BJ169" i="8"/>
  <c r="BK169" i="8"/>
  <c r="BL169" i="8"/>
  <c r="BE77" i="8"/>
  <c r="BH77" i="8"/>
  <c r="BG77" i="8"/>
  <c r="BF77" i="8"/>
  <c r="H195" i="22"/>
  <c r="S195" i="22" s="1"/>
  <c r="BP34" i="8"/>
  <c r="BM34" i="8"/>
  <c r="BO34" i="8"/>
  <c r="BN34" i="8"/>
  <c r="BK192" i="8"/>
  <c r="BI192" i="8"/>
  <c r="BJ192" i="8"/>
  <c r="BL192" i="8"/>
  <c r="BP210" i="8"/>
  <c r="BN210" i="8"/>
  <c r="BM210" i="8"/>
  <c r="BO210" i="8"/>
  <c r="BF264" i="8"/>
  <c r="BE264" i="8"/>
  <c r="BG264" i="8"/>
  <c r="BH264" i="8"/>
  <c r="BI165" i="8"/>
  <c r="BJ165" i="8"/>
  <c r="BK165" i="8"/>
  <c r="BL165" i="8"/>
  <c r="BM514" i="8"/>
  <c r="BN514" i="8"/>
  <c r="BO514" i="8"/>
  <c r="BP514" i="8"/>
  <c r="BF461" i="8"/>
  <c r="BE461" i="8"/>
  <c r="BG461" i="8"/>
  <c r="BH461" i="8"/>
  <c r="BN358" i="8"/>
  <c r="BM358" i="8"/>
  <c r="BO358" i="8"/>
  <c r="BP358" i="8"/>
  <c r="BI258" i="8"/>
  <c r="BJ258" i="8"/>
  <c r="BK258" i="8"/>
  <c r="BL258" i="8"/>
  <c r="BK74" i="8"/>
  <c r="BI74" i="8"/>
  <c r="BL74" i="8"/>
  <c r="BJ74" i="8"/>
  <c r="J201" i="22"/>
  <c r="U201" i="22" s="1"/>
  <c r="BO124" i="8"/>
  <c r="BM124" i="8"/>
  <c r="BN124" i="8"/>
  <c r="BP124" i="8"/>
  <c r="H210" i="22"/>
  <c r="S210" i="22" s="1"/>
  <c r="BN308" i="8"/>
  <c r="BM308" i="8"/>
  <c r="BO308" i="8"/>
  <c r="BP308" i="8"/>
  <c r="BJ558" i="8"/>
  <c r="BK558" i="8"/>
  <c r="BL558" i="8"/>
  <c r="BI558" i="8"/>
  <c r="BI280" i="8"/>
  <c r="BJ280" i="8"/>
  <c r="BK280" i="8"/>
  <c r="BL280" i="8"/>
  <c r="BP479" i="8"/>
  <c r="BM479" i="8"/>
  <c r="BN479" i="8"/>
  <c r="BO479" i="8"/>
  <c r="BP401" i="8"/>
  <c r="BM401" i="8"/>
  <c r="BN401" i="8"/>
  <c r="BO401" i="8"/>
  <c r="BM500" i="8"/>
  <c r="BN500" i="8"/>
  <c r="BO500" i="8"/>
  <c r="BP500" i="8"/>
  <c r="BI458" i="8"/>
  <c r="BJ458" i="8"/>
  <c r="BK458" i="8"/>
  <c r="BL458" i="8"/>
  <c r="BF168" i="8"/>
  <c r="BG168" i="8"/>
  <c r="BE168" i="8"/>
  <c r="BH168" i="8"/>
  <c r="BI107" i="8"/>
  <c r="BJ107" i="8"/>
  <c r="BK107" i="8"/>
  <c r="BL107" i="8"/>
  <c r="BF286" i="8"/>
  <c r="BG286" i="8"/>
  <c r="BE286" i="8"/>
  <c r="BH286" i="8"/>
  <c r="BF485" i="8"/>
  <c r="BH485" i="8"/>
  <c r="BE485" i="8"/>
  <c r="BG485" i="8"/>
  <c r="BE265" i="8"/>
  <c r="BH265" i="8"/>
  <c r="BF265" i="8"/>
  <c r="BG265" i="8"/>
  <c r="BL453" i="8"/>
  <c r="BI453" i="8"/>
  <c r="BJ453" i="8"/>
  <c r="BK453" i="8"/>
  <c r="BP571" i="8"/>
  <c r="BN571" i="8"/>
  <c r="BO571" i="8"/>
  <c r="BM571" i="8"/>
  <c r="BM406" i="8"/>
  <c r="BN406" i="8"/>
  <c r="BO406" i="8"/>
  <c r="BP406" i="8"/>
  <c r="BI432" i="8"/>
  <c r="BJ432" i="8"/>
  <c r="BK432" i="8"/>
  <c r="BL432" i="8"/>
  <c r="BO184" i="8"/>
  <c r="BM184" i="8"/>
  <c r="BN184" i="8"/>
  <c r="BP184" i="8"/>
  <c r="BI378" i="8"/>
  <c r="BJ378" i="8"/>
  <c r="BK378" i="8"/>
  <c r="BL378" i="8"/>
  <c r="BE318" i="8"/>
  <c r="BG318" i="8"/>
  <c r="BF318" i="8"/>
  <c r="BH318" i="8"/>
  <c r="BI505" i="8"/>
  <c r="BL505" i="8"/>
  <c r="BJ505" i="8"/>
  <c r="BK505" i="8"/>
  <c r="BL373" i="8"/>
  <c r="BI373" i="8"/>
  <c r="BK373" i="8"/>
  <c r="BJ373" i="8"/>
  <c r="BN344" i="8"/>
  <c r="BM344" i="8"/>
  <c r="BP344" i="8"/>
  <c r="BO344" i="8"/>
  <c r="BF475" i="8"/>
  <c r="BH475" i="8"/>
  <c r="BG475" i="8"/>
  <c r="BE475" i="8"/>
  <c r="BP521" i="8"/>
  <c r="BM521" i="8"/>
  <c r="BN521" i="8"/>
  <c r="BO521" i="8"/>
  <c r="BF481" i="8"/>
  <c r="BE481" i="8"/>
  <c r="BG481" i="8"/>
  <c r="BH481" i="8"/>
  <c r="BE303" i="8"/>
  <c r="BF303" i="8"/>
  <c r="BG303" i="8"/>
  <c r="BH303" i="8"/>
  <c r="BI464" i="8"/>
  <c r="BJ464" i="8"/>
  <c r="BK464" i="8"/>
  <c r="BL464" i="8"/>
  <c r="BF415" i="8"/>
  <c r="BE415" i="8"/>
  <c r="BG415" i="8"/>
  <c r="BH415" i="8"/>
  <c r="BM574" i="8"/>
  <c r="BN574" i="8"/>
  <c r="BP574" i="8"/>
  <c r="BO574" i="8"/>
  <c r="BI338" i="8"/>
  <c r="BJ338" i="8"/>
  <c r="BK338" i="8"/>
  <c r="BL338" i="8"/>
  <c r="BF405" i="8"/>
  <c r="BG405" i="8"/>
  <c r="BE405" i="8"/>
  <c r="BH405" i="8"/>
  <c r="BP254" i="8"/>
  <c r="BN254" i="8"/>
  <c r="BO254" i="8"/>
  <c r="BM254" i="8"/>
  <c r="BM476" i="8"/>
  <c r="BN476" i="8"/>
  <c r="BO476" i="8"/>
  <c r="BP476" i="8"/>
  <c r="BP471" i="8"/>
  <c r="BN471" i="8"/>
  <c r="BM471" i="8"/>
  <c r="BO471" i="8"/>
  <c r="BK104" i="8"/>
  <c r="BI104" i="8"/>
  <c r="BJ104" i="8"/>
  <c r="BL104" i="8"/>
  <c r="BI302" i="8"/>
  <c r="BJ302" i="8"/>
  <c r="BK302" i="8"/>
  <c r="BL302" i="8"/>
  <c r="BF212" i="8"/>
  <c r="BG212" i="8"/>
  <c r="BE212" i="8"/>
  <c r="BH212" i="8"/>
  <c r="BF72" i="8"/>
  <c r="BG72" i="8"/>
  <c r="BE72" i="8"/>
  <c r="BH72" i="8"/>
  <c r="BE119" i="8"/>
  <c r="BH119" i="8"/>
  <c r="BG119" i="8"/>
  <c r="BF119" i="8"/>
  <c r="BJ492" i="8"/>
  <c r="BK492" i="8"/>
  <c r="BL492" i="8"/>
  <c r="BI492" i="8"/>
  <c r="BL389" i="8"/>
  <c r="BI389" i="8"/>
  <c r="BJ389" i="8"/>
  <c r="BK389" i="8"/>
  <c r="BI298" i="8"/>
  <c r="BJ298" i="8"/>
  <c r="BK298" i="8"/>
  <c r="BL298" i="8"/>
  <c r="BE560" i="8"/>
  <c r="BH560" i="8"/>
  <c r="BF560" i="8"/>
  <c r="BG560" i="8"/>
  <c r="BL433" i="8"/>
  <c r="BI433" i="8"/>
  <c r="BK433" i="8"/>
  <c r="BJ433" i="8"/>
  <c r="BO357" i="8"/>
  <c r="BP357" i="8"/>
  <c r="BM357" i="8"/>
  <c r="BN357" i="8"/>
  <c r="BI400" i="8"/>
  <c r="BJ400" i="8"/>
  <c r="BK400" i="8"/>
  <c r="BL400" i="8"/>
  <c r="BK313" i="8"/>
  <c r="BL313" i="8"/>
  <c r="BJ313" i="8"/>
  <c r="BI313" i="8"/>
  <c r="BI575" i="8"/>
  <c r="BL575" i="8"/>
  <c r="BK575" i="8"/>
  <c r="BJ575" i="8"/>
  <c r="BI477" i="8"/>
  <c r="BL477" i="8"/>
  <c r="BJ477" i="8"/>
  <c r="BK477" i="8"/>
  <c r="BF355" i="8"/>
  <c r="BG355" i="8"/>
  <c r="BE355" i="8"/>
  <c r="BH355" i="8"/>
  <c r="BM159" i="8"/>
  <c r="BN159" i="8"/>
  <c r="BO159" i="8"/>
  <c r="BP159" i="8"/>
  <c r="BL349" i="8"/>
  <c r="BI349" i="8"/>
  <c r="BJ349" i="8"/>
  <c r="BK349" i="8"/>
  <c r="BK28" i="8"/>
  <c r="BI28" i="8"/>
  <c r="K175" i="22" s="1"/>
  <c r="V175" i="22" s="1"/>
  <c r="BJ28" i="8"/>
  <c r="BL28" i="8"/>
  <c r="BN362" i="8"/>
  <c r="BM362" i="8"/>
  <c r="BO362" i="8"/>
  <c r="BP362" i="8"/>
  <c r="BM215" i="8"/>
  <c r="BN215" i="8"/>
  <c r="BO215" i="8"/>
  <c r="BP215" i="8"/>
  <c r="BM133" i="8"/>
  <c r="BN133" i="8"/>
  <c r="BO133" i="8"/>
  <c r="BP133" i="8"/>
  <c r="BI29" i="8"/>
  <c r="BJ29" i="8"/>
  <c r="BK29" i="8"/>
  <c r="BL29" i="8"/>
  <c r="BP32" i="8"/>
  <c r="BM32" i="8"/>
  <c r="BN32" i="8"/>
  <c r="BO32" i="8"/>
  <c r="BL443" i="8"/>
  <c r="BJ443" i="8"/>
  <c r="BK443" i="8"/>
  <c r="BI443" i="8"/>
  <c r="BH201" i="8"/>
  <c r="BE201" i="8"/>
  <c r="BG201" i="8"/>
  <c r="BF201" i="8"/>
  <c r="BF501" i="8"/>
  <c r="BE501" i="8"/>
  <c r="BG501" i="8"/>
  <c r="BH501" i="8"/>
  <c r="BE398" i="8"/>
  <c r="BF398" i="8"/>
  <c r="BG398" i="8"/>
  <c r="BH398" i="8"/>
  <c r="BE57" i="8"/>
  <c r="BH57" i="8"/>
  <c r="BF57" i="8"/>
  <c r="BG57" i="8"/>
  <c r="BF353" i="8"/>
  <c r="BG353" i="8"/>
  <c r="BE353" i="8"/>
  <c r="BH353" i="8"/>
  <c r="BO106" i="8"/>
  <c r="BN106" i="8"/>
  <c r="BP106" i="8"/>
  <c r="BM106" i="8"/>
  <c r="BH92" i="8"/>
  <c r="BE92" i="8"/>
  <c r="BF92" i="8"/>
  <c r="BG92" i="8"/>
  <c r="BF491" i="8"/>
  <c r="BH491" i="8"/>
  <c r="BE491" i="8"/>
  <c r="BG491" i="8"/>
  <c r="BF98" i="8"/>
  <c r="BH98" i="8"/>
  <c r="BE98" i="8"/>
  <c r="BG98" i="8"/>
  <c r="BJ482" i="8"/>
  <c r="BK482" i="8"/>
  <c r="BL482" i="8"/>
  <c r="BI482" i="8"/>
  <c r="BM35" i="8"/>
  <c r="BN35" i="8"/>
  <c r="BP35" i="8"/>
  <c r="BO35" i="8"/>
  <c r="D207" i="22"/>
  <c r="BN348" i="8"/>
  <c r="BO348" i="8"/>
  <c r="BP348" i="8"/>
  <c r="BM348" i="8"/>
  <c r="BL423" i="8"/>
  <c r="BJ423" i="8"/>
  <c r="BK423" i="8"/>
  <c r="BI423" i="8"/>
  <c r="BJ518" i="8"/>
  <c r="BK518" i="8"/>
  <c r="BL518" i="8"/>
  <c r="BI518" i="8"/>
  <c r="BM380" i="8"/>
  <c r="BN380" i="8"/>
  <c r="BO380" i="8"/>
  <c r="BP380" i="8"/>
  <c r="BE562" i="8"/>
  <c r="BF562" i="8"/>
  <c r="BG562" i="8"/>
  <c r="BH562" i="8"/>
  <c r="BF553" i="8"/>
  <c r="BE553" i="8"/>
  <c r="BG553" i="8"/>
  <c r="BH553" i="8"/>
  <c r="BE332" i="8"/>
  <c r="BF332" i="8"/>
  <c r="BG332" i="8"/>
  <c r="BH332" i="8"/>
  <c r="BO126" i="8"/>
  <c r="BN126" i="8"/>
  <c r="BP126" i="8"/>
  <c r="BM126" i="8"/>
  <c r="G210" i="22"/>
  <c r="R210" i="22" s="1"/>
  <c r="BF467" i="8"/>
  <c r="BH467" i="8"/>
  <c r="BE467" i="8"/>
  <c r="BG467" i="8"/>
  <c r="BM187" i="8"/>
  <c r="BN187" i="8"/>
  <c r="BO187" i="8"/>
  <c r="BP187" i="8"/>
  <c r="BK309" i="8"/>
  <c r="BL309" i="8"/>
  <c r="BJ309" i="8"/>
  <c r="BI309" i="8"/>
  <c r="BL427" i="8"/>
  <c r="BJ427" i="8"/>
  <c r="BK427" i="8"/>
  <c r="BI427" i="8"/>
  <c r="BM480" i="8"/>
  <c r="BN480" i="8"/>
  <c r="BO480" i="8"/>
  <c r="BP480" i="8"/>
  <c r="BJ498" i="8"/>
  <c r="BK498" i="8"/>
  <c r="BL498" i="8"/>
  <c r="BI498" i="8"/>
  <c r="BI243" i="8"/>
  <c r="BL243" i="8"/>
  <c r="BJ243" i="8"/>
  <c r="BK243" i="8"/>
  <c r="BI195" i="8"/>
  <c r="BJ195" i="8"/>
  <c r="BK195" i="8"/>
  <c r="BL195" i="8"/>
  <c r="BE334" i="8"/>
  <c r="BF334" i="8"/>
  <c r="BG334" i="8"/>
  <c r="BH334" i="8"/>
  <c r="BG563" i="8"/>
  <c r="BH563" i="8"/>
  <c r="BE563" i="8"/>
  <c r="BF563" i="8"/>
  <c r="BI191" i="8"/>
  <c r="BJ191" i="8"/>
  <c r="BK191" i="8"/>
  <c r="BL191" i="8"/>
  <c r="BK277" i="8"/>
  <c r="BL277" i="8"/>
  <c r="BI277" i="8"/>
  <c r="BJ277" i="8"/>
  <c r="BI410" i="8"/>
  <c r="BJ410" i="8"/>
  <c r="BK410" i="8"/>
  <c r="BL410" i="8"/>
  <c r="BK54" i="8"/>
  <c r="BI54" i="8"/>
  <c r="BJ54" i="8"/>
  <c r="BL54" i="8"/>
  <c r="BJ526" i="8"/>
  <c r="BK526" i="8"/>
  <c r="BL526" i="8"/>
  <c r="BI526" i="8"/>
  <c r="BF56" i="8"/>
  <c r="BG56" i="8"/>
  <c r="BE56" i="8"/>
  <c r="BH56" i="8"/>
  <c r="BI256" i="8"/>
  <c r="BJ256" i="8"/>
  <c r="BL256" i="8"/>
  <c r="BK256" i="8"/>
  <c r="BO283" i="8"/>
  <c r="BP283" i="8"/>
  <c r="BN283" i="8"/>
  <c r="BM283" i="8"/>
  <c r="BE221" i="8"/>
  <c r="BG221" i="8"/>
  <c r="BH221" i="8"/>
  <c r="BF221" i="8"/>
  <c r="BI412" i="8"/>
  <c r="BJ412" i="8"/>
  <c r="BK412" i="8"/>
  <c r="BL412" i="8"/>
  <c r="BF32" i="8"/>
  <c r="BG32" i="8"/>
  <c r="BH32" i="8"/>
  <c r="BE32" i="8"/>
  <c r="BJ512" i="8"/>
  <c r="BK512" i="8"/>
  <c r="BL512" i="8"/>
  <c r="BI512" i="8"/>
  <c r="BO359" i="8"/>
  <c r="BP359" i="8"/>
  <c r="BM359" i="8"/>
  <c r="BN359" i="8"/>
  <c r="BI224" i="8"/>
  <c r="BJ224" i="8"/>
  <c r="BL224" i="8"/>
  <c r="BK224" i="8"/>
  <c r="BP22" i="8"/>
  <c r="BM22" i="8"/>
  <c r="BO22" i="8"/>
  <c r="BN22" i="8"/>
  <c r="J207" i="22"/>
  <c r="BI557" i="8"/>
  <c r="BL557" i="8"/>
  <c r="BJ557" i="8"/>
  <c r="BK557" i="8"/>
  <c r="BE255" i="8"/>
  <c r="BF255" i="8"/>
  <c r="BG255" i="8"/>
  <c r="BH255" i="8"/>
  <c r="BP20" i="8"/>
  <c r="BM20" i="8"/>
  <c r="BN20" i="8"/>
  <c r="BO20" i="8"/>
  <c r="D208" i="22"/>
  <c r="O208" i="22" s="1"/>
  <c r="BM554" i="8"/>
  <c r="BN554" i="8"/>
  <c r="BP554" i="8"/>
  <c r="BO554" i="8"/>
  <c r="BM195" i="8"/>
  <c r="BN195" i="8"/>
  <c r="BO195" i="8"/>
  <c r="BP195" i="8"/>
  <c r="BI205" i="8"/>
  <c r="BJ205" i="8"/>
  <c r="BK205" i="8"/>
  <c r="BL205" i="8"/>
  <c r="BI17" i="8"/>
  <c r="BJ17" i="8"/>
  <c r="BK17" i="8"/>
  <c r="BL17" i="8"/>
  <c r="H200" i="22"/>
  <c r="BI83" i="8"/>
  <c r="BJ83" i="8"/>
  <c r="BK83" i="8"/>
  <c r="BL83" i="8"/>
  <c r="BP569" i="8"/>
  <c r="BM569" i="8"/>
  <c r="BO569" i="8"/>
  <c r="BN569" i="8"/>
  <c r="BI145" i="8"/>
  <c r="BJ145" i="8"/>
  <c r="BK145" i="8"/>
  <c r="BL145" i="8"/>
  <c r="BF549" i="8"/>
  <c r="BE549" i="8"/>
  <c r="BG549" i="8"/>
  <c r="BH549" i="8"/>
  <c r="BL323" i="8"/>
  <c r="BJ323" i="8"/>
  <c r="BK323" i="8"/>
  <c r="BI323" i="8"/>
  <c r="BN411" i="8"/>
  <c r="BO411" i="8"/>
  <c r="BP411" i="8"/>
  <c r="BM411" i="8"/>
  <c r="BI189" i="8"/>
  <c r="BJ189" i="8"/>
  <c r="BK189" i="8"/>
  <c r="BL189" i="8"/>
  <c r="BM390" i="8"/>
  <c r="BN390" i="8"/>
  <c r="BO390" i="8"/>
  <c r="BP390" i="8"/>
  <c r="BP48" i="8"/>
  <c r="BM48" i="8"/>
  <c r="BN48" i="8"/>
  <c r="BO48" i="8"/>
  <c r="G207" i="22"/>
  <c r="BF306" i="8"/>
  <c r="BH306" i="8"/>
  <c r="BE306" i="8"/>
  <c r="BG306" i="8"/>
  <c r="BM209" i="8"/>
  <c r="BN209" i="8"/>
  <c r="BO209" i="8"/>
  <c r="BP209" i="8"/>
  <c r="K209" i="22"/>
  <c r="V209" i="22" s="1"/>
  <c r="BL431" i="8"/>
  <c r="BJ431" i="8"/>
  <c r="BK431" i="8"/>
  <c r="BI431" i="8"/>
  <c r="BE291" i="8"/>
  <c r="BF291" i="8"/>
  <c r="BH291" i="8"/>
  <c r="BG291" i="8"/>
  <c r="BJ488" i="8"/>
  <c r="BK488" i="8"/>
  <c r="BL488" i="8"/>
  <c r="BI488" i="8"/>
  <c r="BE102" i="8"/>
  <c r="BG102" i="8"/>
  <c r="BH102" i="8"/>
  <c r="BF102" i="8"/>
  <c r="D195" i="22"/>
  <c r="O195" i="22" s="1"/>
  <c r="BK180" i="8"/>
  <c r="BI180" i="8"/>
  <c r="BJ180" i="8"/>
  <c r="BL180" i="8"/>
  <c r="BN316" i="8"/>
  <c r="BO316" i="8"/>
  <c r="BP316" i="8"/>
  <c r="BM316" i="8"/>
  <c r="BE502" i="8"/>
  <c r="BG502" i="8"/>
  <c r="BH502" i="8"/>
  <c r="BF502" i="8"/>
  <c r="BH151" i="8"/>
  <c r="BE151" i="8"/>
  <c r="BF151" i="8"/>
  <c r="BG151" i="8"/>
  <c r="BI185" i="8"/>
  <c r="BJ185" i="8"/>
  <c r="BK185" i="8"/>
  <c r="BL185" i="8"/>
  <c r="C200" i="22"/>
  <c r="BI33" i="8"/>
  <c r="BJ33" i="8"/>
  <c r="BK33" i="8"/>
  <c r="BL33" i="8"/>
  <c r="BE462" i="8"/>
  <c r="BG462" i="8"/>
  <c r="BH462" i="8"/>
  <c r="BF462" i="8"/>
  <c r="BF42" i="8"/>
  <c r="BG42" i="8"/>
  <c r="BH42" i="8"/>
  <c r="BE42" i="8"/>
  <c r="BI197" i="8"/>
  <c r="BJ197" i="8"/>
  <c r="BK197" i="8"/>
  <c r="BL197" i="8"/>
  <c r="BO361" i="8"/>
  <c r="BP361" i="8"/>
  <c r="BM361" i="8"/>
  <c r="BN361" i="8"/>
  <c r="BI454" i="8"/>
  <c r="L175" i="22" s="1"/>
  <c r="W175" i="22" s="1"/>
  <c r="BJ454" i="8"/>
  <c r="BK454" i="8"/>
  <c r="BL454" i="8"/>
  <c r="BI63" i="8"/>
  <c r="BJ63" i="8"/>
  <c r="BK63" i="8"/>
  <c r="BL63" i="8"/>
  <c r="BP513" i="8"/>
  <c r="BM513" i="8"/>
  <c r="BO513" i="8"/>
  <c r="BN513" i="8"/>
  <c r="BI358" i="8"/>
  <c r="BJ358" i="8"/>
  <c r="BK358" i="8"/>
  <c r="BL358" i="8"/>
  <c r="BK82" i="8"/>
  <c r="BI82" i="8"/>
  <c r="BL82" i="8"/>
  <c r="BJ82" i="8"/>
  <c r="BH121" i="8"/>
  <c r="BE121" i="8"/>
  <c r="BG121" i="8"/>
  <c r="BF121" i="8"/>
  <c r="BF40" i="8"/>
  <c r="BG40" i="8"/>
  <c r="BH40" i="8"/>
  <c r="BE40" i="8"/>
  <c r="BK285" i="8"/>
  <c r="BL285" i="8"/>
  <c r="BI285" i="8"/>
  <c r="BJ285" i="8"/>
  <c r="BO321" i="8"/>
  <c r="BP321" i="8"/>
  <c r="BM321" i="8"/>
  <c r="BN321" i="8"/>
  <c r="BO122" i="8"/>
  <c r="BN122" i="8"/>
  <c r="BP122" i="8"/>
  <c r="BM122" i="8"/>
  <c r="BF58" i="8"/>
  <c r="BH58" i="8"/>
  <c r="BE58" i="8"/>
  <c r="BG58" i="8"/>
  <c r="L196" i="22"/>
  <c r="W196" i="22" s="1"/>
  <c r="BF162" i="8"/>
  <c r="BG162" i="8"/>
  <c r="BE162" i="8"/>
  <c r="BH162" i="8"/>
  <c r="BP222" i="8"/>
  <c r="BN222" i="8"/>
  <c r="BO222" i="8"/>
  <c r="BM222" i="8"/>
  <c r="BK146" i="8"/>
  <c r="BI146" i="8"/>
  <c r="BL146" i="8"/>
  <c r="BJ146" i="8"/>
  <c r="BI199" i="8"/>
  <c r="BJ199" i="8"/>
  <c r="BK199" i="8"/>
  <c r="BL199" i="8"/>
  <c r="BL391" i="8"/>
  <c r="BJ391" i="8"/>
  <c r="BK391" i="8"/>
  <c r="BI391" i="8"/>
  <c r="BH123" i="8"/>
  <c r="BE123" i="8"/>
  <c r="BF123" i="8"/>
  <c r="BG123" i="8"/>
  <c r="BI424" i="8"/>
  <c r="BJ424" i="8"/>
  <c r="BK424" i="8"/>
  <c r="BL424" i="8"/>
  <c r="BE434" i="8"/>
  <c r="BF434" i="8"/>
  <c r="BH434" i="8"/>
  <c r="BG434" i="8"/>
  <c r="BP218" i="8"/>
  <c r="BN218" i="8"/>
  <c r="BM218" i="8"/>
  <c r="BO218" i="8"/>
  <c r="BE428" i="8"/>
  <c r="BF428" i="8"/>
  <c r="BG428" i="8"/>
  <c r="BH428" i="8"/>
  <c r="BF325" i="8"/>
  <c r="BG325" i="8"/>
  <c r="BH325" i="8"/>
  <c r="BE325" i="8"/>
  <c r="BI183" i="8"/>
  <c r="BJ183" i="8"/>
  <c r="BK183" i="8"/>
  <c r="BL183" i="8"/>
  <c r="BF172" i="8"/>
  <c r="BG172" i="8"/>
  <c r="BE172" i="8"/>
  <c r="BH172" i="8"/>
  <c r="BN59" i="8"/>
  <c r="BM59" i="8"/>
  <c r="BO59" i="8"/>
  <c r="BP59" i="8"/>
  <c r="BE538" i="8"/>
  <c r="BH538" i="8"/>
  <c r="BF538" i="8"/>
  <c r="BG538" i="8"/>
  <c r="BM173" i="8"/>
  <c r="BN173" i="8"/>
  <c r="BO173" i="8"/>
  <c r="BP173" i="8"/>
  <c r="BO120" i="8"/>
  <c r="BM120" i="8"/>
  <c r="BN120" i="8"/>
  <c r="BP120" i="8"/>
  <c r="BI207" i="8"/>
  <c r="BJ207" i="8"/>
  <c r="BK207" i="8"/>
  <c r="BL207" i="8"/>
  <c r="BE468" i="8"/>
  <c r="BF468" i="8"/>
  <c r="BG468" i="8"/>
  <c r="BH468" i="8"/>
  <c r="BE504" i="8"/>
  <c r="BF504" i="8"/>
  <c r="BG504" i="8"/>
  <c r="BH504" i="8"/>
  <c r="BJ524" i="8"/>
  <c r="BK524" i="8"/>
  <c r="BL524" i="8"/>
  <c r="BI524" i="8"/>
  <c r="BL347" i="8"/>
  <c r="BJ347" i="8"/>
  <c r="BK347" i="8"/>
  <c r="BI347" i="8"/>
  <c r="BK144" i="8"/>
  <c r="BI144" i="8"/>
  <c r="BJ144" i="8"/>
  <c r="BL144" i="8"/>
  <c r="BN449" i="8"/>
  <c r="BP449" i="8"/>
  <c r="BO449" i="8"/>
  <c r="BM449" i="8"/>
  <c r="BP376" i="8"/>
  <c r="BO376" i="8"/>
  <c r="BM376" i="8"/>
  <c r="BN376" i="8"/>
  <c r="BF20" i="8"/>
  <c r="BG20" i="8"/>
  <c r="BH20" i="8"/>
  <c r="BE20" i="8"/>
  <c r="D194" i="22"/>
  <c r="O194" i="22" s="1"/>
  <c r="BM203" i="8"/>
  <c r="BN203" i="8"/>
  <c r="BO203" i="8"/>
  <c r="BP203" i="8"/>
  <c r="BM197" i="8"/>
  <c r="BN197" i="8"/>
  <c r="BO197" i="8"/>
  <c r="BP197" i="8"/>
  <c r="BN360" i="8"/>
  <c r="BO360" i="8"/>
  <c r="BM360" i="8"/>
  <c r="BP360" i="8"/>
  <c r="BN336" i="8"/>
  <c r="BM336" i="8"/>
  <c r="BO336" i="8"/>
  <c r="BP336" i="8"/>
  <c r="G209" i="22"/>
  <c r="R209" i="22" s="1"/>
  <c r="J449" i="21"/>
  <c r="Q396" i="21"/>
  <c r="Q401" i="21"/>
  <c r="I193" i="21"/>
  <c r="I617" i="21"/>
  <c r="I404" i="21"/>
  <c r="Q394" i="21"/>
  <c r="BF413" i="8"/>
  <c r="BG413" i="8"/>
  <c r="BE413" i="8"/>
  <c r="BH413" i="8"/>
  <c r="BJ494" i="8"/>
  <c r="BK494" i="8"/>
  <c r="BL494" i="8"/>
  <c r="BI494" i="8"/>
  <c r="BP475" i="8"/>
  <c r="BN475" i="8"/>
  <c r="BO475" i="8"/>
  <c r="BM475" i="8"/>
  <c r="BI163" i="8"/>
  <c r="BJ163" i="8"/>
  <c r="BK163" i="8"/>
  <c r="BL163" i="8"/>
  <c r="BF280" i="8"/>
  <c r="BE280" i="8"/>
  <c r="BG280" i="8"/>
  <c r="BH280" i="8"/>
  <c r="BF313" i="8"/>
  <c r="BG313" i="8"/>
  <c r="BE313" i="8"/>
  <c r="BH313" i="8"/>
  <c r="BP503" i="8"/>
  <c r="BN503" i="8"/>
  <c r="BM503" i="8"/>
  <c r="BO503" i="8"/>
  <c r="BF441" i="8"/>
  <c r="BE441" i="8"/>
  <c r="BG441" i="8"/>
  <c r="BH441" i="8"/>
  <c r="BE420" i="8"/>
  <c r="BF420" i="8"/>
  <c r="BG420" i="8"/>
  <c r="BH420" i="8"/>
  <c r="BJ496" i="8"/>
  <c r="BK496" i="8"/>
  <c r="BL496" i="8"/>
  <c r="BI496" i="8"/>
  <c r="BP467" i="8"/>
  <c r="BM467" i="8"/>
  <c r="BN467" i="8"/>
  <c r="BO467" i="8"/>
  <c r="BI334" i="8"/>
  <c r="BJ334" i="8"/>
  <c r="BK334" i="8"/>
  <c r="BL334" i="8"/>
  <c r="BF196" i="8"/>
  <c r="BG196" i="8"/>
  <c r="BE196" i="8"/>
  <c r="BH196" i="8"/>
  <c r="G194" i="22"/>
  <c r="R194" i="22" s="1"/>
  <c r="BP18" i="8"/>
  <c r="BM18" i="8"/>
  <c r="BO18" i="8"/>
  <c r="BN18" i="8"/>
  <c r="C208" i="22"/>
  <c r="N208" i="22" s="1"/>
  <c r="BI533" i="8"/>
  <c r="BL533" i="8"/>
  <c r="BK533" i="8"/>
  <c r="BJ533" i="8"/>
  <c r="BM157" i="8"/>
  <c r="BN157" i="8"/>
  <c r="BO157" i="8"/>
  <c r="BP157" i="8"/>
  <c r="BF499" i="8"/>
  <c r="BH499" i="8"/>
  <c r="BE499" i="8"/>
  <c r="BG499" i="8"/>
  <c r="BE474" i="8"/>
  <c r="BF474" i="8"/>
  <c r="BG474" i="8"/>
  <c r="BH474" i="8"/>
  <c r="BL367" i="8"/>
  <c r="BJ367" i="8"/>
  <c r="BK367" i="8"/>
  <c r="BI367" i="8"/>
  <c r="BH68" i="8"/>
  <c r="BE68" i="8"/>
  <c r="BG68" i="8"/>
  <c r="BF68" i="8"/>
  <c r="BH175" i="8"/>
  <c r="BE175" i="8"/>
  <c r="BF175" i="8"/>
  <c r="BG175" i="8"/>
  <c r="BF276" i="8"/>
  <c r="BG276" i="8"/>
  <c r="BE276" i="8"/>
  <c r="BH276" i="8"/>
  <c r="BI73" i="8"/>
  <c r="BJ73" i="8"/>
  <c r="BK73" i="8"/>
  <c r="BL73" i="8"/>
  <c r="BK315" i="8"/>
  <c r="BL315" i="8"/>
  <c r="BI315" i="8"/>
  <c r="BJ315" i="8"/>
  <c r="BO339" i="8"/>
  <c r="BP339" i="8"/>
  <c r="BM339" i="8"/>
  <c r="BN339" i="8"/>
  <c r="BF495" i="8"/>
  <c r="BE495" i="8"/>
  <c r="BG495" i="8"/>
  <c r="BH495" i="8"/>
  <c r="BI392" i="8"/>
  <c r="BJ392" i="8"/>
  <c r="BK392" i="8"/>
  <c r="BL392" i="8"/>
  <c r="BI418" i="8"/>
  <c r="BJ418" i="8"/>
  <c r="BK418" i="8"/>
  <c r="BL418" i="8"/>
  <c r="BE281" i="8"/>
  <c r="BF281" i="8"/>
  <c r="BG281" i="8"/>
  <c r="BH281" i="8"/>
  <c r="BP483" i="8"/>
  <c r="BM483" i="8"/>
  <c r="BN483" i="8"/>
  <c r="BO483" i="8"/>
  <c r="BJ500" i="8"/>
  <c r="BK500" i="8"/>
  <c r="BL500" i="8"/>
  <c r="BI500" i="8"/>
  <c r="BM458" i="8"/>
  <c r="BN458" i="8"/>
  <c r="BP458" i="8"/>
  <c r="BO458" i="8"/>
  <c r="BK168" i="8"/>
  <c r="BI168" i="8"/>
  <c r="BJ168" i="8"/>
  <c r="BL168" i="8"/>
  <c r="BM107" i="8"/>
  <c r="BN107" i="8"/>
  <c r="BO107" i="8"/>
  <c r="BP107" i="8"/>
  <c r="BN441" i="8"/>
  <c r="BP441" i="8"/>
  <c r="BO441" i="8"/>
  <c r="BM441" i="8"/>
  <c r="BP485" i="8"/>
  <c r="BM485" i="8"/>
  <c r="BN485" i="8"/>
  <c r="BO485" i="8"/>
  <c r="BK265" i="8"/>
  <c r="BL265" i="8"/>
  <c r="BI265" i="8"/>
  <c r="BJ265" i="8"/>
  <c r="BF453" i="8"/>
  <c r="BH453" i="8"/>
  <c r="BE453" i="8"/>
  <c r="BG453" i="8"/>
  <c r="BM47" i="8"/>
  <c r="BN47" i="8"/>
  <c r="BP47" i="8"/>
  <c r="BO47" i="8"/>
  <c r="BI81" i="8"/>
  <c r="BJ81" i="8"/>
  <c r="BK81" i="8"/>
  <c r="BL81" i="8"/>
  <c r="F202" i="22"/>
  <c r="Q202" i="22" s="1"/>
  <c r="BE432" i="8"/>
  <c r="BF432" i="8"/>
  <c r="BG432" i="8"/>
  <c r="BH432" i="8"/>
  <c r="BF457" i="8"/>
  <c r="BE457" i="8"/>
  <c r="BG457" i="8"/>
  <c r="BH457" i="8"/>
  <c r="BM378" i="8"/>
  <c r="BN378" i="8"/>
  <c r="BP378" i="8"/>
  <c r="BO378" i="8"/>
  <c r="BM21" i="8"/>
  <c r="BN21" i="8"/>
  <c r="BO21" i="8"/>
  <c r="BP21" i="8"/>
  <c r="J209" i="22"/>
  <c r="U209" i="22" s="1"/>
  <c r="BF505" i="8"/>
  <c r="BE505" i="8"/>
  <c r="BG505" i="8"/>
  <c r="BH505" i="8"/>
  <c r="BO373" i="8"/>
  <c r="BP373" i="8"/>
  <c r="BM373" i="8"/>
  <c r="BN373" i="8"/>
  <c r="BL377" i="8"/>
  <c r="BI377" i="8"/>
  <c r="BJ377" i="8"/>
  <c r="BK377" i="8"/>
  <c r="BI475" i="8"/>
  <c r="BL475" i="8"/>
  <c r="BJ475" i="8"/>
  <c r="BK475" i="8"/>
  <c r="BI521" i="8"/>
  <c r="BL521" i="8"/>
  <c r="BJ521" i="8"/>
  <c r="BK521" i="8"/>
  <c r="BI481" i="8"/>
  <c r="BL481" i="8"/>
  <c r="BK481" i="8"/>
  <c r="BJ481" i="8"/>
  <c r="BE438" i="8"/>
  <c r="BG438" i="8"/>
  <c r="BH438" i="8"/>
  <c r="BF438" i="8"/>
  <c r="BE464" i="8"/>
  <c r="BG464" i="8"/>
  <c r="BF464" i="8"/>
  <c r="BH464" i="8"/>
  <c r="BN415" i="8"/>
  <c r="BO415" i="8"/>
  <c r="BP415" i="8"/>
  <c r="BM415" i="8"/>
  <c r="BM193" i="8"/>
  <c r="BN193" i="8"/>
  <c r="BO193" i="8"/>
  <c r="BP193" i="8"/>
  <c r="BE338" i="8"/>
  <c r="BG338" i="8"/>
  <c r="BH338" i="8"/>
  <c r="BF338" i="8"/>
  <c r="BN405" i="8"/>
  <c r="BO405" i="8"/>
  <c r="BP405" i="8"/>
  <c r="BM405" i="8"/>
  <c r="BF254" i="8"/>
  <c r="BE254" i="8"/>
  <c r="BG254" i="8"/>
  <c r="BH254" i="8"/>
  <c r="BJ476" i="8"/>
  <c r="BK476" i="8"/>
  <c r="BL476" i="8"/>
  <c r="BI476" i="8"/>
  <c r="BL471" i="8"/>
  <c r="BJ471" i="8"/>
  <c r="BI471" i="8"/>
  <c r="BK471" i="8"/>
  <c r="BM478" i="8"/>
  <c r="BN478" i="8"/>
  <c r="BP478" i="8"/>
  <c r="BO478" i="8"/>
  <c r="BG565" i="8"/>
  <c r="BH565" i="8"/>
  <c r="BE565" i="8"/>
  <c r="BF565" i="8"/>
  <c r="BK212" i="8"/>
  <c r="BI212" i="8"/>
  <c r="BJ212" i="8"/>
  <c r="BL212" i="8"/>
  <c r="BI340" i="8"/>
  <c r="BJ340" i="8"/>
  <c r="BK340" i="8"/>
  <c r="BL340" i="8"/>
  <c r="BK52" i="8"/>
  <c r="BI52" i="8"/>
  <c r="BJ52" i="8"/>
  <c r="BL52" i="8"/>
  <c r="BN425" i="8"/>
  <c r="BO425" i="8"/>
  <c r="BP425" i="8"/>
  <c r="BM425" i="8"/>
  <c r="BP389" i="8"/>
  <c r="BO389" i="8"/>
  <c r="BM389" i="8"/>
  <c r="BN389" i="8"/>
  <c r="BF298" i="8"/>
  <c r="BH298" i="8"/>
  <c r="BE298" i="8"/>
  <c r="BG298" i="8"/>
  <c r="BI15" i="8"/>
  <c r="BJ15" i="8"/>
  <c r="BK15" i="8"/>
  <c r="BL15" i="8"/>
  <c r="BE247" i="8"/>
  <c r="BF247" i="8"/>
  <c r="BG247" i="8"/>
  <c r="BH247" i="8"/>
  <c r="BF292" i="8"/>
  <c r="BH292" i="8"/>
  <c r="BE292" i="8"/>
  <c r="BG292" i="8"/>
  <c r="I194" i="22"/>
  <c r="T194" i="22" s="1"/>
  <c r="BI79" i="8"/>
  <c r="BJ79" i="8"/>
  <c r="BK79" i="8"/>
  <c r="BL79" i="8"/>
  <c r="BM400" i="8"/>
  <c r="BN400" i="8"/>
  <c r="BO400" i="8"/>
  <c r="BP400" i="8"/>
  <c r="BO313" i="8"/>
  <c r="BP313" i="8"/>
  <c r="BM313" i="8"/>
  <c r="BN313" i="8"/>
  <c r="BP575" i="8"/>
  <c r="BM575" i="8"/>
  <c r="BN575" i="8"/>
  <c r="BO575" i="8"/>
  <c r="BF477" i="8"/>
  <c r="BG477" i="8"/>
  <c r="BE477" i="8"/>
  <c r="BH477" i="8"/>
  <c r="BE466" i="8"/>
  <c r="BH466" i="8"/>
  <c r="BG466" i="8"/>
  <c r="BF466" i="8"/>
  <c r="BE540" i="8"/>
  <c r="BF540" i="8"/>
  <c r="BG540" i="8"/>
  <c r="BH540" i="8"/>
  <c r="BI503" i="8"/>
  <c r="BL503" i="8"/>
  <c r="BJ503" i="8"/>
  <c r="BK503" i="8"/>
  <c r="BI374" i="8"/>
  <c r="BJ374" i="8"/>
  <c r="BK374" i="8"/>
  <c r="BL374" i="8"/>
  <c r="BK170" i="8"/>
  <c r="BI170" i="8"/>
  <c r="BL170" i="8"/>
  <c r="BJ170" i="8"/>
  <c r="BE91" i="8"/>
  <c r="BH91" i="8"/>
  <c r="BF91" i="8"/>
  <c r="BG91" i="8"/>
  <c r="BH133" i="8"/>
  <c r="BE133" i="8"/>
  <c r="BG133" i="8"/>
  <c r="BF133" i="8"/>
  <c r="BE29" i="8"/>
  <c r="BH29" i="8"/>
  <c r="BG29" i="8"/>
  <c r="BF29" i="8"/>
  <c r="BE522" i="8"/>
  <c r="BH522" i="8"/>
  <c r="BF522" i="8"/>
  <c r="BG522" i="8"/>
  <c r="BL441" i="8"/>
  <c r="BI441" i="8"/>
  <c r="BJ441" i="8"/>
  <c r="BK441" i="8"/>
  <c r="BF473" i="8"/>
  <c r="BE473" i="8"/>
  <c r="BG473" i="8"/>
  <c r="BH473" i="8"/>
  <c r="BM101" i="8"/>
  <c r="BN101" i="8"/>
  <c r="BO101" i="8"/>
  <c r="BP101" i="8"/>
  <c r="BP398" i="8"/>
  <c r="BN398" i="8"/>
  <c r="BO398" i="8"/>
  <c r="BM398" i="8"/>
  <c r="BI57" i="8"/>
  <c r="BJ57" i="8"/>
  <c r="BK57" i="8"/>
  <c r="BL57" i="8"/>
  <c r="BM404" i="8"/>
  <c r="BN404" i="8"/>
  <c r="BO404" i="8"/>
  <c r="BP404" i="8"/>
  <c r="BH179" i="8"/>
  <c r="BE179" i="8"/>
  <c r="BF179" i="8"/>
  <c r="BG179" i="8"/>
  <c r="BI420" i="8"/>
  <c r="BJ420" i="8"/>
  <c r="BK420" i="8"/>
  <c r="BL420" i="8"/>
  <c r="BP491" i="8"/>
  <c r="BN491" i="8"/>
  <c r="BO491" i="8"/>
  <c r="BM491" i="8"/>
  <c r="BK98" i="8"/>
  <c r="BI98" i="8"/>
  <c r="BJ98" i="8"/>
  <c r="BL98" i="8"/>
  <c r="BN354" i="8"/>
  <c r="BP354" i="8"/>
  <c r="BM354" i="8"/>
  <c r="BO354" i="8"/>
  <c r="BE35" i="8"/>
  <c r="BH35" i="8"/>
  <c r="BF35" i="8"/>
  <c r="BG35" i="8"/>
  <c r="D193" i="22"/>
  <c r="BE271" i="8"/>
  <c r="BF271" i="8"/>
  <c r="BG271" i="8"/>
  <c r="BH271" i="8"/>
  <c r="BM430" i="8"/>
  <c r="BN430" i="8"/>
  <c r="BP430" i="8"/>
  <c r="BO430" i="8"/>
  <c r="BE496" i="8"/>
  <c r="BH496" i="8"/>
  <c r="BF496" i="8"/>
  <c r="BG496" i="8"/>
  <c r="BE380" i="8"/>
  <c r="BF380" i="8"/>
  <c r="BH380" i="8"/>
  <c r="BG380" i="8"/>
  <c r="BJ562" i="8"/>
  <c r="BK562" i="8"/>
  <c r="BL562" i="8"/>
  <c r="BI562" i="8"/>
  <c r="BP553" i="8"/>
  <c r="BM553" i="8"/>
  <c r="BN553" i="8"/>
  <c r="BO553" i="8"/>
  <c r="BF327" i="8"/>
  <c r="BG327" i="8"/>
  <c r="BE327" i="8"/>
  <c r="BH327" i="8"/>
  <c r="BI101" i="8"/>
  <c r="BJ101" i="8"/>
  <c r="BK101" i="8"/>
  <c r="BL101" i="8"/>
  <c r="BI467" i="8"/>
  <c r="BJ467" i="8"/>
  <c r="BK467" i="8"/>
  <c r="BL467" i="8"/>
  <c r="BE261" i="8"/>
  <c r="BG261" i="8"/>
  <c r="BH261" i="8"/>
  <c r="BF261" i="8"/>
  <c r="BF309" i="8"/>
  <c r="BG309" i="8"/>
  <c r="BH309" i="8"/>
  <c r="BE309" i="8"/>
  <c r="BI237" i="8"/>
  <c r="BJ237" i="8"/>
  <c r="BK237" i="8"/>
  <c r="BL237" i="8"/>
  <c r="BF455" i="8"/>
  <c r="BE455" i="8"/>
  <c r="BG455" i="8"/>
  <c r="BH455" i="8"/>
  <c r="BF387" i="8"/>
  <c r="BG387" i="8"/>
  <c r="BH387" i="8"/>
  <c r="BE387" i="8"/>
  <c r="BE352" i="8"/>
  <c r="BF352" i="8"/>
  <c r="BG352" i="8"/>
  <c r="BH352" i="8"/>
  <c r="BI527" i="8"/>
  <c r="BL527" i="8"/>
  <c r="BJ527" i="8"/>
  <c r="BK527" i="8"/>
  <c r="BN334" i="8"/>
  <c r="BM334" i="8"/>
  <c r="BP334" i="8"/>
  <c r="BO334" i="8"/>
  <c r="BP563" i="8"/>
  <c r="BN563" i="8"/>
  <c r="BM563" i="8"/>
  <c r="BO563" i="8"/>
  <c r="BM191" i="8"/>
  <c r="BN191" i="8"/>
  <c r="BO191" i="8"/>
  <c r="BP191" i="8"/>
  <c r="BE277" i="8"/>
  <c r="BG277" i="8"/>
  <c r="BH277" i="8"/>
  <c r="BF277" i="8"/>
  <c r="BM410" i="8"/>
  <c r="BN410" i="8"/>
  <c r="BO410" i="8"/>
  <c r="BP410" i="8"/>
  <c r="BH161" i="8"/>
  <c r="BE161" i="8"/>
  <c r="BG161" i="8"/>
  <c r="BF161" i="8"/>
  <c r="BM526" i="8"/>
  <c r="BN526" i="8"/>
  <c r="BP526" i="8"/>
  <c r="BO526" i="8"/>
  <c r="BP56" i="8"/>
  <c r="BM56" i="8"/>
  <c r="BO56" i="8"/>
  <c r="BN56" i="8"/>
  <c r="BF256" i="8"/>
  <c r="BE256" i="8"/>
  <c r="BG256" i="8"/>
  <c r="BH256" i="8"/>
  <c r="BP549" i="8"/>
  <c r="BM549" i="8"/>
  <c r="BN549" i="8"/>
  <c r="BO549" i="8"/>
  <c r="BL403" i="8"/>
  <c r="BJ403" i="8"/>
  <c r="BK403" i="8"/>
  <c r="BI403" i="8"/>
  <c r="BM558" i="8"/>
  <c r="BN558" i="8"/>
  <c r="BP558" i="8"/>
  <c r="BO558" i="8"/>
  <c r="BL371" i="8"/>
  <c r="BJ371" i="8"/>
  <c r="BK371" i="8"/>
  <c r="BI371" i="8"/>
  <c r="BH129" i="8"/>
  <c r="BE129" i="8"/>
  <c r="BG129" i="8"/>
  <c r="BF129" i="8"/>
  <c r="H194" i="22"/>
  <c r="S194" i="22" s="1"/>
  <c r="BK188" i="8"/>
  <c r="BI188" i="8"/>
  <c r="BJ188" i="8"/>
  <c r="BL188" i="8"/>
  <c r="E201" i="22"/>
  <c r="P201" i="22" s="1"/>
  <c r="BF224" i="8"/>
  <c r="BE224" i="8"/>
  <c r="BG224" i="8"/>
  <c r="BH224" i="8"/>
  <c r="BF22" i="8"/>
  <c r="BG22" i="8"/>
  <c r="BH22" i="8"/>
  <c r="BE22" i="8"/>
  <c r="J193" i="22"/>
  <c r="BF557" i="8"/>
  <c r="BE557" i="8"/>
  <c r="BG557" i="8"/>
  <c r="BH557" i="8"/>
  <c r="BM255" i="8"/>
  <c r="BN255" i="8"/>
  <c r="BO255" i="8"/>
  <c r="BP255" i="8"/>
  <c r="BF391" i="8"/>
  <c r="BG391" i="8"/>
  <c r="BE391" i="8"/>
  <c r="BH391" i="8"/>
  <c r="BE243" i="8"/>
  <c r="BF243" i="8"/>
  <c r="BG243" i="8"/>
  <c r="BH243" i="8"/>
  <c r="BF206" i="8"/>
  <c r="BE206" i="8"/>
  <c r="BG206" i="8"/>
  <c r="BH206" i="8"/>
  <c r="BI330" i="8"/>
  <c r="BJ330" i="8"/>
  <c r="BK330" i="8"/>
  <c r="BL330" i="8"/>
  <c r="BE17" i="8"/>
  <c r="BH17" i="8"/>
  <c r="BF17" i="8"/>
  <c r="BG17" i="8"/>
  <c r="H193" i="22"/>
  <c r="BI470" i="8"/>
  <c r="BJ470" i="8"/>
  <c r="BK470" i="8"/>
  <c r="BL470" i="8"/>
  <c r="BI493" i="8"/>
  <c r="BL493" i="8"/>
  <c r="BJ493" i="8"/>
  <c r="BK493" i="8"/>
  <c r="BI428" i="8"/>
  <c r="BJ428" i="8"/>
  <c r="BK428" i="8"/>
  <c r="BL428" i="8"/>
  <c r="BM233" i="8"/>
  <c r="BN233" i="8"/>
  <c r="BO233" i="8"/>
  <c r="BP233" i="8"/>
  <c r="BI13" i="8"/>
  <c r="BJ13" i="8"/>
  <c r="BK13" i="8"/>
  <c r="BL13" i="8"/>
  <c r="BF561" i="8"/>
  <c r="BE561" i="8"/>
  <c r="BG561" i="8"/>
  <c r="BH561" i="8"/>
  <c r="BH189" i="8"/>
  <c r="BE189" i="8"/>
  <c r="BG189" i="8"/>
  <c r="BF189" i="8"/>
  <c r="BE390" i="8"/>
  <c r="BF390" i="8"/>
  <c r="BG390" i="8"/>
  <c r="BH390" i="8"/>
  <c r="BF48" i="8"/>
  <c r="BG48" i="8"/>
  <c r="BH48" i="8"/>
  <c r="BE48" i="8"/>
  <c r="G193" i="22"/>
  <c r="BI306" i="8"/>
  <c r="BJ306" i="8"/>
  <c r="BK306" i="8"/>
  <c r="BL306" i="8"/>
  <c r="BE209" i="8"/>
  <c r="BH209" i="8"/>
  <c r="BF209" i="8"/>
  <c r="BG209" i="8"/>
  <c r="K195" i="22"/>
  <c r="V195" i="22" s="1"/>
  <c r="BE526" i="8"/>
  <c r="BG526" i="8"/>
  <c r="BH526" i="8"/>
  <c r="BF526" i="8"/>
  <c r="BO291" i="8"/>
  <c r="BP291" i="8"/>
  <c r="BM291" i="8"/>
  <c r="BN291" i="8"/>
  <c r="BI499" i="8"/>
  <c r="BL499" i="8"/>
  <c r="BK499" i="8"/>
  <c r="BJ499" i="8"/>
  <c r="BO102" i="8"/>
  <c r="BN102" i="8"/>
  <c r="BP102" i="8"/>
  <c r="BM102" i="8"/>
  <c r="D209" i="22"/>
  <c r="O209" i="22" s="1"/>
  <c r="BE570" i="8"/>
  <c r="BF570" i="8"/>
  <c r="BG570" i="8"/>
  <c r="BH570" i="8"/>
  <c r="BE516" i="8"/>
  <c r="BF516" i="8"/>
  <c r="BG516" i="8"/>
  <c r="BH516" i="8"/>
  <c r="BF140" i="8"/>
  <c r="BG140" i="8"/>
  <c r="BE140" i="8"/>
  <c r="BH140" i="8"/>
  <c r="F194" i="22"/>
  <c r="Q194" i="22" s="1"/>
  <c r="BH163" i="8"/>
  <c r="BE163" i="8"/>
  <c r="BF163" i="8"/>
  <c r="BG163" i="8"/>
  <c r="BE330" i="8"/>
  <c r="BF330" i="8"/>
  <c r="BG330" i="8"/>
  <c r="BH330" i="8"/>
  <c r="BM33" i="8"/>
  <c r="BN33" i="8"/>
  <c r="BO33" i="8"/>
  <c r="BP33" i="8"/>
  <c r="BM462" i="8"/>
  <c r="BN462" i="8"/>
  <c r="BP462" i="8"/>
  <c r="BO462" i="8"/>
  <c r="BI211" i="8"/>
  <c r="BJ211" i="8"/>
  <c r="BK211" i="8"/>
  <c r="BL211" i="8"/>
  <c r="BH197" i="8"/>
  <c r="BE197" i="8"/>
  <c r="BG197" i="8"/>
  <c r="BF197" i="8"/>
  <c r="BE386" i="8"/>
  <c r="BH386" i="8"/>
  <c r="BF386" i="8"/>
  <c r="BG386" i="8"/>
  <c r="BE454" i="8"/>
  <c r="L165" i="22" s="1"/>
  <c r="BG454" i="8"/>
  <c r="BH454" i="8"/>
  <c r="BF454" i="8"/>
  <c r="BN63" i="8"/>
  <c r="BO63" i="8"/>
  <c r="BM63" i="8"/>
  <c r="BP63" i="8"/>
  <c r="BN75" i="8"/>
  <c r="BP75" i="8"/>
  <c r="BM75" i="8"/>
  <c r="BO75" i="8"/>
  <c r="BF539" i="8"/>
  <c r="BH539" i="8"/>
  <c r="BG539" i="8"/>
  <c r="BE539" i="8"/>
  <c r="BF367" i="8"/>
  <c r="BG367" i="8"/>
  <c r="BE367" i="8"/>
  <c r="BH367" i="8"/>
  <c r="BI121" i="8"/>
  <c r="BJ121" i="8"/>
  <c r="BK121" i="8"/>
  <c r="BL121" i="8"/>
  <c r="BP40" i="8"/>
  <c r="BM40" i="8"/>
  <c r="BN40" i="8"/>
  <c r="BO40" i="8"/>
  <c r="BO285" i="8"/>
  <c r="BP285" i="8"/>
  <c r="BM285" i="8"/>
  <c r="BN285" i="8"/>
  <c r="BL321" i="8"/>
  <c r="BI321" i="8"/>
  <c r="BJ321" i="8"/>
  <c r="BK321" i="8"/>
  <c r="BF122" i="8"/>
  <c r="BG122" i="8"/>
  <c r="BE122" i="8"/>
  <c r="BH122" i="8"/>
  <c r="BK58" i="8"/>
  <c r="BI58" i="8"/>
  <c r="BJ58" i="8"/>
  <c r="BL58" i="8"/>
  <c r="L203" i="22"/>
  <c r="W203" i="22" s="1"/>
  <c r="BK162" i="8"/>
  <c r="BI162" i="8"/>
  <c r="BJ162" i="8"/>
  <c r="BL162" i="8"/>
  <c r="BF222" i="8"/>
  <c r="BE222" i="8"/>
  <c r="BG222" i="8"/>
  <c r="BH222" i="8"/>
  <c r="BO146" i="8"/>
  <c r="BN146" i="8"/>
  <c r="BP146" i="8"/>
  <c r="BM146" i="8"/>
  <c r="BM199" i="8"/>
  <c r="BN199" i="8"/>
  <c r="BO199" i="8"/>
  <c r="BP199" i="8"/>
  <c r="BK142" i="8"/>
  <c r="BI142" i="8"/>
  <c r="BJ142" i="8"/>
  <c r="BL142" i="8"/>
  <c r="BI123" i="8"/>
  <c r="BJ123" i="8"/>
  <c r="BK123" i="8"/>
  <c r="BL123" i="8"/>
  <c r="BM424" i="8"/>
  <c r="BN424" i="8"/>
  <c r="BO424" i="8"/>
  <c r="BP424" i="8"/>
  <c r="BI434" i="8"/>
  <c r="BJ434" i="8"/>
  <c r="BK434" i="8"/>
  <c r="BL434" i="8"/>
  <c r="BF347" i="8"/>
  <c r="BG347" i="8"/>
  <c r="BE347" i="8"/>
  <c r="BH347" i="8"/>
  <c r="BO369" i="8"/>
  <c r="BP369" i="8"/>
  <c r="BM369" i="8"/>
  <c r="BN369" i="8"/>
  <c r="BO325" i="8"/>
  <c r="BP325" i="8"/>
  <c r="BM325" i="8"/>
  <c r="BN325" i="8"/>
  <c r="BI226" i="8"/>
  <c r="BJ226" i="8"/>
  <c r="BK226" i="8"/>
  <c r="BL226" i="8"/>
  <c r="BO172" i="8"/>
  <c r="BM172" i="8"/>
  <c r="BN172" i="8"/>
  <c r="BP172" i="8"/>
  <c r="BK148" i="8"/>
  <c r="BI148" i="8"/>
  <c r="BJ148" i="8"/>
  <c r="BL148" i="8"/>
  <c r="BJ538" i="8"/>
  <c r="BK538" i="8"/>
  <c r="BL538" i="8"/>
  <c r="BI538" i="8"/>
  <c r="BN314" i="8"/>
  <c r="BM314" i="8"/>
  <c r="BO314" i="8"/>
  <c r="BP314" i="8"/>
  <c r="BF120" i="8"/>
  <c r="BG120" i="8"/>
  <c r="BE120" i="8"/>
  <c r="BH120" i="8"/>
  <c r="BM207" i="8"/>
  <c r="BN207" i="8"/>
  <c r="BO207" i="8"/>
  <c r="BP207" i="8"/>
  <c r="BF288" i="8"/>
  <c r="BE288" i="8"/>
  <c r="BG288" i="8"/>
  <c r="BH288" i="8"/>
  <c r="BI501" i="8"/>
  <c r="BL501" i="8"/>
  <c r="BK501" i="8"/>
  <c r="BJ501" i="8"/>
  <c r="BM169" i="8"/>
  <c r="BN169" i="8"/>
  <c r="BO169" i="8"/>
  <c r="BP169" i="8"/>
  <c r="BJ532" i="8"/>
  <c r="BK532" i="8"/>
  <c r="BL532" i="8"/>
  <c r="BI532" i="8"/>
  <c r="BM219" i="8"/>
  <c r="BN219" i="8"/>
  <c r="BO219" i="8"/>
  <c r="BP219" i="8"/>
  <c r="BM137" i="8"/>
  <c r="BN137" i="8"/>
  <c r="BO137" i="8"/>
  <c r="BP137" i="8"/>
  <c r="BI203" i="8"/>
  <c r="BJ203" i="8"/>
  <c r="BK203" i="8"/>
  <c r="BL203" i="8"/>
  <c r="BF433" i="8"/>
  <c r="BE433" i="8"/>
  <c r="BG433" i="8"/>
  <c r="BH433" i="8"/>
  <c r="BE316" i="8"/>
  <c r="BF316" i="8"/>
  <c r="BG316" i="8"/>
  <c r="BH316" i="8"/>
  <c r="BM39" i="8"/>
  <c r="BN39" i="8"/>
  <c r="BP39" i="8"/>
  <c r="BO39" i="8"/>
  <c r="BM97" i="8"/>
  <c r="BN97" i="8"/>
  <c r="BO97" i="8"/>
  <c r="BP97" i="8"/>
  <c r="BM534" i="8"/>
  <c r="BN534" i="8"/>
  <c r="BO534" i="8"/>
  <c r="BP534" i="8"/>
  <c r="E414" i="21"/>
  <c r="E205" i="21"/>
  <c r="E627" i="21"/>
  <c r="F205" i="21"/>
  <c r="F414" i="21"/>
  <c r="F627" i="21"/>
  <c r="Q393" i="21"/>
  <c r="BK190" i="8"/>
  <c r="BI190" i="8"/>
  <c r="BJ190" i="8"/>
  <c r="BL190" i="8"/>
  <c r="BM141" i="8"/>
  <c r="BN141" i="8"/>
  <c r="BO141" i="8"/>
  <c r="BP141" i="8"/>
  <c r="E207" i="22"/>
  <c r="BP505" i="8"/>
  <c r="BM505" i="8"/>
  <c r="BN505" i="8"/>
  <c r="BO505" i="8"/>
  <c r="BM438" i="8"/>
  <c r="BN438" i="8"/>
  <c r="BP438" i="8"/>
  <c r="BO438" i="8"/>
  <c r="BJ534" i="8"/>
  <c r="BK534" i="8"/>
  <c r="BL534" i="8"/>
  <c r="BI534" i="8"/>
  <c r="BP52" i="8"/>
  <c r="BM52" i="8"/>
  <c r="BN52" i="8"/>
  <c r="BO52" i="8"/>
  <c r="BL417" i="8"/>
  <c r="BI417" i="8"/>
  <c r="BJ417" i="8"/>
  <c r="BK417" i="8"/>
  <c r="BE374" i="8"/>
  <c r="BF374" i="8"/>
  <c r="BG374" i="8"/>
  <c r="BH374" i="8"/>
  <c r="BI473" i="8"/>
  <c r="BL473" i="8"/>
  <c r="BJ473" i="8"/>
  <c r="BK473" i="8"/>
  <c r="BI354" i="8"/>
  <c r="BJ354" i="8"/>
  <c r="BK354" i="8"/>
  <c r="BL354" i="8"/>
  <c r="BM562" i="8"/>
  <c r="BN562" i="8"/>
  <c r="BO562" i="8"/>
  <c r="BP562" i="8"/>
  <c r="BL387" i="8"/>
  <c r="BJ387" i="8"/>
  <c r="BK387" i="8"/>
  <c r="BI387" i="8"/>
  <c r="BE410" i="8"/>
  <c r="BH410" i="8"/>
  <c r="BF410" i="8"/>
  <c r="BG410" i="8"/>
  <c r="BP256" i="8"/>
  <c r="BN256" i="8"/>
  <c r="BO256" i="8"/>
  <c r="BM256" i="8"/>
  <c r="BK22" i="8"/>
  <c r="BL22" i="8"/>
  <c r="BI22" i="8"/>
  <c r="BJ22" i="8"/>
  <c r="J200" i="22"/>
  <c r="BE472" i="8"/>
  <c r="BH472" i="8"/>
  <c r="BF472" i="8"/>
  <c r="BG472" i="8"/>
  <c r="BM13" i="8"/>
  <c r="BN13" i="8"/>
  <c r="BO13" i="8"/>
  <c r="BP13" i="8"/>
  <c r="BN306" i="8"/>
  <c r="BP306" i="8"/>
  <c r="BM306" i="8"/>
  <c r="BO306" i="8"/>
  <c r="BJ516" i="8"/>
  <c r="BK516" i="8"/>
  <c r="BL516" i="8"/>
  <c r="BI516" i="8"/>
  <c r="BF174" i="8"/>
  <c r="BG174" i="8"/>
  <c r="BE174" i="8"/>
  <c r="BH174" i="8"/>
  <c r="BI225" i="8"/>
  <c r="BK225" i="8"/>
  <c r="BL225" i="8"/>
  <c r="BJ225" i="8"/>
  <c r="BI55" i="8"/>
  <c r="BJ55" i="8"/>
  <c r="BK55" i="8"/>
  <c r="BL55" i="8"/>
  <c r="BF142" i="8"/>
  <c r="BG142" i="8"/>
  <c r="BE142" i="8"/>
  <c r="BH142" i="8"/>
  <c r="BM434" i="8"/>
  <c r="BN434" i="8"/>
  <c r="BP434" i="8"/>
  <c r="BO434" i="8"/>
  <c r="BL369" i="8"/>
  <c r="BI369" i="8"/>
  <c r="BK369" i="8"/>
  <c r="BJ369" i="8"/>
  <c r="BF226" i="8"/>
  <c r="BH226" i="8"/>
  <c r="BE226" i="8"/>
  <c r="BG226" i="8"/>
  <c r="BF148" i="8"/>
  <c r="BG148" i="8"/>
  <c r="BE148" i="8"/>
  <c r="BH148" i="8"/>
  <c r="BM538" i="8"/>
  <c r="BN538" i="8"/>
  <c r="BP538" i="8"/>
  <c r="BO538" i="8"/>
  <c r="BE241" i="8"/>
  <c r="BH241" i="8"/>
  <c r="BF241" i="8"/>
  <c r="BG241" i="8"/>
  <c r="BF80" i="8"/>
  <c r="BG80" i="8"/>
  <c r="BE80" i="8"/>
  <c r="BH80" i="8"/>
  <c r="F193" i="22"/>
  <c r="BE534" i="8"/>
  <c r="BG534" i="8"/>
  <c r="BH534" i="8"/>
  <c r="BF534" i="8"/>
  <c r="BI119" i="8"/>
  <c r="BJ119" i="8"/>
  <c r="BK119" i="8"/>
  <c r="BL119" i="8"/>
  <c r="BM181" i="8"/>
  <c r="BN181" i="8"/>
  <c r="BO181" i="8"/>
  <c r="BP181" i="8"/>
  <c r="BF282" i="8"/>
  <c r="BH282" i="8"/>
  <c r="BE282" i="8"/>
  <c r="BG282" i="8"/>
  <c r="BF399" i="8"/>
  <c r="BE399" i="8"/>
  <c r="BG399" i="8"/>
  <c r="BH399" i="8"/>
  <c r="BJ544" i="8"/>
  <c r="BK544" i="8"/>
  <c r="BL544" i="8"/>
  <c r="BI544" i="8"/>
  <c r="BP190" i="8"/>
  <c r="BN190" i="8"/>
  <c r="BO190" i="8"/>
  <c r="BM190" i="8"/>
  <c r="BE426" i="8"/>
  <c r="BH426" i="8"/>
  <c r="BF426" i="8"/>
  <c r="BG426" i="8"/>
  <c r="BI328" i="8"/>
  <c r="BJ328" i="8"/>
  <c r="BK328" i="8"/>
  <c r="BL328" i="8"/>
  <c r="F203" i="22"/>
  <c r="Q203" i="22" s="1"/>
  <c r="BM213" i="8"/>
  <c r="BN213" i="8"/>
  <c r="BO213" i="8"/>
  <c r="BP213" i="8"/>
  <c r="BL413" i="8"/>
  <c r="BI413" i="8"/>
  <c r="BJ413" i="8"/>
  <c r="BK413" i="8"/>
  <c r="BM19" i="8"/>
  <c r="BN19" i="8"/>
  <c r="BP19" i="8"/>
  <c r="BO19" i="8"/>
  <c r="BH141" i="8"/>
  <c r="BE141" i="8"/>
  <c r="BG141" i="8"/>
  <c r="BF141" i="8"/>
  <c r="E193" i="22"/>
  <c r="BE299" i="8"/>
  <c r="BF299" i="8"/>
  <c r="BH299" i="8"/>
  <c r="BG299" i="8"/>
  <c r="BP509" i="8"/>
  <c r="BO509" i="8"/>
  <c r="BM509" i="8"/>
  <c r="BN509" i="8"/>
  <c r="BL447" i="8"/>
  <c r="BJ447" i="8"/>
  <c r="BK447" i="8"/>
  <c r="BI447" i="8"/>
  <c r="BM31" i="8"/>
  <c r="BN31" i="8"/>
  <c r="BP31" i="8"/>
  <c r="BO31" i="8"/>
  <c r="BE494" i="8"/>
  <c r="BG494" i="8"/>
  <c r="BH494" i="8"/>
  <c r="BF494" i="8"/>
  <c r="BP204" i="8"/>
  <c r="BN204" i="8"/>
  <c r="BM204" i="8"/>
  <c r="BO204" i="8"/>
  <c r="BF315" i="8"/>
  <c r="BG315" i="8"/>
  <c r="BE315" i="8"/>
  <c r="BH315" i="8"/>
  <c r="BE394" i="8"/>
  <c r="BH394" i="8"/>
  <c r="BF394" i="8"/>
  <c r="BG394" i="8"/>
  <c r="BO377" i="8"/>
  <c r="BP377" i="8"/>
  <c r="BM377" i="8"/>
  <c r="BN377" i="8"/>
  <c r="BF16" i="8"/>
  <c r="BG16" i="8"/>
  <c r="BH16" i="8"/>
  <c r="BE16" i="8"/>
  <c r="L193" i="22"/>
  <c r="BN300" i="8"/>
  <c r="BO300" i="8"/>
  <c r="BP300" i="8"/>
  <c r="BM300" i="8"/>
  <c r="BM552" i="8"/>
  <c r="BN552" i="8"/>
  <c r="BO552" i="8"/>
  <c r="BP552" i="8"/>
  <c r="BI438" i="8"/>
  <c r="BJ438" i="8"/>
  <c r="BK438" i="8"/>
  <c r="BL438" i="8"/>
  <c r="BG577" i="8"/>
  <c r="BH577" i="8"/>
  <c r="BF577" i="8"/>
  <c r="BE577" i="8"/>
  <c r="BE211" i="8"/>
  <c r="BF211" i="8"/>
  <c r="BG211" i="8"/>
  <c r="BH211" i="8"/>
  <c r="BH193" i="8"/>
  <c r="BE193" i="8"/>
  <c r="BG193" i="8"/>
  <c r="BF193" i="8"/>
  <c r="BL333" i="8"/>
  <c r="BI333" i="8"/>
  <c r="BK333" i="8"/>
  <c r="BJ333" i="8"/>
  <c r="BM163" i="8"/>
  <c r="BN163" i="8"/>
  <c r="BO163" i="8"/>
  <c r="BP163" i="8"/>
  <c r="BK154" i="8"/>
  <c r="BI154" i="8"/>
  <c r="BJ154" i="8"/>
  <c r="BL154" i="8"/>
  <c r="BI531" i="8"/>
  <c r="BL531" i="8"/>
  <c r="BK531" i="8"/>
  <c r="BJ531" i="8"/>
  <c r="BJ528" i="8"/>
  <c r="BK528" i="8"/>
  <c r="BL528" i="8"/>
  <c r="BI528" i="8"/>
  <c r="BL393" i="8"/>
  <c r="BI393" i="8"/>
  <c r="BJ393" i="8"/>
  <c r="BK393" i="8"/>
  <c r="BK210" i="8"/>
  <c r="BI210" i="8"/>
  <c r="BL210" i="8"/>
  <c r="BJ210" i="8"/>
  <c r="BP46" i="8"/>
  <c r="BM46" i="8"/>
  <c r="BO46" i="8"/>
  <c r="BN46" i="8"/>
  <c r="BK289" i="8"/>
  <c r="BL289" i="8"/>
  <c r="BI289" i="8"/>
  <c r="BJ289" i="8"/>
  <c r="I202" i="22"/>
  <c r="T202" i="22" s="1"/>
  <c r="BE490" i="8"/>
  <c r="BG490" i="8"/>
  <c r="BF490" i="8"/>
  <c r="BH490" i="8"/>
  <c r="BN280" i="8"/>
  <c r="BO280" i="8"/>
  <c r="BM280" i="8"/>
  <c r="BP280" i="8"/>
  <c r="BF134" i="8"/>
  <c r="BG134" i="8"/>
  <c r="BE134" i="8"/>
  <c r="BH134" i="8"/>
  <c r="BI257" i="8"/>
  <c r="BK257" i="8"/>
  <c r="BL257" i="8"/>
  <c r="BJ257" i="8"/>
  <c r="BM15" i="8"/>
  <c r="BN15" i="8"/>
  <c r="BP15" i="8"/>
  <c r="BO15" i="8"/>
  <c r="BM247" i="8"/>
  <c r="BN247" i="8"/>
  <c r="BO247" i="8"/>
  <c r="BP247" i="8"/>
  <c r="BH165" i="8"/>
  <c r="BE165" i="8"/>
  <c r="BG165" i="8"/>
  <c r="BF165" i="8"/>
  <c r="BE79" i="8"/>
  <c r="BH79" i="8"/>
  <c r="BG79" i="8"/>
  <c r="BF79" i="8"/>
  <c r="BN53" i="8"/>
  <c r="BP53" i="8"/>
  <c r="BM53" i="8"/>
  <c r="BO53" i="8"/>
  <c r="L209" i="22"/>
  <c r="W209" i="22" s="1"/>
  <c r="BF515" i="8"/>
  <c r="BH515" i="8"/>
  <c r="BE515" i="8"/>
  <c r="BG515" i="8"/>
  <c r="BL419" i="8"/>
  <c r="BJ419" i="8"/>
  <c r="BK419" i="8"/>
  <c r="BI419" i="8"/>
  <c r="BO303" i="8"/>
  <c r="BP303" i="8"/>
  <c r="BN303" i="8"/>
  <c r="BM303" i="8"/>
  <c r="BM466" i="8"/>
  <c r="BN466" i="8"/>
  <c r="BO466" i="8"/>
  <c r="BP466" i="8"/>
  <c r="BN461" i="8"/>
  <c r="BP461" i="8"/>
  <c r="BO461" i="8"/>
  <c r="BM461" i="8"/>
  <c r="BF503" i="8"/>
  <c r="BE503" i="8"/>
  <c r="BG503" i="8"/>
  <c r="BH503" i="8"/>
  <c r="BN374" i="8"/>
  <c r="BM374" i="8"/>
  <c r="BO374" i="8"/>
  <c r="BP374" i="8"/>
  <c r="BF170" i="8"/>
  <c r="BG170" i="8"/>
  <c r="BE170" i="8"/>
  <c r="BH170" i="8"/>
  <c r="BM91" i="8"/>
  <c r="BN91" i="8"/>
  <c r="BO91" i="8"/>
  <c r="BP91" i="8"/>
  <c r="BI388" i="8"/>
  <c r="BJ388" i="8"/>
  <c r="BK388" i="8"/>
  <c r="BL388" i="8"/>
  <c r="BI460" i="8"/>
  <c r="BJ460" i="8"/>
  <c r="BK460" i="8"/>
  <c r="BL460" i="8"/>
  <c r="BM522" i="8"/>
  <c r="BN522" i="8"/>
  <c r="BP522" i="8"/>
  <c r="BO522" i="8"/>
  <c r="BF258" i="8"/>
  <c r="BH258" i="8"/>
  <c r="BE258" i="8"/>
  <c r="BG258" i="8"/>
  <c r="BP473" i="8"/>
  <c r="BM473" i="8"/>
  <c r="BN473" i="8"/>
  <c r="BO473" i="8"/>
  <c r="BK186" i="8"/>
  <c r="BI186" i="8"/>
  <c r="BJ186" i="8"/>
  <c r="BL186" i="8"/>
  <c r="BF335" i="8"/>
  <c r="BG335" i="8"/>
  <c r="BE335" i="8"/>
  <c r="BH335" i="8"/>
  <c r="BF483" i="8"/>
  <c r="BH483" i="8"/>
  <c r="BG483" i="8"/>
  <c r="BE483" i="8"/>
  <c r="BI404" i="8"/>
  <c r="BJ404" i="8"/>
  <c r="BK404" i="8"/>
  <c r="BL404" i="8"/>
  <c r="BM179" i="8"/>
  <c r="BN179" i="8"/>
  <c r="BO179" i="8"/>
  <c r="BP179" i="8"/>
  <c r="BM420" i="8"/>
  <c r="BN420" i="8"/>
  <c r="BO420" i="8"/>
  <c r="BP420" i="8"/>
  <c r="BF208" i="8"/>
  <c r="BE208" i="8"/>
  <c r="BG208" i="8"/>
  <c r="BH208" i="8"/>
  <c r="BK124" i="8"/>
  <c r="BI124" i="8"/>
  <c r="BJ124" i="8"/>
  <c r="BL124" i="8"/>
  <c r="H203" i="22"/>
  <c r="S203" i="22" s="1"/>
  <c r="BI125" i="8"/>
  <c r="BJ125" i="8"/>
  <c r="BK125" i="8"/>
  <c r="BL125" i="8"/>
  <c r="BF395" i="8"/>
  <c r="BG395" i="8"/>
  <c r="BH395" i="8"/>
  <c r="BE395" i="8"/>
  <c r="BM271" i="8"/>
  <c r="BN271" i="8"/>
  <c r="BO271" i="8"/>
  <c r="BP271" i="8"/>
  <c r="BE430" i="8"/>
  <c r="BF430" i="8"/>
  <c r="BG430" i="8"/>
  <c r="BH430" i="8"/>
  <c r="BM496" i="8"/>
  <c r="BN496" i="8"/>
  <c r="BO496" i="8"/>
  <c r="BP496" i="8"/>
  <c r="BF385" i="8"/>
  <c r="BE385" i="8"/>
  <c r="BG385" i="8"/>
  <c r="BH385" i="8"/>
  <c r="BE448" i="8"/>
  <c r="BF448" i="8"/>
  <c r="BG448" i="8"/>
  <c r="BH448" i="8"/>
  <c r="BI133" i="8"/>
  <c r="BJ133" i="8"/>
  <c r="BK133" i="8"/>
  <c r="BL133" i="8"/>
  <c r="BE340" i="8"/>
  <c r="BF340" i="8"/>
  <c r="BG340" i="8"/>
  <c r="BH340" i="8"/>
  <c r="BL463" i="8"/>
  <c r="BJ463" i="8"/>
  <c r="BK463" i="8"/>
  <c r="BI463" i="8"/>
  <c r="BN294" i="8"/>
  <c r="BM294" i="8"/>
  <c r="BO294" i="8"/>
  <c r="BP294" i="8"/>
  <c r="BK120" i="8"/>
  <c r="BI120" i="8"/>
  <c r="BJ120" i="8"/>
  <c r="BL120" i="8"/>
  <c r="BE366" i="8"/>
  <c r="BF366" i="8"/>
  <c r="BG366" i="8"/>
  <c r="BH366" i="8"/>
  <c r="BE307" i="8"/>
  <c r="BF307" i="8"/>
  <c r="BH307" i="8"/>
  <c r="BG307" i="8"/>
  <c r="BJ566" i="8"/>
  <c r="BK566" i="8"/>
  <c r="BL566" i="8"/>
  <c r="BI566" i="8"/>
  <c r="BP387" i="8"/>
  <c r="BN387" i="8"/>
  <c r="BO387" i="8"/>
  <c r="BM387" i="8"/>
  <c r="BN417" i="8"/>
  <c r="BO417" i="8"/>
  <c r="BP417" i="8"/>
  <c r="BM417" i="8"/>
  <c r="BF527" i="8"/>
  <c r="BE527" i="8"/>
  <c r="BG527" i="8"/>
  <c r="BH527" i="8"/>
  <c r="BI308" i="8"/>
  <c r="BJ308" i="8"/>
  <c r="BK308" i="8"/>
  <c r="BL308" i="8"/>
  <c r="BF182" i="8"/>
  <c r="BG182" i="8"/>
  <c r="BH182" i="8"/>
  <c r="BE182" i="8"/>
  <c r="BF317" i="8"/>
  <c r="BG317" i="8"/>
  <c r="BE317" i="8"/>
  <c r="BH317" i="8"/>
  <c r="BE556" i="8"/>
  <c r="J168" i="22" s="1"/>
  <c r="U168" i="22" s="1"/>
  <c r="BF556" i="8"/>
  <c r="BG556" i="8"/>
  <c r="BH556" i="8"/>
  <c r="BE239" i="8"/>
  <c r="BF239" i="8"/>
  <c r="BG239" i="8"/>
  <c r="BH239" i="8"/>
  <c r="BM161" i="8"/>
  <c r="BN161" i="8"/>
  <c r="BO161" i="8"/>
  <c r="BP161" i="8"/>
  <c r="BI260" i="8"/>
  <c r="BJ260" i="8"/>
  <c r="BK260" i="8"/>
  <c r="BL260" i="8"/>
  <c r="BP196" i="8"/>
  <c r="BN196" i="8"/>
  <c r="BM196" i="8"/>
  <c r="BO196" i="8"/>
  <c r="G208" i="22"/>
  <c r="R208" i="22" s="1"/>
  <c r="BF136" i="8"/>
  <c r="BG136" i="8"/>
  <c r="BE136" i="8"/>
  <c r="BH136" i="8"/>
  <c r="BE279" i="8"/>
  <c r="BH279" i="8"/>
  <c r="BF279" i="8"/>
  <c r="BG279" i="8"/>
  <c r="BN403" i="8"/>
  <c r="BO403" i="8"/>
  <c r="BP403" i="8"/>
  <c r="BM403" i="8"/>
  <c r="BO84" i="8"/>
  <c r="BM84" i="8"/>
  <c r="BN84" i="8"/>
  <c r="BP84" i="8"/>
  <c r="BF443" i="8"/>
  <c r="BH443" i="8"/>
  <c r="BE443" i="8"/>
  <c r="BG443" i="8"/>
  <c r="BE89" i="8"/>
  <c r="BH89" i="8"/>
  <c r="BF89" i="8"/>
  <c r="BG89" i="8"/>
  <c r="BK18" i="8"/>
  <c r="BL18" i="8"/>
  <c r="BI18" i="8"/>
  <c r="BJ18" i="8"/>
  <c r="C201" i="22"/>
  <c r="N201" i="22" s="1"/>
  <c r="BI573" i="8"/>
  <c r="BL573" i="8"/>
  <c r="BJ573" i="8"/>
  <c r="BK573" i="8"/>
  <c r="BF90" i="8"/>
  <c r="BH90" i="8"/>
  <c r="BE90" i="8"/>
  <c r="BG90" i="8"/>
  <c r="BM235" i="8"/>
  <c r="BN235" i="8"/>
  <c r="BO235" i="8"/>
  <c r="BP235" i="8"/>
  <c r="BI264" i="8"/>
  <c r="BJ264" i="8"/>
  <c r="BK264" i="8"/>
  <c r="BL264" i="8"/>
  <c r="BE217" i="8"/>
  <c r="BH217" i="8"/>
  <c r="BF217" i="8"/>
  <c r="BG217" i="8"/>
  <c r="BI292" i="8"/>
  <c r="BJ292" i="8"/>
  <c r="BK292" i="8"/>
  <c r="BL292" i="8"/>
  <c r="I201" i="22"/>
  <c r="T201" i="22" s="1"/>
  <c r="BP206" i="8"/>
  <c r="BN206" i="8"/>
  <c r="BO206" i="8"/>
  <c r="BM206" i="8"/>
  <c r="BM472" i="8"/>
  <c r="BN472" i="8"/>
  <c r="BO472" i="8"/>
  <c r="BP472" i="8"/>
  <c r="BF284" i="8"/>
  <c r="BG284" i="8"/>
  <c r="BH284" i="8"/>
  <c r="BE284" i="8"/>
  <c r="BO166" i="8"/>
  <c r="BN166" i="8"/>
  <c r="BP166" i="8"/>
  <c r="BM166" i="8"/>
  <c r="BP493" i="8"/>
  <c r="BO493" i="8"/>
  <c r="BM493" i="8"/>
  <c r="BN493" i="8"/>
  <c r="BM414" i="8"/>
  <c r="BN414" i="8"/>
  <c r="BP414" i="8"/>
  <c r="BO414" i="8"/>
  <c r="BI262" i="8"/>
  <c r="BJ262" i="8"/>
  <c r="BK262" i="8"/>
  <c r="BL262" i="8"/>
  <c r="BE13" i="8"/>
  <c r="BH13" i="8"/>
  <c r="BG13" i="8"/>
  <c r="BF13" i="8"/>
  <c r="BP561" i="8"/>
  <c r="BM561" i="8"/>
  <c r="BO561" i="8"/>
  <c r="BN561" i="8"/>
  <c r="BH157" i="8"/>
  <c r="BE157" i="8"/>
  <c r="BG157" i="8"/>
  <c r="BF157" i="8"/>
  <c r="BE342" i="8"/>
  <c r="BF342" i="8"/>
  <c r="BG342" i="8"/>
  <c r="BH342" i="8"/>
  <c r="BF272" i="8"/>
  <c r="BE272" i="8"/>
  <c r="BG272" i="8"/>
  <c r="BH272" i="8"/>
  <c r="BF547" i="8"/>
  <c r="BH547" i="8"/>
  <c r="BE547" i="8"/>
  <c r="BG547" i="8"/>
  <c r="BE548" i="8"/>
  <c r="BF548" i="8"/>
  <c r="BG548" i="8"/>
  <c r="BH548" i="8"/>
  <c r="BF194" i="8"/>
  <c r="BG194" i="8"/>
  <c r="BE194" i="8"/>
  <c r="BH194" i="8"/>
  <c r="BP78" i="8"/>
  <c r="BM78" i="8"/>
  <c r="BN78" i="8"/>
  <c r="BO78" i="8"/>
  <c r="BP499" i="8"/>
  <c r="BM499" i="8"/>
  <c r="BN499" i="8"/>
  <c r="BO499" i="8"/>
  <c r="BM109" i="8"/>
  <c r="BN109" i="8"/>
  <c r="BO109" i="8"/>
  <c r="BP109" i="8"/>
  <c r="BM570" i="8"/>
  <c r="BN570" i="8"/>
  <c r="BP570" i="8"/>
  <c r="BO570" i="8"/>
  <c r="BM516" i="8"/>
  <c r="BN516" i="8"/>
  <c r="BO516" i="8"/>
  <c r="BP516" i="8"/>
  <c r="BO140" i="8"/>
  <c r="BM140" i="8"/>
  <c r="BN140" i="8"/>
  <c r="BP140" i="8"/>
  <c r="F208" i="22"/>
  <c r="Q208" i="22" s="1"/>
  <c r="BF242" i="8"/>
  <c r="BH242" i="8"/>
  <c r="BE242" i="8"/>
  <c r="BG242" i="8"/>
  <c r="BE356" i="8"/>
  <c r="BF356" i="8"/>
  <c r="BH356" i="8"/>
  <c r="BG356" i="8"/>
  <c r="BJ540" i="8"/>
  <c r="BK540" i="8"/>
  <c r="BL540" i="8"/>
  <c r="BI540" i="8"/>
  <c r="BJ474" i="8"/>
  <c r="BK474" i="8"/>
  <c r="BL474" i="8"/>
  <c r="BI474" i="8"/>
  <c r="BI223" i="8"/>
  <c r="BJ223" i="8"/>
  <c r="BK223" i="8"/>
  <c r="BL223" i="8"/>
  <c r="BO174" i="8"/>
  <c r="BN174" i="8"/>
  <c r="BP174" i="8"/>
  <c r="BM174" i="8"/>
  <c r="BI386" i="8"/>
  <c r="BJ386" i="8"/>
  <c r="BK386" i="8"/>
  <c r="BL386" i="8"/>
  <c r="BF379" i="8"/>
  <c r="BE379" i="8"/>
  <c r="BG379" i="8"/>
  <c r="BH379" i="8"/>
  <c r="BJ469" i="8"/>
  <c r="BK469" i="8"/>
  <c r="BL469" i="8"/>
  <c r="BI469" i="8"/>
  <c r="BI75" i="8"/>
  <c r="BJ75" i="8"/>
  <c r="BK75" i="8"/>
  <c r="BL75" i="8"/>
  <c r="BP539" i="8"/>
  <c r="BN539" i="8"/>
  <c r="BO539" i="8"/>
  <c r="BM539" i="8"/>
  <c r="BO367" i="8"/>
  <c r="BP367" i="8"/>
  <c r="BN367" i="8"/>
  <c r="BM367" i="8"/>
  <c r="BP551" i="8"/>
  <c r="BN551" i="8"/>
  <c r="BO551" i="8"/>
  <c r="BM551" i="8"/>
  <c r="BE99" i="8"/>
  <c r="BH99" i="8"/>
  <c r="BF99" i="8"/>
  <c r="BG99" i="8"/>
  <c r="BJ504" i="8"/>
  <c r="BK504" i="8"/>
  <c r="BL504" i="8"/>
  <c r="BI504" i="8"/>
  <c r="BK158" i="8"/>
  <c r="BI158" i="8"/>
  <c r="BJ158" i="8"/>
  <c r="BL158" i="8"/>
  <c r="BK261" i="8"/>
  <c r="BL261" i="8"/>
  <c r="BI261" i="8"/>
  <c r="BJ261" i="8"/>
  <c r="BE55" i="8"/>
  <c r="BH55" i="8"/>
  <c r="BG55" i="8"/>
  <c r="BF55" i="8"/>
  <c r="BO130" i="8"/>
  <c r="BN130" i="8"/>
  <c r="BP130" i="8"/>
  <c r="BM130" i="8"/>
  <c r="BP68" i="8"/>
  <c r="BM68" i="8"/>
  <c r="BN68" i="8"/>
  <c r="BO68" i="8"/>
  <c r="BE71" i="8"/>
  <c r="BH71" i="8"/>
  <c r="BG71" i="8"/>
  <c r="BF71" i="8"/>
  <c r="BN429" i="8"/>
  <c r="BO429" i="8"/>
  <c r="BP429" i="8"/>
  <c r="BM429" i="8"/>
  <c r="BO142" i="8"/>
  <c r="BN142" i="8"/>
  <c r="BP142" i="8"/>
  <c r="BM142" i="8"/>
  <c r="BI318" i="8"/>
  <c r="BJ318" i="8"/>
  <c r="BK318" i="8"/>
  <c r="BL318" i="8"/>
  <c r="BI456" i="8"/>
  <c r="BJ456" i="8"/>
  <c r="BK456" i="8"/>
  <c r="BL456" i="8"/>
  <c r="BL341" i="8"/>
  <c r="BI341" i="8"/>
  <c r="BK341" i="8"/>
  <c r="BJ341" i="8"/>
  <c r="BN282" i="8"/>
  <c r="BM282" i="8"/>
  <c r="BO282" i="8"/>
  <c r="BP282" i="8"/>
  <c r="BF369" i="8"/>
  <c r="BG369" i="8"/>
  <c r="BH369" i="8"/>
  <c r="BE369" i="8"/>
  <c r="BF266" i="8"/>
  <c r="BH266" i="8"/>
  <c r="BE266" i="8"/>
  <c r="C163" i="22" s="1"/>
  <c r="BG266" i="8"/>
  <c r="BP226" i="8"/>
  <c r="BN226" i="8"/>
  <c r="BM226" i="8"/>
  <c r="BO226" i="8"/>
  <c r="BI442" i="8"/>
  <c r="BJ442" i="8"/>
  <c r="BK442" i="8"/>
  <c r="BL442" i="8"/>
  <c r="BO148" i="8"/>
  <c r="BM148" i="8"/>
  <c r="BN148" i="8"/>
  <c r="BP148" i="8"/>
  <c r="BE37" i="8"/>
  <c r="BH37" i="8"/>
  <c r="BF37" i="8"/>
  <c r="BG37" i="8"/>
  <c r="BN310" i="8"/>
  <c r="BM310" i="8"/>
  <c r="BO310" i="8"/>
  <c r="BP310" i="8"/>
  <c r="BI241" i="8"/>
  <c r="BK241" i="8"/>
  <c r="BL241" i="8"/>
  <c r="BJ241" i="8"/>
  <c r="BP80" i="8"/>
  <c r="BM80" i="8"/>
  <c r="BN80" i="8"/>
  <c r="BO80" i="8"/>
  <c r="F207" i="22"/>
  <c r="BE528" i="8"/>
  <c r="BF528" i="8"/>
  <c r="BG528" i="8"/>
  <c r="BH528" i="8"/>
  <c r="BF52" i="8"/>
  <c r="BG52" i="8"/>
  <c r="BH52" i="8"/>
  <c r="BE52" i="8"/>
  <c r="BP391" i="8"/>
  <c r="BM391" i="8"/>
  <c r="BO391" i="8"/>
  <c r="BN391" i="8"/>
  <c r="BM205" i="8"/>
  <c r="BN205" i="8"/>
  <c r="BO205" i="8"/>
  <c r="BP205" i="8"/>
  <c r="BN276" i="8"/>
  <c r="BM276" i="8"/>
  <c r="BO276" i="8"/>
  <c r="BP276" i="8"/>
  <c r="BM229" i="8"/>
  <c r="BN229" i="8"/>
  <c r="BO229" i="8"/>
  <c r="BP229" i="8"/>
  <c r="BI294" i="8"/>
  <c r="BJ294" i="8"/>
  <c r="BK294" i="8"/>
  <c r="BL294" i="8"/>
  <c r="BK62" i="8"/>
  <c r="BI62" i="8"/>
  <c r="BJ62" i="8"/>
  <c r="BL62" i="8"/>
  <c r="K201" i="22"/>
  <c r="V201" i="22" s="1"/>
  <c r="BP399" i="8"/>
  <c r="BM399" i="8"/>
  <c r="BN399" i="8"/>
  <c r="BO399" i="8"/>
  <c r="BI233" i="8"/>
  <c r="BJ233" i="8"/>
  <c r="BK233" i="8"/>
  <c r="BL233" i="8"/>
  <c r="BM512" i="8"/>
  <c r="BN512" i="8"/>
  <c r="BO512" i="8"/>
  <c r="BP512" i="8"/>
  <c r="H205" i="21"/>
  <c r="H414" i="21"/>
  <c r="H627" i="21"/>
  <c r="D195" i="21"/>
  <c r="M195" i="21" s="1"/>
  <c r="D403" i="21"/>
  <c r="D616" i="21"/>
  <c r="Q402" i="21"/>
  <c r="BO168" i="8"/>
  <c r="BM168" i="8"/>
  <c r="BN168" i="8"/>
  <c r="BP168" i="8"/>
  <c r="BN457" i="8"/>
  <c r="BP457" i="8"/>
  <c r="BO457" i="8"/>
  <c r="BM457" i="8"/>
  <c r="BL415" i="8"/>
  <c r="BJ415" i="8"/>
  <c r="BK415" i="8"/>
  <c r="BI415" i="8"/>
  <c r="BF46" i="8"/>
  <c r="BG46" i="8"/>
  <c r="BH46" i="8"/>
  <c r="BE46" i="8"/>
  <c r="BH167" i="8"/>
  <c r="BE167" i="8"/>
  <c r="BF167" i="8"/>
  <c r="BG167" i="8"/>
  <c r="BE388" i="8"/>
  <c r="BF388" i="8"/>
  <c r="BG388" i="8"/>
  <c r="BH388" i="8"/>
  <c r="BI179" i="8"/>
  <c r="BJ179" i="8"/>
  <c r="BK179" i="8"/>
  <c r="BL179" i="8"/>
  <c r="BI430" i="8"/>
  <c r="BJ430" i="8"/>
  <c r="BK430" i="8"/>
  <c r="BL430" i="8"/>
  <c r="BM261" i="8"/>
  <c r="BN261" i="8"/>
  <c r="BO261" i="8"/>
  <c r="BP261" i="8"/>
  <c r="BN419" i="8"/>
  <c r="BO419" i="8"/>
  <c r="BP419" i="8"/>
  <c r="BM419" i="8"/>
  <c r="BK84" i="8"/>
  <c r="BI84" i="8"/>
  <c r="BJ84" i="8"/>
  <c r="BL84" i="8"/>
  <c r="BM217" i="8"/>
  <c r="BN217" i="8"/>
  <c r="BO217" i="8"/>
  <c r="BP217" i="8"/>
  <c r="BE233" i="8"/>
  <c r="BH233" i="8"/>
  <c r="BF233" i="8"/>
  <c r="BG233" i="8"/>
  <c r="BK194" i="8"/>
  <c r="BI194" i="8"/>
  <c r="BJ194" i="8"/>
  <c r="BL194" i="8"/>
  <c r="BI242" i="8"/>
  <c r="BJ242" i="8"/>
  <c r="BK242" i="8"/>
  <c r="BL242" i="8"/>
  <c r="BM454" i="8"/>
  <c r="L185" i="22" s="1"/>
  <c r="BN454" i="8"/>
  <c r="BP454" i="8"/>
  <c r="BO454" i="8"/>
  <c r="BE285" i="8"/>
  <c r="BG285" i="8"/>
  <c r="BH285" i="8"/>
  <c r="BF285" i="8"/>
  <c r="BL429" i="8"/>
  <c r="BI429" i="8"/>
  <c r="BK429" i="8"/>
  <c r="BJ429" i="8"/>
  <c r="BE456" i="8"/>
  <c r="BF456" i="8"/>
  <c r="BG456" i="8"/>
  <c r="BH456" i="8"/>
  <c r="BI282" i="8"/>
  <c r="BJ282" i="8"/>
  <c r="BK282" i="8"/>
  <c r="BL282" i="8"/>
  <c r="BP266" i="8"/>
  <c r="BN266" i="8"/>
  <c r="BM266" i="8"/>
  <c r="C183" i="22" s="1"/>
  <c r="BO266" i="8"/>
  <c r="BE442" i="8"/>
  <c r="BF442" i="8"/>
  <c r="BH442" i="8"/>
  <c r="BG442" i="8"/>
  <c r="BI314" i="8"/>
  <c r="BJ314" i="8"/>
  <c r="BK314" i="8"/>
  <c r="BL314" i="8"/>
  <c r="BM135" i="8"/>
  <c r="BN135" i="8"/>
  <c r="BO135" i="8"/>
  <c r="BP135" i="8"/>
  <c r="I210" i="22"/>
  <c r="T210" i="22" s="1"/>
  <c r="BI87" i="8"/>
  <c r="BJ87" i="8"/>
  <c r="BK87" i="8"/>
  <c r="BL87" i="8"/>
  <c r="BF190" i="8"/>
  <c r="BG190" i="8"/>
  <c r="BH190" i="8"/>
  <c r="BE190" i="8"/>
  <c r="BI567" i="8"/>
  <c r="BL567" i="8"/>
  <c r="BJ567" i="8"/>
  <c r="BK567" i="8"/>
  <c r="BE328" i="8"/>
  <c r="BH328" i="8"/>
  <c r="BF328" i="8"/>
  <c r="BG328" i="8"/>
  <c r="F196" i="22"/>
  <c r="Q196" i="22" s="1"/>
  <c r="BI276" i="8"/>
  <c r="BJ276" i="8"/>
  <c r="BK276" i="8"/>
  <c r="BL276" i="8"/>
  <c r="BN413" i="8"/>
  <c r="BO413" i="8"/>
  <c r="BP413" i="8"/>
  <c r="BM413" i="8"/>
  <c r="BI382" i="8"/>
  <c r="BJ382" i="8"/>
  <c r="BK382" i="8"/>
  <c r="BL382" i="8"/>
  <c r="BO94" i="8"/>
  <c r="BN94" i="8"/>
  <c r="BP94" i="8"/>
  <c r="BM94" i="8"/>
  <c r="BO299" i="8"/>
  <c r="BP299" i="8"/>
  <c r="BN299" i="8"/>
  <c r="BM299" i="8"/>
  <c r="BI509" i="8"/>
  <c r="BL509" i="8"/>
  <c r="BJ509" i="8"/>
  <c r="BK509" i="8"/>
  <c r="BN447" i="8"/>
  <c r="BP447" i="8"/>
  <c r="BM447" i="8"/>
  <c r="BO447" i="8"/>
  <c r="BI489" i="8"/>
  <c r="BL489" i="8"/>
  <c r="BJ489" i="8"/>
  <c r="BK489" i="8"/>
  <c r="BL439" i="8"/>
  <c r="BJ439" i="8"/>
  <c r="BK439" i="8"/>
  <c r="BI439" i="8"/>
  <c r="BF204" i="8"/>
  <c r="BG204" i="8"/>
  <c r="BE204" i="8"/>
  <c r="BH204" i="8"/>
  <c r="BO315" i="8"/>
  <c r="BP315" i="8"/>
  <c r="BN315" i="8"/>
  <c r="BM315" i="8"/>
  <c r="BI394" i="8"/>
  <c r="BJ394" i="8"/>
  <c r="BK394" i="8"/>
  <c r="BL394" i="8"/>
  <c r="BI77" i="8"/>
  <c r="BJ77" i="8"/>
  <c r="BK77" i="8"/>
  <c r="BL77" i="8"/>
  <c r="H202" i="22"/>
  <c r="S202" i="22" s="1"/>
  <c r="BP16" i="8"/>
  <c r="BM16" i="8"/>
  <c r="BN16" i="8"/>
  <c r="BO16" i="8"/>
  <c r="L207" i="22"/>
  <c r="BF339" i="8"/>
  <c r="BG339" i="8"/>
  <c r="BE339" i="8"/>
  <c r="BH339" i="8"/>
  <c r="BE552" i="8"/>
  <c r="BG552" i="8"/>
  <c r="BH552" i="8"/>
  <c r="BF552" i="8"/>
  <c r="BK34" i="8"/>
  <c r="BL34" i="8"/>
  <c r="BI34" i="8"/>
  <c r="BJ34" i="8"/>
  <c r="BI577" i="8"/>
  <c r="BL577" i="8"/>
  <c r="BK577" i="8"/>
  <c r="BJ577" i="8"/>
  <c r="BE219" i="8"/>
  <c r="BF219" i="8"/>
  <c r="BG219" i="8"/>
  <c r="BH219" i="8"/>
  <c r="BK216" i="8"/>
  <c r="BI216" i="8"/>
  <c r="E173" i="22" s="1"/>
  <c r="BJ216" i="8"/>
  <c r="BL216" i="8"/>
  <c r="BF333" i="8"/>
  <c r="BG333" i="8"/>
  <c r="BE333" i="8"/>
  <c r="BH333" i="8"/>
  <c r="BF192" i="8"/>
  <c r="BG192" i="8"/>
  <c r="BE192" i="8"/>
  <c r="BH192" i="8"/>
  <c r="BO154" i="8"/>
  <c r="BN154" i="8"/>
  <c r="BP154" i="8"/>
  <c r="BM154" i="8"/>
  <c r="BP531" i="8"/>
  <c r="BN531" i="8"/>
  <c r="BM531" i="8"/>
  <c r="BO531" i="8"/>
  <c r="BM528" i="8"/>
  <c r="BN528" i="8"/>
  <c r="BO528" i="8"/>
  <c r="BP528" i="8"/>
  <c r="BP393" i="8"/>
  <c r="BM393" i="8"/>
  <c r="BN393" i="8"/>
  <c r="BO393" i="8"/>
  <c r="BF210" i="8"/>
  <c r="BH210" i="8"/>
  <c r="BG210" i="8"/>
  <c r="BE210" i="8"/>
  <c r="BK46" i="8"/>
  <c r="BI46" i="8"/>
  <c r="BJ46" i="8"/>
  <c r="BL46" i="8"/>
  <c r="BE289" i="8"/>
  <c r="BF289" i="8"/>
  <c r="BG289" i="8"/>
  <c r="BH289" i="8"/>
  <c r="I195" i="22"/>
  <c r="T195" i="22" s="1"/>
  <c r="BM490" i="8"/>
  <c r="BN490" i="8"/>
  <c r="BP490" i="8"/>
  <c r="BO490" i="8"/>
  <c r="BM418" i="8"/>
  <c r="BN418" i="8"/>
  <c r="BP418" i="8"/>
  <c r="BO418" i="8"/>
  <c r="BO134" i="8"/>
  <c r="BN134" i="8"/>
  <c r="BP134" i="8"/>
  <c r="BM134" i="8"/>
  <c r="BM257" i="8"/>
  <c r="BN257" i="8"/>
  <c r="BO257" i="8"/>
  <c r="BP257" i="8"/>
  <c r="BE566" i="8"/>
  <c r="BF566" i="8"/>
  <c r="BG566" i="8"/>
  <c r="BH566" i="8"/>
  <c r="BE21" i="8"/>
  <c r="BH21" i="8"/>
  <c r="BF21" i="8"/>
  <c r="BG21" i="8"/>
  <c r="J195" i="22"/>
  <c r="U195" i="22" s="1"/>
  <c r="BM165" i="8"/>
  <c r="BN165" i="8"/>
  <c r="BO165" i="8"/>
  <c r="BP165" i="8"/>
  <c r="BK281" i="8"/>
  <c r="BL281" i="8"/>
  <c r="BI281" i="8"/>
  <c r="BJ281" i="8"/>
  <c r="BE53" i="8"/>
  <c r="BH53" i="8"/>
  <c r="BG53" i="8"/>
  <c r="BF53" i="8"/>
  <c r="L195" i="22"/>
  <c r="W195" i="22" s="1"/>
  <c r="BI515" i="8"/>
  <c r="BL515" i="8"/>
  <c r="BK515" i="8"/>
  <c r="BJ515" i="8"/>
  <c r="BN409" i="8"/>
  <c r="BO409" i="8"/>
  <c r="BP409" i="8"/>
  <c r="BM409" i="8"/>
  <c r="BK303" i="8"/>
  <c r="BL303" i="8"/>
  <c r="BI303" i="8"/>
  <c r="BJ303" i="8"/>
  <c r="BK301" i="8"/>
  <c r="BL301" i="8"/>
  <c r="BI301" i="8"/>
  <c r="BJ301" i="8"/>
  <c r="BL461" i="8"/>
  <c r="BI461" i="8"/>
  <c r="BK461" i="8"/>
  <c r="BJ461" i="8"/>
  <c r="BE488" i="8"/>
  <c r="BG488" i="8"/>
  <c r="BH488" i="8"/>
  <c r="BF488" i="8"/>
  <c r="BK136" i="8"/>
  <c r="BI136" i="8"/>
  <c r="BJ136" i="8"/>
  <c r="BL136" i="8"/>
  <c r="BE358" i="8"/>
  <c r="BF358" i="8"/>
  <c r="BG358" i="8"/>
  <c r="BH358" i="8"/>
  <c r="BE336" i="8"/>
  <c r="BF336" i="8"/>
  <c r="BG336" i="8"/>
  <c r="BH336" i="8"/>
  <c r="G195" i="22"/>
  <c r="R195" i="22" s="1"/>
  <c r="BM388" i="8"/>
  <c r="BN388" i="8"/>
  <c r="BO388" i="8"/>
  <c r="BP388" i="8"/>
  <c r="BM460" i="8"/>
  <c r="BN460" i="8"/>
  <c r="BO460" i="8"/>
  <c r="BP460" i="8"/>
  <c r="BF220" i="8"/>
  <c r="BG220" i="8"/>
  <c r="BE220" i="8"/>
  <c r="BH220" i="8"/>
  <c r="BP258" i="8"/>
  <c r="BN258" i="8"/>
  <c r="BO258" i="8"/>
  <c r="BM258" i="8"/>
  <c r="BN69" i="8"/>
  <c r="BP69" i="8"/>
  <c r="BO69" i="8"/>
  <c r="BM69" i="8"/>
  <c r="J185" i="22" s="1"/>
  <c r="U185" i="22" s="1"/>
  <c r="BF186" i="8"/>
  <c r="BG186" i="8"/>
  <c r="BE186" i="8"/>
  <c r="BH186" i="8"/>
  <c r="BO335" i="8"/>
  <c r="BP335" i="8"/>
  <c r="BN335" i="8"/>
  <c r="BM335" i="8"/>
  <c r="BI483" i="8"/>
  <c r="BL483" i="8"/>
  <c r="BK483" i="8"/>
  <c r="BJ483" i="8"/>
  <c r="BF74" i="8"/>
  <c r="BH74" i="8"/>
  <c r="BE74" i="8"/>
  <c r="BG74" i="8"/>
  <c r="J194" i="22"/>
  <c r="U194" i="22" s="1"/>
  <c r="BE524" i="8"/>
  <c r="BF524" i="8"/>
  <c r="BG524" i="8"/>
  <c r="BH524" i="8"/>
  <c r="BM568" i="8"/>
  <c r="BN568" i="8"/>
  <c r="BO568" i="8"/>
  <c r="BP568" i="8"/>
  <c r="BP208" i="8"/>
  <c r="BN208" i="8"/>
  <c r="BO208" i="8"/>
  <c r="BM208" i="8"/>
  <c r="BF124" i="8"/>
  <c r="BG124" i="8"/>
  <c r="BE124" i="8"/>
  <c r="BH124" i="8"/>
  <c r="H196" i="22"/>
  <c r="S196" i="22" s="1"/>
  <c r="BF417" i="8"/>
  <c r="BE417" i="8"/>
  <c r="BG417" i="8"/>
  <c r="BH417" i="8"/>
  <c r="BL395" i="8"/>
  <c r="BJ395" i="8"/>
  <c r="BK395" i="8"/>
  <c r="BI395" i="8"/>
  <c r="BF308" i="8"/>
  <c r="BE308" i="8"/>
  <c r="BG308" i="8"/>
  <c r="BH308" i="8"/>
  <c r="BK110" i="8"/>
  <c r="BI110" i="8"/>
  <c r="BJ110" i="8"/>
  <c r="BL110" i="8"/>
  <c r="BI511" i="8"/>
  <c r="BL511" i="8"/>
  <c r="BK511" i="8"/>
  <c r="BJ511" i="8"/>
  <c r="BH155" i="8"/>
  <c r="BE155" i="8"/>
  <c r="BF155" i="8"/>
  <c r="BG155" i="8"/>
  <c r="BI448" i="8"/>
  <c r="BJ448" i="8"/>
  <c r="BK448" i="8"/>
  <c r="BL448" i="8"/>
  <c r="BJ572" i="8"/>
  <c r="BK572" i="8"/>
  <c r="BL572" i="8"/>
  <c r="BI572" i="8"/>
  <c r="BN340" i="8"/>
  <c r="BM340" i="8"/>
  <c r="BO340" i="8"/>
  <c r="BP340" i="8"/>
  <c r="BP463" i="8"/>
  <c r="BM463" i="8"/>
  <c r="BN463" i="8"/>
  <c r="BO463" i="8"/>
  <c r="BF294" i="8"/>
  <c r="BG294" i="8"/>
  <c r="BE294" i="8"/>
  <c r="BH294" i="8"/>
  <c r="BE436" i="8"/>
  <c r="BF436" i="8"/>
  <c r="BH436" i="8"/>
  <c r="BG436" i="8"/>
  <c r="BI366" i="8"/>
  <c r="BJ366" i="8"/>
  <c r="BK366" i="8"/>
  <c r="BL366" i="8"/>
  <c r="BO307" i="8"/>
  <c r="BP307" i="8"/>
  <c r="BM307" i="8"/>
  <c r="BN307" i="8"/>
  <c r="BE354" i="8"/>
  <c r="BG354" i="8"/>
  <c r="BH354" i="8"/>
  <c r="BF354" i="8"/>
  <c r="BF479" i="8"/>
  <c r="BE479" i="8"/>
  <c r="BG479" i="8"/>
  <c r="BH479" i="8"/>
  <c r="BI151" i="8"/>
  <c r="BJ151" i="8"/>
  <c r="BK151" i="8"/>
  <c r="BL151" i="8"/>
  <c r="BF465" i="8"/>
  <c r="BE465" i="8"/>
  <c r="BG465" i="8"/>
  <c r="BH465" i="8"/>
  <c r="BK182" i="8"/>
  <c r="BI182" i="8"/>
  <c r="BJ182" i="8"/>
  <c r="BL182" i="8"/>
  <c r="BO317" i="8"/>
  <c r="BP317" i="8"/>
  <c r="BM317" i="8"/>
  <c r="BN317" i="8"/>
  <c r="BM556" i="8"/>
  <c r="J188" i="22" s="1"/>
  <c r="BN556" i="8"/>
  <c r="BO556" i="8"/>
  <c r="BP556" i="8"/>
  <c r="BI239" i="8"/>
  <c r="BJ239" i="8"/>
  <c r="BK239" i="8"/>
  <c r="BL239" i="8"/>
  <c r="BE213" i="8"/>
  <c r="BG213" i="8"/>
  <c r="BH213" i="8"/>
  <c r="BF213" i="8"/>
  <c r="BP260" i="8"/>
  <c r="BN260" i="8"/>
  <c r="BM260" i="8"/>
  <c r="BO260" i="8"/>
  <c r="BK196" i="8"/>
  <c r="BI196" i="8"/>
  <c r="BL196" i="8"/>
  <c r="BJ196" i="8"/>
  <c r="G201" i="22"/>
  <c r="R201" i="22" s="1"/>
  <c r="BO136" i="8"/>
  <c r="BM136" i="8"/>
  <c r="BN136" i="8"/>
  <c r="BP136" i="8"/>
  <c r="BK279" i="8"/>
  <c r="BL279" i="8"/>
  <c r="BI279" i="8"/>
  <c r="BJ279" i="8"/>
  <c r="BN288" i="8"/>
  <c r="BM288" i="8"/>
  <c r="BO288" i="8"/>
  <c r="BP288" i="8"/>
  <c r="BH84" i="8"/>
  <c r="BE84" i="8"/>
  <c r="BG84" i="8"/>
  <c r="BF84" i="8"/>
  <c r="BI272" i="8"/>
  <c r="BJ272" i="8"/>
  <c r="BK272" i="8"/>
  <c r="BL272" i="8"/>
  <c r="BM89" i="8"/>
  <c r="BN89" i="8"/>
  <c r="BO89" i="8"/>
  <c r="BP89" i="8"/>
  <c r="BF18" i="8"/>
  <c r="BG18" i="8"/>
  <c r="BH18" i="8"/>
  <c r="BE18" i="8"/>
  <c r="C194" i="22"/>
  <c r="N194" i="22" s="1"/>
  <c r="BE370" i="8"/>
  <c r="BG370" i="8"/>
  <c r="BH370" i="8"/>
  <c r="BF370" i="8"/>
  <c r="BK90" i="8"/>
  <c r="BI90" i="8"/>
  <c r="BJ90" i="8"/>
  <c r="BL90" i="8"/>
  <c r="BF381" i="8"/>
  <c r="BG381" i="8"/>
  <c r="BH381" i="8"/>
  <c r="BE381" i="8"/>
  <c r="BP264" i="8"/>
  <c r="BN264" i="8"/>
  <c r="BM264" i="8"/>
  <c r="BO264" i="8"/>
  <c r="BE97" i="8"/>
  <c r="BH97" i="8"/>
  <c r="BF97" i="8"/>
  <c r="BG97" i="8"/>
  <c r="BJ550" i="8"/>
  <c r="BK550" i="8"/>
  <c r="BL550" i="8"/>
  <c r="BI550" i="8"/>
  <c r="BI316" i="8"/>
  <c r="BJ316" i="8"/>
  <c r="BK316" i="8"/>
  <c r="BL316" i="8"/>
  <c r="BI472" i="8"/>
  <c r="BJ472" i="8"/>
  <c r="BK472" i="8"/>
  <c r="BL472" i="8"/>
  <c r="BL339" i="8"/>
  <c r="BJ339" i="8"/>
  <c r="BK339" i="8"/>
  <c r="BI339" i="8"/>
  <c r="BF166" i="8"/>
  <c r="BG166" i="8"/>
  <c r="BE166" i="8"/>
  <c r="BH166" i="8"/>
  <c r="BF529" i="8"/>
  <c r="BE529" i="8"/>
  <c r="BG529" i="8"/>
  <c r="BH529" i="8"/>
  <c r="BE414" i="8"/>
  <c r="BF414" i="8"/>
  <c r="BG414" i="8"/>
  <c r="BH414" i="8"/>
  <c r="BP262" i="8"/>
  <c r="BN262" i="8"/>
  <c r="BO262" i="8"/>
  <c r="BM262" i="8"/>
  <c r="BM468" i="8"/>
  <c r="BN468" i="8"/>
  <c r="BO468" i="8"/>
  <c r="BP468" i="8"/>
  <c r="BI336" i="8"/>
  <c r="BJ336" i="8"/>
  <c r="BK336" i="8"/>
  <c r="BL336" i="8"/>
  <c r="G202" i="22"/>
  <c r="R202" i="22" s="1"/>
  <c r="BI157" i="8"/>
  <c r="BJ157" i="8"/>
  <c r="BK157" i="8"/>
  <c r="BL157" i="8"/>
  <c r="BI342" i="8"/>
  <c r="BJ342" i="8"/>
  <c r="BK342" i="8"/>
  <c r="BL342" i="8"/>
  <c r="BP272" i="8"/>
  <c r="BN272" i="8"/>
  <c r="BO272" i="8"/>
  <c r="BM272" i="8"/>
  <c r="BI547" i="8"/>
  <c r="BL547" i="8"/>
  <c r="BK547" i="8"/>
  <c r="BJ547" i="8"/>
  <c r="BJ548" i="8"/>
  <c r="BK548" i="8"/>
  <c r="BL548" i="8"/>
  <c r="BI548" i="8"/>
  <c r="BP194" i="8"/>
  <c r="BN194" i="8"/>
  <c r="BO194" i="8"/>
  <c r="BM194" i="8"/>
  <c r="BK78" i="8"/>
  <c r="BI78" i="8"/>
  <c r="BJ78" i="8"/>
  <c r="BL78" i="8"/>
  <c r="BK150" i="8"/>
  <c r="BI150" i="8"/>
  <c r="BJ150" i="8"/>
  <c r="BL150" i="8"/>
  <c r="BE109" i="8"/>
  <c r="BH109" i="8"/>
  <c r="BG109" i="8"/>
  <c r="BF109" i="8"/>
  <c r="BK293" i="8"/>
  <c r="BL293" i="8"/>
  <c r="BI293" i="8"/>
  <c r="BJ293" i="8"/>
  <c r="BK267" i="8"/>
  <c r="BL267" i="8"/>
  <c r="BI267" i="8"/>
  <c r="BJ267" i="8"/>
  <c r="D203" i="22"/>
  <c r="O203" i="22" s="1"/>
  <c r="BE532" i="8"/>
  <c r="BF532" i="8"/>
  <c r="BG532" i="8"/>
  <c r="BH532" i="8"/>
  <c r="BP242" i="8"/>
  <c r="BN242" i="8"/>
  <c r="BO242" i="8"/>
  <c r="BM242" i="8"/>
  <c r="BI356" i="8"/>
  <c r="BJ356" i="8"/>
  <c r="BK356" i="8"/>
  <c r="BL356" i="8"/>
  <c r="BH137" i="8"/>
  <c r="BE137" i="8"/>
  <c r="BG137" i="8"/>
  <c r="BF137" i="8"/>
  <c r="BM474" i="8"/>
  <c r="BN474" i="8"/>
  <c r="BP474" i="8"/>
  <c r="BO474" i="8"/>
  <c r="BM223" i="8"/>
  <c r="BN223" i="8"/>
  <c r="BO223" i="8"/>
  <c r="BP223" i="8"/>
  <c r="BK174" i="8"/>
  <c r="BI174" i="8"/>
  <c r="BJ174" i="8"/>
  <c r="BL174" i="8"/>
  <c r="BO104" i="8"/>
  <c r="BM104" i="8"/>
  <c r="BN104" i="8"/>
  <c r="BP104" i="8"/>
  <c r="BL379" i="8"/>
  <c r="BJ379" i="8"/>
  <c r="BK379" i="8"/>
  <c r="BI379" i="8"/>
  <c r="BF469" i="8"/>
  <c r="BE469" i="8"/>
  <c r="BG469" i="8"/>
  <c r="BH469" i="8"/>
  <c r="BK287" i="8"/>
  <c r="BL287" i="8"/>
  <c r="BI287" i="8"/>
  <c r="BJ287" i="8"/>
  <c r="BI288" i="8"/>
  <c r="BJ288" i="8"/>
  <c r="BK288" i="8"/>
  <c r="BL288" i="8"/>
  <c r="BH76" i="8"/>
  <c r="BE76" i="8"/>
  <c r="BF76" i="8"/>
  <c r="BG76" i="8"/>
  <c r="BF551" i="8"/>
  <c r="BE551" i="8"/>
  <c r="BH551" i="8"/>
  <c r="BG551" i="8"/>
  <c r="BI99" i="8"/>
  <c r="BJ99" i="8"/>
  <c r="BK99" i="8"/>
  <c r="BL99" i="8"/>
  <c r="BM504" i="8"/>
  <c r="BN504" i="8"/>
  <c r="BO504" i="8"/>
  <c r="BP504" i="8"/>
  <c r="BF158" i="8"/>
  <c r="BG158" i="8"/>
  <c r="BE158" i="8"/>
  <c r="BH158" i="8"/>
  <c r="BE368" i="8"/>
  <c r="BF368" i="8"/>
  <c r="BG368" i="8"/>
  <c r="BH368" i="8"/>
  <c r="BE27" i="8"/>
  <c r="BH27" i="8"/>
  <c r="BG27" i="8"/>
  <c r="BF27" i="8"/>
  <c r="BF130" i="8"/>
  <c r="BG130" i="8"/>
  <c r="BE130" i="8"/>
  <c r="BH130" i="8"/>
  <c r="BF445" i="8"/>
  <c r="BH445" i="8"/>
  <c r="BG445" i="8"/>
  <c r="BE445" i="8"/>
  <c r="BI71" i="8"/>
  <c r="BJ71" i="8"/>
  <c r="BK71" i="8"/>
  <c r="BL71" i="8"/>
  <c r="BF429" i="8"/>
  <c r="BG429" i="8"/>
  <c r="BE429" i="8"/>
  <c r="BH429" i="8"/>
  <c r="BI109" i="8"/>
  <c r="BJ109" i="8"/>
  <c r="BK109" i="8"/>
  <c r="BL109" i="8"/>
  <c r="BI93" i="8"/>
  <c r="BJ93" i="8"/>
  <c r="BK93" i="8"/>
  <c r="BL93" i="8"/>
  <c r="BM456" i="8"/>
  <c r="BN456" i="8"/>
  <c r="BO456" i="8"/>
  <c r="BP456" i="8"/>
  <c r="BF341" i="8"/>
  <c r="BG341" i="8"/>
  <c r="BH341" i="8"/>
  <c r="BE341" i="8"/>
  <c r="BE62" i="8"/>
  <c r="BG62" i="8"/>
  <c r="BF62" i="8"/>
  <c r="BH62" i="8"/>
  <c r="K194" i="22"/>
  <c r="V194" i="22" s="1"/>
  <c r="BH147" i="8"/>
  <c r="BE147" i="8"/>
  <c r="BF147" i="8"/>
  <c r="BG147" i="8"/>
  <c r="BI266" i="8"/>
  <c r="C173" i="22" s="1"/>
  <c r="BJ266" i="8"/>
  <c r="BK266" i="8"/>
  <c r="BL266" i="8"/>
  <c r="BF96" i="8"/>
  <c r="BG96" i="8"/>
  <c r="BE96" i="8"/>
  <c r="BH96" i="8"/>
  <c r="BM442" i="8"/>
  <c r="BN442" i="8"/>
  <c r="BP442" i="8"/>
  <c r="BO442" i="8"/>
  <c r="BM211" i="8"/>
  <c r="BN211" i="8"/>
  <c r="BO211" i="8"/>
  <c r="BP211" i="8"/>
  <c r="BM37" i="8"/>
  <c r="BN37" i="8"/>
  <c r="BO37" i="8"/>
  <c r="BP37" i="8"/>
  <c r="BE310" i="8"/>
  <c r="BF310" i="8"/>
  <c r="BG310" i="8"/>
  <c r="BH310" i="8"/>
  <c r="BM241" i="8"/>
  <c r="BN241" i="8"/>
  <c r="BO241" i="8"/>
  <c r="BP241" i="8"/>
  <c r="BK80" i="8"/>
  <c r="BI80" i="8"/>
  <c r="BJ80" i="8"/>
  <c r="BL80" i="8"/>
  <c r="F200" i="22"/>
  <c r="BM121" i="8"/>
  <c r="BN121" i="8"/>
  <c r="BO121" i="8"/>
  <c r="BP121" i="8"/>
  <c r="BI47" i="8"/>
  <c r="BJ47" i="8"/>
  <c r="BK47" i="8"/>
  <c r="BL47" i="8"/>
  <c r="BN352" i="8"/>
  <c r="BM352" i="8"/>
  <c r="BO352" i="8"/>
  <c r="BP352" i="8"/>
  <c r="BF290" i="8"/>
  <c r="BH290" i="8"/>
  <c r="BE290" i="8"/>
  <c r="BG290" i="8"/>
  <c r="BM265" i="8"/>
  <c r="BN265" i="8"/>
  <c r="BO265" i="8"/>
  <c r="BP265" i="8"/>
  <c r="BP565" i="8"/>
  <c r="BM565" i="8"/>
  <c r="BN565" i="8"/>
  <c r="BO565" i="8"/>
  <c r="BI187" i="8"/>
  <c r="BJ187" i="8"/>
  <c r="BK187" i="8"/>
  <c r="BL187" i="8"/>
  <c r="BI167" i="8"/>
  <c r="BJ167" i="8"/>
  <c r="BK167" i="8"/>
  <c r="BL167" i="8"/>
  <c r="BN302" i="8"/>
  <c r="BM302" i="8"/>
  <c r="BP302" i="8"/>
  <c r="BO302" i="8"/>
  <c r="BI268" i="8"/>
  <c r="BJ268" i="8"/>
  <c r="BK268" i="8"/>
  <c r="BL268" i="8"/>
  <c r="BM129" i="8"/>
  <c r="BN129" i="8"/>
  <c r="BO129" i="8"/>
  <c r="BP129" i="8"/>
  <c r="H208" i="22"/>
  <c r="S208" i="22" s="1"/>
  <c r="Q414" i="21"/>
  <c r="BE19" i="8"/>
  <c r="BH19" i="8"/>
  <c r="BF19" i="8"/>
  <c r="BG19" i="8"/>
  <c r="BI352" i="8"/>
  <c r="BJ352" i="8"/>
  <c r="BK352" i="8"/>
  <c r="BL352" i="8"/>
  <c r="BP481" i="8"/>
  <c r="BM481" i="8"/>
  <c r="BO481" i="8"/>
  <c r="BN481" i="8"/>
  <c r="BF531" i="8"/>
  <c r="BH531" i="8"/>
  <c r="BE531" i="8"/>
  <c r="BG531" i="8"/>
  <c r="BK134" i="8"/>
  <c r="BI134" i="8"/>
  <c r="BJ134" i="8"/>
  <c r="BL134" i="8"/>
  <c r="BG575" i="8"/>
  <c r="BH575" i="8"/>
  <c r="BE575" i="8"/>
  <c r="BF575" i="8"/>
  <c r="BO170" i="8"/>
  <c r="BN170" i="8"/>
  <c r="BP170" i="8"/>
  <c r="BM170" i="8"/>
  <c r="BL335" i="8"/>
  <c r="BJ335" i="8"/>
  <c r="BK335" i="8"/>
  <c r="BI335" i="8"/>
  <c r="BI35" i="8"/>
  <c r="BJ35" i="8"/>
  <c r="BK35" i="8"/>
  <c r="BL35" i="8"/>
  <c r="D200" i="22"/>
  <c r="BF463" i="8"/>
  <c r="BE463" i="8"/>
  <c r="BG463" i="8"/>
  <c r="BH463" i="8"/>
  <c r="BN455" i="8"/>
  <c r="BP455" i="8"/>
  <c r="BM455" i="8"/>
  <c r="BO455" i="8"/>
  <c r="BI219" i="8"/>
  <c r="BJ219" i="8"/>
  <c r="BK219" i="8"/>
  <c r="BL219" i="8"/>
  <c r="BF403" i="8"/>
  <c r="BG403" i="8"/>
  <c r="BH403" i="8"/>
  <c r="BE403" i="8"/>
  <c r="BP224" i="8"/>
  <c r="BN224" i="8"/>
  <c r="BM224" i="8"/>
  <c r="BO224" i="8"/>
  <c r="BN433" i="8"/>
  <c r="BP433" i="8"/>
  <c r="BO433" i="8"/>
  <c r="BM433" i="8"/>
  <c r="BM428" i="8"/>
  <c r="BN428" i="8"/>
  <c r="BO428" i="8"/>
  <c r="BP428" i="8"/>
  <c r="BE203" i="8"/>
  <c r="BF203" i="8"/>
  <c r="BG203" i="8"/>
  <c r="BH203" i="8"/>
  <c r="BK140" i="8"/>
  <c r="BI140" i="8"/>
  <c r="BL140" i="8"/>
  <c r="BJ140" i="8"/>
  <c r="F201" i="22"/>
  <c r="Q201" i="22" s="1"/>
  <c r="BM386" i="8"/>
  <c r="BN386" i="8"/>
  <c r="BO386" i="8"/>
  <c r="BP386" i="8"/>
  <c r="BK40" i="8"/>
  <c r="BI40" i="8"/>
  <c r="BJ40" i="8"/>
  <c r="BL40" i="8"/>
  <c r="BL457" i="8"/>
  <c r="BI457" i="8"/>
  <c r="BJ457" i="8"/>
  <c r="BK457" i="8"/>
  <c r="BM123" i="8"/>
  <c r="BN123" i="8"/>
  <c r="BO123" i="8"/>
  <c r="BP123" i="8"/>
  <c r="BE235" i="8"/>
  <c r="BF235" i="8"/>
  <c r="BG235" i="8"/>
  <c r="BH235" i="8"/>
  <c r="BE87" i="8"/>
  <c r="BH87" i="8"/>
  <c r="BG87" i="8"/>
  <c r="BF87" i="8"/>
  <c r="BE382" i="8"/>
  <c r="BF382" i="8"/>
  <c r="BG382" i="8"/>
  <c r="BH382" i="8"/>
  <c r="BF489" i="8"/>
  <c r="BE489" i="8"/>
  <c r="BG489" i="8"/>
  <c r="BH489" i="8"/>
  <c r="BE322" i="8"/>
  <c r="BG322" i="8"/>
  <c r="BH322" i="8"/>
  <c r="BF322" i="8"/>
  <c r="BM577" i="8"/>
  <c r="BN577" i="8"/>
  <c r="BO577" i="8"/>
  <c r="BP577" i="8"/>
  <c r="BI426" i="8"/>
  <c r="BJ426" i="8"/>
  <c r="BK426" i="8"/>
  <c r="BL426" i="8"/>
  <c r="BJ490" i="8"/>
  <c r="BK490" i="8"/>
  <c r="BL490" i="8"/>
  <c r="BI490" i="8"/>
  <c r="BP14" i="8"/>
  <c r="BM14" i="8"/>
  <c r="BO14" i="8"/>
  <c r="BN14" i="8"/>
  <c r="I207" i="22"/>
  <c r="BP515" i="8"/>
  <c r="BM515" i="8"/>
  <c r="BN515" i="8"/>
  <c r="BO515" i="8"/>
  <c r="BM488" i="8"/>
  <c r="BN488" i="8"/>
  <c r="BO488" i="8"/>
  <c r="BP488" i="8"/>
  <c r="BM225" i="8"/>
  <c r="BN225" i="8"/>
  <c r="BO225" i="8"/>
  <c r="BP225" i="8"/>
  <c r="BK202" i="8"/>
  <c r="BI202" i="8"/>
  <c r="BL202" i="8"/>
  <c r="BJ202" i="8"/>
  <c r="BM269" i="8"/>
  <c r="BN269" i="8"/>
  <c r="BO269" i="8"/>
  <c r="BP269" i="8"/>
  <c r="BE110" i="8"/>
  <c r="BG110" i="8"/>
  <c r="BF110" i="8"/>
  <c r="BH110" i="8"/>
  <c r="BE376" i="8"/>
  <c r="BF376" i="8"/>
  <c r="BG376" i="8"/>
  <c r="BH376" i="8"/>
  <c r="BK307" i="8"/>
  <c r="BL307" i="8"/>
  <c r="BJ307" i="8"/>
  <c r="BI307" i="8"/>
  <c r="BE275" i="8"/>
  <c r="BF275" i="8"/>
  <c r="BG275" i="8"/>
  <c r="BH275" i="8"/>
  <c r="BI465" i="8"/>
  <c r="BL465" i="8"/>
  <c r="BK465" i="8"/>
  <c r="BJ465" i="8"/>
  <c r="BO182" i="8"/>
  <c r="BN182" i="8"/>
  <c r="BP182" i="8"/>
  <c r="BM182" i="8"/>
  <c r="BL405" i="8"/>
  <c r="BI405" i="8"/>
  <c r="BK405" i="8"/>
  <c r="BJ405" i="8"/>
  <c r="BI545" i="8"/>
  <c r="BL545" i="8"/>
  <c r="BK545" i="8"/>
  <c r="BJ545" i="8"/>
  <c r="BM239" i="8"/>
  <c r="BN239" i="8"/>
  <c r="BO239" i="8"/>
  <c r="BP239" i="8"/>
  <c r="BI213" i="8"/>
  <c r="BJ213" i="8"/>
  <c r="BK213" i="8"/>
  <c r="BL213" i="8"/>
  <c r="BF180" i="8"/>
  <c r="BG180" i="8"/>
  <c r="BE180" i="8"/>
  <c r="BH180" i="8"/>
  <c r="BK295" i="8"/>
  <c r="BL295" i="8"/>
  <c r="BI295" i="8"/>
  <c r="BJ295" i="8"/>
  <c r="BJ564" i="8"/>
  <c r="BK564" i="8"/>
  <c r="BL564" i="8"/>
  <c r="BI564" i="8"/>
  <c r="BE25" i="8"/>
  <c r="BH25" i="8"/>
  <c r="BF25" i="8"/>
  <c r="BG25" i="8"/>
  <c r="BI89" i="8"/>
  <c r="BJ89" i="8"/>
  <c r="BK89" i="8"/>
  <c r="BL89" i="8"/>
  <c r="BH171" i="8"/>
  <c r="BE171" i="8"/>
  <c r="BF171" i="8"/>
  <c r="BG171" i="8"/>
  <c r="BE105" i="8"/>
  <c r="BH105" i="8"/>
  <c r="BF105" i="8"/>
  <c r="BG105" i="8"/>
  <c r="BK214" i="8"/>
  <c r="BI214" i="8"/>
  <c r="BJ214" i="8"/>
  <c r="BL214" i="8"/>
  <c r="BL381" i="8"/>
  <c r="BI381" i="8"/>
  <c r="BJ381" i="8"/>
  <c r="BK381" i="8"/>
  <c r="BM237" i="8"/>
  <c r="BN237" i="8"/>
  <c r="BO237" i="8"/>
  <c r="BP237" i="8"/>
  <c r="BI97" i="8"/>
  <c r="BJ97" i="8"/>
  <c r="BK97" i="8"/>
  <c r="BL97" i="8"/>
  <c r="BE550" i="8"/>
  <c r="BG550" i="8"/>
  <c r="BH550" i="8"/>
  <c r="BF550" i="8"/>
  <c r="BF38" i="8"/>
  <c r="BG38" i="8"/>
  <c r="BH38" i="8"/>
  <c r="BE38" i="8"/>
  <c r="L194" i="22"/>
  <c r="W194" i="22" s="1"/>
  <c r="BH183" i="8"/>
  <c r="BE183" i="8"/>
  <c r="BF183" i="8"/>
  <c r="BG183" i="8"/>
  <c r="BK172" i="8"/>
  <c r="BI172" i="8"/>
  <c r="BL172" i="8"/>
  <c r="BJ172" i="8"/>
  <c r="BK166" i="8"/>
  <c r="BI166" i="8"/>
  <c r="BJ166" i="8"/>
  <c r="BL166" i="8"/>
  <c r="BI529" i="8"/>
  <c r="BL529" i="8"/>
  <c r="BK529" i="8"/>
  <c r="BJ529" i="8"/>
  <c r="BE297" i="8"/>
  <c r="BF297" i="8"/>
  <c r="BG297" i="8"/>
  <c r="BH297" i="8"/>
  <c r="BF262" i="8"/>
  <c r="BE262" i="8"/>
  <c r="BG262" i="8"/>
  <c r="BH262" i="8"/>
  <c r="BI468" i="8"/>
  <c r="BJ468" i="8"/>
  <c r="BL468" i="8"/>
  <c r="BK468" i="8"/>
  <c r="BI230" i="8"/>
  <c r="BJ230" i="8"/>
  <c r="BK230" i="8"/>
  <c r="BL230" i="8"/>
  <c r="BK76" i="8"/>
  <c r="BI76" i="8"/>
  <c r="BL76" i="8"/>
  <c r="BJ76" i="8"/>
  <c r="BN342" i="8"/>
  <c r="BM342" i="8"/>
  <c r="BO342" i="8"/>
  <c r="BP342" i="8"/>
  <c r="BO114" i="8"/>
  <c r="BN114" i="8"/>
  <c r="BP114" i="8"/>
  <c r="BM114" i="8"/>
  <c r="BP547" i="8"/>
  <c r="BM547" i="8"/>
  <c r="BN547" i="8"/>
  <c r="BO547" i="8"/>
  <c r="BM548" i="8"/>
  <c r="BN548" i="8"/>
  <c r="BO548" i="8"/>
  <c r="BP548" i="8"/>
  <c r="BP238" i="8"/>
  <c r="BN238" i="8"/>
  <c r="BO238" i="8"/>
  <c r="BM238" i="8"/>
  <c r="BE78" i="8"/>
  <c r="BG78" i="8"/>
  <c r="BF78" i="8"/>
  <c r="BH78" i="8"/>
  <c r="BF150" i="8"/>
  <c r="BG150" i="8"/>
  <c r="BH150" i="8"/>
  <c r="BE150" i="8"/>
  <c r="BO375" i="8"/>
  <c r="BP375" i="8"/>
  <c r="BM375" i="8"/>
  <c r="BN375" i="8"/>
  <c r="BE293" i="8"/>
  <c r="BG293" i="8"/>
  <c r="BH293" i="8"/>
  <c r="BF293" i="8"/>
  <c r="BM267" i="8"/>
  <c r="BN267" i="8"/>
  <c r="BO267" i="8"/>
  <c r="BP267" i="8"/>
  <c r="D210" i="22"/>
  <c r="O210" i="22" s="1"/>
  <c r="BM532" i="8"/>
  <c r="BN532" i="8"/>
  <c r="BO532" i="8"/>
  <c r="BP532" i="8"/>
  <c r="BE205" i="8"/>
  <c r="BG205" i="8"/>
  <c r="BH205" i="8"/>
  <c r="BF205" i="8"/>
  <c r="BN356" i="8"/>
  <c r="BM356" i="8"/>
  <c r="BO356" i="8"/>
  <c r="BP356" i="8"/>
  <c r="BI137" i="8"/>
  <c r="BJ137" i="8"/>
  <c r="BK137" i="8"/>
  <c r="BL137" i="8"/>
  <c r="BJ552" i="8"/>
  <c r="BK552" i="8"/>
  <c r="BL552" i="8"/>
  <c r="BI552" i="8"/>
  <c r="BE85" i="8"/>
  <c r="BH85" i="8"/>
  <c r="BG85" i="8"/>
  <c r="BF85" i="8"/>
  <c r="BI414" i="8"/>
  <c r="BJ414" i="8"/>
  <c r="BK414" i="8"/>
  <c r="BL414" i="8"/>
  <c r="BF104" i="8"/>
  <c r="BG104" i="8"/>
  <c r="BE104" i="8"/>
  <c r="BH104" i="8"/>
  <c r="BO379" i="8"/>
  <c r="BP379" i="8"/>
  <c r="BN379" i="8"/>
  <c r="BM379" i="8"/>
  <c r="BP469" i="8"/>
  <c r="BM469" i="8"/>
  <c r="BN469" i="8"/>
  <c r="BO469" i="8"/>
  <c r="BE287" i="8"/>
  <c r="BG287" i="8"/>
  <c r="BF287" i="8"/>
  <c r="BH287" i="8"/>
  <c r="BM189" i="8"/>
  <c r="BN189" i="8"/>
  <c r="BO189" i="8"/>
  <c r="BP189" i="8"/>
  <c r="BP76" i="8"/>
  <c r="BM76" i="8"/>
  <c r="BN76" i="8"/>
  <c r="BO76" i="8"/>
  <c r="BI551" i="8"/>
  <c r="BL551" i="8"/>
  <c r="BJ551" i="8"/>
  <c r="BK551" i="8"/>
  <c r="BM99" i="8"/>
  <c r="BN99" i="8"/>
  <c r="BO99" i="8"/>
  <c r="BP99" i="8"/>
  <c r="BI376" i="8"/>
  <c r="BJ376" i="8"/>
  <c r="BK376" i="8"/>
  <c r="BL376" i="8"/>
  <c r="BO158" i="8"/>
  <c r="BN158" i="8"/>
  <c r="BP158" i="8"/>
  <c r="BM158" i="8"/>
  <c r="BI67" i="8"/>
  <c r="BJ67" i="8"/>
  <c r="BK67" i="8"/>
  <c r="BL67" i="8"/>
  <c r="BI27" i="8"/>
  <c r="BJ27" i="8"/>
  <c r="BK27" i="8"/>
  <c r="BL27" i="8"/>
  <c r="BK130" i="8"/>
  <c r="BI130" i="8"/>
  <c r="BJ130" i="8"/>
  <c r="BL130" i="8"/>
  <c r="BL445" i="8"/>
  <c r="BI445" i="8"/>
  <c r="BJ445" i="8"/>
  <c r="BK445" i="8"/>
  <c r="BN71" i="8"/>
  <c r="BM71" i="8"/>
  <c r="BO71" i="8"/>
  <c r="BP71" i="8"/>
  <c r="BN437" i="8"/>
  <c r="BP437" i="8"/>
  <c r="BO437" i="8"/>
  <c r="BM437" i="8"/>
  <c r="BL329" i="8"/>
  <c r="BI329" i="8"/>
  <c r="BJ329" i="8"/>
  <c r="BK329" i="8"/>
  <c r="BE93" i="8"/>
  <c r="BH93" i="8"/>
  <c r="BG93" i="8"/>
  <c r="BF93" i="8"/>
  <c r="BK273" i="8"/>
  <c r="BL273" i="8"/>
  <c r="BI273" i="8"/>
  <c r="BJ273" i="8"/>
  <c r="C202" i="22"/>
  <c r="N202" i="22" s="1"/>
  <c r="BM520" i="8"/>
  <c r="BN520" i="8"/>
  <c r="BO520" i="8"/>
  <c r="BP520" i="8"/>
  <c r="BP62" i="8"/>
  <c r="BM62" i="8"/>
  <c r="BN62" i="8"/>
  <c r="BO62" i="8"/>
  <c r="K208" i="22"/>
  <c r="V208" i="22" s="1"/>
  <c r="BI147" i="8"/>
  <c r="BJ147" i="8"/>
  <c r="BK147" i="8"/>
  <c r="BL147" i="8"/>
  <c r="BI290" i="8"/>
  <c r="BJ290" i="8"/>
  <c r="BK290" i="8"/>
  <c r="BL290" i="8"/>
  <c r="BI300" i="8"/>
  <c r="BJ300" i="8"/>
  <c r="BK300" i="8"/>
  <c r="BL300" i="8"/>
  <c r="BK311" i="8"/>
  <c r="BL311" i="8"/>
  <c r="BI311" i="8"/>
  <c r="BJ311" i="8"/>
  <c r="BH100" i="8"/>
  <c r="BE100" i="8"/>
  <c r="BG100" i="8"/>
  <c r="BF100" i="8"/>
  <c r="BI37" i="8"/>
  <c r="BJ37" i="8"/>
  <c r="BK37" i="8"/>
  <c r="BL37" i="8"/>
  <c r="BP559" i="8"/>
  <c r="BM559" i="8"/>
  <c r="BN559" i="8"/>
  <c r="BO559" i="8"/>
  <c r="BI436" i="8"/>
  <c r="BJ436" i="8"/>
  <c r="BK436" i="8"/>
  <c r="BL436" i="8"/>
  <c r="BI31" i="8"/>
  <c r="BJ31" i="8"/>
  <c r="BK31" i="8"/>
  <c r="BL31" i="8"/>
  <c r="BE422" i="8"/>
  <c r="BF422" i="8"/>
  <c r="BG422" i="8"/>
  <c r="BH422" i="8"/>
  <c r="BN368" i="8"/>
  <c r="BM368" i="8"/>
  <c r="BO368" i="8"/>
  <c r="BP368" i="8"/>
  <c r="BF517" i="8"/>
  <c r="BG517" i="8"/>
  <c r="BH517" i="8"/>
  <c r="BE517" i="8"/>
  <c r="BK16" i="8"/>
  <c r="BI16" i="8"/>
  <c r="BJ16" i="8"/>
  <c r="BL16" i="8"/>
  <c r="L200" i="22"/>
  <c r="BE47" i="8"/>
  <c r="BH47" i="8"/>
  <c r="BG47" i="8"/>
  <c r="BF47" i="8"/>
  <c r="BF371" i="8"/>
  <c r="BG371" i="8"/>
  <c r="BE371" i="8"/>
  <c r="BH371" i="8"/>
  <c r="BF509" i="8"/>
  <c r="BH509" i="8"/>
  <c r="BE509" i="8"/>
  <c r="BG509" i="8"/>
  <c r="BF533" i="8"/>
  <c r="BE533" i="8"/>
  <c r="BG533" i="8"/>
  <c r="BH533" i="8"/>
  <c r="BP74" i="8"/>
  <c r="BM74" i="8"/>
  <c r="BN74" i="8"/>
  <c r="BO74" i="8"/>
  <c r="J208" i="22"/>
  <c r="U208" i="22" s="1"/>
  <c r="BM167" i="8"/>
  <c r="BN167" i="8"/>
  <c r="BO167" i="8"/>
  <c r="BP167" i="8"/>
  <c r="BM105" i="8"/>
  <c r="BN105" i="8"/>
  <c r="BO105" i="8"/>
  <c r="BP105" i="8"/>
  <c r="Q404" i="21"/>
  <c r="L414" i="21"/>
  <c r="L205" i="21"/>
  <c r="L627" i="21"/>
  <c r="AR12" i="8"/>
  <c r="I159" i="22"/>
  <c r="T159" i="22" s="1"/>
  <c r="D159" i="22"/>
  <c r="O159" i="22" s="1"/>
  <c r="E159" i="22"/>
  <c r="P159" i="22" s="1"/>
  <c r="C159" i="22"/>
  <c r="N159" i="22" s="1"/>
  <c r="F159" i="22"/>
  <c r="Q159" i="22" s="1"/>
  <c r="K159" i="22"/>
  <c r="V159" i="22" s="1"/>
  <c r="G159" i="22"/>
  <c r="R159" i="22" s="1"/>
  <c r="H159" i="22"/>
  <c r="S159" i="22" s="1"/>
  <c r="J159" i="22"/>
  <c r="U159" i="22" s="1"/>
  <c r="L159" i="22"/>
  <c r="W159" i="22" s="1"/>
  <c r="AP12" i="8"/>
  <c r="J157" i="22"/>
  <c r="U157" i="22" s="1"/>
  <c r="K157" i="22"/>
  <c r="V157" i="22" s="1"/>
  <c r="I157" i="22"/>
  <c r="T157" i="22" s="1"/>
  <c r="D157" i="22"/>
  <c r="O157" i="22" s="1"/>
  <c r="L157" i="22"/>
  <c r="W157" i="22" s="1"/>
  <c r="C157" i="22"/>
  <c r="N157" i="22" s="1"/>
  <c r="G157" i="22"/>
  <c r="R157" i="22" s="1"/>
  <c r="H157" i="22"/>
  <c r="S157" i="22" s="1"/>
  <c r="E157" i="22"/>
  <c r="P157" i="22" s="1"/>
  <c r="F157" i="22"/>
  <c r="Q157" i="22" s="1"/>
  <c r="AQ12" i="8"/>
  <c r="K158" i="22" s="1"/>
  <c r="V158" i="22" s="1"/>
  <c r="D158" i="22"/>
  <c r="O158" i="22" s="1"/>
  <c r="L158" i="22"/>
  <c r="W158" i="22" s="1"/>
  <c r="C158" i="22"/>
  <c r="N158" i="22" s="1"/>
  <c r="I158" i="22"/>
  <c r="T158" i="22" s="1"/>
  <c r="E158" i="22"/>
  <c r="P158" i="22" s="1"/>
  <c r="H158" i="22"/>
  <c r="S158" i="22" s="1"/>
  <c r="J158" i="22"/>
  <c r="U158" i="22" s="1"/>
  <c r="F158" i="22"/>
  <c r="Q158" i="22" s="1"/>
  <c r="G158" i="22"/>
  <c r="R158" i="22" s="1"/>
  <c r="C34" i="21"/>
  <c r="E34" i="21"/>
  <c r="M32" i="21"/>
  <c r="I34" i="21"/>
  <c r="F34" i="21"/>
  <c r="G34" i="21"/>
  <c r="D34" i="21"/>
  <c r="M28" i="21"/>
  <c r="M33" i="21"/>
  <c r="K29" i="21"/>
  <c r="K449" i="21"/>
  <c r="K239" i="21"/>
  <c r="D244" i="21"/>
  <c r="C454" i="21"/>
  <c r="M460" i="21"/>
  <c r="M456" i="21"/>
  <c r="M450" i="21"/>
  <c r="D454" i="21"/>
  <c r="F244" i="21"/>
  <c r="M243" i="21"/>
  <c r="F454" i="21"/>
  <c r="M453" i="21"/>
  <c r="M246" i="21"/>
  <c r="C250" i="21"/>
  <c r="M250" i="21" s="1"/>
  <c r="E244" i="21"/>
  <c r="M448" i="21"/>
  <c r="E454" i="21"/>
  <c r="M242" i="21"/>
  <c r="I244" i="21"/>
  <c r="M452" i="21"/>
  <c r="C244" i="21"/>
  <c r="M238" i="21"/>
  <c r="I454" i="21"/>
  <c r="C40" i="21"/>
  <c r="M40" i="21" s="1"/>
  <c r="M240" i="21" l="1"/>
  <c r="H454" i="21"/>
  <c r="H244" i="21"/>
  <c r="G454" i="21"/>
  <c r="G244" i="21"/>
  <c r="L244" i="21"/>
  <c r="N674" i="21"/>
  <c r="K674" i="21"/>
  <c r="H674" i="21"/>
  <c r="H688" i="21"/>
  <c r="N688" i="21"/>
  <c r="K688" i="21"/>
  <c r="K693" i="21"/>
  <c r="H693" i="21"/>
  <c r="N693" i="21"/>
  <c r="N687" i="21"/>
  <c r="H687" i="21"/>
  <c r="K687" i="21"/>
  <c r="N705" i="21"/>
  <c r="H705" i="21"/>
  <c r="K705" i="21"/>
  <c r="O692" i="21"/>
  <c r="L692" i="21"/>
  <c r="I692" i="21"/>
  <c r="L683" i="21"/>
  <c r="I683" i="21"/>
  <c r="O683" i="21"/>
  <c r="O681" i="21"/>
  <c r="I681" i="21"/>
  <c r="L681" i="21"/>
  <c r="L693" i="21"/>
  <c r="I693" i="21"/>
  <c r="O693" i="21"/>
  <c r="I707" i="21"/>
  <c r="L707" i="21"/>
  <c r="O707" i="21"/>
  <c r="M696" i="21"/>
  <c r="P696" i="21"/>
  <c r="J696" i="21"/>
  <c r="J701" i="21"/>
  <c r="P701" i="21"/>
  <c r="M701" i="21"/>
  <c r="J702" i="21"/>
  <c r="P702" i="21"/>
  <c r="M702" i="21"/>
  <c r="J667" i="21"/>
  <c r="P667" i="21"/>
  <c r="M667" i="21"/>
  <c r="M699" i="21"/>
  <c r="J699" i="21"/>
  <c r="P699" i="21"/>
  <c r="N686" i="21"/>
  <c r="H686" i="21"/>
  <c r="K686" i="21"/>
  <c r="K682" i="21"/>
  <c r="H682" i="21"/>
  <c r="N682" i="21"/>
  <c r="H669" i="21"/>
  <c r="N669" i="21"/>
  <c r="K669" i="21"/>
  <c r="K691" i="21"/>
  <c r="N691" i="21"/>
  <c r="H691" i="21"/>
  <c r="K708" i="21"/>
  <c r="N708" i="21"/>
  <c r="H708" i="21"/>
  <c r="O676" i="21"/>
  <c r="I676" i="21"/>
  <c r="L676" i="21"/>
  <c r="O686" i="21"/>
  <c r="L686" i="21"/>
  <c r="I686" i="21"/>
  <c r="O677" i="21"/>
  <c r="L677" i="21"/>
  <c r="I677" i="21"/>
  <c r="I685" i="21"/>
  <c r="O685" i="21"/>
  <c r="L685" i="21"/>
  <c r="O698" i="21"/>
  <c r="L698" i="21"/>
  <c r="I698" i="21"/>
  <c r="P679" i="21"/>
  <c r="M679" i="21"/>
  <c r="J679" i="21"/>
  <c r="M668" i="21"/>
  <c r="J668" i="21"/>
  <c r="P668" i="21"/>
  <c r="P685" i="21"/>
  <c r="J685" i="21"/>
  <c r="M685" i="21"/>
  <c r="J689" i="21"/>
  <c r="M689" i="21"/>
  <c r="P689" i="21"/>
  <c r="M706" i="21"/>
  <c r="J706" i="21"/>
  <c r="P706" i="21"/>
  <c r="N680" i="21"/>
  <c r="H680" i="21"/>
  <c r="K680" i="21"/>
  <c r="N670" i="21"/>
  <c r="K670" i="21"/>
  <c r="H670" i="21"/>
  <c r="H689" i="21"/>
  <c r="K689" i="21"/>
  <c r="N689" i="21"/>
  <c r="H692" i="21"/>
  <c r="K692" i="21"/>
  <c r="N692" i="21"/>
  <c r="K699" i="21"/>
  <c r="H699" i="21"/>
  <c r="N699" i="21"/>
  <c r="H703" i="21"/>
  <c r="K703" i="21"/>
  <c r="N703" i="21"/>
  <c r="I694" i="21"/>
  <c r="O694" i="21"/>
  <c r="L694" i="21"/>
  <c r="I675" i="21"/>
  <c r="L675" i="21"/>
  <c r="O675" i="21"/>
  <c r="O682" i="21"/>
  <c r="L682" i="21"/>
  <c r="I682" i="21"/>
  <c r="I701" i="21"/>
  <c r="O701" i="21"/>
  <c r="L701" i="21"/>
  <c r="I705" i="21"/>
  <c r="L705" i="21"/>
  <c r="O705" i="21"/>
  <c r="J683" i="21"/>
  <c r="M683" i="21"/>
  <c r="P683" i="21"/>
  <c r="P676" i="21"/>
  <c r="M676" i="21"/>
  <c r="J676" i="21"/>
  <c r="M672" i="21"/>
  <c r="J672" i="21"/>
  <c r="P672" i="21"/>
  <c r="P697" i="21"/>
  <c r="J697" i="21"/>
  <c r="M697" i="21"/>
  <c r="M704" i="21"/>
  <c r="P704" i="21"/>
  <c r="J704" i="21"/>
  <c r="H695" i="21"/>
  <c r="N695" i="21"/>
  <c r="K695" i="21"/>
  <c r="N701" i="21"/>
  <c r="K701" i="21"/>
  <c r="H701" i="21"/>
  <c r="N679" i="21"/>
  <c r="K679" i="21"/>
  <c r="H679" i="21"/>
  <c r="H690" i="21"/>
  <c r="K690" i="21"/>
  <c r="N690" i="21"/>
  <c r="H700" i="21"/>
  <c r="K700" i="21"/>
  <c r="N700" i="21"/>
  <c r="K706" i="21"/>
  <c r="N706" i="21"/>
  <c r="H706" i="21"/>
  <c r="I678" i="21"/>
  <c r="O678" i="21"/>
  <c r="L678" i="21"/>
  <c r="I690" i="21"/>
  <c r="L690" i="21"/>
  <c r="O690" i="21"/>
  <c r="O673" i="21"/>
  <c r="I673" i="21"/>
  <c r="L673" i="21"/>
  <c r="O684" i="21"/>
  <c r="I684" i="21"/>
  <c r="L684" i="21"/>
  <c r="L708" i="21"/>
  <c r="O708" i="21"/>
  <c r="I708" i="21"/>
  <c r="M686" i="21"/>
  <c r="J686" i="21"/>
  <c r="P686" i="21"/>
  <c r="P694" i="21"/>
  <c r="M694" i="21"/>
  <c r="J694" i="21"/>
  <c r="M688" i="21"/>
  <c r="P688" i="21"/>
  <c r="J688" i="21"/>
  <c r="P674" i="21"/>
  <c r="J674" i="21"/>
  <c r="M674" i="21"/>
  <c r="P707" i="21"/>
  <c r="J707" i="21"/>
  <c r="M707" i="21"/>
  <c r="N675" i="21"/>
  <c r="H675" i="21"/>
  <c r="K675" i="21"/>
  <c r="N676" i="21"/>
  <c r="H676" i="21"/>
  <c r="K676" i="21"/>
  <c r="N697" i="21"/>
  <c r="K697" i="21"/>
  <c r="H697" i="21"/>
  <c r="H685" i="21"/>
  <c r="N685" i="21"/>
  <c r="K685" i="21"/>
  <c r="H671" i="21"/>
  <c r="K671" i="21"/>
  <c r="N671" i="21"/>
  <c r="I687" i="21"/>
  <c r="L687" i="21"/>
  <c r="O687" i="21"/>
  <c r="I688" i="21"/>
  <c r="O688" i="21"/>
  <c r="L688" i="21"/>
  <c r="I667" i="21"/>
  <c r="O667" i="21"/>
  <c r="L667" i="21"/>
  <c r="I689" i="21"/>
  <c r="L689" i="21"/>
  <c r="O689" i="21"/>
  <c r="L699" i="21"/>
  <c r="I699" i="21"/>
  <c r="O699" i="21"/>
  <c r="L703" i="21"/>
  <c r="I703" i="21"/>
  <c r="O703" i="21"/>
  <c r="P675" i="21"/>
  <c r="J675" i="21"/>
  <c r="M675" i="21"/>
  <c r="M673" i="21"/>
  <c r="J673" i="21"/>
  <c r="P673" i="21"/>
  <c r="P684" i="21"/>
  <c r="M684" i="21"/>
  <c r="J684" i="21"/>
  <c r="M669" i="21"/>
  <c r="J669" i="21"/>
  <c r="P669" i="21"/>
  <c r="P698" i="21"/>
  <c r="M698" i="21"/>
  <c r="J698" i="21"/>
  <c r="N696" i="21"/>
  <c r="K696" i="21"/>
  <c r="H696" i="21"/>
  <c r="H694" i="21"/>
  <c r="N694" i="21"/>
  <c r="K694" i="21"/>
  <c r="H678" i="21"/>
  <c r="N678" i="21"/>
  <c r="K678" i="21"/>
  <c r="K672" i="21"/>
  <c r="N672" i="21"/>
  <c r="H672" i="21"/>
  <c r="N704" i="21"/>
  <c r="K704" i="21"/>
  <c r="H704" i="21"/>
  <c r="L680" i="21"/>
  <c r="O680" i="21"/>
  <c r="I680" i="21"/>
  <c r="I691" i="21"/>
  <c r="L691" i="21"/>
  <c r="O691" i="21"/>
  <c r="I702" i="21"/>
  <c r="O702" i="21"/>
  <c r="L702" i="21"/>
  <c r="L668" i="21"/>
  <c r="O668" i="21"/>
  <c r="I668" i="21"/>
  <c r="L700" i="21"/>
  <c r="I700" i="21"/>
  <c r="O700" i="21"/>
  <c r="L706" i="21"/>
  <c r="O706" i="21"/>
  <c r="I706" i="21"/>
  <c r="M677" i="21"/>
  <c r="J677" i="21"/>
  <c r="P677" i="21"/>
  <c r="P670" i="21"/>
  <c r="M670" i="21"/>
  <c r="J670" i="21"/>
  <c r="M687" i="21"/>
  <c r="J687" i="21"/>
  <c r="P687" i="21"/>
  <c r="J695" i="21"/>
  <c r="P695" i="21"/>
  <c r="M695" i="21"/>
  <c r="J705" i="21"/>
  <c r="M705" i="21"/>
  <c r="P705" i="21"/>
  <c r="K668" i="21"/>
  <c r="H668" i="21"/>
  <c r="N668" i="21"/>
  <c r="K667" i="21"/>
  <c r="N667" i="21"/>
  <c r="H667" i="21"/>
  <c r="N681" i="21"/>
  <c r="H681" i="21"/>
  <c r="K681" i="21"/>
  <c r="N684" i="21"/>
  <c r="K684" i="21"/>
  <c r="H684" i="21"/>
  <c r="K707" i="21"/>
  <c r="H707" i="21"/>
  <c r="N707" i="21"/>
  <c r="O695" i="21"/>
  <c r="L695" i="21"/>
  <c r="I695" i="21"/>
  <c r="I696" i="21"/>
  <c r="L696" i="21"/>
  <c r="O696" i="21"/>
  <c r="L672" i="21"/>
  <c r="O672" i="21"/>
  <c r="I672" i="21"/>
  <c r="O697" i="21"/>
  <c r="L697" i="21"/>
  <c r="I697" i="21"/>
  <c r="I671" i="21"/>
  <c r="O671" i="21"/>
  <c r="L671" i="21"/>
  <c r="P682" i="21"/>
  <c r="M682" i="21"/>
  <c r="J682" i="21"/>
  <c r="M692" i="21"/>
  <c r="J692" i="21"/>
  <c r="P692" i="21"/>
  <c r="M693" i="21"/>
  <c r="J693" i="21"/>
  <c r="P693" i="21"/>
  <c r="P678" i="21"/>
  <c r="M678" i="21"/>
  <c r="J678" i="21"/>
  <c r="J700" i="21"/>
  <c r="M700" i="21"/>
  <c r="P700" i="21"/>
  <c r="J708" i="21"/>
  <c r="M708" i="21"/>
  <c r="P708" i="21"/>
  <c r="H702" i="21"/>
  <c r="N702" i="21"/>
  <c r="K702" i="21"/>
  <c r="N677" i="21"/>
  <c r="K677" i="21"/>
  <c r="H677" i="21"/>
  <c r="H683" i="21"/>
  <c r="K683" i="21"/>
  <c r="N683" i="21"/>
  <c r="N673" i="21"/>
  <c r="H673" i="21"/>
  <c r="K673" i="21"/>
  <c r="H698" i="21"/>
  <c r="K698" i="21"/>
  <c r="N698" i="21"/>
  <c r="O670" i="21"/>
  <c r="L670" i="21"/>
  <c r="I670" i="21"/>
  <c r="O679" i="21"/>
  <c r="L679" i="21"/>
  <c r="I679" i="21"/>
  <c r="O674" i="21"/>
  <c r="L674" i="21"/>
  <c r="I674" i="21"/>
  <c r="I669" i="21"/>
  <c r="O669" i="21"/>
  <c r="L669" i="21"/>
  <c r="I704" i="21"/>
  <c r="O704" i="21"/>
  <c r="L704" i="21"/>
  <c r="J691" i="21"/>
  <c r="P691" i="21"/>
  <c r="M691" i="21"/>
  <c r="P681" i="21"/>
  <c r="J681" i="21"/>
  <c r="M681" i="21"/>
  <c r="J690" i="21"/>
  <c r="M690" i="21"/>
  <c r="P690" i="21"/>
  <c r="P680" i="21"/>
  <c r="M680" i="21"/>
  <c r="J680" i="21"/>
  <c r="J671" i="21"/>
  <c r="P671" i="21"/>
  <c r="M671" i="21"/>
  <c r="J703" i="21"/>
  <c r="P703" i="21"/>
  <c r="M703" i="21"/>
  <c r="L34" i="21"/>
  <c r="S414" i="21"/>
  <c r="V414" i="21"/>
  <c r="S412" i="21"/>
  <c r="T414" i="21"/>
  <c r="Z414" i="21"/>
  <c r="U414" i="21"/>
  <c r="H163" i="22"/>
  <c r="S163" i="22" s="1"/>
  <c r="J163" i="22"/>
  <c r="U163" i="22" s="1"/>
  <c r="M241" i="21"/>
  <c r="M31" i="21"/>
  <c r="F176" i="22"/>
  <c r="J183" i="22"/>
  <c r="U183" i="22" s="1"/>
  <c r="R403" i="21"/>
  <c r="W404" i="21"/>
  <c r="Z396" i="21"/>
  <c r="U412" i="21"/>
  <c r="U394" i="21"/>
  <c r="K641" i="21"/>
  <c r="K219" i="21"/>
  <c r="K212" i="21"/>
  <c r="K634" i="21"/>
  <c r="D634" i="21"/>
  <c r="D212" i="21"/>
  <c r="C218" i="21"/>
  <c r="C640" i="21"/>
  <c r="K632" i="21"/>
  <c r="K210" i="21"/>
  <c r="G639" i="21"/>
  <c r="G217" i="21"/>
  <c r="L211" i="21"/>
  <c r="L633" i="21"/>
  <c r="H640" i="21"/>
  <c r="H218" i="21"/>
  <c r="G224" i="21"/>
  <c r="G646" i="21"/>
  <c r="I632" i="21"/>
  <c r="I210" i="21"/>
  <c r="G210" i="21"/>
  <c r="G632" i="21"/>
  <c r="H648" i="21"/>
  <c r="H226" i="21"/>
  <c r="E225" i="21"/>
  <c r="E647" i="21"/>
  <c r="J640" i="21"/>
  <c r="J218" i="21"/>
  <c r="E224" i="21"/>
  <c r="E646" i="21"/>
  <c r="H647" i="21"/>
  <c r="H225" i="21"/>
  <c r="L632" i="21"/>
  <c r="L210" i="21"/>
  <c r="I226" i="21"/>
  <c r="I648" i="21"/>
  <c r="H632" i="21"/>
  <c r="H210" i="21"/>
  <c r="F647" i="21"/>
  <c r="F225" i="21"/>
  <c r="E210" i="21"/>
  <c r="E632" i="21"/>
  <c r="D648" i="21"/>
  <c r="D226" i="21"/>
  <c r="D641" i="21"/>
  <c r="D219" i="21"/>
  <c r="H641" i="21"/>
  <c r="H219" i="21"/>
  <c r="E217" i="21"/>
  <c r="E639" i="21"/>
  <c r="J647" i="21"/>
  <c r="J225" i="21"/>
  <c r="C633" i="21"/>
  <c r="C211" i="21"/>
  <c r="L646" i="21"/>
  <c r="L224" i="21"/>
  <c r="D639" i="21"/>
  <c r="D217" i="21"/>
  <c r="I646" i="21"/>
  <c r="I224" i="21"/>
  <c r="L218" i="21"/>
  <c r="L640" i="21"/>
  <c r="E640" i="21"/>
  <c r="E218" i="21"/>
  <c r="H633" i="21"/>
  <c r="H211" i="21"/>
  <c r="I639" i="21"/>
  <c r="I217" i="21"/>
  <c r="L225" i="21"/>
  <c r="L647" i="21"/>
  <c r="F640" i="21"/>
  <c r="F218" i="21"/>
  <c r="L648" i="21"/>
  <c r="L226" i="21"/>
  <c r="D218" i="21"/>
  <c r="D640" i="21"/>
  <c r="C225" i="21"/>
  <c r="C647" i="21"/>
  <c r="I219" i="21"/>
  <c r="I641" i="21"/>
  <c r="E633" i="21"/>
  <c r="E211" i="21"/>
  <c r="F648" i="21"/>
  <c r="F226" i="21"/>
  <c r="G640" i="21"/>
  <c r="G218" i="21"/>
  <c r="G648" i="21"/>
  <c r="G226" i="21"/>
  <c r="K646" i="21"/>
  <c r="K224" i="21"/>
  <c r="I640" i="21"/>
  <c r="I218" i="21"/>
  <c r="F210" i="21"/>
  <c r="F632" i="21"/>
  <c r="C632" i="21"/>
  <c r="C210" i="21"/>
  <c r="G633" i="21"/>
  <c r="G211" i="21"/>
  <c r="K639" i="21"/>
  <c r="K217" i="21"/>
  <c r="C639" i="21"/>
  <c r="C217" i="21"/>
  <c r="C646" i="21"/>
  <c r="C224" i="21"/>
  <c r="J212" i="21"/>
  <c r="J634" i="21"/>
  <c r="G634" i="21"/>
  <c r="G212" i="21"/>
  <c r="I212" i="21"/>
  <c r="I634" i="21"/>
  <c r="F633" i="21"/>
  <c r="F211" i="21"/>
  <c r="L639" i="21"/>
  <c r="L217" i="21"/>
  <c r="J632" i="21"/>
  <c r="J210" i="21"/>
  <c r="F641" i="21"/>
  <c r="F219" i="21"/>
  <c r="F639" i="21"/>
  <c r="F217" i="21"/>
  <c r="D225" i="21"/>
  <c r="D647" i="21"/>
  <c r="G647" i="21"/>
  <c r="G225" i="21"/>
  <c r="D211" i="21"/>
  <c r="D633" i="21"/>
  <c r="D646" i="21"/>
  <c r="D224" i="21"/>
  <c r="I647" i="21"/>
  <c r="I225" i="21"/>
  <c r="J219" i="21"/>
  <c r="J641" i="21"/>
  <c r="J226" i="21"/>
  <c r="J648" i="21"/>
  <c r="G641" i="21"/>
  <c r="G219" i="21"/>
  <c r="H639" i="21"/>
  <c r="H217" i="21"/>
  <c r="H646" i="21"/>
  <c r="H224" i="21"/>
  <c r="I633" i="21"/>
  <c r="I211" i="21"/>
  <c r="L641" i="21"/>
  <c r="L219" i="21"/>
  <c r="L634" i="21"/>
  <c r="L212" i="21"/>
  <c r="K226" i="21"/>
  <c r="K648" i="21"/>
  <c r="J646" i="21"/>
  <c r="J224" i="21"/>
  <c r="H634" i="21"/>
  <c r="H212" i="21"/>
  <c r="J633" i="21"/>
  <c r="J211" i="21"/>
  <c r="F634" i="21"/>
  <c r="F212" i="21"/>
  <c r="F224" i="21"/>
  <c r="F646" i="21"/>
  <c r="K211" i="21"/>
  <c r="K633" i="21"/>
  <c r="D632" i="21"/>
  <c r="D210" i="21"/>
  <c r="K225" i="21"/>
  <c r="K647" i="21"/>
  <c r="J639" i="21"/>
  <c r="J217" i="21"/>
  <c r="K218" i="21"/>
  <c r="K640" i="21"/>
  <c r="L419" i="21"/>
  <c r="H433" i="21"/>
  <c r="G427" i="21"/>
  <c r="J419" i="21"/>
  <c r="I420" i="21"/>
  <c r="I435" i="21"/>
  <c r="F428" i="21"/>
  <c r="L428" i="21"/>
  <c r="H419" i="21"/>
  <c r="L421" i="21"/>
  <c r="G435" i="21"/>
  <c r="H420" i="21"/>
  <c r="K428" i="21"/>
  <c r="K435" i="21"/>
  <c r="F434" i="21"/>
  <c r="K433" i="21"/>
  <c r="I427" i="21"/>
  <c r="F419" i="21"/>
  <c r="E419" i="21"/>
  <c r="K421" i="21"/>
  <c r="D421" i="21"/>
  <c r="C427" i="21"/>
  <c r="K419" i="21"/>
  <c r="G426" i="21"/>
  <c r="L420" i="21"/>
  <c r="H427" i="21"/>
  <c r="G433" i="21"/>
  <c r="I419" i="21"/>
  <c r="G419" i="21"/>
  <c r="H435" i="21"/>
  <c r="E434" i="21"/>
  <c r="J427" i="21"/>
  <c r="E433" i="21"/>
  <c r="H434" i="21"/>
  <c r="D435" i="21"/>
  <c r="D428" i="21"/>
  <c r="H428" i="21"/>
  <c r="E426" i="21"/>
  <c r="J434" i="21"/>
  <c r="C420" i="21"/>
  <c r="L433" i="21"/>
  <c r="D426" i="21"/>
  <c r="I433" i="21"/>
  <c r="L427" i="21"/>
  <c r="E427" i="21"/>
  <c r="I426" i="21"/>
  <c r="L434" i="21"/>
  <c r="F427" i="21"/>
  <c r="L435" i="21"/>
  <c r="D427" i="21"/>
  <c r="C434" i="21"/>
  <c r="I428" i="21"/>
  <c r="E420" i="21"/>
  <c r="F435" i="21"/>
  <c r="C419" i="21"/>
  <c r="G420" i="21"/>
  <c r="K426" i="21"/>
  <c r="C426" i="21"/>
  <c r="C433" i="21"/>
  <c r="J421" i="21"/>
  <c r="G421" i="21"/>
  <c r="I421" i="21"/>
  <c r="F420" i="21"/>
  <c r="L426" i="21"/>
  <c r="F426" i="21"/>
  <c r="D434" i="21"/>
  <c r="G434" i="21"/>
  <c r="D420" i="21"/>
  <c r="D433" i="21"/>
  <c r="I434" i="21"/>
  <c r="J428" i="21"/>
  <c r="J435" i="21"/>
  <c r="G428" i="21"/>
  <c r="H426" i="21"/>
  <c r="J433" i="21"/>
  <c r="H421" i="21"/>
  <c r="J420" i="21"/>
  <c r="F421" i="21"/>
  <c r="F433" i="21"/>
  <c r="K420" i="21"/>
  <c r="D419" i="21"/>
  <c r="K434" i="21"/>
  <c r="J426" i="21"/>
  <c r="K427" i="21"/>
  <c r="J244" i="21"/>
  <c r="K34" i="21"/>
  <c r="M34" i="21" s="1"/>
  <c r="J454" i="21"/>
  <c r="M451" i="21"/>
  <c r="L454" i="21"/>
  <c r="M449" i="21"/>
  <c r="C164" i="22"/>
  <c r="N164" i="22" s="1"/>
  <c r="C183" i="21" s="1"/>
  <c r="I175" i="22"/>
  <c r="T175" i="22" s="1"/>
  <c r="I614" i="21" s="1"/>
  <c r="H173" i="22"/>
  <c r="S173" i="22" s="1"/>
  <c r="J173" i="22"/>
  <c r="U173" i="22" s="1"/>
  <c r="L176" i="22"/>
  <c r="W176" i="22" s="1"/>
  <c r="L615" i="21" s="1"/>
  <c r="I165" i="22"/>
  <c r="T165" i="22" s="1"/>
  <c r="I606" i="21" s="1"/>
  <c r="H183" i="22"/>
  <c r="S183" i="22" s="1"/>
  <c r="J186" i="22"/>
  <c r="U186" i="22" s="1"/>
  <c r="H186" i="22"/>
  <c r="S186" i="22" s="1"/>
  <c r="H625" i="21" s="1"/>
  <c r="H165" i="22"/>
  <c r="S165" i="22" s="1"/>
  <c r="H184" i="21" s="1"/>
  <c r="BP12" i="8"/>
  <c r="BN12" i="8"/>
  <c r="BO12" i="8"/>
  <c r="BM12" i="8"/>
  <c r="K183" i="22" s="1"/>
  <c r="K207" i="22"/>
  <c r="C174" i="22"/>
  <c r="N174" i="22" s="1"/>
  <c r="L164" i="22"/>
  <c r="E197" i="22"/>
  <c r="P197" i="22" s="1"/>
  <c r="P193" i="22"/>
  <c r="F164" i="22"/>
  <c r="E211" i="22"/>
  <c r="P211" i="22" s="1"/>
  <c r="P207" i="22"/>
  <c r="J184" i="22"/>
  <c r="U184" i="22" s="1"/>
  <c r="J622" i="21" s="1"/>
  <c r="J166" i="22"/>
  <c r="U166" i="22" s="1"/>
  <c r="H211" i="22"/>
  <c r="S211" i="22" s="1"/>
  <c r="S207" i="22"/>
  <c r="J176" i="22"/>
  <c r="U176" i="22" s="1"/>
  <c r="L166" i="22"/>
  <c r="E174" i="22"/>
  <c r="P174" i="22" s="1"/>
  <c r="G183" i="22"/>
  <c r="K176" i="22"/>
  <c r="V176" i="22" s="1"/>
  <c r="H176" i="22"/>
  <c r="S176" i="22" s="1"/>
  <c r="J164" i="22"/>
  <c r="U164" i="22" s="1"/>
  <c r="I184" i="22"/>
  <c r="T184" i="22" s="1"/>
  <c r="R193" i="22"/>
  <c r="G197" i="22"/>
  <c r="R197" i="22" s="1"/>
  <c r="C184" i="22"/>
  <c r="N184" i="22" s="1"/>
  <c r="G184" i="22"/>
  <c r="R184" i="22" s="1"/>
  <c r="U207" i="22"/>
  <c r="J211" i="22"/>
  <c r="U211" i="22" s="1"/>
  <c r="T200" i="22"/>
  <c r="I204" i="22"/>
  <c r="T204" i="22" s="1"/>
  <c r="K184" i="21"/>
  <c r="K393" i="21"/>
  <c r="K606" i="21"/>
  <c r="H175" i="22"/>
  <c r="BK12" i="8"/>
  <c r="BL12" i="8"/>
  <c r="BI12" i="8"/>
  <c r="K173" i="22" s="1"/>
  <c r="BJ12" i="8"/>
  <c r="K200" i="22"/>
  <c r="L174" i="22"/>
  <c r="W174" i="22" s="1"/>
  <c r="F184" i="22"/>
  <c r="I186" i="22"/>
  <c r="T186" i="22" s="1"/>
  <c r="H185" i="22"/>
  <c r="S185" i="22" s="1"/>
  <c r="G164" i="22"/>
  <c r="R164" i="22" s="1"/>
  <c r="H164" i="22"/>
  <c r="S164" i="22" s="1"/>
  <c r="D197" i="22"/>
  <c r="O197" i="22" s="1"/>
  <c r="O193" i="22"/>
  <c r="L192" i="21"/>
  <c r="L401" i="21"/>
  <c r="L614" i="21"/>
  <c r="L163" i="22"/>
  <c r="G163" i="22"/>
  <c r="K624" i="21"/>
  <c r="K202" i="21"/>
  <c r="K411" i="21"/>
  <c r="I197" i="22"/>
  <c r="T197" i="22" s="1"/>
  <c r="T193" i="22"/>
  <c r="K164" i="22"/>
  <c r="V164" i="22" s="1"/>
  <c r="Q200" i="22"/>
  <c r="F204" i="22"/>
  <c r="Q204" i="22" s="1"/>
  <c r="N173" i="22"/>
  <c r="L211" i="22"/>
  <c r="W211" i="22" s="1"/>
  <c r="W207" i="22"/>
  <c r="L186" i="22"/>
  <c r="E164" i="22"/>
  <c r="P164" i="22" s="1"/>
  <c r="J204" i="22"/>
  <c r="U204" i="22" s="1"/>
  <c r="U200" i="22"/>
  <c r="I176" i="22"/>
  <c r="T176" i="22" s="1"/>
  <c r="J197" i="22"/>
  <c r="U197" i="22" s="1"/>
  <c r="U193" i="22"/>
  <c r="S200" i="22"/>
  <c r="H204" i="22"/>
  <c r="S204" i="22" s="1"/>
  <c r="R200" i="22"/>
  <c r="G204" i="22"/>
  <c r="R204" i="22" s="1"/>
  <c r="I164" i="22"/>
  <c r="T164" i="22" s="1"/>
  <c r="I173" i="22"/>
  <c r="I163" i="22"/>
  <c r="P163" i="22"/>
  <c r="I211" i="22"/>
  <c r="T211" i="22" s="1"/>
  <c r="T207" i="22"/>
  <c r="U188" i="22"/>
  <c r="N183" i="22"/>
  <c r="I166" i="22"/>
  <c r="T166" i="22" s="1"/>
  <c r="E184" i="22"/>
  <c r="P184" i="22" s="1"/>
  <c r="K186" i="22"/>
  <c r="V186" i="22" s="1"/>
  <c r="C211" i="22"/>
  <c r="N211" i="22" s="1"/>
  <c r="N207" i="22"/>
  <c r="F186" i="22"/>
  <c r="Q186" i="22" s="1"/>
  <c r="H184" i="22"/>
  <c r="S184" i="22" s="1"/>
  <c r="D174" i="22"/>
  <c r="J174" i="22"/>
  <c r="K184" i="22"/>
  <c r="V184" i="22" s="1"/>
  <c r="E204" i="22"/>
  <c r="P204" i="22" s="1"/>
  <c r="P200" i="22"/>
  <c r="J606" i="21"/>
  <c r="J184" i="21"/>
  <c r="J393" i="21"/>
  <c r="P183" i="22"/>
  <c r="BF12" i="8"/>
  <c r="BE12" i="8"/>
  <c r="K163" i="22" s="1"/>
  <c r="BG12" i="8"/>
  <c r="BH12" i="8"/>
  <c r="K193" i="22"/>
  <c r="P173" i="22"/>
  <c r="N163" i="22"/>
  <c r="W185" i="22"/>
  <c r="W165" i="22"/>
  <c r="I185" i="22"/>
  <c r="T185" i="22" s="1"/>
  <c r="K174" i="22"/>
  <c r="V174" i="22" s="1"/>
  <c r="J404" i="21"/>
  <c r="J617" i="21"/>
  <c r="J193" i="21"/>
  <c r="M193" i="21" s="1"/>
  <c r="C197" i="22"/>
  <c r="N197" i="22" s="1"/>
  <c r="N193" i="22"/>
  <c r="D204" i="22"/>
  <c r="O204" i="22" s="1"/>
  <c r="O200" i="22"/>
  <c r="F174" i="22"/>
  <c r="Q174" i="22" s="1"/>
  <c r="L184" i="22"/>
  <c r="Q193" i="22"/>
  <c r="F197" i="22"/>
  <c r="Q197" i="22" s="1"/>
  <c r="H197" i="22"/>
  <c r="S197" i="22" s="1"/>
  <c r="S193" i="22"/>
  <c r="D164" i="22"/>
  <c r="G211" i="22"/>
  <c r="R211" i="22" s="1"/>
  <c r="R207" i="22"/>
  <c r="K192" i="21"/>
  <c r="K401" i="21"/>
  <c r="K614" i="21"/>
  <c r="G174" i="22"/>
  <c r="R174" i="22" s="1"/>
  <c r="L173" i="22"/>
  <c r="W173" i="22" s="1"/>
  <c r="F166" i="22"/>
  <c r="Q166" i="22" s="1"/>
  <c r="L183" i="22"/>
  <c r="Q176" i="22"/>
  <c r="L204" i="22"/>
  <c r="W204" i="22" s="1"/>
  <c r="W200" i="22"/>
  <c r="I183" i="22"/>
  <c r="H166" i="22"/>
  <c r="S166" i="22" s="1"/>
  <c r="J411" i="21"/>
  <c r="J202" i="21"/>
  <c r="J624" i="21"/>
  <c r="F211" i="22"/>
  <c r="Q211" i="22" s="1"/>
  <c r="Q207" i="22"/>
  <c r="J396" i="21"/>
  <c r="J609" i="21"/>
  <c r="J187" i="21"/>
  <c r="M187" i="21" s="1"/>
  <c r="L197" i="22"/>
  <c r="W197" i="22" s="1"/>
  <c r="W193" i="22"/>
  <c r="I174" i="22"/>
  <c r="T174" i="22" s="1"/>
  <c r="C204" i="22"/>
  <c r="N204" i="22" s="1"/>
  <c r="N200" i="22"/>
  <c r="H174" i="22"/>
  <c r="S174" i="22" s="1"/>
  <c r="D184" i="22"/>
  <c r="D211" i="22"/>
  <c r="O211" i="22" s="1"/>
  <c r="O207" i="22"/>
  <c r="G173" i="22"/>
  <c r="K166" i="22"/>
  <c r="V166" i="22" s="1"/>
  <c r="J192" i="21"/>
  <c r="J614" i="21"/>
  <c r="J401" i="21"/>
  <c r="G387" i="21"/>
  <c r="G598" i="21"/>
  <c r="G177" i="21"/>
  <c r="F387" i="21"/>
  <c r="F598" i="21"/>
  <c r="F177" i="21"/>
  <c r="I386" i="21"/>
  <c r="I597" i="21"/>
  <c r="I176" i="21"/>
  <c r="K388" i="21"/>
  <c r="K599" i="21"/>
  <c r="K178" i="21"/>
  <c r="D598" i="21"/>
  <c r="D387" i="21"/>
  <c r="D177" i="21"/>
  <c r="J387" i="21"/>
  <c r="J598" i="21"/>
  <c r="J177" i="21"/>
  <c r="F597" i="21"/>
  <c r="F386" i="21"/>
  <c r="F176" i="21"/>
  <c r="K386" i="21"/>
  <c r="K597" i="21"/>
  <c r="K176" i="21"/>
  <c r="F599" i="21"/>
  <c r="F388" i="21"/>
  <c r="F178" i="21"/>
  <c r="H598" i="21"/>
  <c r="H387" i="21"/>
  <c r="H177" i="21"/>
  <c r="E597" i="21"/>
  <c r="E386" i="21"/>
  <c r="E176" i="21"/>
  <c r="J386" i="21"/>
  <c r="J597" i="21"/>
  <c r="J176" i="21"/>
  <c r="C599" i="21"/>
  <c r="C388" i="21"/>
  <c r="C178" i="21"/>
  <c r="E387" i="21"/>
  <c r="E598" i="21"/>
  <c r="E177" i="21"/>
  <c r="H597" i="21"/>
  <c r="H386" i="21"/>
  <c r="H176" i="21"/>
  <c r="E388" i="21"/>
  <c r="E599" i="21"/>
  <c r="E178" i="21"/>
  <c r="G599" i="21"/>
  <c r="G388" i="21"/>
  <c r="G178" i="21"/>
  <c r="I598" i="21"/>
  <c r="I387" i="21"/>
  <c r="I177" i="21"/>
  <c r="G386" i="21"/>
  <c r="G597" i="21"/>
  <c r="G176" i="21"/>
  <c r="L388" i="21"/>
  <c r="L599" i="21"/>
  <c r="L178" i="21"/>
  <c r="D599" i="21"/>
  <c r="D388" i="21"/>
  <c r="D178" i="21"/>
  <c r="D386" i="21"/>
  <c r="D597" i="21"/>
  <c r="D176" i="21"/>
  <c r="M239" i="21"/>
  <c r="C387" i="21"/>
  <c r="C598" i="21"/>
  <c r="C177" i="21"/>
  <c r="C597" i="21"/>
  <c r="C386" i="21"/>
  <c r="C176" i="21"/>
  <c r="J599" i="21"/>
  <c r="J388" i="21"/>
  <c r="J178" i="21"/>
  <c r="I388" i="21"/>
  <c r="I599" i="21"/>
  <c r="I178" i="21"/>
  <c r="K387" i="21"/>
  <c r="K598" i="21"/>
  <c r="K177" i="21"/>
  <c r="L387" i="21"/>
  <c r="L598" i="21"/>
  <c r="L177" i="21"/>
  <c r="L386" i="21"/>
  <c r="L597" i="21"/>
  <c r="L176" i="21"/>
  <c r="H388" i="21"/>
  <c r="H599" i="21"/>
  <c r="H178" i="21"/>
  <c r="K454" i="21"/>
  <c r="M29" i="21"/>
  <c r="K244" i="21"/>
  <c r="M617" i="21" l="1"/>
  <c r="M609" i="21"/>
  <c r="M454" i="21"/>
  <c r="V426" i="21"/>
  <c r="R427" i="21"/>
  <c r="R426" i="21"/>
  <c r="V427" i="21"/>
  <c r="U428" i="21"/>
  <c r="T426" i="21"/>
  <c r="Y426" i="21"/>
  <c r="W427" i="21"/>
  <c r="Z426" i="21"/>
  <c r="T427" i="21"/>
  <c r="X427" i="21"/>
  <c r="U426" i="21"/>
  <c r="Z428" i="21"/>
  <c r="X428" i="21"/>
  <c r="T428" i="21"/>
  <c r="W426" i="21"/>
  <c r="S426" i="21"/>
  <c r="Q427" i="21"/>
  <c r="S427" i="21"/>
  <c r="V428" i="21"/>
  <c r="Y428" i="21"/>
  <c r="Y427" i="21"/>
  <c r="W428" i="21"/>
  <c r="Z427" i="21"/>
  <c r="R428" i="21"/>
  <c r="X426" i="21"/>
  <c r="U427" i="21"/>
  <c r="Y434" i="21"/>
  <c r="R434" i="21"/>
  <c r="Q426" i="21"/>
  <c r="V434" i="21"/>
  <c r="V433" i="21"/>
  <c r="Z435" i="21"/>
  <c r="Z433" i="21"/>
  <c r="S433" i="21"/>
  <c r="Y433" i="21"/>
  <c r="T433" i="21"/>
  <c r="Z434" i="21"/>
  <c r="X434" i="21"/>
  <c r="S434" i="21"/>
  <c r="T434" i="21"/>
  <c r="W434" i="21"/>
  <c r="T435" i="21"/>
  <c r="V435" i="21"/>
  <c r="Y435" i="21"/>
  <c r="W435" i="21"/>
  <c r="R433" i="21"/>
  <c r="X435" i="21"/>
  <c r="X433" i="21"/>
  <c r="U434" i="21"/>
  <c r="Q434" i="21"/>
  <c r="W433" i="21"/>
  <c r="R435" i="21"/>
  <c r="U433" i="21"/>
  <c r="U435" i="21"/>
  <c r="Q433" i="21"/>
  <c r="T419" i="21"/>
  <c r="Z421" i="21"/>
  <c r="R419" i="21"/>
  <c r="Z420" i="21"/>
  <c r="V419" i="21"/>
  <c r="Z419" i="21"/>
  <c r="Y420" i="21"/>
  <c r="U420" i="21"/>
  <c r="Q420" i="21"/>
  <c r="T420" i="21"/>
  <c r="Y419" i="21"/>
  <c r="T421" i="21"/>
  <c r="W421" i="21"/>
  <c r="X420" i="21"/>
  <c r="U421" i="21"/>
  <c r="S420" i="21"/>
  <c r="U419" i="21"/>
  <c r="R421" i="21"/>
  <c r="W420" i="21"/>
  <c r="V421" i="21"/>
  <c r="R420" i="21"/>
  <c r="X421" i="21"/>
  <c r="W419" i="21"/>
  <c r="Y421" i="21"/>
  <c r="V420" i="21"/>
  <c r="X419" i="21"/>
  <c r="S419" i="21"/>
  <c r="J203" i="21"/>
  <c r="J626" i="21"/>
  <c r="J413" i="21"/>
  <c r="J204" i="21"/>
  <c r="H186" i="21"/>
  <c r="H395" i="21"/>
  <c r="H608" i="21"/>
  <c r="J200" i="21"/>
  <c r="C616" i="21"/>
  <c r="C403" i="21"/>
  <c r="E395" i="21"/>
  <c r="E608" i="21"/>
  <c r="E186" i="21"/>
  <c r="H413" i="21"/>
  <c r="H626" i="21"/>
  <c r="H204" i="21"/>
  <c r="J409" i="21"/>
  <c r="E626" i="21"/>
  <c r="E413" i="21"/>
  <c r="E204" i="21"/>
  <c r="Q419" i="21"/>
  <c r="C204" i="21"/>
  <c r="C626" i="21"/>
  <c r="C413" i="21"/>
  <c r="I192" i="21"/>
  <c r="E403" i="21"/>
  <c r="E616" i="21"/>
  <c r="J194" i="21"/>
  <c r="J403" i="21"/>
  <c r="J616" i="21"/>
  <c r="F399" i="21"/>
  <c r="F612" i="21"/>
  <c r="C186" i="21"/>
  <c r="C395" i="21"/>
  <c r="C608" i="21"/>
  <c r="J395" i="21"/>
  <c r="J608" i="21"/>
  <c r="J186" i="21"/>
  <c r="H612" i="21"/>
  <c r="H403" i="21"/>
  <c r="H616" i="21"/>
  <c r="Z401" i="21"/>
  <c r="X401" i="21"/>
  <c r="Y401" i="21"/>
  <c r="X393" i="21"/>
  <c r="M244" i="21"/>
  <c r="X411" i="21"/>
  <c r="Y411" i="21"/>
  <c r="Y393" i="21"/>
  <c r="M434" i="21"/>
  <c r="M435" i="21"/>
  <c r="M426" i="21"/>
  <c r="M433" i="21"/>
  <c r="M647" i="21"/>
  <c r="M210" i="21"/>
  <c r="C631" i="21"/>
  <c r="C209" i="21"/>
  <c r="G216" i="21"/>
  <c r="G638" i="21"/>
  <c r="F638" i="21"/>
  <c r="F216" i="21"/>
  <c r="M428" i="21"/>
  <c r="E638" i="21"/>
  <c r="E216" i="21"/>
  <c r="C645" i="21"/>
  <c r="C223" i="21"/>
  <c r="I645" i="21"/>
  <c r="I223" i="21"/>
  <c r="H223" i="21"/>
  <c r="H645" i="21"/>
  <c r="E631" i="21"/>
  <c r="E209" i="21"/>
  <c r="M646" i="21"/>
  <c r="H209" i="21"/>
  <c r="H631" i="21"/>
  <c r="J631" i="21"/>
  <c r="J209" i="21"/>
  <c r="I638" i="21"/>
  <c r="I216" i="21"/>
  <c r="G209" i="21"/>
  <c r="G631" i="21"/>
  <c r="M640" i="21"/>
  <c r="M641" i="21"/>
  <c r="M634" i="21"/>
  <c r="C638" i="21"/>
  <c r="C216" i="21"/>
  <c r="F645" i="21"/>
  <c r="F223" i="21"/>
  <c r="L638" i="21"/>
  <c r="L216" i="21"/>
  <c r="D638" i="21"/>
  <c r="D216" i="21"/>
  <c r="L645" i="21"/>
  <c r="L223" i="21"/>
  <c r="I209" i="21"/>
  <c r="I631" i="21"/>
  <c r="M419" i="21"/>
  <c r="L631" i="21"/>
  <c r="L209" i="21"/>
  <c r="M421" i="21"/>
  <c r="M639" i="21"/>
  <c r="M648" i="21"/>
  <c r="M632" i="21"/>
  <c r="M427" i="21"/>
  <c r="J638" i="21"/>
  <c r="J216" i="21"/>
  <c r="E645" i="21"/>
  <c r="E223" i="21"/>
  <c r="H216" i="21"/>
  <c r="H638" i="21"/>
  <c r="M420" i="21"/>
  <c r="D631" i="21"/>
  <c r="D209" i="21"/>
  <c r="D645" i="21"/>
  <c r="D223" i="21"/>
  <c r="G223" i="21"/>
  <c r="G645" i="21"/>
  <c r="F631" i="21"/>
  <c r="F209" i="21"/>
  <c r="J645" i="21"/>
  <c r="J223" i="21"/>
  <c r="M633" i="21"/>
  <c r="E425" i="21"/>
  <c r="C432" i="21"/>
  <c r="I432" i="21"/>
  <c r="C425" i="21"/>
  <c r="F432" i="21"/>
  <c r="L425" i="21"/>
  <c r="H425" i="21"/>
  <c r="L432" i="21"/>
  <c r="I418" i="21"/>
  <c r="M211" i="21"/>
  <c r="M219" i="21"/>
  <c r="J418" i="21"/>
  <c r="I425" i="21"/>
  <c r="G418" i="21"/>
  <c r="D425" i="21"/>
  <c r="M225" i="21"/>
  <c r="M226" i="21"/>
  <c r="L418" i="21"/>
  <c r="D418" i="21"/>
  <c r="D432" i="21"/>
  <c r="G432" i="21"/>
  <c r="F418" i="21"/>
  <c r="J425" i="21"/>
  <c r="E432" i="21"/>
  <c r="M217" i="21"/>
  <c r="H418" i="21"/>
  <c r="J432" i="21"/>
  <c r="F425" i="21"/>
  <c r="M224" i="21"/>
  <c r="M218" i="21"/>
  <c r="M212" i="21"/>
  <c r="C418" i="21"/>
  <c r="G425" i="21"/>
  <c r="H432" i="21"/>
  <c r="E418" i="21"/>
  <c r="I401" i="21"/>
  <c r="H412" i="21"/>
  <c r="H399" i="21"/>
  <c r="H194" i="21"/>
  <c r="C605" i="21"/>
  <c r="C392" i="21"/>
  <c r="C169" i="22"/>
  <c r="N169" i="22" s="1"/>
  <c r="J625" i="21"/>
  <c r="L402" i="21"/>
  <c r="L191" i="21"/>
  <c r="E179" i="22"/>
  <c r="P179" i="22" s="1"/>
  <c r="L179" i="22"/>
  <c r="W179" i="22" s="1"/>
  <c r="J412" i="21"/>
  <c r="J189" i="22"/>
  <c r="U189" i="22" s="1"/>
  <c r="H203" i="21"/>
  <c r="E189" i="22"/>
  <c r="P189" i="22" s="1"/>
  <c r="C179" i="22"/>
  <c r="N179" i="22" s="1"/>
  <c r="I393" i="21"/>
  <c r="I184" i="21"/>
  <c r="E169" i="22"/>
  <c r="P169" i="22" s="1"/>
  <c r="H393" i="21"/>
  <c r="L189" i="22"/>
  <c r="J169" i="22"/>
  <c r="U169" i="22" s="1"/>
  <c r="H606" i="21"/>
  <c r="R173" i="22"/>
  <c r="G179" i="22"/>
  <c r="R179" i="22" s="1"/>
  <c r="X396" i="21"/>
  <c r="AA396" i="21" s="1"/>
  <c r="M396" i="21"/>
  <c r="I189" i="22"/>
  <c r="T189" i="22" s="1"/>
  <c r="T183" i="22"/>
  <c r="F394" i="21"/>
  <c r="F185" i="21"/>
  <c r="F607" i="21"/>
  <c r="E409" i="21"/>
  <c r="E200" i="21"/>
  <c r="E622" i="21"/>
  <c r="E201" i="21"/>
  <c r="E623" i="21"/>
  <c r="E410" i="21"/>
  <c r="K204" i="22"/>
  <c r="V204" i="22" s="1"/>
  <c r="V200" i="22"/>
  <c r="I623" i="21"/>
  <c r="I201" i="21"/>
  <c r="I410" i="21"/>
  <c r="X404" i="21"/>
  <c r="AA404" i="21" s="1"/>
  <c r="M404" i="21"/>
  <c r="J179" i="22"/>
  <c r="U179" i="22" s="1"/>
  <c r="U174" i="22"/>
  <c r="J612" i="21" s="1"/>
  <c r="I394" i="21"/>
  <c r="I607" i="21"/>
  <c r="I185" i="21"/>
  <c r="T173" i="22"/>
  <c r="I179" i="22"/>
  <c r="T179" i="22" s="1"/>
  <c r="I615" i="21"/>
  <c r="I191" i="21"/>
  <c r="I402" i="21"/>
  <c r="H402" i="21"/>
  <c r="H615" i="21"/>
  <c r="H191" i="21"/>
  <c r="J402" i="21"/>
  <c r="J191" i="21"/>
  <c r="J615" i="21"/>
  <c r="Q164" i="22"/>
  <c r="F169" i="22"/>
  <c r="Q169" i="22" s="1"/>
  <c r="I613" i="21"/>
  <c r="I400" i="21"/>
  <c r="I190" i="21"/>
  <c r="F402" i="21"/>
  <c r="F615" i="21"/>
  <c r="F191" i="21"/>
  <c r="K190" i="21"/>
  <c r="K613" i="21"/>
  <c r="K400" i="21"/>
  <c r="C182" i="21"/>
  <c r="C604" i="21"/>
  <c r="C391" i="21"/>
  <c r="Q391" i="21" s="1"/>
  <c r="V163" i="22"/>
  <c r="K169" i="22"/>
  <c r="V169" i="22" s="1"/>
  <c r="O174" i="22"/>
  <c r="D179" i="22"/>
  <c r="O179" i="22" s="1"/>
  <c r="C409" i="21"/>
  <c r="C200" i="21"/>
  <c r="C622" i="21"/>
  <c r="J391" i="21"/>
  <c r="J182" i="21"/>
  <c r="J604" i="21"/>
  <c r="I605" i="21"/>
  <c r="I392" i="21"/>
  <c r="I183" i="21"/>
  <c r="V173" i="22"/>
  <c r="K179" i="22"/>
  <c r="V179" i="22" s="1"/>
  <c r="G201" i="21"/>
  <c r="G410" i="21"/>
  <c r="G623" i="21"/>
  <c r="H189" i="22"/>
  <c r="S189" i="22" s="1"/>
  <c r="K607" i="21"/>
  <c r="K394" i="21"/>
  <c r="K185" i="21"/>
  <c r="G400" i="21"/>
  <c r="G190" i="21"/>
  <c r="G613" i="21"/>
  <c r="F190" i="21"/>
  <c r="F613" i="21"/>
  <c r="F400" i="21"/>
  <c r="F179" i="22"/>
  <c r="Q179" i="22" s="1"/>
  <c r="I202" i="21"/>
  <c r="I411" i="21"/>
  <c r="I624" i="21"/>
  <c r="H201" i="21"/>
  <c r="H410" i="21"/>
  <c r="H623" i="21"/>
  <c r="C189" i="22"/>
  <c r="N189" i="22" s="1"/>
  <c r="C612" i="21"/>
  <c r="C194" i="21"/>
  <c r="C399" i="21"/>
  <c r="I625" i="21"/>
  <c r="I412" i="21"/>
  <c r="I203" i="21"/>
  <c r="J605" i="21"/>
  <c r="J392" i="21"/>
  <c r="J183" i="21"/>
  <c r="K402" i="21"/>
  <c r="K615" i="21"/>
  <c r="K191" i="21"/>
  <c r="H409" i="21"/>
  <c r="H622" i="21"/>
  <c r="H200" i="21"/>
  <c r="O184" i="22"/>
  <c r="D189" i="22"/>
  <c r="O189" i="22" s="1"/>
  <c r="L184" i="21"/>
  <c r="L606" i="21"/>
  <c r="L393" i="21"/>
  <c r="E612" i="21"/>
  <c r="E399" i="21"/>
  <c r="E194" i="21"/>
  <c r="F625" i="21"/>
  <c r="F203" i="21"/>
  <c r="F412" i="21"/>
  <c r="J627" i="21"/>
  <c r="J205" i="21"/>
  <c r="M205" i="21" s="1"/>
  <c r="J414" i="21"/>
  <c r="E183" i="21"/>
  <c r="E605" i="21"/>
  <c r="E392" i="21"/>
  <c r="Q184" i="22"/>
  <c r="F189" i="22"/>
  <c r="Q189" i="22" s="1"/>
  <c r="C201" i="21"/>
  <c r="C410" i="21"/>
  <c r="C623" i="21"/>
  <c r="R183" i="22"/>
  <c r="G189" i="22"/>
  <c r="R189" i="22" s="1"/>
  <c r="J607" i="21"/>
  <c r="J394" i="21"/>
  <c r="J185" i="21"/>
  <c r="H613" i="21"/>
  <c r="H400" i="21"/>
  <c r="H190" i="21"/>
  <c r="L202" i="21"/>
  <c r="L411" i="21"/>
  <c r="L624" i="21"/>
  <c r="R163" i="22"/>
  <c r="G169" i="22"/>
  <c r="R169" i="22" s="1"/>
  <c r="H183" i="21"/>
  <c r="H392" i="21"/>
  <c r="H605" i="21"/>
  <c r="H604" i="21"/>
  <c r="H182" i="21"/>
  <c r="H391" i="21"/>
  <c r="H179" i="22"/>
  <c r="S179" i="22" s="1"/>
  <c r="S175" i="22"/>
  <c r="E613" i="21"/>
  <c r="E190" i="21"/>
  <c r="E400" i="21"/>
  <c r="J623" i="21"/>
  <c r="J201" i="21"/>
  <c r="J410" i="21"/>
  <c r="V207" i="22"/>
  <c r="K211" i="22"/>
  <c r="V211" i="22" s="1"/>
  <c r="H185" i="21"/>
  <c r="H394" i="21"/>
  <c r="H607" i="21"/>
  <c r="K201" i="21"/>
  <c r="K623" i="21"/>
  <c r="K410" i="21"/>
  <c r="E604" i="21"/>
  <c r="E391" i="21"/>
  <c r="E182" i="21"/>
  <c r="K183" i="21"/>
  <c r="K392" i="21"/>
  <c r="K605" i="21"/>
  <c r="W183" i="22"/>
  <c r="W163" i="22"/>
  <c r="L169" i="22"/>
  <c r="G183" i="21"/>
  <c r="G605" i="21"/>
  <c r="G392" i="21"/>
  <c r="H169" i="22"/>
  <c r="S169" i="22" s="1"/>
  <c r="W166" i="22"/>
  <c r="W186" i="22"/>
  <c r="W184" i="22"/>
  <c r="W164" i="22"/>
  <c r="V183" i="22"/>
  <c r="K189" i="22"/>
  <c r="V189" i="22" s="1"/>
  <c r="O164" i="22"/>
  <c r="D169" i="22"/>
  <c r="O169" i="22" s="1"/>
  <c r="K197" i="22"/>
  <c r="V197" i="22" s="1"/>
  <c r="V193" i="22"/>
  <c r="K203" i="21"/>
  <c r="K625" i="21"/>
  <c r="K412" i="21"/>
  <c r="T163" i="22"/>
  <c r="I169" i="22"/>
  <c r="T169" i="22" s="1"/>
  <c r="H202" i="21"/>
  <c r="H624" i="21"/>
  <c r="H411" i="21"/>
  <c r="L190" i="21"/>
  <c r="L400" i="21"/>
  <c r="L613" i="21"/>
  <c r="C613" i="21"/>
  <c r="C190" i="21"/>
  <c r="C400" i="21"/>
  <c r="M386" i="21"/>
  <c r="M388" i="21"/>
  <c r="M387" i="21"/>
  <c r="X409" i="21" l="1"/>
  <c r="M627" i="21"/>
  <c r="AA428" i="21"/>
  <c r="AA426" i="21"/>
  <c r="AA427" i="21"/>
  <c r="AA433" i="21"/>
  <c r="AA420" i="21"/>
  <c r="T425" i="21"/>
  <c r="AA434" i="21"/>
  <c r="U425" i="21"/>
  <c r="S425" i="21"/>
  <c r="X425" i="21"/>
  <c r="R425" i="21"/>
  <c r="V425" i="21"/>
  <c r="AA435" i="21"/>
  <c r="Z425" i="21"/>
  <c r="W425" i="21"/>
  <c r="AA419" i="21"/>
  <c r="Q425" i="21"/>
  <c r="U432" i="21"/>
  <c r="T432" i="21"/>
  <c r="R432" i="21"/>
  <c r="X432" i="21"/>
  <c r="W432" i="21"/>
  <c r="V432" i="21"/>
  <c r="S432" i="21"/>
  <c r="Z432" i="21"/>
  <c r="AA421" i="21"/>
  <c r="Q432" i="21"/>
  <c r="T418" i="21"/>
  <c r="U418" i="21"/>
  <c r="V413" i="21"/>
  <c r="X418" i="21"/>
  <c r="S418" i="21"/>
  <c r="R418" i="21"/>
  <c r="S413" i="21"/>
  <c r="X413" i="21"/>
  <c r="V418" i="21"/>
  <c r="Z418" i="21"/>
  <c r="W418" i="21"/>
  <c r="Q418" i="21"/>
  <c r="T399" i="21"/>
  <c r="F182" i="21"/>
  <c r="F604" i="21"/>
  <c r="F391" i="21"/>
  <c r="G626" i="21"/>
  <c r="G413" i="21"/>
  <c r="G204" i="21"/>
  <c r="J399" i="21"/>
  <c r="X403" i="21"/>
  <c r="V395" i="21"/>
  <c r="Q413" i="21"/>
  <c r="D200" i="21"/>
  <c r="D622" i="21"/>
  <c r="D409" i="21"/>
  <c r="G403" i="21"/>
  <c r="G616" i="21"/>
  <c r="D604" i="21"/>
  <c r="D391" i="21"/>
  <c r="D182" i="21"/>
  <c r="K608" i="21"/>
  <c r="K186" i="21"/>
  <c r="K395" i="21"/>
  <c r="I413" i="21"/>
  <c r="I626" i="21"/>
  <c r="I204" i="21"/>
  <c r="X395" i="21"/>
  <c r="V403" i="21"/>
  <c r="I395" i="21"/>
  <c r="I186" i="21"/>
  <c r="I608" i="21"/>
  <c r="I403" i="21"/>
  <c r="I616" i="21"/>
  <c r="L626" i="21"/>
  <c r="L413" i="21"/>
  <c r="L204" i="21"/>
  <c r="D612" i="21"/>
  <c r="D399" i="21"/>
  <c r="Q395" i="21"/>
  <c r="S403" i="21"/>
  <c r="S395" i="21"/>
  <c r="L186" i="21"/>
  <c r="L608" i="21"/>
  <c r="L395" i="21"/>
  <c r="G395" i="21"/>
  <c r="G608" i="21"/>
  <c r="G186" i="21"/>
  <c r="F622" i="21"/>
  <c r="F200" i="21"/>
  <c r="F409" i="21"/>
  <c r="L403" i="21"/>
  <c r="L616" i="21"/>
  <c r="K204" i="21"/>
  <c r="K413" i="21"/>
  <c r="K626" i="21"/>
  <c r="K616" i="21"/>
  <c r="K403" i="21"/>
  <c r="Q403" i="21"/>
  <c r="Z402" i="21"/>
  <c r="V400" i="21"/>
  <c r="X402" i="21"/>
  <c r="U400" i="21"/>
  <c r="W401" i="21"/>
  <c r="Z400" i="21"/>
  <c r="Y402" i="21"/>
  <c r="W400" i="21"/>
  <c r="Y400" i="21"/>
  <c r="V402" i="21"/>
  <c r="S400" i="21"/>
  <c r="W402" i="21"/>
  <c r="W411" i="21"/>
  <c r="Q392" i="21"/>
  <c r="W412" i="21"/>
  <c r="X410" i="21"/>
  <c r="X412" i="21"/>
  <c r="Y412" i="21"/>
  <c r="U410" i="21"/>
  <c r="X394" i="21"/>
  <c r="Y394" i="21"/>
  <c r="W394" i="21"/>
  <c r="W393" i="21"/>
  <c r="Y410" i="21"/>
  <c r="Z411" i="21"/>
  <c r="S392" i="21"/>
  <c r="X392" i="21"/>
  <c r="W392" i="21"/>
  <c r="V399" i="21"/>
  <c r="W410" i="21"/>
  <c r="U392" i="21"/>
  <c r="Y392" i="21"/>
  <c r="S410" i="21"/>
  <c r="V412" i="21"/>
  <c r="Z393" i="21"/>
  <c r="V393" i="21"/>
  <c r="V394" i="21"/>
  <c r="V392" i="21"/>
  <c r="V410" i="21"/>
  <c r="K631" i="21"/>
  <c r="K209" i="21"/>
  <c r="M209" i="21" s="1"/>
  <c r="K645" i="21"/>
  <c r="K223" i="21"/>
  <c r="M223" i="21" s="1"/>
  <c r="K638" i="21"/>
  <c r="K216" i="21"/>
  <c r="M216" i="21" s="1"/>
  <c r="K425" i="21"/>
  <c r="K418" i="21"/>
  <c r="K432" i="21"/>
  <c r="M184" i="21"/>
  <c r="M624" i="21"/>
  <c r="M606" i="21"/>
  <c r="M615" i="21"/>
  <c r="M202" i="21"/>
  <c r="L392" i="21"/>
  <c r="L605" i="21"/>
  <c r="L183" i="21"/>
  <c r="W169" i="22"/>
  <c r="W189" i="22"/>
  <c r="E397" i="21"/>
  <c r="S391" i="21"/>
  <c r="T400" i="21"/>
  <c r="F405" i="21"/>
  <c r="Q409" i="21"/>
  <c r="C415" i="21"/>
  <c r="I200" i="21"/>
  <c r="I409" i="21"/>
  <c r="I622" i="21"/>
  <c r="L410" i="21"/>
  <c r="L623" i="21"/>
  <c r="L201" i="21"/>
  <c r="L604" i="21"/>
  <c r="L391" i="21"/>
  <c r="L182" i="21"/>
  <c r="H192" i="21"/>
  <c r="M192" i="21" s="1"/>
  <c r="H401" i="21"/>
  <c r="H614" i="21"/>
  <c r="G622" i="21"/>
  <c r="G200" i="21"/>
  <c r="G409" i="21"/>
  <c r="E405" i="21"/>
  <c r="S399" i="21"/>
  <c r="M393" i="21"/>
  <c r="I182" i="21"/>
  <c r="I391" i="21"/>
  <c r="I604" i="21"/>
  <c r="L625" i="21"/>
  <c r="L203" i="21"/>
  <c r="M203" i="21" s="1"/>
  <c r="L412" i="21"/>
  <c r="L612" i="21"/>
  <c r="L399" i="21"/>
  <c r="L194" i="21"/>
  <c r="G391" i="21"/>
  <c r="G182" i="21"/>
  <c r="G604" i="21"/>
  <c r="X414" i="21"/>
  <c r="AA414" i="21" s="1"/>
  <c r="M414" i="21"/>
  <c r="D613" i="21"/>
  <c r="D190" i="21"/>
  <c r="D400" i="21"/>
  <c r="S409" i="21"/>
  <c r="E415" i="21"/>
  <c r="D183" i="21"/>
  <c r="D605" i="21"/>
  <c r="D392" i="21"/>
  <c r="L185" i="21"/>
  <c r="M185" i="21" s="1"/>
  <c r="L394" i="21"/>
  <c r="L607" i="21"/>
  <c r="L409" i="21"/>
  <c r="L200" i="21"/>
  <c r="L622" i="21"/>
  <c r="H397" i="21"/>
  <c r="V391" i="21"/>
  <c r="Q410" i="21"/>
  <c r="H415" i="21"/>
  <c r="V409" i="21"/>
  <c r="M191" i="21"/>
  <c r="J613" i="21"/>
  <c r="J190" i="21"/>
  <c r="J400" i="21"/>
  <c r="J415" i="21"/>
  <c r="K391" i="21"/>
  <c r="K604" i="21"/>
  <c r="K182" i="21"/>
  <c r="F605" i="21"/>
  <c r="F392" i="21"/>
  <c r="F183" i="21"/>
  <c r="T412" i="21"/>
  <c r="Q399" i="21"/>
  <c r="C405" i="21"/>
  <c r="X391" i="21"/>
  <c r="J397" i="21"/>
  <c r="C397" i="21"/>
  <c r="T402" i="21"/>
  <c r="M402" i="21"/>
  <c r="Q400" i="21"/>
  <c r="V411" i="21"/>
  <c r="M411" i="21"/>
  <c r="F410" i="21"/>
  <c r="F623" i="21"/>
  <c r="F201" i="21"/>
  <c r="K200" i="21"/>
  <c r="K409" i="21"/>
  <c r="K622" i="21"/>
  <c r="D410" i="21"/>
  <c r="D623" i="21"/>
  <c r="D201" i="21"/>
  <c r="K399" i="21"/>
  <c r="K612" i="21"/>
  <c r="K194" i="21"/>
  <c r="I194" i="21"/>
  <c r="I399" i="21"/>
  <c r="I612" i="21"/>
  <c r="T394" i="21"/>
  <c r="G194" i="21"/>
  <c r="G612" i="21"/>
  <c r="G399" i="21"/>
  <c r="M614" i="21" l="1"/>
  <c r="M625" i="21"/>
  <c r="M638" i="21"/>
  <c r="M607" i="21"/>
  <c r="M631" i="21"/>
  <c r="M645" i="21"/>
  <c r="Y425" i="21"/>
  <c r="AA425" i="21" s="1"/>
  <c r="X399" i="21"/>
  <c r="Y432" i="21"/>
  <c r="AA432" i="21" s="1"/>
  <c r="Y413" i="21"/>
  <c r="U413" i="21"/>
  <c r="W413" i="21"/>
  <c r="Y418" i="21"/>
  <c r="AA418" i="21" s="1"/>
  <c r="T409" i="21"/>
  <c r="R409" i="21"/>
  <c r="Z413" i="21"/>
  <c r="M608" i="21"/>
  <c r="M204" i="21"/>
  <c r="M626" i="21"/>
  <c r="M616" i="21"/>
  <c r="M186" i="21"/>
  <c r="T391" i="21"/>
  <c r="W403" i="21"/>
  <c r="U403" i="21"/>
  <c r="R399" i="21"/>
  <c r="Y395" i="21"/>
  <c r="M403" i="21"/>
  <c r="U395" i="21"/>
  <c r="Y403" i="21"/>
  <c r="Z403" i="21"/>
  <c r="Z395" i="21"/>
  <c r="R391" i="21"/>
  <c r="M413" i="21"/>
  <c r="M395" i="21"/>
  <c r="W395" i="21"/>
  <c r="AA393" i="21"/>
  <c r="AA411" i="21"/>
  <c r="H405" i="21"/>
  <c r="AA402" i="21"/>
  <c r="Z410" i="21"/>
  <c r="Z412" i="21"/>
  <c r="AA412" i="21" s="1"/>
  <c r="Z394" i="21"/>
  <c r="AA394" i="21" s="1"/>
  <c r="Z392" i="21"/>
  <c r="M418" i="21"/>
  <c r="M425" i="21"/>
  <c r="M432" i="21"/>
  <c r="M182" i="21"/>
  <c r="M622" i="21"/>
  <c r="M200" i="21"/>
  <c r="M394" i="21"/>
  <c r="M201" i="21"/>
  <c r="M400" i="21"/>
  <c r="M190" i="21"/>
  <c r="M194" i="21"/>
  <c r="M613" i="21"/>
  <c r="M612" i="21"/>
  <c r="M623" i="21"/>
  <c r="M604" i="21"/>
  <c r="M412" i="21"/>
  <c r="T410" i="21"/>
  <c r="F415" i="21"/>
  <c r="M183" i="21"/>
  <c r="W409" i="21"/>
  <c r="I415" i="21"/>
  <c r="I405" i="21"/>
  <c r="W399" i="21"/>
  <c r="Y391" i="21"/>
  <c r="K397" i="21"/>
  <c r="U409" i="21"/>
  <c r="G415" i="21"/>
  <c r="Z409" i="21"/>
  <c r="L415" i="21"/>
  <c r="L397" i="21"/>
  <c r="Z391" i="21"/>
  <c r="G405" i="21"/>
  <c r="U399" i="21"/>
  <c r="R410" i="21"/>
  <c r="D415" i="21"/>
  <c r="M391" i="21"/>
  <c r="M410" i="21"/>
  <c r="M409" i="21"/>
  <c r="R400" i="21"/>
  <c r="D405" i="21"/>
  <c r="G397" i="21"/>
  <c r="U391" i="21"/>
  <c r="W391" i="21"/>
  <c r="I397" i="21"/>
  <c r="T392" i="21"/>
  <c r="F397" i="21"/>
  <c r="X400" i="21"/>
  <c r="J405" i="21"/>
  <c r="Y409" i="21"/>
  <c r="K415" i="21"/>
  <c r="M399" i="21"/>
  <c r="R392" i="21"/>
  <c r="D397" i="21"/>
  <c r="M392" i="21"/>
  <c r="L405" i="21"/>
  <c r="Z399" i="21"/>
  <c r="V401" i="21"/>
  <c r="AA401" i="21" s="1"/>
  <c r="M401" i="21"/>
  <c r="K405" i="21"/>
  <c r="Y399" i="21"/>
  <c r="M605" i="21"/>
  <c r="AA413" i="21" l="1"/>
  <c r="AA403" i="21"/>
  <c r="AA395" i="21"/>
  <c r="AA410" i="21"/>
  <c r="M415" i="21"/>
  <c r="AA392" i="21"/>
  <c r="AA399" i="21"/>
  <c r="AA400" i="21"/>
  <c r="AA391" i="21"/>
  <c r="AA409" i="21"/>
  <c r="M405" i="21"/>
  <c r="M397" i="2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<sst xmlns="http://schemas.openxmlformats.org/spreadsheetml/2006/main" count="74195" uniqueCount="11598">
  <si>
    <t>Investors in Funding Rounds</t>
  </si>
  <si>
    <t>Agriculture</t>
  </si>
  <si>
    <t>Country</t>
  </si>
  <si>
    <t>Companies in Funding Rounds</t>
  </si>
  <si>
    <t>Copyright © 2020, Tracxn Technologies Private Limited. All rights reserved.</t>
  </si>
  <si>
    <t>Prepared on Nov 04, 2020 for internal use of Tracxn only</t>
  </si>
  <si>
    <t>SNo.</t>
  </si>
  <si>
    <t>Funding Date</t>
  </si>
  <si>
    <t>Round Name</t>
  </si>
  <si>
    <t>Funding Amount (USD)</t>
  </si>
  <si>
    <t>Company Name</t>
  </si>
  <si>
    <t>Domain Name</t>
  </si>
  <si>
    <t>Institutional Investors</t>
  </si>
  <si>
    <t>Angel Investors</t>
  </si>
  <si>
    <t>Lead Investor</t>
  </si>
  <si>
    <t>Founded Year</t>
  </si>
  <si>
    <t>Location</t>
  </si>
  <si>
    <t>Total Funding (USD)</t>
  </si>
  <si>
    <t>Overview</t>
  </si>
  <si>
    <t>Business Models</t>
  </si>
  <si>
    <t>Facilitators</t>
  </si>
  <si>
    <t>Lead Facilitator</t>
  </si>
  <si>
    <t>News Links</t>
  </si>
  <si>
    <t>Documents Links</t>
  </si>
  <si>
    <t>Comments</t>
  </si>
  <si>
    <t>Series B</t>
  </si>
  <si>
    <t>Agrofy</t>
  </si>
  <si>
    <t>agrofy.com</t>
  </si>
  <si>
    <t>Capria; capria.vc</t>
  </si>
  <si>
    <t>Capria</t>
  </si>
  <si>
    <t>Rosario, Provincia De Santa Fe, Argentina</t>
  </si>
  <si>
    <t>Online marketplace for farm inputs</t>
  </si>
  <si>
    <t>Crop Tech &gt; ECommerce &gt; Farm Inputs &gt; Multi Category &gt; Marketplace
Marketplaces &gt; Crop Tech &gt; ECommerce &gt; Farm Inputs &gt; Multi Category &gt; Marketplace
Farm Inputs E-Commerce &gt; Crop Tech &gt; ECommerce &gt; Farm Inputs &gt; Multi Category &gt; Marketplace</t>
  </si>
  <si>
    <t>zbv.com.ar</t>
  </si>
  <si>
    <t>Seed</t>
  </si>
  <si>
    <t>Farmers Pride</t>
  </si>
  <si>
    <t>farmersprideafrica.com</t>
  </si>
  <si>
    <t>Gray Matters Capital; graymatterscap.com</t>
  </si>
  <si>
    <t>Gray Matters Capital</t>
  </si>
  <si>
    <t>Nairobi, Nairobi Province, Kenya</t>
  </si>
  <si>
    <t>Online horizontal marketplace for farmers</t>
  </si>
  <si>
    <t>Crop Tech &gt; ECommerce &gt; Diversified &gt; Marketplace
Marketplaces &gt; Crop Tech &gt; ECommerce &gt; Diversified &gt; Marketplace
Consumer Digital - Africa &gt; Crop Tech &gt; ECommerce &gt; Diversified &gt; Marketplace</t>
  </si>
  <si>
    <t>BharatAgri</t>
  </si>
  <si>
    <t>bharatagri.com</t>
  </si>
  <si>
    <t>021 Capital; 021.capital
India Quotient; indiaquotient.in
Better Capital; bettercapital.vc</t>
  </si>
  <si>
    <t>Ajay Prabhu</t>
  </si>
  <si>
    <t>021 Capital</t>
  </si>
  <si>
    <t>Pune, Maharashtra, India</t>
  </si>
  <si>
    <t>Platform that provides crop management solutions for farmers</t>
  </si>
  <si>
    <t>Crop Tech &gt; Farm Management Software &gt; Diversified
IIT Madras &gt; Crop Tech &gt; Farm Management Software &gt; Diversified
Enterprise Tech - India &gt; Crop Tech &gt; Farm Management Software &gt; Diversified
Farm Management Software &gt; Crop Tech &gt; Farm Management Software &gt; Diversified</t>
  </si>
  <si>
    <t>Undisclosed</t>
  </si>
  <si>
    <t>Agrix</t>
  </si>
  <si>
    <t>agrixagro.com</t>
  </si>
  <si>
    <t>Maple Capital Advisors; maple-advisors.com</t>
  </si>
  <si>
    <t>Abhinav Grover
Samarth Agrawal</t>
  </si>
  <si>
    <t>Maple Capital Advisors</t>
  </si>
  <si>
    <t>Delhi, NCT, India</t>
  </si>
  <si>
    <t>Online smart digital platform for farmers</t>
  </si>
  <si>
    <t>Crop Tech &gt; Farming as a Service &gt; Tech Enabled Services
AI in Agriculture &gt; Crop Tech &gt; Farming as a Service &gt; Tech Enabled Services
Artificial Intelligence &gt; Crop Tech &gt; Farming as a Service &gt; Tech Enabled Services
Artificial Intelligence - India &gt; Crop Tech &gt; Farming as a Service &gt; Tech Enabled Services
Enterprise Tech - India &gt; Crop Tech &gt; Farming as a Service &gt; Tech Enabled Services</t>
  </si>
  <si>
    <t>FreshoKartz</t>
  </si>
  <si>
    <t>freshokartz.com</t>
  </si>
  <si>
    <t>Rajasthan Venture Capital Fund; rvcf.org
AWE Funds; awefunds.com</t>
  </si>
  <si>
    <t>Rajasthan Venture Capital Fund
AWE Funds</t>
  </si>
  <si>
    <t>Jaipur, Rajasthan, India</t>
  </si>
  <si>
    <t>Online retailer of fruits and vegetables</t>
  </si>
  <si>
    <t>B2B E-Commerce &gt; Food &amp; Beverages &gt; Groceries &gt; Farm Products &gt; E-Distributor
Enterprise Tech - India &gt; B2B E-Commerce &gt; Food &amp; Beverages &gt; Groceries &gt; Farm Products &gt; E-Distributor
Online Grocery &gt; B2B Ecommerce &gt; Farm Produce &gt; Fruits and Vegetables &gt; E-Distributor
B2B Farm Produce E-Commerce &gt; Online Grocery &gt; B2B Ecommerce &gt; Farm Produce &gt; Fruits and Vegetables &gt; E-Distributor
Enterprise Tech - India &gt; Online Grocery &gt; B2B Ecommerce &gt; Farm Produce &gt; Fruits and Vegetables &gt; E-Distributor
Crop Tech &gt; ECommerce &gt; Farm Produce &gt; B2B &gt; Fruits and Vegetables &gt; E Distributor
Enterprise Tech - India &gt; Crop Tech &gt; ECommerce &gt; Farm Produce &gt; B2B &gt; Fruits and Vegetables &gt; E Distributor</t>
  </si>
  <si>
    <t>Tevel Aerobotics Technologies</t>
  </si>
  <si>
    <t>tevel-tech.com</t>
  </si>
  <si>
    <t>Maverick Ventures; maverickventures.com
OurCrowd; ourcrowd.com
AgFunder; agfunder.com</t>
  </si>
  <si>
    <t>Amichai Steinberg
Ziv Aviram</t>
  </si>
  <si>
    <t>Maverick Ventures
OurCrowd</t>
  </si>
  <si>
    <t>Gedera, Central District, Israel</t>
  </si>
  <si>
    <t>AI-powered autonomous drones for the harvesting of fruits</t>
  </si>
  <si>
    <t>Crop Tech &gt; Autonomous Farming &gt; Harvesting
Artificial Intelligence - MENA &gt; Crop Tech &gt; Autonomous Farming &gt; Harvesting
Enterprise Tech - MENA &gt; Crop Tech &gt; Autonomous Farming &gt; Harvesting
AI in Agriculture &gt; Crop Tech &gt; Autonomous Farming &gt; Harvesting
Technion Israel Institute of Technology &gt; Crop Tech &gt; Autonomous Farming &gt; Harvesting
Artificial Intelligence - Israel &gt; Crop Tech &gt; Autonomous Farming &gt; Harvesting
Artificial Intelligence &gt; Crop Tech &gt; Autonomous Farming &gt; Harvesting
Enterprise Tech - Israel &gt; Crop Tech &gt; Autonomous Farming &gt; Harvesting
Autonomous Farming &gt; Crop Tech &gt; Autonomous Farming &gt; Harvesting
Drones &gt; Civilian Drones &gt; Drone Platform
Artificial Intelligence - MENA &gt; Drones &gt; Civilian Drones &gt; Drone Platform
Enterprise Tech - MENA &gt; Drones &gt; Civilian Drones &gt; Drone Platform
HiTech - MENA &gt; Drones &gt; Civilian Drones &gt; Drone Platform
Artificial Intelligence - Israel &gt; Drones &gt; Civilian Drones &gt; Drone Platform
Artificial Intelligence &gt; Drones &gt; Civilian Drones &gt; Drone Platform
Enterprise Tech - Israel &gt; Drones &gt; Civilian Drones &gt; Drone Platform
HiTech - Israel &gt; Drones &gt; Civilian Drones &gt; Drone Platform
Consumer Drones &gt; Drones &gt; Civilian Drones &gt; Drone Platform
Technion Israel Institute of Technology &gt; Drones &gt; Civilian Drones &gt; Drone Platform</t>
  </si>
  <si>
    <t>Jumbotail</t>
  </si>
  <si>
    <t>jumbotail.com</t>
  </si>
  <si>
    <t>Heron Rock; heronrock.com
Nexus Venture Partners; nexusvp.com
Siddhi Capital; siddhicapital.co
Capria; capria.vc
Kalaari Capital; kalaari.com</t>
  </si>
  <si>
    <t>William Jarvis</t>
  </si>
  <si>
    <t>Heron Rock</t>
  </si>
  <si>
    <t>Bangalore, Karnataka, India</t>
  </si>
  <si>
    <t>Online B2B platform for packaged food products</t>
  </si>
  <si>
    <t>Online Grocery &gt; B2B Ecommerce &gt; Packaged Food Products &gt; Marketplace
Marketplaces &gt; Online Grocery &gt; B2B Ecommerce &gt; Packaged Food Products &gt; Marketplace
Stanford University &gt; Online Grocery &gt; B2B Ecommerce &gt; Packaged Food Products &gt; Marketplace
Stanford GSB &gt; Online Grocery &gt; B2B Ecommerce &gt; Packaged Food Products &gt; Marketplace
BCG &gt; Online Grocery &gt; B2B Ecommerce &gt; Packaged Food Products &gt; Marketplace
IIT Delhi &gt; Online Grocery &gt; B2B Ecommerce &gt; Packaged Food Products &gt; Marketplace
Flipkart &gt; Online Grocery &gt; B2B Ecommerce &gt; Packaged Food Products &gt; Marketplace
eBay &gt; Online Grocery &gt; B2B Ecommerce &gt; Packaged Food Products &gt; Marketplace
Enterprise Tech - India &gt; Online Grocery &gt; B2B Ecommerce &gt; Packaged Food Products &gt; Marketplace
B2B E-Commerce &gt; Food &amp; Beverages &gt; Groceries &gt; Processed Products &gt; Marketplace
Marketplaces &gt; B2B E-Commerce &gt; Food &amp; Beverages &gt; Groceries &gt; Processed Products &gt; Marketplace
Stanford University &gt; B2B E-Commerce &gt; Food &amp; Beverages &gt; Groceries &gt; Processed Products &gt; Marketplace
Stanford GSB &gt; B2B E-Commerce &gt; Food &amp; Beverages &gt; Groceries &gt; Processed Products &gt; Marketplace
BCG &gt; B2B E-Commerce &gt; Food &amp; Beverages &gt; Groceries &gt; Processed Products &gt; Marketplace
IIT Delhi &gt; B2B E-Commerce &gt; Food &amp; Beverages &gt; Groceries &gt; Processed Products &gt; Marketplace
Flipkart &gt; B2B E-Commerce &gt; Food &amp; Beverages &gt; Groceries &gt; Processed Products &gt; Marketplace
B2B Packaged Foods E-Commerce &gt; B2B E-Commerce &gt; Food &amp; Beverages &gt; Groceries &gt; Processed Products &gt; Marketplace
eBay &gt; B2B E-Commerce &gt; Food &amp; Beverages &gt; Groceries &gt; Processed Products &gt; Marketplace
Enterprise Tech - India &gt; B2B E-Commerce &gt; Food &amp; Beverages &gt; Groceries &gt; Processed Products &gt; Marketplace
In Store Retail Tech &gt; Informal Distribution &gt; Marketplace
Stanford University &gt; In Store Retail Tech &gt; Informal Distribution &gt; Marketplace
Marketplaces &gt; In Store Retail Tech &gt; Informal Distribution &gt; Marketplace
Stanford GSB &gt; In Store Retail Tech &gt; Informal Distribution &gt; Marketplace
BCG &gt; In Store Retail Tech &gt; Informal Distribution &gt; Marketplace
IIT Delhi &gt; In Store Retail Tech &gt; Informal Distribution &gt; Marketplace
Flipkart &gt; In Store Retail Tech &gt; Informal Distribution &gt; Marketplace
eBay &gt; In Store Retail Tech &gt; Informal Distribution &gt; Marketplace
Enterprise Tech - India &gt; In Store Retail Tech &gt; Informal Distribution &gt; Marketplace
Crop Tech &gt; ECommerce &gt; Farm Produce &gt; B2B &gt; Fruits and Vegetables &gt; Marketplace
Marketplaces &gt; Crop Tech &gt; ECommerce &gt; Farm Produce &gt; B2B &gt; Fruits and Vegetables &gt; Marketplace
Stanford University &gt; Crop Tech &gt; ECommerce &gt; Farm Produce &gt; B2B &gt; Fruits and Vegetables &gt; Marketplace
Stanford GSB &gt; Crop Tech &gt; ECommerce &gt; Farm Produce &gt; B2B &gt; Fruits and Vegetables &gt; Marketplace
IIT Delhi &gt; Crop Tech &gt; ECommerce &gt; Farm Produce &gt; B2B &gt; Fruits and Vegetables &gt; Marketplace
BCG &gt; Crop Tech &gt; ECommerce &gt; Farm Produce &gt; B2B &gt; Fruits and Vegetables &gt; Marketplace
Flipkart &gt; Crop Tech &gt; ECommerce &gt; Farm Produce &gt; B2B &gt; Fruits and Vegetables &gt; Marketplace
eBay &gt; Crop Tech &gt; ECommerce &gt; Farm Produce &gt; B2B &gt; Fruits and Vegetables &gt; Marketplace
Enterprise Tech - India &gt; Crop Tech &gt; ECommerce &gt; Farm Produce &gt; B2B &gt; Fruits and Vegetables &gt; Marketplace</t>
  </si>
  <si>
    <t>Krimanshi</t>
  </si>
  <si>
    <t>krimanshi.com</t>
  </si>
  <si>
    <t>Rajasthan Venture Capital Fund; rvcf.org</t>
  </si>
  <si>
    <t>Rajasthan Venture Capital Fund</t>
  </si>
  <si>
    <t>Developer &amp; supplier of sustainable feed for livestock animals</t>
  </si>
  <si>
    <t>Livestock Tech &gt; Feeding &gt; Sustainable Feeds &gt; Food Waste Based
Consumer Digital - India &gt; Livestock Tech &gt; Feeding &gt; Sustainable Feeds &gt; Food Waste Based
Climate Tech &gt; Livestock Tech &gt; Feeding &gt; Sustainable Feeds &gt; Food Waste Based
Sustainable Animal And Fish Feed &gt; Livestock Tech &gt; Feeding &gt; Sustainable Feeds &gt; Food Waste Based
CIIE Batches &gt; 2017</t>
  </si>
  <si>
    <t>Gourmet Garden</t>
  </si>
  <si>
    <t>gourmetgarden.in</t>
  </si>
  <si>
    <t>Whiteboard Capital; whiteboardcap.com
Incubate Fund India; incubatefund.in</t>
  </si>
  <si>
    <t>Whiteboard Capital
Incubate Fund India</t>
  </si>
  <si>
    <t>Karnataka, India</t>
  </si>
  <si>
    <t>Producer of vegetables using naturoponic technology</t>
  </si>
  <si>
    <t>Crop Tech &gt; Indoor Farming &gt; Hydroponics
Consumer Digital - India &gt; Crop Tech &gt; Indoor Farming &gt; Hydroponics
Indoor Farming &gt; Crop Tech &gt; Indoor Farming &gt; Hydroponics
Hydroponics &gt; Crop Tech &gt; Indoor Farming &gt; Hydroponics
Food &amp; Beverage Products &gt; Grocery &amp; Staples &gt; Multi-category
Consumer Digital - India &gt; Food &amp; Beverage Products &gt; Grocery &amp; Staples &gt; Multi-category
Food &amp; Beverage Products - India &gt; Food &amp; Beverage Products &gt; Grocery &amp; Staples &gt; Multi-category</t>
  </si>
  <si>
    <t>Series C</t>
  </si>
  <si>
    <t>Ninjacart</t>
  </si>
  <si>
    <t>ninjacart.in</t>
  </si>
  <si>
    <t>Walmart; walmart.com
Flipkart; flipkart.com</t>
  </si>
  <si>
    <t>Walmart
Flipkart</t>
  </si>
  <si>
    <t>App-based B2B platform offering vegetables and fruits</t>
  </si>
  <si>
    <t>Logistics Tech &gt; Parcel &gt; Hyperlocal &gt; B2B &gt; Food
Marketplaces &gt; Logistics Tech &gt; Parcel &gt; Hyperlocal &gt; B2B &gt; Food
Microsoft &gt; Logistics Tech &gt; Parcel &gt; Hyperlocal &gt; B2B &gt; Food
IIM Ahmedabad &gt; Logistics Tech &gt; Parcel &gt; Hyperlocal &gt; B2B &gt; Food
Hyperlocal Delivery &gt; Logistics Tech &gt; Parcel &gt; Hyperlocal &gt; B2B &gt; Food
Enterprise Tech - India &gt; Logistics Tech &gt; Parcel &gt; Hyperlocal &gt; B2B &gt; Food
Logistics Tech - India &gt; Logistics Tech &gt; Parcel &gt; Hyperlocal &gt; B2B &gt; Food
Online Grocery &gt; B2B Ecommerce &gt; Farm Produce &gt; Fruits and Vegetables &gt; Marketplace
Microsoft &gt; Online Grocery &gt; B2B Ecommerce &gt; Farm Produce &gt; Fruits and Vegetables &gt; Marketplace
B2B Farm Produce E-Commerce &gt; Online Grocery &gt; B2B Ecommerce &gt; Farm Produce &gt; Fruits and Vegetables &gt; Marketplace
IIM Ahmedabad &gt; Online Grocery &gt; B2B Ecommerce &gt; Farm Produce &gt; Fruits and Vegetables &gt; Marketplace
Marketplaces &gt; Online Grocery &gt; B2B Ecommerce &gt; Farm Produce &gt; Fruits and Vegetables &gt; Marketplace
Enterprise Tech - India &gt; Online Grocery &gt; B2B Ecommerce &gt; Farm Produce &gt; Fruits and Vegetables &gt; Marketplace
B2B E-Commerce &gt; Food &amp; Beverages &gt; Groceries &gt; Farm Products &gt; Marketplace
Marketplaces &gt; B2B E-Commerce &gt; Food &amp; Beverages &gt; Groceries &gt; Farm Products &gt; Marketplace
Microsoft &gt; B2B E-Commerce &gt; Food &amp; Beverages &gt; Groceries &gt; Farm Products &gt; Marketplace
IIM Ahmedabad &gt; B2B E-Commerce &gt; Food &amp; Beverages &gt; Groceries &gt; Farm Products &gt; Marketplace
Enterprise Tech - India &gt; B2B E-Commerce &gt; Food &amp; Beverages &gt; Groceries &gt; Farm Products &gt; Marketplace
Crop Tech &gt; ECommerce &gt; Farm Produce &gt; B2B &gt; Fruits and Vegetables &gt; Marketplace
Microsoft &gt; Crop Tech &gt; ECommerce &gt; Farm Produce &gt; B2B &gt; Fruits and Vegetables &gt; Marketplace
IIM Ahmedabad &gt; Crop Tech &gt; ECommerce &gt; Farm Produce &gt; B2B &gt; Fruits and Vegetables &gt; Marketplace
Marketplaces &gt; Crop Tech &gt; ECommerce &gt; Farm Produce &gt; B2B &gt; Fruits and Vegetables &gt; Marketplace
Enterprise Tech - India &gt; Crop Tech &gt; ECommerce &gt; Farm Produce &gt; B2B &gt; Fruits and Vegetables &gt; Marketplace</t>
  </si>
  <si>
    <t>Krishitantra</t>
  </si>
  <si>
    <t>krishitantra.com</t>
  </si>
  <si>
    <t>nabventures; nabventures.in
Omnivore Partners; omnivore.vc</t>
  </si>
  <si>
    <t>nabventures
Omnivore Partners</t>
  </si>
  <si>
    <t>Udupi, Karnataka, India</t>
  </si>
  <si>
    <t>Develops and provides tools for soil testing</t>
  </si>
  <si>
    <t>Crop Tech &gt; Farm Management Software &gt; Soil Management &gt; Soil Testing
Consumer Digital - India &gt; Crop Tech &gt; Farm Management Software &gt; Soil Management &gt; Soil Testing
Farm Management Software &gt; Crop Tech &gt; Farm Management Software &gt; Soil Management &gt; Soil Testing</t>
  </si>
  <si>
    <t>Series A</t>
  </si>
  <si>
    <t>Ergos Business Solutions</t>
  </si>
  <si>
    <t>ergos.in</t>
  </si>
  <si>
    <t>Chiratae Ventures; chiratae.com
Aavishkaar Capital; aavishkaarcapital.in</t>
  </si>
  <si>
    <t>Chiratae Ventures</t>
  </si>
  <si>
    <t>Provider of tech-enabled warehousing and supply chain solutions for farmers</t>
  </si>
  <si>
    <t>Crop Tech &gt; ECommerce &gt; Farm Produce &gt; B2C &gt; Fruits and Vegetables &gt; Retailer
Enterprise Tech - India &gt; Crop Tech &gt; ECommerce &gt; Farm Produce &gt; B2C &gt; Fruits and Vegetables &gt; Retailer
Cold Chain Logistics &gt; Integrated &gt; Horizontal
Enterprise Tech - India &gt; Cold Chain Logistics &gt; Integrated &gt; Horizontal</t>
  </si>
  <si>
    <t>Unnati</t>
  </si>
  <si>
    <t>unnatiagri.com</t>
  </si>
  <si>
    <t>nabventures; nabventures.in</t>
  </si>
  <si>
    <t>Sumeet Seraf</t>
  </si>
  <si>
    <t>nabventures</t>
  </si>
  <si>
    <t>Noida, Uttar Pradesh, India</t>
  </si>
  <si>
    <t>Provider of digital technological services for farmers</t>
  </si>
  <si>
    <t>Crop Tech &gt; Farming as a Service &gt; Tech Enabled Services
Enterprise Tech - India &gt; Crop Tech &gt; Farming as a Service &gt; Tech Enabled Services
BITS Pilani &gt; Crop Tech &gt; Farming as a Service &gt; Tech Enabled Services
IIM Calcutta &gt; Crop Tech &gt; Farming as a Service &gt; Tech Enabled Services</t>
  </si>
  <si>
    <t>Angel</t>
  </si>
  <si>
    <t>AgroWave</t>
  </si>
  <si>
    <t>agrowaves.in</t>
  </si>
  <si>
    <t>Sekhar Puli</t>
  </si>
  <si>
    <t>Gurgaon, Haryana, India</t>
  </si>
  <si>
    <t>Farm to business supply chain of fruits and vegetables</t>
  </si>
  <si>
    <t>B2B E-Commerce &gt; Food &amp; Beverages &gt; Groceries &gt; Farm Products &gt; E-Distributor
IIT Roorkee &gt; B2B E-Commerce &gt; Food &amp; Beverages &gt; Groceries &gt; Farm Products &gt; E-Distributor
IIT Delhi &gt; B2B E-Commerce &gt; Food &amp; Beverages &gt; Groceries &gt; Farm Products &gt; E-Distributor
Enterprise Tech - India &gt; B2B E-Commerce &gt; Food &amp; Beverages &gt; Groceries &gt; Farm Products &gt; E-Distributor
Crop Tech &gt; ECommerce &gt; Farm Produce &gt; B2B &gt; Fruits and Vegetables &gt; E Distributor
IIT Roorkee &gt; Crop Tech &gt; ECommerce &gt; Farm Produce &gt; B2B &gt; Fruits and Vegetables &gt; E Distributor
IIT Delhi &gt; Crop Tech &gt; ECommerce &gt; Farm Produce &gt; B2B &gt; Fruits and Vegetables &gt; E Distributor
Enterprise Tech - India &gt; Crop Tech &gt; ECommerce &gt; Farm Produce &gt; B2B &gt; Fruits and Vegetables &gt; E Distributor
MassChallenge Batches &gt; Israel &gt; 2019
IIT Roorkee &gt; MassChallenge Batches &gt; Israel &gt; 2019
IIT Delhi &gt; MassChallenge Batches &gt; Israel &gt; 2019
Enterprise Tech - India &gt; MassChallenge Batches &gt; Israel &gt; 2019
Online Grocery &gt; B2B Ecommerce &gt; Farm Produce &gt; Fruits and Vegetables &gt; Marketplace
IIT Delhi &gt; Online Grocery &gt; B2B Ecommerce &gt; Farm Produce &gt; Fruits and Vegetables &gt; Marketplace
IIT Roorkee &gt; Online Grocery &gt; B2B Ecommerce &gt; Farm Produce &gt; Fruits and Vegetables &gt; Marketplace
B2B Farm Produce E-Commerce &gt; Online Grocery &gt; B2B Ecommerce &gt; Farm Produce &gt; Fruits and Vegetables &gt; Marketplace
Enterprise Tech - India &gt; Online Grocery &gt; B2B Ecommerce &gt; Farm Produce &gt; Fruits and Vegetables &gt; Marketplace</t>
  </si>
  <si>
    <t>Phytech</t>
  </si>
  <si>
    <t>phytech.com</t>
  </si>
  <si>
    <t>Thomas H Lee Partners; thl.com</t>
  </si>
  <si>
    <t>Thomas H Lee Partners</t>
  </si>
  <si>
    <t>Ashqelon, Southern District, Israel</t>
  </si>
  <si>
    <t>Sensor based technology to monitor and understand crops</t>
  </si>
  <si>
    <t>Crop Tech &gt; Farm Analytics &gt; Multispectral Sensing
SaaS &gt; Crop Tech &gt; Farm Analytics &gt; Multispectral Sensing
SaaS - MENA &gt; Crop Tech &gt; Farm Analytics &gt; Multispectral Sensing
Enterprise Tech - MENA &gt; Crop Tech &gt; Farm Analytics &gt; Multispectral Sensing
SaaS - Israel &gt; Crop Tech &gt; Farm Analytics &gt; Multispectral Sensing
Enterprise Tech - Israel &gt; Crop Tech &gt; Farm Analytics &gt; Multispectral Sensing
IoT in Agriculture &gt; Crop Tech &gt; Farm Analytics &gt; Multispectral Sensing
Farm Analytics &gt; Crop Tech &gt; Farm Analytics &gt; Multispectral Sensing
IoT Applications &gt; Industry Specific &gt; Agriculture &gt; Farms
SaaS &gt; IoT Applications &gt; Industry Specific &gt; Agriculture &gt; Farms
SaaS - MENA &gt; IoT Applications &gt; Industry Specific &gt; Agriculture &gt; Farms
Enterprise Tech - MENA &gt; IoT Applications &gt; Industry Specific &gt; Agriculture &gt; Farms
SaaS - Israel &gt; IoT Applications &gt; Industry Specific &gt; Agriculture &gt; Farms
Enterprise Tech - Israel &gt; IoT Applications &gt; Industry Specific &gt; Agriculture &gt; Farms
HiTech - Israel &gt; IoT Applications &gt; Industry Specific &gt; Agriculture &gt; Farms
HiTech - MENA &gt; IoT Applications &gt; Industry Specific &gt; Agriculture &gt; Farms
IoT in Agriculture &gt; IoT Applications &gt; Industry Specific &gt; Agriculture &gt; Farms</t>
  </si>
  <si>
    <t>Weil; weil.com
Raz Dlugin; raz-dlugin.co.il
hfn.co.il</t>
  </si>
  <si>
    <t>BeGreen</t>
  </si>
  <si>
    <t>begreen.farm</t>
  </si>
  <si>
    <t>Aliansce Sonae; alianscesonae.com.br</t>
  </si>
  <si>
    <t>Aliansce Sonae</t>
  </si>
  <si>
    <t>Belo Horizonte, Estado De Minas Gerais, Brazil</t>
  </si>
  <si>
    <t>Platform offering hydroponic based products</t>
  </si>
  <si>
    <t>Crop Tech &gt; Indoor Farming &gt; Hydroponics
Consumer Digital - Latam &gt; Crop Tech &gt; Indoor Farming &gt; Hydroponics
Consumer Digital - Brazil &gt; Crop Tech &gt; Indoor Farming &gt; Hydroponics
Enterprise Tech - Brazil &gt; Crop Tech &gt; Indoor Farming &gt; Hydroponics
Enterprise Tech - Latam &gt; Crop Tech &gt; Indoor Farming &gt; Hydroponics
Indoor Farming &gt; Crop Tech &gt; Indoor Farming &gt; Hydroponics
Hydroponics &gt; Crop Tech &gt; Indoor Farming &gt; Hydroponics</t>
  </si>
  <si>
    <t>FarmersFZ</t>
  </si>
  <si>
    <t>farmersfz.com</t>
  </si>
  <si>
    <t>Indian Angel Network Fund; ian-fund.com</t>
  </si>
  <si>
    <t>Indian Angel Network Fund</t>
  </si>
  <si>
    <t>Ernakulam, Kerala, India</t>
  </si>
  <si>
    <t>Online marketplace for groceries</t>
  </si>
  <si>
    <t>Crop Tech &gt; ECommerce &gt; Farm Produce &gt; B2C &gt; Fruits and Vegetables &gt; Marketplace
Marketplaces &gt; Crop Tech &gt; ECommerce &gt; Farm Produce &gt; B2C &gt; Fruits and Vegetables &gt; Marketplace
Consumer Digital - India &gt; Crop Tech &gt; ECommerce &gt; Farm Produce &gt; B2C &gt; Fruits and Vegetables &gt; Marketplace
Online Grocery &gt; B2C Ecommerce &gt; Multi Category &gt; Marketplace &gt; Own Delivery Fleet
Marketplaces &gt; Online Grocery &gt; B2C Ecommerce &gt; Multi Category &gt; Marketplace &gt; Own Delivery Fleet
Consumer Digital - India &gt; Online Grocery &gt; B2C Ecommerce &gt; Multi Category &gt; Marketplace &gt; Own Delivery Fleet
Gig Employers &gt; Online Grocery &gt; B2C Ecommerce &gt; Multi Category &gt; Marketplace &gt; Own Delivery Fleet
B2C Grocery Delivery &gt; Online Grocery &gt; B2C Ecommerce &gt; Multi Category &gt; Marketplace &gt; Own Delivery Fleet
B2C E-Commerce &gt; Online Grocery &gt; B2C Ecommerce &gt; Multi Category &gt; Marketplace &gt; Own Delivery Fleet</t>
  </si>
  <si>
    <t>Livin Farms</t>
  </si>
  <si>
    <t>livinfarms.com</t>
  </si>
  <si>
    <t>European Union; europa.eu</t>
  </si>
  <si>
    <t>European Union</t>
  </si>
  <si>
    <t>Hong Kong, Hong Kong, China</t>
  </si>
  <si>
    <t>A desktop hive for home-to-harvest edible mealworms from kitchen scraps</t>
  </si>
  <si>
    <t>Insect Farming Tech &gt; Insects &gt; Growing Systems
Consumer Digital - China &gt; Insect Farming Tech &gt; Insects &gt; Growing Systems
Climate Tech &gt; Insect Farming Tech &gt; Insects &gt; Growing Systems
Food Tech &gt; Novel Foods &gt; Food Ingredients &gt; Protein
Consumer Digital - China &gt; Food Tech &gt; Novel Foods &gt; Food Ingredients &gt; Protein
Novel Foods &gt; Food Tech &gt; Novel Foods &gt; Food Ingredients &gt; Protein
Climate Tech &gt; Food Tech &gt; Novel Foods &gt; Food Ingredients &gt; Protein</t>
  </si>
  <si>
    <t>Crofarm</t>
  </si>
  <si>
    <t>crofarm.com</t>
  </si>
  <si>
    <t>Inflection Point Ventures; ipventures.in</t>
  </si>
  <si>
    <t>Inflection Point Ventures</t>
  </si>
  <si>
    <t>Provider of digital supply chain of fruits and vegetables from farm to business</t>
  </si>
  <si>
    <t>Crop Tech &gt; ECommerce &gt; Farm Produce &gt; B2B &gt; Fruits and Vegetables &gt; E Distributor
IIT Delhi &gt; Crop Tech &gt; ECommerce &gt; Farm Produce &gt; B2B &gt; Fruits and Vegetables &gt; E Distributor
Enterprise Tech - India &gt; Crop Tech &gt; ECommerce &gt; Farm Produce &gt; B2B &gt; Fruits and Vegetables &gt; E Distributor
AI in Agriculture &gt; Crop Tech &gt; ECommerce &gt; Farm Produce &gt; B2B &gt; Fruits and Vegetables &gt; E Distributor
Artificial Intelligence &gt; Crop Tech &gt; ECommerce &gt; Farm Produce &gt; B2B &gt; Fruits and Vegetables &gt; E Distributor
Artificial Intelligence - India &gt; Crop Tech &gt; ECommerce &gt; Farm Produce &gt; B2B &gt; Fruits and Vegetables &gt; E Distributor
B2B E-Commerce &gt; Food &amp; Beverages &gt; Groceries &gt; Farm Products &gt; E-Distributor
IIT Delhi &gt; B2B E-Commerce &gt; Food &amp; Beverages &gt; Groceries &gt; Farm Products &gt; E-Distributor
Enterprise Tech - India &gt; B2B E-Commerce &gt; Food &amp; Beverages &gt; Groceries &gt; Farm Products &gt; E-Distributor
AI in Retail &gt; B2B E-Commerce &gt; Food &amp; Beverages &gt; Groceries &gt; Farm Products &gt; E-Distributor
Artificial Intelligence &gt; B2B E-Commerce &gt; Food &amp; Beverages &gt; Groceries &gt; Farm Products &gt; E-Distributor
Artificial Intelligence - India &gt; B2B E-Commerce &gt; Food &amp; Beverages &gt; Groceries &gt; Farm Products &gt; E-Distributor
Online Grocery &gt; B2B Ecommerce &gt; Farm Produce &gt; Fruits and Vegetables &gt; E-Distributor
IIT Delhi &gt; Online Grocery &gt; B2B Ecommerce &gt; Farm Produce &gt; Fruits and Vegetables &gt; E-Distributor
B2B Farm Produce E-Commerce &gt; Online Grocery &gt; B2B Ecommerce &gt; Farm Produce &gt; Fruits and Vegetables &gt; E-Distributor
Enterprise Tech - India &gt; Online Grocery &gt; B2B Ecommerce &gt; Farm Produce &gt; Fruits and Vegetables &gt; E-Distributor
Artificial Intelligence &gt; Online Grocery &gt; B2B Ecommerce &gt; Farm Produce &gt; Fruits and Vegetables &gt; E-Distributor
Artificial Intelligence - India &gt; Online Grocery &gt; B2B Ecommerce &gt; Farm Produce &gt; Fruits and Vegetables &gt; E-Distributor
AI in Food &gt; Online Grocery &gt; B2B Ecommerce &gt; Farm Produce &gt; Fruits and Vegetables &gt; E-Distributor</t>
  </si>
  <si>
    <t>Otipy</t>
  </si>
  <si>
    <t>otipy.com</t>
  </si>
  <si>
    <t>App-based platform offering fruits and vegetables</t>
  </si>
  <si>
    <t>Crop Tech &gt; ECommerce &gt; Farm Produce &gt; B2C &gt; Fruits and Vegetables &gt; Farm to Home
Consumer Digital - India &gt; Crop Tech &gt; ECommerce &gt; Farm Produce &gt; B2C &gt; Fruits and Vegetables &gt; Farm to Home
IIT Delhi &gt; Crop Tech &gt; ECommerce &gt; Farm Produce &gt; B2C &gt; Fruits and Vegetables &gt; Farm to Home
Online Grocery &gt; B2C Ecommerce &gt; Fruits and Vegetables &gt; Farm to Home
B2C Grocery Delivery &gt; Online Grocery &gt; B2C Ecommerce &gt; Fruits and Vegetables &gt; Farm to Home
Consumer Digital - India &gt; Online Grocery &gt; B2C Ecommerce &gt; Fruits and Vegetables &gt; Farm to Home
IIT Delhi &gt; Online Grocery &gt; B2C Ecommerce &gt; Fruits and Vegetables &gt; Farm to Home
B2C E-Commerce &gt; Online Grocery &gt; B2C Ecommerce &gt; Fruits and Vegetables &gt; Farm to Home</t>
  </si>
  <si>
    <t>Post IPO</t>
  </si>
  <si>
    <t>Roots-Sustainable Agriculture Technologies</t>
  </si>
  <si>
    <t>rootssat.com</t>
  </si>
  <si>
    <t>Netanya, Central District, Israel</t>
  </si>
  <si>
    <t>Closed loop irrigation systems for root zone temperature optimization and utilization of condensed water</t>
  </si>
  <si>
    <t>Crop Tech &gt; Autonomous Farming &gt; Irrigation
Autonomous Farming &gt; Crop Tech &gt; Autonomous Farming &gt; Irrigation
Solar Energy &gt; Solar Products &gt; Pumps</t>
  </si>
  <si>
    <t>EverBlu Capital; everblucapital.com</t>
  </si>
  <si>
    <t>Kheyti</t>
  </si>
  <si>
    <t>kheyti.com</t>
  </si>
  <si>
    <t>Acumen; acumen.org
Ceniarth; ceniarthllc.com</t>
  </si>
  <si>
    <t>Acumen</t>
  </si>
  <si>
    <t>Hyderabad, Telangana, India</t>
  </si>
  <si>
    <t>Greenhouse and end-to-end farm enabling services</t>
  </si>
  <si>
    <t>Crop Tech &gt; Farm Equipment &gt; Greenhouse Systems
Columbia Business School &gt; Crop Tech &gt; Farm Equipment &gt; Greenhouse Systems
IIT Kharagpur &gt; Crop Tech &gt; Farm Equipment &gt; Greenhouse Systems
MassChallenge Batches &gt; Israel &gt; 2017 &gt; Diamond
IIT Kharagpur &gt; MassChallenge Batches &gt; Israel &gt; 2017 &gt; Diamond
Columbia Business School &gt; MassChallenge Batches &gt; Israel &gt; 2017 &gt; Diamond</t>
  </si>
  <si>
    <t>Grant (prize money)</t>
  </si>
  <si>
    <t>WayCool</t>
  </si>
  <si>
    <t>waycool.in</t>
  </si>
  <si>
    <t>FMO; fmo.nl</t>
  </si>
  <si>
    <t>Chennai, Tamil Nadu, India</t>
  </si>
  <si>
    <t>E-distributor of farm products</t>
  </si>
  <si>
    <t>B2B E-Commerce &gt; Food &amp; Beverages &gt; Groceries &gt; Farm Products &gt; E-Distributor
Enterprise Tech - India &gt; B2B E-Commerce &gt; Food &amp; Beverages &gt; Groceries &gt; Farm Products &gt; E-Distributor
Indian School of Business &gt; B2B E-Commerce &gt; Food &amp; Beverages &gt; Groceries &gt; Farm Products &gt; E-Distributor
Online Grocery &gt; B2B Ecommerce &gt; Farm Produce &gt; Fruits and Vegetables &gt; E-Distributor
B2B Farm Produce E-Commerce &gt; Online Grocery &gt; B2B Ecommerce &gt; Farm Produce &gt; Fruits and Vegetables &gt; E-Distributor
Enterprise Tech - India &gt; Online Grocery &gt; B2B Ecommerce &gt; Farm Produce &gt; Fruits and Vegetables &gt; E-Distributor
Indian School of Business &gt; Online Grocery &gt; B2B Ecommerce &gt; Farm Produce &gt; Fruits and Vegetables &gt; E-Distributor
Crop Tech &gt; ECommerce &gt; Farm Produce &gt; B2B &gt; Fruits and Vegetables &gt; E Distributor
Enterprise Tech - India &gt; Crop Tech &gt; ECommerce &gt; Farm Produce &gt; B2B &gt; Fruits and Vegetables &gt; E Distributor
Indian School of Business &gt; Crop Tech &gt; ECommerce &gt; Farm Produce &gt; B2B &gt; Fruits and Vegetables &gt; E Distributor</t>
  </si>
  <si>
    <t>Ricult</t>
  </si>
  <si>
    <t>ricult.com</t>
  </si>
  <si>
    <t>Bualuang Ventures; bualuangventures.com
Krungsri; krungsri.com</t>
  </si>
  <si>
    <t>Bualuang Ventures
Krungsri</t>
  </si>
  <si>
    <t>Lahore, Punjab, Pakistan</t>
  </si>
  <si>
    <t>Mobile platform for providing market linkages to the agriculture industry</t>
  </si>
  <si>
    <t>Crop Tech &gt; ECommerce &gt; Diversified &gt; Marketplace
Massachusetts Institute of Technology (MIT) &gt; Crop Tech &gt; ECommerce &gt; Diversified &gt; Marketplace
Marketplaces &gt; Crop Tech &gt; ECommerce &gt; Diversified &gt; Marketplace</t>
  </si>
  <si>
    <t>Luxelare</t>
  </si>
  <si>
    <t>luxelare.com</t>
  </si>
  <si>
    <t>Los Mochis, Sinaloa, Mexico</t>
  </si>
  <si>
    <t>Integrated drones and software platform for precision agriculture decision support</t>
  </si>
  <si>
    <t>Geographic Information Systems &gt; Location Analytics &gt; Agriculture
Enterprise Tech - Latam &gt; Geographic Information Systems &gt; Location Analytics &gt; Agriculture
Drones &gt; Civilian Drones &gt; Drone Platform
Enterprise Tech - Latam &gt; Drones &gt; Civilian Drones &gt; Drone Platform
Consumer Drones &gt; Drones &gt; Civilian Drones &gt; Drone Platform
Crop Tech &gt; Farm Analytics &gt; Drones Based &gt; Software
Enterprise Tech - Latam &gt; Crop Tech &gt; Farm Analytics &gt; Drones Based &gt; Software
Farm Analytics &gt; Crop Tech &gt; Farm Analytics &gt; Drones Based &gt; Software</t>
  </si>
  <si>
    <t>Aruna</t>
  </si>
  <si>
    <t>aruna.id</t>
  </si>
  <si>
    <t>East Ventures; east.vc
ACVentures; acv.vc
SMDV; smdv.com</t>
  </si>
  <si>
    <t>East Ventures</t>
  </si>
  <si>
    <t>Jakarta, Jakarta, Indonesia</t>
  </si>
  <si>
    <t>Integrated cloud based fishery management platform</t>
  </si>
  <si>
    <t>Aquaculture Tech &gt; ECommerce &gt; Farm Produce &gt; B2C &gt; Fish &gt; Marketplace
Enterprise Tech - Indonesia &gt; Aquaculture Tech &gt; ECommerce &gt; Farm Produce &gt; B2C &gt; Fish &gt; Marketplace
Enterprise Tech - SEA &gt; Aquaculture Tech &gt; ECommerce &gt; Farm Produce &gt; B2C &gt; Fish &gt; Marketplace
SaaS - SEA &gt; Aquaculture Tech &gt; ECommerce &gt; Farm Produce &gt; B2C &gt; Fish &gt; Marketplace
SaaS &gt; Aquaculture Tech &gt; ECommerce &gt; Farm Produce &gt; B2C &gt; Fish &gt; Marketplace</t>
  </si>
  <si>
    <t>eFishery</t>
  </si>
  <si>
    <t>efishery.com</t>
  </si>
  <si>
    <t>GO Venture Capital; govc.com
nsgroup-inc.com
Wavemaker Partners; wavemaker.vc
Aqua Spark; aqua-spark.nl</t>
  </si>
  <si>
    <t xml:space="preserve">GO Venture Capital
</t>
  </si>
  <si>
    <t>Bandung, West Java, Indonesia</t>
  </si>
  <si>
    <t>Provider of an IoT based automatic fish feeding solution</t>
  </si>
  <si>
    <t>Aquaculture Tech &gt; Feeding &gt; Automated Feeding Systems
Enterprise Tech - Indonesia &gt; Aquaculture Tech &gt; Feeding &gt; Automated Feeding Systems
Enterprise Tech - SEA &gt; Aquaculture Tech &gt; Feeding &gt; Automated Feeding Systems
IoT in Agriculture &gt; Aquaculture Tech &gt; Feeding &gt; Automated Feeding Systems
IoT Applications &gt; Industry Specific &gt; Agriculture &gt; Aquaculture
Enterprise Tech - Indonesia &gt; IoT Applications &gt; Industry Specific &gt; Agriculture &gt; Aquaculture
Enterprise Tech - SEA &gt; IoT Applications &gt; Industry Specific &gt; Agriculture &gt; Aquaculture
HiTech - SEA &gt; IoT Applications &gt; Industry Specific &gt; Agriculture &gt; Aquaculture
IoT in Agriculture &gt; IoT Applications &gt; Industry Specific &gt; Agriculture &gt; Aquaculture</t>
  </si>
  <si>
    <t>BigHaat</t>
  </si>
  <si>
    <t>bighaat.com</t>
  </si>
  <si>
    <t>Beyond Next Ventures; beyondnextventures.com
Ankur Capital; ankurcapital.com
Rockstud Capital; rockstudcap.com</t>
  </si>
  <si>
    <t>Beyond Next Ventures</t>
  </si>
  <si>
    <t>Online marketplace offering farm inputs</t>
  </si>
  <si>
    <t>B2B E-Commerce &gt; Agriculture &gt; Marketplace
Marketplaces &gt; B2B E-Commerce &gt; Agriculture &gt; Marketplace
Consumer Digital - India &gt; B2B E-Commerce &gt; Agriculture &gt; Marketplace
Enterprise Tech - India &gt; B2B E-Commerce &gt; Agriculture &gt; Marketplace
Crop Tech &gt; ECommerce &gt; Farm Inputs &gt; Multi Category &gt; Retailer
Marketplaces &gt; Crop Tech &gt; ECommerce &gt; Farm Inputs &gt; Multi Category &gt; Retailer
Consumer Digital - India &gt; Crop Tech &gt; ECommerce &gt; Farm Inputs &gt; Multi Category &gt; Retailer
Enterprise Tech - India &gt; Crop Tech &gt; ECommerce &gt; Farm Inputs &gt; Multi Category &gt; Retailer
Farm Inputs E-Commerce &gt; Crop Tech &gt; ECommerce &gt; Farm Inputs &gt; Multi Category &gt; Retailer</t>
  </si>
  <si>
    <t>Laishanjin</t>
  </si>
  <si>
    <t>laisanjin.cn</t>
  </si>
  <si>
    <t>Xiamen, Fujian, China</t>
  </si>
  <si>
    <t>Online retail platform offering farm produce</t>
  </si>
  <si>
    <t>Crop Tech &gt; ECommerce &gt; Farm Produce &gt; B2C &gt; Fruits and Vegetables &gt; Retailer
Consumer Digital - China &gt; Crop Tech &gt; ECommerce &gt; Farm Produce &gt; B2C &gt; Fruits and Vegetables &gt; Retailer</t>
  </si>
  <si>
    <t>Taranis</t>
  </si>
  <si>
    <t>taranis.ag</t>
  </si>
  <si>
    <t>Hitachi; hitachi.com
K3 Ventures; k3ventures.com
Vertex Growth; vertexgrowth.com
Mitsubishi UFJ Capital; mucap.co.jp
iAngels; iangels.com
Viola Group; viola-group.com
Finistere Ventures; finistere.com
Vertex Ventures Israel; vertexventures.co.il
OurCrowd; ourcrowd.com
Mindset Ventures; mindset.ventures
Micron; micron.com
UMC Capital; umccapital.com
Orion Fund; theorionfund.org
lamaison.in</t>
  </si>
  <si>
    <t>Gal Yarden</t>
  </si>
  <si>
    <t>Hitachi
K3 Ventures
Vertex Growth</t>
  </si>
  <si>
    <t>Sunnyvale, California, United States
Sao Paulo, Sao Paulo, Brazil
Buenos Aires, Buenos Aires F.d., Argentina</t>
  </si>
  <si>
    <t>Provider of analytical solutions for crop protection</t>
  </si>
  <si>
    <t>Crop Tech &gt; Farm Management Software &gt; Diversified
Enterprise Tech - US &gt; Crop Tech &gt; Farm Management Software &gt; Diversified
Enterprise Tech - Brazil &gt; Crop Tech &gt; Farm Management Software &gt; Diversified
Enterprise Tech - Latam &gt; Crop Tech &gt; Farm Management Software &gt; Diversified
Farm Management Software &gt; Crop Tech &gt; Farm Management Software &gt; Diversified</t>
  </si>
  <si>
    <t>Vegrow</t>
  </si>
  <si>
    <t>vegrow.in</t>
  </si>
  <si>
    <t>Matrix Partners India; matrixpartners.in
Ankur Capital; ankurcapital.com
Titan Capital; titancapital.vc
Better Capital; bettercapital.vc
AngelList; angel.co
Capier Investments; capierinvestments.com
Sprout Capital Advisors; sproutcapital.in</t>
  </si>
  <si>
    <t>Sanjiv Rangrass
Rohit MA
Ramakant Sharma
Amit Lakhotia Kumar
Kunal Bahl
Rohit Bansal
Pushkar Singh
Pankaj Kumar
Yash Jaisinghani
Vasant Sridhar
Shwetha Rangaswamy
Omkar Hariharpur Nagabhushana
Amrit Acharya
Rahul Sharma
Srinath Ramakurshnan
Vishal Chaudhary</t>
  </si>
  <si>
    <t>Matrix Partners India
Ankur Capital</t>
  </si>
  <si>
    <t>Provider of tech-enabled farming services to farmers</t>
  </si>
  <si>
    <t>Crop Tech &gt; Farming as a Service &gt; Tech Enabled Services
Consumer Digital - India &gt; Crop Tech &gt; Farming as a Service &gt; Tech Enabled Services
IIT Madras &gt; Crop Tech &gt; Farming as a Service &gt; Tech Enabled Services</t>
  </si>
  <si>
    <t>BEEWISE</t>
  </si>
  <si>
    <t>beewise.ag</t>
  </si>
  <si>
    <t>Fortissimo Capital; ffcapital.com
Lool Ventures; lool.vc
Arc Impact; arcimpact.org
Atooro; atooro.com</t>
  </si>
  <si>
    <t>Michael Eisenberg</t>
  </si>
  <si>
    <t>Fortissimo Capital</t>
  </si>
  <si>
    <t>Nahariya, Northern District, Israel</t>
  </si>
  <si>
    <t>Autonomous beehive management technology provider</t>
  </si>
  <si>
    <t>Renewable Energy Tech &gt; Solar Energy &gt; Applications &gt; Agriculture and Food &gt; Autonomous Beehive
Consumer Digital - Israel &gt; Renewable Energy Tech &gt; Solar Energy &gt; Applications &gt; Agriculture and Food &gt; Autonomous Beehive
Consumer Digital - MENA &gt; Renewable Energy Tech &gt; Solar Energy &gt; Applications &gt; Agriculture and Food &gt; Autonomous Beehive
Climate Tech &gt; Renewable Energy Tech &gt; Solar Energy &gt; Applications &gt; Agriculture and Food &gt; Autonomous Beehive
Energy Tech - Israel &gt; Renewable Energy Tech &gt; Solar Energy &gt; Applications &gt; Agriculture and Food &gt; Autonomous Beehive
Solar Energy Tech &gt; Renewable Energy Tech &gt; Solar Energy &gt; Applications &gt; Agriculture and Food &gt; Autonomous Beehive
Technion Israel Institute of Technology &gt; Renewable Energy Tech &gt; Solar Energy &gt; Applications &gt; Agriculture and Food &gt; Autonomous Beehive
Insect Farming Tech &gt; Bees &gt; Equipment ECommerce &gt; Internet First Brand &gt; Autonomous &gt; Solar Based
Consumer Digital - MENA &gt; Insect Farming Tech &gt; Bees &gt; Equipment ECommerce &gt; Internet First Brand &gt; Autonomous &gt; Solar Based
Consumer Digital - Israel &gt; Insect Farming Tech &gt; Bees &gt; Equipment ECommerce &gt; Internet First Brand &gt; Autonomous &gt; Solar Based
Climate Tech &gt; Insect Farming Tech &gt; Bees &gt; Equipment ECommerce &gt; Internet First Brand &gt; Autonomous &gt; Solar Based
Technion Israel Institute of Technology &gt; Insect Farming Tech &gt; Bees &gt; Equipment ECommerce &gt; Internet First Brand &gt; Autonomous &gt; Solar Based
MassChallenge Batches &gt; Israel &gt; 2019 &gt; Gold
Consumer Digital - Israel &gt; MassChallenge Batches &gt; Israel &gt; 2019 &gt; Gold
Consumer Digital - MENA &gt; MassChallenge Batches &gt; Israel &gt; 2019 &gt; Gold
Technion Israel Institute of Technology &gt; MassChallenge Batches &gt; Israel &gt; 2019 &gt; Gold</t>
  </si>
  <si>
    <t>Komaza</t>
  </si>
  <si>
    <t>komaza.com</t>
  </si>
  <si>
    <t>Novastar Ventures; novastarventures.com
FMO; fmo.nl</t>
  </si>
  <si>
    <t>Novastar Ventures
FMO</t>
  </si>
  <si>
    <t>Mombasa, Mombasa District, Kenya</t>
  </si>
  <si>
    <t>Offers wood-tree plantations services</t>
  </si>
  <si>
    <t>Crop Tech &gt; Farming as a Service &gt; Tech Enabled Services</t>
  </si>
  <si>
    <t>Goodwin; goodwinlaw.com</t>
  </si>
  <si>
    <t>Aibono</t>
  </si>
  <si>
    <t>aibono.com</t>
  </si>
  <si>
    <t>Rebright Partners; rebrightpartners.com
Mitsui Sumitomo Insurance Venture Capital; msivc.co.jp
Artha Impact; arthaimpact.com</t>
  </si>
  <si>
    <t>Venkatachary Srinivasan
Aparna Santosh Nayampalli</t>
  </si>
  <si>
    <t>Mitsui Sumitomo Insurance Venture Capital</t>
  </si>
  <si>
    <t>Services for farm data collection &amp; analytics and mobile application for farm management</t>
  </si>
  <si>
    <t>Crop Tech &gt; Farm Management Software &gt; Diversified
Farm Management Software &gt; Crop Tech &gt; Farm Management Software &gt; Diversified</t>
  </si>
  <si>
    <t>Proximity Design</t>
  </si>
  <si>
    <t>proximitydesigns.org</t>
  </si>
  <si>
    <t>Finnfund; finnfund.fi
Nordic Microfinance Initiative; nmimicro.no
Proparco; proparco.fr</t>
  </si>
  <si>
    <t>Finnfund
Nordic Microfinance Initiative
Proparco</t>
  </si>
  <si>
    <t>Yangon, Yangon Region, Myanmar</t>
  </si>
  <si>
    <t>3D Printing for agriculture in Myanmar</t>
  </si>
  <si>
    <t>Crop Tech &gt; Farming as a Service &gt; Tech Enabled Services
Consumer Digital - SEA &gt; Crop Tech &gt; Farming as a Service &gt; Tech Enabled Services
Enterprise Tech - SEA &gt; Crop Tech &gt; Farming as a Service &gt; Tech Enabled Services
Harvard University &gt; Crop Tech &gt; Farming as a Service &gt; Tech Enabled Services
3D Printing &gt; Applications &gt; Agriculture &gt; Farming Equipment
HiTech - SEA &gt; 3D Printing &gt; Applications &gt; Agriculture &gt; Farming Equipment
Harvard University &gt; 3D Printing &gt; Applications &gt; Agriculture &gt; Farming Equipment
Enterprise Tech - SEA &gt; 3D Printing &gt; Applications &gt; Agriculture &gt; Farming Equipment
Consumer Digital - SEA &gt; 3D Printing &gt; Applications &gt; Agriculture &gt; Farming Equipment</t>
  </si>
  <si>
    <t>Frozen Master Technology</t>
  </si>
  <si>
    <t>dshifu.cn</t>
  </si>
  <si>
    <t>Albatross Venture; avcapital.cn</t>
  </si>
  <si>
    <t>Zhan Wang</t>
  </si>
  <si>
    <t>Albatross Venture</t>
  </si>
  <si>
    <t>Beijing, Beijing Shi, China</t>
  </si>
  <si>
    <t>Online B2B marketplace offering frozen lamb meat</t>
  </si>
  <si>
    <t>Livestock Tech &gt; ECommerce &gt; Farm Produce &gt; B2B &gt; Marketplace &gt; Meat
Enterprise Tech - China &gt; Livestock Tech &gt; ECommerce &gt; Farm Produce &gt; B2B &gt; Marketplace &gt; Meat
Marketplaces &gt; Livestock Tech &gt; ECommerce &gt; Farm Produce &gt; B2B &gt; Marketplace &gt; Meat
Online Grocery &gt; B2B Ecommerce &gt; Farm Produce &gt; Meat and Seafood &gt; Marketplace
Enterprise Tech - China &gt; Online Grocery &gt; B2B Ecommerce &gt; Farm Produce &gt; Meat and Seafood &gt; Marketplace
Marketplaces &gt; Online Grocery &gt; B2B Ecommerce &gt; Farm Produce &gt; Meat and Seafood &gt; Marketplace
B2B Farm Produce E-Commerce &gt; Online Grocery &gt; B2B Ecommerce &gt; Farm Produce &gt; Meat and Seafood &gt; Marketplace</t>
  </si>
  <si>
    <t>Brainwired</t>
  </si>
  <si>
    <t>brainwired.in</t>
  </si>
  <si>
    <t>Mumbai Angels; mumbaiangels.com</t>
  </si>
  <si>
    <t>Parthiv Rokadia
Gaurav Saraogi
Kritik Abiram Govindan</t>
  </si>
  <si>
    <t>Mumbai Angels</t>
  </si>
  <si>
    <t>Kochi, Kerala, India</t>
  </si>
  <si>
    <t>Livestock health monitoring and tracking solution</t>
  </si>
  <si>
    <t>Livestock Tech &gt; Health Management &gt; Health Monitoring &gt; Diversified
Enterprise Tech - India &gt; Livestock Tech &gt; Health Management &gt; Health Monitoring &gt; Diversified</t>
  </si>
  <si>
    <t>Conventional Debt</t>
  </si>
  <si>
    <t>Rizobacter</t>
  </si>
  <si>
    <t>rizobacter.com</t>
  </si>
  <si>
    <t>Pergamino, Provincia De Buenos Aires, Argentina</t>
  </si>
  <si>
    <t>Manufacturer and distributor of biological fertilizers</t>
  </si>
  <si>
    <t>Crop Tech &gt; Farm Inputs &gt; Biologicals &gt; Diversified
Climate Tech &gt; Crop Tech &gt; Farm Inputs &gt; Biologicals &gt; Diversified
Crop Biologicals &gt; Crop Tech &gt; Farm Inputs &gt; Biologicals &gt; Diversified</t>
  </si>
  <si>
    <t>AR Partners; arpartners.com.ar
Banco Galicia; bancogalicia.com
Banco Supervielle; supervielle.com.ar
santander.com.ar
Cohen; cohen.com.ar
Allaria; allaria.com.ar</t>
  </si>
  <si>
    <t>Agrourbana</t>
  </si>
  <si>
    <t>agrourbana.ag</t>
  </si>
  <si>
    <t>Fundacion Chile; fch.cl
corfo.cl
ChileGlobal Ventures; chileglobalventures.cl
ENGIE Factory; engiefactory.com
Entel; entel.cl
ZOMALAB; zomalab.com</t>
  </si>
  <si>
    <t>Santiago, Santiago Metropolitan, Chile</t>
  </si>
  <si>
    <t>Producer of hydroponic-based vegetables</t>
  </si>
  <si>
    <t>Crop Tech &gt; Indoor Farming &gt; Hydroponics
Consumer Digital - Latam &gt; Crop Tech &gt; Indoor Farming &gt; Hydroponics
Enterprise Tech - Latam &gt; Crop Tech &gt; Indoor Farming &gt; Hydroponics
Indoor Farming &gt; Crop Tech &gt; Indoor Farming &gt; Hydroponics
Hydroponics &gt; Crop Tech &gt; Indoor Farming &gt; Hydroponics</t>
  </si>
  <si>
    <t>Venture Debt</t>
  </si>
  <si>
    <t>Stellapps</t>
  </si>
  <si>
    <t>stellapps.com</t>
  </si>
  <si>
    <t>Stride Ventures; strideventures.in</t>
  </si>
  <si>
    <t>Provider of farm optimization and monitoring support</t>
  </si>
  <si>
    <t>IoT Applications &gt; Industry Specific &gt; Agriculture &gt; Livestock
SaaS &gt; IoT Applications &gt; Industry Specific &gt; Agriculture &gt; Livestock
IIT Madras &gt; IoT Applications &gt; Industry Specific &gt; Agriculture &gt; Livestock
IIT Kharagpur &gt; IoT Applications &gt; Industry Specific &gt; Agriculture &gt; Livestock
SaaS - India &gt; IoT Applications &gt; Industry Specific &gt; Agriculture &gt; Livestock
500 Startups Portfolio &gt; IoT Applications &gt; Industry Specific &gt; Agriculture &gt; Livestock
HiTech - India &gt; IoT Applications &gt; Industry Specific &gt; Agriculture &gt; Livestock
IoT in Agriculture &gt; IoT Applications &gt; Industry Specific &gt; Agriculture &gt; Livestock
Enterprise Tech - India &gt; IoT Applications &gt; Industry Specific &gt; Agriculture &gt; Livestock
Livestock Tech &gt; Livestock Management Software &gt; Cattle
SaaS &gt; Livestock Tech &gt; Livestock Management Software &gt; Cattle
SaaS - India &gt; Livestock Tech &gt; Livestock Management Software &gt; Cattle
IIT Madras &gt; Livestock Tech &gt; Livestock Management Software &gt; Cattle
IIT Kharagpur &gt; Livestock Tech &gt; Livestock Management Software &gt; Cattle
500 Startups Portfolio &gt; Livestock Tech &gt; Livestock Management Software &gt; Cattle
IoT in Agriculture &gt; Livestock Tech &gt; Livestock Management Software &gt; Cattle
Enterprise Tech - India &gt; Livestock Tech &gt; Livestock Management Software &gt; Cattle</t>
  </si>
  <si>
    <t>Jai Kisan</t>
  </si>
  <si>
    <t>jai-kisan.com</t>
  </si>
  <si>
    <t>Arkam Ventures; arkamvc.com
Blume Ventures; blume.vc
Prophetic Ventures; prophetic.ventures
Better Capital; bettercapital.vc
nabventures; nabventures.in
AngelList; angel.co
Ratnaafin; ratnaafin.com</t>
  </si>
  <si>
    <t>Rajiv Sahney
Sanjay Mariwala
Fawaz Alshawwa
Cem Garih
Aaryaman Vir Shah
Harshbeena Zaveri</t>
  </si>
  <si>
    <t>Arkam Ventures</t>
  </si>
  <si>
    <t>Mumbai, Maharashtra, India</t>
  </si>
  <si>
    <t>Online supply chain platform for farmers</t>
  </si>
  <si>
    <t>Crop Tech &gt; Finance &gt; Loans
Marketplaces &gt; Crop Tech &gt; Finance &gt; Loans
Enterprise Tech - India &gt; Crop Tech &gt; Finance &gt; Loans
Alternative Lending &gt; Online Lenders &gt; Consumer Loans &gt; Farm Loans &gt; Marketplace
FinTech - India &gt; Alternative Lending &gt; Online Lenders &gt; Consumer Loans &gt; Farm Loans &gt; Marketplace
Marketplaces &gt; Alternative Lending &gt; Online Lenders &gt; Consumer Loans &gt; Farm Loans &gt; Marketplace
Agri FinTech &gt; Alternative Lending &gt; Online Lenders &gt; Consumer Loans &gt; Farm Loans &gt; Marketplace
Enterprise Tech - India &gt; Alternative Lending &gt; Online Lenders &gt; Consumer Loans &gt; Farm Loans &gt; Marketplace
Internet First Lenders &gt; Alternative Lending &gt; Online Lenders &gt; Consumer Loans &gt; Farm Loans &gt; Marketplace</t>
  </si>
  <si>
    <t>Agro2o</t>
  </si>
  <si>
    <t>agro2o.com</t>
  </si>
  <si>
    <t>Manufacturer and supplier of indoor hydroponics system</t>
  </si>
  <si>
    <t>Crop Tech &gt; Indoor Farming &gt; Hydroponics
Consumer Digital - India &gt; Crop Tech &gt; Indoor Farming &gt; Hydroponics
Indoor Farming &gt; Crop Tech &gt; Indoor Farming &gt; Hydroponics
Hydroponics &gt; Crop Tech &gt; Indoor Farming &gt; Hydroponics</t>
  </si>
  <si>
    <t>IndusInd Bank; indusind.com</t>
  </si>
  <si>
    <t>DFC; dfc.gov</t>
  </si>
  <si>
    <t>AUS</t>
  </si>
  <si>
    <t>aus.co.in</t>
  </si>
  <si>
    <t>Startupxseed Ventures; startupxseed.in
GrowX Venture Management; growxventures.com
A &amp; G; a-gcorporate.com
Bellwether Advisors LLP; bellwetheradvisory.com</t>
  </si>
  <si>
    <t>Ashok Atluri</t>
  </si>
  <si>
    <t>Startupxseed Ventures</t>
  </si>
  <si>
    <t>Quadrotor drone system for various purposes</t>
  </si>
  <si>
    <t>Drones &gt; Civilian Drones &gt; Pure Play Hardware
HiTech - India &gt; Drones &gt; Civilian Drones &gt; Pure Play Hardware
IIT Kanpur &gt; Drones &gt; Civilian Drones &gt; Pure Play Hardware
Consumer Drones &gt; Drones &gt; Civilian Drones &gt; Pure Play Hardware
Enterprise Tech - India &gt; Drones &gt; Civilian Drones &gt; Pure Play Hardware
Geographic Information Systems &gt; Image Processing &amp; Mapping &gt; Aerial Image Processing
IIT Kanpur &gt; Geographic Information Systems &gt; Image Processing &amp; Mapping &gt; Aerial Image Processing
HiTech - India &gt; Geographic Information Systems &gt; Image Processing &amp; Mapping &gt; Aerial Image Processing
Enterprise Tech - India &gt; Geographic Information Systems &gt; Image Processing &amp; Mapping &gt; Aerial Image Processing
Crop Tech &gt; Farm Analytics &gt; Drones Based
IIT Kanpur &gt; Crop Tech &gt; Farm Analytics &gt; Drones Based
Enterprise Tech - India &gt; Crop Tech &gt; Farm Analytics &gt; Drones Based
Farm Analytics &gt; Crop Tech &gt; Farm Analytics &gt; Drones Based</t>
  </si>
  <si>
    <t>Dongguan Sesame</t>
  </si>
  <si>
    <t>zhimadi.cn</t>
  </si>
  <si>
    <t>Bright Venture Capital; brightvc.com
HKSTP; hkstp.org</t>
  </si>
  <si>
    <t>Bright Venture Capital
HKSTP</t>
  </si>
  <si>
    <t>Dongguan, Guangdong, China</t>
  </si>
  <si>
    <t>Provider of agricultural cloud computing solutions</t>
  </si>
  <si>
    <t>Crop Tech &gt; Farm Management Software
Enterprise Tech - China &gt; Crop Tech &gt; Farm Management Software
SaaS &gt; Crop Tech &gt; Farm Management Software
SaaS - China &gt; Crop Tech &gt; Farm Management Software
Farm Management Software &gt; Crop Tech &gt; Farm Management Software</t>
  </si>
  <si>
    <t>Smile Group; smile.co.in</t>
  </si>
  <si>
    <t>Smile Group</t>
  </si>
  <si>
    <t>BeeHero</t>
  </si>
  <si>
    <t>beehero.io</t>
  </si>
  <si>
    <t>Rabo Corporate Investments; rabocorporateinvestments.com
UpWest; upwest.com
iAngels; iangels.com
Plug and Play Tech Center; plugandplaytechcenter.com
J Ventures; jventures.com</t>
  </si>
  <si>
    <t>Rabo Corporate Investments
UpWest
iAngels
Plug and Play Tech Center
J Ventures</t>
  </si>
  <si>
    <t>Fresno, California, United States
Israel</t>
  </si>
  <si>
    <t>Integrated platform for monitoring beehive</t>
  </si>
  <si>
    <t>IoT Applications &gt; Industry Specific &gt; Agriculture &gt; Livestock
Artificial Intelligence - MENA &gt; IoT Applications &gt; Industry Specific &gt; Agriculture &gt; Livestock
Enterprise Tech - MENA &gt; IoT Applications &gt; Industry Specific &gt; Agriculture &gt; Livestock
Artificial Intelligence - US &gt; IoT Applications &gt; Industry Specific &gt; Agriculture &gt; Livestock
Artificial Intelligence - Israel &gt; IoT Applications &gt; Industry Specific &gt; Agriculture &gt; Livestock
Enterprise Tech - US &gt; IoT Applications &gt; Industry Specific &gt; Agriculture &gt; Livestock
Artificial Intelligence &gt; IoT Applications &gt; Industry Specific &gt; Agriculture &gt; Livestock
Enterprise Tech - Israel &gt; IoT Applications &gt; Industry Specific &gt; Agriculture &gt; Livestock
HiTech - Israel &gt; IoT Applications &gt; Industry Specific &gt; Agriculture &gt; Livestock
HiTech - US &gt; IoT Applications &gt; Industry Specific &gt; Agriculture &gt; Livestock
HiTech - MENA &gt; IoT Applications &gt; Industry Specific &gt; Agriculture &gt; Livestock
IoT in Agriculture &gt; IoT Applications &gt; Industry Specific &gt; Agriculture &gt; Livestock
Insect Farming Tech &gt; Bees &gt; Pollination Intelligence
Artificial Intelligence - MENA &gt; Insect Farming Tech &gt; Bees &gt; Pollination Intelligence
Enterprise Tech - MENA &gt; Insect Farming Tech &gt; Bees &gt; Pollination Intelligence
Artificial Intelligence - US &gt; Insect Farming Tech &gt; Bees &gt; Pollination Intelligence
Artificial Intelligence - Israel &gt; Insect Farming Tech &gt; Bees &gt; Pollination Intelligence
Artificial Intelligence &gt; Insect Farming Tech &gt; Bees &gt; Pollination Intelligence
Enterprise Tech - Israel &gt; Insect Farming Tech &gt; Bees &gt; Pollination Intelligence
AI in Agriculture &gt; Insect Farming Tech &gt; Bees &gt; Pollination Intelligence
Enterprise Tech - US &gt; Insect Farming Tech &gt; Bees &gt; Pollination Intelligence
IoT in Agriculture &gt; Insect Farming Tech &gt; Bees &gt; Pollination Intelligence</t>
  </si>
  <si>
    <t>Nutrition Technologies</t>
  </si>
  <si>
    <t>nutrition-technologies.com</t>
  </si>
  <si>
    <t>Openspace Ventures; openspace.vc
Seeds Capital; seedscapital.com</t>
  </si>
  <si>
    <t>Openspace Ventures
Seeds Capital</t>
  </si>
  <si>
    <t>Johor Bahru, Johor, Malaysia</t>
  </si>
  <si>
    <t>Manufacturer and supplier of livestock feed products</t>
  </si>
  <si>
    <t>Insect Farming Tech &gt; Insects &gt; Insect based Products &gt; Animal Feed &gt; Diversified
Climate Tech &gt; Insect Farming Tech &gt; Insects &gt; Insect based Products &gt; Animal Feed &gt; Diversified
Livestock Tech &gt; Feeding &gt; Sustainable Feeds &gt; Insect Based
Climate Tech &gt; Livestock Tech &gt; Feeding &gt; Sustainable Feeds &gt; Insect Based
Sustainable Animal And Fish Feed &gt; Livestock Tech &gt; Feeding &gt; Sustainable Feeds &gt; Insect Based</t>
  </si>
  <si>
    <t>Bird &amp; Bird; twobirds.com</t>
  </si>
  <si>
    <t>Saturas</t>
  </si>
  <si>
    <t>saturas-ag.com</t>
  </si>
  <si>
    <t>The Trendlines Group; trendlines.com
Gefen Capital; gefencapital.com
forbon.com</t>
  </si>
  <si>
    <t>The Trendlines Group</t>
  </si>
  <si>
    <t>Misgav, Northern District, Israel</t>
  </si>
  <si>
    <t>Developer of stem water potential sensors</t>
  </si>
  <si>
    <t>IoT Applications &gt; Industry Specific &gt; Agriculture &gt; Farms
Enterprise Tech - MENA &gt; IoT Applications &gt; Industry Specific &gt; Agriculture &gt; Farms
Enterprise Tech - Israel &gt; IoT Applications &gt; Industry Specific &gt; Agriculture &gt; Farms
HiTech - Israel &gt; IoT Applications &gt; Industry Specific &gt; Agriculture &gt; Farms
HiTech - MENA &gt; IoT Applications &gt; Industry Specific &gt; Agriculture &gt; Farms
IoT in Agriculture &gt; IoT Applications &gt; Industry Specific &gt; Agriculture &gt; Farms
Crop Tech &gt; Farm Management Software &gt; Diversified
Enterprise Tech - MENA &gt; Crop Tech &gt; Farm Management Software &gt; Diversified
Enterprise Tech - Israel &gt; Crop Tech &gt; Farm Management Software &gt; Diversified
IoT in Agriculture &gt; Crop Tech &gt; Farm Management Software &gt; Diversified
Farm Management Software &gt; Crop Tech &gt; Farm Management Software &gt; Diversified</t>
  </si>
  <si>
    <t>e-chain farm</t>
  </si>
  <si>
    <t>eliannc.com</t>
  </si>
  <si>
    <t>Liaoning, China</t>
  </si>
  <si>
    <t>Online retailer offering farm produce</t>
  </si>
  <si>
    <t>Online Grocery &gt; B2B Ecommerce &gt; Farm Produce &gt; Eggs &gt; Marketplace
Consumer Digital - China &gt; Online Grocery &gt; B2B Ecommerce &gt; Farm Produce &gt; Eggs &gt; Marketplace
B2B Farm Produce E-Commerce &gt; Online Grocery &gt; B2B Ecommerce &gt; Farm Produce &gt; Eggs &gt; Marketplace
Livestock Tech &gt; ECommerce &gt; Farm Produce &gt; B2B &gt; Marketplace &gt; Eggs
Consumer Digital - China &gt; Livestock Tech &gt; ECommerce &gt; Farm Produce &gt; B2B &gt; Marketplace &gt; Eggs</t>
  </si>
  <si>
    <t>Greeneye</t>
  </si>
  <si>
    <t>greeneye.ag</t>
  </si>
  <si>
    <t>Jerusalem Venture Partners; jvpvc.com
2B Angels; 2b-angels.com
One Way Ventures; onewayvc.com
Hyperplane Venture Capital; hyperplane.vc
Syngenta Ventures; syngentaventures.com</t>
  </si>
  <si>
    <t>Jerusalem Venture Partners</t>
  </si>
  <si>
    <t>Tel Aviv, Tel Aviv, Israel</t>
  </si>
  <si>
    <t>Provider of AI-based solution for pest control</t>
  </si>
  <si>
    <t>Crop Tech &gt; Farm Management Software &gt; Pest Monitoring
Artificial Intelligence - MENA &gt; Crop Tech &gt; Farm Management Software &gt; Pest Monitoring
Enterprise Tech - MENA &gt; Crop Tech &gt; Farm Management Software &gt; Pest Monitoring
AI in Agriculture &gt; Crop Tech &gt; Farm Management Software &gt; Pest Monitoring
Artificial Intelligence - Israel &gt; Crop Tech &gt; Farm Management Software &gt; Pest Monitoring
Artificial Intelligence &gt; Crop Tech &gt; Farm Management Software &gt; Pest Monitoring
Enterprise Tech - Israel &gt; Crop Tech &gt; Farm Management Software &gt; Pest Monitoring
Farm Management Software &gt; Crop Tech &gt; Farm Management Software &gt; Pest Monitoring</t>
  </si>
  <si>
    <t>TSLAW; tslaw.co.il</t>
  </si>
  <si>
    <t>Sichuan Keku Technology</t>
  </si>
  <si>
    <t>yoonop.com</t>
  </si>
  <si>
    <t>Leshan, Sichuan Sheng, China</t>
  </si>
  <si>
    <t>Provider of farm management solutions</t>
  </si>
  <si>
    <t>Crop Tech &gt; Farm Management Software &gt; Diversified
Consumer Digital - China &gt; Crop Tech &gt; Farm Management Software &gt; Diversified
Farm Management Software &gt; Crop Tech &gt; Farm Management Software &gt; Diversified</t>
  </si>
  <si>
    <t>Aerobotics</t>
  </si>
  <si>
    <t>aerobotics.com</t>
  </si>
  <si>
    <t>Naspers; naspers.com</t>
  </si>
  <si>
    <t>Naspers</t>
  </si>
  <si>
    <t>Cape Town, Province Of The Western Cape, South Africa</t>
  </si>
  <si>
    <t>Provider of drone based farm monitoring and pest management solutions</t>
  </si>
  <si>
    <t>Drones &gt; Services &gt; Precision Agriculture
Enterprise Tech - Africa &gt; Drones &gt; Services &gt; Precision Agriculture
Commercial Drones &gt; Drones &gt; Services &gt; Precision Agriculture
Agriculture Drones &gt; Drones &gt; Services &gt; Precision Agriculture
Artificial Intelligence &gt; Drones &gt; Services &gt; Precision Agriculture
Crop Tech &gt; Farm Analytics &gt; Drones Based
Enterprise Tech - Africa &gt; Crop Tech &gt; Farm Analytics &gt; Drones Based
Artificial Intelligence &gt; Crop Tech &gt; Farm Analytics &gt; Drones Based
AI in Agriculture &gt; Crop Tech &gt; Farm Analytics &gt; Drones Based
Farm Analytics &gt; Crop Tech &gt; Farm Analytics &gt; Drones Based</t>
  </si>
  <si>
    <t>Apollo Agriculture</t>
  </si>
  <si>
    <t>apolloagriculture.com</t>
  </si>
  <si>
    <t>Anthemis Group; anthemis.com
Accion; accion.org
Flourish; flourishventures.com
Newid Capital; newidcapital.com
Sage Hill Capital; sagehillcapital.com
Breyer Labs; breyerlabs.com
Bayer; leaps.bayer.com</t>
  </si>
  <si>
    <t>Anthemis Group</t>
  </si>
  <si>
    <t>Online marketplace for farm loans</t>
  </si>
  <si>
    <t>Crop Tech &gt; Farming as a Service &gt; Tech Enabled Services
AI in Agriculture &gt; Crop Tech &gt; Farming as a Service &gt; Tech Enabled Services
Marketplaces &gt; Crop Tech &gt; Farming as a Service &gt; Tech Enabled Services
Enterprise Tech - Africa &gt; Crop Tech &gt; Farming as a Service &gt; Tech Enabled Services
Artificial Intelligence &gt; Crop Tech &gt; Farming as a Service &gt; Tech Enabled Services
Alternative Lending &gt; Online Lenders &gt; Consumer Loans &gt; Farm Loans &gt; Marketplace
Enterprise Tech - Africa &gt; Alternative Lending &gt; Online Lenders &gt; Consumer Loans &gt; Farm Loans &gt; Marketplace
FinTech - Africa &gt; Alternative Lending &gt; Online Lenders &gt; Consumer Loans &gt; Farm Loans &gt; Marketplace
AI in Financial Services &gt; Alternative Lending &gt; Online Lenders &gt; Consumer Loans &gt; Farm Loans &gt; Marketplace
Artificial Intelligence &gt; Alternative Lending &gt; Online Lenders &gt; Consumer Loans &gt; Farm Loans &gt; Marketplace
Marketplaces &gt; Alternative Lending &gt; Online Lenders &gt; Consumer Loans &gt; Farm Loans &gt; Marketplace
Agri FinTech &gt; Alternative Lending &gt; Online Lenders &gt; Consumer Loans &gt; Farm Loans &gt; Marketplace
Internet First Lenders &gt; Alternative Lending &gt; Online Lenders &gt; Consumer Loans &gt; Farm Loans &gt; Marketplace</t>
  </si>
  <si>
    <t>Eggoz</t>
  </si>
  <si>
    <t>eggoz.in</t>
  </si>
  <si>
    <t>Tracxn Labs; tracxnlabs.com
AngelList; angel.co
Intelliquity Consulting; intelliquity.in</t>
  </si>
  <si>
    <t>Narendra Sankar
Sunil Mishra
Vishal Sharma
Pushkar Singh
Sudarshan Ravi
Ankit Parasher
Anant Gupta
Amarkant Kumar
Saket Chaudhary</t>
  </si>
  <si>
    <t>Bihar Sharif, Bihar, India</t>
  </si>
  <si>
    <t>Full-stack egg producer using advanced technology, IoT based poultry farming techniques</t>
  </si>
  <si>
    <t>Livestock Tech &gt; Tech Enabled Farm Services &gt; Poultry
IIT Kharagpur &gt; Livestock Tech &gt; Tech Enabled Farm Services &gt; Poultry</t>
  </si>
  <si>
    <t>Clover Ventures</t>
  </si>
  <si>
    <t>clover.ag</t>
  </si>
  <si>
    <t>Alteria Capital; alteriacapital.com</t>
  </si>
  <si>
    <t>Alteria Capital</t>
  </si>
  <si>
    <t>Provider of supply chain solution for fruits and vegetables</t>
  </si>
  <si>
    <t>Crop Tech &gt; Post Harvest Management &gt; Traceability
Myntra &gt; Crop Tech &gt; Post Harvest Management &gt; Traceability
Enterprise Tech - India &gt; Crop Tech &gt; Post Harvest Management &gt; Traceability</t>
  </si>
  <si>
    <t>Intello Labs</t>
  </si>
  <si>
    <t>intellolabs.com</t>
  </si>
  <si>
    <t>Saama Capital; saamacapital.vc
Grow; grow.com
SVG Ventures; svgventures.com
Nexus Venture Partners; nexusvp.com
Omnivore Partners; omnivore.vc</t>
  </si>
  <si>
    <t>Saama Capital</t>
  </si>
  <si>
    <t>Image recognition based solutions for multiple industries</t>
  </si>
  <si>
    <t>Crop Tech &gt; Farm Management Software &gt; Diversified
Amazon &gt; Crop Tech &gt; Farm Management Software &gt; Diversified
AI in Agriculture &gt; Crop Tech &gt; Farm Management Software &gt; Diversified
Artificial Intelligence - India &gt; Crop Tech &gt; Farm Management Software &gt; Diversified
IIT Bombay &gt; Crop Tech &gt; Farm Management Software &gt; Diversified
Artificial Intelligence &gt; Crop Tech &gt; Farm Management Software &gt; Diversified
Enterprise Tech - India &gt; Crop Tech &gt; Farm Management Software &gt; Diversified
Farm Management Software &gt; Crop Tech &gt; Farm Management Software &gt; Diversified
AI Infrastructure &gt; Computer Vision &gt; Object Recognition &gt; Image Analysis &gt; Image Recognition
Artificial Intelligence &gt; AI Infrastructure &gt; Computer Vision &gt; Object Recognition &gt; Image Analysis &gt; Image Recognition
Artificial Intelligence - India &gt; AI Infrastructure &gt; Computer Vision &gt; Object Recognition &gt; Image Analysis &gt; Image Recognition
IIT Bombay &gt; AI Infrastructure &gt; Computer Vision &gt; Object Recognition &gt; Image Analysis &gt; Image Recognition
Amazon &gt; AI Infrastructure &gt; Computer Vision &gt; Object Recognition &gt; Image Analysis &gt; Image Recognition
HiTech - India &gt; AI Infrastructure &gt; Computer Vision &gt; Object Recognition &gt; Image Analysis &gt; Image Recognition
Enterprise Tech - India &gt; AI Infrastructure &gt; Computer Vision &gt; Object Recognition &gt; Image Analysis &gt; Image Recognition
Plug and Play Tech Center Batches &gt; Food &amp; Beverage &gt; Batch 3
Amazon &gt; Plug and Play Tech Center Batches &gt; Food &amp; Beverage &gt; Batch 3
Artificial Intelligence - India &gt; Plug and Play Tech Center Batches &gt; Food &amp; Beverage &gt; Batch 3
IIT Bombay &gt; Plug and Play Tech Center Batches &gt; Food &amp; Beverage &gt; Batch 3
Artificial Intelligence &gt; Plug and Play Tech Center Batches &gt; Food &amp; Beverage &gt; Batch 3
Enterprise Tech - India &gt; Plug and Play Tech Center Batches &gt; Food &amp; Beverage &gt; Batch 3
Computer Vision &gt; Industry Specific Applications &gt; Agriculture &gt; Crops
Amazon &gt; Computer Vision &gt; Industry Specific Applications &gt; Agriculture &gt; Crops
Artificial Intelligence - India &gt; Computer Vision &gt; Industry Specific Applications &gt; Agriculture &gt; Crops
IIT Bombay &gt; Computer Vision &gt; Industry Specific Applications &gt; Agriculture &gt; Crops
Enterprise Tech - India &gt; Computer Vision &gt; Industry Specific Applications &gt; Agriculture &gt; Crops
Artificial Intelligence &gt; Computer Vision &gt; Industry Specific Applications &gt; Agriculture &gt; Crops
HiTech - India &gt; Computer Vision &gt; Industry Specific Applications &gt; Agriculture &gt; Crops
MassChallenge Batches &gt; Israel &gt; 2018
Amazon &gt; MassChallenge Batches &gt; Israel &gt; 2018
Artificial Intelligence - India &gt; MassChallenge Batches &gt; Israel &gt; 2018
IIT Bombay &gt; MassChallenge Batches &gt; Israel &gt; 2018
Artificial Intelligence &gt; MassChallenge Batches &gt; Israel &gt; 2018
Enterprise Tech - India &gt; MassChallenge Batches &gt; Israel &gt; 2018
In Store Retail Tech &gt; Analytics
Artificial Intelligence &gt; In Store Retail Tech &gt; Analytics
AI in Retail &gt; In Store Retail Tech &gt; Analytics
Artificial Intelligence - India &gt; In Store Retail Tech &gt; Analytics
IIT Bombay &gt; In Store Retail Tech &gt; Analytics
Amazon &gt; In Store Retail Tech &gt; Analytics
Enterprise Tech - India &gt; In Store Retail Tech &gt; Analytics
Image Recognition &gt; Applications &gt; Offline Retail &gt; Retail Execution
IIT Bombay &gt; Image Recognition &gt; Applications &gt; Offline Retail &gt; Retail Execution
HiTech - India &gt; Image Recognition &gt; Applications &gt; Offline Retail &gt; Retail Execution
Amazon &gt; Image Recognition &gt; Applications &gt; Offline Retail &gt; Retail Execution
Artificial Intelligence - India &gt; Image Recognition &gt; Applications &gt; Offline Retail &gt; Retail Execution
Artificial Intelligence &gt; Image Recognition &gt; Applications &gt; Offline Retail &gt; Retail Execution
Enterprise Tech - India &gt; Image Recognition &gt; Applications &gt; Offline Retail &gt; Retail Execution</t>
  </si>
  <si>
    <t>icul.in
Samvad Partners; samvadpartners.com</t>
  </si>
  <si>
    <t>FJ Dynamics</t>
  </si>
  <si>
    <t>fjdynamics.com</t>
  </si>
  <si>
    <t>Greater Bay Area Homeland Investments; gbahomeland.com</t>
  </si>
  <si>
    <t>Greater Bay Area Homeland Investments</t>
  </si>
  <si>
    <t>Nanshan, Guangdong, China</t>
  </si>
  <si>
    <t>Provider of agriculture robots</t>
  </si>
  <si>
    <t>Digital Twin &gt; Digital Twin Platforms &gt; Products &gt; Agriculture
Enterprise Tech - China &gt; Digital Twin &gt; Digital Twin Platforms &gt; Products &gt; Agriculture
HiTech - China &gt; Digital Twin &gt; Digital Twin Platforms &gt; Products &gt; Agriculture
Artificial Intelligence - China &gt; Digital Twin &gt; Digital Twin Platforms &gt; Products &gt; Agriculture
Robotics in Agriculture &gt; Digital Twin &gt; Digital Twin Platforms &gt; Products &gt; Agriculture
Artificial Intelligence &gt; Digital Twin &gt; Digital Twin Platforms &gt; Products &gt; Agriculture
IoT in Agriculture &gt; Digital Twin &gt; Digital Twin Platforms &gt; Products &gt; Agriculture
Industrial Robotics &gt; Agriculture
Enterprise Tech - China &gt; Industrial Robotics &gt; Agriculture
HiTech - China &gt; Industrial Robotics &gt; Agriculture
Artificial Intelligence - China &gt; Industrial Robotics &gt; Agriculture
Artificial Intelligence &gt; Industrial Robotics &gt; Agriculture
Robotics in Agriculture &gt; Industrial Robotics &gt; Agriculture
IoT in Agriculture &gt; Industrial Robotics &gt; Agriculture
Crop Tech &gt; Autonomous Farming &gt; Diversified
Enterprise Tech - China &gt; Crop Tech &gt; Autonomous Farming &gt; Diversified
AI in Agriculture &gt; Crop Tech &gt; Autonomous Farming &gt; Diversified
Artificial Intelligence - China &gt; Crop Tech &gt; Autonomous Farming &gt; Diversified
Robotics in Agriculture &gt; Crop Tech &gt; Autonomous Farming &gt; Diversified
Artificial Intelligence &gt; Crop Tech &gt; Autonomous Farming &gt; Diversified
IoT in Agriculture &gt; Crop Tech &gt; Autonomous Farming &gt; Diversified
Autonomous Farming &gt; Crop Tech &gt; Autonomous Farming &gt; Diversified</t>
  </si>
  <si>
    <t>India Accelerator; indiaaccelerator.co</t>
  </si>
  <si>
    <t>Bijak</t>
  </si>
  <si>
    <t>bijak.in</t>
  </si>
  <si>
    <t>Surge; surgeahead.com
Omnivore Partners; omnivore.vc
Tempo Ventures; tempo.vc
RTP Global; rtp-global.com
Omidyar Network India; omidyarnetwork.in
Better Capital; bettercapital.vc</t>
  </si>
  <si>
    <t>RTP Global</t>
  </si>
  <si>
    <t>Online B2B marketplace to trade agriculture commodities</t>
  </si>
  <si>
    <t>B2B E-Commerce &gt; Food &amp; Beverages &gt; Groceries &gt; Farm Products &gt; Marketplace
IIT Delhi &gt; B2B E-Commerce &gt; Food &amp; Beverages &gt; Groceries &gt; Farm Products &gt; Marketplace
Marketplaces &gt; B2B E-Commerce &gt; Food &amp; Beverages &gt; Groceries &gt; Farm Products &gt; Marketplace
BITS Pilani &gt; B2B E-Commerce &gt; Food &amp; Beverages &gt; Groceries &gt; Farm Products &gt; Marketplace
Enterprise Tech - India &gt; B2B E-Commerce &gt; Food &amp; Beverages &gt; Groceries &gt; Farm Products &gt; Marketplace
Crop Tech &gt; ECommerce &gt; Farm Produce &gt; B2B &gt; Fruits and Vegetables &gt; Marketplace
BITS Pilani &gt; Crop Tech &gt; ECommerce &gt; Farm Produce &gt; B2B &gt; Fruits and Vegetables &gt; Marketplace
Marketplaces &gt; Crop Tech &gt; ECommerce &gt; Farm Produce &gt; B2B &gt; Fruits and Vegetables &gt; Marketplace
IIT Delhi &gt; Crop Tech &gt; ECommerce &gt; Farm Produce &gt; B2B &gt; Fruits and Vegetables &gt; Marketplace
Enterprise Tech - India &gt; Crop Tech &gt; ECommerce &gt; Farm Produce &gt; B2B &gt; Fruits and Vegetables &gt; Marketplace
Surge Batches &gt; 2019 &gt; Surge 02</t>
  </si>
  <si>
    <t>Algo Legal; algolegal.in
icul.in</t>
  </si>
  <si>
    <t>Hargol FoodTech</t>
  </si>
  <si>
    <t>hargol.com</t>
  </si>
  <si>
    <t>Sirius Venture Capital; sirius.com.sg
The Trendlines Group; trendlines.com</t>
  </si>
  <si>
    <t>Sirius Venture Capital</t>
  </si>
  <si>
    <t>Farming of edible insects</t>
  </si>
  <si>
    <t>Food Tech &gt; Novel Foods &gt; Food Ingredients &gt; Protein
Enterprise Tech - Israel &gt; Food Tech &gt; Novel Foods &gt; Food Ingredients &gt; Protein
Enterprise Tech - MENA &gt; Food Tech &gt; Novel Foods &gt; Food Ingredients &gt; Protein
Tel Aviv University &gt; Food Tech &gt; Novel Foods &gt; Food Ingredients &gt; Protein
Novel Foods &gt; Food Tech &gt; Novel Foods &gt; Food Ingredients &gt; Protein
Climate Tech &gt; Food Tech &gt; Novel Foods &gt; Food Ingredients &gt; Protein
Insect Farming Tech &gt; Insects &gt; Insect based Products &gt; Novel Foods
Enterprise Tech - MENA &gt; Insect Farming Tech &gt; Insects &gt; Insect based Products &gt; Novel Foods
Tel Aviv University &gt; Insect Farming Tech &gt; Insects &gt; Insect based Products &gt; Novel Foods
Enterprise Tech - Israel &gt; Insect Farming Tech &gt; Insects &gt; Insect based Products &gt; Novel Foods
Climate Tech &gt; Insect Farming Tech &gt; Insects &gt; Insect based Products &gt; Novel Foods</t>
  </si>
  <si>
    <t>Origin Agritech</t>
  </si>
  <si>
    <t>originseed.com.cn</t>
  </si>
  <si>
    <t>Agriculture biotechnology research and production of seeds for the agriculture industry</t>
  </si>
  <si>
    <t>Crop Tech &gt; Farm Inputs &gt; Seeds &gt; Field Crops &gt; Hybrid
GMO and Hybrid Seeds &gt; Crop Tech &gt; Farm Inputs &gt; Seeds &gt; Field Crops &gt; Hybrid</t>
  </si>
  <si>
    <t>AgroPro Monitor®</t>
  </si>
  <si>
    <t>agropromonitor.com.br</t>
  </si>
  <si>
    <t>Trivella Invest; trivellainvestimentos.com.br</t>
  </si>
  <si>
    <t>Trivella Invest</t>
  </si>
  <si>
    <t>Ponta Grossa, Estado Do Parana, Brazil</t>
  </si>
  <si>
    <t>Provider of analytics solution for pest control</t>
  </si>
  <si>
    <t>Crop Tech &gt; Farm Management Software &gt; Pest Monitoring
Consumer Digital - Latam &gt; Crop Tech &gt; Farm Management Software &gt; Pest Monitoring
Consumer Digital - Brazil &gt; Crop Tech &gt; Farm Management Software &gt; Pest Monitoring
Enterprise Tech - Brazil &gt; Crop Tech &gt; Farm Management Software &gt; Pest Monitoring
Enterprise Tech - Latam &gt; Crop Tech &gt; Farm Management Software &gt; Pest Monitoring
Farm Management Software &gt; Crop Tech &gt; Farm Management Software &gt; Pest Monitoring</t>
  </si>
  <si>
    <t>Procol</t>
  </si>
  <si>
    <t>procol.in</t>
  </si>
  <si>
    <t>SURGE Ventures; surgeventures.com
Beenext; beenext.com
Blume Ventures; blume.vc</t>
  </si>
  <si>
    <t>SURGE Ventures</t>
  </si>
  <si>
    <t>Provider of cloud-based procurement software for agribusinesses</t>
  </si>
  <si>
    <t>Crop Tech &gt; ECommerce &gt; Retail Enablers
SaaS &gt; Crop Tech &gt; ECommerce &gt; Retail Enablers
Google &gt; Crop Tech &gt; ECommerce &gt; Retail Enablers
AI in Agriculture &gt; Crop Tech &gt; ECommerce &gt; Retail Enablers
Artificial Intelligence - India &gt; Crop Tech &gt; ECommerce &gt; Retail Enablers
Artificial Intelligence &gt; Crop Tech &gt; ECommerce &gt; Retail Enablers
SaaS - India &gt; Crop Tech &gt; ECommerce &gt; Retail Enablers
Enterprise Tech - India &gt; Crop Tech &gt; ECommerce &gt; Retail Enablers</t>
  </si>
  <si>
    <t>Bytez; bytez.io</t>
  </si>
  <si>
    <t>Manish Vij
Wong Kok Wai</t>
  </si>
  <si>
    <t>Bytez</t>
  </si>
  <si>
    <t>Pure Harvest Smart Farms</t>
  </si>
  <si>
    <t>pureharvest.ae</t>
  </si>
  <si>
    <t>wafra-kuwait.com</t>
  </si>
  <si>
    <t>Abu Dhabi, Abu Dhabi, United Arab Emirates</t>
  </si>
  <si>
    <t>Producer and supplier of farm produce</t>
  </si>
  <si>
    <t>Crop Tech &gt; Indoor Farming &gt; Hydroponics
Consumer Digital - MENA &gt; Crop Tech &gt; Indoor Farming &gt; Hydroponics
Indoor Farming &gt; Crop Tech &gt; Indoor Farming &gt; Hydroponics
Hydroponics &gt; Crop Tech &gt; Indoor Farming &gt; Hydroponics</t>
  </si>
  <si>
    <t>Agrevolution</t>
  </si>
  <si>
    <t>agrevolution.in</t>
  </si>
  <si>
    <t>Sequoia Capital; sequoiacap.com
FMO; fmo.nl
Omnivore Partners; omnivore.vc
AgFunder; agfunder.com
Pi Ventures; piventures.in
Redwood Trust; redwoodtrust.com</t>
  </si>
  <si>
    <t>Sequoia Capital</t>
  </si>
  <si>
    <t>Patna, Bihar, India</t>
  </si>
  <si>
    <t>Provider of end-to-end farming services to the farming communities</t>
  </si>
  <si>
    <t>Crop Tech &gt; Farming as a Service &gt; Tech Enabled Services
AI in Agriculture &gt; Crop Tech &gt; Farming as a Service &gt; Tech Enabled Services
Artificial Intelligence - India &gt; Crop Tech &gt; Farming as a Service &gt; Tech Enabled Services
IIT Kharagpur &gt; Crop Tech &gt; Farming as a Service &gt; Tech Enabled Services
Artificial Intelligence &gt; Crop Tech &gt; Farming as a Service &gt; Tech Enabled Services
IIT Delhi &gt; Crop Tech &gt; Farming as a Service &gt; Tech Enabled Services
Consumer Digital - India &gt; Crop Tech &gt; Farming as a Service &gt; Tech Enabled Services
Enterprise Tech - India &gt; Crop Tech &gt; Farming as a Service &gt; Tech Enabled Services</t>
  </si>
  <si>
    <t>Dexter Capital Advisors; dextercapital.in</t>
  </si>
  <si>
    <t>AgroScout</t>
  </si>
  <si>
    <t>agro-scout.com</t>
  </si>
  <si>
    <t>innovationisrael.org.il
BIRD Foundation; birdf.com</t>
  </si>
  <si>
    <t>Provider of crop scouting solutions</t>
  </si>
  <si>
    <t>Crop Tech &gt; Farm Analytics &gt; Drones Based &gt; Software
Artificial Intelligence - MENA &gt; Crop Tech &gt; Farm Analytics &gt; Drones Based &gt; Software
Enterprise Tech - MENA &gt; Crop Tech &gt; Farm Analytics &gt; Drones Based &gt; Software
AI in Agriculture &gt; Crop Tech &gt; Farm Analytics &gt; Drones Based &gt; Software
Artificial Intelligence - Israel &gt; Crop Tech &gt; Farm Analytics &gt; Drones Based &gt; Software
Artificial Intelligence &gt; Crop Tech &gt; Farm Analytics &gt; Drones Based &gt; Software
Enterprise Tech - Israel &gt; Crop Tech &gt; Farm Analytics &gt; Drones Based &gt; Software
Farm Analytics &gt; Crop Tech &gt; Farm Analytics &gt; Drones Based &gt; Software
Drones &gt; Software &gt; Ancillary Software &gt; Image Processing &amp; 3D Mapping
Artificial Intelligence - MENA &gt; Drones &gt; Software &gt; Ancillary Software &gt; Image Processing &amp; 3D Mapping
Enterprise Tech - MENA &gt; Drones &gt; Software &gt; Ancillary Software &gt; Image Processing &amp; 3D Mapping
HiTech - MENA &gt; Drones &gt; Software &gt; Ancillary Software &gt; Image Processing &amp; 3D Mapping
Artificial Intelligence - Israel &gt; Drones &gt; Software &gt; Ancillary Software &gt; Image Processing &amp; 3D Mapping
Artificial Intelligence &gt; Drones &gt; Software &gt; Ancillary Software &gt; Image Processing &amp; 3D Mapping
Enterprise Tech - Israel &gt; Drones &gt; Software &gt; Ancillary Software &gt; Image Processing &amp; 3D Mapping
HiTech - Israel &gt; Drones &gt; Software &gt; Ancillary Software &gt; Image Processing &amp; 3D Mapping</t>
  </si>
  <si>
    <t>yiron.org.il
The Trendlines Group; trendlines.com</t>
  </si>
  <si>
    <t>ExitValley; exitvalley.com</t>
  </si>
  <si>
    <t>Twiga</t>
  </si>
  <si>
    <t>twiga.ke</t>
  </si>
  <si>
    <t>Online B2B marketplace for the supply of fruits and vegetables</t>
  </si>
  <si>
    <t>Online Grocery &gt; B2B Ecommerce &gt; Farm Produce &gt; Fruits and Vegetables &gt; Marketplace
Enterprise Tech - Africa &gt; Online Grocery &gt; B2B Ecommerce &gt; Farm Produce &gt; Fruits and Vegetables &gt; Marketplace
Marketplaces &gt; Online Grocery &gt; B2B Ecommerce &gt; Farm Produce &gt; Fruits and Vegetables &gt; Marketplace
B2B Farm Produce E-Commerce &gt; Online Grocery &gt; B2B Ecommerce &gt; Farm Produce &gt; Fruits and Vegetables &gt; Marketplace
Crop Tech &gt; ECommerce &gt; Farm Produce &gt; B2B &gt; Fruits and Vegetables &gt; Marketplace
Enterprise Tech - Africa &gt; Crop Tech &gt; ECommerce &gt; Farm Produce &gt; B2B &gt; Fruits and Vegetables &gt; Marketplace
Marketplaces &gt; Crop Tech &gt; ECommerce &gt; Farm Produce &gt; B2B &gt; Fruits and Vegetables &gt; Marketplace
B2B E-Commerce &gt; Food &amp; Beverages &gt; Groceries &gt; Farm Products &gt; E-Distributor
Enterprise Tech - Africa &gt; B2B E-Commerce &gt; Food &amp; Beverages &gt; Groceries &gt; Farm Products &gt; E-Distributor
Marketplaces &gt; B2B E-Commerce &gt; Food &amp; Beverages &gt; Groceries &gt; Farm Products &gt; E-Distributor</t>
  </si>
  <si>
    <t>FarmTheory</t>
  </si>
  <si>
    <t>farmtheory.in</t>
  </si>
  <si>
    <t>Y Combinator; ycombinator.com</t>
  </si>
  <si>
    <t>Y Combinator</t>
  </si>
  <si>
    <t>Online B2B distributor of farm produce</t>
  </si>
  <si>
    <t>Crop Tech &gt; ECommerce &gt; Farm Produce &gt; B2B &gt; Fruits and Vegetables &gt; E Distributor &gt; Ugly Produce
Enterprise Tech - India &gt; Crop Tech &gt; ECommerce &gt; Farm Produce &gt; B2B &gt; Fruits and Vegetables &gt; E Distributor &gt; Ugly Produce
Y Combinator Batches &gt; 2020 &gt; Winter
Online Grocery &gt; B2B Ecommerce &gt; Surplus Products
Surplus Food Marketplaces &gt; Online Grocery &gt; B2B Ecommerce &gt; Surplus Products
Enterprise Tech - India &gt; Online Grocery &gt; B2B Ecommerce &gt; Surplus Products</t>
  </si>
  <si>
    <t>Aavishkaar Capital; aavishkaarcapital.in</t>
  </si>
  <si>
    <t>Aavishkaar Capital</t>
  </si>
  <si>
    <t>TaniHub</t>
  </si>
  <si>
    <t>tanihub.com</t>
  </si>
  <si>
    <t>Openspace Ventures; openspace.vc
Intudo Ventures; intudovc.com
BRI Ventures; briventures.id
Vertex Ventures; vertexventures.sg
UOB; uobvm.com.sg
Golden Gate Ventures; goldengate.vc
Tenaya Capital; tenayacapital.com</t>
  </si>
  <si>
    <t>Openspace Ventures
Intudo Ventures</t>
  </si>
  <si>
    <t>App-based online marketplace to trade agriculture commodities</t>
  </si>
  <si>
    <t>B2B E-Commerce &gt; Food &amp; Beverages &gt; Groceries &gt; Farm Products &gt; Marketplace
Consumer Digital - SEA &gt; B2B E-Commerce &gt; Food &amp; Beverages &gt; Groceries &gt; Farm Products &gt; Marketplace
Enterprise Tech - Indonesia &gt; B2B E-Commerce &gt; Food &amp; Beverages &gt; Groceries &gt; Farm Products &gt; Marketplace
Enterprise Tech - SEA &gt; B2B E-Commerce &gt; Food &amp; Beverages &gt; Groceries &gt; Farm Products &gt; Marketplace
Marketplaces &gt; B2B E-Commerce &gt; Food &amp; Beverages &gt; Groceries &gt; Farm Products &gt; Marketplace
Consumer Digital - Indonesia &gt; B2B E-Commerce &gt; Food &amp; Beverages &gt; Groceries &gt; Farm Products &gt; Marketplace
Crop Tech &gt; ECommerce &gt; Farm Produce &gt; B2B &gt; Fruits and Vegetables &gt; Marketplace
Consumer Digital - SEA &gt; Crop Tech &gt; ECommerce &gt; Farm Produce &gt; B2B &gt; Fruits and Vegetables &gt; Marketplace
Enterprise Tech - Indonesia &gt; Crop Tech &gt; ECommerce &gt; Farm Produce &gt; B2B &gt; Fruits and Vegetables &gt; Marketplace
Enterprise Tech - SEA &gt; Crop Tech &gt; ECommerce &gt; Farm Produce &gt; B2B &gt; Fruits and Vegetables &gt; Marketplace
Marketplaces &gt; Crop Tech &gt; ECommerce &gt; Farm Produce &gt; B2B &gt; Fruits and Vegetables &gt; Marketplace
Consumer Digital - Indonesia &gt; Crop Tech &gt; ECommerce &gt; Farm Produce &gt; B2B &gt; Fruits and Vegetables &gt; Marketplace
Online Grocery &gt; B2B Ecommerce &gt; Farm Produce &gt; Multi-Category &gt; Marketplace
Consumer Digital - SEA &gt; Online Grocery &gt; B2B Ecommerce &gt; Farm Produce &gt; Multi-Category &gt; Marketplace
Marketplaces &gt; Online Grocery &gt; B2B Ecommerce &gt; Farm Produce &gt; Multi-Category &gt; Marketplace
Consumer Digital - Indonesia &gt; Online Grocery &gt; B2B Ecommerce &gt; Farm Produce &gt; Multi-Category &gt; Marketplace
Enterprise Tech - Indonesia &gt; Online Grocery &gt; B2B Ecommerce &gt; Farm Produce &gt; Multi-Category &gt; Marketplace
Enterprise Tech - SEA &gt; Online Grocery &gt; B2B Ecommerce &gt; Farm Produce &gt; Multi-Category &gt; Marketplace
B2B Farm Produce E-Commerce &gt; Online Grocery &gt; B2B Ecommerce &gt; Farm Produce &gt; Multi-Category &gt; Marketplace</t>
  </si>
  <si>
    <t>AgFunder; agfunder.com
Thrive Capital; thrivecap.com</t>
  </si>
  <si>
    <t>AgFunder</t>
  </si>
  <si>
    <t>Chilibeli</t>
  </si>
  <si>
    <t>chilibeli.com</t>
  </si>
  <si>
    <t>Lightspeed Venture Partners; lsvp.com
Golden Gate Ventures; goldengate.vc
Surge; surgeahead.com
Kinesys Group; kinesysgroup.com
AltoPartners; altopartners.com</t>
  </si>
  <si>
    <t>Lightspeed Venture Partners</t>
  </si>
  <si>
    <t>Kuningan, West Java, Indonesia</t>
  </si>
  <si>
    <t>Online community based platform offering agricultural products</t>
  </si>
  <si>
    <t>Online Grocery &gt; B2C Ecommerce &gt; Fruits and Vegetables &gt; Social Commerce &gt; Agent Based Communities
Nanyang Technological University (NTU) &gt; Online Grocery &gt; B2C Ecommerce &gt; Fruits and Vegetables &gt; Social Commerce &gt; Agent Based Communities
Marketplaces &gt; Online Grocery &gt; B2C Ecommerce &gt; Fruits and Vegetables &gt; Social Commerce &gt; Agent Based Communities
Consumer Digital - Indonesia &gt; Online Grocery &gt; B2C Ecommerce &gt; Fruits and Vegetables &gt; Social Commerce &gt; Agent Based Communities
Consumer Digital - SEA &gt; Online Grocery &gt; B2C Ecommerce &gt; Fruits and Vegetables &gt; Social Commerce &gt; Agent Based Communities
B2C Grocery Delivery &gt; Online Grocery &gt; B2C Ecommerce &gt; Fruits and Vegetables &gt; Social Commerce &gt; Agent Based Communities
B2C E-Commerce &gt; Online Grocery &gt; B2C Ecommerce &gt; Fruits and Vegetables &gt; Social Commerce &gt; Agent Based Communities
Social Commerce &gt; Community Based Shopping Platforms &gt; Grocery &gt; Agent Communities
Marketplaces &gt; Social Commerce &gt; Community Based Shopping Platforms &gt; Grocery &gt; Agent Communities
Community Based Shopping Platforms &gt; Social Commerce &gt; Community Based Shopping Platforms &gt; Grocery &gt; Agent Communities
Nanyang Technological University (NTU) &gt; Social Commerce &gt; Community Based Shopping Platforms &gt; Grocery &gt; Agent Communities
Consumer Digital - Indonesia &gt; Social Commerce &gt; Community Based Shopping Platforms &gt; Grocery &gt; Agent Communities
Consumer Digital - SEA &gt; Social Commerce &gt; Community Based Shopping Platforms &gt; Grocery &gt; Agent Communities
B2C E-Commerce &gt; Social Commerce &gt; Community Based Shopping Platforms &gt; Grocery &gt; Agent Communities
Crop Tech &gt; ECommerce &gt; Farm Produce &gt; B2C &gt; Fruits and Vegetables &gt; Social Commerce &gt; Community Farming &gt; Agent Based
Nanyang Technological University (NTU) &gt; Crop Tech &gt; ECommerce &gt; Farm Produce &gt; B2C &gt; Fruits and Vegetables &gt; Social Commerce &gt; Community Farming &gt; Agent Based
Marketplaces &gt; Crop Tech &gt; ECommerce &gt; Farm Produce &gt; B2C &gt; Fruits and Vegetables &gt; Social Commerce &gt; Community Farming &gt; Agent Based
Consumer Digital - Indonesia &gt; Crop Tech &gt; ECommerce &gt; Farm Produce &gt; B2C &gt; Fruits and Vegetables &gt; Social Commerce &gt; Community Farming &gt; Agent Based
Consumer Digital - SEA &gt; Crop Tech &gt; ECommerce &gt; Farm Produce &gt; B2C &gt; Fruits and Vegetables &gt; Social Commerce &gt; Community Farming &gt; Agent Based
Surge Batches &gt; 2019 &gt; Surge 02</t>
  </si>
  <si>
    <t>Kisan Network</t>
  </si>
  <si>
    <t>kisannetwork.com</t>
  </si>
  <si>
    <t>Y Combinator; ycombinator.com
Thiel Foundation; thielfoundation.org
Venture Highway; venturehighway.vc
FundersClub; fundersclub.com
Lynett Capital; lynettcapital.com
Mistletoe; mistletoe.co</t>
  </si>
  <si>
    <t>Gokul Rajaram
Atsushi Taira</t>
  </si>
  <si>
    <t>Atsushi Taira
Mistletoe</t>
  </si>
  <si>
    <t>B2B marketplace for farmers and bulk buyers in India</t>
  </si>
  <si>
    <t>B2B E-Commerce &gt; Food &amp; Beverages &gt; Groceries &gt; Farm Products &gt; Marketplace
Marketplaces &gt; B2B E-Commerce &gt; Food &amp; Beverages &gt; Groceries &gt; Farm Products &gt; Marketplace
Enterprise Tech - India &gt; B2B E-Commerce &gt; Food &amp; Beverages &gt; Groceries &gt; Farm Products &gt; Marketplace
Crop Tech &gt; ECommerce &gt; Farm Produce &gt; B2B &gt; Fruits and Vegetables &gt; Marketplace
Marketplaces &gt; Crop Tech &gt; ECommerce &gt; Farm Produce &gt; B2B &gt; Fruits and Vegetables &gt; Marketplace
Enterprise Tech - India &gt; Crop Tech &gt; ECommerce &gt; Farm Produce &gt; B2B &gt; Fruits and Vegetables &gt; Marketplace
Online Grocery &gt; B2B Ecommerce &gt; Farm Produce &gt; Multi-Category &gt; Marketplace
Marketplaces &gt; Online Grocery &gt; B2B Ecommerce &gt; Farm Produce &gt; Multi-Category &gt; Marketplace
B2B Farm Produce E-Commerce &gt; Online Grocery &gt; B2B Ecommerce &gt; Farm Produce &gt; Multi-Category &gt; Marketplace
Enterprise Tech - India &gt; Online Grocery &gt; B2B Ecommerce &gt; Farm Produce &gt; Multi-Category &gt; Marketplace
Y Combinator Batches &gt; 2016 &gt; Winter</t>
  </si>
  <si>
    <t>MeraKisan</t>
  </si>
  <si>
    <t>merakisan.com</t>
  </si>
  <si>
    <t>Ajinkya Rahane</t>
  </si>
  <si>
    <t>Online marketplace that connects consumers with local farmers</t>
  </si>
  <si>
    <t>Online Grocery &gt; B2C Ecommerce &gt; Multi Category &gt; Marketplace &gt; Own Delivery Fleet
Marketplaces &gt; Online Grocery &gt; B2C Ecommerce &gt; Multi Category &gt; Marketplace &gt; Own Delivery Fleet
Consumer Digital - India &gt; Online Grocery &gt; B2C Ecommerce &gt; Multi Category &gt; Marketplace &gt; Own Delivery Fleet
Gig Employers &gt; Online Grocery &gt; B2C Ecommerce &gt; Multi Category &gt; Marketplace &gt; Own Delivery Fleet
B2C Grocery Delivery &gt; Online Grocery &gt; B2C Ecommerce &gt; Multi Category &gt; Marketplace &gt; Own Delivery Fleet
B2C E-Commerce &gt; Online Grocery &gt; B2C Ecommerce &gt; Multi Category &gt; Marketplace &gt; Own Delivery Fleet
Crop Tech &gt; ECommerce &gt; Farm Produce &gt; B2C &gt; Fruits and Vegetables &gt; Marketplace
Marketplaces &gt; Crop Tech &gt; ECommerce &gt; Farm Produce &gt; B2C &gt; Fruits and Vegetables &gt; Marketplace
Consumer Digital - India &gt; Crop Tech &gt; ECommerce &gt; Farm Produce &gt; B2C &gt; Fruits and Vegetables &gt; Marketplace</t>
  </si>
  <si>
    <t>InstaCrops</t>
  </si>
  <si>
    <t>instacrops.com</t>
  </si>
  <si>
    <t>THRIVE; thriveagrifood.com</t>
  </si>
  <si>
    <t>THRIVE</t>
  </si>
  <si>
    <t>Providencia, Santiago Metropolitan, Chile</t>
  </si>
  <si>
    <t>Integrated platform for the real-time monitoring of soil and microclimatic parameters at farm fields and data analytics</t>
  </si>
  <si>
    <t>Sensors &gt; Industry Applications &gt; Agriculture &gt; Soil Moisture
Artificial Intelligence &gt; Sensors &gt; Industry Applications &gt; Agriculture &gt; Soil Moisture
Enterprise Tech - Latam &gt; Sensors &gt; Industry Applications &gt; Agriculture &gt; Soil Moisture
Crop Tech &gt; Farm Management Software &gt; Soil Management &gt; Soil Moisture Monitoring &gt; Sensors
Enterprise Tech - Latam &gt; Crop Tech &gt; Farm Management Software &gt; Soil Management &gt; Soil Moisture Monitoring &gt; Sensors
Artificial Intelligence &gt; Crop Tech &gt; Farm Management Software &gt; Soil Management &gt; Soil Moisture Monitoring &gt; Sensors
AI in Agriculture &gt; Crop Tech &gt; Farm Management Software &gt; Soil Management &gt; Soil Moisture Monitoring &gt; Sensors
Farm Management Software &gt; Crop Tech &gt; Farm Management Software &gt; Soil Management &gt; Soil Moisture Monitoring &gt; Sensors</t>
  </si>
  <si>
    <t>Bioceres Crop Solutions</t>
  </si>
  <si>
    <t>biocerescrops.com</t>
  </si>
  <si>
    <t>solel-partners.com</t>
  </si>
  <si>
    <t>Manufacturer and supplier of bilogical farm inputs</t>
  </si>
  <si>
    <t>unnati</t>
  </si>
  <si>
    <t>unnati.world</t>
  </si>
  <si>
    <t>Gemba Capital; gembacapital.in</t>
  </si>
  <si>
    <t>Renu Satti
Shankar Nath
KRS Jamwal
Ajay Lakhotia</t>
  </si>
  <si>
    <t>Crop Tech &gt; ECommerce &gt; Retail Enablers</t>
  </si>
  <si>
    <t>PE</t>
  </si>
  <si>
    <t>Ali Akbar Group</t>
  </si>
  <si>
    <t>aliakbargroup.com</t>
  </si>
  <si>
    <t>Suncrop Group; suncropgroup.com</t>
  </si>
  <si>
    <t>Suncrop Group</t>
  </si>
  <si>
    <t>Provider of products, technological expertise, and field services for various sectors</t>
  </si>
  <si>
    <t>Accel; accel.com
Mayfield; mayfield.com
Omnivore Partners; omnivore.vc</t>
  </si>
  <si>
    <t>Accel
Omnivore Partners</t>
  </si>
  <si>
    <t>Sichuan Ailian Technology</t>
  </si>
  <si>
    <t>ailinkiot.com</t>
  </si>
  <si>
    <t>Mianyang, Sichuan Sheng, China</t>
  </si>
  <si>
    <t>Provider of wireless communication modules for IoT applications</t>
  </si>
  <si>
    <t>Internet of Things Infrastructure &gt; IoT Chips &gt; Communication Modules
HiTech - China &gt; Internet of Things Infrastructure &gt; IoT Chips &gt; Communication Modules
Enterprise Tech - China &gt; Internet of Things Infrastructure &gt; IoT Chips &gt; Communication Modules
IoT in Agriculture &gt; Internet of Things Infrastructure &gt; IoT Chips &gt; Communication Modules
Crop Tech &gt; Autonomous Farming &gt; Diversified
IoT in Agriculture &gt; Crop Tech &gt; Autonomous Farming &gt; Diversified
Enterprise Tech - China &gt; Crop Tech &gt; Autonomous Farming &gt; Diversified
Autonomous Farming &gt; Crop Tech &gt; Autonomous Farming &gt; Diversified
Livestock Tech &gt; End-to-End Livestock Farm Automation
IoT in Agriculture &gt; Livestock Tech &gt; End-to-End Livestock Farm Automation
Enterprise Tech - China &gt; Livestock Tech &gt; End-to-End Livestock Farm Automation</t>
  </si>
  <si>
    <t>Innoven Capital; innovencapital.com</t>
  </si>
  <si>
    <t>Lightbox; lightbox.vc
FMO; fmo.nl
Aspada Investments; aspada.com</t>
  </si>
  <si>
    <t>Lightbox</t>
  </si>
  <si>
    <t>Solinftec</t>
  </si>
  <si>
    <t>solinftec.com</t>
  </si>
  <si>
    <t>Itau BBA; itau.com.br</t>
  </si>
  <si>
    <t>Aracatuba, Estado De Sao Paulo, Brazil</t>
  </si>
  <si>
    <t>Automation of agricultural logistics processes</t>
  </si>
  <si>
    <t>Crop Tech &gt; Autonomous Farming &gt; Diversified
Enterprise Tech - Latam &gt; Crop Tech &gt; Autonomous Farming &gt; Diversified
Enterprise Tech - Brazil &gt; Crop Tech &gt; Autonomous Farming &gt; Diversified
Autonomous Farming &gt; Crop Tech &gt; Autonomous Farming &gt; Diversified</t>
  </si>
  <si>
    <t>Unbox Capital; unboxcapital.com
TPG; tpg.com</t>
  </si>
  <si>
    <t>Unbox Capital</t>
  </si>
  <si>
    <t>Stocche Forbes; stoccheforbes.com.br
vpbg.com.br
ulhoacanto.com.br
Veirano; veirano.com.br</t>
  </si>
  <si>
    <t>PayAgri</t>
  </si>
  <si>
    <t>payagri.com</t>
  </si>
  <si>
    <t>Vasudev Narayanan
Rajesh Balaraman</t>
  </si>
  <si>
    <t>Online platform to bring cashless ecosystem in Agriculture</t>
  </si>
  <si>
    <t>Internet First Insurance Platforms &gt; Internet First Insurers &gt; P&amp;C &gt; Crop
Internet First Insurers &gt; Internet First Insurance Platforms &gt; Internet First Insurers &gt; P&amp;C &gt; Crop
FinTech - India &gt; Internet First Insurance Platforms &gt; Internet First Insurers &gt; P&amp;C &gt; Crop
Agri FinTech &gt; Internet First Insurance Platforms &gt; Internet First Insurers &gt; P&amp;C &gt; Crop
Enterprise Tech - India &gt; Internet First Insurance Platforms &gt; Internet First Insurers &gt; P&amp;C &gt; Crop
Alternative Lending &gt; Online Lenders &gt; Consumer Loans &gt; Farm Loans &gt; Marketplace
FinTech - India &gt; Alternative Lending &gt; Online Lenders &gt; Consumer Loans &gt; Farm Loans &gt; Marketplace
Agri FinTech &gt; Alternative Lending &gt; Online Lenders &gt; Consumer Loans &gt; Farm Loans &gt; Marketplace
Enterprise Tech - India &gt; Alternative Lending &gt; Online Lenders &gt; Consumer Loans &gt; Farm Loans &gt; Marketplace
Internet First Lenders &gt; Alternative Lending &gt; Online Lenders &gt; Consumer Loans &gt; Farm Loans &gt; Marketplace
Crop Tech &gt; Finance &gt; Payments
Enterprise Tech - India &gt; Crop Tech &gt; Finance &gt; Payments</t>
  </si>
  <si>
    <t>Farmagain</t>
  </si>
  <si>
    <t>farmagain.in</t>
  </si>
  <si>
    <t>MM Elango
K Rajarathirnam
Shankara Arumugam Kulandaival
Ramayee Chinnakaruppan
Maddulety V</t>
  </si>
  <si>
    <t>MM Elango</t>
  </si>
  <si>
    <t>Coimbatore, Tamil Nadu, India</t>
  </si>
  <si>
    <t>AI-powered precision agriculture farming solutions provider</t>
  </si>
  <si>
    <t>IoT Applications &gt; Industry Specific &gt; Agriculture &gt; Farms
Artificial Intelligence - India &gt; IoT Applications &gt; Industry Specific &gt; Agriculture &gt; Farms
Artificial Intelligence &gt; IoT Applications &gt; Industry Specific &gt; Agriculture &gt; Farms
IoT in Agriculture &gt; IoT Applications &gt; Industry Specific &gt; Agriculture &gt; Farms
HiTech - India &gt; IoT Applications &gt; Industry Specific &gt; Agriculture &gt; Farms
Enterprise Tech - India &gt; IoT Applications &gt; Industry Specific &gt; Agriculture &gt; Farms
Crop Tech &gt; Farm Analytics &gt; Diversified
AI in Agriculture &gt; Crop Tech &gt; Farm Analytics &gt; Diversified
Artificial Intelligence - India &gt; Crop Tech &gt; Farm Analytics &gt; Diversified
Artificial Intelligence &gt; Crop Tech &gt; Farm Analytics &gt; Diversified
IoT in Agriculture &gt; Crop Tech &gt; Farm Analytics &gt; Diversified
Enterprise Tech - India &gt; Crop Tech &gt; Farm Analytics &gt; Diversified
Farm Analytics &gt; Crop Tech &gt; Farm Analytics &gt; Diversified</t>
  </si>
  <si>
    <t>ClariFruit</t>
  </si>
  <si>
    <t>clarifruit.com</t>
  </si>
  <si>
    <t>Firstime; firstime.vc</t>
  </si>
  <si>
    <t>Firstime</t>
  </si>
  <si>
    <t>Ness Ziona, Central District, Israel</t>
  </si>
  <si>
    <t>Mobile app to monitor and analyze fruit quality and ripeness</t>
  </si>
  <si>
    <t>Sensors &gt; Industry Applications &gt; Food
Crop Tech &gt; Post Harvest Management &gt; Quality Testing &gt; Fruits and Vegetables &gt; Sensors</t>
  </si>
  <si>
    <t>h2020.net</t>
  </si>
  <si>
    <t>The Krishi</t>
  </si>
  <si>
    <t>thekrishi.com</t>
  </si>
  <si>
    <t>Tracxn Labs; tracxnlabs.com
Sprout Investment Advisors; sproutvp.com</t>
  </si>
  <si>
    <t>Abhishek Ashok Dutt
Hozefa Mansoor
Kanav Hasija
Leisha Sumeet Asnani
Neeraj Narendra Soni
Rajneesh Sharma
Sandeep Deora
Rachita Fenil Shah
Sumeet Asnani
B Srinivasan
Kanav Hasija
Sarosh Bharucha
Pulkit Anand
Neha Singh
Suraj Saharan</t>
  </si>
  <si>
    <t>Abhishek Ashok Dutt
B Srinivasan</t>
  </si>
  <si>
    <t>Online social platform for farmers</t>
  </si>
  <si>
    <t>Crop Tech &gt; Content Platforms &gt; Data as a Service &gt; Market Data
IIT Kharagpur &gt; Crop Tech &gt; Content Platforms &gt; Data as a Service &gt; Market Data
Consumer Digital - India &gt; Crop Tech &gt; Content Platforms &gt; Data as a Service &gt; Market Data
Social Platforms &gt; Professionals &gt; Farmers
Consumer Digital - India &gt; Social Platforms &gt; Professionals &gt; Farmers
IIT Kharagpur &gt; Social Platforms &gt; Professionals &gt; Farmers</t>
  </si>
  <si>
    <t>Atomic Agro</t>
  </si>
  <si>
    <t>atomicagro.com.br</t>
  </si>
  <si>
    <t>Capital Lab; capitallab.com.br</t>
  </si>
  <si>
    <t>Capital Lab</t>
  </si>
  <si>
    <t>Uberlandia, Estado De Minas Gerais, Brazil</t>
  </si>
  <si>
    <t>Online peer to peer information dissemination platform for producers</t>
  </si>
  <si>
    <t>Crop Tech &gt; Content Platforms &gt; Farming Advice &gt; Farmer to Farmer
Consumer Digital - Latam &gt; Crop Tech &gt; Content Platforms &gt; Farming Advice &gt; Farmer to Farmer
Consumer Digital - Brazil &gt; Crop Tech &gt; Content Platforms &gt; Farming Advice &gt; Farmer to Farmer</t>
  </si>
  <si>
    <t>SP Ventures; spventures.com.br
Acre Venture Partners; acre.vc
Fall Line Capital; fall-line-capital.com
Brasil Agro; brasil-agro.com</t>
  </si>
  <si>
    <t>SP Ventures</t>
  </si>
  <si>
    <t>iFarmer</t>
  </si>
  <si>
    <t>ifarmer.asia</t>
  </si>
  <si>
    <t>Accelerating Asia; acceleratingasia.com</t>
  </si>
  <si>
    <t>Accelerating Asia</t>
  </si>
  <si>
    <t>Dhaka, Dhaka District, Bangladesh</t>
  </si>
  <si>
    <t>Online crowdfunding platform for farming communities</t>
  </si>
  <si>
    <t>Crop Tech &gt; Finance &gt; Crowdfunding
Crowdfunding &gt; Revenue Sharing &gt; Agriculture
Agri FinTech &gt; Crowdfunding &gt; Revenue Sharing &gt; Agriculture</t>
  </si>
  <si>
    <t>Marut Drones</t>
  </si>
  <si>
    <t>marutdrones.com</t>
  </si>
  <si>
    <t>Kiran Darisi
Parsuram Vijayasankar</t>
  </si>
  <si>
    <t>Guwahati, Assam, India</t>
  </si>
  <si>
    <t>Provides drone-based precision agriculture services</t>
  </si>
  <si>
    <t>Drones &gt; Services &gt; Precision Agriculture
HiTech - India &gt; Drones &gt; Services &gt; Precision Agriculture
Artificial Intelligence - India &gt; Drones &gt; Services &gt; Precision Agriculture
Artificial Intelligence &gt; Drones &gt; Services &gt; Precision Agriculture
Commercial Drones &gt; Drones &gt; Services &gt; Precision Agriculture
Agriculture Drones &gt; Drones &gt; Services &gt; Precision Agriculture
Enterprise Tech - India &gt; Drones &gt; Services &gt; Precision Agriculture
Crop Tech &gt; Farm Analytics &gt; Drones Based
AI in Agriculture &gt; Crop Tech &gt; Farm Analytics &gt; Drones Based
Artificial Intelligence - India &gt; Crop Tech &gt; Farm Analytics &gt; Drones Based
Enterprise Tech - India &gt; Crop Tech &gt; Farm Analytics &gt; Drones Based
Artificial Intelligence &gt; Crop Tech &gt; Farm Analytics &gt; Drones Based
Farm Analytics &gt; Crop Tech &gt; Farm Analytics &gt; Drones Based</t>
  </si>
  <si>
    <t>Agri-Intel</t>
  </si>
  <si>
    <t>agri-intel.com</t>
  </si>
  <si>
    <t>CropLife; croplife.co.za</t>
  </si>
  <si>
    <t>CropLife</t>
  </si>
  <si>
    <t>Online platform for the dissemination of agrochemical information</t>
  </si>
  <si>
    <t>Crop Tech &gt; Content Platforms &gt; Farming Advice &gt; Expert Advisors
Enterprise Tech - Africa &gt; Crop Tech &gt; Content Platforms &gt; Farming Advice &gt; Expert Advisors</t>
  </si>
  <si>
    <t>India Quotient; indiaquotient.in</t>
  </si>
  <si>
    <t>India Quotient</t>
  </si>
  <si>
    <t>Talent Cloud Information Technology</t>
  </si>
  <si>
    <t>tcloudit.com</t>
  </si>
  <si>
    <t>Nanning, Guangxi Zhuangzu Zizhiqu, China</t>
  </si>
  <si>
    <t>IoT based indoor and outdoor farm monitoring solutions provider</t>
  </si>
  <si>
    <t>Crop Tech &gt; Farm Management Software &gt; Controlled Environment Farming
Enterprise Tech - China &gt; Crop Tech &gt; Farm Management Software &gt; Controlled Environment Farming
IoT in Agriculture &gt; Crop Tech &gt; Farm Management Software &gt; Controlled Environment Farming
Farm Management Software &gt; Crop Tech &gt; Farm Management Software &gt; Controlled Environment Farming
IoT Applications &gt; Industry Specific &gt; Agriculture &gt; Farms
Enterprise Tech - China &gt; IoT Applications &gt; Industry Specific &gt; Agriculture &gt; Farms
HiTech - China &gt; IoT Applications &gt; Industry Specific &gt; Agriculture &gt; Farms
IoT in Agriculture &gt; IoT Applications &gt; Industry Specific &gt; Agriculture &gt; Farms</t>
  </si>
  <si>
    <t>Nu Genes</t>
  </si>
  <si>
    <t>nugenes.net</t>
  </si>
  <si>
    <t>Sathguru Catalyser Advisors; sathgurucatalysers.fund</t>
  </si>
  <si>
    <t>Sathguru Catalyser Advisors</t>
  </si>
  <si>
    <t>Secunderabad, Andhra Pradesh, India</t>
  </si>
  <si>
    <t>Seed company engaged in hybrid development, seed production, seed processing, and seed marketing</t>
  </si>
  <si>
    <t>Crop Tech &gt; Farm Inputs &gt; Seeds &gt; Field Crops &gt; Hybrid
Consumer Digital - India &gt; Crop Tech &gt; Farm Inputs &gt; Seeds &gt; Field Crops &gt; Hybrid
GMO and Hybrid Seeds &gt; Crop Tech &gt; Farm Inputs &gt; Seeds &gt; Field Crops &gt; Hybrid</t>
  </si>
  <si>
    <t>Barrix Agro Sciences</t>
  </si>
  <si>
    <t>barrix.in</t>
  </si>
  <si>
    <t>A Lakshmi</t>
  </si>
  <si>
    <t>Pest control product developer</t>
  </si>
  <si>
    <t>Chemicals Tech &gt; Green Chemicals &gt; Crop Protection &gt; Pheromones
Crop Tech &gt; Farm Inputs &gt; Biologicals &gt; Crop Protection &gt; Pheromones
Climate Tech &gt; Crop Tech &gt; Farm Inputs &gt; Biologicals &gt; Crop Protection &gt; Pheromones
Crop Biologicals &gt; Crop Tech &gt; Farm Inputs &gt; Biologicals &gt; Crop Protection &gt; Pheromones
CIIE Batches &gt; 2013</t>
  </si>
  <si>
    <t>Series E</t>
  </si>
  <si>
    <t>Licious</t>
  </si>
  <si>
    <t>licious.in</t>
  </si>
  <si>
    <t>Vertex Growth; vertexgrowth.com
3one4 Capital; 3one4capital.com
Bertelsmann India Investments; biifund.com
Sistema; sistema.com
Nichirei; nichirei.co.jp
Vertex Ventures; vertexventures.sg</t>
  </si>
  <si>
    <t>Vertex Growth</t>
  </si>
  <si>
    <t>Online platform for delivery of meat and seafood</t>
  </si>
  <si>
    <t>Livestock Tech &gt; ECommerce &gt; Farm Produce &gt; B2C &gt; Retailer &gt; Meat
Consumer Digital - India &gt; Livestock Tech &gt; ECommerce &gt; Farm Produce &gt; B2C &gt; Retailer &gt; Meat
Google &gt; Livestock Tech &gt; ECommerce &gt; Farm Produce &gt; B2C &gt; Retailer &gt; Meat
Online Grocery &gt; B2C Ecommerce &gt; Meat and Seafood &gt; Retailer &gt; Meat
Consumer Digital - India &gt; Online Grocery &gt; B2C Ecommerce &gt; Meat and Seafood &gt; Retailer &gt; Meat
Google &gt; Online Grocery &gt; B2C Ecommerce &gt; Meat and Seafood &gt; Retailer &gt; Meat
Meat Delivery &gt; Online Grocery &gt; B2C Ecommerce &gt; Meat and Seafood &gt; Retailer &gt; Meat
B2C Grocery Delivery &gt; Online Grocery &gt; B2C Ecommerce &gt; Meat and Seafood &gt; Retailer &gt; Meat
B2C E-Commerce &gt; Online Grocery &gt; B2C Ecommerce &gt; Meat and Seafood &gt; Retailer &gt; Meat</t>
  </si>
  <si>
    <t>Equinom</t>
  </si>
  <si>
    <t>equi-nom.com</t>
  </si>
  <si>
    <t>BASF; basf.com
Fortissimo Capital; ffcapital.com
Roquette; roquette.com
The Trendlines Group; trendlines.com</t>
  </si>
  <si>
    <t>BASF
Roquette
The Trendlines Group</t>
  </si>
  <si>
    <t>Rehovot, Central District, Israel</t>
  </si>
  <si>
    <t>Seed breeding using DNA sequencing data sets and genomic code</t>
  </si>
  <si>
    <t>Biotech R&amp;D &gt; Research Applications &gt; Genomics &gt; Suite
Life Sciences - MENA &gt; Biotech R&amp;D &gt; Research Applications &gt; Genomics &gt; Suite
Life Sciences - Israel &gt; Biotech R&amp;D &gt; Research Applications &gt; Genomics &gt; Suite
Crop Tech &gt; Farm Inputs &gt; Seeds &gt; Field Crops &gt; Hybrid
GMO and Hybrid Seeds &gt; Crop Tech &gt; Farm Inputs &gt; Seeds &gt; Field Crops &gt; Hybrid
Genomics &gt; Applied Genomics &gt; Agrigenomics
Life Sciences - MENA &gt; Genomics &gt; Applied Genomics &gt; Agrigenomics
Life Sciences - Israel &gt; Genomics &gt; Applied Genomics &gt; Agrigenomics</t>
  </si>
  <si>
    <t>Ecozen Solutions</t>
  </si>
  <si>
    <t>ecozensolutions.com</t>
  </si>
  <si>
    <t>Omnivore Partners; omnivore.vc</t>
  </si>
  <si>
    <t>Omnivore Partners</t>
  </si>
  <si>
    <t>Manufactures and supplies solar-powered irrigation pump controllers</t>
  </si>
  <si>
    <t>Crop Tech &gt; Farm Equipment &gt; Smart Solar Water Pumps &gt; Controllers
IIT Kharagpur &gt; Crop Tech &gt; Farm Equipment &gt; Smart Solar Water Pumps &gt; Controllers
Climate Tech &gt; Crop Tech &gt; Farm Equipment &gt; Smart Solar Water Pumps &gt; Controllers
Enterprise Tech - India &gt; Crop Tech &gt; Farm Equipment &gt; Smart Solar Water Pumps &gt; Controllers
Renewable Energy Tech &gt; Solar Energy &gt; Applications &gt; Agriculture and Food &gt; Smart Water Pumps &gt; Controllers
IIT Kharagpur &gt; Renewable Energy Tech &gt; Solar Energy &gt; Applications &gt; Agriculture and Food &gt; Smart Water Pumps &gt; Controllers
Climate Tech &gt; Renewable Energy Tech &gt; Solar Energy &gt; Applications &gt; Agriculture and Food &gt; Smart Water Pumps &gt; Controllers
Solar Energy Tech &gt; Renewable Energy Tech &gt; Solar Energy &gt; Applications &gt; Agriculture and Food &gt; Smart Water Pumps &gt; Controllers
Enterprise Tech - India &gt; Renewable Energy Tech &gt; Solar Energy &gt; Applications &gt; Agriculture and Food &gt; Smart Water Pumps &gt; Controllers</t>
  </si>
  <si>
    <t>Walmart; walmart.com
Flipkart; flipkart.com
Tanglin Venture Partners; tanglinvp.com
Syngenta Ventures; syngentaventures.com</t>
  </si>
  <si>
    <t>Minu Kataria</t>
  </si>
  <si>
    <t>Flipkart</t>
  </si>
  <si>
    <t>Cultyvate</t>
  </si>
  <si>
    <t>cultyvate.com</t>
  </si>
  <si>
    <t>Villgro; villgro.org</t>
  </si>
  <si>
    <t>Villgro</t>
  </si>
  <si>
    <t>Develops IoT and artificial intelligence based integrated hardware and software platform for precision agriculture</t>
  </si>
  <si>
    <t>Crop Tech &gt; Farm Management Software &gt; Diversified
AI in Agriculture &gt; Crop Tech &gt; Farm Management Software &gt; Diversified
Artificial Intelligence - India &gt; Crop Tech &gt; Farm Management Software &gt; Diversified
Artificial Intelligence &gt; Crop Tech &gt; Farm Management Software &gt; Diversified
IoT in Agriculture &gt; Crop Tech &gt; Farm Management Software &gt; Diversified
Enterprise Tech - India &gt; Crop Tech &gt; Farm Management Software &gt; Diversified
Farm Management Software &gt; Crop Tech &gt; Farm Management Software &gt; Diversified
IoT Applications &gt; Industry Specific &gt; Agriculture &gt; Farms
Artificial Intelligence - India &gt; IoT Applications &gt; Industry Specific &gt; Agriculture &gt; Farms
Artificial Intelligence &gt; IoT Applications &gt; Industry Specific &gt; Agriculture &gt; Farms
IoT in Agriculture &gt; IoT Applications &gt; Industry Specific &gt; Agriculture &gt; Farms
HiTech - India &gt; IoT Applications &gt; Industry Specific &gt; Agriculture &gt; Farms
Enterprise Tech - India &gt; IoT Applications &gt; Industry Specific &gt; Agriculture &gt; Farms
Computer Vision &gt; Industry Specific Applications &gt; Agriculture &gt; Crops
IoT in Agriculture &gt; Computer Vision &gt; Industry Specific Applications &gt; Agriculture &gt; Crops
Artificial Intelligence &gt; Computer Vision &gt; Industry Specific Applications &gt; Agriculture &gt; Crops
Artificial Intelligence - India &gt; Computer Vision &gt; Industry Specific Applications &gt; Agriculture &gt; Crops
HiTech - India &gt; Computer Vision &gt; Industry Specific Applications &gt; Agriculture &gt; Crops
Enterprise Tech - India &gt; Computer Vision &gt; Industry Specific Applications &gt; Agriculture &gt; Crops</t>
  </si>
  <si>
    <t>Farmshine</t>
  </si>
  <si>
    <t>farmshine.io</t>
  </si>
  <si>
    <t>GMC coLABS; gmccolabs.com</t>
  </si>
  <si>
    <t>GMC coLABS</t>
  </si>
  <si>
    <t>Online marketplace for agricultural products</t>
  </si>
  <si>
    <t>Crop Tech &gt; ECommerce &gt; Farm Produce &gt; B2B &gt; Fruits and Vegetables &gt; Marketplace
Marketplaces &gt; Crop Tech &gt; ECommerce &gt; Farm Produce &gt; B2B &gt; Fruits and Vegetables &gt; Marketplace
Enterprise Tech - Africa &gt; Crop Tech &gt; ECommerce &gt; Farm Produce &gt; B2B &gt; Fruits and Vegetables &gt; Marketplace
Consumer Digital - Africa &gt; Crop Tech &gt; ECommerce &gt; Farm Produce &gt; B2B &gt; Fruits and Vegetables &gt; Marketplace</t>
  </si>
  <si>
    <t>Innovana Thinklabs; innovanathinklabs.com</t>
  </si>
  <si>
    <t>Innovana Thinklabs</t>
  </si>
  <si>
    <t>Green Fingers Mobile</t>
  </si>
  <si>
    <t>greenfingersmobile.com</t>
  </si>
  <si>
    <t>Seedstars; seedstars.com</t>
  </si>
  <si>
    <t>Mobile-first SaaS platform for farmer data collection, credit scoring, and data analytics</t>
  </si>
  <si>
    <t>Crop Tech &gt; Content Platforms &gt; Data as a Service &gt; Market Data
Enterprise Tech - Africa &gt; Crop Tech &gt; Content Platforms &gt; Data as a Service &gt; Market Data
SaaS &gt; Crop Tech &gt; Content Platforms &gt; Data as a Service &gt; Market Data</t>
  </si>
  <si>
    <t>Telluris Biotech India</t>
  </si>
  <si>
    <t>tellurisbiotech.com</t>
  </si>
  <si>
    <t>Manufacturer and supplier of crop protection solutions</t>
  </si>
  <si>
    <t>Chemicals Tech &gt; Green Chemicals &gt; Crop Protection &gt; Plant Based
Enterprise Tech - India &gt; Chemicals Tech &gt; Green Chemicals &gt; Crop Protection &gt; Plant Based
Crop Tech &gt; Farm Inputs &gt; Biologicals &gt; Crop Protection &gt; Plant Based
Climate Tech &gt; Crop Tech &gt; Farm Inputs &gt; Biologicals &gt; Crop Protection &gt; Plant Based
Enterprise Tech - India &gt; Crop Tech &gt; Farm Inputs &gt; Biologicals &gt; Crop Protection &gt; Plant Based
Crop Biologicals &gt; Crop Tech &gt; Farm Inputs &gt; Biologicals &gt; Crop Protection &gt; Plant Based</t>
  </si>
  <si>
    <t>Egg Xiao Er</t>
  </si>
  <si>
    <t>eggxiaoer.com</t>
  </si>
  <si>
    <t>Shanghai Zimi Investment Development; zimifund.com.cn</t>
  </si>
  <si>
    <t>Shanghai Zimi Investment Development</t>
  </si>
  <si>
    <t>Pudong, Shanghai Shi, China</t>
  </si>
  <si>
    <t>Developer of a platform for trading eggs</t>
  </si>
  <si>
    <t>Livestock Tech &gt; ECommerce &gt; Farm Produce &gt; B2B &gt; Marketplace &gt; Eggs
SaaS - China &gt; Livestock Tech &gt; ECommerce &gt; Farm Produce &gt; B2B &gt; Marketplace &gt; Eggs
SaaS &gt; Livestock Tech &gt; ECommerce &gt; Farm Produce &gt; B2B &gt; Marketplace &gt; Eggs
Enterprise Tech - China &gt; Livestock Tech &gt; ECommerce &gt; Farm Produce &gt; B2B &gt; Marketplace &gt; Eggs
Online Grocery &gt; B2B Ecommerce &gt; Farm Produce &gt; Eggs &gt; Marketplace
SaaS - China &gt; Online Grocery &gt; B2B Ecommerce &gt; Farm Produce &gt; Eggs &gt; Marketplace
SaaS &gt; Online Grocery &gt; B2B Ecommerce &gt; Farm Produce &gt; Eggs &gt; Marketplace
Enterprise Tech - China &gt; Online Grocery &gt; B2B Ecommerce &gt; Farm Produce &gt; Eggs &gt; Marketplace
B2B Farm Produce E-Commerce &gt; Online Grocery &gt; B2B Ecommerce &gt; Farm Produce &gt; Eggs &gt; Marketplace</t>
  </si>
  <si>
    <t>Famunera</t>
  </si>
  <si>
    <t>famunera.com</t>
  </si>
  <si>
    <t>National Social Security Fund; nssfug.org</t>
  </si>
  <si>
    <t>National Social Security Fund</t>
  </si>
  <si>
    <t>Kampala, Kampala District, Uganda</t>
  </si>
  <si>
    <t>Online marketplace for agriculture products</t>
  </si>
  <si>
    <t>Crop Tech &gt; ECommerce &gt; Diversified &gt; Marketplace
Enterprise Tech - Africa &gt; Crop Tech &gt; ECommerce &gt; Diversified &gt; Marketplace
Marketplaces &gt; Crop Tech &gt; ECommerce &gt; Diversified &gt; Marketplace</t>
  </si>
  <si>
    <t>AgriTask</t>
  </si>
  <si>
    <t>agritask.com</t>
  </si>
  <si>
    <t>InsuResilience Investment Fund; insuresilienceinvestment.fund
Barn Invest; barninvest.com.br</t>
  </si>
  <si>
    <t>InsuResilience Investment Fund</t>
  </si>
  <si>
    <t>Holon, Tel Aviv, Israel</t>
  </si>
  <si>
    <t>Software platform for precision ag decision support and field management</t>
  </si>
  <si>
    <t>Crop Tech &gt; Farm Management Software &gt; Diversified
SaaS &gt; Crop Tech &gt; Farm Management Software &gt; Diversified
SaaS - MENA &gt; Crop Tech &gt; Farm Management Software &gt; Diversified
Enterprise Tech - MENA &gt; Crop Tech &gt; Farm Management Software &gt; Diversified
SaaS - Israel &gt; Crop Tech &gt; Farm Management Software &gt; Diversified
Enterprise Tech - Israel &gt; Crop Tech &gt; Farm Management Software &gt; Diversified
Farm Management Software &gt; Crop Tech &gt; Farm Management Software &gt; Diversified
Vertical Business Intelligence &gt; Industry Specific &gt; Agriculture
SaaS &gt; Vertical Business Intelligence &gt; Industry Specific &gt; Agriculture
SaaS - MENA &gt; Vertical Business Intelligence &gt; Industry Specific &gt; Agriculture
Enterprise Tech - MENA &gt; Vertical Business Intelligence &gt; Industry Specific &gt; Agriculture
SaaS - Israel &gt; Vertical Business Intelligence &gt; Industry Specific &gt; Agriculture
Enterprise Tech - Israel &gt; Vertical Business Intelligence &gt; Industry Specific &gt; Agriculture</t>
  </si>
  <si>
    <t>Viridix</t>
  </si>
  <si>
    <t>viridix.com</t>
  </si>
  <si>
    <t>ICI Fund; ici.fund</t>
  </si>
  <si>
    <t>ICI Fund</t>
  </si>
  <si>
    <t>Kfar Saba, Central District, Israel</t>
  </si>
  <si>
    <t>Agricultural and soil sensors for enterprises</t>
  </si>
  <si>
    <t>Crop Tech &gt; Farm Management Software &gt; Soil Management &gt; Soil Moisture Monitoring &gt; Sensors
Enterprise Tech - MENA &gt; Crop Tech &gt; Farm Management Software &gt; Soil Management &gt; Soil Moisture Monitoring &gt; Sensors
Enterprise Tech - Israel &gt; Crop Tech &gt; Farm Management Software &gt; Soil Management &gt; Soil Moisture Monitoring &gt; Sensors
IoT in Agriculture &gt; Crop Tech &gt; Farm Management Software &gt; Soil Management &gt; Soil Moisture Monitoring &gt; Sensors
Farm Management Software &gt; Crop Tech &gt; Farm Management Software &gt; Soil Management &gt; Soil Moisture Monitoring &gt; Sensors
IoT Applications &gt; Industry Specific &gt; Agriculture &gt; Farms
Enterprise Tech - MENA &gt; IoT Applications &gt; Industry Specific &gt; Agriculture &gt; Farms
Enterprise Tech - Israel &gt; IoT Applications &gt; Industry Specific &gt; Agriculture &gt; Farms
HiTech - Israel &gt; IoT Applications &gt; Industry Specific &gt; Agriculture &gt; Farms
HiTech - MENA &gt; IoT Applications &gt; Industry Specific &gt; Agriculture &gt; Farms
IoT in Agriculture &gt; IoT Applications &gt; Industry Specific &gt; Agriculture &gt; Farms
Water and Wastewater Management Tech &gt; Smart Irrigation &gt; Farming &gt; Soil Moisture Monitoring &gt; Sensors
Enterprise Tech - MENA &gt; Water and Wastewater Management Tech &gt; Smart Irrigation &gt; Farming &gt; Soil Moisture Monitoring &gt; Sensors
IoT in Agriculture &gt; Water and Wastewater Management Tech &gt; Smart Irrigation &gt; Farming &gt; Soil Moisture Monitoring &gt; Sensors
Enterprise Tech - Israel &gt; Water and Wastewater Management Tech &gt; Smart Irrigation &gt; Farming &gt; Soil Moisture Monitoring &gt; Sensors
Smart Irrigation &gt; Water and Wastewater Management Tech &gt; Smart Irrigation &gt; Farming &gt; Soil Moisture Monitoring &gt; Sensors
Sensors &gt; Industry Applications &gt; Agriculture
Enterprise Tech - Israel &gt; Sensors &gt; Industry Applications &gt; Agriculture
Enterprise Tech - MENA &gt; Sensors &gt; Industry Applications &gt; Agriculture
IoT in Agriculture &gt; Sensors &gt; Industry Applications &gt; Agriculture</t>
  </si>
  <si>
    <t>AbuErdan</t>
  </si>
  <si>
    <t>abuerdan.com</t>
  </si>
  <si>
    <t>MassChallenge; masschallenge.org</t>
  </si>
  <si>
    <t>Cairo, Cairo, Egypt</t>
  </si>
  <si>
    <t>Cloud-based poultry management software</t>
  </si>
  <si>
    <t>MassChallenge Batches &gt; Switzerland &gt; 2019 &gt; Platinum
SaaS &gt; MassChallenge Batches &gt; Switzerland &gt; 2019 &gt; Platinum
Artificial Intelligence - MENA &gt; MassChallenge Batches &gt; Switzerland &gt; 2019 &gt; Platinum
SaaS - MENA &gt; MassChallenge Batches &gt; Switzerland &gt; 2019 &gt; Platinum
Enterprise Tech - MENA &gt; MassChallenge Batches &gt; Switzerland &gt; 2019 &gt; Platinum
Enterprise Tech - Africa &gt; MassChallenge Batches &gt; Switzerland &gt; 2019 &gt; Platinum
Artificial Intelligence &gt; MassChallenge Batches &gt; Switzerland &gt; 2019 &gt; Platinum
ERP &gt; Agriculture &gt; Farm Management &gt; LiveStock &gt; Poultry
SaaS &gt; ERP &gt; Agriculture &gt; Farm Management &gt; LiveStock &gt; Poultry
Artificial Intelligence &gt; ERP &gt; Agriculture &gt; Farm Management &gt; LiveStock &gt; Poultry
Enterprise Tech - Africa &gt; ERP &gt; Agriculture &gt; Farm Management &gt; LiveStock &gt; Poultry
Artificial Intelligence - MENA &gt; ERP &gt; Agriculture &gt; Farm Management &gt; LiveStock &gt; Poultry
Enterprise Tech - MENA &gt; ERP &gt; Agriculture &gt; Farm Management &gt; LiveStock &gt; Poultry
SaaS - MENA &gt; ERP &gt; Agriculture &gt; Farm Management &gt; LiveStock &gt; Poultry
Livestock Tech &gt; Livestock Management Software
SaaS &gt; Livestock Tech &gt; Livestock Management Software
Artificial Intelligence - MENA &gt; Livestock Tech &gt; Livestock Management Software
SaaS - MENA &gt; Livestock Tech &gt; Livestock Management Software
Enterprise Tech - MENA &gt; Livestock Tech &gt; Livestock Management Software
AI in Agriculture &gt; Livestock Tech &gt; Livestock Management Software
Enterprise Tech - Africa &gt; Livestock Tech &gt; Livestock Management Software
Artificial Intelligence &gt; Livestock Tech &gt; Livestock Management Software</t>
  </si>
  <si>
    <t>Wolkus Technology Solutions</t>
  </si>
  <si>
    <t>wolkus.com</t>
  </si>
  <si>
    <t>Omnivore Partners; omnivore.vc
Wavemaker Partners; wavemaker.vc
Artesian; artesianinvest.com
Mount Parker; mountparker.com
Mistletoe; mistletoe.co
Zeroth Ai; zeroth.ai</t>
  </si>
  <si>
    <t>AI-powered IoT platform for precision agriculture</t>
  </si>
  <si>
    <t>Crop Tech &gt; Farm Analytics &gt; Diversified
Artificial Intelligence - India &gt; Crop Tech &gt; Farm Analytics &gt; Diversified
Artificial Intelligence &gt; Crop Tech &gt; Farm Analytics &gt; Diversified
AI in Agriculture &gt; Crop Tech &gt; Farm Analytics &gt; Diversified
Enterprise Tech - India &gt; Crop Tech &gt; Farm Analytics &gt; Diversified
Farm Analytics &gt; Crop Tech &gt; Farm Analytics &gt; Diversified</t>
  </si>
  <si>
    <t>Fasal</t>
  </si>
  <si>
    <t>fasal.co</t>
  </si>
  <si>
    <t>Omnivore Partners; omnivore.vc
Location Labs; locationlabs.com
Mount Parker; mountparker.com
Animocabrands; animocabrands.com
Mistletoe; mistletoe.co
Zeroth Ai; zeroth.ai
Artesian; artesianinvest.com
Wavemaker Partners; wavemaker.vc</t>
  </si>
  <si>
    <t>Omnivore Partners
Location Labs
Wavemaker Partners</t>
  </si>
  <si>
    <t>Crop Tech &gt; Farm Management Software &gt; Diversified
Artificial Intelligence - India &gt; Crop Tech &gt; Farm Management Software &gt; Diversified
SaaS - India &gt; Crop Tech &gt; Farm Management Software &gt; Diversified
SaaS &gt; Crop Tech &gt; Farm Management Software &gt; Diversified
Artificial Intelligence &gt; Crop Tech &gt; Farm Management Software &gt; Diversified
AI in Agriculture &gt; Crop Tech &gt; Farm Management Software &gt; Diversified
Enterprise Tech - India &gt; Crop Tech &gt; Farm Management Software &gt; Diversified
Farm Management Software &gt; Crop Tech &gt; Farm Management Software &gt; Diversified</t>
  </si>
  <si>
    <t>Gastrotope; gastrotope.com
icul.in</t>
  </si>
  <si>
    <t>Goldman Sachs; goldmansachs.com
International Finance Corporation; ifc.org
TLcom Capital Partners; tlcomcapital.com
Creadev; creadev.com
AlphaMundi; alphamundi.ch
OPIC; opic.gov</t>
  </si>
  <si>
    <t>Goldman Sachs</t>
  </si>
  <si>
    <t>Magister Advisors; magisteradvisors.com</t>
  </si>
  <si>
    <t>Nexus Venture Partners; nexusvp.com
Capria; capria.vc
Heron Rock; heronrock.com
Kalaari Capital; kalaari.com</t>
  </si>
  <si>
    <t>Nexus Venture Partners
Heron Rock</t>
  </si>
  <si>
    <t>Trifecta Capital; trifectacapital.in</t>
  </si>
  <si>
    <t>FarMart</t>
  </si>
  <si>
    <t>farmart.co</t>
  </si>
  <si>
    <t>500 Startups; 500.co</t>
  </si>
  <si>
    <t>500 Startups</t>
  </si>
  <si>
    <t>Web and mobile-based application for renting farm equipment</t>
  </si>
  <si>
    <t>Crop Tech &gt; ECommerce &gt; Retail Enablers &gt; Farm Inputs Retail
Consumer Digital - India &gt; Crop Tech &gt; ECommerce &gt; Retail Enablers &gt; Farm Inputs Retail
Marketplaces &gt; Crop Tech &gt; ECommerce &gt; Retail Enablers &gt; Farm Inputs Retail
500 Startups Portfolio &gt; Crop Tech &gt; ECommerce &gt; Retail Enablers &gt; Farm Inputs Retail
Goldman Sachs &gt; Crop Tech &gt; ECommerce &gt; Retail Enablers &gt; Farm Inputs Retail
Alternative Lending &gt; Online Lenders &gt; Consumer Loans &gt; Farm Loans &gt; Marketplace
FinTech - India &gt; Alternative Lending &gt; Online Lenders &gt; Consumer Loans &gt; Farm Loans &gt; Marketplace
Marketplaces &gt; Alternative Lending &gt; Online Lenders &gt; Consumer Loans &gt; Farm Loans &gt; Marketplace
Consumer Digital - India &gt; Alternative Lending &gt; Online Lenders &gt; Consumer Loans &gt; Farm Loans &gt; Marketplace
500 Startups Portfolio &gt; Alternative Lending &gt; Online Lenders &gt; Consumer Loans &gt; Farm Loans &gt; Marketplace
Goldman Sachs &gt; Alternative Lending &gt; Online Lenders &gt; Consumer Loans &gt; Farm Loans &gt; Marketplace
Agri FinTech &gt; Alternative Lending &gt; Online Lenders &gt; Consumer Loans &gt; Farm Loans &gt; Marketplace
Internet First Lenders &gt; Alternative Lending &gt; Online Lenders &gt; Consumer Loans &gt; Farm Loans &gt; Marketplace</t>
  </si>
  <si>
    <t>The Flying Spark​</t>
  </si>
  <si>
    <t>theflyingspark.com</t>
  </si>
  <si>
    <t>Thai Union; thaiunion.com</t>
  </si>
  <si>
    <t>Thai Union</t>
  </si>
  <si>
    <t>Ramat Gan, Tel Aviv, Israel</t>
  </si>
  <si>
    <t>Development and supply of products based on protein extracted from insect larvae in Israel</t>
  </si>
  <si>
    <t>MassChallenge Batches &gt; Cohort Information Unavailable
Consumer Digital - Israel &gt; MassChallenge Batches &gt; Cohort Information Unavailable
Consumer Digital - MENA &gt; MassChallenge Batches &gt; Cohort Information Unavailable
Insect Farming Tech &gt; Insects &gt; Insect based Products &gt; Novel Foods
Consumer Digital - MENA &gt; Insect Farming Tech &gt; Insects &gt; Insect based Products &gt; Novel Foods
Consumer Digital - Israel &gt; Insect Farming Tech &gt; Insects &gt; Insect based Products &gt; Novel Foods
Climate Tech &gt; Insect Farming Tech &gt; Insects &gt; Insect based Products &gt; Novel Foods
Nutraceuticals &gt; Nutraceutical Ingredients
Consumer Digital - MENA &gt; Nutraceuticals &gt; Nutraceutical Ingredients
Consumer Digital - Israel &gt; Nutraceuticals &gt; Nutraceutical Ingredients
Food Tech &gt; Novel Foods &gt; Food Ingredients &gt; Protein
Consumer Digital - MENA &gt; Food Tech &gt; Novel Foods &gt; Food Ingredients &gt; Protein
Consumer Digital - Israel &gt; Food Tech &gt; Novel Foods &gt; Food Ingredients &gt; Protein
Novel Foods &gt; Food Tech &gt; Novel Foods &gt; Food Ingredients &gt; Protein
Climate Tech &gt; Food Tech &gt; Novel Foods &gt; Food Ingredients &gt; Protein</t>
  </si>
  <si>
    <t>Cricket One</t>
  </si>
  <si>
    <t>cricketone.asia</t>
  </si>
  <si>
    <t>500 Startups; 500startups.com.vn</t>
  </si>
  <si>
    <t>Binh Phuoc, An Giang, Vietnam</t>
  </si>
  <si>
    <t>Produces and supplies edible insects</t>
  </si>
  <si>
    <t>Insect Farming Tech &gt; Insects &gt; Insect based Products &gt; Diversified
Climate Tech &gt; Insect Farming Tech &gt; Insects &gt; Insect based Products &gt; Diversified</t>
  </si>
  <si>
    <t>EM3 Agri Services</t>
  </si>
  <si>
    <t>em3agri.com</t>
  </si>
  <si>
    <t>Global Innovation Fund; globalinnovation.fund
Aspada Investments; aspada.com</t>
  </si>
  <si>
    <t>Aspada Investments</t>
  </si>
  <si>
    <t>Provider of farming services to the farming communities</t>
  </si>
  <si>
    <t>Crop Tech &gt; Farming as a Service &gt; Tech Enabled Services
IIT Delhi &gt; Crop Tech &gt; Farming as a Service &gt; Tech Enabled Services
IIM Calcutta &gt; Crop Tech &gt; Farming as a Service &gt; Tech Enabled Services
Consumer Digital - India &gt; Crop Tech &gt; Farming as a Service &gt; Tech Enabled Services</t>
  </si>
  <si>
    <t>Zentronlabs</t>
  </si>
  <si>
    <t>zentronlabs.com</t>
  </si>
  <si>
    <t>Automation systems for visual checking processes</t>
  </si>
  <si>
    <t>Manufacturing Tech &gt; Process Control &gt; Analytics &gt; Equipment Monitoring &amp; Analysis &gt; IoT-Based
Artificial Intelligence - India &gt; Manufacturing Tech &gt; Process Control &gt; Analytics &gt; Equipment Monitoring &amp; Analysis &gt; IoT-Based
Artificial Intelligence &gt; Manufacturing Tech &gt; Process Control &gt; Analytics &gt; Equipment Monitoring &amp; Analysis &gt; IoT-Based
IIT Madras &gt; Manufacturing Tech &gt; Process Control &gt; Analytics &gt; Equipment Monitoring &amp; Analysis &gt; IoT-Based
Manufacturing Process Analytics &gt; Manufacturing Tech &gt; Process Control &gt; Analytics &gt; Equipment Monitoring &amp; Analysis &gt; IoT-Based
Enterprise Tech - India &gt; Manufacturing Tech &gt; Process Control &gt; Analytics &gt; Equipment Monitoring &amp; Analysis &gt; IoT-Based
AI in Manufacturing &gt; Manufacturing Tech &gt; Process Control &gt; Analytics &gt; Equipment Monitoring &amp; Analysis &gt; IoT-Based
Crop Tech &gt; Post Harvest Management &gt; Quality Testing &gt; Fruits and Vegetables &gt; Sensors
AI in Agriculture &gt; Crop Tech &gt; Post Harvest Management &gt; Quality Testing &gt; Fruits and Vegetables &gt; Sensors
Artificial Intelligence - India &gt; Crop Tech &gt; Post Harvest Management &gt; Quality Testing &gt; Fruits and Vegetables &gt; Sensors
IIT Madras &gt; Crop Tech &gt; Post Harvest Management &gt; Quality Testing &gt; Fruits and Vegetables &gt; Sensors
Artificial Intelligence &gt; Crop Tech &gt; Post Harvest Management &gt; Quality Testing &gt; Fruits and Vegetables &gt; Sensors
Enterprise Tech - India &gt; Crop Tech &gt; Post Harvest Management &gt; Quality Testing &gt; Fruits and Vegetables &gt; Sensors</t>
  </si>
  <si>
    <t>AllerGuard</t>
  </si>
  <si>
    <t>allerguardsystems.com</t>
  </si>
  <si>
    <t>Coshare; co-share.co.il
EHealth Ventures; ehealthventures.com</t>
  </si>
  <si>
    <t>Coshare</t>
  </si>
  <si>
    <t>Personal allergen hazard sensor</t>
  </si>
  <si>
    <t>Crop Tech &gt; Post Harvest Management &gt; Quality Testing &gt; Fruits and Vegetables &gt; Sensors
Consumer Digital - Israel &gt; Crop Tech &gt; Post Harvest Management &gt; Quality Testing &gt; Fruits and Vegetables &gt; Sensors
Consumer Digital - MENA &gt; Crop Tech &gt; Post Harvest Management &gt; Quality Testing &gt; Fruits and Vegetables &gt; Sensors
Tel Aviv University &gt; Crop Tech &gt; Post Harvest Management &gt; Quality Testing &gt; Fruits and Vegetables &gt; Sensors
Food Tech &gt; Tech Hardware &gt; Food Safety &gt; Consumer Focused &gt; Allergen Detection
Consumer Digital - MENA &gt; Food Tech &gt; Tech Hardware &gt; Food Safety &gt; Consumer Focused &gt; Allergen Detection
Consumer Digital - Israel &gt; Food Tech &gt; Tech Hardware &gt; Food Safety &gt; Consumer Focused &gt; Allergen Detection
Tel Aviv University &gt; Food Tech &gt; Tech Hardware &gt; Food Safety &gt; Consumer Focused &gt; Allergen Detection
Food Safety Analysis &gt; Food Tech &gt; Tech Hardware &gt; Food Safety &gt; Consumer Focused &gt; Allergen Detection
Sensors &gt; Industry Applications &gt; Food
Consumer Digital - MENA &gt; Sensors &gt; Industry Applications &gt; Food
Tel Aviv University &gt; Sensors &gt; Industry Applications &gt; Food
Consumer Digital - Israel &gt; Sensors &gt; Industry Applications &gt; Food</t>
  </si>
  <si>
    <t>Lentera Africa</t>
  </si>
  <si>
    <t>lenterafrica.com</t>
  </si>
  <si>
    <t>KCIC; kenyacic.org</t>
  </si>
  <si>
    <t>Kiambu, Kiambu District, Kenya</t>
  </si>
  <si>
    <t>Provider of precision agriculture solutions</t>
  </si>
  <si>
    <t>MassChallenge Batches &gt; Switzerland &gt; 2020
Enterprise Tech - Africa &gt; MassChallenge Batches &gt; Switzerland &gt; 2020
IoT in Agriculture &gt; MassChallenge Batches &gt; Switzerland &gt; 2020
IoT Applications &gt; Industry Specific &gt; Agriculture &gt; Farms
Enterprise Tech - Africa &gt; IoT Applications &gt; Industry Specific &gt; Agriculture &gt; Farms
IoT in Agriculture &gt; IoT Applications &gt; Industry Specific &gt; Agriculture &gt; Farms
Crop Tech &gt; Farm Analytics &gt; Satellite Image Based
Enterprise Tech - Africa &gt; Crop Tech &gt; Farm Analytics &gt; Satellite Image Based
IoT in Agriculture &gt; Crop Tech &gt; Farm Analytics &gt; Satellite Image Based
Farm Analytics &gt; Crop Tech &gt; Farm Analytics &gt; Satellite Image Based</t>
  </si>
  <si>
    <t>Surge; surgeahead.com</t>
  </si>
  <si>
    <t>Surge</t>
  </si>
  <si>
    <t>Surge; surgeahead.com
Omidyar Network India; omidyarnetwork.in
Omnivore Partners; omnivore.vc
Better Capital; bettercapital.vc</t>
  </si>
  <si>
    <t>Nipun Mehra</t>
  </si>
  <si>
    <t>East Ventures; east.vc</t>
  </si>
  <si>
    <t>Mahyco</t>
  </si>
  <si>
    <t>mahyco.com</t>
  </si>
  <si>
    <t>International Finance Corporation; ifc.org</t>
  </si>
  <si>
    <t>International Finance Corporation</t>
  </si>
  <si>
    <t>Jalna, Maharashtra, India</t>
  </si>
  <si>
    <t>Produces, processes and supplies seeds</t>
  </si>
  <si>
    <t>Genomics &gt; Applied Genomics &gt; Agrigenomics
Life Sciences - India &gt; Genomics &gt; Applied Genomics &gt; Agrigenomics
Crop Tech &gt; Farm Inputs &gt; Seeds &gt; Horticulture
GMO and Hybrid Seeds &gt; Crop Tech &gt; Farm Inputs &gt; Seeds &gt; Horticulture</t>
  </si>
  <si>
    <t>FarmERP</t>
  </si>
  <si>
    <t>farmerp.com</t>
  </si>
  <si>
    <t>TecnoGen; tecnogen.com</t>
  </si>
  <si>
    <t>TecnoGen</t>
  </si>
  <si>
    <t>Software suite for control over farm operations.</t>
  </si>
  <si>
    <t>Crop Tech &gt; Farm Management Software &gt; Diversified
SaaS &gt; Crop Tech &gt; Farm Management Software &gt; Diversified
SaaS - India &gt; Crop Tech &gt; Farm Management Software &gt; Diversified
Enterprise Tech - India &gt; Crop Tech &gt; Farm Management Software &gt; Diversified
Farm Management Software &gt; Crop Tech &gt; Farm Management Software &gt; Diversified
ERP &gt; Agriculture &gt; Farm Management &gt; Suite
SaaS &gt; ERP &gt; Agriculture &gt; Farm Management &gt; Suite
SaaS - India &gt; ERP &gt; Agriculture &gt; Farm Management &gt; Suite
Enterprise Tech - India &gt; ERP &gt; Agriculture &gt; Farm Management &gt; Suite</t>
  </si>
  <si>
    <t>TerraMagna</t>
  </si>
  <si>
    <t>terramagna.com.br</t>
  </si>
  <si>
    <t>Yield Lab; theyieldlab.com</t>
  </si>
  <si>
    <t>Yield Lab</t>
  </si>
  <si>
    <t>Sao Jose Dos Campos, Estado De Sao Paulo, Brazil</t>
  </si>
  <si>
    <t>Provider of satellite imaging services for the agriculture industry</t>
  </si>
  <si>
    <t>NewSpace &gt; Space Services &gt; Imaging &gt; Satellite Based
Artificial Intelligence &gt; NewSpace &gt; Space Services &gt; Imaging &gt; Satellite Based
Enterprise Tech - Brazil &gt; NewSpace &gt; Space Services &gt; Imaging &gt; Satellite Based
Enterprise Tech - Latam &gt; NewSpace &gt; Space Services &gt; Imaging &gt; Satellite Based
Satellite Imagery Services &gt; NewSpace &gt; Space Services &gt; Imaging &gt; Satellite Based
Crop Tech &gt; Farm Analytics &gt; Satellite Image Based
AI in Agriculture &gt; Crop Tech &gt; Farm Analytics &gt; Satellite Image Based
Artificial Intelligence &gt; Crop Tech &gt; Farm Analytics &gt; Satellite Image Based
Enterprise Tech - Brazil &gt; Crop Tech &gt; Farm Analytics &gt; Satellite Image Based
Enterprise Tech - Latam &gt; Crop Tech &gt; Farm Analytics &gt; Satellite Image Based
Farm Analytics &gt; Crop Tech &gt; Farm Analytics &gt; Satellite Image Based
Geographic Information Systems &gt; Location Analytics &gt; Agriculture
Artificial Intelligence &gt; Geographic Information Systems &gt; Location Analytics &gt; Agriculture
Enterprise Tech - Brazil &gt; Geographic Information Systems &gt; Location Analytics &gt; Agriculture
Enterprise Tech - Latam &gt; Geographic Information Systems &gt; Location Analytics &gt; Agriculture
Satellite Imagery Services &gt; Geographic Information Systems &gt; Location Analytics &gt; Agriculture</t>
  </si>
  <si>
    <t>Thrive Agric</t>
  </si>
  <si>
    <t>thriveagric.com</t>
  </si>
  <si>
    <t>Lagos, Lagos, Nigeria</t>
  </si>
  <si>
    <t>Online platform for investors to invest in farming projects</t>
  </si>
  <si>
    <t>Crowdfunding &gt; Revenue Sharing &gt; Agriculture
Enterprise Tech - Africa &gt; Crowdfunding &gt; Revenue Sharing &gt; Agriculture
FinTech - Africa &gt; Crowdfunding &gt; Revenue Sharing &gt; Agriculture
Agri FinTech &gt; Crowdfunding &gt; Revenue Sharing &gt; Agriculture
Y Combinator Batches &gt; 2019 &gt; Winter
Crop Tech &gt; Finance &gt; Crowdfunding
Enterprise Tech - Africa &gt; Crop Tech &gt; Finance &gt; Crowdfunding</t>
  </si>
  <si>
    <t>ImagoAI</t>
  </si>
  <si>
    <t>imagoai.com</t>
  </si>
  <si>
    <t>Techstars; techstars.com</t>
  </si>
  <si>
    <t>Techstars</t>
  </si>
  <si>
    <t>AI-powered plant breeding virtual assistant</t>
  </si>
  <si>
    <t>Crop Tech &gt; Farm Inputs &gt; Plant Breeding &gt; Technology Providers
AI in Agriculture &gt; Crop Tech &gt; Farm Inputs &gt; Plant Breeding &gt; Technology Providers
Artificial Intelligence - India &gt; Crop Tech &gt; Farm Inputs &gt; Plant Breeding &gt; Technology Providers
Techstars Portfolio &gt; Crop Tech &gt; Farm Inputs &gt; Plant Breeding &gt; Technology Providers
Artificial Intelligence &gt; Crop Tech &gt; Farm Inputs &gt; Plant Breeding &gt; Technology Providers
Enterprise Tech - India &gt; Crop Tech &gt; Farm Inputs &gt; Plant Breeding &gt; Technology Providers
Plant Breeding &gt; Crop Tech &gt; Farm Inputs &gt; Plant Breeding &gt; Technology Providers
MassChallenge Batches &gt; Switzerland &gt; 2020
Artificial Intelligence - India &gt; MassChallenge Batches &gt; Switzerland &gt; 2020
Techstars Portfolio &gt; MassChallenge Batches &gt; Switzerland &gt; 2020
Artificial Intelligence &gt; MassChallenge Batches &gt; Switzerland &gt; 2020
Enterprise Tech - India &gt; MassChallenge Batches &gt; Switzerland &gt; 2020</t>
  </si>
  <si>
    <t>KHULA</t>
  </si>
  <si>
    <t>khula.co.za</t>
  </si>
  <si>
    <t>Chivas Venture; chivas.com/the-venture/</t>
  </si>
  <si>
    <t>Johannesburg, Gauteng, South Africa</t>
  </si>
  <si>
    <t>Online marketplace for agriculture products.</t>
  </si>
  <si>
    <t>Crop Tech &gt; ECommerce &gt; Farm Produce &gt; B2C &gt; Fruits and Vegetables &gt; Marketplace
Enterprise Tech - Africa &gt; Crop Tech &gt; ECommerce &gt; Farm Produce &gt; B2C &gt; Fruits and Vegetables &gt; Marketplace
Consumer Digital - Africa &gt; Crop Tech &gt; ECommerce &gt; Farm Produce &gt; B2C &gt; Fruits and Vegetables &gt; Marketplace</t>
  </si>
  <si>
    <t>Coastal Aquaculture Research Institute</t>
  </si>
  <si>
    <t>cari.org.in</t>
  </si>
  <si>
    <t>Omnivore Partners; omnivore.vc
Hatch Blue; hatch.blue</t>
  </si>
  <si>
    <t>Develops and offers aquaculture management system</t>
  </si>
  <si>
    <t>Aquaculture Tech &gt; Farm Management
SaaS - India &gt; Aquaculture Tech &gt; Farm Management
SaaS &gt; Aquaculture Tech &gt; Farm Management
Enterprise Tech - India &gt; Aquaculture Tech &gt; Farm Management</t>
  </si>
  <si>
    <t>Lightstone; lightstonegroup.com</t>
  </si>
  <si>
    <t>Lightstone</t>
  </si>
  <si>
    <t>Fruitspec</t>
  </si>
  <si>
    <t>fruitspec.com</t>
  </si>
  <si>
    <t>AgVenture; agventure.com
forbon.com</t>
  </si>
  <si>
    <t xml:space="preserve">AgVenture
</t>
  </si>
  <si>
    <t>Develops technology for farm data capture and predicting yields</t>
  </si>
  <si>
    <t>Crop Tech &gt; Farm Analytics &gt; Satellite Image Based &gt; Crop Yield Prediction
Artificial Intelligence - MENA &gt; Crop Tech &gt; Farm Analytics &gt; Satellite Image Based &gt; Crop Yield Prediction
Enterprise Tech - MENA &gt; Crop Tech &gt; Farm Analytics &gt; Satellite Image Based &gt; Crop Yield Prediction
Artificial Intelligence - Israel &gt; Crop Tech &gt; Farm Analytics &gt; Satellite Image Based &gt; Crop Yield Prediction
Artificial Intelligence &gt; Crop Tech &gt; Farm Analytics &gt; Satellite Image Based &gt; Crop Yield Prediction
Enterprise Tech - Israel &gt; Crop Tech &gt; Farm Analytics &gt; Satellite Image Based &gt; Crop Yield Prediction
AI in Agriculture &gt; Crop Tech &gt; Farm Analytics &gt; Satellite Image Based &gt; Crop Yield Prediction
Farm Analytics &gt; Crop Tech &gt; Farm Analytics &gt; Satellite Image Based &gt; Crop Yield Prediction</t>
  </si>
  <si>
    <t>Absolute Fresh</t>
  </si>
  <si>
    <t>absolutefoods.in</t>
  </si>
  <si>
    <t>Joshua William Hartman</t>
  </si>
  <si>
    <t>Producer and supplier of herbs and vegetables</t>
  </si>
  <si>
    <t>Crop Tech &gt; Indoor Farming &gt; Hydroponics
Enterprise Tech - India &gt; Crop Tech &gt; Indoor Farming &gt; Hydroponics
Indoor Farming &gt; Crop Tech &gt; Indoor Farming &gt; Hydroponics
Hydroponics &gt; Crop Tech &gt; Indoor Farming &gt; Hydroponics</t>
  </si>
  <si>
    <t>SmartFarms</t>
  </si>
  <si>
    <t>mysmartfarms.com</t>
  </si>
  <si>
    <t>Online B2B distributor of agricultural input products</t>
  </si>
  <si>
    <t>Crop Tech &gt; ECommerce &gt; Farm Inputs &gt; Seeds &gt; Field Crops
Enterprise Tech - India &gt; Crop Tech &gt; ECommerce &gt; Farm Inputs &gt; Seeds &gt; Field Crops
Farm Inputs E-Commerce &gt; Crop Tech &gt; ECommerce &gt; Farm Inputs &gt; Seeds &gt; Field Crops
B2B E-Commerce &gt; Agriculture &gt; Marketplace
Enterprise Tech - India &gt; B2B E-Commerce &gt; Agriculture &gt; Marketplace</t>
  </si>
  <si>
    <t>Crowde</t>
  </si>
  <si>
    <t>crowde.co</t>
  </si>
  <si>
    <t>Mandiri Capital Indonesia; mandiri-capital.co.id</t>
  </si>
  <si>
    <t>Mandiri Capital Indonesia</t>
  </si>
  <si>
    <t>Online platform for connecting farmers with retail investors</t>
  </si>
  <si>
    <t>Crowdfunding &gt; Revenue Sharing &gt; Agriculture
Enterprise Tech - SEA &gt; Crowdfunding &gt; Revenue Sharing &gt; Agriculture
FinTech - SEA &gt; Crowdfunding &gt; Revenue Sharing &gt; Agriculture
Enterprise Tech - Indonesia &gt; Crowdfunding &gt; Revenue Sharing &gt; Agriculture
Agri FinTech &gt; Crowdfunding &gt; Revenue Sharing &gt; Agriculture
Crop Tech &gt; Finance &gt; Crowdfunding
Enterprise Tech - Indonesia &gt; Crop Tech &gt; Finance &gt; Crowdfunding
Enterprise Tech - SEA &gt; Crop Tech &gt; Finance &gt; Crowdfunding</t>
  </si>
  <si>
    <t>Aquaconnect</t>
  </si>
  <si>
    <t>aquaconnect.blue</t>
  </si>
  <si>
    <t>Vistra ITCL; vistraitcl.com
Hatch Blue; hatch.blue</t>
  </si>
  <si>
    <t>Vistra ITCL</t>
  </si>
  <si>
    <t>Developer of products for data-driven farming in shrimp ecosystem</t>
  </si>
  <si>
    <t>Aquaculture Tech &gt; Farm Intelligence
Consumer Digital - India &gt; Aquaculture Tech &gt; Farm Intelligence
IIT Kanpur &gt; Aquaculture Tech &gt; Farm Intelligence</t>
  </si>
  <si>
    <t>Shorooq Investments; shorooq.ae
Mohammed Bin Rashid Innovation Fund; mbrif.ae</t>
  </si>
  <si>
    <t>Shorooq Investments
Mohammed Bin Rashid Innovation Fund</t>
  </si>
  <si>
    <t>Jala</t>
  </si>
  <si>
    <t>jala.tech</t>
  </si>
  <si>
    <t>500 Startups; 500.co
Conservation; conservation.org
Hatch Blue; hatch.blue</t>
  </si>
  <si>
    <t>Yogyakarta, Indonesia</t>
  </si>
  <si>
    <t>IoT enabled solution for monitoring water condition in the shrimp farm</t>
  </si>
  <si>
    <t>IoT Applications &gt; Industry Specific &gt; Agriculture &gt; Aquaculture
Enterprise Tech - Indonesia &gt; IoT Applications &gt; Industry Specific &gt; Agriculture &gt; Aquaculture
Enterprise Tech - SEA &gt; IoT Applications &gt; Industry Specific &gt; Agriculture &gt; Aquaculture
500 Startups Portfolio &gt; IoT Applications &gt; Industry Specific &gt; Agriculture &gt; Aquaculture
IoT in Agriculture &gt; IoT Applications &gt; Industry Specific &gt; Agriculture &gt; Aquaculture
HiTech - SEA &gt; IoT Applications &gt; Industry Specific &gt; Agriculture &gt; Aquaculture
Aquaculture Tech &gt; Farm Monitoring &gt; Shrimps &gt; Water Quality
Enterprise Tech - Indonesia &gt; Aquaculture Tech &gt; Farm Monitoring &gt; Shrimps &gt; Water Quality
Enterprise Tech - SEA &gt; Aquaculture Tech &gt; Farm Monitoring &gt; Shrimps &gt; Water Quality
500 Startups Portfolio &gt; Aquaculture Tech &gt; Farm Monitoring &gt; Shrimps &gt; Water Quality
IoT in Agriculture &gt; Aquaculture Tech &gt; Farm Monitoring &gt; Shrimps &gt; Water Quality</t>
  </si>
  <si>
    <t>Fieldin</t>
  </si>
  <si>
    <t>fieldin.com</t>
  </si>
  <si>
    <t>Zeev Ventures; zeevventures.com
Cavallo Ventures; cavallovc.com
Mindset Ventures; mindset.ventures
Gal Ventures; galventures.com
Germin8 Ventures; germin8ventures.com
Terra Venture Partners; terravp.com
AgFunder; agfunder.com</t>
  </si>
  <si>
    <t>Zeev Ventures</t>
  </si>
  <si>
    <t>Fresno, California, United States
Yokneam Illit, Haifa, Israel</t>
  </si>
  <si>
    <t>Solution provider to increase efficiency &amp; reduce losses in the harvesting of farm production</t>
  </si>
  <si>
    <t>IoT Applications &gt; Industry Specific &gt; Agriculture &gt; Farms
Consumer Digital - US &gt; IoT Applications &gt; Industry Specific &gt; Agriculture &gt; Farms
Consumer Digital - Israel &gt; IoT Applications &gt; Industry Specific &gt; Agriculture &gt; Farms
Consumer Digital - MENA &gt; IoT Applications &gt; Industry Specific &gt; Agriculture &gt; Farms
HiTech - Israel &gt; IoT Applications &gt; Industry Specific &gt; Agriculture &gt; Farms
HiTech - US &gt; IoT Applications &gt; Industry Specific &gt; Agriculture &gt; Farms
HiTech - MENA &gt; IoT Applications &gt; Industry Specific &gt; Agriculture &gt; Farms
IoT in Agriculture &gt; IoT Applications &gt; Industry Specific &gt; Agriculture &gt; Farms
Crop Tech &gt; Farm Analytics &gt; Diversified
Consumer Digital - US &gt; Crop Tech &gt; Farm Analytics &gt; Diversified
Consumer Digital - Israel &gt; Crop Tech &gt; Farm Analytics &gt; Diversified
Consumer Digital - MENA &gt; Crop Tech &gt; Farm Analytics &gt; Diversified
IoT in Agriculture &gt; Crop Tech &gt; Farm Analytics &gt; Diversified
Farm Analytics &gt; Crop Tech &gt; Farm Analytics &gt; Diversified</t>
  </si>
  <si>
    <t>Agrosmart</t>
  </si>
  <si>
    <t>agrosmart.com.br</t>
  </si>
  <si>
    <t>inovabra; inovabra.com.br
Positivo Tecnologia; positivotecnologia.com.br</t>
  </si>
  <si>
    <t>inovabra
Positivo Tecnologia</t>
  </si>
  <si>
    <t>Campinas, Estado De Sao Paulo, Brazil</t>
  </si>
  <si>
    <t>Software platform for analytics on farm data</t>
  </si>
  <si>
    <t>Crop Tech &gt; Farm Management Software &gt; Diversified
Enterprise Tech - Latam &gt; Crop Tech &gt; Farm Management Software &gt; Diversified
SaaS - Latam &gt; Crop Tech &gt; Farm Management Software &gt; Diversified
SaaS &gt; Crop Tech &gt; Farm Management Software &gt; Diversified
Artificial Intelligence &gt; Crop Tech &gt; Farm Management Software &gt; Diversified
AI in Agriculture &gt; Crop Tech &gt; Farm Management Software &gt; Diversified
Enterprise Tech - Brazil &gt; Crop Tech &gt; Farm Management Software &gt; Diversified
IoT in Agriculture &gt; Crop Tech &gt; Farm Management Software &gt; Diversified
Farm Management Software &gt; Crop Tech &gt; Farm Management Software &gt; Diversified
IoT Applications &gt; Industry Specific &gt; Agriculture &gt; Farms
SaaS &gt; IoT Applications &gt; Industry Specific &gt; Agriculture &gt; Farms
SaaS - Latam &gt; IoT Applications &gt; Industry Specific &gt; Agriculture &gt; Farms
Artificial Intelligence &gt; IoT Applications &gt; Industry Specific &gt; Agriculture &gt; Farms
Enterprise Tech - Brazil &gt; IoT Applications &gt; Industry Specific &gt; Agriculture &gt; Farms
Enterprise Tech - Latam &gt; IoT Applications &gt; Industry Specific &gt; Agriculture &gt; Farms
IoT in Agriculture &gt; IoT Applications &gt; Industry Specific &gt; Agriculture &gt; Farms</t>
  </si>
  <si>
    <t>Livestock Wealth</t>
  </si>
  <si>
    <t>livestockwealth.com</t>
  </si>
  <si>
    <t>AlphaCode; alphacode.club</t>
  </si>
  <si>
    <t>Sandton, Gauteng, South Africa</t>
  </si>
  <si>
    <t>Crowd-farming company for investing in cattle</t>
  </si>
  <si>
    <t>MassChallenge Batches &gt; Cohort Information Unavailable
Crop Tech &gt; Finance &gt; Crowdfunding
Alternative Lending &gt; Online Lenders &gt; Consumer Loans &gt; Farm Loans &gt; Marketplace
FinTech - Africa &gt; Alternative Lending &gt; Online Lenders &gt; Consumer Loans &gt; Farm Loans &gt; Marketplace
Agri FinTech &gt; Alternative Lending &gt; Online Lenders &gt; Consumer Loans &gt; Farm Loans &gt; Marketplace
Internet First Lenders &gt; Alternative Lending &gt; Online Lenders &gt; Consumer Loans &gt; Farm Loans &gt; Marketplace
Crowdfunding &gt; Revenue Sharing &gt; Horizontal
FinTech - Africa &gt; Crowdfunding &gt; Revenue Sharing &gt; Horizontal
Agri FinTech &gt; Crowdfunding &gt; Revenue Sharing &gt; Horizontal
Livestock Tech &gt; Financing Platforms &gt; Crowdfunding</t>
  </si>
  <si>
    <t>Indigram Labs; indigramlabs.org</t>
  </si>
  <si>
    <t>Indigram Labs</t>
  </si>
  <si>
    <t>Wuhan Yihe Technology</t>
  </si>
  <si>
    <t>datall.cn</t>
  </si>
  <si>
    <t>Jun Sheng Investment Management; junsancapital.com
Wuhan Optical Valley Talent Innovation Investment; ggrctz.com</t>
  </si>
  <si>
    <t>Jun Sheng Investment Management
Wuhan Optical Valley Talent Innovation Investment</t>
  </si>
  <si>
    <t>Hubei, Jiangxi Sheng, China</t>
  </si>
  <si>
    <t>Satellite based geographical data provider for agricultural industries</t>
  </si>
  <si>
    <t>Data as a Service &gt; Industries &gt; Agriculture and Forestry Data &gt; Agronomic Intelligence
SaaS - China &gt; Data as a Service &gt; Industries &gt; Agriculture and Forestry Data &gt; Agronomic Intelligence
SaaS &gt; Data as a Service &gt; Industries &gt; Agriculture and Forestry Data &gt; Agronomic Intelligence
Enterprise Tech - China &gt; Data as a Service &gt; Industries &gt; Agriculture and Forestry Data &gt; Agronomic Intelligence
Artificial Intelligence &gt; Data as a Service &gt; Industries &gt; Agriculture and Forestry Data &gt; Agronomic Intelligence
Artificial Intelligence - China &gt; Data as a Service &gt; Industries &gt; Agriculture and Forestry Data &gt; Agronomic Intelligence
Geographic Information Systems &gt; Location Analytics &gt; Agriculture
HiTech - China &gt; Geographic Information Systems &gt; Location Analytics &gt; Agriculture
SaaS - China &gt; Geographic Information Systems &gt; Location Analytics &gt; Agriculture
SaaS &gt; Geographic Information Systems &gt; Location Analytics &gt; Agriculture
Enterprise Tech - China &gt; Geographic Information Systems &gt; Location Analytics &gt; Agriculture
Artificial Intelligence &gt; Geographic Information Systems &gt; Location Analytics &gt; Agriculture
Artificial Intelligence - China &gt; Geographic Information Systems &gt; Location Analytics &gt; Agriculture
Crop Tech &gt; Farm Analytics &gt; Satellite Image Based
Enterprise Tech - China &gt; Crop Tech &gt; Farm Analytics &gt; Satellite Image Based
SaaS &gt; Crop Tech &gt; Farm Analytics &gt; Satellite Image Based
AI in Agriculture &gt; Crop Tech &gt; Farm Analytics &gt; Satellite Image Based
Artificial Intelligence - China &gt; Crop Tech &gt; Farm Analytics &gt; Satellite Image Based
Artificial Intelligence &gt; Crop Tech &gt; Farm Analytics &gt; Satellite Image Based
SaaS - China &gt; Crop Tech &gt; Farm Analytics &gt; Satellite Image Based
Farm Analytics &gt; Crop Tech &gt; Farm Analytics &gt; Satellite Image Based</t>
  </si>
  <si>
    <t>ZappFresh</t>
  </si>
  <si>
    <t>zappfresh.com</t>
  </si>
  <si>
    <t>SIDBI Venture Capital; sidbiventure.co.in</t>
  </si>
  <si>
    <t>Mohammad Arif Khan</t>
  </si>
  <si>
    <t>SIDBI Venture Capital</t>
  </si>
  <si>
    <t>Online fresh meat delivery service</t>
  </si>
  <si>
    <t>Online Grocery &gt; B2C Ecommerce &gt; Meat and Seafood &gt; Retailer &gt; Meat
Consumer Digital - India &gt; Online Grocery &gt; B2C Ecommerce &gt; Meat and Seafood &gt; Retailer &gt; Meat
Meat Delivery &gt; Online Grocery &gt; B2C Ecommerce &gt; Meat and Seafood &gt; Retailer &gt; Meat
B2C Grocery Delivery &gt; Online Grocery &gt; B2C Ecommerce &gt; Meat and Seafood &gt; Retailer &gt; Meat
B2C E-Commerce &gt; Online Grocery &gt; B2C Ecommerce &gt; Meat and Seafood &gt; Retailer &gt; Meat
Livestock Tech &gt; ECommerce &gt; Farm Produce &gt; B2C &gt; Retailer &gt; Meat
Consumer Digital - India &gt; Livestock Tech &gt; ECommerce &gt; Farm Produce &gt; B2C &gt; Retailer &gt; Meat</t>
  </si>
  <si>
    <t>CropX</t>
  </si>
  <si>
    <t>cropx.com</t>
  </si>
  <si>
    <t>Sumitomo; sumitomocorp.com
ARMADA Capital; armadacapital.com
Finistere Ventures; finistere.com
Germin8 Ventures; germin8ventures.com
OurCrowd; ourcrowd.com
GreenSoil Investments; greensoil-investments.com
Innovation Endeavors; innovationendeavors.com</t>
  </si>
  <si>
    <t>Sumitomo
ARMADA Capital</t>
  </si>
  <si>
    <t>Wireless sensor solution for soil moisture monitoring</t>
  </si>
  <si>
    <t>Water and Wastewater Management Tech &gt; Smart Irrigation &gt; Farming &gt; Soil Moisture Monitoring
SaaS &gt; Water and Wastewater Management Tech &gt; Smart Irrigation &gt; Farming &gt; Soil Moisture Monitoring
Enterprise Tech - Israel &gt; Water and Wastewater Management Tech &gt; Smart Irrigation &gt; Farming &gt; Soil Moisture Monitoring
SaaS - Israel &gt; Water and Wastewater Management Tech &gt; Smart Irrigation &gt; Farming &gt; Soil Moisture Monitoring
Enterprise Tech - MENA &gt; Water and Wastewater Management Tech &gt; Smart Irrigation &gt; Farming &gt; Soil Moisture Monitoring
SaaS - MENA &gt; Water and Wastewater Management Tech &gt; Smart Irrigation &gt; Farming &gt; Soil Moisture Monitoring
Smart Irrigation &gt; Water and Wastewater Management Tech &gt; Smart Irrigation &gt; Farming &gt; Soil Moisture Monitoring
IoT in Agriculture &gt; Water and Wastewater Management Tech &gt; Smart Irrigation &gt; Farming &gt; Soil Moisture Monitoring
IoT Applications &gt; Industry Specific &gt; Agriculture &gt; Farms
SaaS &gt; IoT Applications &gt; Industry Specific &gt; Agriculture &gt; Farms
SaaS - MENA &gt; IoT Applications &gt; Industry Specific &gt; Agriculture &gt; Farms
Enterprise Tech - MENA &gt; IoT Applications &gt; Industry Specific &gt; Agriculture &gt; Farms
SaaS - Israel &gt; IoT Applications &gt; Industry Specific &gt; Agriculture &gt; Farms
Enterprise Tech - Israel &gt; IoT Applications &gt; Industry Specific &gt; Agriculture &gt; Farms
HiTech - Israel &gt; IoT Applications &gt; Industry Specific &gt; Agriculture &gt; Farms
HiTech - MENA &gt; IoT Applications &gt; Industry Specific &gt; Agriculture &gt; Farms
IoT in Agriculture &gt; IoT Applications &gt; Industry Specific &gt; Agriculture &gt; Farms
Crop Tech &gt; Farm Management Software &gt; Soil Management &gt; Soil Moisture Monitoring
Enterprise Tech - MENA &gt; Crop Tech &gt; Farm Management Software &gt; Soil Management &gt; Soil Moisture Monitoring
SaaS - MENA &gt; Crop Tech &gt; Farm Management Software &gt; Soil Management &gt; Soil Moisture Monitoring
SaaS &gt; Crop Tech &gt; Farm Management Software &gt; Soil Management &gt; Soil Moisture Monitoring
Enterprise Tech - Israel &gt; Crop Tech &gt; Farm Management Software &gt; Soil Management &gt; Soil Moisture Monitoring
SaaS - Israel &gt; Crop Tech &gt; Farm Management Software &gt; Soil Management &gt; Soil Moisture Monitoring
IoT in Agriculture &gt; Crop Tech &gt; Farm Management Software &gt; Soil Management &gt; Soil Moisture Monitoring
Farm Management Software &gt; Crop Tech &gt; Farm Management Software &gt; Soil Management &gt; Soil Moisture Monitoring</t>
  </si>
  <si>
    <t>Tian Tian Xuenong</t>
  </si>
  <si>
    <t>ttxn.com</t>
  </si>
  <si>
    <t>Matrix Partners China; matrixpartners.com.cn</t>
  </si>
  <si>
    <t>Shenzhen, Guangdong, China</t>
  </si>
  <si>
    <t>Provides an agriculture technology learning platform</t>
  </si>
  <si>
    <t>Continued Learning &gt; Professional &gt; Courses &gt; Sector Specific &gt; Agriculture
Enterprise Tech - China &gt; Continued Learning &gt; Professional &gt; Courses &gt; Sector Specific &gt; Agriculture
EdTech - China &gt; Continued Learning &gt; Professional &gt; Courses &gt; Sector Specific &gt; Agriculture
Online Courses &gt; Continued Learning &gt; Professional &gt; Courses &gt; Sector Specific &gt; Agriculture
Crop Tech &gt; Content Platforms &gt; Farming Advice &gt; Expert Advisors
Enterprise Tech - China &gt; Crop Tech &gt; Content Platforms &gt; Farming Advice &gt; Expert Advisors</t>
  </si>
  <si>
    <t>Gramophone</t>
  </si>
  <si>
    <t>gramophone.in</t>
  </si>
  <si>
    <t>Asha Impact; ashaimpact.com
Better Capital; bettercapital.vc
Info Edge Ventures; infoedgeventures.com</t>
  </si>
  <si>
    <t>Raveen Sastry</t>
  </si>
  <si>
    <t>Asha Impact
Info Edge Ventures</t>
  </si>
  <si>
    <t>Indore, Madhya Pradesh, India</t>
  </si>
  <si>
    <t>App-based platform providing farm input products and information to the farmers</t>
  </si>
  <si>
    <t>Crop Tech &gt; ECommerce &gt; Farm Inputs &gt; Multi Category &gt; Retailer &gt; Content Driven
IIT Kharagpur &gt; Crop Tech &gt; ECommerce &gt; Farm Inputs &gt; Multi Category &gt; Retailer &gt; Content Driven
IIM Ahmedabad &gt; Crop Tech &gt; ECommerce &gt; Farm Inputs &gt; Multi Category &gt; Retailer &gt; Content Driven
Consumer Digital - India &gt; Crop Tech &gt; ECommerce &gt; Farm Inputs &gt; Multi Category &gt; Retailer &gt; Content Driven
Farm Inputs E-Commerce &gt; Crop Tech &gt; ECommerce &gt; Farm Inputs &gt; Multi Category &gt; Retailer &gt; Content Driven</t>
  </si>
  <si>
    <t>Natura Crop Care</t>
  </si>
  <si>
    <t>naturacropcare.com</t>
  </si>
  <si>
    <t>Karnataka Startup Cell; startup.karnataka.gov.in</t>
  </si>
  <si>
    <t>Manufacturers and supplier of multi-category farm inputs</t>
  </si>
  <si>
    <t>Crop Tech &gt; Farm Inputs &gt; Biologicals &gt; Diversified
Climate Tech &gt; Crop Tech &gt; Farm Inputs &gt; Biologicals &gt; Diversified
Consumer Digital - India &gt; Crop Tech &gt; Farm Inputs &gt; Biologicals &gt; Diversified
Crop Biologicals &gt; Crop Tech &gt; Farm Inputs &gt; Biologicals &gt; Diversified</t>
  </si>
  <si>
    <t>Crop domain</t>
  </si>
  <si>
    <t>cropdomain.com</t>
  </si>
  <si>
    <t>Manufacturer of multi-category biological inputs</t>
  </si>
  <si>
    <t>Crop Tech &gt; Farm Inputs &gt; Biologicals &gt; Diversified
Climate Tech &gt; Crop Tech &gt; Farm Inputs &gt; Biologicals &gt; Diversified
Consumer Digital - India &gt; Crop Tech &gt; Farm Inputs &gt; Biologicals &gt; Diversified
Enterprise Tech - India &gt; Crop Tech &gt; Farm Inputs &gt; Biologicals &gt; Diversified
Crop Biologicals &gt; Crop Tech &gt; Farm Inputs &gt; Biologicals &gt; Diversified</t>
  </si>
  <si>
    <t>RUHM INNOVATION</t>
  </si>
  <si>
    <t>ruhminnovation.com</t>
  </si>
  <si>
    <t>Tumkur, Karnataka, India</t>
  </si>
  <si>
    <t>Developer of sensor technology for the agricultural sector</t>
  </si>
  <si>
    <t>Crop Tech &gt; Farm Management Software &gt; Diversified
IoT in Agriculture &gt; Crop Tech &gt; Farm Management Software &gt; Diversified
Enterprise Tech - India &gt; Crop Tech &gt; Farm Management Software &gt; Diversified
Farm Management Software &gt; Crop Tech &gt; Farm Management Software &gt; Diversified
IoT Applications &gt; Industry Specific &gt; Agriculture &gt; Farms
IoT in Agriculture &gt; IoT Applications &gt; Industry Specific &gt; Agriculture &gt; Farms
HiTech - India &gt; IoT Applications &gt; Industry Specific &gt; Agriculture &gt; Farms
Enterprise Tech - India &gt; IoT Applications &gt; Industry Specific &gt; Agriculture &gt; Farms
Sensors &gt; Industry Applications &gt; Agriculture
IoT in Agriculture &gt; Sensors &gt; Industry Applications &gt; Agriculture
Enterprise Tech - India &gt; Sensors &gt; Industry Applications &gt; Agriculture</t>
  </si>
  <si>
    <t>Meto Motion</t>
  </si>
  <si>
    <t>metomotion.com</t>
  </si>
  <si>
    <t>Multi-purpose robotic systems for harvesting</t>
  </si>
  <si>
    <t>Crop Tech &gt; Autonomous Farming &gt; Diversified
Enterprise Tech - MENA &gt; Crop Tech &gt; Autonomous Farming &gt; Diversified
Enterprise Tech - Israel &gt; Crop Tech &gt; Autonomous Farming &gt; Diversified
Autonomous Farming &gt; Crop Tech &gt; Autonomous Farming &gt; Diversified</t>
  </si>
  <si>
    <t>Openspace Ventures; openspace.vc
Enterprise Singapore; enterprisesg.gov.sg</t>
  </si>
  <si>
    <t>Openspace Ventures</t>
  </si>
  <si>
    <t>Accel; accel.com
Mayfield; mayfield.com</t>
  </si>
  <si>
    <t>Accel
Mayfield</t>
  </si>
  <si>
    <t>Blume Ventures; blume.vc
Rainmatter Technology; rainmatter.com</t>
  </si>
  <si>
    <t>Blume Ventures</t>
  </si>
  <si>
    <t>Clark Valberg</t>
  </si>
  <si>
    <t>Pink Farms</t>
  </si>
  <si>
    <t>pinkfarms.com.br</t>
  </si>
  <si>
    <t>SP Ventures; spventures.com.br
Capital Lab; capitallab.com.br</t>
  </si>
  <si>
    <t>SP Ventures
Capital Lab</t>
  </si>
  <si>
    <t>Sao Paulo Do Potengi, Estado Do Rio Grande Do Norte, Brazil</t>
  </si>
  <si>
    <t>Producer and supplier of vegetables</t>
  </si>
  <si>
    <t>Crop Tech &gt; Indoor Farming &gt; Hydroponics
Indoor Farming &gt; Crop Tech &gt; Indoor Farming &gt; Hydroponics
Hydroponics &gt; Crop Tech &gt; Indoor Farming &gt; Hydroponics</t>
  </si>
  <si>
    <t>Hivos; hivos.org
Omnivore Partners; omnivore.vc
Caspian Equity; caspianequity.in</t>
  </si>
  <si>
    <t>Hivos
Caspian Equity</t>
  </si>
  <si>
    <t>Jaguza</t>
  </si>
  <si>
    <t>jaguzafarm.com</t>
  </si>
  <si>
    <t>ict.go.ug</t>
  </si>
  <si>
    <t>Provider of livestock farm monitoring solutions</t>
  </si>
  <si>
    <t>Livestock Tech &gt; Livestock Management Software
Enterprise Tech - Africa &gt; Livestock Tech &gt; Livestock Management Software
Artificial Intelligence &gt; Livestock Tech &gt; Livestock Management Software
AI in Agriculture &gt; Livestock Tech &gt; Livestock Management Software</t>
  </si>
  <si>
    <t>nurserylive</t>
  </si>
  <si>
    <t>nurserylive.com</t>
  </si>
  <si>
    <t>Guild; guildcap.com</t>
  </si>
  <si>
    <t>Guild</t>
  </si>
  <si>
    <t>Online seller of plants</t>
  </si>
  <si>
    <t>Crop Tech &gt; ECommerce &gt; Farm Inputs &gt; Multi Category &gt; Retailer &gt; Garden Supplies
Consumer Digital - India &gt; Crop Tech &gt; ECommerce &gt; Farm Inputs &gt; Multi Category &gt; Retailer &gt; Garden Supplies
Goldman Sachs &gt; Crop Tech &gt; ECommerce &gt; Farm Inputs &gt; Multi Category &gt; Retailer &gt; Garden Supplies
Farm Inputs E-Commerce &gt; Crop Tech &gt; ECommerce &gt; Farm Inputs &gt; Multi Category &gt; Retailer &gt; Garden Supplies</t>
  </si>
  <si>
    <t>eggXYt</t>
  </si>
  <si>
    <t>eggxyt.com</t>
  </si>
  <si>
    <t>Rimonim Fund; rimonimfund.com</t>
  </si>
  <si>
    <t>Rimonim Fund</t>
  </si>
  <si>
    <t>Jerusalem, Jerusalem District, Israel</t>
  </si>
  <si>
    <t>Technology for gender detection of chick embryos</t>
  </si>
  <si>
    <t>MassChallenge Batches &gt; Israel &gt; 2016 &gt; Diamond
Livestock Tech &gt; Breeding &gt; Gender Detection &gt; Poultry</t>
  </si>
  <si>
    <t>Ajay Prabhu
Aditya Pande
Sachin Oswal</t>
  </si>
  <si>
    <t>InFishta</t>
  </si>
  <si>
    <t>infishta.com</t>
  </si>
  <si>
    <t>Depok, West Java, Indonesia</t>
  </si>
  <si>
    <t>Online platform connecting investors with fish farmers</t>
  </si>
  <si>
    <t>Aquaculture Tech &gt; Online Investment Platforms
Enterprise Tech - Indonesia &gt; Aquaculture Tech &gt; Online Investment Platforms
Enterprise Tech - SEA &gt; Aquaculture Tech &gt; Online Investment Platforms
Crowdfunding &gt; Revenue Sharing &gt; Agriculture
Enterprise Tech - Indonesia &gt; Crowdfunding &gt; Revenue Sharing &gt; Agriculture
Enterprise Tech - SEA &gt; Crowdfunding &gt; Revenue Sharing &gt; Agriculture
FinTech - SEA &gt; Crowdfunding &gt; Revenue Sharing &gt; Agriculture
Agri FinTech &gt; Crowdfunding &gt; Revenue Sharing &gt; Agriculture
Islamic FinTech &gt; Crowdfunding &gt; Revenue Sharing &gt; Livestock
Enterprise Tech - Indonesia &gt; Islamic FinTech &gt; Crowdfunding &gt; Revenue Sharing &gt; Livestock
Enterprise Tech - SEA &gt; Islamic FinTech &gt; Crowdfunding &gt; Revenue Sharing &gt; Livestock
FinTech - SEA &gt; Islamic FinTech &gt; Crowdfunding &gt; Revenue Sharing &gt; Livestock
Crop Tech &gt; Finance &gt; Crowdfunding
Enterprise Tech - Indonesia &gt; Crop Tech &gt; Finance &gt; Crowdfunding
Enterprise Tech - SEA &gt; Crop Tech &gt; Finance &gt; Crowdfunding</t>
  </si>
  <si>
    <t>Farmerline</t>
  </si>
  <si>
    <t>farmerline.co</t>
  </si>
  <si>
    <t>African Development Bank Group; afdb.org</t>
  </si>
  <si>
    <t>Kumasi, Ashanti Region, Ghana</t>
  </si>
  <si>
    <t>Mobile application for weather information dissemination and content marketing services for agriculture-related companies</t>
  </si>
  <si>
    <t>Crop Tech &gt; Content Platforms &gt; Farming Advice &gt; Expert Advisors</t>
  </si>
  <si>
    <t>WhatsApp; whatsapp.com
Invest India; investindia.gov.in</t>
  </si>
  <si>
    <t>WhatsApp
Invest India</t>
  </si>
  <si>
    <t>Tiger Global Management; tigerglobal.com
ABG Capital; abgcapital.com
Steadview Capital; steadview.com
Tanglin Venture Partners; tanglinvp.com</t>
  </si>
  <si>
    <t>Tiger Global Management
Tanglin Venture Partners</t>
  </si>
  <si>
    <t>European Commission; ec.europa.eu</t>
  </si>
  <si>
    <t>Heron Rock; heronrock.com
Kalaari Capital; kalaari.com
Nexus Venture Partners; nexusvp.com
Capria; capria.vc</t>
  </si>
  <si>
    <t>William R Jarvis
Cristina Berta Jones</t>
  </si>
  <si>
    <t>Agverse Technologies</t>
  </si>
  <si>
    <t>agverse.in</t>
  </si>
  <si>
    <t>Provider of AI-based insemination device for dairy farm</t>
  </si>
  <si>
    <t>Livestock Tech &gt; Breeding &gt; Artificial Insemination &gt; Smart Device
Artificial Intelligence &gt; Livestock Tech &gt; Breeding &gt; Artificial Insemination &gt; Smart Device
AI in Agriculture &gt; Livestock Tech &gt; Breeding &gt; Artificial Insemination &gt; Smart Device
Artificial Intelligence - India &gt; Livestock Tech &gt; Breeding &gt; Artificial Insemination &gt; Smart Device
Enterprise Tech - India &gt; Livestock Tech &gt; Breeding &gt; Artificial Insemination &gt; Smart Device</t>
  </si>
  <si>
    <t>Tierra Seed Science</t>
  </si>
  <si>
    <t>tierraseedscience.com</t>
  </si>
  <si>
    <t>Grandeur Products; grandeurproducts.com</t>
  </si>
  <si>
    <t>Grandeur Products</t>
  </si>
  <si>
    <t>Non genetically modified hybrid seeds of tomato, cotton, rice, and corn.</t>
  </si>
  <si>
    <t>Farmpal</t>
  </si>
  <si>
    <t>farmpal.co.in</t>
  </si>
  <si>
    <t>Andrei Dunca
Punit Sarin
Kaushik Ghate</t>
  </si>
  <si>
    <t>Andrei Dunca</t>
  </si>
  <si>
    <t>Online platform delivering farm produce to businesses</t>
  </si>
  <si>
    <t>B2B E-Commerce &gt; Food &amp; Beverages &gt; Groceries &gt; Farm Products &gt; E-Distributor
Enterprise Tech - India &gt; B2B E-Commerce &gt; Food &amp; Beverages &gt; Groceries &gt; Farm Products &gt; E-Distributor
Crop Tech &gt; ECommerce &gt; Farm Produce &gt; B2B &gt; Fruits and Vegetables &gt; E Distributor
Enterprise Tech - India &gt; Crop Tech &gt; ECommerce &gt; Farm Produce &gt; B2B &gt; Fruits and Vegetables &gt; E Distributor</t>
  </si>
  <si>
    <t>Farmguide</t>
  </si>
  <si>
    <t>farmguide.in</t>
  </si>
  <si>
    <t>Ankur Agarwal
Kailash Rathi
Prasad Karumanchi
Anil Yamani</t>
  </si>
  <si>
    <t>Digitizing agri supply chain and services</t>
  </si>
  <si>
    <t>ERP &gt; Agriculture &gt; Farm Management &gt; Suite
SaaS &gt; ERP &gt; Agriculture &gt; Farm Management &gt; Suite
SaaS - India &gt; ERP &gt; Agriculture &gt; Farm Management &gt; Suite
Consumer Digital - India &gt; ERP &gt; Agriculture &gt; Farm Management &gt; Suite
Artificial Intelligence - India &gt; ERP &gt; Agriculture &gt; Farm Management &gt; Suite
Artificial Intelligence &gt; ERP &gt; Agriculture &gt; Farm Management &gt; Suite
IIT Delhi &gt; ERP &gt; Agriculture &gt; Farm Management &gt; Suite
Enterprise Tech - India &gt; ERP &gt; Agriculture &gt; Farm Management &gt; Suite
Field Force Automation &gt; Agricultural industry
Consumer Digital - India &gt; Field Force Automation &gt; Agricultural industry
IIT Delhi &gt; Field Force Automation &gt; Agricultural industry
Artificial Intelligence - India &gt; Field Force Automation &gt; Agricultural industry
SaaS - India &gt; Field Force Automation &gt; Agricultural industry
SaaS &gt; Field Force Automation &gt; Agricultural industry
Artificial Intelligence &gt; Field Force Automation &gt; Agricultural industry
Enterprise Tech - India &gt; Field Force Automation &gt; Agricultural industry
Crop Tech &gt; Farm Management Software &gt; Diversified
SaaS &gt; Crop Tech &gt; Farm Management Software &gt; Diversified
AI in Agriculture &gt; Crop Tech &gt; Farm Management Software &gt; Diversified
Artificial Intelligence - India &gt; Crop Tech &gt; Farm Management Software &gt; Diversified
SaaS - India &gt; Crop Tech &gt; Farm Management Software &gt; Diversified
Artificial Intelligence &gt; Crop Tech &gt; Farm Management Software &gt; Diversified
Consumer Digital - India &gt; Crop Tech &gt; Farm Management Software &gt; Diversified
IIT Delhi &gt; Crop Tech &gt; Farm Management Software &gt; Diversified
Enterprise Tech - India &gt; Crop Tech &gt; Farm Management Software &gt; Diversified
Farm Management Software &gt; Crop Tech &gt; Farm Management Software &gt; Diversified</t>
  </si>
  <si>
    <t>VnF</t>
  </si>
  <si>
    <t>freshvnf.com</t>
  </si>
  <si>
    <t>Equanimity Investments; equanimityinvestments.com
Gujarat Venture Finance; gvfl.com</t>
  </si>
  <si>
    <t>Manish Choksi
Nitin Gera</t>
  </si>
  <si>
    <t>Equanimity Investments</t>
  </si>
  <si>
    <t>Online platform to purchase fruits and vegetables</t>
  </si>
  <si>
    <t>Online Grocery &gt; B2B Ecommerce &gt; Farm Produce &gt; Fruits and Vegetables &gt; E-Distributor
IIT Kharagpur &gt; Online Grocery &gt; B2B Ecommerce &gt; Farm Produce &gt; Fruits and Vegetables &gt; E-Distributor
B2B Farm Produce E-Commerce &gt; Online Grocery &gt; B2B Ecommerce &gt; Farm Produce &gt; Fruits and Vegetables &gt; E-Distributor
Enterprise Tech - India &gt; Online Grocery &gt; B2B Ecommerce &gt; Farm Produce &gt; Fruits and Vegetables &gt; E-Distributor
Crop Tech &gt; ECommerce &gt; Farm Produce &gt; B2B &gt; Fruits and Vegetables &gt; E Distributor
IIT Kharagpur &gt; Crop Tech &gt; ECommerce &gt; Farm Produce &gt; B2B &gt; Fruits and Vegetables &gt; E Distributor
Enterprise Tech - India &gt; Crop Tech &gt; ECommerce &gt; Farm Produce &gt; B2B &gt; Fruits and Vegetables &gt; E Distributor
B2B E-Commerce &gt; Food &amp; Beverages &gt; Groceries &gt; Farm Products &gt; E-Distributor
IIT Kharagpur &gt; B2B E-Commerce &gt; Food &amp; Beverages &gt; Groceries &gt; Farm Products &gt; E-Distributor
Enterprise Tech - India &gt; B2B E-Commerce &gt; Food &amp; Beverages &gt; Groceries &gt; Farm Products &gt; E-Distributor</t>
  </si>
  <si>
    <t>InsuResilience Investment Fund; insuresilienceinvestment.fund</t>
  </si>
  <si>
    <t>Openspace Ventures; openspace.vc
Intudo Ventures; intudovc.com
Golden Gate Ventures; goldengate.vc
DFS Lab; dfslab.net
Bill &amp; Melinda Gates Foundation; gatesfoundation.org</t>
  </si>
  <si>
    <t>Netafim</t>
  </si>
  <si>
    <t>netafim.com</t>
  </si>
  <si>
    <t>calrecycle.ca.gov</t>
  </si>
  <si>
    <t>Manufactures components for drip irrigation and develops smart irrigation system</t>
  </si>
  <si>
    <t>Crop Tech &gt; Autonomous Farming &gt; Irrigation
Autonomous Farming &gt; Crop Tech &gt; Autonomous Farming &gt; Irrigation</t>
  </si>
  <si>
    <t>Future Food Asia; futurefoodasia.com</t>
  </si>
  <si>
    <t>Oaesis</t>
  </si>
  <si>
    <t>oaesislsc.com</t>
  </si>
  <si>
    <t>SparkLabs Cultiv8; sparklabscultiv8.com</t>
  </si>
  <si>
    <t>SparkLabs Cultiv8</t>
  </si>
  <si>
    <t>Jeddah, Makkah Province, Saudi Arabia</t>
  </si>
  <si>
    <t>Manufacturer and supplier of LED lights</t>
  </si>
  <si>
    <t>Crop Tech &gt; Farm Equipment &gt; Grow Lights &gt; LED
Enterprise Tech - MENA &gt; Crop Tech &gt; Farm Equipment &gt; Grow Lights &gt; LED
Climate Tech &gt; Crop Tech &gt; Farm Equipment &gt; Grow Lights &gt; LED
Energy Efficiency Tech &gt; Lighting Products &gt; LED &gt; Smart Lights &gt; Commercial &gt; Agriculture
Enterprise Tech - MENA &gt; Energy Efficiency &gt; Lighting Products &gt; LED &gt; Smart Lights &gt; Commercial &gt; Agriculture
Smart Agriculture LED Lights &gt; Energy Efficiency &gt; Lighting Products &gt; LED &gt; Smart Lights &gt; Commercial &gt; Agriculture
Smart LED Lights &gt; Energy Efficiency &gt; Lighting Products &gt; LED &gt; Smart Lights &gt; Commercial &gt; Agriculture
Climate Tech &gt; Energy Efficiency &gt; Lighting Products &gt; LED &gt; Smart Lights &gt; Commercial &gt; Agriculture</t>
  </si>
  <si>
    <t>Sensegrass</t>
  </si>
  <si>
    <t>sensegrass.com</t>
  </si>
  <si>
    <t>Start-Up Chile; startupchile.org</t>
  </si>
  <si>
    <t>AI based smart farming solution for managing fertilizers and detecting pests</t>
  </si>
  <si>
    <t>IoT Applications &gt; Industry Specific &gt; Agriculture &gt; Farms
Artificial Intelligence - India &gt; IoT Applications &gt; Industry Specific &gt; Agriculture &gt; Farms
Artificial Intelligence &gt; IoT Applications &gt; Industry Specific &gt; Agriculture &gt; Farms
HiTech - India &gt; IoT Applications &gt; Industry Specific &gt; Agriculture &gt; Farms
IoT in Agriculture &gt; IoT Applications &gt; Industry Specific &gt; Agriculture &gt; Farms
Enterprise Tech - India &gt; IoT Applications &gt; Industry Specific &gt; Agriculture &gt; Farms
Geographic Information Systems &gt; Location Analytics &gt; Agriculture
HiTech - India &gt; Geographic Information Systems &gt; Location Analytics &gt; Agriculture
Artificial Intelligence - India &gt; Geographic Information Systems &gt; Location Analytics &gt; Agriculture
Artificial Intelligence &gt; Geographic Information Systems &gt; Location Analytics &gt; Agriculture
Satellite Imagery Services &gt; Geographic Information Systems &gt; Location Analytics &gt; Agriculture
IoT in Agriculture &gt; Geographic Information Systems &gt; Location Analytics &gt; Agriculture
Enterprise Tech - India &gt; Geographic Information Systems &gt; Location Analytics &gt; Agriculture
MassChallenge Batches &gt; Texas In Houston &gt; 2020
Artificial Intelligence - India &gt; MassChallenge Batches &gt; Texas In Houston &gt; 2020
Artificial Intelligence &gt; MassChallenge Batches &gt; Texas In Houston &gt; 2020
IoT in Agriculture &gt; MassChallenge Batches &gt; Texas In Houston &gt; 2020
Enterprise Tech - India &gt; MassChallenge Batches &gt; Texas In Houston &gt; 2020
Sensors &gt; Industry Applications &gt; Agriculture
Artificial Intelligence - India &gt; Sensors &gt; Industry Applications &gt; Agriculture
Artificial Intelligence &gt; Sensors &gt; Industry Applications &gt; Agriculture
IoT in Agriculture &gt; Sensors &gt; Industry Applications &gt; Agriculture
Enterprise Tech - India &gt; Sensors &gt; Industry Applications &gt; Agriculture
Crop Tech &gt; Farm Analytics &gt; Satellite Image Based
AI in Agriculture &gt; Crop Tech &gt; Farm Analytics &gt; Satellite Image Based
Artificial Intelligence - India &gt; Crop Tech &gt; Farm Analytics &gt; Satellite Image Based
Artificial Intelligence &gt; Crop Tech &gt; Farm Analytics &gt; Satellite Image Based
IoT in Agriculture &gt; Crop Tech &gt; Farm Analytics &gt; Satellite Image Based
Enterprise Tech - India &gt; Crop Tech &gt; Farm Analytics &gt; Satellite Image Based
Farm Analytics &gt; Crop Tech &gt; Farm Analytics &gt; Satellite Image Based
NewSpace &gt; Space Services &gt; Imaging &gt; Satellite Based
Artificial Intelligence - India &gt; NewSpace &gt; Space Services &gt; Imaging &gt; Satellite Based
Artificial Intelligence &gt; NewSpace &gt; Space Services &gt; Imaging &gt; Satellite Based
Satellite Imagery Services &gt; NewSpace &gt; Space Services &gt; Imaging &gt; Satellite Based
IoT in Agriculture &gt; NewSpace &gt; Space Services &gt; Imaging &gt; Satellite Based
Enterprise Tech - India &gt; NewSpace &gt; Space Services &gt; Imaging &gt; Satellite Based</t>
  </si>
  <si>
    <t>B Srinivasan</t>
  </si>
  <si>
    <t>Red Sea Farms</t>
  </si>
  <si>
    <t>redseafarms.com</t>
  </si>
  <si>
    <t>KAUST; kaust.edu.sa
rpdinnovations.com</t>
  </si>
  <si>
    <t xml:space="preserve">KAUST
</t>
  </si>
  <si>
    <t>Saudi Arabia</t>
  </si>
  <si>
    <t>EPC services for greenhouses</t>
  </si>
  <si>
    <t>Crop Tech &gt; Farm Equipment &gt; Greenhouse Systems
Enterprise Tech - MENA &gt; Crop Tech &gt; Farm Equipment &gt; Greenhouse Systems
Consumer Digital - MENA &gt; Crop Tech &gt; Farm Equipment &gt; Greenhouse Systems</t>
  </si>
  <si>
    <t>DigiFarmz</t>
  </si>
  <si>
    <t>digifarmz.com</t>
  </si>
  <si>
    <t>Algar; algar.com.br
ACE Startups; acestartups.com.br</t>
  </si>
  <si>
    <t>Algar
ACE Startups</t>
  </si>
  <si>
    <t>Sao Paulo City, Sao Paulo, Brazil</t>
  </si>
  <si>
    <t>Platform to calculate spray dosages</t>
  </si>
  <si>
    <t>Crop Tech &gt; Farm Management Software &gt; Disease Management
Enterprise Tech - Latam &gt; Crop Tech &gt; Farm Management Software &gt; Disease Management
Enterprise Tech - Brazil &gt; Crop Tech &gt; Farm Management Software &gt; Disease Management
Farm Management Software &gt; Crop Tech &gt; Farm Management Software &gt; Disease Management</t>
  </si>
  <si>
    <t>Agrome IQ</t>
  </si>
  <si>
    <t>agromeiq.com</t>
  </si>
  <si>
    <t>Cerana Capital; cerana.com</t>
  </si>
  <si>
    <t>Cerana Capital</t>
  </si>
  <si>
    <t>Bandar Seri Begawan, Brunei And Muara District, Brunei</t>
  </si>
  <si>
    <t>Develops integrated hardware and software for farm data collection, analytics and automation of farming operations</t>
  </si>
  <si>
    <t>Crop Tech &gt; Farm Analytics &gt; Diversified
SaaS &gt; Crop Tech &gt; Farm Analytics &gt; Diversified
Consumer Digital - SEA &gt; Crop Tech &gt; Farm Analytics &gt; Diversified
Enterprise Tech - SEA &gt; Crop Tech &gt; Farm Analytics &gt; Diversified
SaaS - SEA &gt; Crop Tech &gt; Farm Analytics &gt; Diversified
IoT in Agriculture &gt; Crop Tech &gt; Farm Analytics &gt; Diversified
Farm Analytics &gt; Crop Tech &gt; Farm Analytics &gt; Diversified
IoT Applications &gt; Industry Specific &gt; Agriculture &gt; Farms
SaaS &gt; IoT Applications &gt; Industry Specific &gt; Agriculture &gt; Farms
Consumer Digital - SEA &gt; IoT Applications &gt; Industry Specific &gt; Agriculture &gt; Farms
Enterprise Tech - SEA &gt; IoT Applications &gt; Industry Specific &gt; Agriculture &gt; Farms
SaaS - SEA &gt; IoT Applications &gt; Industry Specific &gt; Agriculture &gt; Farms
IoT in Agriculture &gt; IoT Applications &gt; Industry Specific &gt; Agriculture &gt; Farms
HiTech - SEA &gt; IoT Applications &gt; Industry Specific &gt; Agriculture &gt; Farms</t>
  </si>
  <si>
    <t>Leaf</t>
  </si>
  <si>
    <t>getleaf.co</t>
  </si>
  <si>
    <t>Arcadian Capital; arcadiancap.com</t>
  </si>
  <si>
    <t>Paul Rosenblum
Jeffrey Kadanoff
Steven Isenberg
Isaac Maresky
Neil Closner
Danial Schecter</t>
  </si>
  <si>
    <t>Arcadian Capital</t>
  </si>
  <si>
    <t>Autonomous cannabis growing platform for consumer</t>
  </si>
  <si>
    <t>Smart Homes &gt; Gardening &gt; Indoor Gardening
Consumer Digital - MENA &gt; Smart Homes &gt; Gardening &gt; Indoor Gardening
Consumer Digital - Israel &gt; Smart Homes &gt; Gardening &gt; Indoor Gardening
IoT in Agriculture &gt; Smart Homes &gt; Gardening &gt; Indoor Gardening
HiTech - MENA &gt; Smart Homes &gt; Gardening &gt; Indoor Gardening
HiTech - Israel &gt; Smart Homes &gt; Gardening &gt; Indoor Gardening
Crop Tech &gt; Autonomous Farming &gt; Growing Systems &gt; Hydroponics &gt; Commercial &gt; Cannabis
Consumer Digital - Israel &gt; Crop Tech &gt; Autonomous Farming &gt; Growing Systems &gt; Hydroponics &gt; Commercial &gt; Cannabis
IoT in Agriculture &gt; Crop Tech &gt; Autonomous Farming &gt; Growing Systems &gt; Hydroponics &gt; Commercial &gt; Cannabis
Consumer Digital - MENA &gt; Crop Tech &gt; Autonomous Farming &gt; Growing Systems &gt; Hydroponics &gt; Commercial &gt; Cannabis
Autonomous Farming &gt; Crop Tech &gt; Autonomous Farming &gt; Growing Systems &gt; Hydroponics &gt; Commercial &gt; Cannabis
Hydroponics &gt; Crop Tech &gt; Autonomous Farming &gt; Growing Systems &gt; Hydroponics &gt; Commercial &gt; Cannabis</t>
  </si>
  <si>
    <t>Altum Lab</t>
  </si>
  <si>
    <t>altumlab.cl</t>
  </si>
  <si>
    <t>DevLabs; devlabs.bg</t>
  </si>
  <si>
    <t>DevLabs</t>
  </si>
  <si>
    <t>Web-based fishmeal inventory management solutions</t>
  </si>
  <si>
    <t>Aquaculture Tech &gt; Feeding &gt; Feed Inventory Management
Enterprise Tech - Latam &gt; Aquaculture Tech &gt; Feeding &gt; Feed Inventory Management
SaaS - Latam &gt; Aquaculture Tech &gt; Feeding &gt; Feed Inventory Management
SaaS &gt; Aquaculture Tech &gt; Feeding &gt; Feed Inventory Management
Artificial Intelligence &gt; Aquaculture Tech &gt; Feeding &gt; Feed Inventory Management
AI in Agriculture &gt; Aquaculture Tech &gt; Feeding &gt; Feed Inventory Management</t>
  </si>
  <si>
    <t>Physiz</t>
  </si>
  <si>
    <t>physiz.com</t>
  </si>
  <si>
    <t>Madhurima sen</t>
  </si>
  <si>
    <t>Integrated solution for monitoring, management and control of indoor farms</t>
  </si>
  <si>
    <t>Crop Tech &gt; Farm Management Software &gt; Controlled Environment Farming
IIT Roorkee &gt; Crop Tech &gt; Farm Management Software &gt; Controlled Environment Farming
Enterprise Tech - India &gt; Crop Tech &gt; Farm Management Software &gt; Controlled Environment Farming
Farm Management Software &gt; Crop Tech &gt; Farm Management Software &gt; Controlled Environment Farming</t>
  </si>
  <si>
    <t>SatSure</t>
  </si>
  <si>
    <t>satsure.co</t>
  </si>
  <si>
    <t>IMKAN; imkan.ae</t>
  </si>
  <si>
    <t>Data services for crop health monitoring and assessment</t>
  </si>
  <si>
    <t>Data as a Service &gt; Industries &gt; Horizontal &gt; Data Platforms &gt; Visualization Platform
Artificial Intelligence - India &gt; Data as a Service &gt; Industries &gt; Horizontal &gt; Data Platforms &gt; Visualization Platform
Artificial Intelligence &gt; Data as a Service &gt; Industries &gt; Horizontal &gt; Data Platforms &gt; Visualization Platform
Enterprise Tech - India &gt; Data as a Service &gt; Industries &gt; Horizontal &gt; Data Platforms &gt; Visualization Platform
Geographic Information Systems &gt; Location Analytics &gt; Horizontal
Artificial Intelligence - India &gt; Geographic Information Systems &gt; Location Analytics &gt; Horizontal
Artificial Intelligence &gt; Geographic Information Systems &gt; Location Analytics &gt; Horizontal
HiTech - India &gt; Geographic Information Systems &gt; Location Analytics &gt; Horizontal
Enterprise Tech - India &gt; Geographic Information Systems &gt; Location Analytics &gt; Horizontal
Crop Tech &gt; Content Platforms &gt; Data as a Service &gt; Farm Data Platform
Artificial Intelligence - India &gt; Crop Tech &gt; Content Platforms &gt; Data as a Service &gt; Farm Data Platform
Artificial Intelligence &gt; Crop Tech &gt; Content Platforms &gt; Data as a Service &gt; Farm Data Platform
AI in Agriculture &gt; Crop Tech &gt; Content Platforms &gt; Data as a Service &gt; Farm Data Platform
Enterprise Tech - India &gt; Crop Tech &gt; Content Platforms &gt; Data as a Service &gt; Farm Data Platform</t>
  </si>
  <si>
    <t>DLA Piper; dlapiper.com
pagbam.com.ar</t>
  </si>
  <si>
    <t>Bharat Inclusion Initiative; bharatinclusion.ciie.co</t>
  </si>
  <si>
    <t>Bharat Inclusion Initiative</t>
  </si>
  <si>
    <t>Tiger Global Management; tigerglobal.com
Tanglin Venture Partners; tanglinvp.com</t>
  </si>
  <si>
    <t>Tiger Global Management</t>
  </si>
  <si>
    <t>Khaitan; khaitanco.com</t>
  </si>
  <si>
    <t>Sunil Kumar Singhvi</t>
  </si>
  <si>
    <t>Beijing Caipos Technology</t>
  </si>
  <si>
    <t>kebaiiot.com</t>
  </si>
  <si>
    <t>ECC Capital; ecc-capital.com</t>
  </si>
  <si>
    <t>ECC Capital</t>
  </si>
  <si>
    <t>Integrated systems for real-time monitoring of soil and climatic parameters of farm fields and automation of irrigation operations</t>
  </si>
  <si>
    <t>Crop Tech &gt; Autonomous Farming &gt; Irrigation
SaaS - China &gt; Crop Tech &gt; Autonomous Farming &gt; Irrigation
SaaS &gt; Crop Tech &gt; Autonomous Farming &gt; Irrigation
Enterprise Tech - China &gt; Crop Tech &gt; Autonomous Farming &gt; Irrigation
Autonomous Farming &gt; Crop Tech &gt; Autonomous Farming &gt; Irrigation</t>
  </si>
  <si>
    <t>PhoenixTree Capital; phoenixtree.com.cn</t>
  </si>
  <si>
    <t>Nestrom</t>
  </si>
  <si>
    <t>nestrom.com</t>
  </si>
  <si>
    <t>Techstars; techstars.com
GINCO Investments; ginco.investments</t>
  </si>
  <si>
    <t>Techstars
GINCO Investments</t>
  </si>
  <si>
    <t>Amman, Amman, Jordan</t>
  </si>
  <si>
    <t>Integrated IoT platform for farm monitoring</t>
  </si>
  <si>
    <t>GRC Software &gt; Compliance &gt; QEHS Compliance &gt; Integrated QEHS Compliance
Environmental Health and Safety Compliance &gt; GRC Software &gt; Compliance &gt; QEHS Compliance &gt; Integrated QEHS Compliance
Enterprise Tech - MENA &gt; GRC Software &gt; Compliance &gt; QEHS Compliance &gt; Integrated QEHS Compliance
SaaS - MENA &gt; GRC Software &gt; Compliance &gt; QEHS Compliance &gt; Integrated QEHS Compliance
SaaS &gt; GRC Software &gt; Compliance &gt; QEHS Compliance &gt; Integrated QEHS Compliance
500 Startups Portfolio &gt; GRC Software &gt; Compliance &gt; QEHS Compliance &gt; Integrated QEHS Compliance
Techstars Portfolio &gt; GRC Software &gt; Compliance &gt; QEHS Compliance &gt; Integrated QEHS Compliance
IoT in Agriculture &gt; GRC Software &gt; Compliance &gt; QEHS Compliance &gt; Integrated QEHS Compliance
IoT Applications &gt; Industry Specific &gt; Agriculture &gt; Farms
SaaS &gt; IoT Applications &gt; Industry Specific &gt; Agriculture &gt; Farms
SaaS - MENA &gt; IoT Applications &gt; Industry Specific &gt; Agriculture &gt; Farms
Enterprise Tech - MENA &gt; IoT Applications &gt; Industry Specific &gt; Agriculture &gt; Farms
Techstars Portfolio &gt; IoT Applications &gt; Industry Specific &gt; Agriculture &gt; Farms
500 Startups Portfolio &gt; IoT Applications &gt; Industry Specific &gt; Agriculture &gt; Farms
HiTech - MENA &gt; IoT Applications &gt; Industry Specific &gt; Agriculture &gt; Farms
IoT in Agriculture &gt; IoT Applications &gt; Industry Specific &gt; Agriculture &gt; Farms
Field Force Automation &gt; Agricultural industry
SaaS &gt; Field Force Automation &gt; Agricultural industry
Enterprise Tech - MENA &gt; Field Force Automation &gt; Agricultural industry
SaaS - MENA &gt; Field Force Automation &gt; Agricultural industry
500 Startups Portfolio &gt; Field Force Automation &gt; Agricultural industry
Techstars Portfolio &gt; Field Force Automation &gt; Agricultural industry
IoT in Agriculture &gt; Field Force Automation &gt; Agricultural industry
Crop Tech &gt; Farm Management Software &gt; Diversified
SaaS &gt; Crop Tech &gt; Farm Management Software &gt; Diversified
SaaS - MENA &gt; Crop Tech &gt; Farm Management Software &gt; Diversified
Enterprise Tech - MENA &gt; Crop Tech &gt; Farm Management Software &gt; Diversified
500 Startups Portfolio &gt; Crop Tech &gt; Farm Management Software &gt; Diversified
Techstars Portfolio &gt; Crop Tech &gt; Farm Management Software &gt; Diversified
IoT in Agriculture &gt; Crop Tech &gt; Farm Management Software &gt; Diversified
Farm Management Software &gt; Crop Tech &gt; Farm Management Software &gt; Diversified</t>
  </si>
  <si>
    <t>AngelList; angel.co</t>
  </si>
  <si>
    <t>Sachin Oswal
Simi Hari</t>
  </si>
  <si>
    <t>AngelList</t>
  </si>
  <si>
    <t>Info Edge Ventures; infoedgeventures.com</t>
  </si>
  <si>
    <t>Info Edge Ventures</t>
  </si>
  <si>
    <t>Alesca Life</t>
  </si>
  <si>
    <t>alescalife.com</t>
  </si>
  <si>
    <t>Developer of infrastructure for indoor agriculture</t>
  </si>
  <si>
    <t>Crop Tech &gt; Farm Equipment &gt; Diversified</t>
  </si>
  <si>
    <t>Nexus Venture Partners; nexusvp.com
Omnivore Partners; omnivore.vc</t>
  </si>
  <si>
    <t>Nexus Venture Partners
Omnivore Partners</t>
  </si>
  <si>
    <t>Seedo</t>
  </si>
  <si>
    <t>seedo.com</t>
  </si>
  <si>
    <t>Daniel Birnbaum</t>
  </si>
  <si>
    <t>Yokneam Illit, Haifa, Israel</t>
  </si>
  <si>
    <t>Developer of AI-enabled automated indoor hydroponic farms</t>
  </si>
  <si>
    <t>Crop Tech &gt; Autonomous Farming &gt; Growing Systems &gt; Hydroponics
Artificial Intelligence - MENA &gt; Crop Tech &gt; Autonomous Farming &gt; Growing Systems &gt; Hydroponics
Enterprise Tech - MENA &gt; Crop Tech &gt; Autonomous Farming &gt; Growing Systems &gt; Hydroponics
AI in Agriculture &gt; Crop Tech &gt; Autonomous Farming &gt; Growing Systems &gt; Hydroponics
Artificial Intelligence - Israel &gt; Crop Tech &gt; Autonomous Farming &gt; Growing Systems &gt; Hydroponics
Consumer Digital - Israel &gt; Crop Tech &gt; Autonomous Farming &gt; Growing Systems &gt; Hydroponics
Consumer Digital - MENA &gt; Crop Tech &gt; Autonomous Farming &gt; Growing Systems &gt; Hydroponics
Artificial Intelligence &gt; Crop Tech &gt; Autonomous Farming &gt; Growing Systems &gt; Hydroponics
Enterprise Tech - Israel &gt; Crop Tech &gt; Autonomous Farming &gt; Growing Systems &gt; Hydroponics
Autonomous Farming &gt; Crop Tech &gt; Autonomous Farming &gt; Growing Systems &gt; Hydroponics
Hydroponics &gt; Crop Tech &gt; Autonomous Farming &gt; Growing Systems &gt; Hydroponics</t>
  </si>
  <si>
    <t>Cambrian Venture; cambrianvc.com</t>
  </si>
  <si>
    <t>Cambrian Venture</t>
  </si>
  <si>
    <t>Yuncaiyuan</t>
  </si>
  <si>
    <t>4008268365.com</t>
  </si>
  <si>
    <t>Letong Capital; lefun-capital.com
Star Han Capital; skysaga.com.cn
Black Hole Investment; blackholecap.com
Plum Ventures; plumventures.cn</t>
  </si>
  <si>
    <t>Letong Capital</t>
  </si>
  <si>
    <t>Daxing, Jilin Sheng, China</t>
  </si>
  <si>
    <t>Online B2B platform for agriculture products</t>
  </si>
  <si>
    <t>B2B E-Commerce &gt; Agriculture &gt; E-Distributor
Enterprise Tech - China &gt; B2B E-Commerce &gt; Agriculture &gt; E-Distributor
Crop Tech &gt; ECommerce &gt; Farm Produce &gt; B2B &gt; Fruits and Vegetables &gt; E Distributor
Enterprise Tech - China &gt; Crop Tech &gt; ECommerce &gt; Farm Produce &gt; B2B &gt; Fruits and Vegetables &gt; E Distributor</t>
  </si>
  <si>
    <t>InI Farms</t>
  </si>
  <si>
    <t>inifarms.com</t>
  </si>
  <si>
    <t>Samridhi Fund; samridhifund.com</t>
  </si>
  <si>
    <t>Provider of farming services to horticulture industries</t>
  </si>
  <si>
    <t>Crop Tech &gt; Farming as a Service &gt; Tech Enabled Services
IIT Kanpur &gt; Crop Tech &gt; Farming as a Service &gt; Tech Enabled Services
McKinsey &gt; Crop Tech &gt; Farming as a Service &gt; Tech Enabled Services
Consumer Digital - India &gt; Crop Tech &gt; Farming as a Service &gt; Tech Enabled Services
Enterprise Tech - India &gt; Crop Tech &gt; Farming as a Service &gt; Tech Enabled Services</t>
  </si>
  <si>
    <t>Dafengshou</t>
  </si>
  <si>
    <t>dfs168.com</t>
  </si>
  <si>
    <t>China Growth Capital; chinagrowthcapital.com</t>
  </si>
  <si>
    <t>China Growth Capital</t>
  </si>
  <si>
    <t>Online marketplace offering agricultural equipment and inputs</t>
  </si>
  <si>
    <t>Crop Tech &gt; ECommerce &gt; Diversified &gt; Marketplace
Enterprise Tech - China &gt; Crop Tech &gt; ECommerce &gt; Diversified &gt; Marketplace
Marketplaces &gt; Crop Tech &gt; ECommerce &gt; Diversified &gt; Marketplace
Consumer Digital - China &gt; Crop Tech &gt; ECommerce &gt; Diversified &gt; Marketplace
B2B E-Commerce &gt; Agriculture &gt; Marketplace
Enterprise Tech - China &gt; B2B E-Commerce &gt; Agriculture &gt; Marketplace
Marketplaces &gt; B2B E-Commerce &gt; Agriculture &gt; Marketplace
Consumer Digital - China &gt; B2B E-Commerce &gt; Agriculture &gt; Marketplace</t>
  </si>
  <si>
    <t>Agreeta</t>
  </si>
  <si>
    <t>agreeta.com</t>
  </si>
  <si>
    <t>SWANISPICE; swanispice.com</t>
  </si>
  <si>
    <t>SWANISPICE</t>
  </si>
  <si>
    <t>Platform for agronomy information and marketplace for produce</t>
  </si>
  <si>
    <t>Biofishency</t>
  </si>
  <si>
    <t>biofishency.com</t>
  </si>
  <si>
    <t>Aqua Spark; aqua-spark.nl
The Trendlines Group; trendlines.com</t>
  </si>
  <si>
    <t>Aqua Spark</t>
  </si>
  <si>
    <t>Water treatment system for land based aquaculture</t>
  </si>
  <si>
    <t>Aquaculture Tech &gt; Farm Equipment &gt; Water Treatment</t>
  </si>
  <si>
    <t>Maifei Technology</t>
  </si>
  <si>
    <t>mcfly.com.cn</t>
  </si>
  <si>
    <t>GF Qianhe Investment; qh.gf.com.cn
ECC Capital; ecc-capital.com
Baidu Ventures; bv.ai
Frees Fund; freesvc.com
Riverhillfund; riverhillfund.com
Star Technology Incubator; casstar.com.cn</t>
  </si>
  <si>
    <t>GF Qianhe Investment</t>
  </si>
  <si>
    <t>Chaoyang, Beijing Shi, China</t>
  </si>
  <si>
    <t>Provider of disease and pest monitoring solutions</t>
  </si>
  <si>
    <t>Drones &gt; Civilian Drones &gt; Drone Platform
Consumer Drones &gt; Drones &gt; Civilian Drones &gt; Drone Platform
HiTech - China &gt; Drones &gt; Civilian Drones &gt; Drone Platform
SaaS - China &gt; Drones &gt; Civilian Drones &gt; Drone Platform
SaaS &gt; Drones &gt; Civilian Drones &gt; Drone Platform
Enterprise Tech - China &gt; Drones &gt; Civilian Drones &gt; Drone Platform
Artificial Intelligence &gt; Drones &gt; Civilian Drones &gt; Drone Platform
Artificial Intelligence - China &gt; Drones &gt; Civilian Drones &gt; Drone Platform
Crop Tech &gt; Autonomous Farming &gt; Pest Control &gt; Drones
Enterprise Tech - China &gt; Crop Tech &gt; Autonomous Farming &gt; Pest Control &gt; Drones
SaaS &gt; Crop Tech &gt; Autonomous Farming &gt; Pest Control &gt; Drones
AI in Agriculture &gt; Crop Tech &gt; Autonomous Farming &gt; Pest Control &gt; Drones
Artificial Intelligence - China &gt; Crop Tech &gt; Autonomous Farming &gt; Pest Control &gt; Drones
Artificial Intelligence &gt; Crop Tech &gt; Autonomous Farming &gt; Pest Control &gt; Drones
SaaS - China &gt; Crop Tech &gt; Autonomous Farming &gt; Pest Control &gt; Drones
Autonomous Farming &gt; Crop Tech &gt; Autonomous Farming &gt; Pest Control &gt; Drones</t>
  </si>
  <si>
    <t>aimscapital.com.au</t>
  </si>
  <si>
    <t>Mistletoe; mistletoe.co</t>
  </si>
  <si>
    <t>Mistletoe</t>
  </si>
  <si>
    <t>FarmCrowdy</t>
  </si>
  <si>
    <t>farmcrowdy.com</t>
  </si>
  <si>
    <t>Cox Enterprises; coxenterprises.com
Techstars; techstars.com</t>
  </si>
  <si>
    <t>Cox Enterprises
Techstars</t>
  </si>
  <si>
    <t>Lekki, Lagos, Nigeria</t>
  </si>
  <si>
    <t>Online platform for investing in farming projects</t>
  </si>
  <si>
    <t>Crowdfunding &gt; Revenue Sharing &gt; Agriculture
FinTech - Africa &gt; Crowdfunding &gt; Revenue Sharing &gt; Agriculture
Techstars Portfolio &gt; Crowdfunding &gt; Revenue Sharing &gt; Agriculture
Agri FinTech &gt; Crowdfunding &gt; Revenue Sharing &gt; Agriculture
Crop Tech &gt; Finance &gt; Crowdfunding
Techstars Portfolio &gt; Crop Tech &gt; Finance &gt; Crowdfunding
Internet First Insurance Platforms &gt; Internet First Insurers &gt; P&amp;C &gt; Crop
FinTech - Africa &gt; Internet First Insurance Platforms &gt; Internet First Insurers &gt; P&amp;C &gt; Crop
Internet First Insurers &gt; Internet First Insurance Platforms &gt; Internet First Insurers &gt; P&amp;C &gt; Crop
Techstars Portfolio &gt; Internet First Insurance Platforms &gt; Internet First Insurers &gt; P&amp;C &gt; Crop
Agri FinTech &gt; Internet First Insurance Platforms &gt; Internet First Insurers &gt; P&amp;C &gt; Crop</t>
  </si>
  <si>
    <t>Aggois</t>
  </si>
  <si>
    <t>aggois.com</t>
  </si>
  <si>
    <t>Tracxn Labs; tracxnlabs.com
Redwood Trust; redwoodtrust.com</t>
  </si>
  <si>
    <t>Sudhanshu Bahadur
Somesh Misra
Kunal Arora
Ramakant Sharma
Ganapathi Sabhahit
Raghavendra Rao</t>
  </si>
  <si>
    <t>Sudhanshu Bahadur</t>
  </si>
  <si>
    <t>Platform providing agriculture financial solutions</t>
  </si>
  <si>
    <t>Crop Tech &gt; Finance &gt; Payments
IIT Roorkee &gt; Crop Tech &gt; Finance &gt; Payments
IIT Kanpur &gt; Crop Tech &gt; Finance &gt; Payments
Goldman Sachs &gt; Crop Tech &gt; Finance &gt; Payments
Enterprise Tech - India &gt; Crop Tech &gt; Finance &gt; Payments</t>
  </si>
  <si>
    <t>Tradebuza</t>
  </si>
  <si>
    <t>tradebuza.com</t>
  </si>
  <si>
    <t>Itanna; itanna.co</t>
  </si>
  <si>
    <t>Itanna</t>
  </si>
  <si>
    <t>Iganmu, Lagos, Nigeria</t>
  </si>
  <si>
    <t>Cloud-based platform for purchase order financing</t>
  </si>
  <si>
    <t>Crop Tech &gt; Farm Management Software &gt; Diversified
SaaS &gt; Crop Tech &gt; Farm Management Software &gt; Diversified
Marketplaces &gt; Crop Tech &gt; Farm Management Software &gt; Diversified
Enterprise Tech - Africa &gt; Crop Tech &gt; Farm Management Software &gt; Diversified
Farm Management Software &gt; Crop Tech &gt; Farm Management Software &gt; Diversified</t>
  </si>
  <si>
    <t>Omnivore Partners; omnivore.vc
AgFunder; agfunder.com
Pi Ventures; piventures.in
Trifecta Capital; trifectacapital.in</t>
  </si>
  <si>
    <t>Pankaj Chaddah
Narayanan Venkataraman
Mahalakshmi Narayanan</t>
  </si>
  <si>
    <t>Omnivore Partners
AgFunder
Pi Ventures</t>
  </si>
  <si>
    <t>Agrostar</t>
  </si>
  <si>
    <t>agrostar.in</t>
  </si>
  <si>
    <t>Bertelsmann India Investments; biifund.com
Accel; accel.com
Chiratae Ventures; chiratae.com
Rabo Frontier Ventures; rabofrontierventures.com
Aavishkaar Capital; aavishkaarcapital.in</t>
  </si>
  <si>
    <t>Bertelsmann India Investments</t>
  </si>
  <si>
    <t>Online platform offering agri-inputs, content, and advice</t>
  </si>
  <si>
    <t>Crop Tech &gt; ECommerce &gt; Farm Inputs &gt; Multi Category &gt; Retailer &gt; Content Driven
Consumer Digital - India &gt; Crop Tech &gt; ECommerce &gt; Farm Inputs &gt; Multi Category &gt; Retailer &gt; Content Driven
Farm Inputs E-Commerce &gt; Crop Tech &gt; ECommerce &gt; Farm Inputs &gt; Multi Category &gt; Retailer &gt; Content Driven
B2B E-Commerce &gt; Agriculture &gt; E-Distributor
Consumer Digital - India &gt; B2B E-Commerce &gt; Agriculture &gt; E-Distributor</t>
  </si>
  <si>
    <t>J Sagar Associates; jsalaw.com</t>
  </si>
  <si>
    <t>TartanSense</t>
  </si>
  <si>
    <t>tartansense.com</t>
  </si>
  <si>
    <t>Omnivore Partners; omnivore.vc
Blume Ventures; blume.vc
Beenext; beenext.com</t>
  </si>
  <si>
    <t>Dileep George
Akash Gupta
Samay Kohli</t>
  </si>
  <si>
    <t>Omnivore Partners
Blume Ventures</t>
  </si>
  <si>
    <t>Analyzing health of plants using drones</t>
  </si>
  <si>
    <t>Geographic Information Systems &gt; Image Processing &amp; Mapping &gt; Aerial Image Processing
HiTech - India &gt; Geographic Information Systems &gt; Image Processing &amp; Mapping &gt; Aerial Image Processing
Artificial Intelligence - India &gt; Geographic Information Systems &gt; Image Processing &amp; Mapping &gt; Aerial Image Processing
Artificial Intelligence &gt; Geographic Information Systems &gt; Image Processing &amp; Mapping &gt; Aerial Image Processing
Enterprise Tech - India &gt; Geographic Information Systems &gt; Image Processing &amp; Mapping &gt; Aerial Image Processing
Drones &gt; Services &gt; Precision Agriculture
HiTech - India &gt; Drones &gt; Services &gt; Precision Agriculture
Commercial Drones &gt; Drones &gt; Services &gt; Precision Agriculture
Agriculture Drones &gt; Drones &gt; Services &gt; Precision Agriculture
Artificial Intelligence - India &gt; Drones &gt; Services &gt; Precision Agriculture
Artificial Intelligence &gt; Drones &gt; Services &gt; Precision Agriculture
Enterprise Tech - India &gt; Drones &gt; Services &gt; Precision Agriculture
Crop Tech &gt; Farm Analytics &gt; Drones Based
AI in Agriculture &gt; Crop Tech &gt; Farm Analytics &gt; Drones Based
Artificial Intelligence - India &gt; Crop Tech &gt; Farm Analytics &gt; Drones Based
Artificial Intelligence &gt; Crop Tech &gt; Farm Analytics &gt; Drones Based
Enterprise Tech - India &gt; Crop Tech &gt; Farm Analytics &gt; Drones Based
Farm Analytics &gt; Crop Tech &gt; Farm Analytics &gt; Drones Based</t>
  </si>
  <si>
    <t>icul.in
Constellation Blu; constellationblu.com
Themis Associates; themisltc.com</t>
  </si>
  <si>
    <t>Entobel</t>
  </si>
  <si>
    <t>entobel.com</t>
  </si>
  <si>
    <t>Ho Chi Minh City, Ho Chi Minh City, Vietnam</t>
  </si>
  <si>
    <t>Insect based protein production and marketing it as animal feed and organic fertilizer</t>
  </si>
  <si>
    <t>Livestock Tech &gt; Feeding &gt; Sustainable Feeds &gt; Insect Based
Enterprise Tech - SEA &gt; Livestock Tech &gt; Feeding &gt; Sustainable Feeds &gt; Insect Based
Climate Tech &gt; Livestock Tech &gt; Feeding &gt; Sustainable Feeds &gt; Insect Based
Sustainable Animal And Fish Feed &gt; Livestock Tech &gt; Feeding &gt; Sustainable Feeds &gt; Insect Based
Insect Farming Tech &gt; Insects &gt; Insect based Products &gt; Animal Feed &gt; Diversified
Enterprise Tech - SEA &gt; Insect Farming Tech &gt; Insects &gt; Insect based Products &gt; Animal Feed &gt; Diversified
Climate Tech &gt; Insect Farming Tech &gt; Insects &gt; Insect based Products &gt; Animal Feed &gt; Diversified</t>
  </si>
  <si>
    <t>LeanAgri</t>
  </si>
  <si>
    <t>leanagri.com</t>
  </si>
  <si>
    <t>Sachin Oswal
Hari Balasubramanian
Ajay Prabhu</t>
  </si>
  <si>
    <t>Technology solutions providers for farmers</t>
  </si>
  <si>
    <t>Crop Tech &gt; Content Platforms &gt; Farming Advice &gt; Expert Advisors
IIT Madras &gt; Crop Tech &gt; Content Platforms &gt; Farming Advice &gt; Expert Advisors
Enterprise Tech - India &gt; Crop Tech &gt; Content Platforms &gt; Farming Advice &gt; Expert Advisors</t>
  </si>
  <si>
    <t>Tulaa</t>
  </si>
  <si>
    <t>tulaa.io</t>
  </si>
  <si>
    <t>Beyond Capital Fund; beyondcapitalfund.org</t>
  </si>
  <si>
    <t>Beyond Capital Fund</t>
  </si>
  <si>
    <t>Crop Tech &gt; Content Platforms &gt; Farming Advice
Enterprise Tech - Africa &gt; Crop Tech &gt; Content Platforms &gt; Farming Advice
INSEAD &gt; Crop Tech &gt; Content Platforms &gt; Farming Advice
Marketplaces &gt; Crop Tech &gt; Content Platforms &gt; Farming Advice
Alternative Lending &gt; Online Lenders &gt; Consumer Loans &gt; Farm Loans &gt; Marketplace
Enterprise Tech - Africa &gt; Alternative Lending &gt; Online Lenders &gt; Consumer Loans &gt; Farm Loans &gt; Marketplace
FinTech - Africa &gt; Alternative Lending &gt; Online Lenders &gt; Consumer Loans &gt; Farm Loans &gt; Marketplace
INSEAD &gt; Alternative Lending &gt; Online Lenders &gt; Consumer Loans &gt; Farm Loans &gt; Marketplace
Marketplaces &gt; Alternative Lending &gt; Online Lenders &gt; Consumer Loans &gt; Farm Loans &gt; Marketplace
Agri FinTech &gt; Alternative Lending &gt; Online Lenders &gt; Consumer Loans &gt; Farm Loans &gt; Marketplace
Internet First Lenders &gt; Alternative Lending &gt; Online Lenders &gt; Consumer Loans &gt; Farm Loans &gt; Marketplace</t>
  </si>
  <si>
    <t>Blume Ventures; blume.vc
Constellation Blu; constellationblu.com
AngelList; angel.co
Astarc Ventures; astarcventures.com
Better Capital; bettercapital.vc
SAP; sap.com
Prophetic Ventures; prophetic.ventures</t>
  </si>
  <si>
    <t>Harsh Bangla
Sanjaya Mariwala
Harshbeena Zaveri
Aaryaman Vir Shah</t>
  </si>
  <si>
    <t>Paper Plane Ventures; paperplane.ventures</t>
  </si>
  <si>
    <t>Paper Plane Ventures</t>
  </si>
  <si>
    <t>FarmDrive</t>
  </si>
  <si>
    <t>farmdrive.co.ke</t>
  </si>
  <si>
    <t>EWB Canada; ewb.ca
1to4; 1to4.ch
ADAP; adapcapital.com
SUNU Capital; sunucapital.com
lakefamilyfoundation.org</t>
  </si>
  <si>
    <t xml:space="preserve">1to4
ADAP
SUNU Capital
</t>
  </si>
  <si>
    <t>Credit risk assessment of farmers using mobile phone data</t>
  </si>
  <si>
    <t>Alternative Lending &gt; Enablers &gt; Alternative Credit Score &gt; Individuals
Enterprise Tech - Africa &gt; Alternative Lending &gt; Enablers &gt; Alternative Credit Score &gt; Individuals
FinTech - Africa &gt; Alternative Lending &gt; Enablers &gt; Alternative Credit Score &gt; Individuals
Consumer Digital - Africa &gt; Alternative Lending &gt; Enablers &gt; Alternative Credit Score &gt; Individuals
Alternative Credit Score Providers &gt; Alternative Lending &gt; Enablers &gt; Alternative Credit Score &gt; Individuals
Banking Tech &gt; Loan Life Cycle Management &gt; Credit Assessment &gt; Alternative Credit Score
Enterprise Tech - Africa &gt; Banking Tech &gt; Loan Life Cycle Management &gt; Credit Assessment &gt; Alternative Credit Score
FinTech - Africa &gt; Banking Tech &gt; Loan Life Cycle Management &gt; Credit Assessment &gt; Alternative Credit Score
Consumer Digital - Africa &gt; Banking Tech &gt; Loan Life Cycle Management &gt; Credit Assessment &gt; Alternative Credit Score
Credit Assessment &gt; Banking Tech &gt; Loan Life Cycle Management &gt; Credit Assessment &gt; Alternative Credit Score
Crop Tech &gt; Finance &gt; Credit Scoring
Enterprise Tech - Africa &gt; Crop Tech &gt; Finance &gt; Credit Scoring
Consumer Digital - Africa &gt; Crop Tech &gt; Finance &gt; Credit Scoring</t>
  </si>
  <si>
    <t>Yun Yang Data Technology</t>
  </si>
  <si>
    <t>yunyangdata.com</t>
  </si>
  <si>
    <t>Shenzhen Topsailing Capital; topsailing.com.cn</t>
  </si>
  <si>
    <t>Shenzhen Topsailing Capital</t>
  </si>
  <si>
    <t>Chaoyang, Liaoning, China</t>
  </si>
  <si>
    <t>Integrated platform for real-time monitoring of greenhouses</t>
  </si>
  <si>
    <t>Crop Tech &gt; Farm Management Software &gt; Controlled Environment Farming
Farm Management Software &gt; Crop Tech &gt; Farm Management Software &gt; Controlled Environment Farming</t>
  </si>
  <si>
    <t>Shuxi Technology</t>
  </si>
  <si>
    <t>shuxitech.com</t>
  </si>
  <si>
    <t>A Plus Capital; apluscapital.com</t>
  </si>
  <si>
    <t>A Plus Capital</t>
  </si>
  <si>
    <t>Nanjing, Jiangsu Sheng, China</t>
  </si>
  <si>
    <t>Provider of data-driven precision agriculture solutions</t>
  </si>
  <si>
    <t>Crop Tech &gt; Content Platforms &gt; Data as a Service &gt; Farm Data Platform
Enterprise Tech - China &gt; Crop Tech &gt; Content Platforms &gt; Data as a Service &gt; Farm Data Platform
Artificial Intelligence &gt; Crop Tech &gt; Content Platforms &gt; Data as a Service &gt; Farm Data Platform
Artificial Intelligence - China &gt; Crop Tech &gt; Content Platforms &gt; Data as a Service &gt; Farm Data Platform
AI in Agriculture &gt; Crop Tech &gt; Content Platforms &gt; Data as a Service &gt; Farm Data Platform</t>
  </si>
  <si>
    <t>Credible</t>
  </si>
  <si>
    <t>credible-india.com</t>
  </si>
  <si>
    <t>Gastrotope; gastrotope.com</t>
  </si>
  <si>
    <t>Gastrotope</t>
  </si>
  <si>
    <t>Provider of AI-based agriculture solutions</t>
  </si>
  <si>
    <t>Crop Tech &gt; Content Platforms &gt; Data as a Service &gt; Market Data
Consumer Digital - India &gt; Crop Tech &gt; Content Platforms &gt; Data as a Service &gt; Market Data
Artificial Intelligence - India &gt; Crop Tech &gt; Content Platforms &gt; Data as a Service &gt; Market Data
Artificial Intelligence &gt; Crop Tech &gt; Content Platforms &gt; Data as a Service &gt; Market Data
AI in Agriculture &gt; Crop Tech &gt; Content Platforms &gt; Data as a Service &gt; Market Data</t>
  </si>
  <si>
    <t>Occipital Tech</t>
  </si>
  <si>
    <t>occipitaltech.com</t>
  </si>
  <si>
    <t>Provider of automated grading and sorting solutions</t>
  </si>
  <si>
    <t>Sensors &gt; Industry Applications &gt; Agriculture
Artificial Intelligence - India &gt; Sensors &gt; Industry Applications &gt; Agriculture
Artificial Intelligence &gt; Sensors &gt; Industry Applications &gt; Agriculture
Enterprise Tech - India &gt; Sensors &gt; Industry Applications &gt; Agriculture
Crop Tech &gt; Post Harvest Management &gt; Quality Testing &gt; Fruits and Vegetables &gt; Sensors
Artificial Intelligence - India &gt; Crop Tech &gt; Post Harvest Management &gt; Quality Testing &gt; Fruits and Vegetables &gt; Sensors
Artificial Intelligence &gt; Crop Tech &gt; Post Harvest Management &gt; Quality Testing &gt; Fruits and Vegetables &gt; Sensors
AI in Agriculture &gt; Crop Tech &gt; Post Harvest Management &gt; Quality Testing &gt; Fruits and Vegetables &gt; Sensors
Enterprise Tech - India &gt; Crop Tech &gt; Post Harvest Management &gt; Quality Testing &gt; Fruits and Vegetables &gt; Sensors
Computer Vision &gt; Industry Specific Applications &gt; Agriculture &gt; Crops
Artificial Intelligence &gt; Computer Vision &gt; Industry Specific Applications &gt; Agriculture &gt; Crops
Artificial Intelligence - India &gt; Computer Vision &gt; Industry Specific Applications &gt; Agriculture &gt; Crops
HiTech - India &gt; Computer Vision &gt; Industry Specific Applications &gt; Agriculture &gt; Crops
Enterprise Tech - India &gt; Computer Vision &gt; Industry Specific Applications &gt; Agriculture &gt; Crops</t>
  </si>
  <si>
    <t>Triton Foodworks</t>
  </si>
  <si>
    <t>tritonfoodworks.com</t>
  </si>
  <si>
    <t>Integrated business for soil-less cultivation of fruits &amp; vegetables and supply of produce</t>
  </si>
  <si>
    <t>Crop Tech &gt; Indoor Farming &gt; Hydroponics
Nanyang Technological University (NTU) &gt; Crop Tech &gt; Indoor Farming &gt; Hydroponics
Indoor Farming &gt; Crop Tech &gt; Indoor Farming &gt; Hydroponics
Hydroponics &gt; Crop Tech &gt; Indoor Farming &gt; Hydroponics</t>
  </si>
  <si>
    <t>AgNext</t>
  </si>
  <si>
    <t>agnext.com</t>
  </si>
  <si>
    <t>Kalaari Capital; kalaari.com
Omnivore Partners; omnivore.vc</t>
  </si>
  <si>
    <t>Kalaari Capital</t>
  </si>
  <si>
    <t>Mohali, Punjab, India</t>
  </si>
  <si>
    <t>Platform for monitoring and improving agricultural food quality</t>
  </si>
  <si>
    <t>Crop Tech &gt; Post Harvest Management &gt; Traceability
AI in Agriculture &gt; Crop Tech &gt; Post Harvest Management &gt; Traceability
Artificial Intelligence - India &gt; Crop Tech &gt; Post Harvest Management &gt; Traceability
Artificial Intelligence &gt; Crop Tech &gt; Post Harvest Management &gt; Traceability
Enterprise Tech - India &gt; Crop Tech &gt; Post Harvest Management &gt; Traceability</t>
  </si>
  <si>
    <t>SeeTree</t>
  </si>
  <si>
    <t>seetree.ai</t>
  </si>
  <si>
    <t>Hanaco Ventures Capital; hanacovc.com
Canaan Partners Israel; canaanil.com
IAngels; iangels.co
Mindset; mindset.tech
Mindset Ventures; mindset.ventures</t>
  </si>
  <si>
    <t>Uri Levine</t>
  </si>
  <si>
    <t>Hanaco Ventures Capital</t>
  </si>
  <si>
    <t>Herzliya, Tel Aviv, Israel</t>
  </si>
  <si>
    <t>Machine Learning based data-driven solutions for orchard growers</t>
  </si>
  <si>
    <t>Crop Tech &gt; Farm Analytics &gt; Drones Based
Artificial Intelligence - MENA &gt; Crop Tech &gt; Farm Analytics &gt; Drones Based
Enterprise Tech - MENA &gt; Crop Tech &gt; Farm Analytics &gt; Drones Based
Tel Aviv University &gt; Crop Tech &gt; Farm Analytics &gt; Drones Based
Google &gt; Crop Tech &gt; Farm Analytics &gt; Drones Based
Artificial Intelligence - Israel &gt; Crop Tech &gt; Farm Analytics &gt; Drones Based
Artificial Intelligence &gt; Crop Tech &gt; Farm Analytics &gt; Drones Based
Enterprise Tech - Israel &gt; Crop Tech &gt; Farm Analytics &gt; Drones Based
AI in Agriculture &gt; Crop Tech &gt; Farm Analytics &gt; Drones Based
Technion Israel Institute of Technology &gt; Crop Tech &gt; Farm Analytics &gt; Drones Based
Farm Analytics &gt; Crop Tech &gt; Farm Analytics &gt; Drones Based</t>
  </si>
  <si>
    <t>Northern Arc; northernarc.com
Caspian Impact Investment Adviser; caspian.in
Lightstone; lightstonegroup.com</t>
  </si>
  <si>
    <t>Northern Arc; northernarc.com
Caspian Impact Investment Adviser; caspian.in
Aspada Investments; aspada.com</t>
  </si>
  <si>
    <t>Agrotrac</t>
  </si>
  <si>
    <t>agrotrac.cl</t>
  </si>
  <si>
    <t>Chile</t>
  </si>
  <si>
    <t>Transport monitoring solution provider</t>
  </si>
  <si>
    <t>Security &amp; Surveillance Technology &gt; Location Tracking &gt; Vehicle Tracking
Enterprise Tech - Latam &gt; Security &amp; Surveillance Technology &gt; Location Tracking &gt; Vehicle Tracking
Crop Tech &gt; Autonomous Farming &gt; Diversified
Enterprise Tech - Latam &gt; Crop Tech &gt; Autonomous Farming &gt; Diversified
Autonomous Farming &gt; Crop Tech &gt; Autonomous Farming &gt; Diversified</t>
  </si>
  <si>
    <t>LetsVenture; letsventure.com
India Accelerator; indiaaccelerator.co
Factor[e] Ventures; factore.com
Arvind Construction; arvindconstruction.com
sushiljain.in
Yukti; yukti.in
Pravega Ventures; pravegavc.com</t>
  </si>
  <si>
    <t>Rajan Anandan
Sreejith Sudhakaran
Ramit Sethi
Vinay Mittal
Nisarg Shah
Swatee Agarwal
Anshul Agarwal
Gajendra Singh Chowhan</t>
  </si>
  <si>
    <t>LetsVenture</t>
  </si>
  <si>
    <t>LetsVenture; letsventure.com</t>
  </si>
  <si>
    <t>YMT.com</t>
  </si>
  <si>
    <t>ymt.com</t>
  </si>
  <si>
    <t>yiguogroup.com.cn
China Growth Capital; chinagrowthcapital.com
Sequoia Capital; sequoiacap.com</t>
  </si>
  <si>
    <t>Online B2B agro products marketplace</t>
  </si>
  <si>
    <t>Online Grocery &gt; B2B Ecommerce &gt; Farm Produce &gt; Multi-Category &gt; Marketplace
Enterprise Tech - China &gt; Online Grocery &gt; B2B Ecommerce &gt; Farm Produce &gt; Multi-Category &gt; Marketplace
Marketplaces &gt; Online Grocery &gt; B2B Ecommerce &gt; Farm Produce &gt; Multi-Category &gt; Marketplace
B2B Farm Produce E-Commerce &gt; Online Grocery &gt; B2B Ecommerce &gt; Farm Produce &gt; Multi-Category &gt; Marketplace
Crop Tech &gt; ECommerce &gt; Farm Produce &gt; B2B &gt; Fruits and Vegetables &gt; Marketplace
Enterprise Tech - China &gt; Crop Tech &gt; ECommerce &gt; Farm Produce &gt; B2B &gt; Fruits and Vegetables &gt; Marketplace
Marketplaces &gt; Crop Tech &gt; ECommerce &gt; Farm Produce &gt; B2B &gt; Fruits and Vegetables &gt; Marketplace
B2B E-Commerce &gt; Food &amp; Beverages &gt; Groceries &gt; Farm Products &gt; Marketplace
Enterprise Tech - China &gt; B2B E-Commerce &gt; Food &amp; Beverages &gt; Groceries &gt; Farm Products &gt; Marketplace
Marketplaces &gt; B2B E-Commerce &gt; Food &amp; Beverages &gt; Groceries &gt; Farm Products &gt; Marketplace</t>
  </si>
  <si>
    <t>Larix; larix.vc</t>
  </si>
  <si>
    <t>Larix</t>
  </si>
  <si>
    <t>Aditya Pande
Sachin Oswal</t>
  </si>
  <si>
    <t>Aditya Pande</t>
  </si>
  <si>
    <t>Ireland Strategic Investment Fund; isif.ie</t>
  </si>
  <si>
    <t>Ireland Strategic Investment Fund</t>
  </si>
  <si>
    <t>Fresh At Heart</t>
  </si>
  <si>
    <t>freshatheart.my</t>
  </si>
  <si>
    <t>Bayan Lepas, Pulau Pinang, Malaysia</t>
  </si>
  <si>
    <t>Online retailer of meat and seafood</t>
  </si>
  <si>
    <t>Online Grocery &gt; B2C Ecommerce &gt; Meat and Seafood &gt; Retailer &gt; Meat
Consumer Digital - SEA &gt; Online Grocery &gt; B2C Ecommerce &gt; Meat and Seafood &gt; Retailer &gt; Meat
Meat Delivery &gt; Online Grocery &gt; B2C Ecommerce &gt; Meat and Seafood &gt; Retailer &gt; Meat
B2C Grocery Delivery &gt; Online Grocery &gt; B2C Ecommerce &gt; Meat and Seafood &gt; Retailer &gt; Meat
B2C E-Commerce &gt; Online Grocery &gt; B2C Ecommerce &gt; Meat and Seafood &gt; Retailer &gt; Meat
Livestock Tech &gt; ECommerce &gt; Farm Produce &gt; B2C &gt; Retailer &gt; Meat
Consumer Digital - SEA &gt; Livestock Tech &gt; ECommerce &gt; Farm Produce &gt; B2C &gt; Retailer &gt; Meat</t>
  </si>
  <si>
    <t>VendPays; vendpays.com
MedPlanner; medplanner.io
Ata Plus; ata-plus.com</t>
  </si>
  <si>
    <t>AgroCenta</t>
  </si>
  <si>
    <t>agrocenta.com</t>
  </si>
  <si>
    <t>GSMA; gsma.com
UK Government; gov.uk
dfat.gov.au</t>
  </si>
  <si>
    <t>Accra, Greater Accra Region, Ghana</t>
  </si>
  <si>
    <t>Digital market linkage platform for smallholder farmers for their produce</t>
  </si>
  <si>
    <t>B2B E-Commerce &gt; Food &amp; Beverages &gt; Groceries &gt; Farm Products &gt; Listing Platform
Enterprise Tech - Africa &gt; B2B E-Commerce &gt; Food &amp; Beverages &gt; Groceries &gt; Farm Products &gt; Listing Platform
Crop Tech &gt; ECommerce &gt; Farm Produce &gt; B2B &gt; Grains
Enterprise Tech - Africa &gt; Crop Tech &gt; ECommerce &gt; Farm Produce &gt; B2B &gt; Grains</t>
  </si>
  <si>
    <t>AutoNxt Automation</t>
  </si>
  <si>
    <t>autonxt.in</t>
  </si>
  <si>
    <t>Virya Mobility; viryamobility.com</t>
  </si>
  <si>
    <t>Arun Gupta
Devarajan Mohan
Chandravir Saran Das
Mohan Swarup Bhatnagar
Shwetank Jain
Ashish Mehta
Rajan Srikanth
Prajeen Prabhakaran
Sankaranarayanan Parameswaran
Ravichandran Sargunaraj
Sukruth Pillarisetti
Vishnu Karthik
Vivek Agrawal
Sisira Pillarisetti
Megha Chawla
Venkata Nori</t>
  </si>
  <si>
    <t>Arun Gupta
Devarajan Mohan
Chandravir Saran Das
Mohan Swarup Bhatnagar
Shwetank Jain
Ravichandran Sargunaraj</t>
  </si>
  <si>
    <t>Autonomous electric tractor</t>
  </si>
  <si>
    <t>Crop Tech &gt; Tractor Solutions &gt; Electric Tractors &gt; Autonomous
Climate Tech &gt; Crop Tech &gt; Tractor Solutions &gt; Electric Tractors &gt; Autonomous
Enterprise Tech - India &gt; Crop Tech &gt; Tractor Solutions &gt; Electric Tractors &gt; Autonomous
Autonomous Vehicles &gt; Self Driving Technology &gt; Off Highway Vehicles &gt; OEMs &gt; Agriculture
Enterprise Tech - India &gt; Autonomous Vehicles &gt; Self Driving Technology &gt; Off Highway Vehicles &gt; OEMs &gt; Agriculture
Off Highway Vehicles Tech &gt; Autonomous Vehicles &gt; Agriculture
Enterprise Tech - India &gt; Off Highway Vehicles Tech &gt; Autonomous Vehicles &gt; Agriculture
Electric Vehicles &gt; Automaker &gt; Off Highway Vehicles &gt; Tractors
Climate Tech &gt; Electric Vehicles &gt; Automaker &gt; Off Highway Vehicles &gt; Tractors
Enterprise Tech - India &gt; Electric Vehicles &gt; Automaker &gt; Off Highway Vehicles &gt; Tractors</t>
  </si>
  <si>
    <t>Seedstars; seedstars.com
GSMA; gsma.com</t>
  </si>
  <si>
    <t>EnerGaia</t>
  </si>
  <si>
    <t>energaia.com</t>
  </si>
  <si>
    <t>500 TukTuks; 500tuktuks.com</t>
  </si>
  <si>
    <t>500 TukTuks</t>
  </si>
  <si>
    <t>Bangkok, Bangkok, Thailand</t>
  </si>
  <si>
    <t>Producer of spirulina through algae cultivated in urban spaces</t>
  </si>
  <si>
    <t>Aquaculture Tech &gt; Aquatic Plants &gt; Algae &gt; Bioreactors &gt; Business Focused
Climate Tech &gt; Aquaculture Tech &gt; Aquatic Plants &gt; Algae &gt; Bioreactors &gt; Business Focused</t>
  </si>
  <si>
    <t>Accel; accel.com
Syngenta Ventures; syngentaventures.com
Neoplux; neoplux.co.kr
Mistletoe; mistletoe.co
Qualcomm Ventures; qualcommventures.com
Trifecta Capital; trifectacapital.in
HR Capital; hrcapital.in</t>
  </si>
  <si>
    <t>Joe Hirao
Rohini Nilekani
Nandan Mohan Nilekani</t>
  </si>
  <si>
    <t>Accel
Syngenta Ventures</t>
  </si>
  <si>
    <t>The Rainmaker Group; therainmaker.in</t>
  </si>
  <si>
    <t>Kaushal Kumar Agarwal</t>
  </si>
  <si>
    <t>Accel</t>
  </si>
  <si>
    <t>Series D</t>
  </si>
  <si>
    <t>Nichirei; nichirei.co.jp
3one4 Capital; 3one4capital.com
Bertelsmann India Investments; biifund.com
UCLA Foundation; uclafoundation.org
Sistema; sistema.com
Vertex Ventures; vertexventures.sg</t>
  </si>
  <si>
    <t>Nichirei</t>
  </si>
  <si>
    <t>Nilebot</t>
  </si>
  <si>
    <t>nilebot.com</t>
  </si>
  <si>
    <t>UNICEF Innovation Fund; unicefinnovationfund.org</t>
  </si>
  <si>
    <t>Water quality monitoring system for aquaculture</t>
  </si>
  <si>
    <t>IoT Applications &gt; Industry Specific &gt; Agriculture &gt; Aquaculture
Enterprise Tech - MENA &gt; IoT Applications &gt; Industry Specific &gt; Agriculture &gt; Aquaculture
Enterprise Tech - Africa &gt; IoT Applications &gt; Industry Specific &gt; Agriculture &gt; Aquaculture
HiTech - MENA &gt; IoT Applications &gt; Industry Specific &gt; Agriculture &gt; Aquaculture
IoT in Agriculture &gt; IoT Applications &gt; Industry Specific &gt; Agriculture &gt; Aquaculture
Aquaculture Tech &gt; Farm Monitoring &gt; Fishes &gt; Water Quality
Enterprise Tech - MENA &gt; Aquaculture Tech &gt; Farm Monitoring &gt; Fishes &gt; Water Quality
Enterprise Tech - Africa &gt; Aquaculture Tech &gt; Farm Monitoring &gt; Fishes &gt; Water Quality
IoT in Agriculture &gt; Aquaculture Tech &gt; Farm Monitoring &gt; Fishes &gt; Water Quality
Water and Wastewater Management Tech &gt; Smart Irrigation &gt; Farming &gt; Aquaculture Water Monitoring
Enterprise Tech - Africa &gt; Water and Wastewater Management Tech &gt; Smart Irrigation &gt; Farming &gt; Aquaculture Water Monitoring
Enterprise Tech - MENA &gt; Water and Wastewater Management Tech &gt; Smart Irrigation &gt; Farming &gt; Aquaculture Water Monitoring
Smart Irrigation &gt; Water and Wastewater Management Tech &gt; Smart Irrigation &gt; Farming &gt; Aquaculture Water Monitoring
IoT in Agriculture &gt; Water and Wastewater Management Tech &gt; Smart Irrigation &gt; Farming &gt; Aquaculture Water Monitoring</t>
  </si>
  <si>
    <t>Kehuiseed</t>
  </si>
  <si>
    <t>kehuiseed.com</t>
  </si>
  <si>
    <t>Talent Capital; tccapital.cn</t>
  </si>
  <si>
    <t>Sanming, Fujian, China</t>
  </si>
  <si>
    <t>Producer of hybrid seeds</t>
  </si>
  <si>
    <t>Eirene Solutions</t>
  </si>
  <si>
    <t>eirenesolutions.com</t>
  </si>
  <si>
    <t>techtools ventures; techtools.vc</t>
  </si>
  <si>
    <t>techtools ventures</t>
  </si>
  <si>
    <t>Porto Alegre, Estado Do Rio Grande Do Sul, Brazil</t>
  </si>
  <si>
    <t>Autonomous vehicles for agriculture</t>
  </si>
  <si>
    <t>Off Highway Vehicles Tech &gt; Autonomous Vehicles &gt; Agriculture
Enterprise Tech - Brazil &gt; Off Highway Vehicles Tech &gt; Autonomous Vehicles &gt; Agriculture
Enterprise Tech - Latam &gt; Off Highway Vehicles Tech &gt; Autonomous Vehicles &gt; Agriculture
Crop Tech &gt; Autonomous Farming &gt; Diversified
Enterprise Tech - Latam &gt; Crop Tech &gt; Autonomous Farming &gt; Diversified
Enterprise Tech - Brazil &gt; Crop Tech &gt; Autonomous Farming &gt; Diversified
Autonomous Farming &gt; Crop Tech &gt; Autonomous Farming &gt; Diversified</t>
  </si>
  <si>
    <t>Fundacion Chile; fch.cl</t>
  </si>
  <si>
    <t>CropIn</t>
  </si>
  <si>
    <t>cropin.com</t>
  </si>
  <si>
    <t>Chiratae Ventures; chiratae.com
Bill &amp; Melinda Gates Foundation; gatesfoundation.org
Alteria Capital; alteriacapital.com</t>
  </si>
  <si>
    <t>Chiratae Ventures
Bill &amp; Melinda Gates Foundation</t>
  </si>
  <si>
    <t>Provider of saas-based farming solutions to agribusinesses</t>
  </si>
  <si>
    <t>Crop Tech &gt; Farm Management Software &gt; Diversified
AI in Agriculture &gt; Crop Tech &gt; Farm Management Software &gt; Diversified
Artificial Intelligence - India &gt; Crop Tech &gt; Farm Management Software &gt; Diversified
Artificial Intelligence &gt; Crop Tech &gt; Farm Management Software &gt; Diversified
SaaS &gt; Crop Tech &gt; Farm Management Software &gt; Diversified
SaaS - India &gt; Crop Tech &gt; Farm Management Software &gt; Diversified
Enterprise Tech - India &gt; Crop Tech &gt; Farm Management Software &gt; Diversified
Farm Management Software &gt; Crop Tech &gt; Farm Management Software &gt; Diversified
Cognitive Computing &gt; Applications &gt; Agriculture &gt; Farm Monitoring
HiTech - India &gt; Cognitive Computing &gt; Applications &gt; Agriculture &gt; Farm Monitoring
Artificial Intelligence - India &gt; Cognitive Computing &gt; Applications &gt; Agriculture &gt; Farm Monitoring
Artificial Intelligence &gt; Cognitive Computing &gt; Applications &gt; Agriculture &gt; Farm Monitoring
SaaS &gt; Cognitive Computing &gt; Applications &gt; Agriculture &gt; Farm Monitoring
SaaS - India &gt; Cognitive Computing &gt; Applications &gt; Agriculture &gt; Farm Monitoring
Enterprise Tech - India &gt; Cognitive Computing &gt; Applications &gt; Agriculture &gt; Farm Monitoring</t>
  </si>
  <si>
    <t>International Finance Corporation; ifc.org
TLcom Capital Partners; tlcomcapital.com
DOB Equity; dobequity.nl
Wamda Capital; wamdacapital.com
GAFSP; gafspfund.org
Omidyar Network; omidyar.com
Uqalo; uqalo.com
Blue Haven Initiative; bluehaveninitiative.com
AHL Venture Partners; ahlventurepartners.com
AlphaMundi; alphamundi.ch
1776 Ventures; 1776.ventures</t>
  </si>
  <si>
    <t>Adolph H Lundin</t>
  </si>
  <si>
    <t>International Finance Corporation
TLcom Capital Partners
Wamda Capital</t>
  </si>
  <si>
    <t>Aqua Spark; aqua-spark.nl
Wavemaker Partners; wavemaker.vc
Maloekoe Ventures; maloekoeventures.com
Social Capital; socialcapital.com
Unreasonable Capital; unreasonablecapital.com
Triputra Group; triputra-group.com
500 Durians; durians.500.co</t>
  </si>
  <si>
    <t>Aqua Spark
Wavemaker Partners
Maloekoe Ventures
Social Capital
Unreasonable Capital
Triputra Group
500 Durians</t>
  </si>
  <si>
    <t>Suzhou Blake Agricultural Big Data</t>
  </si>
  <si>
    <t>chinabric.com</t>
  </si>
  <si>
    <t>Chang Ce Investment; ccinv.cn</t>
  </si>
  <si>
    <t>Suzhou, Jiangsu Sheng, China</t>
  </si>
  <si>
    <t>Provider of big data solutions for agricultural sector</t>
  </si>
  <si>
    <t>Crop Tech &gt; Content Platforms &gt; Data as a Service &gt; Farm Data Platform
Enterprise Tech - China &gt; Crop Tech &gt; Content Platforms &gt; Data as a Service &gt; Farm Data Platform</t>
  </si>
  <si>
    <t>Cowtribe</t>
  </si>
  <si>
    <t>cowtribe.com</t>
  </si>
  <si>
    <t>Draper Richards Kaplan Foundation; drkfoundation.org</t>
  </si>
  <si>
    <t>Tamale, Northern Region, Ghana</t>
  </si>
  <si>
    <t>Provider of medical assistance to farmers for management of cattle health</t>
  </si>
  <si>
    <t>Livestock Tech &gt; Health Management &gt; Vet Care Services
Consumer Digital - Africa &gt; Livestock Tech &gt; Health Management &gt; Vet Care Services</t>
  </si>
  <si>
    <t>Nuup</t>
  </si>
  <si>
    <t>nuup.co</t>
  </si>
  <si>
    <t>Juarez, Campeche, Mexico</t>
  </si>
  <si>
    <t>Online agriculture information platform</t>
  </si>
  <si>
    <t>Crop Tech &gt; Content Platforms &gt; Farming Advice &gt; Expert Advisors
Enterprise Tech - Latam &gt; Crop Tech &gt; Content Platforms &gt; Farming Advice &gt; Expert Advisors
Columbia University &gt; Crop Tech &gt; Content Platforms &gt; Farming Advice &gt; Expert Advisors
Goldman Sachs &gt; Crop Tech &gt; Content Platforms &gt; Farming Advice &gt; Expert Advisors
MassChallenge Batches &gt; Mexico &gt; 2018 &gt; Gold
Enterprise Tech - Latam &gt; MassChallenge Batches &gt; Mexico &gt; 2018 &gt; Gold
Columbia University &gt; MassChallenge Batches &gt; Mexico &gt; 2018 &gt; Gold
Goldman Sachs &gt; MassChallenge Batches &gt; Mexico &gt; 2018 &gt; Gold</t>
  </si>
  <si>
    <t>Finistere Ventures; finistere.com
OurCrowd; ourcrowd.com
Nutrien; nutrien.com
Cavallo Ventures; cavallovc.com
Sumitomo; sumitomocorp.com
Vertex Ventures Israel; vertexventures.co.il
Viola Ventures; https://www.viola-group.com/fund/violaventures
Mindset Ventures; mindset.ventures</t>
  </si>
  <si>
    <t>Eyal Gura
Gal Yarden</t>
  </si>
  <si>
    <t>Viola Ventures</t>
  </si>
  <si>
    <t>Kwidex</t>
  </si>
  <si>
    <t>kwidex.com</t>
  </si>
  <si>
    <t>MEST; meltwater.org</t>
  </si>
  <si>
    <t>MEST</t>
  </si>
  <si>
    <t>Online crowdfunding platform for agribusinesses</t>
  </si>
  <si>
    <t>Crop Tech &gt; Finance &gt; Crowdfunding
Enterprise Tech - Africa &gt; Crop Tech &gt; Finance &gt; Crowdfunding
Crowdfunding &gt; Revenue Sharing &gt; Agriculture
Enterprise Tech - Africa &gt; Crowdfunding &gt; Revenue Sharing &gt; Agriculture
FinTech - Africa &gt; Crowdfunding &gt; Revenue Sharing &gt; Agriculture
Agri FinTech &gt; Crowdfunding &gt; Revenue Sharing &gt; Agriculture</t>
  </si>
  <si>
    <t>TechShelta</t>
  </si>
  <si>
    <t>techshelta.com</t>
  </si>
  <si>
    <t>Kosmos Innovation Center; kosmosinnovationcenter.com</t>
  </si>
  <si>
    <t>Kosmos Innovation Center</t>
  </si>
  <si>
    <t>Tech-enabled agronomic consulting services provider</t>
  </si>
  <si>
    <t>Crop Tech &gt; Content Platforms &gt; Data as a Service &gt; Farm Data Platform
Enterprise Tech - Africa &gt; Crop Tech &gt; Content Platforms &gt; Data as a Service &gt; Farm Data Platform</t>
  </si>
  <si>
    <t>BaySeddo</t>
  </si>
  <si>
    <t>bayseddo.com</t>
  </si>
  <si>
    <t>der.sn</t>
  </si>
  <si>
    <t>Dakar, Dakar, Senegal</t>
  </si>
  <si>
    <t>Crowdfunding &gt; Equity &gt; Agriculture
Enterprise Tech - Africa &gt; Crowdfunding &gt; Equity &gt; Agriculture
FinTech - Africa &gt; Crowdfunding &gt; Equity &gt; Agriculture
Consumer Digital - Africa &gt; Crowdfunding &gt; Equity &gt; Agriculture
Equity Crowdfunding &gt; Crowdfunding &gt; Equity &gt; Agriculture
Agri FinTech &gt; Crowdfunding &gt; Equity &gt; Agriculture
Crop Tech &gt; Finance &gt; Crowdfunding
Enterprise Tech - Africa &gt; Crop Tech &gt; Finance &gt; Crowdfunding
Consumer Digital - Africa &gt; Crop Tech &gt; Finance &gt; Crowdfunding
Alternative Lending &gt; Online Lenders &gt; Consumer Loans &gt; Farm Loans &gt; Marketplace
FinTech - Africa &gt; Alternative Lending &gt; Online Lenders &gt; Consumer Loans &gt; Farm Loans &gt; Marketplace
Agri FinTech &gt; Alternative Lending &gt; Online Lenders &gt; Consumer Loans &gt; Farm Loans &gt; Marketplace
Enterprise Tech - Africa &gt; Alternative Lending &gt; Online Lenders &gt; Consumer Loans &gt; Farm Loans &gt; Marketplace
Consumer Digital - Africa &gt; Alternative Lending &gt; Online Lenders &gt; Consumer Loans &gt; Farm Loans &gt; Marketplace
Internet First Lenders &gt; Alternative Lending &gt; Online Lenders &gt; Consumer Loans &gt; Farm Loans &gt; Marketplace
Investment Tech &gt; Alternative Investment Platforms &gt; Equity Crowdfunding &gt; Agriculture
Enterprise Tech - Africa &gt; Investment Tech &gt; Alternative Investment Platforms &gt; Equity Crowdfunding &gt; Agriculture
FinTech - Africa &gt; Investment Tech &gt; Alternative Investment Platforms &gt; Equity Crowdfunding &gt; Agriculture
Consumer Digital - Africa &gt; Investment Tech &gt; Alternative Investment Platforms &gt; Equity Crowdfunding &gt; Agriculture
Agri FinTech &gt; Investment Tech &gt; Alternative Investment Platforms &gt; Equity Crowdfunding &gt; Agriculture</t>
  </si>
  <si>
    <t>AngelList; angel.co
Tracxn Labs; tracxnlabs.com</t>
  </si>
  <si>
    <t>Atul Kumar
Amarkant Kumar
Rahul Sharma
Ridhima Gupta
Kaushik Raghunandan
Amit Bagadia
Mudit Gupta
Ashok Kumar Malviya
Praful Puranik
Abhijit Pratap Singh
Bipul Karnani
Manik Singhal
Prashant Jha
Pushakar Singh
Abhishek Gupta
Ankit Parasher
Vishal Sharma
Sudarshan Ravi
Nayan Agarwal
Prateek Pujari
Narendra Sankar
Sunil Mishra</t>
  </si>
  <si>
    <t>AngelList
Narendra Sankar</t>
  </si>
  <si>
    <t>Mastercard Foundation; mastercardfdn.org</t>
  </si>
  <si>
    <t>Hoire</t>
  </si>
  <si>
    <t>hoire.cn</t>
  </si>
  <si>
    <t>Guangzhou, Guangdong, China</t>
  </si>
  <si>
    <t>Cloud-based agricultural monitoring platform</t>
  </si>
  <si>
    <t>Crop Tech &gt; Farm Management Software &gt; Diversified
SaaS - China &gt; Crop Tech &gt; Farm Management Software &gt; Diversified
SaaS &gt; Crop Tech &gt; Farm Management Software &gt; Diversified
Enterprise Tech - China &gt; Crop Tech &gt; Farm Management Software &gt; Diversified
Farm Management Software &gt; Crop Tech &gt; Farm Management Software &gt; Diversified</t>
  </si>
  <si>
    <t>FEC Chopsticks Technology</t>
  </si>
  <si>
    <t>fecnong.com</t>
  </si>
  <si>
    <t>Digital agriculture solutions provider</t>
  </si>
  <si>
    <t>Crop Tech &gt; Farm Management Software &gt; Diversified
Enterprise Tech - China &gt; Crop Tech &gt; Farm Management Software &gt; Diversified
Farm Management Software &gt; Crop Tech &gt; Farm Management Software &gt; Diversified</t>
  </si>
  <si>
    <t>Grameen Crédit Agricole Foundation; gca-foundation.org</t>
  </si>
  <si>
    <t>Siembro</t>
  </si>
  <si>
    <t>siembro.com</t>
  </si>
  <si>
    <t>Village Capital; vilcap.com</t>
  </si>
  <si>
    <t>Village Capital</t>
  </si>
  <si>
    <t>Rio Cuarto, Provincia De Cordoba, Argentina</t>
  </si>
  <si>
    <t>Online lenders for farm loans</t>
  </si>
  <si>
    <t>Alternative Lending &gt; Online Lenders &gt; Consumer Loans &gt; Farm Loans &gt; Marketplace
Consumer Digital - Latam &gt; Alternative Lending &gt; Online Lenders &gt; Consumer Loans &gt; Farm Loans &gt; Marketplace
FinTech - Latam &gt; Alternative Lending &gt; Online Lenders &gt; Consumer Loans &gt; Farm Loans &gt; Marketplace
Marketplaces &gt; Alternative Lending &gt; Online Lenders &gt; Consumer Loans &gt; Farm Loans &gt; Marketplace
Agri FinTech &gt; Alternative Lending &gt; Online Lenders &gt; Consumer Loans &gt; Farm Loans &gt; Marketplace
Internet First Lenders &gt; Alternative Lending &gt; Online Lenders &gt; Consumer Loans &gt; Farm Loans &gt; Marketplace</t>
  </si>
  <si>
    <t>Retigence; retigence.com</t>
  </si>
  <si>
    <t>Retigence</t>
  </si>
  <si>
    <t>Nativelead; nativelead.org
Artha India Ventures; artha.ventures
Manipal Group; manipalgroup.com
Indian Angel Network Fund; ian-fund.com</t>
  </si>
  <si>
    <t>Nagaraja Prakasam
P K Gopalakishnan
Murali V Sundaralingam
Jyoti Sagar
Anand Ladsariya
Neeraj Goenka
Rekha M Menon
Ajay Kaul
Raman Roy
Mohit Mutreja
Anurag Goel
Anuj Munot
Gun Nidhi Dalmia
Rajeev Sarda
Amit Gupta
Anirudh Bhagchandka
Sanjiv Bajaj
Nitin R Agrawal
Aman Chowdhury
Hashim Ayillath
Jayaram Govindarajan
K P Raveendran
Omsharravana
Subhash Babu
Manish Khera
Sibi Kurian
Shilen Sagunan
Abdul Salam
Vijayan S
Viral Mittal
Sriram Sankaran
Shravani Bagchi
K G Prithvi
Shemil Muhammad
Sidharth Pansari
S Madhu
Saheer Palakkodan
P Shabeerali
Manjappa Prem Kumar
Pooja Kumar</t>
  </si>
  <si>
    <t>Nagaraja Prakasam
P K Gopalakishnan
Murali V Sundaralingam
Jyoti Sagar
Anand Ladsariya
Neeraj Goenka
Rekha M Menon
Ajay Kaul
Raman Roy
Mohit Mutreja
Anurag Goel
Anuj Munot
Gun Nidhi Dalmia
Rajeev Sarda
Amit Gupta
Anirudh Bhagchandka
Sanjiv Bajaj
Nitin R Agrawal
Aman Chowdhury
Manish Khera
Sidharth Pansari</t>
  </si>
  <si>
    <t>Indian Angel Network; indianangelnetwork.com
Texport Industries; texportgarments.com
Sparrow Technologies; sparrowit.com
Nativelead; nativelead.org
Manipal Group; manipalgroup.com</t>
  </si>
  <si>
    <t>Crevisse; crevisse.com
STRIVE; strive.vc</t>
  </si>
  <si>
    <t>STRIVE</t>
  </si>
  <si>
    <t>UPL</t>
  </si>
  <si>
    <t>upl-ltd.com</t>
  </si>
  <si>
    <t>Producer and supplier of farm inputs</t>
  </si>
  <si>
    <t>Series F</t>
  </si>
  <si>
    <t>Meicai</t>
  </si>
  <si>
    <t>meicai.cn</t>
  </si>
  <si>
    <t>Hillhouse Capital Group; hillhousecap.com
Tiger Global Management; tigerglobal.com</t>
  </si>
  <si>
    <t>Hillhouse Capital Group
Tiger Global Management</t>
  </si>
  <si>
    <t>Online B2B platform offering multi-category farm products</t>
  </si>
  <si>
    <t>B2B E-Commerce &gt; Food &amp; Beverages &gt; Groceries &gt; Farm Products &gt; E-Distributor
Enterprise Tech - China &gt; B2B E-Commerce &gt; Food &amp; Beverages &gt; Groceries &gt; Farm Products &gt; E-Distributor
Crop Tech &gt; ECommerce &gt; Farm Produce &gt; B2B &gt; Fruits and Vegetables &gt; E Distributor
Enterprise Tech - China &gt; Crop Tech &gt; ECommerce &gt; Farm Produce &gt; B2B &gt; Fruits and Vegetables &gt; E Distributor
Online Grocery &gt; B2B Ecommerce &gt; Farm Produce &gt; Multi-Category &gt; E-Distributor
Enterprise Tech - China &gt; Online Grocery &gt; B2B Ecommerce &gt; Farm Produce &gt; Multi-Category &gt; E-Distributor
B2B Farm Produce E-Commerce &gt; Online Grocery &gt; B2B Ecommerce &gt; Farm Produce &gt; Multi-Category &gt; E-Distributor</t>
  </si>
  <si>
    <t>AgriBuddy</t>
  </si>
  <si>
    <t>agribuddy.com</t>
  </si>
  <si>
    <t>Mistletoe; mistletoe.co
Smart Axiata Digital Innovation Fund; sadif.com.kh
forteinsurance.com
The Index Project; designtoimprovelife.dk</t>
  </si>
  <si>
    <t>Kazuma Ieiri
Keisuke Honda
Masakuni Matsumura</t>
  </si>
  <si>
    <t>Mistletoe
Smart Axiata Digital Innovation Fund
The Index Project</t>
  </si>
  <si>
    <t>Cloud-based software solution for data recording and agronomy information</t>
  </si>
  <si>
    <t>Crop Tech &gt; Content Platforms &gt; Farming Advice &gt; Expert Advisors
Enterprise Tech - China &gt; Crop Tech &gt; Content Platforms &gt; Farming Advice &gt; Expert Advisors
SaaS &gt; Crop Tech &gt; Content Platforms &gt; Farming Advice &gt; Expert Advisors
SaaS - China &gt; Crop Tech &gt; Content Platforms &gt; Farming Advice &gt; Expert Advisors</t>
  </si>
  <si>
    <t>Sheyuan</t>
  </si>
  <si>
    <t>sheyuan.com</t>
  </si>
  <si>
    <t>GX Capital; gxcapital.com.cn</t>
  </si>
  <si>
    <t>Haidian, Beijing Shi, China</t>
  </si>
  <si>
    <t>Online B2B platform to trade agriculture products</t>
  </si>
  <si>
    <t>Crop Tech &gt; ECommerce &gt; Diversified &gt; Marketplace
Enterprise Tech - China &gt; Crop Tech &gt; ECommerce &gt; Diversified &gt; Marketplace</t>
  </si>
  <si>
    <t>Bertelsmann India Investments; biifund.com
Mayfield; mayfield.com
3one4 Capital; 3one4capital.com
Innoven Capital; innovencapital.com
UCLA Foundation; uclafoundation.org
Sistema; sistema.com
Vertex Ventures; vertexventures.sg</t>
  </si>
  <si>
    <t>Mayur Mukundbhai Desai</t>
  </si>
  <si>
    <t>Bertelsmann India Investments
Vertex Ventures</t>
  </si>
  <si>
    <t>snrlaw.in
Rajaram Legal; rajaramlegal.com
Investec; investec.com</t>
  </si>
  <si>
    <t>GIRA</t>
  </si>
  <si>
    <t>gira.com.br</t>
  </si>
  <si>
    <t>Cedro Capital; cedrocapital.com</t>
  </si>
  <si>
    <t>Develops and offers agriculture receivables management system</t>
  </si>
  <si>
    <t>Field Force Automation &gt; Agricultural industry
Enterprise Tech - Latam &gt; Field Force Automation &gt; Agricultural industry
Enterprise Tech - Brazil &gt; Field Force Automation &gt; Agricultural industry
Crop Tech &gt; Farm Management Software &gt; Diversified
Enterprise Tech - Brazil &gt; Crop Tech &gt; Farm Management Software &gt; Diversified
Enterprise Tech - Latam &gt; Crop Tech &gt; Farm Management Software &gt; Diversified
Farm Management Software &gt; Crop Tech &gt; Farm Management Software &gt; Diversified</t>
  </si>
  <si>
    <t>innovation.kaust.edu.sa</t>
  </si>
  <si>
    <t>Cannabics Pharmaceuticals; cannabics.com</t>
  </si>
  <si>
    <t>Cannabics Pharmaceuticals</t>
  </si>
  <si>
    <t>Agriness</t>
  </si>
  <si>
    <t>agriness.com</t>
  </si>
  <si>
    <t>Cargill; cargill.com</t>
  </si>
  <si>
    <t>Florianopolis, Estado De Santa Catarina, Brazil</t>
  </si>
  <si>
    <t>Develops and offers a swine farm managemnet system</t>
  </si>
  <si>
    <t>Livestock Tech &gt; Livestock Management Software
Enterprise Tech - Latam &gt; Livestock Tech &gt; Livestock Management Software
Enterprise Tech - Brazil &gt; Livestock Tech &gt; Livestock Management Software</t>
  </si>
  <si>
    <t>Freshboxx</t>
  </si>
  <si>
    <t>freshboxx.in</t>
  </si>
  <si>
    <t>Hubli, Karnataka, India</t>
  </si>
  <si>
    <t>E-distributor of grocery products</t>
  </si>
  <si>
    <t>Online Grocery &gt; B2C Ecommerce &gt; Multi Category &gt; Retailer &gt; Outsourced Delivery
Consumer Digital - India &gt; Online Grocery &gt; B2C Ecommerce &gt; Multi Category &gt; Retailer &gt; Outsourced Delivery
B2C Grocery Delivery &gt; Online Grocery &gt; B2C Ecommerce &gt; Multi Category &gt; Retailer &gt; Outsourced Delivery
B2C E-Commerce &gt; Online Grocery &gt; B2C Ecommerce &gt; Multi Category &gt; Retailer &gt; Outsourced Delivery
Crop Tech &gt; ECommerce &gt; Farm Produce &gt; B2C &gt; Fruits and Vegetables &gt; Retailer
Consumer Digital - India &gt; Crop Tech &gt; ECommerce &gt; Farm Produce &gt; B2C &gt; Fruits and Vegetables &gt; Retailer</t>
  </si>
  <si>
    <t>LifySignals</t>
  </si>
  <si>
    <t>lifysignals.in</t>
  </si>
  <si>
    <t>Provider of smart water metering solutions</t>
  </si>
  <si>
    <t>IoT Applications &gt; Industry Specific &gt; Real Estate and Construction &gt; Real Estate
IoT in Agriculture &gt; IoT Applications &gt; Industry Specific &gt; Real Estate and Construction &gt; Real Estate
HiTech - India &gt; IoT Applications &gt; Industry Specific &gt; Real Estate and Construction &gt; Real Estate
Enterprise Tech - India &gt; IoT Applications &gt; Industry Specific &gt; Real Estate and Construction &gt; Real Estate
Crop Tech &gt; Farm Management Software &gt; Irrigation Management &gt; Water Management
IoT in Agriculture &gt; Crop Tech &gt; Farm Management Software &gt; Irrigation Management &gt; Water Management
Enterprise Tech - India &gt; Crop Tech &gt; Farm Management Software &gt; Irrigation Management &gt; Water Management
Farm Management Software &gt; Crop Tech &gt; Farm Management Software &gt; Irrigation Management &gt; Water Management</t>
  </si>
  <si>
    <t>FreshSource</t>
  </si>
  <si>
    <t>freshsourceglobal.com</t>
  </si>
  <si>
    <t>HIMangel; himangel.com</t>
  </si>
  <si>
    <t>Online B2B platform for horticulture products</t>
  </si>
  <si>
    <t>B2B E-Commerce &gt; Food &amp; Beverages &gt; Groceries &gt; Farm Products &gt; Marketplace
Enterprise Tech - MENA &gt; B2B E-Commerce &gt; Food &amp; Beverages &gt; Groceries &gt; Farm Products &gt; Marketplace
Marketplaces &gt; B2B E-Commerce &gt; Food &amp; Beverages &gt; Groceries &gt; Farm Products &gt; Marketplace
Enterprise Tech - Africa &gt; B2B E-Commerce &gt; Food &amp; Beverages &gt; Groceries &gt; Farm Products &gt; Marketplace
Goldman Sachs &gt; B2B E-Commerce &gt; Food &amp; Beverages &gt; Groceries &gt; Farm Products &gt; Marketplace
Crop Tech &gt; ECommerce &gt; Farm Produce &gt; B2B &gt; Fruits and Vegetables &gt; Marketplace
Enterprise Tech - MENA &gt; Crop Tech &gt; ECommerce &gt; Farm Produce &gt; B2B &gt; Fruits and Vegetables &gt; Marketplace
Marketplaces &gt; Crop Tech &gt; ECommerce &gt; Farm Produce &gt; B2B &gt; Fruits and Vegetables &gt; Marketplace
Enterprise Tech - Africa &gt; Crop Tech &gt; ECommerce &gt; Farm Produce &gt; B2B &gt; Fruits and Vegetables &gt; Marketplace
Goldman Sachs &gt; Crop Tech &gt; ECommerce &gt; Farm Produce &gt; B2B &gt; Fruits and Vegetables &gt; Marketplace
Online Grocery &gt; B2B Ecommerce &gt; Farm Produce &gt; Fruits and Vegetables &gt; Marketplace
Enterprise Tech - Africa &gt; Online Grocery &gt; B2B Ecommerce &gt; Farm Produce &gt; Fruits and Vegetables &gt; Marketplace
Enterprise Tech - MENA &gt; Online Grocery &gt; B2B Ecommerce &gt; Farm Produce &gt; Fruits and Vegetables &gt; Marketplace
Marketplaces &gt; Online Grocery &gt; B2B Ecommerce &gt; Farm Produce &gt; Fruits and Vegetables &gt; Marketplace
B2B Farm Produce E-Commerce &gt; Online Grocery &gt; B2B Ecommerce &gt; Farm Produce &gt; Fruits and Vegetables &gt; Marketplace
Goldman Sachs &gt; Online Grocery &gt; B2B Ecommerce &gt; Farm Produce &gt; Fruits and Vegetables &gt; Marketplace</t>
  </si>
  <si>
    <t>Zuzi</t>
  </si>
  <si>
    <t>zuzitech.com</t>
  </si>
  <si>
    <t>Home LED ligting and indoor agriculture kits</t>
  </si>
  <si>
    <t>Crop Tech &gt; Farm Equipment &gt; Grow Lights &gt; LED
Enterprise Tech - China &gt; Crop Tech &gt; Farm Equipment &gt; Grow Lights &gt; LED
Climate Tech &gt; Crop Tech &gt; Farm Equipment &gt; Grow Lights &gt; LED
Consumer Digital - China &gt; Crop Tech &gt; Farm Equipment &gt; Grow Lights &gt; LED
Energy Efficiency Tech &gt; Lighting Products &gt; LED &gt; Smart Lights &gt; Commercial &gt; Agriculture
Smart Agriculture LED Lights &gt; Energy Efficiency &gt; Lighting Products &gt; LED &gt; Smart Lights &gt; Commercial &gt; Agriculture
Smart LED Lights &gt; Energy Efficiency &gt; Lighting Products &gt; LED &gt; Smart Lights &gt; Commercial &gt; Agriculture
Consumer Digital - China &gt; Energy Efficiency &gt; Lighting Products &gt; LED &gt; Smart Lights &gt; Commercial &gt; Agriculture
Enterprise Tech - China &gt; Energy Efficiency &gt; Lighting Products &gt; LED &gt; Smart Lights &gt; Commercial &gt; Agriculture
Climate Tech &gt; Energy Efficiency &gt; Lighting Products &gt; LED &gt; Smart Lights &gt; Commercial &gt; Agriculture</t>
  </si>
  <si>
    <t>Ankur Capital; ankurcapital.com</t>
  </si>
  <si>
    <t>Ankur Capital</t>
  </si>
  <si>
    <t>Hatch Blue; hatch.blue</t>
  </si>
  <si>
    <t>Hatch Blue</t>
  </si>
  <si>
    <t>Nongtaowang</t>
  </si>
  <si>
    <t>nongtaowang.com</t>
  </si>
  <si>
    <t>Shanghai Bingcheng Equity Investment Management Co; beyondcapital.cn
Central China Securities; ccnew.com</t>
  </si>
  <si>
    <t>Zhengzhou, Henan Sheng, China</t>
  </si>
  <si>
    <t>Online marketplace for all the agricultural input products</t>
  </si>
  <si>
    <t>Crop Tech &gt; ECommerce &gt; Farm Inputs &gt; Multi Category &gt; Marketplace
Enterprise Tech - China &gt; Crop Tech &gt; ECommerce &gt; Farm Inputs &gt; Multi Category &gt; Marketplace
Marketplaces &gt; Crop Tech &gt; ECommerce &gt; Farm Inputs &gt; Multi Category &gt; Marketplace
Farm Inputs E-Commerce &gt; Crop Tech &gt; ECommerce &gt; Farm Inputs &gt; Multi Category &gt; Marketplace</t>
  </si>
  <si>
    <t>Seven Kilometers</t>
  </si>
  <si>
    <t>7gongli.com.cn</t>
  </si>
  <si>
    <t>XinJiang Huier Agriculture Group; xjher.com</t>
  </si>
  <si>
    <t>Xian, Shaanxi, China</t>
  </si>
  <si>
    <t>Online B2B platform for farm produce marketing and warehousing</t>
  </si>
  <si>
    <t>Crop Tech &gt; ECommerce &gt; Farm Produce &gt; B2B &gt; Fruits and Vegetables &gt; Marketplace
Enterprise Tech - China &gt; Crop Tech &gt; ECommerce &gt; Farm Produce &gt; B2B &gt; Fruits and Vegetables &gt; Marketplace
Marketplaces &gt; Crop Tech &gt; ECommerce &gt; Farm Produce &gt; B2B &gt; Fruits and Vegetables &gt; Marketplace
B2B E-Commerce &gt; Agriculture &gt; Marketplace
Enterprise Tech - China &gt; B2B E-Commerce &gt; Agriculture &gt; Marketplace
Marketplaces &gt; B2B E-Commerce &gt; Agriculture &gt; Marketplace</t>
  </si>
  <si>
    <t>Matrix Partners China; matrixpartners.com.cn
China Growth Capital; chinagrowthcapital.com</t>
  </si>
  <si>
    <t>Botanical Solutions</t>
  </si>
  <si>
    <t>botanicalsolutions.cl</t>
  </si>
  <si>
    <t>Ganeshalab; ganeshalab.com</t>
  </si>
  <si>
    <t>Ganeshalab</t>
  </si>
  <si>
    <t>Vitacura, Santiago Metropolitan, Chile</t>
  </si>
  <si>
    <t>Manufacturer and supplier of biopesticide</t>
  </si>
  <si>
    <t>Crop Tech &gt; Farm Inputs &gt; Biologicals &gt; Crop Protection &gt; Microbes
Climate Tech &gt; Crop Tech &gt; Farm Inputs &gt; Biologicals &gt; Crop Protection &gt; Microbes
Enterprise Tech - Latam &gt; Crop Tech &gt; Farm Inputs &gt; Biologicals &gt; Crop Protection &gt; Microbes
Crop Biologicals &gt; Crop Tech &gt; Farm Inputs &gt; Biologicals &gt; Crop Protection &gt; Microbes
Chemicals Tech &gt; Green Chemicals &gt; Crop Protection &gt; Microbes
Enterprise Tech - Latam &gt; Chemicals Tech &gt; Green Chemicals &gt; Crop Protection &gt; Microbes</t>
  </si>
  <si>
    <t>Agricx</t>
  </si>
  <si>
    <t>agricx.com</t>
  </si>
  <si>
    <t>Ankur Capital; ankurcapital.com
CIIE; ciie.co</t>
  </si>
  <si>
    <t>Pravin Gandhi</t>
  </si>
  <si>
    <t>Thane, Maharashtra, India</t>
  </si>
  <si>
    <t>Provider of AI-based stack solutions</t>
  </si>
  <si>
    <t>Crop Tech &gt; Post Harvest Management &gt; Quality Testing &gt; Fruits and Vegetables
SaaS &gt; Crop Tech &gt; Post Harvest Management &gt; Quality Testing &gt; Fruits and Vegetables
AI in Agriculture &gt; Crop Tech &gt; Post Harvest Management &gt; Quality Testing &gt; Fruits and Vegetables
Artificial Intelligence - India &gt; Crop Tech &gt; Post Harvest Management &gt; Quality Testing &gt; Fruits and Vegetables
SaaS - India &gt; Crop Tech &gt; Post Harvest Management &gt; Quality Testing &gt; Fruits and Vegetables
Artificial Intelligence &gt; Crop Tech &gt; Post Harvest Management &gt; Quality Testing &gt; Fruits and Vegetables
Cisco &gt; Crop Tech &gt; Post Harvest Management &gt; Quality Testing &gt; Fruits and Vegetables
Enterprise Tech - India &gt; Crop Tech &gt; Post Harvest Management &gt; Quality Testing &gt; Fruits and Vegetables
CIIE Batches &gt; 2018</t>
  </si>
  <si>
    <t>Prasad Seeds; prasadseeds.com
Indigram Labs; indigramlabs.org</t>
  </si>
  <si>
    <t>Manju Sri Mudholkar
Aparna Rakhra
Megha Raturi
Vatsal Gaur</t>
  </si>
  <si>
    <t>Prasad Seeds</t>
  </si>
  <si>
    <t>Weather Risk Management Services</t>
  </si>
  <si>
    <t>weather-risk.com</t>
  </si>
  <si>
    <t>UPL; upl-ltd.com</t>
  </si>
  <si>
    <t>Climate based risk management solutions.</t>
  </si>
  <si>
    <t>Crop Tech &gt; Farm Management Software &gt; Weather Forecasting
SaaS - India &gt; Crop Tech &gt; Farm Management Software &gt; Weather Forecasting
SaaS &gt; Crop Tech &gt; Farm Management Software &gt; Weather Forecasting
Enterprise Tech - India &gt; Crop Tech &gt; Farm Management Software &gt; Weather Forecasting
Farm Management Software &gt; Crop Tech &gt; Farm Management Software &gt; Weather Forecasting</t>
  </si>
  <si>
    <t>ColdHubs</t>
  </si>
  <si>
    <t>coldhubs.com</t>
  </si>
  <si>
    <t>Owerri, Imo State, Nigeria</t>
  </si>
  <si>
    <t>Solar powered cold storage</t>
  </si>
  <si>
    <t>Crop Tech &gt; Post Harvest Management &gt; Quality Control &gt; Fruits and Vegetables &gt; Solar Powered Cold Storage
Solar Energy &gt; Hardware Developer &gt; Balance of Systems &gt; Storage</t>
  </si>
  <si>
    <t>N-Drip</t>
  </si>
  <si>
    <t>ndrip.com</t>
  </si>
  <si>
    <t>Bridges Israel; bridgesisrael.com</t>
  </si>
  <si>
    <t>Bridges Israel</t>
  </si>
  <si>
    <t>Bnei Atarot, Central District, Israel</t>
  </si>
  <si>
    <t>Provider of micro irrigation solutions</t>
  </si>
  <si>
    <t>Crop Tech &gt; Autonomous Farming &gt; Irrigation
Enterprise Tech - MENA &gt; Crop Tech &gt; Autonomous Farming &gt; Irrigation
Enterprise Tech - Israel &gt; Crop Tech &gt; Autonomous Farming &gt; Irrigation
Autonomous Farming &gt; Crop Tech &gt; Autonomous Farming &gt; Irrigation</t>
  </si>
  <si>
    <t>Accel; accel.com
Mistletoe; mistletoe.co
HR Capital Partners; hrcapital.partners
Qualcomm Ventures; qualcommventures.com</t>
  </si>
  <si>
    <t>Rohini Nilekani
Nandan Mohan Nilekani</t>
  </si>
  <si>
    <t>Accel
HR Capital Partners</t>
  </si>
  <si>
    <t>Zimmer &amp; Co</t>
  </si>
  <si>
    <t>zimmerglobal.com</t>
  </si>
  <si>
    <t>Montego Bay, Parish Of Saint James, Jamaica</t>
  </si>
  <si>
    <t>Online distributor of hemp-based CBD products</t>
  </si>
  <si>
    <t>Crop Tech &gt; ECommerce &gt; Farm Produce &gt; B2B &gt; Cannabis &gt; E Distributor</t>
  </si>
  <si>
    <t>91haorou</t>
  </si>
  <si>
    <t>91haorou.com</t>
  </si>
  <si>
    <t>Harmonious Agriculture and Animal Development; hmken.com</t>
  </si>
  <si>
    <t>Hangzhou, Zhejiang Sheng, China</t>
  </si>
  <si>
    <t>Online meat trading platform</t>
  </si>
  <si>
    <t>Online Grocery &gt; B2B Ecommerce &gt; Farm Produce &gt; Meat and Seafood &gt; Marketplace
Enterprise Tech - China &gt; Online Grocery &gt; B2B Ecommerce &gt; Farm Produce &gt; Meat and Seafood &gt; Marketplace
Marketplaces &gt; Online Grocery &gt; B2B Ecommerce &gt; Farm Produce &gt; Meat and Seafood &gt; Marketplace
B2B Farm Produce E-Commerce &gt; Online Grocery &gt; B2B Ecommerce &gt; Farm Produce &gt; Meat and Seafood &gt; Marketplace
Livestock Tech &gt; ECommerce &gt; Farm Produce &gt; B2B &gt; Marketplace &gt; Meat
Enterprise Tech - China &gt; Livestock Tech &gt; ECommerce &gt; Farm Produce &gt; B2B &gt; Marketplace &gt; Meat
Marketplaces &gt; Livestock Tech &gt; ECommerce &gt; Farm Produce &gt; B2B &gt; Marketplace &gt; Meat
B2B E-Commerce &gt; Food &amp; Beverages &gt; Groceries &gt; Farm Products &gt; Marketplace
Enterprise Tech - China &gt; B2B E-Commerce &gt; Food &amp; Beverages &gt; Groceries &gt; Farm Products &gt; Marketplace
Marketplaces &gt; B2B E-Commerce &gt; Food &amp; Beverages &gt; Groceries &gt; Farm Products &gt; Marketplace</t>
  </si>
  <si>
    <t>LishaBora</t>
  </si>
  <si>
    <t>lishabora.com</t>
  </si>
  <si>
    <t>EWB Canada; ewb.ca</t>
  </si>
  <si>
    <t>EWB Canada</t>
  </si>
  <si>
    <t>Integrated company in organic fodder cultivation through hydroponics</t>
  </si>
  <si>
    <t>Livestock Tech &gt; Feeding &gt; Feed Production Systems &gt; Hydroponics
Enterprise Tech - Africa &gt; Livestock Tech &gt; Feeding &gt; Feed Production Systems &gt; Hydroponics
Consumer Digital - Africa &gt; Livestock Tech &gt; Feeding &gt; Feed Production Systems &gt; Hydroponics</t>
  </si>
  <si>
    <t>AHL Venture Partners; ahlventurepartners.com
Beyond Capital Fund; beyondcapitalfund.org
Global Partnerships; globalpartnerships.org</t>
  </si>
  <si>
    <t>AHL Venture Partners</t>
  </si>
  <si>
    <t>SunCulture</t>
  </si>
  <si>
    <t>sunculture.com</t>
  </si>
  <si>
    <t>EDF; edf.fr</t>
  </si>
  <si>
    <t>Develops and offers solar powered smart irrigation systems</t>
  </si>
  <si>
    <t>Renewable Energy Tech &gt; Solar Energy &gt; Applications &gt; Agriculture and Food &gt; Smart Water Pumps
Enterprise Tech - Africa &gt; Renewable Energy Tech &gt; Solar Energy &gt; Applications &gt; Agriculture and Food &gt; Smart Water Pumps
Climate Tech &gt; Renewable Energy Tech &gt; Solar Energy &gt; Applications &gt; Agriculture and Food &gt; Smart Water Pumps
Solar Energy Tech &gt; Renewable Energy Tech &gt; Solar Energy &gt; Applications &gt; Agriculture and Food &gt; Smart Water Pumps
Crop Tech &gt; Farm Equipment &gt; Smart Solar Water Pumps
Enterprise Tech - Africa &gt; Crop Tech &gt; Farm Equipment &gt; Smart Solar Water Pumps
Climate Tech &gt; Crop Tech &gt; Farm Equipment &gt; Smart Solar Water Pumps</t>
  </si>
  <si>
    <t>Song Xiaocai</t>
  </si>
  <si>
    <t>songxiaocai.com</t>
  </si>
  <si>
    <t>Huagai Capital; hgcapital.cn</t>
  </si>
  <si>
    <t>Online B2B platform offering farm products</t>
  </si>
  <si>
    <t>Index Capital; indexvc.com</t>
  </si>
  <si>
    <t>Fengshuihui</t>
  </si>
  <si>
    <t>5fengshou.com</t>
  </si>
  <si>
    <t>Jining, Shandong Sheng, China</t>
  </si>
  <si>
    <t>Online marketplace for agro products</t>
  </si>
  <si>
    <t>Crop Tech &gt; ECommerce &gt; Farm Produce &gt; B2C &gt; Fruits and Vegetables &gt; Marketplace
Consumer Digital - China &gt; Crop Tech &gt; ECommerce &gt; Farm Produce &gt; B2C &gt; Fruits and Vegetables &gt; Marketplace
Marketplaces &gt; Crop Tech &gt; ECommerce &gt; Farm Produce &gt; B2C &gt; Fruits and Vegetables &gt; Marketplace
Online Grocery &gt; B2C Ecommerce &gt; Multi Category &gt; Marketplace &gt; Own Delivery Fleet
Consumer Digital - China &gt; Online Grocery &gt; B2C Ecommerce &gt; Multi Category &gt; Marketplace &gt; Own Delivery Fleet
Marketplaces &gt; Online Grocery &gt; B2C Ecommerce &gt; Multi Category &gt; Marketplace &gt; Own Delivery Fleet
Gig Employers &gt; Online Grocery &gt; B2C Ecommerce &gt; Multi Category &gt; Marketplace &gt; Own Delivery Fleet
B2C Grocery Delivery &gt; Online Grocery &gt; B2C Ecommerce &gt; Multi Category &gt; Marketplace &gt; Own Delivery Fleet
B2C E-Commerce &gt; Online Grocery &gt; B2C Ecommerce &gt; Multi Category &gt; Marketplace &gt; Own Delivery Fleet</t>
  </si>
  <si>
    <t>Fibsol</t>
  </si>
  <si>
    <t>fibsol.com</t>
  </si>
  <si>
    <t>Kubos; kubos.biz</t>
  </si>
  <si>
    <t>Arun Jain
Ananthanarayanan Kumar
Anil Jain
Sriram Subramanya
Arihant Gothi
Mahesh Ramachandran
Prakash Katama
Narayanan Balakrishnan
Rajshree Natarajan
Sairam Jayaraman
Ravichandran Srinivasan
Gopal Srinivasan
K Sivaraman
VijayaLakshmi Rao
S V Krishnamurthy
Ramachandran Vishwanath
Seetharaman Sreedhar</t>
  </si>
  <si>
    <t>Eco-friendly products for agriculture and healthcare</t>
  </si>
  <si>
    <t>Genomics &gt; Applied Genomics &gt; Agrigenomics
Life Sciences - India &gt; Genomics &gt; Applied Genomics &gt; Agrigenomics
Enterprise Tech - India &gt; Genomics &gt; Applied Genomics &gt; Agrigenomics
Crop Tech &gt; Farm Inputs &gt; Biologicals &gt; Crop Nutrition &gt; BioChar
Climate Tech &gt; Crop Tech &gt; Farm Inputs &gt; Biologicals &gt; Crop Nutrition &gt; BioChar
Enterprise Tech - India &gt; Crop Tech &gt; Farm Inputs &gt; Biologicals &gt; Crop Nutrition &gt; BioChar
Crop Biologicals &gt; Crop Tech &gt; Farm Inputs &gt; Biologicals &gt; Crop Nutrition &gt; BioChar</t>
  </si>
  <si>
    <t>Nedbank; nedbank.co.za
AgFunder; agfunder.com
4Di Capital; 4dicapital.com
Savannah Fund; savannah.vc
AngelList; angel.co</t>
  </si>
  <si>
    <t>Lee Edwards
Justin Spratt
Joe Caruso</t>
  </si>
  <si>
    <t>Nedbank</t>
  </si>
  <si>
    <t>Rabobank; rabobank.com</t>
  </si>
  <si>
    <t>PlantArcBio</t>
  </si>
  <si>
    <t>plantarcbio.com</t>
  </si>
  <si>
    <t>Israel Innovation Authority; matimop.org.il</t>
  </si>
  <si>
    <t>Ra'anana, Central District, Israel</t>
  </si>
  <si>
    <t>Developer of gene discovery platform for crop productivity traits</t>
  </si>
  <si>
    <t>Genomics &gt; Applied Genomics &gt; Agrigenomics
Life Sciences - Israel &gt; Genomics &gt; Applied Genomics &gt; Agrigenomics
Life Sciences - MENA &gt; Genomics &gt; Applied Genomics &gt; Agrigenomics
Enterprise Tech - MENA &gt; Genomics &gt; Applied Genomics &gt; Agrigenomics
Enterprise Tech - Israel &gt; Genomics &gt; Applied Genomics &gt; Agrigenomics
Crop Tech &gt; Farm Inputs &gt; Plant Breeding &gt; Technology Providers
Enterprise Tech - MENA &gt; Crop Tech &gt; Farm Inputs &gt; Plant Breeding &gt; Technology Providers
Enterprise Tech - Israel &gt; Crop Tech &gt; Farm Inputs &gt; Plant Breeding &gt; Technology Providers
Plant Breeding &gt; Crop Tech &gt; Farm Inputs &gt; Plant Breeding &gt; Technology Providers
Biotech R&amp;D &gt; Research Applications &gt; Genomics &gt; Genome Engineering &gt; Gene Editing
Life Sciences - MENA &gt; Biotech R&amp;D &gt; Research Applications &gt; Genomics &gt; Genome Engineering &gt; Gene Editing
Enterprise Tech - MENA &gt; Biotech R&amp;D &gt; Research Applications &gt; Genomics &gt; Genome Engineering &gt; Gene Editing
Enterprise Tech - Israel &gt; Biotech R&amp;D &gt; Research Applications &gt; Genomics &gt; Genome Engineering &gt; Gene Editing
Life Sciences - Israel &gt; Biotech R&amp;D &gt; Research Applications &gt; Genomics &gt; Genome Engineering &gt; Gene Editing</t>
  </si>
  <si>
    <t>Deepak Sethia
Amit Trivedi
Rachna Nath
Sonal Trivedi
Dinesh Goel
Rajesh Khanna
Ashok Khanna
Prashant Rajput
Vikash Sethia
Manoj Khandelwal
Yogesh Rangwani
Rishi Gupta
Pallavi Shah
Amit Shah
Vivek John
Chabbi Maheshwari
Prajeet Patel
Chandan Chatarjee
Shweta Sharma</t>
  </si>
  <si>
    <t>Cash Capital; cashcapital.cn</t>
  </si>
  <si>
    <t>Cash Capital</t>
  </si>
  <si>
    <t>Zhijin Capital; zhijincap.com</t>
  </si>
  <si>
    <t>Narendra Sankar
Sunil Mishra
Vishal Sharma
Anurag Jhanwar
Mohini Jhanwar</t>
  </si>
  <si>
    <t>Narendra Sankar
Sunil Mishra
Mohini Jhanwar</t>
  </si>
  <si>
    <t>Edete Precision Agriculture Technologies</t>
  </si>
  <si>
    <t>edetepta.com</t>
  </si>
  <si>
    <t>Haifa, Haifa District, Israel</t>
  </si>
  <si>
    <t>Develops systems for pollen extraction, storage and precision mechanical pollination</t>
  </si>
  <si>
    <t>Crop Tech &gt; Farming as a Service &gt; Tech Enabled Services &gt; Pollination
Enterprise Tech - MENA &gt; Crop Tech &gt; Farming as a Service &gt; Tech Enabled Services &gt; Pollination
Enterprise Tech - Israel &gt; Crop Tech &gt; Farming as a Service &gt; Tech Enabled Services &gt; Pollination</t>
  </si>
  <si>
    <t>Kilimo</t>
  </si>
  <si>
    <t>kilimo.com.ar</t>
  </si>
  <si>
    <t>Cordoba, Provincia De Cordoba, Argentina</t>
  </si>
  <si>
    <t>Irrigation solutions through soil testing and climatic data integration</t>
  </si>
  <si>
    <t>Crop Tech &gt; Farm Management Software &gt; Soil Management &gt; Soil Testing
Enterprise Tech - Latam &gt; Crop Tech &gt; Farm Management Software &gt; Soil Management &gt; Soil Testing
Farm Management Software &gt; Crop Tech &gt; Farm Management Software &gt; Soil Management &gt; Soil Testing</t>
  </si>
  <si>
    <t>Eiwa</t>
  </si>
  <si>
    <t>eiwa.ag</t>
  </si>
  <si>
    <t>Buenos Aires, Buenos Aires F.d., Argentina</t>
  </si>
  <si>
    <t>Services for aerial imagery capturing and data analysis</t>
  </si>
  <si>
    <t>Drones &gt; Services &gt; Precision Agriculture
Enterprise Tech - Latam &gt; Drones &gt; Services &gt; Precision Agriculture
Commercial Drones &gt; Drones &gt; Services &gt; Precision Agriculture
Agriculture Drones &gt; Drones &gt; Services &gt; Precision Agriculture
Crop Tech &gt; Farm Analytics &gt; Drones Based
Enterprise Tech - Latam &gt; Crop Tech &gt; Farm Analytics &gt; Drones Based
Farm Analytics &gt; Crop Tech &gt; Farm Analytics &gt; Drones Based</t>
  </si>
  <si>
    <t>Agree Market</t>
  </si>
  <si>
    <t>agreemarket.com</t>
  </si>
  <si>
    <t>Online marketplace for agriculture commodities</t>
  </si>
  <si>
    <t>Crop Tech &gt; ECommerce &gt; Farm Produce &gt; B2B &gt; Fruits and Vegetables &gt; Marketplace
Enterprise Tech - Latam &gt; Crop Tech &gt; ECommerce &gt; Farm Produce &gt; B2B &gt; Fruits and Vegetables &gt; Marketplace
B2B E-Commerce &gt; Agriculture &gt; Marketplace
Enterprise Tech - Latam &gt; B2B E-Commerce &gt; Agriculture &gt; Marketplace</t>
  </si>
  <si>
    <t>Intergado</t>
  </si>
  <si>
    <t>intergado.com.br</t>
  </si>
  <si>
    <t>Inseed Investimentos; inseedinvestimentos.com.br</t>
  </si>
  <si>
    <t>Betim, Minas Gerais, Brazil</t>
  </si>
  <si>
    <t>Develops and offers an integrated herd management system</t>
  </si>
  <si>
    <t>Chanwanich; chanwanich.com
dtac; dtac.co.th
Wavemaker Partners; wavemaker.vc
500 TukTuks; 500tuktuks.com</t>
  </si>
  <si>
    <t>Chanwanich
dtac
Wavemaker Partners
500 TukTuks</t>
  </si>
  <si>
    <t>Tropical Animal Genetics</t>
  </si>
  <si>
    <t>taggnx.com</t>
  </si>
  <si>
    <t>Developer of in-vitro animal breeding platform</t>
  </si>
  <si>
    <t>Livestock Tech &gt; Breeding &gt; Genetic Breeding Services
Morgan Stanley &gt; Livestock Tech &gt; Breeding &gt; Genetic Breeding Services
Enterprise Tech - India &gt; Livestock Tech &gt; Breeding &gt; Genetic Breeding Services
Genomics &gt; Applied Genomics &gt; Veterinary Genomics
Life Sciences - India &gt; Genomics &gt; Applied Genomics &gt; Veterinary Genomics
Morgan Stanley &gt; Genomics &gt; Applied Genomics &gt; Veterinary Genomics
Enterprise Tech - India &gt; Genomics &gt; Applied Genomics &gt; Veterinary Genomics</t>
  </si>
  <si>
    <t>Transjovan Capital; transjovancap.com</t>
  </si>
  <si>
    <t>Merca Rancho</t>
  </si>
  <si>
    <t>mercarancho.com</t>
  </si>
  <si>
    <t>MassChallenge</t>
  </si>
  <si>
    <t>Mexico City, The Federal District, Mexico</t>
  </si>
  <si>
    <t>Online listing platform for farm inputs and services</t>
  </si>
  <si>
    <t>MassChallenge Batches &gt; Mexico &gt; 2018
Livestock Tech &gt; ECommerce &gt; Diversified &gt; Marketplace</t>
  </si>
  <si>
    <t>Symbiotic Labs</t>
  </si>
  <si>
    <t>simbioticalabs.com</t>
  </si>
  <si>
    <t>Morelia, Michoacan, Mexico</t>
  </si>
  <si>
    <t>Manufacturer and supplier of biological farm inputs</t>
  </si>
  <si>
    <t>Crop Tech &gt; Farm Inputs &gt; Biologicals &gt; Crop Nutrition &gt; Microbes
Climate Tech &gt; Crop Tech &gt; Farm Inputs &gt; Biologicals &gt; Crop Nutrition &gt; Microbes
Crop Biologicals &gt; Crop Tech &gt; Farm Inputs &gt; Biologicals &gt; Crop Nutrition &gt; Microbes
Chemicals Tech &gt; Green Chemicals &gt; Crop Nutrition &gt; Microbes</t>
  </si>
  <si>
    <t>Ceniarth; ceniarthllc.com</t>
  </si>
  <si>
    <t>Ceniarth</t>
  </si>
  <si>
    <t>Pagoda; pagoda.com.cn</t>
  </si>
  <si>
    <t>Pagoda</t>
  </si>
  <si>
    <t>ProFish</t>
  </si>
  <si>
    <t>profishgh.com</t>
  </si>
  <si>
    <t>Kosmos Energy; kosmosenergy.com</t>
  </si>
  <si>
    <t>Kosmos Energy</t>
  </si>
  <si>
    <t>Supplier of fish to the market</t>
  </si>
  <si>
    <t>Aquaculture Tech &gt; ECommerce &gt; Farm Produce &gt; B2C &gt; Fish &gt; Marketplace
MassChallenge Batches &gt; Switzerland &gt; 2020</t>
  </si>
  <si>
    <t>Bill &amp; Melinda Gates Foundation; gatesfoundation.org
IndusAge Partners; indusage.com
Qualcomm Ventures; qualcommventures.com
ABB; abb.com
Omnivore Partners; omnivore.vc
Blume Ventures; blume.vc
Venture Highway; venturehighway.vc
Beenext; beenext.com
IITM Incubation Cell; incubation.iitm.ac.in</t>
  </si>
  <si>
    <t>Binny Bansal</t>
  </si>
  <si>
    <t>Bill &amp; Melinda Gates Foundation
IndusAge Partners
Qualcomm Ventures
ABB</t>
  </si>
  <si>
    <t>Nebulaa's Matt</t>
  </si>
  <si>
    <t>nebulaa.in</t>
  </si>
  <si>
    <t>Crop quality assessment system</t>
  </si>
  <si>
    <t>Crop Tech &gt; Post Harvest Management &gt; Quality Testing &gt; Grains
AI in Agriculture &gt; Crop Tech &gt; Post Harvest Management &gt; Quality Testing &gt; Grains
Artificial Intelligence - India &gt; Crop Tech &gt; Post Harvest Management &gt; Quality Testing &gt; Grains
Artificial Intelligence &gt; Crop Tech &gt; Post Harvest Management &gt; Quality Testing &gt; Grains
Enterprise Tech - India &gt; Crop Tech &gt; Post Harvest Management &gt; Quality Testing &gt; Grains</t>
  </si>
  <si>
    <t>OKO</t>
  </si>
  <si>
    <t>oko.finance</t>
  </si>
  <si>
    <t>Parametric crop insurance solutions</t>
  </si>
  <si>
    <t>Internet First Insurance Platforms &gt; Internet First Insurers &gt; P&amp;C &gt; Crop
Enterprise Tech - MENA &gt; Internet First Insurance Platforms &gt; Internet First Insurers &gt; P&amp;C &gt; Crop
Enterprise Tech - Israel &gt; Internet First Insurance Platforms &gt; Internet First Insurers &gt; P&amp;C &gt; Crop
FinTech - MENA &gt; Internet First Insurance Platforms &gt; Internet First Insurers &gt; P&amp;C &gt; Crop
Internet First Insurers &gt; Internet First Insurance Platforms &gt; Internet First Insurers &gt; P&amp;C &gt; Crop
FinTech - Israel &gt; Internet First Insurance Platforms &gt; Internet First Insurers &gt; P&amp;C &gt; Crop
Techstars Portfolio &gt; Internet First Insurance Platforms &gt; Internet First Insurers &gt; P&amp;C &gt; Crop
Agri FinTech &gt; Internet First Insurance Platforms &gt; Internet First Insurers &gt; P&amp;C &gt; Crop</t>
  </si>
  <si>
    <t>Gro Direto</t>
  </si>
  <si>
    <t>graodireto.com.br</t>
  </si>
  <si>
    <t>Monsanto; monsanto.com
OpenVC; open-vc.com
Canary; canary.com.br</t>
  </si>
  <si>
    <t>Uberaba, Estado De Minas Gerais, Brazil</t>
  </si>
  <si>
    <t>Mobile app-based platform for negotiations between grain producers and buyers</t>
  </si>
  <si>
    <t>B2B E-Commerce &gt; Agriculture &gt; Marketplace
Consumer Digital - Latam &gt; B2B E-Commerce &gt; Agriculture &gt; Marketplace
Marketplaces &gt; B2B E-Commerce &gt; Agriculture &gt; Marketplace
Consumer Digital - Brazil &gt; B2B E-Commerce &gt; Agriculture &gt; Marketplace
Enterprise Tech - Brazil &gt; B2B E-Commerce &gt; Agriculture &gt; Marketplace
Enterprise Tech - Latam &gt; B2B E-Commerce &gt; Agriculture &gt; Marketplace
Crop Tech &gt; ECommerce &gt; Farm Produce &gt; B2B &gt; Grains
Consumer Digital - Latam &gt; Crop Tech &gt; ECommerce &gt; Farm Produce &gt; B2B &gt; Grains
Marketplaces &gt; Crop Tech &gt; ECommerce &gt; Farm Produce &gt; B2B &gt; Grains
Consumer Digital - Brazil &gt; Crop Tech &gt; ECommerce &gt; Farm Produce &gt; B2B &gt; Grains
Enterprise Tech - Brazil &gt; Crop Tech &gt; ECommerce &gt; Farm Produce &gt; B2B &gt; Grains
Enterprise Tech - Latam &gt; Crop Tech &gt; ECommerce &gt; Farm Produce &gt; B2B &gt; Grains</t>
  </si>
  <si>
    <t>Breath of Life Pharma</t>
  </si>
  <si>
    <t>bolpharma.com</t>
  </si>
  <si>
    <t>Viridian Capital Advisors; viridianca.com</t>
  </si>
  <si>
    <t>Viridian Capital Advisors</t>
  </si>
  <si>
    <t>Integrated business for cultivation and processing of cannabis to supply medicinal products</t>
  </si>
  <si>
    <t>Crop Tech &gt; Indoor Farming
Indoor Farming &gt; Crop Tech &gt; Indoor Farming</t>
  </si>
  <si>
    <t>Pickwick Capital Partners; pickwickcapitalpartners.com</t>
  </si>
  <si>
    <t>Haishangxian</t>
  </si>
  <si>
    <t>haishangxian.cn</t>
  </si>
  <si>
    <t>Yuan Jing Capital; vplus.vc
Shunwei Capital; shunwei.com</t>
  </si>
  <si>
    <t>Ningbo, Zhejiang Sheng, China</t>
  </si>
  <si>
    <t>Online B2B platform for seafood</t>
  </si>
  <si>
    <t>Online Grocery &gt; B2B Ecommerce &gt; Farm Produce &gt; Meat and Seafood &gt; Marketplace
Enterprise Tech - China &gt; Online Grocery &gt; B2B Ecommerce &gt; Farm Produce &gt; Meat and Seafood &gt; Marketplace
Marketplaces &gt; Online Grocery &gt; B2B Ecommerce &gt; Farm Produce &gt; Meat and Seafood &gt; Marketplace
B2B Farm Produce E-Commerce &gt; Online Grocery &gt; B2B Ecommerce &gt; Farm Produce &gt; Meat and Seafood &gt; Marketplace
Aquaculture Tech &gt; ECommerce &gt; Farm Produce &gt; B2B &gt; Marketplace
Enterprise Tech - China &gt; Aquaculture Tech &gt; ECommerce &gt; Farm Produce &gt; B2B &gt; Marketplace
Marketplaces &gt; Aquaculture Tech &gt; ECommerce &gt; Farm Produce &gt; B2B &gt; Marketplace
B2B E-Commerce &gt; Food &amp; Beverages &gt; Groceries &gt; Farm Products &gt; Marketplace
Enterprise Tech - China &gt; B2B E-Commerce &gt; Food &amp; Beverages &gt; Groceries &gt; Farm Products &gt; Marketplace
Marketplaces &gt; B2B E-Commerce &gt; Food &amp; Beverages &gt; Groceries &gt; Farm Products &gt; Marketplace</t>
  </si>
  <si>
    <t>Bharat Rohan</t>
  </si>
  <si>
    <t>bharatrohan.in</t>
  </si>
  <si>
    <t>a-IDEA; aidea.naarm.org.in</t>
  </si>
  <si>
    <t>a-IDEA</t>
  </si>
  <si>
    <t>Data capturing, analytic and advisory services for farmers in India</t>
  </si>
  <si>
    <t>Crop Tech &gt; Farm Analytics &gt; Multispectral Sensing
Enterprise Tech - India &gt; Crop Tech &gt; Farm Analytics &gt; Multispectral Sensing
Farm Analytics &gt; Crop Tech &gt; Farm Analytics &gt; Multispectral Sensing</t>
  </si>
  <si>
    <t>Alaya Capital Partners; alaya-capital.com
Xpand Ventures; xpand.ventures</t>
  </si>
  <si>
    <t>Alaya Capital Partners
Xpand Ventures</t>
  </si>
  <si>
    <t>Earth Food</t>
  </si>
  <si>
    <t>theearthfood.com</t>
  </si>
  <si>
    <t>Rairah; rairah.com</t>
  </si>
  <si>
    <t>Rairah</t>
  </si>
  <si>
    <t>Produces and supplies vegetables</t>
  </si>
  <si>
    <t>Crop Tech &gt; ECommerce &gt; Farm Produce &gt; B2C &gt; Fruits and Vegetables &gt; Farm to Home &gt; Organic
Online Grocery &gt; B2C Ecommerce &gt; Fruits and Vegetables &gt; Farm to Home &gt; Organic
Organic Food Retail &gt; Online Grocery &gt; B2C Ecommerce &gt; Fruits and Vegetables &gt; Farm to Home &gt; Organic
B2C Grocery Delivery &gt; Online Grocery &gt; B2C Ecommerce &gt; Fruits and Vegetables &gt; Farm to Home &gt; Organic
B2C E-Commerce &gt; Online Grocery &gt; B2C Ecommerce &gt; Fruits and Vegetables &gt; Farm to Home &gt; Organic</t>
  </si>
  <si>
    <t>KHETHINEXT</t>
  </si>
  <si>
    <t>khethinext.com</t>
  </si>
  <si>
    <t>PALS Global Solutions; palsglobalsolutions.com</t>
  </si>
  <si>
    <t>Mobile app that enables procurement of farm inputs and provides information</t>
  </si>
  <si>
    <t>Crop Tech &gt; Content Platforms &gt; Farming Advice &gt; Expert Advisors
Microsoft &gt; Crop Tech &gt; Content Platforms &gt; Farming Advice &gt; Expert Advisors
Enterprise Tech - India &gt; Crop Tech &gt; Content Platforms &gt; Farming Advice &gt; Expert Advisors</t>
  </si>
  <si>
    <t>Xpand Ventures; xpand.ventures</t>
  </si>
  <si>
    <t>Xpand Ventures</t>
  </si>
  <si>
    <t>Rootility</t>
  </si>
  <si>
    <t>rootility.com</t>
  </si>
  <si>
    <t>Cibus Fund; cibusfund.com
GreenSoil Investments; greensoil-investments.com
Middleland Capital; middlelandcap.com</t>
  </si>
  <si>
    <t>Cibus Fund</t>
  </si>
  <si>
    <t>Supply of Non-GMO seeds through unique breeding tech platform</t>
  </si>
  <si>
    <t>Crop Tech &gt; Farm Inputs &gt; Tissue Culture</t>
  </si>
  <si>
    <t>FreshWorld</t>
  </si>
  <si>
    <t>freshworld.in</t>
  </si>
  <si>
    <t>Indian Angel Network; indianangelnetwork.com</t>
  </si>
  <si>
    <t>Austin Roach
Peron Roach
Sean Lazaro
Kanishka Agiwal
Mark Lazaro
Newton Alex
A M Sendhilraj
Keshav Kumar
K D Mandanna
Nagaraja Prakasam
Shilpa Maheshwari</t>
  </si>
  <si>
    <t>Austin Roach
Peron Roach
A M Sendhilraj</t>
  </si>
  <si>
    <t>Tech-enabled street vendor of farm-fresh fruits and vegetables</t>
  </si>
  <si>
    <t>Online Grocery &gt; B2C Ecommerce &gt; Fruits and Vegetables
Consumer Digital - India &gt; Online Grocery &gt; B2C Ecommerce &gt; Fruits and Vegetables
B2C Grocery Delivery &gt; Online Grocery &gt; B2C Ecommerce &gt; Fruits and Vegetables
B2C E-Commerce &gt; Online Grocery &gt; B2C Ecommerce &gt; Fruits and Vegetables
Crop Tech &gt; ECommerce &gt; Farm Produce &gt; B2C &gt; Fruits and Vegetables &gt; Retailer
Consumer Digital - India &gt; Crop Tech &gt; ECommerce &gt; Farm Produce &gt; B2C &gt; Fruits and Vegetables &gt; Retailer</t>
  </si>
  <si>
    <t>Nocofio</t>
  </si>
  <si>
    <t>nocofio.com</t>
  </si>
  <si>
    <t>Crowdfunding &gt; Revenue Sharing &gt; Agriculture
Enterprise Tech - Africa &gt; Crowdfunding &gt; Revenue Sharing &gt; Agriculture
FinTech - Africa &gt; Crowdfunding &gt; Revenue Sharing &gt; Agriculture
Agri FinTech &gt; Crowdfunding &gt; Revenue Sharing &gt; Agriculture
Crop Tech &gt; Finance &gt; Crowdfunding
Enterprise Tech - Africa &gt; Crop Tech &gt; Finance &gt; Crowdfunding</t>
  </si>
  <si>
    <t>IIM Calcutta Innovation Park; iimcip.org</t>
  </si>
  <si>
    <t>IIM Calcutta Innovation Park</t>
  </si>
  <si>
    <t>ICL; icl-group.com</t>
  </si>
  <si>
    <t>ICL</t>
  </si>
  <si>
    <t>NEERx Technovation</t>
  </si>
  <si>
    <t>neerx.in</t>
  </si>
  <si>
    <t>Government of Gujarat; gujaratindia.gov.in</t>
  </si>
  <si>
    <t>Gandhinagar, Gujarat, India</t>
  </si>
  <si>
    <t>Provides smart agriculture solutions</t>
  </si>
  <si>
    <t>Sensors &gt; Industry Applications &gt; Agriculture &gt; Soil Moisture
IoT in Agriculture &gt; Sensors &gt; Industry Applications &gt; Agriculture &gt; Soil Moisture
Enterprise Tech - India &gt; Sensors &gt; Industry Applications &gt; Agriculture &gt; Soil Moisture
Water and Wastewater Management Tech &gt; Smart Irrigation &gt; Farming &gt; Soil Moisture Monitoring
Smart Irrigation &gt; Water and Wastewater Management Tech &gt; Smart Irrigation &gt; Farming &gt; Soil Moisture Monitoring
IoT in Agriculture &gt; Water and Wastewater Management Tech &gt; Smart Irrigation &gt; Farming &gt; Soil Moisture Monitoring
Enterprise Tech - India &gt; Water and Wastewater Management Tech &gt; Smart Irrigation &gt; Farming &gt; Soil Moisture Monitoring
Crop Tech &gt; Farm Management Software &gt; Soil Management &gt; Soil Moisture Monitoring &gt; Sensors
IoT in Agriculture &gt; Crop Tech &gt; Farm Management Software &gt; Soil Management &gt; Soil Moisture Monitoring &gt; Sensors
Enterprise Tech - India &gt; Crop Tech &gt; Farm Management Software &gt; Soil Management &gt; Soil Moisture Monitoring &gt; Sensors
Farm Management Software &gt; Crop Tech &gt; Farm Management Software &gt; Soil Management &gt; Soil Moisture Monitoring &gt; Sensors
IoT Applications &gt; Industry Specific &gt; Agriculture &gt; Farms
IoT in Agriculture &gt; IoT Applications &gt; Industry Specific &gt; Agriculture &gt; Farms
HiTech - India &gt; IoT Applications &gt; Industry Specific &gt; Agriculture &gt; Farms
Enterprise Tech - India &gt; IoT Applications &gt; Industry Specific &gt; Agriculture &gt; Farms</t>
  </si>
  <si>
    <t>Eruvaka</t>
  </si>
  <si>
    <t>eruvaka.com</t>
  </si>
  <si>
    <t>Omnivore Partners; omnivore.vc
Nutreco; nutreco.com</t>
  </si>
  <si>
    <t>Nutreco</t>
  </si>
  <si>
    <t>Vijayawada, Andhra Pradesh, India</t>
  </si>
  <si>
    <t>Provider of IoT based on-farm diagnostic equipment</t>
  </si>
  <si>
    <t>Aquaculture Tech &gt; Farm Monitoring &gt; Diversified
SaaS - India &gt; Aquaculture Tech &gt; Farm Monitoring &gt; Diversified
SaaS &gt; Aquaculture Tech &gt; Farm Monitoring &gt; Diversified
IoT in Agriculture &gt; Aquaculture Tech &gt; Farm Monitoring &gt; Diversified
Enterprise Tech - India &gt; Aquaculture Tech &gt; Farm Monitoring &gt; Diversified
IoT Applications &gt; Industry Specific &gt; Agriculture &gt; Aquaculture
SaaS &gt; IoT Applications &gt; Industry Specific &gt; Agriculture &gt; Aquaculture
SaaS - India &gt; IoT Applications &gt; Industry Specific &gt; Agriculture &gt; Aquaculture
IoT in Agriculture &gt; IoT Applications &gt; Industry Specific &gt; Agriculture &gt; Aquaculture
HiTech - India &gt; IoT Applications &gt; Industry Specific &gt; Agriculture &gt; Aquaculture
Enterprise Tech - India &gt; IoT Applications &gt; Industry Specific &gt; Agriculture &gt; Aquaculture</t>
  </si>
  <si>
    <t>Muthuswami Lakshminarayan</t>
  </si>
  <si>
    <t>Alpha JWC Ventures; alphajwc.com</t>
  </si>
  <si>
    <t>Alpha JWC Ventures</t>
  </si>
  <si>
    <t>Radiant Haroti; radiantharoti.com</t>
  </si>
  <si>
    <t>Ruchi N Singh</t>
  </si>
  <si>
    <t>Radiant Haroti</t>
  </si>
  <si>
    <t>Habibi Garden</t>
  </si>
  <si>
    <t>habibigarden.com</t>
  </si>
  <si>
    <t>Brinc; brinc.io</t>
  </si>
  <si>
    <t>Bekasi, West Java, Indonesia</t>
  </si>
  <si>
    <t>IoT-based precision farming platform</t>
  </si>
  <si>
    <t>Crop Tech &gt; Farm Analytics &gt; Diversified
Enterprise Tech - Indonesia &gt; Crop Tech &gt; Farm Analytics &gt; Diversified
Enterprise Tech - SEA &gt; Crop Tech &gt; Farm Analytics &gt; Diversified
Farm Analytics &gt; Crop Tech &gt; Farm Analytics &gt; Diversified</t>
  </si>
  <si>
    <t>Agronow</t>
  </si>
  <si>
    <t>agronow.com.br</t>
  </si>
  <si>
    <t>Satellite based farm mapping and productivity analysis</t>
  </si>
  <si>
    <t>Crop Tech &gt; Farm Analytics &gt; Satellite Image Based
Enterprise Tech - Latam &gt; Crop Tech &gt; Farm Analytics &gt; Satellite Image Based
SaaS - Latam &gt; Crop Tech &gt; Farm Analytics &gt; Satellite Image Based
SaaS &gt; Crop Tech &gt; Farm Analytics &gt; Satellite Image Based
Enterprise Tech - Brazil &gt; Crop Tech &gt; Farm Analytics &gt; Satellite Image Based
Artificial Intelligence &gt; Crop Tech &gt; Farm Analytics &gt; Satellite Image Based
AI in Agriculture &gt; Crop Tech &gt; Farm Analytics &gt; Satellite Image Based
Farm Analytics &gt; Crop Tech &gt; Farm Analytics &gt; Satellite Image Based
Geographic Information Systems &gt; Location Analytics &gt; Agriculture
SaaS &gt; Geographic Information Systems &gt; Location Analytics &gt; Agriculture
Enterprise Tech - Brazil &gt; Geographic Information Systems &gt; Location Analytics &gt; Agriculture
Enterprise Tech - Latam &gt; Geographic Information Systems &gt; Location Analytics &gt; Agriculture
SaaS - Latam &gt; Geographic Information Systems &gt; Location Analytics &gt; Agriculture
Artificial Intelligence &gt; Geographic Information Systems &gt; Location Analytics &gt; Agriculture</t>
  </si>
  <si>
    <t>Shanghai Feiyan Information Technology</t>
  </si>
  <si>
    <t>zzb518.com</t>
  </si>
  <si>
    <t>Divine Capital; divinecapital.net</t>
  </si>
  <si>
    <t>Divine Capital</t>
  </si>
  <si>
    <t>Shanghai, Shanghai Shi, China</t>
  </si>
  <si>
    <t>Online farm business management solution for pig farmers</t>
  </si>
  <si>
    <t>Livestock Tech &gt; Livestock Management Software
Enterprise Tech - China &gt; Livestock Tech &gt; Livestock Management Software</t>
  </si>
  <si>
    <t>Zeroth Ai; zeroth.ai</t>
  </si>
  <si>
    <t>Zeroth Ai</t>
  </si>
  <si>
    <t>Hivos Impact Investments; hivosimpactinvestments.com</t>
  </si>
  <si>
    <t>Atlak</t>
  </si>
  <si>
    <t>atlak.net</t>
  </si>
  <si>
    <t>Mexico</t>
  </si>
  <si>
    <t>IoT Applications &gt; Industry Specific &gt; Agriculture &gt; Farms
Enterprise Tech - Latam &gt; IoT Applications &gt; Industry Specific &gt; Agriculture &gt; Farms
IoT in Agriculture &gt; IoT Applications &gt; Industry Specific &gt; Agriculture &gt; Farms
Crop Tech &gt; Farm Analytics &gt; Multispectral Sensing
Enterprise Tech - Latam &gt; Crop Tech &gt; Farm Analytics &gt; Multispectral Sensing
IoT in Agriculture &gt; Crop Tech &gt; Farm Analytics &gt; Multispectral Sensing
Farm Analytics &gt; Crop Tech &gt; Farm Analytics &gt; Multispectral Sensing</t>
  </si>
  <si>
    <t>JetBov</t>
  </si>
  <si>
    <t>jetbov.com</t>
  </si>
  <si>
    <t>SP Ventures; spventures.com.br</t>
  </si>
  <si>
    <t>Joinville, Estado De Santa Catarina, Brazil</t>
  </si>
  <si>
    <t>Software for livestock farm management and agronomy advice</t>
  </si>
  <si>
    <t>Livestock Tech &gt; Livestock Management Software
Enterprise Tech - Latam &gt; Livestock Tech &gt; Livestock Management Software
SaaS - Latam &gt; Livestock Tech &gt; Livestock Management Software
SaaS &gt; Livestock Tech &gt; Livestock Management Software
Enterprise Tech - Brazil &gt; Livestock Tech &gt; Livestock Management Software</t>
  </si>
  <si>
    <t>Nongfenqi</t>
  </si>
  <si>
    <t>nongfenqi.com</t>
  </si>
  <si>
    <t>YI Capital; zhiyivc.com
Innoven Capital; innovencapital.com
Bertelsmann Asia Investment Fund; baifund.com
Yonghua Capital; yonghuacapital.com.cn
Shunwei Capital; shunwei.com
Source Code Capital; sourcecodecap.com
Zhen Fund; zhenfund.com</t>
  </si>
  <si>
    <t>YI Capital</t>
  </si>
  <si>
    <t>Online purchase  finance platform for farmers to buy agricultural equipment</t>
  </si>
  <si>
    <t>Crop Tech &gt; Finance &gt; Loans
Consumer Digital - China &gt; Crop Tech &gt; Finance &gt; Loans
Marketplaces &gt; Crop Tech &gt; Finance &gt; Loans
Alternative Lending &gt; Online Lenders &gt; Business Loans &gt; Equipment Financing &gt; Marketplace
Consumer Digital - China &gt; Alternative Lending &gt; Online Lenders &gt; Business Loans &gt; Equipment Financing &gt; Marketplace
Marketplaces &gt; Alternative Lending &gt; Online Lenders &gt; Business Loans &gt; Equipment Financing &gt; Marketplace
FinTech - China &gt; Alternative Lending &gt; Online Lenders &gt; Business Loans &gt; Equipment Financing &gt; Marketplace
Internet First Lenders &gt; Alternative Lending &gt; Online Lenders &gt; Business Loans &gt; Equipment Financing &gt; Marketplace</t>
  </si>
  <si>
    <t>Bombay Hemp Company</t>
  </si>
  <si>
    <t>boheco.org</t>
  </si>
  <si>
    <t>Ginni International Limited; ginniint.com</t>
  </si>
  <si>
    <t>Mukhtar Tejani</t>
  </si>
  <si>
    <t>Producer and distributor of cannabis products</t>
  </si>
  <si>
    <t>Crop Tech &gt; Indoor Farming &gt; Hydroponics &gt; Cannabis
Indoor Farming &gt; Crop Tech &gt; Indoor Farming &gt; Hydroponics &gt; Cannabis
Hydroponics &gt; Crop Tech &gt; Indoor Farming &gt; Hydroponics &gt; Cannabis</t>
  </si>
  <si>
    <t>Sakal Media; sakalmediagroup.com</t>
  </si>
  <si>
    <t>Chinna Pardhasaradhi
Ramesh Mangaleswaran
CK Ranganathan
Madhu Krishnaswamy
Senthilkumar Natarajan
Ishwar Subramaniam</t>
  </si>
  <si>
    <t>Sakal Media</t>
  </si>
  <si>
    <t>FarmBee</t>
  </si>
  <si>
    <t>farmbee.in</t>
  </si>
  <si>
    <t>Sandeep Bhammer
Ravikant Banka
Shailaja Reddy</t>
  </si>
  <si>
    <t>Sandeep Bhammer</t>
  </si>
  <si>
    <t>Online platform providing data-driven agricultural solutions</t>
  </si>
  <si>
    <t>Crop Tech &gt; Content Platforms &gt; Data as a Service &gt; Farm Data Platform
London Business School (LBS) &gt; Crop Tech &gt; Content Platforms &gt; Data as a Service &gt; Farm Data Platform
Amazon &gt; Crop Tech &gt; Content Platforms &gt; Data as a Service &gt; Farm Data Platform
IIT Kanpur &gt; Crop Tech &gt; Content Platforms &gt; Data as a Service &gt; Farm Data Platform
Consumer Digital - India &gt; Crop Tech &gt; Content Platforms &gt; Data as a Service &gt; Farm Data Platform</t>
  </si>
  <si>
    <t>Caspian Equity; caspianequity.in</t>
  </si>
  <si>
    <t>Caspian Equity</t>
  </si>
  <si>
    <t>YES SECURITIES; ysil.in</t>
  </si>
  <si>
    <t>Samir Kumar</t>
  </si>
  <si>
    <t>Impact Terra</t>
  </si>
  <si>
    <t>impactterra.com</t>
  </si>
  <si>
    <t>Netherlands Space Office; spaceoffice.nl
leap201.org</t>
  </si>
  <si>
    <t>Mobile-based platform for agronomy information dissemination and other digital market linkages</t>
  </si>
  <si>
    <t>Crop Tech &gt; Content Platforms &gt; Farming Advice &gt; Expert Advisors
McKinsey &gt; Crop Tech &gt; Content Platforms &gt; Farming Advice &gt; Expert Advisors
Enterprise Tech - SEA &gt; Crop Tech &gt; Content Platforms &gt; Farming Advice &gt; Expert Advisors</t>
  </si>
  <si>
    <t>Amit Burman</t>
  </si>
  <si>
    <t>SP Ventures; spventures.com.br
Endeavor; endeavor.org
CRESUD; cresud.com.ar
Bunge; bunge.com
Syngenta; syngenta.com</t>
  </si>
  <si>
    <t>Foidn Technology Group</t>
  </si>
  <si>
    <t>foidn.com</t>
  </si>
  <si>
    <t>Farm management software applications for livestock</t>
  </si>
  <si>
    <t>Livestock Tech &gt; Livestock Management Software &gt; Cattle</t>
  </si>
  <si>
    <t>Fairy Box</t>
  </si>
  <si>
    <t>abigbox.cn</t>
  </si>
  <si>
    <t>GrowX Venture Management; growxventures.com
Bellwether Advisors LLP; bellwetheradvisory.com
Startupxseed Ventures; startupxseed.in
3one4 Capital; 3one4capital.com
500 Durians; durians.500.co</t>
  </si>
  <si>
    <t>Sanjay Jesrani</t>
  </si>
  <si>
    <t>GrowX Venture Management
Bellwether Advisors LLP
500 Durians</t>
  </si>
  <si>
    <t>SkyX</t>
  </si>
  <si>
    <t>skyx.solutions</t>
  </si>
  <si>
    <t>IMPACT Accelerator; impact-accelerator.com</t>
  </si>
  <si>
    <t>Technology to convert drones into autonomous sprayers</t>
  </si>
  <si>
    <t>MassChallenge Batches &gt; Israel &gt; 2016
Artificial Intelligence - MENA &gt; MassChallenge Batches &gt; Israel &gt; 2016
Enterprise Tech - MENA &gt; MassChallenge Batches &gt; Israel &gt; 2016
Artificial Intelligence - Israel &gt; MassChallenge Batches &gt; Israel &gt; 2016
Artificial Intelligence &gt; MassChallenge Batches &gt; Israel &gt; 2016
Enterprise Tech - Israel &gt; MassChallenge Batches &gt; Israel &gt; 2016
Cisco &gt; MassChallenge Batches &gt; Israel &gt; 2016
Crop Tech &gt; Autonomous Farming &gt; Pest Control &gt; Drones
Artificial Intelligence - MENA &gt; Crop Tech &gt; Autonomous Farming &gt; Pest Control &gt; Drones
Enterprise Tech - MENA &gt; Crop Tech &gt; Autonomous Farming &gt; Pest Control &gt; Drones
Cisco &gt; Crop Tech &gt; Autonomous Farming &gt; Pest Control &gt; Drones
Artificial Intelligence - Israel &gt; Crop Tech &gt; Autonomous Farming &gt; Pest Control &gt; Drones
Artificial Intelligence &gt; Crop Tech &gt; Autonomous Farming &gt; Pest Control &gt; Drones
Enterprise Tech - Israel &gt; Crop Tech &gt; Autonomous Farming &gt; Pest Control &gt; Drones
AI in Agriculture &gt; Crop Tech &gt; Autonomous Farming &gt; Pest Control &gt; Drones
Autonomous Farming &gt; Crop Tech &gt; Autonomous Farming &gt; Pest Control &gt; Drones
Drones &gt; Services &gt; Precision Agriculture &gt; Swarm Drones
Artificial Intelligence - MENA &gt; Drones &gt; Services &gt; Precision Agriculture &gt; Swarm Drones
Enterprise Tech - MENA &gt; Drones &gt; Services &gt; Precision Agriculture &gt; Swarm Drones
HiTech - Israel &gt; Drones &gt; Services &gt; Precision Agriculture &gt; Swarm Drones
Artificial Intelligence - Israel &gt; Drones &gt; Services &gt; Precision Agriculture &gt; Swarm Drones
Agriculture Drones &gt; Drones &gt; Services &gt; Precision Agriculture &gt; Swarm Drones
Commercial Drones &gt; Drones &gt; Services &gt; Precision Agriculture &gt; Swarm Drones
HiTech - MENA &gt; Drones &gt; Services &gt; Precision Agriculture &gt; Swarm Drones
Artificial Intelligence &gt; Drones &gt; Services &gt; Precision Agriculture &gt; Swarm Drones
Enterprise Tech - Israel &gt; Drones &gt; Services &gt; Precision Agriculture &gt; Swarm Drones
Cisco &gt; Drones &gt; Services &gt; Precision Agriculture &gt; Swarm Drones</t>
  </si>
  <si>
    <t>ICICI Venture; iciciventure.com</t>
  </si>
  <si>
    <t>Annona</t>
  </si>
  <si>
    <t>annona.co</t>
  </si>
  <si>
    <t>Develops block-chain based supply chain solutions for agriculture businesses</t>
  </si>
  <si>
    <t>Blockchain &gt; Agriculture
Enterprise Tech - Africa &gt; Blockchain &gt; Agriculture
Crop Tech &gt; Post Harvest Management &gt; Traceability
Enterprise Tech - Africa &gt; Crop Tech &gt; Post Harvest Management &gt; Traceability</t>
  </si>
  <si>
    <t>DOMO Invest; domoinvest.com.br</t>
  </si>
  <si>
    <t>V Kavita
N Vimala</t>
  </si>
  <si>
    <t>V Kavita</t>
  </si>
  <si>
    <t>Farm Dog</t>
  </si>
  <si>
    <t>farmdog.ag</t>
  </si>
  <si>
    <t>Fusion LA; fusionlabs.la</t>
  </si>
  <si>
    <t>Fusion LA</t>
  </si>
  <si>
    <t>Farm activity management software</t>
  </si>
  <si>
    <t>Crop Tech &gt; Farm Management Software &gt; Pest Monitoring
SaaS &gt; Crop Tech &gt; Farm Management Software &gt; Pest Monitoring
SaaS - MENA &gt; Crop Tech &gt; Farm Management Software &gt; Pest Monitoring
Enterprise Tech - MENA &gt; Crop Tech &gt; Farm Management Software &gt; Pest Monitoring
SaaS - Israel &gt; Crop Tech &gt; Farm Management Software &gt; Pest Monitoring
Enterprise Tech - Israel &gt; Crop Tech &gt; Farm Management Software &gt; Pest Monitoring
Global SaaS &gt; Crop Tech &gt; Farm Management Software &gt; Pest Monitoring
Farm Management Software &gt; Crop Tech &gt; Farm Management Software &gt; Pest Monitoring</t>
  </si>
  <si>
    <t>GSMA; gsma.com</t>
  </si>
  <si>
    <t>Torres; torres.es
forbon.com
Gefen Capital; gefencapital.com
The Trendlines Group; trendlines.com</t>
  </si>
  <si>
    <t>Shlomo Nechama</t>
  </si>
  <si>
    <t xml:space="preserve">Torres
</t>
  </si>
  <si>
    <t>AgFunder; agfunder.com</t>
  </si>
  <si>
    <t>thinQbate; thinqbate.com</t>
  </si>
  <si>
    <t>thinQbate</t>
  </si>
  <si>
    <t>Nitish Kumar
Swapnil Kumar</t>
  </si>
  <si>
    <t>Auravant</t>
  </si>
  <si>
    <t>auravant.com</t>
  </si>
  <si>
    <t>NESsT; nesst.org
Glocal; glocalmanagers.com</t>
  </si>
  <si>
    <t>Farm data analytics using image processing and predictive analytics</t>
  </si>
  <si>
    <t>Crop Tech &gt; Farm Analytics &gt; Diversified
Enterprise Tech - Latam &gt; Crop Tech &gt; Farm Analytics &gt; Diversified
SaaS - Latam &gt; Crop Tech &gt; Farm Analytics &gt; Diversified
SaaS &gt; Crop Tech &gt; Farm Analytics &gt; Diversified
Farm Analytics &gt; Crop Tech &gt; Farm Analytics &gt; Diversified</t>
  </si>
  <si>
    <t>BIRAC; birac.nic.in</t>
  </si>
  <si>
    <t>Propeller; propellerinc.com
500 Startups; 500.co
Wamda Capital; wamdacapital.com
Agrimatco; agrimatco.com</t>
  </si>
  <si>
    <t>Propeller
500 Startups
Wamda Capital
Agrimatco</t>
  </si>
  <si>
    <t>Travis Kalanick</t>
  </si>
  <si>
    <t>Uber; uber.com</t>
  </si>
  <si>
    <t>Uber</t>
  </si>
  <si>
    <t>Native Angels Network; nativeangelsnetwork.com
Ascent E Digit Solution; aedindia.com</t>
  </si>
  <si>
    <t>P Mayilvel
A S Prabhu
G N Jayaram
Jayaram Govindarajan
M Unnamalai
G Vanjinath
Sarath Selvanathan
M Yuvarani
Shree Shivkumar
Vellayan Lakshmanan
Vimal Veereshwarayya
Thiagarajan Aravamudan
N Sugumar
S Vijayan
Sivakumar Sadayappan
Pratik Agarwal</t>
  </si>
  <si>
    <t>Native Angels Network
P Mayilvel</t>
  </si>
  <si>
    <t>CreedCap Asia Advisors; creedcapasia.com
Indian Angel Network; indianangelnetwork.com</t>
  </si>
  <si>
    <t>Trifecta Capital</t>
  </si>
  <si>
    <t>ProLogis; glprop.com.cn
Matrix Partners China; matrixpartners.com.cn
Puhua Capital; puhuacapital.com
IDG; cn.idgcapital.com</t>
  </si>
  <si>
    <t>ProLogis
IDG</t>
  </si>
  <si>
    <t>Genica</t>
  </si>
  <si>
    <t>genica.com.br</t>
  </si>
  <si>
    <t>Piracicaba, Estado De Sao Paulo, Brazil</t>
  </si>
  <si>
    <t>Shenzhen Chaoqun Hi-tech Group</t>
  </si>
  <si>
    <t>51xnb.com</t>
  </si>
  <si>
    <t>Cloud-based omnichannel marketing solutions for agribusinesses</t>
  </si>
  <si>
    <t>Crop Tech &gt; Farm Management Software &gt; Diversified
Enterprise Tech - China &gt; Crop Tech &gt; Farm Management Software &gt; Diversified
SaaS &gt; Crop Tech &gt; Farm Management Software &gt; Diversified
AI in Agriculture &gt; Crop Tech &gt; Farm Management Software &gt; Diversified
Artificial Intelligence - China &gt; Crop Tech &gt; Farm Management Software &gt; Diversified
Artificial Intelligence &gt; Crop Tech &gt; Farm Management Software &gt; Diversified
SaaS - China &gt; Crop Tech &gt; Farm Management Software &gt; Diversified
Farm Management Software &gt; Crop Tech &gt; Farm Management Software &gt; Diversified
MarketingTech &gt; Suite &gt; SMB
SaaS - China &gt; MarketingTech &gt; Suite &gt; SMB
SaaS &gt; MarketingTech &gt; Suite &gt; SMB
Enterprise Tech - China &gt; MarketingTech &gt; Suite &gt; SMB
Artificial Intelligence &gt; MarketingTech &gt; Suite &gt; SMB
Artificial Intelligence - China &gt; MarketingTech &gt; Suite &gt; SMB
AI in Advertising and Marketing &gt; MarketingTech &gt; Suite &gt; SMB</t>
  </si>
  <si>
    <t>Arun Seed; arunseed.jp</t>
  </si>
  <si>
    <t>Arun Seed</t>
  </si>
  <si>
    <t>Flat6Labs Cairo; flat6labscairo.com</t>
  </si>
  <si>
    <t>Flat6Labs Cairo</t>
  </si>
  <si>
    <t>Tiger Global Management; tigerglobal.com
Genesis Capital; gcfunds.com</t>
  </si>
  <si>
    <t>BrownApron</t>
  </si>
  <si>
    <t>brownapron.com</t>
  </si>
  <si>
    <t>Poornanand Mandalika
Manivel Kulandaivelu
Varun Vijay Rao
Deepak Gopinath</t>
  </si>
  <si>
    <t>Manivel Kulandaivelu</t>
  </si>
  <si>
    <t>Online meat retailer</t>
  </si>
  <si>
    <t>Livestock Tech &gt; ECommerce &gt; Farm Produce &gt; B2C &gt; Retailer &gt; Meat
Consumer Digital - India &gt; Livestock Tech &gt; ECommerce &gt; Farm Produce &gt; B2C &gt; Retailer &gt; Meat
IIM Bangalore &gt; Livestock Tech &gt; ECommerce &gt; Farm Produce &gt; B2C &gt; Retailer &gt; Meat
Online Grocery &gt; B2C Ecommerce &gt; Meat and Seafood &gt; Retailer &gt; Meat
Consumer Digital - India &gt; Online Grocery &gt; B2C Ecommerce &gt; Meat and Seafood &gt; Retailer &gt; Meat
IIM Bangalore &gt; Online Grocery &gt; B2C Ecommerce &gt; Meat and Seafood &gt; Retailer &gt; Meat
Meat Delivery &gt; Online Grocery &gt; B2C Ecommerce &gt; Meat and Seafood &gt; Retailer &gt; Meat
B2C Grocery Delivery &gt; Online Grocery &gt; B2C Ecommerce &gt; Meat and Seafood &gt; Retailer &gt; Meat
B2C E-Commerce &gt; Online Grocery &gt; B2C Ecommerce &gt; Meat and Seafood &gt; Retailer &gt; Meat</t>
  </si>
  <si>
    <t>Kreos Capital; kreoscapital.com</t>
  </si>
  <si>
    <t>shenhavlaw.com</t>
  </si>
  <si>
    <t>Jivabhumi</t>
  </si>
  <si>
    <t>jivabhumi.com</t>
  </si>
  <si>
    <t>Marketplace connecting consumers to farmer groups/cooperatives</t>
  </si>
  <si>
    <t>Online Grocery &gt; B2C Ecommerce &gt; Multi Category &gt; Marketplace &gt; Drop Shipping
Marketplaces &gt; Online Grocery &gt; B2C Ecommerce &gt; Multi Category &gt; Marketplace &gt; Drop Shipping
Consumer Digital - India &gt; Online Grocery &gt; B2C Ecommerce &gt; Multi Category &gt; Marketplace &gt; Drop Shipping
B2C Grocery Delivery &gt; Online Grocery &gt; B2C Ecommerce &gt; Multi Category &gt; Marketplace &gt; Drop Shipping
B2C E-Commerce &gt; Online Grocery &gt; B2C Ecommerce &gt; Multi Category &gt; Marketplace &gt; Drop Shipping
Crop Tech &gt; ECommerce &gt; Farm Produce &gt; B2C &gt; Fruits and Vegetables &gt; Marketplace
Marketplaces &gt; Crop Tech &gt; ECommerce &gt; Farm Produce &gt; B2C &gt; Fruits and Vegetables &gt; Marketplace
Consumer Digital - India &gt; Crop Tech &gt; ECommerce &gt; Farm Produce &gt; B2C &gt; Fruits and Vegetables &gt; Marketplace</t>
  </si>
  <si>
    <t>Woolly</t>
  </si>
  <si>
    <t>woolly.io</t>
  </si>
  <si>
    <t>Producer and supplier of fruits and vegetables</t>
  </si>
  <si>
    <t>Crop Tech &gt; Indoor Farming &gt; Hydroponics
Consumer Digital - India &gt; Crop Tech &gt; Indoor Farming &gt; Hydroponics
Enterprise Tech - India &gt; Crop Tech &gt; Indoor Farming &gt; Hydroponics
Indoor Farming &gt; Crop Tech &gt; Indoor Farming &gt; Hydroponics
Hydroponics &gt; Crop Tech &gt; Indoor Farming &gt; Hydroponics</t>
  </si>
  <si>
    <t>Singularity Ventures; singularityventures.in</t>
  </si>
  <si>
    <t>Ratan N Tata
Rajan Anandan
Srinivaas Sirigeri
Nikhil Velpanur
M A Tejani
Sanvar Oberoi</t>
  </si>
  <si>
    <t>M A Tejani</t>
  </si>
  <si>
    <t>Techstars; techstars.com
Social Capital; socialcapital.com
Cox Enterprises; coxenterprises.com
Right Side Capital Management; rightsidecapital.com</t>
  </si>
  <si>
    <t>Michael Cohn
Tyler Scriven
Christof Walter</t>
  </si>
  <si>
    <t>Techstars
Social Capital
Cox Enterprises
Right Side Capital Management</t>
  </si>
  <si>
    <t>Skymet Weather</t>
  </si>
  <si>
    <t>skymetweather.com</t>
  </si>
  <si>
    <t>Crop insurance and weather forecasting data services</t>
  </si>
  <si>
    <t>Crop Tech &gt; Farm Management Software &gt; Weather Forecasting
Farm Management Software &gt; Crop Tech &gt; Farm Management Software &gt; Weather Forecasting</t>
  </si>
  <si>
    <t>EY; ey.com</t>
  </si>
  <si>
    <t>Agrapp</t>
  </si>
  <si>
    <t>agrapp.cl</t>
  </si>
  <si>
    <t>Crop Tech &gt; Farm Management Software &gt; Diversified
SaaS &gt; Crop Tech &gt; Farm Management Software &gt; Diversified
SaaS - Latam &gt; Crop Tech &gt; Farm Management Software &gt; Diversified
Enterprise Tech - Latam &gt; Crop Tech &gt; Farm Management Software &gt; Diversified
Farm Management Software &gt; Crop Tech &gt; Farm Management Software &gt; Diversified</t>
  </si>
  <si>
    <t>TuRodeo</t>
  </si>
  <si>
    <t>turodeo.com</t>
  </si>
  <si>
    <t>Caballito, Buenos Aires F.d., Argentina</t>
  </si>
  <si>
    <t>Livestock Tech &gt; Livestock Farm Intelligence
Enterprise Tech - Latam &gt; Livestock Tech &gt; Livestock Farm Intelligence
IoT in Agriculture &gt; Livestock Tech &gt; Livestock Farm Intelligence
IoT Applications &gt; Industry Specific &gt; Agriculture &gt; Livestock
Enterprise Tech - Latam &gt; IoT Applications &gt; Industry Specific &gt; Agriculture &gt; Livestock
IoT in Agriculture &gt; IoT Applications &gt; Industry Specific &gt; Agriculture &gt; Livestock</t>
  </si>
  <si>
    <t>Tierra de Monte</t>
  </si>
  <si>
    <t>tierrademonte.com</t>
  </si>
  <si>
    <t>Santiago De Queretaro, Queretaro, Mexico</t>
  </si>
  <si>
    <t>Manufacturer and supplier of organic fertilizers and plant protection products</t>
  </si>
  <si>
    <t>Crop Tech &gt; Farm Inputs &gt; Biologicals &gt; Diversified
Climate Tech &gt; Crop Tech &gt; Farm Inputs &gt; Biologicals &gt; Diversified
Crop Biologicals &gt; Crop Tech &gt; Farm Inputs &gt; Biologicals &gt; Diversified
MassChallenge Batches &gt; Mexico &gt; 2017</t>
  </si>
  <si>
    <t>Yuktix</t>
  </si>
  <si>
    <t>yuktix.com</t>
  </si>
  <si>
    <t>Akshay Ranjan Chaurasia
Anumolu Sridhar Babu
Rajiv Singh
Santosh Raghu shetty
Prabhakar Mishra
Rajiv Motwani
Sarwesh Saurabh
John Thomas Clinton
Ashwin Kelkar
Dharmendra Singh
Tapas Ray
Aruna URS
Sakshi Singh</t>
  </si>
  <si>
    <t>Akshay Ranjan Chaurasia
Anumolu Sridhar Babu
Rajiv Singh
Santosh Raghu shetty</t>
  </si>
  <si>
    <t>Technology sensor products for remote monitoring and control of devices</t>
  </si>
  <si>
    <t>IoT Applications &gt; Industry Specific &gt; Agriculture &gt; Farms
IIT Kanpur &gt; IoT Applications &gt; Industry Specific &gt; Agriculture &gt; Farms
IoT in Agriculture &gt; IoT Applications &gt; Industry Specific &gt; Agriculture &gt; Farms
HiTech - India &gt; IoT Applications &gt; Industry Specific &gt; Agriculture &gt; Farms
Enterprise Tech - India &gt; IoT Applications &gt; Industry Specific &gt; Agriculture &gt; Farms
Crop Tech &gt; Farm Analytics &gt; Multispectral Sensing
IIT Kanpur &gt; Crop Tech &gt; Farm Analytics &gt; Multispectral Sensing
IoT in Agriculture &gt; Crop Tech &gt; Farm Analytics &gt; Multispectral Sensing
Enterprise Tech - India &gt; Crop Tech &gt; Farm Analytics &gt; Multispectral Sensing
Farm Analytics &gt; Crop Tech &gt; Farm Analytics &gt; Multispectral Sensing</t>
  </si>
  <si>
    <t>AgriApp</t>
  </si>
  <si>
    <t>agriapp.co.in</t>
  </si>
  <si>
    <t>Online marketplace for agriculture farm inputs</t>
  </si>
  <si>
    <t>Crop Tech &gt; ECommerce &gt; Farm Inputs &gt; Multi Category &gt; Marketplace
Marketplaces &gt; Crop Tech &gt; ECommerce &gt; Farm Inputs &gt; Multi Category &gt; Marketplace
Enterprise Tech - India &gt; Crop Tech &gt; ECommerce &gt; Farm Inputs &gt; Multi Category &gt; Marketplace
Farm Inputs E-Commerce &gt; Crop Tech &gt; ECommerce &gt; Farm Inputs &gt; Multi Category &gt; Marketplace</t>
  </si>
  <si>
    <t>FarmFriend</t>
  </si>
  <si>
    <t>farmfriend.cn</t>
  </si>
  <si>
    <t>YI Capital; zhiyivc.com
Shunwei Capital; shunwei.com
GGV Capital; ggvc.com
Gobi Partners; gobivc.com
Yunqi Partners; yunqi.vc
Zhen Fund; zhenfund.com</t>
  </si>
  <si>
    <t>Provider of farming services to farmers</t>
  </si>
  <si>
    <t>Crop Tech &gt; Farming as a Service &gt; Tech Enabled Services
Enterprise Tech - China &gt; Crop Tech &gt; Farming as a Service &gt; Tech Enabled Services
Consumer Digital - China &gt; Crop Tech &gt; Farming as a Service &gt; Tech Enabled Services
Goldman Sachs &gt; Crop Tech &gt; Farming as a Service &gt; Tech Enabled Services</t>
  </si>
  <si>
    <t>AquiNovo</t>
  </si>
  <si>
    <t>aquinovo.com</t>
  </si>
  <si>
    <t>Neovia Group; neovia-group.com</t>
  </si>
  <si>
    <t>Developer of specialized feed additive for aquaculture</t>
  </si>
  <si>
    <t>Aquaculture Tech &gt; Feeding &gt; Sustainable Feeds &gt; Microbial Based
Tel Aviv University &gt; Aquaculture Tech &gt; Feeding &gt; Sustainable Feeds &gt; Microbial Based
Climate Tech &gt; Aquaculture Tech &gt; Feeding &gt; Sustainable Feeds &gt; Microbial Based
Sustainable Animal And Fish Feed &gt; Aquaculture Tech &gt; Feeding &gt; Sustainable Feeds &gt; Microbial Based</t>
  </si>
  <si>
    <t>KrishiHub</t>
  </si>
  <si>
    <t>krishihub.com</t>
  </si>
  <si>
    <t>Villgro; villgro.org
Startup Incubation and Innovation Centre; siicincubator.com</t>
  </si>
  <si>
    <t>Vishal Sharma</t>
  </si>
  <si>
    <t>Startup Incubation and Innovation Centre</t>
  </si>
  <si>
    <t>Online platform for B2B sales fo vegetables</t>
  </si>
  <si>
    <t>Online Grocery &gt; B2B Ecommerce &gt; Farm Produce &gt; Fruits and Vegetables &gt; Marketplace
B2B Farm Produce E-Commerce &gt; Online Grocery &gt; B2B Ecommerce &gt; Farm Produce &gt; Fruits and Vegetables &gt; Marketplace
IIT Guwahati &gt; Online Grocery &gt; B2B Ecommerce &gt; Farm Produce &gt; Fruits and Vegetables &gt; Marketplace
Marketplaces &gt; Online Grocery &gt; B2B Ecommerce &gt; Farm Produce &gt; Fruits and Vegetables &gt; Marketplace
Enterprise Tech - India &gt; Online Grocery &gt; B2B Ecommerce &gt; Farm Produce &gt; Fruits and Vegetables &gt; Marketplace
B2B E-Commerce &gt; Food &amp; Beverages &gt; Groceries &gt; Farm Products &gt; Marketplace
Marketplaces &gt; B2B E-Commerce &gt; Food &amp; Beverages &gt; Groceries &gt; Farm Products &gt; Marketplace
IIT Guwahati &gt; B2B E-Commerce &gt; Food &amp; Beverages &gt; Groceries &gt; Farm Products &gt; Marketplace
Enterprise Tech - India &gt; B2B E-Commerce &gt; Food &amp; Beverages &gt; Groceries &gt; Farm Products &gt; Marketplace
Crop Tech &gt; ECommerce &gt; Farm Produce &gt; B2B &gt; Fruits and Vegetables &gt; Marketplace
IIT Guwahati &gt; Crop Tech &gt; ECommerce &gt; Farm Produce &gt; B2B &gt; Fruits and Vegetables &gt; Marketplace
Marketplaces &gt; Crop Tech &gt; ECommerce &gt; Farm Produce &gt; B2B &gt; Fruits and Vegetables &gt; Marketplace
Enterprise Tech - India &gt; Crop Tech &gt; ECommerce &gt; Farm Produce &gt; B2B &gt; Fruits and Vegetables &gt; Marketplace</t>
  </si>
  <si>
    <t>Hazem Abu Khalaf
Karl Magnus Olsson</t>
  </si>
  <si>
    <t>Scanner Bovino</t>
  </si>
  <si>
    <t>scannerbovino.com</t>
  </si>
  <si>
    <t>BMG UpTech; bmguptech.com.br</t>
  </si>
  <si>
    <t>Juiz De Fora, Estado De Minas Gerais, Brazil</t>
  </si>
  <si>
    <t>Herd management platform</t>
  </si>
  <si>
    <t>Livestock Tech &gt; Livestock Management Software
Consumer Digital - Latam &gt; Livestock Tech &gt; Livestock Management Software
Artificial Intelligence &gt; Livestock Tech &gt; Livestock Management Software
Consumer Digital - Brazil &gt; Livestock Tech &gt; Livestock Management Software
AI in Agriculture &gt; Livestock Tech &gt; Livestock Management Software</t>
  </si>
  <si>
    <t>FarmLink</t>
  </si>
  <si>
    <t>farmlink.in</t>
  </si>
  <si>
    <t>Pioneering Ventures; pioneering-ventures.com
Syngenta Ventures; syngentaventures.com</t>
  </si>
  <si>
    <t>Pioneering Ventures
Syngenta Ventures</t>
  </si>
  <si>
    <t>Online B2B Platform for supplying  fruits and vegetables</t>
  </si>
  <si>
    <t>Online Grocery &gt; B2B Ecommerce &gt; Farm Produce &gt; Fruits and Vegetables &gt; E-Distributor
INSEAD &gt; Online Grocery &gt; B2B Ecommerce &gt; Farm Produce &gt; Fruits and Vegetables &gt; E-Distributor
B2B Farm Produce E-Commerce &gt; Online Grocery &gt; B2B Ecommerce &gt; Farm Produce &gt; Fruits and Vegetables &gt; E-Distributor
Enterprise Tech - India &gt; Online Grocery &gt; B2B Ecommerce &gt; Farm Produce &gt; Fruits and Vegetables &gt; E-Distributor
Crop Tech &gt; ECommerce &gt; Farm Produce &gt; B2B &gt; Fruits and Vegetables &gt; E Distributor
INSEAD &gt; Crop Tech &gt; ECommerce &gt; Farm Produce &gt; B2B &gt; Fruits and Vegetables &gt; E Distributor
Enterprise Tech - India &gt; Crop Tech &gt; ECommerce &gt; Farm Produce &gt; B2B &gt; Fruits and Vegetables &gt; E Distributor
B2B E-Commerce &gt; Food &amp; Beverages &gt; Groceries &gt; Farm Products &gt; E-Distributor
INSEAD &gt; B2B E-Commerce &gt; Food &amp; Beverages &gt; Groceries &gt; Farm Products &gt; E-Distributor
Enterprise Tech - India &gt; B2B E-Commerce &gt; Food &amp; Beverages &gt; Groceries &gt; Farm Products &gt; E-Distributor</t>
  </si>
  <si>
    <t>Jayant Humbarwadi</t>
  </si>
  <si>
    <t>Gobasco</t>
  </si>
  <si>
    <t>gobasco.com</t>
  </si>
  <si>
    <t>Matrix Partners India; matrixpartners.in</t>
  </si>
  <si>
    <t>Matrix Partners India</t>
  </si>
  <si>
    <t>Manages supply chain of agricultural produce from farm to business</t>
  </si>
  <si>
    <t>Online Grocery &gt; B2B Ecommerce &gt; Farm Produce &gt; Fruits and Vegetables &gt; E-Distributor
Apple &gt; Online Grocery &gt; B2B Ecommerce &gt; Farm Produce &gt; Fruits and Vegetables &gt; E-Distributor
BITS Pilani &gt; Online Grocery &gt; B2B Ecommerce &gt; Farm Produce &gt; Fruits and Vegetables &gt; E-Distributor
IIT Roorkee &gt; Online Grocery &gt; B2B Ecommerce &gt; Farm Produce &gt; Fruits and Vegetables &gt; E-Distributor
Artificial Intelligence - India &gt; Online Grocery &gt; B2B Ecommerce &gt; Farm Produce &gt; Fruits and Vegetables &gt; E-Distributor
Artificial Intelligence &gt; Online Grocery &gt; B2B Ecommerce &gt; Farm Produce &gt; Fruits and Vegetables &gt; E-Distributor
B2B Farm Produce E-Commerce &gt; Online Grocery &gt; B2B Ecommerce &gt; Farm Produce &gt; Fruits and Vegetables &gt; E-Distributor
AI in Food &gt; Online Grocery &gt; B2B Ecommerce &gt; Farm Produce &gt; Fruits and Vegetables &gt; E-Distributor
Enterprise Tech - India &gt; Online Grocery &gt; B2B Ecommerce &gt; Farm Produce &gt; Fruits and Vegetables &gt; E-Distributor
Crop Tech &gt; ECommerce &gt; Farm Produce &gt; B2B &gt; Fruits and Vegetables &gt; E Distributor
BITS Pilani &gt; Crop Tech &gt; ECommerce &gt; Farm Produce &gt; B2B &gt; Fruits and Vegetables &gt; E Distributor
Apple &gt; Crop Tech &gt; ECommerce &gt; Farm Produce &gt; B2B &gt; Fruits and Vegetables &gt; E Distributor
AI in Agriculture &gt; Crop Tech &gt; ECommerce &gt; Farm Produce &gt; B2B &gt; Fruits and Vegetables &gt; E Distributor
Artificial Intelligence - India &gt; Crop Tech &gt; ECommerce &gt; Farm Produce &gt; B2B &gt; Fruits and Vegetables &gt; E Distributor
IIT Roorkee &gt; Crop Tech &gt; ECommerce &gt; Farm Produce &gt; B2B &gt; Fruits and Vegetables &gt; E Distributor
Artificial Intelligence &gt; Crop Tech &gt; ECommerce &gt; Farm Produce &gt; B2B &gt; Fruits and Vegetables &gt; E Distributor
Enterprise Tech - India &gt; Crop Tech &gt; ECommerce &gt; Farm Produce &gt; B2B &gt; Fruits and Vegetables &gt; E Distributor
B2B E-Commerce &gt; Food &amp; Beverages &gt; Groceries &gt; Farm Products &gt; E-Distributor
BITS Pilani &gt; B2B E-Commerce &gt; Food &amp; Beverages &gt; Groceries &gt; Farm Products &gt; E-Distributor
Apple &gt; B2B E-Commerce &gt; Food &amp; Beverages &gt; Groceries &gt; Farm Products &gt; E-Distributor
Artificial Intelligence - India &gt; B2B E-Commerce &gt; Food &amp; Beverages &gt; Groceries &gt; Farm Products &gt; E-Distributor
IIT Roorkee &gt; B2B E-Commerce &gt; Food &amp; Beverages &gt; Groceries &gt; Farm Products &gt; E-Distributor
AI in Retail &gt; B2B E-Commerce &gt; Food &amp; Beverages &gt; Groceries &gt; Farm Products &gt; E-Distributor
Artificial Intelligence &gt; B2B E-Commerce &gt; Food &amp; Beverages &gt; Groceries &gt; Farm Products &gt; E-Distributor
Enterprise Tech - India &gt; B2B E-Commerce &gt; Food &amp; Beverages &gt; Groceries &gt; Farm Products &gt; E-Distributor</t>
  </si>
  <si>
    <t>Yunnan Xiaobao Technology</t>
  </si>
  <si>
    <t>ynxbst.com</t>
  </si>
  <si>
    <t>Develops and offers portable miniature near-infrared spectrometer for agricultural applications</t>
  </si>
  <si>
    <t>Crop Tech &gt; Farm Analytics &gt; Multispectral Sensing
Farm Analytics &gt; Crop Tech &gt; Farm Analytics &gt; Multispectral Sensing</t>
  </si>
  <si>
    <t>Sandeep Daga
Ajay Malhotra
Komil Shah
Amitabh Jaipuria
Nishant Singh
Pushpa Mohta
Vijay Kumar Mahajan
Anurag Khandelia
Vivek Gangually
Sumit Tank
Ashish Khandelia
Ashok Biyani
Piyush Khandelwal
Ramchandra Rao
Sunil Govindlal Bhandari
Varun Mahajan
Vinay Kumar
Sunita Malik
Sheetal Pote</t>
  </si>
  <si>
    <t>Sandeep Daga</t>
  </si>
  <si>
    <t>Fortissimo Capital; ffcapital.com</t>
  </si>
  <si>
    <t>Beehive Technology</t>
  </si>
  <si>
    <t>beehivesa.com</t>
  </si>
  <si>
    <t>Tongdu Capital; tendencevc.com</t>
  </si>
  <si>
    <t>Develops drones for agricultural spraying, and offers spraying services</t>
  </si>
  <si>
    <t>Crop Tech &gt; Farming as a Service &gt; Tech Enabled Services
Enterprise Tech - China &gt; Crop Tech &gt; Farming as a Service &gt; Tech Enabled Services
Drones &gt; Services &gt; Precision Agriculture
Enterprise Tech - China &gt; Drones &gt; Services &gt; Precision Agriculture
HiTech - China &gt; Drones &gt; Services &gt; Precision Agriculture
Commercial Drones &gt; Drones &gt; Services &gt; Precision Agriculture
Agriculture Drones &gt; Drones &gt; Services &gt; Precision Agriculture</t>
  </si>
  <si>
    <t>Daffodil Software; daffodilsw.com</t>
  </si>
  <si>
    <t>Daffodil Software</t>
  </si>
  <si>
    <t>FarmTaaza</t>
  </si>
  <si>
    <t>farmtaaza.com</t>
  </si>
  <si>
    <t>Epsilon Venture Partners; epsilonventurepartners.com
IIML; iimlindia.com</t>
  </si>
  <si>
    <t>Bhaskar Vadlamani</t>
  </si>
  <si>
    <t>IIML</t>
  </si>
  <si>
    <t>Manages supply chain of fruits and vegetables from farm to business</t>
  </si>
  <si>
    <t>B2B E-Commerce &gt; Food &amp; Beverages &gt; Groceries &gt; Farm Products &gt; E-Distributor
Online Grocery &gt; B2B Ecommerce &gt; Farm Produce &gt; Fruits and Vegetables &gt; E-Distributor
B2B Farm Produce E-Commerce &gt; Online Grocery &gt; B2B Ecommerce &gt; Farm Produce &gt; Fruits and Vegetables &gt; E-Distributor
Crop Tech &gt; ECommerce &gt; Farm Produce &gt; B2B &gt; Fruits and Vegetables &gt; E Distributor</t>
  </si>
  <si>
    <t>Tbit</t>
  </si>
  <si>
    <t>tbit.com.br</t>
  </si>
  <si>
    <t>Lavras, Estado De Minas Gerais, Brazil</t>
  </si>
  <si>
    <t>System for content analysis and phenotyping using image analysis</t>
  </si>
  <si>
    <t>Crop Tech &gt; Farm Analytics &gt; Satellite Image Based
Farm Analytics &gt; Crop Tech &gt; Farm Analytics &gt; Satellite Image Based</t>
  </si>
  <si>
    <t>Dechets a l'Or</t>
  </si>
  <si>
    <t>dechetsalor.com</t>
  </si>
  <si>
    <t>Kankan, Kankan Prefecture, Guinea</t>
  </si>
  <si>
    <t>Collection and conversion of urban waste to biofertilizers and energy</t>
  </si>
  <si>
    <t>MassChallenge Batches &gt; Switzerland &gt; 2017 &gt; Gold
Crop Tech &gt; Farm Inputs &gt; Biologicals &gt; Crop Nutrition &gt; Food Waste &gt; Harvester Technology
Climate Tech &gt; Crop Tech &gt; Farm Inputs &gt; Biologicals &gt; Crop Nutrition &gt; Food Waste &gt; Harvester Technology
Crop Biologicals &gt; Crop Tech &gt; Farm Inputs &gt; Biologicals &gt; Crop Nutrition &gt; Food Waste &gt; Harvester Technology</t>
  </si>
  <si>
    <t>Tencent; tencent.com
Syngenta Ventures; syngentaventures.com</t>
  </si>
  <si>
    <t>Tencent</t>
  </si>
  <si>
    <t>Ankur Capital; ankurcapital.com
Beenext; beenext.com
BSP Funds; bspfunds.com</t>
  </si>
  <si>
    <t>Oasis; oasis.com</t>
  </si>
  <si>
    <t>Oasis</t>
  </si>
  <si>
    <t>Roshan Lal Tamak
Hamendra Mathur</t>
  </si>
  <si>
    <t>Roshan Lal Tamak</t>
  </si>
  <si>
    <t>EdenShield</t>
  </si>
  <si>
    <t>eden-shield.com</t>
  </si>
  <si>
    <t>OurCrowd; ourcrowd.com</t>
  </si>
  <si>
    <t>Development of agrochemicals for crop protection from desert plants</t>
  </si>
  <si>
    <t>Chemicals Tech &gt; Green Chemicals &gt; Crop Protection &gt; Plant Based
Crop Tech &gt; Farm Inputs &gt; Biologicals &gt; Crop Protection &gt; Plant Based
Climate Tech &gt; Crop Tech &gt; Farm Inputs &gt; Biologicals &gt; Crop Protection &gt; Plant Based
Crop Biologicals &gt; Crop Tech &gt; Farm Inputs &gt; Biologicals &gt; Crop Protection &gt; Plant Based</t>
  </si>
  <si>
    <t>Startupbootcamp; startupbootcamp.org</t>
  </si>
  <si>
    <t>Farmizen</t>
  </si>
  <si>
    <t>farmizen.com</t>
  </si>
  <si>
    <t>Venture Highway; venturehighway.vc</t>
  </si>
  <si>
    <t>Alok Mittal
Anuj Gupta
Mohit Agarwal
Manikandan Sundaram
Suhail Kassim
Suresh Kumar Jeevanani
Sudarshan Lal Maini</t>
  </si>
  <si>
    <t>Venture Highway</t>
  </si>
  <si>
    <t>Develops and operates digital application for community supported farming</t>
  </si>
  <si>
    <t>Crop Tech &gt; ECommerce &gt; Farm Inputs &gt; Farm Land Lease &gt; Listing
BITS Pilani &gt; Crop Tech &gt; ECommerce &gt; Farm Inputs &gt; Farm Land Lease &gt; Listing
Consumer Digital - India &gt; Crop Tech &gt; ECommerce &gt; Farm Inputs &gt; Farm Land Lease &gt; Listing
Farm Inputs E-Commerce &gt; Crop Tech &gt; ECommerce &gt; Farm Inputs &gt; Farm Land Lease &gt; Listing</t>
  </si>
  <si>
    <t>iProcure</t>
  </si>
  <si>
    <t>iprocu.re</t>
  </si>
  <si>
    <t>Safaricom; safaricom.co.ke</t>
  </si>
  <si>
    <t>SCM software for agriculture produce</t>
  </si>
  <si>
    <t>Crop Tech &gt; ECommerce &gt; Farm Produce &gt; B2B &gt; Fruits and Vegetables &gt; E Distributor
SaaS &gt; Crop Tech &gt; ECommerce &gt; Farm Produce &gt; B2B &gt; Fruits and Vegetables &gt; E Distributor
Enterprise Tech - Africa &gt; Crop Tech &gt; ECommerce &gt; Farm Produce &gt; B2B &gt; Fruits and Vegetables &gt; E Distributor</t>
  </si>
  <si>
    <t>Canaan Partners Israel; canaanil.com
IAngels; iangels.co
Mindset Ventures; mindset.ventures</t>
  </si>
  <si>
    <t>Canaan Partners Israel
IAngels
Mindset Ventures</t>
  </si>
  <si>
    <t>Green Robot Machinery</t>
  </si>
  <si>
    <t>grobomac.com</t>
  </si>
  <si>
    <t>Robotic machine for picking cotton</t>
  </si>
  <si>
    <t>Industrial Robotics &gt; Agriculture
HiTech - India &gt; Industrial Robotics &gt; Agriculture
Robotics in Agriculture &gt; Industrial Robotics &gt; Agriculture
Enterprise Tech - India &gt; Industrial Robotics &gt; Agriculture
Crop Tech &gt; Autonomous Farming &gt; Harvesting
Robotics in Agriculture &gt; Crop Tech &gt; Autonomous Farming &gt; Harvesting
Enterprise Tech - India &gt; Crop Tech &gt; Autonomous Farming &gt; Harvesting
Autonomous Farming &gt; Crop Tech &gt; Autonomous Farming &gt; Harvesting</t>
  </si>
  <si>
    <t>AmviCube</t>
  </si>
  <si>
    <t>amvicube.com</t>
  </si>
  <si>
    <t>Raichur, Karnataka, India</t>
  </si>
  <si>
    <t>Developer of paddy quality tester</t>
  </si>
  <si>
    <t>MassChallenge Batches &gt; Switzerland &gt; 2019
Enterprise Tech - India &gt; MassChallenge Batches &gt; Switzerland &gt; 2019
Crop Tech &gt; Post Harvest Management &gt; Quality Testing &gt; Grains
Enterprise Tech - India &gt; Crop Tech &gt; Post Harvest Management &gt; Quality Testing &gt; Grains</t>
  </si>
  <si>
    <t>Hummingbird</t>
  </si>
  <si>
    <t>hummingbird.in</t>
  </si>
  <si>
    <t>Ritu Shah
Ranjit Barthakur
Rohan Shah
Subramaniam Ramadorai</t>
  </si>
  <si>
    <t>Ritu Shah</t>
  </si>
  <si>
    <t>Provides analytical decision support and integrated information solutions to the agribusiness industries</t>
  </si>
  <si>
    <t>Crop Tech &gt; Farm Management Software &gt; Diversified
Enterprise Tech - India &gt; Crop Tech &gt; Farm Management Software &gt; Diversified
Farm Management Software &gt; Crop Tech &gt; Farm Management Software &gt; Diversified
Data as a Service &gt; Industries &gt; Agriculture and Forestry Data &gt; Agronomic Intelligence
Enterprise Tech - India &gt; Data as a Service &gt; Industries &gt; Agriculture and Forestry Data &gt; Agronomic Intelligence</t>
  </si>
  <si>
    <t>Cultivando Futuro</t>
  </si>
  <si>
    <t>cultivandofuturo.com</t>
  </si>
  <si>
    <t>The Good Kitchen; good.kitchen</t>
  </si>
  <si>
    <t>Bogota, Bogota D.c., Colombia</t>
  </si>
  <si>
    <t>Online marketplace for farmers to sell their products directly to wholesalers and retailers</t>
  </si>
  <si>
    <t>Crop Tech &gt; ECommerce &gt; Farm Produce &gt; B2B &gt; Fruits and Vegetables &gt; Marketplace
Marketplaces &gt; Crop Tech &gt; ECommerce &gt; Farm Produce &gt; B2B &gt; Fruits and Vegetables &gt; Marketplace
Enterprise Tech - Latam &gt; Crop Tech &gt; ECommerce &gt; Farm Produce &gt; B2B &gt; Fruits and Vegetables &gt; Marketplace
B2B E-Commerce &gt; Food &amp; Beverages &gt; Groceries &gt; Farm Products &gt; Marketplace
Marketplaces &gt; B2B E-Commerce &gt; Food &amp; Beverages &gt; Groceries &gt; Farm Products &gt; Marketplace
Enterprise Tech - Latam &gt; B2B E-Commerce &gt; Food &amp; Beverages &gt; Groceries &gt; Farm Products &gt; Marketplace</t>
  </si>
  <si>
    <t>Aspada Investments; aspada.com
Unilazer Ventures; unilazer.com
Samridhi Fund; samridhifund.com</t>
  </si>
  <si>
    <t>Menterra Venture Advisors; menterra.com
Milliways Ventures; milliwaysventures.com
Rebright Partners; rebrightpartners.com
3one4 Capital; 3one4capital.com
Fireside Ventures; firesideventures.com
Artha India Ventures; artha.ventures</t>
  </si>
  <si>
    <t>Aparna Santosh Nadampalli
Venkatachary Srinivasan</t>
  </si>
  <si>
    <t>Menterra Venture Advisors</t>
  </si>
  <si>
    <t>Factor[e] Ventures; factore.com
Citadel Ventures; citadelvc.com
LetsVenture; letsventure.com
Yukti; yukti.in</t>
  </si>
  <si>
    <t>Rajan Anandan
Dhruv Agarwala
Pradeep Sarin
Pankaj Rathi
Arjun Chitoor
Krishnan Akhileswaran</t>
  </si>
  <si>
    <t>Factor[e] Ventures</t>
  </si>
  <si>
    <t>Global Innovation Fund</t>
  </si>
  <si>
    <t>Varun Vijay Rao
Deepak Gopinath
Manivel Kulandaivelu
Ganesh M Shivanna</t>
  </si>
  <si>
    <t>Varun Vijay Rao</t>
  </si>
  <si>
    <t>Wamda Capital; wamdacapital.com
Omidyar Network; omidyar.com
Blue Haven Initiative; bluehaveninitiative.com
AHL Venture Partners; ahlventurepartners.com
Uqalo; uqalo.com
DOB Equity; dobequity.nl
AlphaMundi; alphamundi.ch
1776 Ventures; 1776.ventures</t>
  </si>
  <si>
    <t>Wamda Capital</t>
  </si>
  <si>
    <t>Wamda Capital; wamdacapital.com
Omidyar Network; omidyar.com
Blue Haven Initiative; bluehaveninitiative.com
AHL Venture Partners; ahlventurepartners.com
DOB Equity; dobequity.nl
AlphaMundi; alphamundi.ch
Uqalo; uqalo.com
1776 Ventures; 1776.ventures</t>
  </si>
  <si>
    <t>usaid.gov
GSMA; gsma.com</t>
  </si>
  <si>
    <t>Farmfolio</t>
  </si>
  <si>
    <t>farmfolio.net</t>
  </si>
  <si>
    <t>Medellin, Antioquia, Colombia</t>
  </si>
  <si>
    <t>Crowdfunding platform for agriculture projects in central and south America</t>
  </si>
  <si>
    <t>Crowdfunding &gt; Equity &gt; Agriculture
Enterprise Tech - Latam &gt; Crowdfunding &gt; Equity &gt; Agriculture
FinTech - Latam &gt; Crowdfunding &gt; Equity &gt; Agriculture
Equity Crowdfunding &gt; Crowdfunding &gt; Equity &gt; Agriculture
Agri FinTech &gt; Crowdfunding &gt; Equity &gt; Agriculture
Crop Tech &gt; Finance &gt; Crowdfunding
Enterprise Tech - Latam &gt; Crop Tech &gt; Finance &gt; Crowdfunding</t>
  </si>
  <si>
    <t>Prospera</t>
  </si>
  <si>
    <t>prospera.ag</t>
  </si>
  <si>
    <t>Qualcomm Ventures; qualcommventures.com
Cisco Investments; ciscoinvestments.com
Bessemer Venture Partners; bvp.com
Israel Cleantech Ventures; icv.vc</t>
  </si>
  <si>
    <t>Qualcomm Ventures</t>
  </si>
  <si>
    <t>Technology solutions for plant health monitoring</t>
  </si>
  <si>
    <t>Crop Tech &gt; Farm Management Software &gt; Diversified
SaaS &gt; Crop Tech &gt; Farm Management Software &gt; Diversified
Artificial Intelligence - MENA &gt; Crop Tech &gt; Farm Management Software &gt; Diversified
SaaS - MENA &gt; Crop Tech &gt; Farm Management Software &gt; Diversified
Enterprise Tech - MENA &gt; Crop Tech &gt; Farm Management Software &gt; Diversified
AI in Agriculture &gt; Crop Tech &gt; Farm Management Software &gt; Diversified
Artificial Intelligence - Israel &gt; Crop Tech &gt; Farm Management Software &gt; Diversified
SaaS - Israel &gt; Crop Tech &gt; Farm Management Software &gt; Diversified
Artificial Intelligence &gt; Crop Tech &gt; Farm Management Software &gt; Diversified
Enterprise Tech - Israel &gt; Crop Tech &gt; Farm Management Software &gt; Diversified
IoT in Agriculture &gt; Crop Tech &gt; Farm Management Software &gt; Diversified
Farm Management Software &gt; Crop Tech &gt; Farm Management Software &gt; Diversified
Computer Vision &gt; Industry Specific Applications &gt; Agriculture &gt; Crops
SaaS &gt; Computer Vision &gt; Industry Specific Applications &gt; Agriculture &gt; Crops
Artificial Intelligence - MENA &gt; Computer Vision &gt; Industry Specific Applications &gt; Agriculture &gt; Crops
SaaS - MENA &gt; Computer Vision &gt; Industry Specific Applications &gt; Agriculture &gt; Crops
Enterprise Tech - MENA &gt; Computer Vision &gt; Industry Specific Applications &gt; Agriculture &gt; Crops
HiTech - Israel &gt; Computer Vision &gt; Industry Specific Applications &gt; Agriculture &gt; Crops
Artificial Intelligence - Israel &gt; Computer Vision &gt; Industry Specific Applications &gt; Agriculture &gt; Crops
SaaS - Israel &gt; Computer Vision &gt; Industry Specific Applications &gt; Agriculture &gt; Crops
IoT in Agriculture &gt; Computer Vision &gt; Industry Specific Applications &gt; Agriculture &gt; Crops
HiTech - MENA &gt; Computer Vision &gt; Industry Specific Applications &gt; Agriculture &gt; Crops
Artificial Intelligence &gt; Computer Vision &gt; Industry Specific Applications &gt; Agriculture &gt; Crops
Enterprise Tech - Israel &gt; Computer Vision &gt; Industry Specific Applications &gt; Agriculture &gt; Crops
IoT Applications &gt; Industry Specific &gt; Agriculture &gt; Farms
SaaS &gt; IoT Applications &gt; Industry Specific &gt; Agriculture &gt; Farms
Artificial Intelligence - MENA &gt; IoT Applications &gt; Industry Specific &gt; Agriculture &gt; Farms
SaaS - MENA &gt; IoT Applications &gt; Industry Specific &gt; Agriculture &gt; Farms
Enterprise Tech - MENA &gt; IoT Applications &gt; Industry Specific &gt; Agriculture &gt; Farms
Artificial Intelligence - Israel &gt; IoT Applications &gt; Industry Specific &gt; Agriculture &gt; Farms
SaaS - Israel &gt; IoT Applications &gt; Industry Specific &gt; Agriculture &gt; Farms
Artificial Intelligence &gt; IoT Applications &gt; Industry Specific &gt; Agriculture &gt; Farms
Enterprise Tech - Israel &gt; IoT Applications &gt; Industry Specific &gt; Agriculture &gt; Farms
HiTech - Israel &gt; IoT Applications &gt; Industry Specific &gt; Agriculture &gt; Farms
HiTech - MENA &gt; IoT Applications &gt; Industry Specific &gt; Agriculture &gt; Farms
IoT in Agriculture &gt; IoT Applications &gt; Industry Specific &gt; Agriculture &gt; Farms</t>
  </si>
  <si>
    <t>TPG; tpg.com</t>
  </si>
  <si>
    <t>TPG</t>
  </si>
  <si>
    <t>Sirius Venture Capital; sirius.com.sg</t>
  </si>
  <si>
    <t>Blume Ventures; blume.vc
Venture Highway; venturehighway.vc
500 Startups; 500.co</t>
  </si>
  <si>
    <t>5ufarm</t>
  </si>
  <si>
    <t>5ufarm.com</t>
  </si>
  <si>
    <t>Fenbushi Capital; fenbushi.vc
Fangyi Equity Investment Fund; fangfund.com</t>
  </si>
  <si>
    <t>Chengdu, Sichuan Sheng, China</t>
  </si>
  <si>
    <t>Online platform for agro products</t>
  </si>
  <si>
    <t>Crop Tech &gt; ECommerce &gt; Farm Produce &gt; B2C &gt; Fruits and Vegetables &gt; Marketplace
Consumer Digital - China &gt; Crop Tech &gt; ECommerce &gt; Farm Produce &gt; B2C &gt; Fruits and Vegetables &gt; Marketplace
Marketplaces &gt; Crop Tech &gt; ECommerce &gt; Farm Produce &gt; B2C &gt; Fruits and Vegetables &gt; Marketplace
Online Grocery &gt; B2C Ecommerce &gt; Multi Category &gt; Marketplace &gt; Own Delivery Fleet
Consumer Digital - China &gt; Online Grocery &gt; B2C Ecommerce &gt; Multi Category &gt; Marketplace &gt; Own Delivery Fleet
Marketplaces &gt; Online Grocery &gt; B2C Ecommerce &gt; Multi Category &gt; Marketplace &gt; Own Delivery Fleet
Gig Employers &gt; Online Grocery &gt; B2C Ecommerce &gt; Multi Category &gt; Marketplace &gt; Own Delivery Fleet
B2C Grocery Delivery &gt; Online Grocery &gt; B2C Ecommerce &gt; Multi Category &gt; Marketplace &gt; Own Delivery Fleet
B2C E-Commerce &gt; Online Grocery &gt; B2C Ecommerce &gt; Multi Category &gt; Marketplace &gt; Own Delivery Fleet
Logistics Tech &gt; Parcel &gt; Hyperlocal &gt; B2C &gt; Grocery
Consumer Digital - China &gt; Logistics Tech &gt; Parcel &gt; Hyperlocal &gt; B2C &gt; Grocery
Marketplaces &gt; Logistics Tech &gt; Parcel &gt; Hyperlocal &gt; B2C &gt; Grocery
Gig Employers &gt; Logistics Tech &gt; Parcel &gt; Hyperlocal &gt; B2C &gt; Grocery
Hyperlocal Delivery &gt; Logistics Tech &gt; Parcel &gt; Hyperlocal &gt; B2C &gt; Grocery</t>
  </si>
  <si>
    <t>Kalaari Capital; kalaari.com
Nexus Venture Partners; nexusvp.com</t>
  </si>
  <si>
    <t>TOMATIKI</t>
  </si>
  <si>
    <t>tomatiki.com</t>
  </si>
  <si>
    <t>Innoventures; innoventures.me</t>
  </si>
  <si>
    <t>Cairo, Cairo, Egypt
Heliopolis, Muhafazat Al Qahirah, Egypt</t>
  </si>
  <si>
    <t>Develops and offers IoT based farm management solutions</t>
  </si>
  <si>
    <t>Crop Tech &gt; Farm Management Software &gt; Diversified
Enterprise Tech - MENA &gt; Crop Tech &gt; Farm Management Software &gt; Diversified
Enterprise Tech - Africa &gt; Crop Tech &gt; Farm Management Software &gt; Diversified
IoT in Agriculture &gt; Crop Tech &gt; Farm Management Software &gt; Diversified
Farm Management Software &gt; Crop Tech &gt; Farm Management Software &gt; Diversified
IoT Applications &gt; Industry Specific &gt; Agriculture &gt; Farms
Enterprise Tech - MENA &gt; IoT Applications &gt; Industry Specific &gt; Agriculture &gt; Farms
Enterprise Tech - Africa &gt; IoT Applications &gt; Industry Specific &gt; Agriculture &gt; Farms
HiTech - MENA &gt; IoT Applications &gt; Industry Specific &gt; Agriculture &gt; Farms
IoT in Agriculture &gt; IoT Applications &gt; Industry Specific &gt; Agriculture &gt; Farms</t>
  </si>
  <si>
    <t>Shennong</t>
  </si>
  <si>
    <t>sndistinguish.com</t>
  </si>
  <si>
    <t>Tisiwi Ventures; tisiwi.com</t>
  </si>
  <si>
    <t>Tisiwi Ventures</t>
  </si>
  <si>
    <t>China</t>
  </si>
  <si>
    <t>Precision agriculture services provider</t>
  </si>
  <si>
    <t>Crop Tech &gt; Farm Management Software &gt; Diversified
Enterprise Tech - China &gt; Crop Tech &gt; Farm Management Software &gt; Diversified
AI in Agriculture &gt; Crop Tech &gt; Farm Management Software &gt; Diversified
Artificial Intelligence - China &gt; Crop Tech &gt; Farm Management Software &gt; Diversified
Artificial Intelligence &gt; Crop Tech &gt; Farm Management Software &gt; Diversified
Farm Management Software &gt; Crop Tech &gt; Farm Management Software &gt; Diversified</t>
  </si>
  <si>
    <t>easykrishi</t>
  </si>
  <si>
    <t>easykrishi.com</t>
  </si>
  <si>
    <t>Mobile software platform that connects small-scale suppliers with agricultural bulk buyers</t>
  </si>
  <si>
    <t>Crop Tech &gt; ECommerce &gt; Farm Produce &gt; B2B &gt; Fruits and Vegetables &gt; Marketplace
Marketplaces &gt; Crop Tech &gt; ECommerce &gt; Farm Produce &gt; B2B &gt; Fruits and Vegetables &gt; Marketplace
Enterprise Tech - India &gt; Crop Tech &gt; ECommerce &gt; Farm Produce &gt; B2B &gt; Fruits and Vegetables &gt; Marketplace</t>
  </si>
  <si>
    <t>Matrix Partners China; matrixpartners.com.cn
China Growth Capital; chinagrowthcapital.com
Orchid Asia Group; orchidasia.com</t>
  </si>
  <si>
    <t>Matrix Partners China
China Growth Capital
Orchid Asia Group</t>
  </si>
  <si>
    <t>Fincluders; fincluders.com</t>
  </si>
  <si>
    <t>Canary; canary.com.br</t>
  </si>
  <si>
    <t>Gobi Partners; gobivc.com
Yunqi Partners; yunqi.vc
GGV Capital; ggvc.com
Shunwei Capital; shunwei.com
Zhen Fund; zhenfund.com</t>
  </si>
  <si>
    <t>4Di Capital; 4dicapital.com
Savannah Fund; savannah.vc</t>
  </si>
  <si>
    <t>4Di Capital
Savannah Fund</t>
  </si>
  <si>
    <t>Propeller; propellerinc.com</t>
  </si>
  <si>
    <t>Propeller</t>
  </si>
  <si>
    <t>Cowlar</t>
  </si>
  <si>
    <t>cowlar.com</t>
  </si>
  <si>
    <t>Islamabad, Islamabad Capital Territory, Pakistan</t>
  </si>
  <si>
    <t>Integrated platform for real-time dairy cattle monitoring and alerts for problematic issues</t>
  </si>
  <si>
    <t>IoT Applications &gt; Industry Specific &gt; Agriculture &gt; Livestock
IoT in Retail &gt; IoT Applications &gt; Industry Specific &gt; Agriculture &gt; Livestock
IoT in Agriculture &gt; IoT Applications &gt; Industry Specific &gt; Agriculture &gt; Livestock
Livestock Tech &gt; Tracking &gt; GPS Collars &gt; Cattle
IoT in Retail &gt; Livestock Tech &gt; Tracking &gt; GPS Collars &gt; Cattle
IoT in Agriculture &gt; Livestock Tech &gt; Tracking &gt; GPS Collars &gt; Cattle
Wearable Technology &gt; Pet Wearables &gt; Cattle Monitoring
Pet Wearables &gt; Wearable Technology &gt; Pet Wearables &gt; Cattle Monitoring
IoT in Retail &gt; Wearable Technology &gt; Pet Wearables &gt; Cattle Monitoring
IoT in Agriculture &gt; Wearable Technology &gt; Pet Wearables &gt; Cattle Monitoring
Pet Tech &gt; Pet Care Management &gt; Health Monitoring &gt; Cats and Dogs &gt; Wearable
IoT in Retail &gt; Pet Tech &gt; Pet Care Management &gt; Health Monitoring &gt; Cats and Dogs &gt; Wearable
IoT in Agriculture &gt; Pet Tech &gt; Pet Care Management &gt; Health Monitoring &gt; Cats and Dogs &gt; Wearable
Internet First Brands &gt; Pet Tech &gt; Pet Care Management &gt; Health Monitoring &gt; Cats and Dogs &gt; Wearable
Y Combinator Batches &gt; 2017 &gt; Winter</t>
  </si>
  <si>
    <t>Bioestibas</t>
  </si>
  <si>
    <t>bioestibas.com</t>
  </si>
  <si>
    <t>Provider of waste management solutions for agribusinesses</t>
  </si>
  <si>
    <t>Crop Tech &gt; Farm Inputs &gt; Biologicals &gt; Crop Nutrition &gt; Food Waste
Climate Tech &gt; Crop Tech &gt; Farm Inputs &gt; Biologicals &gt; Crop Nutrition &gt; Food Waste
Enterprise Tech - Latam &gt; Crop Tech &gt; Farm Inputs &gt; Biologicals &gt; Crop Nutrition &gt; Food Waste
Crop Biologicals &gt; Crop Tech &gt; Farm Inputs &gt; Biologicals &gt; Crop Nutrition &gt; Food Waste</t>
  </si>
  <si>
    <t>Facebook; facebook.com</t>
  </si>
  <si>
    <t>Agrikaab</t>
  </si>
  <si>
    <t>agrikaab.com</t>
  </si>
  <si>
    <t>Fast Track Malmo; fasttrackmalmo.com</t>
  </si>
  <si>
    <t>Fast Track Malmo</t>
  </si>
  <si>
    <t>Online crowdfunding platform for agriculture businesses</t>
  </si>
  <si>
    <t>SensoGenic</t>
  </si>
  <si>
    <t>sensogenic.com</t>
  </si>
  <si>
    <t>Food sensing device for detecting allergens</t>
  </si>
  <si>
    <t>Sensors &gt; Industry Applications &gt; Food
Consumer Digital - MENA &gt; Sensors &gt; Industry Applications &gt; Food
Enterprise Tech - MENA &gt; Sensors &gt; Industry Applications &gt; Food
Tel Aviv University &gt; Sensors &gt; Industry Applications &gt; Food
Apple &gt; Sensors &gt; Industry Applications &gt; Food
Enterprise Tech - Israel &gt; Sensors &gt; Industry Applications &gt; Food
Consumer Digital - Israel &gt; Sensors &gt; Industry Applications &gt; Food
Intel &gt; Sensors &gt; Industry Applications &gt; Food
Food Tech &gt; Tech Hardware &gt; Food Safety &gt; Consumer Focused &gt; Allergen Detection
Consumer Digital - MENA &gt; Food Tech &gt; Tech Hardware &gt; Food Safety &gt; Consumer Focused &gt; Allergen Detection
Enterprise Tech - Israel &gt; Food Tech &gt; Tech Hardware &gt; Food Safety &gt; Consumer Focused &gt; Allergen Detection
Consumer Digital - Israel &gt; Food Tech &gt; Tech Hardware &gt; Food Safety &gt; Consumer Focused &gt; Allergen Detection
Enterprise Tech - MENA &gt; Food Tech &gt; Tech Hardware &gt; Food Safety &gt; Consumer Focused &gt; Allergen Detection
Tel Aviv University &gt; Food Tech &gt; Tech Hardware &gt; Food Safety &gt; Consumer Focused &gt; Allergen Detection
Apple &gt; Food Tech &gt; Tech Hardware &gt; Food Safety &gt; Consumer Focused &gt; Allergen Detection
Intel &gt; Food Tech &gt; Tech Hardware &gt; Food Safety &gt; Consumer Focused &gt; Allergen Detection
Food Safety Analysis &gt; Food Tech &gt; Tech Hardware &gt; Food Safety &gt; Consumer Focused &gt; Allergen Detection
Crop Tech &gt; Post Harvest Management &gt; Quality Testing &gt; Fruits and Vegetables &gt; Sensors
Enterprise Tech - MENA &gt; Crop Tech &gt; Post Harvest Management &gt; Quality Testing &gt; Fruits and Vegetables &gt; Sensors
Apple &gt; Crop Tech &gt; Post Harvest Management &gt; Quality Testing &gt; Fruits and Vegetables &gt; Sensors
Consumer Digital - Israel &gt; Crop Tech &gt; Post Harvest Management &gt; Quality Testing &gt; Fruits and Vegetables &gt; Sensors
Intel &gt; Crop Tech &gt; Post Harvest Management &gt; Quality Testing &gt; Fruits and Vegetables &gt; Sensors
Consumer Digital - MENA &gt; Crop Tech &gt; Post Harvest Management &gt; Quality Testing &gt; Fruits and Vegetables &gt; Sensors
Tel Aviv University &gt; Crop Tech &gt; Post Harvest Management &gt; Quality Testing &gt; Fruits and Vegetables &gt; Sensors
Enterprise Tech - Israel &gt; Crop Tech &gt; Post Harvest Management &gt; Quality Testing &gt; Fruits and Vegetables &gt; Sensors
MassChallenge Batches &gt; Israel &gt; 2017
Enterprise Tech - MENA &gt; MassChallenge Batches &gt; Israel &gt; 2017
Apple &gt; MassChallenge Batches &gt; Israel &gt; 2017
Consumer Digital - Israel &gt; MassChallenge Batches &gt; Israel &gt; 2017
Consumer Digital - MENA &gt; MassChallenge Batches &gt; Israel &gt; 2017
Tel Aviv University &gt; MassChallenge Batches &gt; Israel &gt; 2017
Enterprise Tech - Israel &gt; MassChallenge Batches &gt; Israel &gt; 2017
Intel &gt; MassChallenge Batches &gt; Israel &gt; 2017</t>
  </si>
  <si>
    <t>Trade Ghana</t>
  </si>
  <si>
    <t>tradeghana.co</t>
  </si>
  <si>
    <t>Listing platform for farmers and on demand transportation</t>
  </si>
  <si>
    <t>B2B E-Commerce &gt; Agriculture &gt; Listing Platform
Y Combinator Batches &gt; 2017 &gt; Winter
Crop Tech &gt; ECommerce &gt; Farm Produce &gt; B2B &gt; Grains</t>
  </si>
  <si>
    <t>Novastar Ventures; novastarventures.com</t>
  </si>
  <si>
    <t>CreedCap Asia Advisors; creedcapasia.com</t>
  </si>
  <si>
    <t>Farmster</t>
  </si>
  <si>
    <t>farmster.co</t>
  </si>
  <si>
    <t>Digital marketplace for small farms</t>
  </si>
  <si>
    <t>B2B E-Commerce &gt; Agriculture &gt; Marketplace
Enterprise Tech - MENA &gt; B2B E-Commerce &gt; Agriculture &gt; Marketplace
Marketplaces &gt; B2B E-Commerce &gt; Agriculture &gt; Marketplace
Enterprise Tech - Israel &gt; B2B E-Commerce &gt; Agriculture &gt; Marketplace
Harvard University &gt; B2B E-Commerce &gt; Agriculture &gt; Marketplace
Online Grocery &gt; B2B Ecommerce &gt; Farm Produce &gt; Multi-Category &gt; Marketplace
Harvard University &gt; Online Grocery &gt; B2B Ecommerce &gt; Farm Produce &gt; Multi-Category &gt; Marketplace
Enterprise Tech - MENA &gt; Online Grocery &gt; B2B Ecommerce &gt; Farm Produce &gt; Multi-Category &gt; Marketplace
Enterprise Tech - Israel &gt; Online Grocery &gt; B2B Ecommerce &gt; Farm Produce &gt; Multi-Category &gt; Marketplace
Marketplaces &gt; Online Grocery &gt; B2B Ecommerce &gt; Farm Produce &gt; Multi-Category &gt; Marketplace
B2B Farm Produce E-Commerce &gt; Online Grocery &gt; B2B Ecommerce &gt; Farm Produce &gt; Multi-Category &gt; Marketplace
MassChallenge Batches &gt; Israel &gt; 2017
Enterprise Tech - MENA &gt; MassChallenge Batches &gt; Israel &gt; 2017
Marketplaces &gt; MassChallenge Batches &gt; Israel &gt; 2017
Enterprise Tech - Israel &gt; MassChallenge Batches &gt; Israel &gt; 2017
Harvard University &gt; MassChallenge Batches &gt; Israel &gt; 2017
Crop Tech &gt; ECommerce &gt; Farm Produce &gt; B2B &gt; Fruits and Vegetables &gt; Marketplace
Enterprise Tech - MENA &gt; Crop Tech &gt; ECommerce &gt; Farm Produce &gt; B2B &gt; Fruits and Vegetables &gt; Marketplace
Marketplaces &gt; Crop Tech &gt; ECommerce &gt; Farm Produce &gt; B2B &gt; Fruits and Vegetables &gt; Marketplace
Enterprise Tech - Israel &gt; Crop Tech &gt; ECommerce &gt; Farm Produce &gt; B2B &gt; Fruits and Vegetables &gt; Marketplace
Harvard University &gt; Crop Tech &gt; ECommerce &gt; Farm Produce &gt; B2B &gt; Fruits and Vegetables &gt; Marketplace</t>
  </si>
  <si>
    <t>Thought For Food; tffchallenge.com</t>
  </si>
  <si>
    <t>Kulisha</t>
  </si>
  <si>
    <t>kulishafeed.com</t>
  </si>
  <si>
    <t>Aqua feed developed from insects</t>
  </si>
  <si>
    <t>Insect Farming Tech &gt; Insects &gt; Insect based Products &gt; Animal Feed &gt; Aquaculture
Climate Tech &gt; Insect Farming Tech &gt; Insects &gt; Insect based Products &gt; Animal Feed &gt; Aquaculture
MassChallenge Batches &gt; Boston &gt; 2017</t>
  </si>
  <si>
    <t>Wuabi</t>
  </si>
  <si>
    <t>wuabi.com.ar</t>
  </si>
  <si>
    <t>Crowdfunding platform for farming in Argentina</t>
  </si>
  <si>
    <t>Crop Tech &gt; Finance &gt; Crowdfunding
Enterprise Tech - Latam &gt; Crop Tech &gt; Finance &gt; Crowdfunding
Crowdfunding &gt; Revenue Sharing &gt; Agriculture
Enterprise Tech - Latam &gt; Crowdfunding &gt; Revenue Sharing &gt; Agriculture
FinTech - Latam &gt; Crowdfunding &gt; Revenue Sharing &gt; Agriculture
Agri FinTech &gt; Crowdfunding &gt; Revenue Sharing &gt; Agriculture</t>
  </si>
  <si>
    <t>tau-innovation.com</t>
  </si>
  <si>
    <t>QTLomics</t>
  </si>
  <si>
    <t>qtlomics.com</t>
  </si>
  <si>
    <t>Developer of agri-genomics based research and development</t>
  </si>
  <si>
    <t>Crop Tech &gt; Farm Inputs &gt; Seeds &gt; Field Crops &gt; Hybrid
Enterprise Tech - India &gt; Crop Tech &gt; Farm Inputs &gt; Seeds &gt; Field Crops &gt; Hybrid
GMO and Hybrid Seeds &gt; Crop Tech &gt; Farm Inputs &gt; Seeds &gt; Field Crops &gt; Hybrid
Biotech R&amp;D &gt; Services and Enablers &gt; Genomics
Life Sciences - India &gt; Biotech R&amp;D &gt; Services and Enablers &gt; Genomics
Enterprise Tech - India &gt; Biotech R&amp;D &gt; Services and Enablers &gt; Genomics
Genomics &gt; Applied Genomics &gt; Agrigenomics
Life Sciences - India &gt; Genomics &gt; Applied Genomics &gt; Agrigenomics
Enterprise Tech - India &gt; Genomics &gt; Applied Genomics &gt; Agrigenomics</t>
  </si>
  <si>
    <t>PG Impact Investments; pg-impact.com</t>
  </si>
  <si>
    <t>ActivaQ</t>
  </si>
  <si>
    <t>activaq.cl</t>
  </si>
  <si>
    <t>Provider of biotherapeutic solutions for the livestock and aquaculture industry</t>
  </si>
  <si>
    <t>Livestock Tech &gt; Health Management &gt; Diagnostics &gt; Diversified
Enterprise Tech - Latam &gt; Livestock Tech &gt; Health Management &gt; Diagnostics &gt; Diversified
Clinical Genomics &gt; Sequencing Based &gt; Microbial Testing &gt; Infectious Diseases
Enterprise Tech - Latam &gt; Clinical Genomics &gt; Sequencing Based &gt; Microbial Testing &gt; Infectious Diseases
Genomics &gt; Applied Genomics &gt; Clinical Genomics &gt; Diagnostics &gt; Sequencing-based &gt; Microbial Testing &gt; Infectious Diseases
Enterprise Tech - Latam &gt; Genomics &gt; Applied Genomics &gt; Clinical Genomics &gt; Diagnostics &gt; Sequencing-based &gt; Microbial Testing &gt; Infectious Diseases</t>
  </si>
  <si>
    <t>Finistere Ventures; finistere.com
Mindset Ventures; mindset.ventures
OurCrowd; ourcrowd.com
Eshbol Ventures; eshbol.com
Vertex Ventures Israel; vertexventures.co.il</t>
  </si>
  <si>
    <t>Eyal Gura</t>
  </si>
  <si>
    <t>Finistere Ventures
Vertex Ventures Israel</t>
  </si>
  <si>
    <t>Sanjay Ramkrishnan
Ashutosh Saxena
Ravi Garikipati
Nitin Agarwal
Bhushan Patil
Pradeep Kumar Mishra
Shazia Imran Khan</t>
  </si>
  <si>
    <t>Sanjay Ramkrishnan</t>
  </si>
  <si>
    <t>Yzyy365</t>
  </si>
  <si>
    <t>yzyy365.com</t>
  </si>
  <si>
    <t>Online platform for agricultural related queries</t>
  </si>
  <si>
    <t>Crop Tech &gt; Content Platforms &gt; Farming Advice &gt; Expert Advisors
Consumer Digital - China &gt; Crop Tech &gt; Content Platforms &gt; Farming Advice &gt; Expert Advisors</t>
  </si>
  <si>
    <t>Avenews GT</t>
  </si>
  <si>
    <t>avenews-gt.com</t>
  </si>
  <si>
    <t>Trading platform utilizing block chain payment method for agricultural produce trading</t>
  </si>
  <si>
    <t>B2B E-Commerce &gt; Agriculture &gt; Marketplace
Enterprise Tech - MENA &gt; B2B E-Commerce &gt; Agriculture &gt; Marketplace
Marketplaces &gt; B2B E-Commerce &gt; Agriculture &gt; Marketplace
Enterprise Tech - Israel &gt; B2B E-Commerce &gt; Agriculture &gt; Marketplace
Blockchain in Retail &gt; B2B E-Commerce &gt; Agriculture &gt; Marketplace
Techstars Portfolio &gt; B2B E-Commerce &gt; Agriculture &gt; Marketplace
Blockchain &gt; Agriculture
Enterprise Tech - Israel &gt; Blockchain &gt; Agriculture
Marketplaces &gt; Blockchain &gt; Agriculture
HiTech - Israel &gt; Blockchain &gt; Agriculture
Enterprise Tech - MENA &gt; Blockchain &gt; Agriculture
HiTech - MENA &gt; Blockchain &gt; Agriculture
Techstars Portfolio &gt; Blockchain &gt; Agriculture
Crop Tech &gt; ECommerce &gt; Farm Produce &gt; B2B &gt; Fruits and Vegetables &gt; Marketplace
Enterprise Tech - MENA &gt; Crop Tech &gt; ECommerce &gt; Farm Produce &gt; B2B &gt; Fruits and Vegetables &gt; Marketplace
Techstars Portfolio &gt; Crop Tech &gt; ECommerce &gt; Farm Produce &gt; B2B &gt; Fruits and Vegetables &gt; Marketplace
Marketplaces &gt; Crop Tech &gt; ECommerce &gt; Farm Produce &gt; B2B &gt; Fruits and Vegetables &gt; Marketplace
Enterprise Tech - Israel &gt; Crop Tech &gt; ECommerce &gt; Farm Produce &gt; B2B &gt; Fruits and Vegetables &gt; Marketplace</t>
  </si>
  <si>
    <t>Energy Access Ventures; eavafrica.com
Partners Group; partnersgroup.com</t>
  </si>
  <si>
    <t>Jiage</t>
  </si>
  <si>
    <t>gagogroup.cn</t>
  </si>
  <si>
    <t>Cloud-based data aggregation and analytics platform for precision agriculture decision support</t>
  </si>
  <si>
    <t>airtac.net
Shunwei Capital; shunwei.com</t>
  </si>
  <si>
    <t>Okguo</t>
  </si>
  <si>
    <t>okguo.com</t>
  </si>
  <si>
    <t>Thick stone capital; houshicapital.com</t>
  </si>
  <si>
    <t>B2B retailer for fruits and vegetables</t>
  </si>
  <si>
    <t>Online Grocery &gt; B2B Ecommerce &gt; Farm Produce &gt; Multi-Category &gt; E-Distributor
Enterprise Tech - China &gt; Online Grocery &gt; B2B Ecommerce &gt; Farm Produce &gt; Multi-Category &gt; E-Distributor
Marketplaces &gt; Online Grocery &gt; B2B Ecommerce &gt; Farm Produce &gt; Multi-Category &gt; E-Distributor
B2B Farm Produce E-Commerce &gt; Online Grocery &gt; B2B Ecommerce &gt; Farm Produce &gt; Multi-Category &gt; E-Distributor
B2B E-Commerce &gt; Food &amp; Beverages &gt; Groceries &gt; Farm Products &gt; E-Distributor
Enterprise Tech - China &gt; B2B E-Commerce &gt; Food &amp; Beverages &gt; Groceries &gt; Farm Products &gt; E-Distributor
Marketplaces &gt; B2B E-Commerce &gt; Food &amp; Beverages &gt; Groceries &gt; Farm Products &gt; E-Distributor
Crop Tech &gt; ECommerce &gt; Farm Produce &gt; B2B &gt; Fruits and Vegetables &gt; E Distributor
Enterprise Tech - China &gt; Crop Tech &gt; ECommerce &gt; Farm Produce &gt; B2B &gt; Fruits and Vegetables &gt; E Distributor
Marketplaces &gt; Crop Tech &gt; ECommerce &gt; Farm Produce &gt; B2B &gt; Fruits and Vegetables &gt; E Distributor</t>
  </si>
  <si>
    <t>Accel; accel.com
Qualcomm Ventures; qualcommventures.com
Mistletoe; mistletoe.co
M and S Capital Partners; ms-capitalpartners.com</t>
  </si>
  <si>
    <t>UMG Indonesia; umgindonesia.com</t>
  </si>
  <si>
    <t>Aegro</t>
  </si>
  <si>
    <t>aegro.com.br</t>
  </si>
  <si>
    <t>Farm management software with a focus on team integration</t>
  </si>
  <si>
    <t>Crop Tech &gt; Farm Management Software &gt; Diversified
Enterprise Tech - Latam &gt; Crop Tech &gt; Farm Management Software &gt; Diversified
SaaS - Latam &gt; Crop Tech &gt; Farm Management Software &gt; Diversified
SaaS &gt; Crop Tech &gt; Farm Management Software &gt; Diversified
Enterprise Tech - Brazil &gt; Crop Tech &gt; Farm Management Software &gt; Diversified
Farm Management Software &gt; Crop Tech &gt; Farm Management Software &gt; Diversified</t>
  </si>
  <si>
    <t>Chip Inside</t>
  </si>
  <si>
    <t>chipinside.com.br</t>
  </si>
  <si>
    <t>Santa Maria, Estado Do Rio Grande Do Sul, Brazil</t>
  </si>
  <si>
    <t>Precision animal husbandry &amp; livestock management technology</t>
  </si>
  <si>
    <t>Wearable Technology &gt; Pet Wearables
Enterprise Tech - Latam &gt; Wearable Technology &gt; Pet Wearables
Pet Wearables &gt; Wearable Technology &gt; Pet Wearables
Enterprise Tech - Brazil &gt; Wearable Technology &gt; Pet Wearables
IoT in Retail &gt; Wearable Technology &gt; Pet Wearables
IoT in Agriculture &gt; Wearable Technology &gt; Pet Wearables
Pet Tech &gt; Pet Care Management &gt; Health Monitoring &gt; Cats and Dogs &gt; Wearable
Enterprise Tech - Latam &gt; Pet Tech &gt; Pet Care Management &gt; Health Monitoring &gt; Cats and Dogs &gt; Wearable
Enterprise Tech - Brazil &gt; Pet Tech &gt; Pet Care Management &gt; Health Monitoring &gt; Cats and Dogs &gt; Wearable
IoT in Retail &gt; Pet Tech &gt; Pet Care Management &gt; Health Monitoring &gt; Cats and Dogs &gt; Wearable
IoT in Agriculture &gt; Pet Tech &gt; Pet Care Management &gt; Health Monitoring &gt; Cats and Dogs &gt; Wearable
Internet First Brands &gt; Pet Tech &gt; Pet Care Management &gt; Health Monitoring &gt; Cats and Dogs &gt; Wearable
Livestock Tech &gt; Health Management &gt; Health Monitoring &gt; Diversified
Enterprise Tech - Latam &gt; Livestock Tech &gt; Health Management &gt; Health Monitoring &gt; Diversified
Enterprise Tech - Brazil &gt; Livestock Tech &gt; Health Management &gt; Health Monitoring &gt; Diversified
IoT in Retail &gt; Livestock Tech &gt; Health Management &gt; Health Monitoring &gt; Diversified
IoT in Agriculture &gt; Livestock Tech &gt; Health Management &gt; Health Monitoring &gt; Diversified
IoT Applications &gt; Industry Specific &gt; Agriculture &gt; Livestock
IoT in Retail &gt; IoT Applications &gt; Industry Specific &gt; Agriculture &gt; Livestock
IoT in Agriculture &gt; IoT Applications &gt; Industry Specific &gt; Agriculture &gt; Livestock
Enterprise Tech - Brazil &gt; IoT Applications &gt; Industry Specific &gt; Agriculture &gt; Livestock
Enterprise Tech - Latam &gt; IoT Applications &gt; Industry Specific &gt; Agriculture &gt; Livestock</t>
  </si>
  <si>
    <t>Aspada Investments; aspada.com</t>
  </si>
  <si>
    <t>Radiant Haroti; radiantharoti.com
vaidaangi.com</t>
  </si>
  <si>
    <t>eXabit</t>
  </si>
  <si>
    <t>exabit.in</t>
  </si>
  <si>
    <t>Ashish Pattjoshi
Sidharth Gupta
Shubranshu Sekhar Pani
Shardul Shivaji Kashirsagar
Mahalingam Srinivaasan
Swaminathan Balasubramanian
Naresh Kanal
Saibalini Sahoo
Premananda Acharya
Rajaram Tripathy</t>
  </si>
  <si>
    <t>Ashish Pattjoshi</t>
  </si>
  <si>
    <t>Farm automation and business intelligence platform for farmers in India</t>
  </si>
  <si>
    <t>Crop Tech &gt; Farm Management Software &gt; Diversified
Cisco &gt; Crop Tech &gt; Farm Management Software &gt; Diversified
IoT in Agriculture &gt; Crop Tech &gt; Farm Management Software &gt; Diversified
Enterprise Tech - India &gt; Crop Tech &gt; Farm Management Software &gt; Diversified
Farm Management Software &gt; Crop Tech &gt; Farm Management Software &gt; Diversified
IoT Applications &gt; Industry Specific &gt; Agriculture &gt; Farms
Cisco &gt; IoT Applications &gt; Industry Specific &gt; Agriculture &gt; Farms
IoT in Agriculture &gt; IoT Applications &gt; Industry Specific &gt; Agriculture &gt; Farms
HiTech - India &gt; IoT Applications &gt; Industry Specific &gt; Agriculture &gt; Farms
Enterprise Tech - India &gt; IoT Applications &gt; Industry Specific &gt; Agriculture &gt; Farms</t>
  </si>
  <si>
    <t>Mayfield; mayfield.com
3one4 Capital; 3one4capital.com
Neoplux; neoplux.co.kr
Sistema; sistema.com</t>
  </si>
  <si>
    <t>Mayfield</t>
  </si>
  <si>
    <t>Sprout Capital Advisors; sproutcapital.in</t>
  </si>
  <si>
    <t>EHealth Ventures; ehealthventures.com</t>
  </si>
  <si>
    <t>EHealth Ventures</t>
  </si>
  <si>
    <t>Banco Galicia; bancogalicia.com
Santander; santander.com
Banco Hipotecario; hipotecario.com.ar
MARIVA; mariva.com.ar</t>
  </si>
  <si>
    <t>pagbam.com.ar</t>
  </si>
  <si>
    <t>Zillionize; zillionize.com</t>
  </si>
  <si>
    <t>Zillionize</t>
  </si>
  <si>
    <t>Thomas M Rohrs
Sreenivas R Garlapati
Warren C Kocmond Jr</t>
  </si>
  <si>
    <t>Thomas M Rohrs</t>
  </si>
  <si>
    <t>Pragnya; pragnyafunds.com
Indian Angel Network; indianangelnetwork.com
LetsVenture; letsventure.com</t>
  </si>
  <si>
    <t>Manish Khera
Alok Gupta
Ambarish Raghuvanshi
Diwakar Nigam
Prakash VGN
Ajay Kaul
Ankit Agarwal
Mridula Ramesh
Manoj Aheeray
Nipun Goel
Vikas Khattar
Priyank Garg
Harshvardhan Chitale
Ankur Gupta</t>
  </si>
  <si>
    <t>Manish Khera
Alok Gupta
Ambarish Raghuvanshi
Diwakar Nigam
Prakash VGN
Ajay Kaul
Ankit Agarwal
Mridula Ramesh
Manoj Aheeray
Priyank Garg
Harshvardhan Chitale</t>
  </si>
  <si>
    <t>Indian Angel Network; indianangelnetwork.com
LetsVenture; letsventure.com</t>
  </si>
  <si>
    <t>Accel; accel.com
Chiratae Ventures; chiratae.com
IDG ventures; idgventures.com
Aavishkaar Capital; aavishkaarcapital.in</t>
  </si>
  <si>
    <t>o3 Capital; o3capital.com</t>
  </si>
  <si>
    <t>JD Finance; jr.jd.com
Gobi Partners; gobivc.com
Ningbo Hong Kong Modern Venture Services; ygxdcy.com</t>
  </si>
  <si>
    <t>Paalak.in</t>
  </si>
  <si>
    <t>paalak.in</t>
  </si>
  <si>
    <t>Vish Bajaj
Harsh Kundra
Anupam Tyagi
Nandkumar Rane
LN Raju Buddharaju</t>
  </si>
  <si>
    <t>Online retail store for farm fresh fruits and vegetables</t>
  </si>
  <si>
    <t>Babban Gona</t>
  </si>
  <si>
    <t>babbangona.com</t>
  </si>
  <si>
    <t>Provides customized farming services</t>
  </si>
  <si>
    <t>Mohammad Arif Khan
Samir Saran
Gaurav Sharma
Jitendra Gupta</t>
  </si>
  <si>
    <t>Swasti Agro</t>
  </si>
  <si>
    <t>swastiagro.com</t>
  </si>
  <si>
    <t>Amrita TBI; amritatbi.com</t>
  </si>
  <si>
    <t>Biological crop protection chemicals for agriculture</t>
  </si>
  <si>
    <t>Crop Tech &gt; Farm Inputs &gt; Biologicals &gt; Crop Protection &gt; Microbes
Climate Tech &gt; Crop Tech &gt; Farm Inputs &gt; Biologicals &gt; Crop Protection &gt; Microbes
Crop Biologicals &gt; Crop Tech &gt; Farm Inputs &gt; Biologicals &gt; Crop Protection &gt; Microbes
Chemicals Tech &gt; Green Chemicals &gt; Crop Protection &gt; Microbes</t>
  </si>
  <si>
    <t>Aqua App</t>
  </si>
  <si>
    <t>aquaapp.in</t>
  </si>
  <si>
    <t>Mobile application for dissemination of agronomic information related to aquaculture</t>
  </si>
  <si>
    <t>Aquaculture Tech &gt; Fisheries &gt; Acoustic Monitoring Sensors
Marketplaces &gt; Aquaculture Tech &gt; Fisheries &gt; Acoustic Monitoring Sensors
Enterprise Tech - India &gt; Aquaculture Tech &gt; Fisheries &gt; Acoustic Monitoring Sensors</t>
  </si>
  <si>
    <t>AgrHub</t>
  </si>
  <si>
    <t>agrhub.com</t>
  </si>
  <si>
    <t>Expara; expara.com</t>
  </si>
  <si>
    <t>Sensors for farm monitoring</t>
  </si>
  <si>
    <t>Crop Tech &gt; Farm Analytics &gt; Multispectral Sensing
Enterprise Tech - SEA &gt; Crop Tech &gt; Farm Analytics &gt; Multispectral Sensing
Farm Analytics &gt; Crop Tech &gt; Farm Analytics &gt; Multispectral Sensing
Sensors &gt; Industry Applications &gt; Agriculture
Enterprise Tech - SEA &gt; Sensors &gt; Industry Applications &gt; Agriculture</t>
  </si>
  <si>
    <t>GreenIQ</t>
  </si>
  <si>
    <t>greeniq.com</t>
  </si>
  <si>
    <t>STIHL; stihl.com</t>
  </si>
  <si>
    <t>STIHL</t>
  </si>
  <si>
    <t>Petah Tikva, Central District, Israel</t>
  </si>
  <si>
    <t>Developer of smart sprinkler system</t>
  </si>
  <si>
    <t>Water and Wastewater Management Tech &gt; Smart Irrigation &gt; Gardening &gt; Smart Sprinkler Controllers
Consumer Digital - MENA &gt; Water and Wastewater Management Tech &gt; Smart Irrigation &gt; Gardening &gt; Smart Sprinkler Controllers
Enterprise Tech - Israel &gt; Water and Wastewater Management Tech &gt; Smart Irrigation &gt; Gardening &gt; Smart Sprinkler Controllers
Consumer Digital - Israel &gt; Water and Wastewater Management Tech &gt; Smart Irrigation &gt; Gardening &gt; Smart Sprinkler Controllers
Enterprise Tech - MENA &gt; Water and Wastewater Management Tech &gt; Smart Irrigation &gt; Gardening &gt; Smart Sprinkler Controllers
Tel Aviv University &gt; Water and Wastewater Management Tech &gt; Smart Irrigation &gt; Gardening &gt; Smart Sprinkler Controllers
IoT in Agriculture &gt; Water and Wastewater Management Tech &gt; Smart Irrigation &gt; Gardening &gt; Smart Sprinkler Controllers
Smart Homes &gt; Gardening &gt; Sprinkler Controllers
Consumer Digital - MENA &gt; Smart Homes &gt; Gardening &gt; Sprinkler Controllers
Enterprise Tech - Israel &gt; Smart Homes &gt; Gardening &gt; Sprinkler Controllers
Consumer Digital - Israel &gt; Smart Homes &gt; Gardening &gt; Sprinkler Controllers
Enterprise Tech - MENA &gt; Smart Homes &gt; Gardening &gt; Sprinkler Controllers
Tel Aviv University &gt; Smart Homes &gt; Gardening &gt; Sprinkler Controllers
HiTech - MENA &gt; Smart Homes &gt; Gardening &gt; Sprinkler Controllers
HiTech - Israel &gt; Smart Homes &gt; Gardening &gt; Sprinkler Controllers
IoT in Agriculture &gt; Smart Homes &gt; Gardening &gt; Sprinkler Controllers
Crop Tech &gt; Autonomous Farming &gt; Gardening &gt; Sprinkler Controllers
Enterprise Tech - MENA &gt; Crop Tech &gt; Autonomous Farming &gt; Gardening &gt; Sprinkler Controllers
Consumer Digital - Israel &gt; Crop Tech &gt; Autonomous Farming &gt; Gardening &gt; Sprinkler Controllers
IoT in Agriculture &gt; Crop Tech &gt; Autonomous Farming &gt; Gardening &gt; Sprinkler Controllers
Consumer Digital - MENA &gt; Crop Tech &gt; Autonomous Farming &gt; Gardening &gt; Sprinkler Controllers
Tel Aviv University &gt; Crop Tech &gt; Autonomous Farming &gt; Gardening &gt; Sprinkler Controllers
Enterprise Tech - Israel &gt; Crop Tech &gt; Autonomous Farming &gt; Gardening &gt; Sprinkler Controllers
Autonomous Farming &gt; Crop Tech &gt; Autonomous Farming &gt; Gardening &gt; Sprinkler Controllers</t>
  </si>
  <si>
    <t>Ranjit Barthakur
Rohan Shah
Subramaniam Ramadorai</t>
  </si>
  <si>
    <t>Zoho; zoho.com</t>
  </si>
  <si>
    <t>Zoho</t>
  </si>
  <si>
    <t>Bertelsmann Asia Investment Fund; baifund.com
Source Code Capital; sourcecodecap.com
Zhen Fund; zhenfund.com
Shunwei Capital; shunwei.com
Future Capital; future-cap.com
Guojin Securities; gjzq.com.cn</t>
  </si>
  <si>
    <t>Bertelsmann Asia Investment Fund
Zhen Fund</t>
  </si>
  <si>
    <t>State-ming Beijing Science and Technology</t>
  </si>
  <si>
    <t>yangjiguanjia.com</t>
  </si>
  <si>
    <t>Ameba Capital; amebacapital.com</t>
  </si>
  <si>
    <t>Web-based software for the monitoring and management of chicken farms</t>
  </si>
  <si>
    <t>ERP &gt; Agriculture &gt; Farm Management &gt; Suite
Enterprise Tech - China &gt; ERP &gt; Agriculture &gt; Farm Management &gt; Suite
SaaS &gt; ERP &gt; Agriculture &gt; Farm Management &gt; Suite
SaaS - China &gt; ERP &gt; Agriculture &gt; Farm Management &gt; Suite
Livestock Tech &gt; Livestock Management Software &gt; Poultry
SaaS - China &gt; Livestock Tech &gt; Livestock Management Software &gt; Poultry
SaaS &gt; Livestock Tech &gt; Livestock Management Software &gt; Poultry
Enterprise Tech - China &gt; Livestock Tech &gt; Livestock Management Software &gt; Poultry</t>
  </si>
  <si>
    <t>RML Agtech</t>
  </si>
  <si>
    <t>rmlagtech.com</t>
  </si>
  <si>
    <t>IvyCap Ventures; ivycapventures.com</t>
  </si>
  <si>
    <t>IvyCap Ventures</t>
  </si>
  <si>
    <t>Online portal for agriculture information sharing</t>
  </si>
  <si>
    <t>Crop Tech &gt; Content Platforms &gt; Farming Advice &gt; Expert Advisors
London Business School (LBS) &gt; Crop Tech &gt; Content Platforms &gt; Farming Advice &gt; Expert Advisors
Amazon &gt; Crop Tech &gt; Content Platforms &gt; Farming Advice &gt; Expert Advisors
IIT Kanpur &gt; Crop Tech &gt; Content Platforms &gt; Farming Advice &gt; Expert Advisors
Enterprise Tech - India &gt; Crop Tech &gt; Content Platforms &gt; Farming Advice &gt; Expert Advisors</t>
  </si>
  <si>
    <t>Foodstock Farmers Market</t>
  </si>
  <si>
    <t>foodstock.com.ng</t>
  </si>
  <si>
    <t>Online marketplace for connecting farmers with customers</t>
  </si>
  <si>
    <t>Crop Tech &gt; ECommerce &gt; Farm Produce &gt; B2C &gt; Fruits and Vegetables &gt; Marketplace
Enterprise Tech - Africa &gt; Crop Tech &gt; ECommerce &gt; Farm Produce &gt; B2C &gt; Fruits and Vegetables &gt; Marketplace
Consumer Digital - Africa &gt; Crop Tech &gt; ECommerce &gt; Farm Produce &gt; B2C &gt; Fruits and Vegetables &gt; Marketplace
Online Grocery &gt; B2C Ecommerce &gt; Multi Category &gt; Marketplace &gt; Own Delivery Fleet
Enterprise Tech - Africa &gt; Online Grocery &gt; B2C Ecommerce &gt; Multi Category &gt; Marketplace &gt; Own Delivery Fleet
Consumer Digital - Africa &gt; Online Grocery &gt; B2C Ecommerce &gt; Multi Category &gt; Marketplace &gt; Own Delivery Fleet
B2C Grocery Delivery &gt; Online Grocery &gt; B2C Ecommerce &gt; Multi Category &gt; Marketplace &gt; Own Delivery Fleet
B2C E-Commerce &gt; Online Grocery &gt; B2C Ecommerce &gt; Multi Category &gt; Marketplace &gt; Own Delivery Fleet
B2B E-Commerce &gt; Agriculture &gt; E-Distributor
Enterprise Tech - Africa &gt; B2B E-Commerce &gt; Agriculture &gt; E-Distributor
Consumer Digital - Africa &gt; B2B E-Commerce &gt; Agriculture &gt; E-Distributor</t>
  </si>
  <si>
    <t>Murali Abburi
Preetam Kothapally
Musunuru Raja Kumar
Marc A Haugen
Sripada Shivananda
Kiran R Garlapati
Ramakrishna Tummala
Jaya Sri
Gayathri Rallapalli
Vamsee Reddy</t>
  </si>
  <si>
    <t>Murali Abburi
Preetam Kothapally</t>
  </si>
  <si>
    <t>DONMARIO</t>
  </si>
  <si>
    <t>donmario.com</t>
  </si>
  <si>
    <t>Cordiant; cordiantcap.com</t>
  </si>
  <si>
    <t>Produces and supplies hybrid seeds</t>
  </si>
  <si>
    <t>Crop Tech &gt; Farm Inputs &gt; Seeds &gt; Field Crops &gt; GMO
GMO and Hybrid Seeds &gt; Crop Tech &gt; Farm Inputs &gt; Seeds &gt; Field Crops &gt; GMO</t>
  </si>
  <si>
    <t>Mu Jinnong</t>
  </si>
  <si>
    <t>mujinnong.com</t>
  </si>
  <si>
    <t>Tuandaiwang; tdw.cn</t>
  </si>
  <si>
    <t>Online crowdfunding platform for agriculture sector</t>
  </si>
  <si>
    <t>Alternative Lending &gt; Online Lenders &gt; Business Loans &gt; Working Capital Loans &gt; Marketplace
Enterprise Tech - China &gt; Alternative Lending &gt; Online Lenders &gt; Business Loans &gt; Working Capital Loans &gt; Marketplace
FinTech - China &gt; Alternative Lending &gt; Online Lenders &gt; Business Loans &gt; Working Capital Loans &gt; Marketplace
Marketplaces &gt; Alternative Lending &gt; Online Lenders &gt; Business Loans &gt; Working Capital Loans &gt; Marketplace
Internet First Lenders &gt; Alternative Lending &gt; Online Lenders &gt; Business Loans &gt; Working Capital Loans &gt; Marketplace
Internet First Working Capital Financing &gt; Alternative Lending &gt; Online Lenders &gt; Business Loans &gt; Working Capital Loans &gt; Marketplace
Crop Tech &gt; Finance &gt; Crowdfunding
Enterprise Tech - China &gt; Crop Tech &gt; Finance &gt; Crowdfunding
Marketplaces &gt; Crop Tech &gt; Finance &gt; Crowdfunding</t>
  </si>
  <si>
    <t>Rishi Gupta
Prajeet Patel
Kranti Mohan
Adwait Karanjkar
Chandan Chatarjee
M Ramakrishnan
Shreesh Soni
Atul Arora
Suneet Gupta
Ekta Vijay
Chabbi Maheshwari
Lalit Kumar Tejwani
Megha Saini
Niti Mohan
Shweta Sharma
Amit Gupta</t>
  </si>
  <si>
    <t>Rishi Gupta</t>
  </si>
  <si>
    <t>Rabobank; rabobank.com
FMO; fmo.nl</t>
  </si>
  <si>
    <t>Rabobank
FMO</t>
  </si>
  <si>
    <t>Gfresh</t>
  </si>
  <si>
    <t>gfresh.com</t>
  </si>
  <si>
    <t>River Hill Capital; riverhillcapital.com
Legend Capital; legendcapital.com.cn</t>
  </si>
  <si>
    <t>River Hill Capital
Legend Capital</t>
  </si>
  <si>
    <t>Online global marketplace platform for users to sell seafood in China</t>
  </si>
  <si>
    <t>Online Grocery &gt; B2B Ecommerce &gt; Farm Produce &gt; Meat and Seafood &gt; Marketplace
Consumer Digital - China &gt; Online Grocery &gt; B2B Ecommerce &gt; Farm Produce &gt; Meat and Seafood &gt; Marketplace
Marketplaces &gt; Online Grocery &gt; B2B Ecommerce &gt; Farm Produce &gt; Meat and Seafood &gt; Marketplace
B2B Farm Produce E-Commerce &gt; Online Grocery &gt; B2B Ecommerce &gt; Farm Produce &gt; Meat and Seafood &gt; Marketplace
Aquaculture Tech &gt; ECommerce &gt; Farm Produce &gt; B2B &gt; Marketplace
Consumer Digital - China &gt; Aquaculture Tech &gt; ECommerce &gt; Farm Produce &gt; B2B &gt; Marketplace
Marketplaces &gt; Aquaculture Tech &gt; ECommerce &gt; Farm Produce &gt; B2B &gt; Marketplace
B2B E-Commerce &gt; Food &amp; Beverages &gt; Groceries &gt; Farm Products &gt; Marketplace
Consumer Digital - China &gt; B2B E-Commerce &gt; Food &amp; Beverages &gt; Groceries &gt; Farm Products &gt; Marketplace
Marketplaces &gt; B2B E-Commerce &gt; Food &amp; Beverages &gt; Groceries &gt; Farm Products &gt; Marketplace</t>
  </si>
  <si>
    <t>Agile Equity; agileequity.com</t>
  </si>
  <si>
    <t>Yunfeng Capital; yfc.cn
Zhen Fund; zhenfund.com
Sequoia Capital; sequoiacap.com
cbiholdings.com</t>
  </si>
  <si>
    <t>LivLush</t>
  </si>
  <si>
    <t>livlush.in</t>
  </si>
  <si>
    <t>Elevar Equity; elevarequity.com</t>
  </si>
  <si>
    <t>B2B platform to procure fresh fruits and vegetables</t>
  </si>
  <si>
    <t>B2B E-Commerce &gt; Food &amp; Beverages &gt; Groceries &gt; Farm Products &gt; Marketplace
IIT Bombay &gt; B2B E-Commerce &gt; Food &amp; Beverages &gt; Groceries &gt; Farm Products &gt; Marketplace
Myntra &gt; B2B E-Commerce &gt; Food &amp; Beverages &gt; Groceries &gt; Farm Products &gt; Marketplace
Enterprise Tech - India &gt; B2B E-Commerce &gt; Food &amp; Beverages &gt; Groceries &gt; Farm Products &gt; Marketplace
Online Grocery &gt; B2B Ecommerce &gt; Farm Produce &gt; Multi-Category &gt; E-Distributor
IIT Bombay &gt; Online Grocery &gt; B2B Ecommerce &gt; Farm Produce &gt; Multi-Category &gt; E-Distributor
Myntra &gt; Online Grocery &gt; B2B Ecommerce &gt; Farm Produce &gt; Multi-Category &gt; E-Distributor
B2B Farm Produce E-Commerce &gt; Online Grocery &gt; B2B Ecommerce &gt; Farm Produce &gt; Multi-Category &gt; E-Distributor
Enterprise Tech - India &gt; Online Grocery &gt; B2B Ecommerce &gt; Farm Produce &gt; Multi-Category &gt; E-Distributor
Crop Tech &gt; ECommerce &gt; Farm Produce &gt; B2B &gt; Fruits and Vegetables &gt; E Distributor
IIT Bombay &gt; Crop Tech &gt; ECommerce &gt; Farm Produce &gt; B2B &gt; Fruits and Vegetables &gt; E Distributor
Myntra &gt; Crop Tech &gt; ECommerce &gt; Farm Produce &gt; B2B &gt; Fruits and Vegetables &gt; E Distributor
Enterprise Tech - India &gt; Crop Tech &gt; ECommerce &gt; Farm Produce &gt; B2B &gt; Fruits and Vegetables &gt; E Distributor</t>
  </si>
  <si>
    <t>Seedworks International</t>
  </si>
  <si>
    <t>seedworks.com</t>
  </si>
  <si>
    <t>Development and supply of hybrid seeds in India</t>
  </si>
  <si>
    <t>Crop Tech &gt; Farm Inputs &gt; Seeds &gt; Field Crops &gt; Hybrid
Enterprise Tech - India &gt; Crop Tech &gt; Farm Inputs &gt; Seeds &gt; Field Crops &gt; Hybrid
GMO and Hybrid Seeds &gt; Crop Tech &gt; Farm Inputs &gt; Seeds &gt; Field Crops &gt; Hybrid
Genomics &gt; Applied Genomics &gt; Agrigenomics
Life Sciences - India &gt; Genomics &gt; Applied Genomics &gt; Agrigenomics
Enterprise Tech - India &gt; Genomics &gt; Applied Genomics &gt; Agrigenomics</t>
  </si>
  <si>
    <t>Shorooq Investments; shorooq.ae</t>
  </si>
  <si>
    <t>Shorooq Investments</t>
  </si>
  <si>
    <t>Kaksha Kuntal Mehta
Sugata Sircar
Ashutosh Kumar Sinha
Swaminathan Balasubramanian
Mrutyunjaya Das
Aditya Kumar Maharana</t>
  </si>
  <si>
    <t>Swaminathan Balasubramanian</t>
  </si>
  <si>
    <t>Advanced Nutrients; advancednutrients.com
CJV Capital; cjvcapital.com
Phyto Partners; phytopartners.com</t>
  </si>
  <si>
    <t>Ben Biron
Michael Cohn
Gregg Weiss</t>
  </si>
  <si>
    <t>CJV Capital</t>
  </si>
  <si>
    <t>FasterCapital; fastercapital.com</t>
  </si>
  <si>
    <t>Truce</t>
  </si>
  <si>
    <t>truce.in</t>
  </si>
  <si>
    <t>Tracxn Labs; tracxnlabs.com
Beenext; beenext.com
3one4 Capital; 3one4capital.com</t>
  </si>
  <si>
    <t>Mohandas Pai
Kunal Shah
Sandeep Tandon
Rohit Bansal
Kunal Bahl
Anand Chandrasekaran
Srikanth Velamakanni
Ashish Goenka
Geet Bhanawat
Abhinav Daga</t>
  </si>
  <si>
    <t>Beenext</t>
  </si>
  <si>
    <t>Online farm to table vegetable supply for businesses</t>
  </si>
  <si>
    <t>Crop Tech &gt; ECommerce &gt; Farm Produce &gt; B2B &gt; Fruits and Vegetables &gt; E Distributor
IIT Bombay &gt; Crop Tech &gt; ECommerce &gt; Farm Produce &gt; B2B &gt; Fruits and Vegetables &gt; E Distributor
BCG &gt; Crop Tech &gt; ECommerce &gt; Farm Produce &gt; B2B &gt; Fruits and Vegetables &gt; E Distributor
Enterprise Tech - India &gt; Crop Tech &gt; ECommerce &gt; Farm Produce &gt; B2B &gt; Fruits and Vegetables &gt; E Distributor
B2B E-Commerce &gt; Food &amp; Beverages &gt; Groceries &gt; Farm Products &gt; E-Distributor
BCG &gt; B2B E-Commerce &gt; Food &amp; Beverages &gt; Groceries &gt; Farm Products &gt; E-Distributor
IIT Bombay &gt; B2B E-Commerce &gt; Food &amp; Beverages &gt; Groceries &gt; Farm Products &gt; E-Distributor
Enterprise Tech - India &gt; B2B E-Commerce &gt; Food &amp; Beverages &gt; Groceries &gt; Farm Products &gt; E-Distributor
Online Grocery &gt; B2B Ecommerce &gt; Farm Produce &gt; Fruits and Vegetables &gt; Marketplace
BCG &gt; Online Grocery &gt; B2B Ecommerce &gt; Farm Produce &gt; Fruits and Vegetables &gt; Marketplace
IIT Bombay &gt; Online Grocery &gt; B2B Ecommerce &gt; Farm Produce &gt; Fruits and Vegetables &gt; Marketplace
B2B Farm Produce E-Commerce &gt; Online Grocery &gt; B2B Ecommerce &gt; Farm Produce &gt; Fruits and Vegetables &gt; Marketplace
Enterprise Tech - India &gt; Online Grocery &gt; B2B Ecommerce &gt; Farm Produce &gt; Fruits and Vegetables &gt; Marketplace</t>
  </si>
  <si>
    <t>Oscar De Lima Pereira</t>
  </si>
  <si>
    <t>TROTRO Tractor</t>
  </si>
  <si>
    <t>trotrotractor.com</t>
  </si>
  <si>
    <t>Online platform for renting tractor ploughing services</t>
  </si>
  <si>
    <t>Crop Tech &gt; ECommerce &gt; Farm Inputs &gt; Farm Equipment &gt; Tractors
Marketplaces &gt; Crop Tech &gt; ECommerce &gt; Farm Inputs &gt; Farm Equipment &gt; Tractors
Enterprise Tech - Africa &gt; Crop Tech &gt; ECommerce &gt; Farm Inputs &gt; Farm Equipment &gt; Tractors
Farm Inputs E-Commerce &gt; Crop Tech &gt; ECommerce &gt; Farm Inputs &gt; Farm Equipment &gt; Tractors
Online Rental &gt; Commercial Goods &gt; Heavy Equipment &gt; Farming
Marketplaces &gt; Online Rental &gt; Commercial Goods &gt; Heavy Equipment &gt; Farming
Enterprise Tech - Africa &gt; Online Rental &gt; Commercial Goods &gt; Heavy Equipment &gt; Farming</t>
  </si>
  <si>
    <t>Mahindra Agri Solutions; mahindraagri.com</t>
  </si>
  <si>
    <t>Ugaoo</t>
  </si>
  <si>
    <t>ugaoo.com</t>
  </si>
  <si>
    <t>Online retail offering gardening plants and accessories</t>
  </si>
  <si>
    <t>Crop Tech &gt; ECommerce &gt; Farm Inputs &gt; Multi Category &gt; Retailer &gt; Garden Supplies
Consumer Digital - India &gt; Crop Tech &gt; ECommerce &gt; Farm Inputs &gt; Multi Category &gt; Retailer &gt; Garden Supplies
Farm Inputs E-Commerce &gt; Crop Tech &gt; ECommerce &gt; Farm Inputs &gt; Multi Category &gt; Retailer &gt; Garden Supplies
Home Improvements &gt; B2C Commerce &gt; Decor &gt; Retailer &gt; Ornamental Plants and Accessories
Home Improvement E Commerce &gt; Home Improvements &gt; B2C Commerce &gt; Decor &gt; Retailer &gt; Ornamental Plants and Accessories
Consumer Digital - India &gt; Home Improvements &gt; B2C Commerce &gt; Decor &gt; Retailer &gt; Ornamental Plants and Accessories
B2C E-Commerce &gt; Home Improvements &gt; B2C Commerce &gt; Decor &gt; Retailer &gt; Ornamental Plants and Accessories</t>
  </si>
  <si>
    <t>ghalani.com</t>
  </si>
  <si>
    <t>Mobile and web-based farm management software</t>
  </si>
  <si>
    <t>Yuyuyu</t>
  </si>
  <si>
    <t>yuyuyu.com.cn</t>
  </si>
  <si>
    <t>Wuxi, Jiangsu Sheng, China</t>
  </si>
  <si>
    <t>Online platform for buying products needed for pisciculture and trading</t>
  </si>
  <si>
    <t>Aquaculture Tech &gt; ECommerce &gt; Farm Inputs
Consumer Digital - China &gt; Aquaculture Tech &gt; ECommerce &gt; Farm Inputs
Marketplaces &gt; Aquaculture Tech &gt; ECommerce &gt; Farm Inputs</t>
  </si>
  <si>
    <t>Chuxin Capital Partners; chuxincapital.com</t>
  </si>
  <si>
    <t>DOB Equity; dobequity.nl</t>
  </si>
  <si>
    <t>DOB Equity</t>
  </si>
  <si>
    <t>SupplyBunny</t>
  </si>
  <si>
    <t>supplybunny.com</t>
  </si>
  <si>
    <t>Gobi Partners; gobivc.com</t>
  </si>
  <si>
    <t>Gobi Partners</t>
  </si>
  <si>
    <t>Petaling Jaya, Selangor, Malaysia</t>
  </si>
  <si>
    <t>B2B marketplace for wholesale grocery delivery</t>
  </si>
  <si>
    <t>B2B E-Commerce &gt; Food &amp; Beverages &gt; Groceries &gt; Farm Products &gt; Marketplace
Enterprise Tech - SEA &gt; B2B E-Commerce &gt; Food &amp; Beverages &gt; Groceries &gt; Farm Products &gt; Marketplace
Marketplaces &gt; B2B E-Commerce &gt; Food &amp; Beverages &gt; Groceries &gt; Farm Products &gt; Marketplace
Crop Tech &gt; ECommerce &gt; Farm Produce &gt; B2B &gt; Fruits and Vegetables &gt; Marketplace
Enterprise Tech - SEA &gt; Crop Tech &gt; ECommerce &gt; Farm Produce &gt; B2B &gt; Fruits and Vegetables &gt; Marketplace
Marketplaces &gt; Crop Tech &gt; ECommerce &gt; Farm Produce &gt; B2B &gt; Fruits and Vegetables &gt; Marketplace
Online Grocery &gt; B2B Ecommerce &gt; Multi-Category &gt; Marketplace
Enterprise Tech - SEA &gt; Online Grocery &gt; B2B Ecommerce &gt; Multi-Category &gt; Marketplace
Marketplaces &gt; Online Grocery &gt; B2B Ecommerce &gt; Multi-Category &gt; Marketplace</t>
  </si>
  <si>
    <t>ACS International Resources; acs-intl.com</t>
  </si>
  <si>
    <t>Vivek Chanana
Gun Nidhi Dalmia
Ramnath Rao
Bunty Peerbhoy
Amar Babu Radhakrishnan
Ankit Agarwal
Raghupathy Dwarkanath Dixit
Vidya Omprakash
Sujit Kumar Prabhakar
Ajay Kaul
Santosh Balakrishna
Rajiv Krishan Luthra
Salil Gupta
Sharad Junghare
Bikky Khosla</t>
  </si>
  <si>
    <t>Vivek Chanana
Gun Nidhi Dalmia
Ramnath Rao
Bunty Peerbhoy
Amar Babu Radhakrishnan
Ankit Agarwal
Ajay Kaul</t>
  </si>
  <si>
    <t>Agro Innovation Lab; agroinnovationlab.com
RWA Group; rwa.at</t>
  </si>
  <si>
    <t>Fruitday</t>
  </si>
  <si>
    <t>fruitday.com</t>
  </si>
  <si>
    <t>Shanghai Zhangjiang; 600895.com</t>
  </si>
  <si>
    <t>Online B2C platform for imported fruits</t>
  </si>
  <si>
    <t>Crop Tech &gt; ECommerce &gt; Farm Produce &gt; B2C &gt; Fruits and Vegetables &gt; Retailer
Consumer Digital - China &gt; Crop Tech &gt; ECommerce &gt; Farm Produce &gt; B2C &gt; Fruits and Vegetables &gt; Retailer
Online Grocery &gt; B2C Ecommerce &gt; Fruits and Vegetables
Consumer Digital - China &gt; Online Grocery &gt; B2C Ecommerce &gt; Fruits and Vegetables
B2C Grocery Delivery &gt; Online Grocery &gt; B2C Ecommerce &gt; Fruits and Vegetables
B2C E-Commerce &gt; Online Grocery &gt; B2C Ecommerce &gt; Fruits and Vegetables</t>
  </si>
  <si>
    <t>Beenext; beenext.com
Sophia Investment; sophia-investment.com</t>
  </si>
  <si>
    <t>Suma Agro</t>
  </si>
  <si>
    <t>sumaagro.com</t>
  </si>
  <si>
    <t>Manufacturer of soil nutrients and conditioners</t>
  </si>
  <si>
    <t>Crop Tech &gt; Farm Inputs &gt; Biologicals &gt; Crop Nutrition &gt; BioChar
Climate Tech &gt; Crop Tech &gt; Farm Inputs &gt; Biologicals &gt; Crop Nutrition &gt; BioChar
Enterprise Tech - India &gt; Crop Tech &gt; Farm Inputs &gt; Biologicals &gt; Crop Nutrition &gt; BioChar
Crop Biologicals &gt; Crop Tech &gt; Farm Inputs &gt; Biologicals &gt; Crop Nutrition &gt; BioChar</t>
  </si>
  <si>
    <t>Esoko</t>
  </si>
  <si>
    <t>esoko.com</t>
  </si>
  <si>
    <t>AGRA; agra.org</t>
  </si>
  <si>
    <t>Developer of digital multi platform apps for connecting to farmers</t>
  </si>
  <si>
    <t>Field Force Automation &gt; Agricultural industry
Enterprise Tech - Africa &gt; Field Force Automation &gt; Agricultural industry
INSEAD &gt; Field Force Automation &gt; Agricultural industry
University of Cambridge &gt; Field Force Automation &gt; Agricultural industry
Crop Tech &gt; Content Platforms &gt; Farming Advice &gt; Expert Advisors
INSEAD &gt; Crop Tech &gt; Content Platforms &gt; Farming Advice &gt; Expert Advisors
Enterprise Tech - Africa &gt; Crop Tech &gt; Content Platforms &gt; Farming Advice &gt; Expert Advisors
University of Cambridge &gt; Crop Tech &gt; Content Platforms &gt; Farming Advice &gt; Expert Advisors</t>
  </si>
  <si>
    <t>Eragano</t>
  </si>
  <si>
    <t>eragano.com</t>
  </si>
  <si>
    <t>West Java, Indonesia</t>
  </si>
  <si>
    <t>Mobile application for effective farming</t>
  </si>
  <si>
    <t>Field Force Automation &gt; Agricultural industry
Enterprise Tech - SEA &gt; Field Force Automation &gt; Agricultural industry
Enterprise Tech - Indonesia &gt; Field Force Automation &gt; Agricultural industry
Crop Tech &gt; Farm Management Software &gt; Diversified
Enterprise Tech - Indonesia &gt; Crop Tech &gt; Farm Management Software &gt; Diversified
Enterprise Tech - SEA &gt; Crop Tech &gt; Farm Management Software &gt; Diversified
Farm Management Software &gt; Crop Tech &gt; Farm Management Software &gt; Diversified</t>
  </si>
  <si>
    <t>NubeSol</t>
  </si>
  <si>
    <t>nubesol.co.in</t>
  </si>
  <si>
    <t>Menterra Venture Advisors; menterra.com
Artha; arthaplatform.com</t>
  </si>
  <si>
    <t>Menterra Venture Advisors
Artha</t>
  </si>
  <si>
    <t>Sensor based technology solutions for sugarcane farming in India</t>
  </si>
  <si>
    <t>IoT Applications &gt; Industry Specific &gt; Agriculture &gt; Farms
IoT in Agriculture &gt; IoT Applications &gt; Industry Specific &gt; Agriculture &gt; Farms
HiTech - India &gt; IoT Applications &gt; Industry Specific &gt; Agriculture &gt; Farms
Enterprise Tech - India &gt; IoT Applications &gt; Industry Specific &gt; Agriculture &gt; Farms
Crop Tech &gt; Farm Analytics &gt; Multispectral Sensing
IoT in Agriculture &gt; Crop Tech &gt; Farm Analytics &gt; Multispectral Sensing
Enterprise Tech - India &gt; Crop Tech &gt; Farm Analytics &gt; Multispectral Sensing
Farm Analytics &gt; Crop Tech &gt; Farm Analytics &gt; Multispectral Sensing</t>
  </si>
  <si>
    <t>Cropital</t>
  </si>
  <si>
    <t>cropital.com</t>
  </si>
  <si>
    <t>IdeaSpace Foundation; ideaspacefoundation.org</t>
  </si>
  <si>
    <t>Manila, National Capital Region, Philippines</t>
  </si>
  <si>
    <t>Online platform to crowd fund agriculture</t>
  </si>
  <si>
    <t>Crowdfunding &gt; Revenue Sharing &gt; Agriculture
Consumer Digital - SEA &gt; Crowdfunding &gt; Revenue Sharing &gt; Agriculture
FinTech - SEA &gt; Crowdfunding &gt; Revenue Sharing &gt; Agriculture
BCG &gt; Crowdfunding &gt; Revenue Sharing &gt; Agriculture
Agri FinTech &gt; Crowdfunding &gt; Revenue Sharing &gt; Agriculture
Crop Tech &gt; Finance &gt; Crowdfunding
Consumer Digital - SEA &gt; Crop Tech &gt; Finance &gt; Crowdfunding
BCG &gt; Crop Tech &gt; Finance &gt; Crowdfunding</t>
  </si>
  <si>
    <t>Nongfadai</t>
  </si>
  <si>
    <t>nongfadai.com</t>
  </si>
  <si>
    <t>Deep Ventures; deep.ventures</t>
  </si>
  <si>
    <t>Deep Ventures</t>
  </si>
  <si>
    <t>P2P platform for agricultural loans</t>
  </si>
  <si>
    <t>Crop Tech &gt; Finance &gt; Loans
Enterprise Tech - China &gt; Crop Tech &gt; Finance &gt; Loans
Consumer Digital - China &gt; Crop Tech &gt; Finance &gt; Loans
Marketplaces &gt; Crop Tech &gt; Finance &gt; Loans
Alternative Lending &gt; Online Lenders &gt; Consumer Loans &gt; Farm Loans &gt; Marketplace
Enterprise Tech - China &gt; Alternative Lending &gt; Online Lenders &gt; Consumer Loans &gt; Farm Loans &gt; Marketplace
FinTech - China &gt; Alternative Lending &gt; Online Lenders &gt; Consumer Loans &gt; Farm Loans &gt; Marketplace
Consumer Digital - China &gt; Alternative Lending &gt; Online Lenders &gt; Consumer Loans &gt; Farm Loans &gt; Marketplace
Marketplaces &gt; Alternative Lending &gt; Online Lenders &gt; Consumer Loans &gt; Farm Loans &gt; Marketplace
Agri FinTech &gt; Alternative Lending &gt; Online Lenders &gt; Consumer Loans &gt; Farm Loans &gt; Marketplace
Internet First Lenders &gt; Alternative Lending &gt; Online Lenders &gt; Consumer Loans &gt; Farm Loans &gt; Marketplace</t>
  </si>
  <si>
    <t>S4 AgTech</t>
  </si>
  <si>
    <t>s4agtech.com</t>
  </si>
  <si>
    <t>Cultivation Capital; cultivationcapital.com
Syngenta Ventures; syngentaventures.com</t>
  </si>
  <si>
    <t>Data analytics tool for risk management to agribusinesses</t>
  </si>
  <si>
    <t>Crop Tech &gt; Farm Analytics &gt; Satellite Image Based
Enterprise Tech - Latam &gt; Crop Tech &gt; Farm Analytics &gt; Satellite Image Based
Farm Analytics &gt; Crop Tech &gt; Farm Analytics &gt; Satellite Image Based</t>
  </si>
  <si>
    <t>Bessemer Venture Partners; bvp.com</t>
  </si>
  <si>
    <t>Bessemer Venture Partners</t>
  </si>
  <si>
    <t>Nexus Venture Partners; nexusvp.com</t>
  </si>
  <si>
    <t>Nexus Venture Partners</t>
  </si>
  <si>
    <t>Pravega Ventures; pravegavc.com</t>
  </si>
  <si>
    <t>Mukul Singhal
Rohit Jain
Nihit Ajay
Sukit Kumar Prabhakar
Akriti Chopra
Himanshu Aggarwal
Rajiv Puri
Deepak Jain
Preethi Agarwal
Ashish Gupta
Sajal Agarwal
Sunil Goyal
Sandeep Agarwal
Varun Kumar Vummidi
Jitendra Gupta</t>
  </si>
  <si>
    <t>Pravega Ventures</t>
  </si>
  <si>
    <t>KesuCorp</t>
  </si>
  <si>
    <t>kesucorp.com</t>
  </si>
  <si>
    <t>P2P agri loans, e-commerce and logistics distribution product</t>
  </si>
  <si>
    <t>Alternative Lending &gt; Online Lenders &gt; Business Loans &gt; Term Loans &gt; Marketplace &gt; P2P
Enterprise Tech - China &gt; Alternative Lending &gt; Online Lenders &gt; Business Loans &gt; Term Loans &gt; Marketplace &gt; P2P
Consumer Digital - China &gt; Alternative Lending &gt; Online Lenders &gt; Business Loans &gt; Term Loans &gt; Marketplace &gt; P2P
Marketplaces &gt; Alternative Lending &gt; Online Lenders &gt; Business Loans &gt; Term Loans &gt; Marketplace &gt; P2P
FinTech - China &gt; Alternative Lending &gt; Online Lenders &gt; Business Loans &gt; Term Loans &gt; Marketplace &gt; P2P
Peer to Peer Lending &gt; Alternative Lending &gt; Online Lenders &gt; Business Loans &gt; Term Loans &gt; Marketplace &gt; P2P
Internet First Lenders &gt; Alternative Lending &gt; Online Lenders &gt; Business Loans &gt; Term Loans &gt; Marketplace &gt; P2P
Internet First Term Loans for Businesses &gt; Alternative Lending &gt; Online Lenders &gt; Business Loans &gt; Term Loans &gt; Marketplace &gt; P2P
Crop Tech &gt; Finance &gt; Loans
Enterprise Tech - China &gt; Crop Tech &gt; Finance &gt; Loans
Consumer Digital - China &gt; Crop Tech &gt; Finance &gt; Loans
Marketplaces &gt; Crop Tech &gt; Finance &gt; Loans</t>
  </si>
  <si>
    <t>iGrow</t>
  </si>
  <si>
    <t>igrow.asia</t>
  </si>
  <si>
    <t>East Ventures; east.vc
500 Durians; durians.500.co</t>
  </si>
  <si>
    <t>East Ventures
500 Durians</t>
  </si>
  <si>
    <t>Crowdfunding platform for farming</t>
  </si>
  <si>
    <t>Crowdfunding &gt; Revenue Sharing &gt; Agriculture
Consumer Digital - SEA &gt; Crowdfunding &gt; Revenue Sharing &gt; Agriculture
FinTech - SEA &gt; Crowdfunding &gt; Revenue Sharing &gt; Agriculture
Consumer Digital - Indonesia &gt; Crowdfunding &gt; Revenue Sharing &gt; Agriculture
Agri FinTech &gt; Crowdfunding &gt; Revenue Sharing &gt; Agriculture
Islamic FinTech &gt; Crowdfunding &gt; Diversified
Consumer Digital - Indonesia &gt; Islamic FinTech &gt; Crowdfunding &gt; Diversified
Consumer Digital - SEA &gt; Islamic FinTech &gt; Crowdfunding &gt; Diversified
FinTech - SEA &gt; Islamic FinTech &gt; Crowdfunding &gt; Diversified
Nonprofit Tech &gt; Fundraising &gt; Crowdfunding &gt; Horizontal
Consumer Digital - SEA &gt; Nonprofit Tech &gt; Fundraising &gt; Crowdfunding &gt; Horizontal
Online Fundraising Platforms &gt; Nonprofit Tech &gt; Fundraising &gt; Crowdfunding &gt; Horizontal
Consumer Digital - Indonesia &gt; Nonprofit Tech &gt; Fundraising &gt; Crowdfunding &gt; Horizontal
Crop Tech &gt; Finance &gt; Crowdfunding
Consumer Digital - SEA &gt; Crop Tech &gt; Finance &gt; Crowdfunding
Consumer Digital - Indonesia &gt; Crop Tech &gt; Finance &gt; Crowdfunding
Alternative Lending &gt; Online Lenders &gt; Consumer Loans &gt; Farm Loans &gt; Marketplace
Consumer Digital - SEA &gt; Alternative Lending &gt; Online Lenders &gt; Consumer Loans &gt; Farm Loans &gt; Marketplace
Consumer Digital - Indonesia &gt; Alternative Lending &gt; Online Lenders &gt; Consumer Loans &gt; Farm Loans &gt; Marketplace
FinTech - SEA &gt; Alternative Lending &gt; Online Lenders &gt; Consumer Loans &gt; Farm Loans &gt; Marketplace
Agri FinTech &gt; Alternative Lending &gt; Online Lenders &gt; Consumer Loans &gt; Farm Loans &gt; Marketplace
Internet First Lenders &gt; Alternative Lending &gt; Online Lenders &gt; Consumer Loans &gt; Farm Loans &gt; Marketplace</t>
  </si>
  <si>
    <t>FlyBird Innovations</t>
  </si>
  <si>
    <t>flybirdinnovations.com</t>
  </si>
  <si>
    <t>Villgro; villgro.org
Artha; arthaplatform.com
Centre for Incubation &amp; Business Acceleration; ciba.org.in
CIIE; ciie.co
a-IDEA; aidea.naarm.org.in</t>
  </si>
  <si>
    <t>Manufactures irrigation controllers</t>
  </si>
  <si>
    <t>CIIE Batches &gt; 2017
Crop Tech &gt; Autonomous Farming &gt; Irrigation
Enterprise Tech - India &gt; Crop Tech &gt; Autonomous Farming &gt; Irrigation
Autonomous Farming &gt; Crop Tech &gt; Autonomous Farming &gt; Irrigation</t>
  </si>
  <si>
    <t>Sophia Investment; sophia-investment.com</t>
  </si>
  <si>
    <t>Atul Patil
Muthuswami Lakshminarayan
Sandeep Pingale
Usha Ganpat Apte
Manasi Sanjay Thatte
Tanuja Joshi
Sheela Damle</t>
  </si>
  <si>
    <t>Atul Patil
Muthuswami Lakshminarayan
Sandeep Pingale</t>
  </si>
  <si>
    <t>Zhaonongzi</t>
  </si>
  <si>
    <t>zhaonongzi.com</t>
  </si>
  <si>
    <t>ZhenShun Fund; zhenshunfund.com
Qiming Venture Partners; qimingvc.com</t>
  </si>
  <si>
    <t>Online B2B marketplace for agro products</t>
  </si>
  <si>
    <t>Crop Tech &gt; ECommerce &gt; Farm Produce &gt; B2B
Enterprise Tech - China &gt; Crop Tech &gt; ECommerce &gt; Farm Produce &gt; B2B
Marketplaces &gt; Crop Tech &gt; ECommerce &gt; Farm Produce &gt; B2B
B2B E-Commerce &gt; Food &amp; Beverages &gt; Groceries &gt; Farm Products &gt; Marketplace
Enterprise Tech - China &gt; B2B E-Commerce &gt; Food &amp; Beverages &gt; Groceries &gt; Farm Products &gt; Marketplace
Marketplaces &gt; B2B E-Commerce &gt; Food &amp; Beverages &gt; Groceries &gt; Farm Products &gt; Marketplace
Online Grocery &gt; B2B Ecommerce &gt; Farm Produce &gt; Multi-Category &gt; Marketplace
Enterprise Tech - China &gt; Online Grocery &gt; B2B Ecommerce &gt; Farm Produce &gt; Multi-Category &gt; Marketplace
Marketplaces &gt; Online Grocery &gt; B2B Ecommerce &gt; Farm Produce &gt; Multi-Category &gt; Marketplace
B2B Farm Produce E-Commerce &gt; Online Grocery &gt; B2B Ecommerce &gt; Farm Produce &gt; Multi-Category &gt; Marketplace</t>
  </si>
  <si>
    <t>InCeres</t>
  </si>
  <si>
    <t>inceres.com.br</t>
  </si>
  <si>
    <t>Farm mapping and soil data management software</t>
  </si>
  <si>
    <t>Crop Tech &gt; Farm Management Software &gt; Diversified
SaaS &gt; Crop Tech &gt; Farm Management Software &gt; Diversified
SaaS - Latam &gt; Crop Tech &gt; Farm Management Software &gt; Diversified
Enterprise Tech - Brazil &gt; Crop Tech &gt; Farm Management Software &gt; Diversified
Enterprise Tech - Latam &gt; Crop Tech &gt; Farm Management Software &gt; Diversified
Farm Management Software &gt; Crop Tech &gt; Farm Management Software &gt; Diversified
Field Force Automation &gt; Agricultural industry
Enterprise Tech - Latam &gt; Field Force Automation &gt; Agricultural industry
SaaS - Latam &gt; Field Force Automation &gt; Agricultural industry
SaaS &gt; Field Force Automation &gt; Agricultural industry
Enterprise Tech - Brazil &gt; Field Force Automation &gt; Agricultural industry</t>
  </si>
  <si>
    <t>Vasham</t>
  </si>
  <si>
    <t>vasham.co.id</t>
  </si>
  <si>
    <t>Patamar Capital; patamar.com</t>
  </si>
  <si>
    <t>Patamar Capital</t>
  </si>
  <si>
    <t>Jakarta, Indonesia</t>
  </si>
  <si>
    <t>End-to-end credit solutions for farmers in Indonesia</t>
  </si>
  <si>
    <t>Crop Tech &gt; Finance &gt; Crowdfunding</t>
  </si>
  <si>
    <t>UkulimaTech</t>
  </si>
  <si>
    <t>ukulimatech.co.ke</t>
  </si>
  <si>
    <t>National Environment Trust Fund; netfund.go.ke</t>
  </si>
  <si>
    <t>Design and supply of hydroponic farming systems and garden automation products in Kenya</t>
  </si>
  <si>
    <t>Crop Tech &gt; Farm Equipment &gt; Grow Lights &gt; LED</t>
  </si>
  <si>
    <t>vaidaangi.com</t>
  </si>
  <si>
    <t>Jayalaxmi Agro Tech</t>
  </si>
  <si>
    <t>jayalaxmiagrotech.com</t>
  </si>
  <si>
    <t>CIIE; ciie.co</t>
  </si>
  <si>
    <t>Mobile based agri info services provider</t>
  </si>
  <si>
    <t>CIIE Batches &gt; 2016
Crop Tech &gt; Content Platforms &gt; Data as a Service &gt; Farm Data Platform</t>
  </si>
  <si>
    <t>Beenext; beenext.com
Ankur Capital; ankurcapital.com</t>
  </si>
  <si>
    <t>Qualcomm; qualcomm.com</t>
  </si>
  <si>
    <t>Star Angel</t>
  </si>
  <si>
    <t>starangel.cc</t>
  </si>
  <si>
    <t>VC Spark; vcspark.com</t>
  </si>
  <si>
    <t>Online B2B platform for ordering organic fruits and vegetables</t>
  </si>
  <si>
    <t>Crop Tech &gt; ECommerce &gt; Farm Produce &gt; B2B &gt; Fruits and Vegetables &gt; E Distributor
Enterprise Tech - China &gt; Crop Tech &gt; ECommerce &gt; Farm Produce &gt; B2B &gt; Fruits and Vegetables &gt; E Distributor
Online Grocery &gt; B2B Ecommerce &gt; Farm Produce &gt; Fruits and Vegetables &gt; E-Distributor
Enterprise Tech - China &gt; Online Grocery &gt; B2B Ecommerce &gt; Farm Produce &gt; Fruits and Vegetables &gt; E-Distributor
B2B Farm Produce E-Commerce &gt; Online Grocery &gt; B2B Ecommerce &gt; Farm Produce &gt; Fruits and Vegetables &gt; E-Distributor
B2B E-Commerce &gt; Food &amp; Beverages &gt; Groceries &gt; Farm Products &gt; E-Distributor
Enterprise Tech - China &gt; B2B E-Commerce &gt; Food &amp; Beverages &gt; Groceries &gt; Farm Products &gt; E-Distributor</t>
  </si>
  <si>
    <t>Musha Ventures; mushaventures.com</t>
  </si>
  <si>
    <t>Musha Ventures</t>
  </si>
  <si>
    <t>Arch Grants; archgrants.org</t>
  </si>
  <si>
    <t>Synqe</t>
  </si>
  <si>
    <t>synqe.cn</t>
  </si>
  <si>
    <t>Developer of livestock farm and slaughterhouse management solution</t>
  </si>
  <si>
    <t>Zhen Fund; zhenfund.com</t>
  </si>
  <si>
    <t>Zhen Fund</t>
  </si>
  <si>
    <t>Mimosa Technology</t>
  </si>
  <si>
    <t>mimosatek.com</t>
  </si>
  <si>
    <t>Seedstars World; seedstarsworld.com</t>
  </si>
  <si>
    <t>Internet of Things for Agriculture</t>
  </si>
  <si>
    <t>IoT Applications &gt; Industry Specific &gt; Agriculture &gt; Farms
SaaS &gt; IoT Applications &gt; Industry Specific &gt; Agriculture &gt; Farms
Enterprise Tech - SEA &gt; IoT Applications &gt; Industry Specific &gt; Agriculture &gt; Farms
SaaS - SEA &gt; IoT Applications &gt; Industry Specific &gt; Agriculture &gt; Farms
IoT in Agriculture &gt; IoT Applications &gt; Industry Specific &gt; Agriculture &gt; Farms
HiTech - SEA &gt; IoT Applications &gt; Industry Specific &gt; Agriculture &gt; Farms
Crop Tech &gt; Farm Management Software &gt; Diversified
SaaS &gt; Crop Tech &gt; Farm Management Software &gt; Diversified
Enterprise Tech - SEA &gt; Crop Tech &gt; Farm Management Software &gt; Diversified
SaaS - SEA &gt; Crop Tech &gt; Farm Management Software &gt; Diversified
IoT in Agriculture &gt; Crop Tech &gt; Farm Management Software &gt; Diversified
Farm Management Software &gt; Crop Tech &gt; Farm Management Software &gt; Diversified</t>
  </si>
  <si>
    <t>Epsilon Venture Partners; epsilonventurepartners.com</t>
  </si>
  <si>
    <t>Epsilon Venture Partners</t>
  </si>
  <si>
    <t>Limakilo</t>
  </si>
  <si>
    <t>limakilo.id</t>
  </si>
  <si>
    <t>Farm to home marketplace for groceries directly from farmers</t>
  </si>
  <si>
    <t>Online Grocery &gt; B2C Ecommerce &gt; Multi Category &gt; Marketplace &gt; Own Delivery Fleet
Enterprise Tech - SEA &gt; Online Grocery &gt; B2C Ecommerce &gt; Multi Category &gt; Marketplace &gt; Own Delivery Fleet
Consumer Digital - SEA &gt; Online Grocery &gt; B2C Ecommerce &gt; Multi Category &gt; Marketplace &gt; Own Delivery Fleet
Marketplaces &gt; Online Grocery &gt; B2C Ecommerce &gt; Multi Category &gt; Marketplace &gt; Own Delivery Fleet
Consumer Digital - Indonesia &gt; Online Grocery &gt; B2C Ecommerce &gt; Multi Category &gt; Marketplace &gt; Own Delivery Fleet
Enterprise Tech - Indonesia &gt; Online Grocery &gt; B2C Ecommerce &gt; Multi Category &gt; Marketplace &gt; Own Delivery Fleet
Gig Employers &gt; Online Grocery &gt; B2C Ecommerce &gt; Multi Category &gt; Marketplace &gt; Own Delivery Fleet
B2C Grocery Delivery &gt; Online Grocery &gt; B2C Ecommerce &gt; Multi Category &gt; Marketplace &gt; Own Delivery Fleet
B2C E-Commerce &gt; Online Grocery &gt; B2C Ecommerce &gt; Multi Category &gt; Marketplace &gt; Own Delivery Fleet
Crop Tech &gt; ECommerce &gt; Farm Produce &gt; B2C &gt; Fruits and Vegetables &gt; Marketplace
Consumer Digital - SEA &gt; Crop Tech &gt; ECommerce &gt; Farm Produce &gt; B2C &gt; Fruits and Vegetables &gt; Marketplace
Enterprise Tech - Indonesia &gt; Crop Tech &gt; ECommerce &gt; Farm Produce &gt; B2C &gt; Fruits and Vegetables &gt; Marketplace
Enterprise Tech - SEA &gt; Crop Tech &gt; ECommerce &gt; Farm Produce &gt; B2C &gt; Fruits and Vegetables &gt; Marketplace
Marketplaces &gt; Crop Tech &gt; ECommerce &gt; Farm Produce &gt; B2C &gt; Fruits and Vegetables &gt; Marketplace
Consumer Digital - Indonesia &gt; Crop Tech &gt; ECommerce &gt; Farm Produce &gt; B2C &gt; Fruits and Vegetables &gt; Marketplace</t>
  </si>
  <si>
    <t>Baita; baita.ac
SP Ventures; spventures.com.br</t>
  </si>
  <si>
    <t>Shunwei Capital; shunwei.com
Future Capital; future-cap.com
Yonghua Capital; yonghuacapital.com.cn
Source Code Capital; sourcecodecap.com</t>
  </si>
  <si>
    <t>Strider</t>
  </si>
  <si>
    <t>strider.ag</t>
  </si>
  <si>
    <t>Monashees; monashees.com.br
Qualcomm Ventures; qualcommventures.com</t>
  </si>
  <si>
    <t>Monashees
Qualcomm Ventures</t>
  </si>
  <si>
    <t>Mobile application and big data based pesticide control system</t>
  </si>
  <si>
    <t>Crop Tech &gt; Farm Management Software &gt; Pest Monitoring
SaaS &gt; Crop Tech &gt; Farm Management Software &gt; Pest Monitoring
SaaS - Latam &gt; Crop Tech &gt; Farm Management Software &gt; Pest Monitoring
Enterprise Tech - Brazil &gt; Crop Tech &gt; Farm Management Software &gt; Pest Monitoring
Enterprise Tech - Latam &gt; Crop Tech &gt; Farm Management Software &gt; Pest Monitoring
IoT in Agriculture &gt; Crop Tech &gt; Farm Management Software &gt; Pest Monitoring
Farm Management Software &gt; Crop Tech &gt; Farm Management Software &gt; Pest Monitoring
IoT Applications &gt; Industry Specific &gt; Agriculture &gt; Farms
SaaS &gt; IoT Applications &gt; Industry Specific &gt; Agriculture &gt; Farms
SaaS - Latam &gt; IoT Applications &gt; Industry Specific &gt; Agriculture &gt; Farms
Enterprise Tech - Brazil &gt; IoT Applications &gt; Industry Specific &gt; Agriculture &gt; Farms
Enterprise Tech - Latam &gt; IoT Applications &gt; Industry Specific &gt; Agriculture &gt; Farms
IoT in Agriculture &gt; IoT Applications &gt; Industry Specific &gt; Agriculture &gt; Farms</t>
  </si>
  <si>
    <t>Startupxseed Ventures; startupxseed.in
SilkRoute Indchem; silkrouteindchem.com</t>
  </si>
  <si>
    <t>Mustafa Wajid
R Natarajan
Sriram Viji</t>
  </si>
  <si>
    <t>Breedit</t>
  </si>
  <si>
    <t>ibreedit.com</t>
  </si>
  <si>
    <t>Data recording and analysis platform for plant breeders in Israel</t>
  </si>
  <si>
    <t>Crop Tech &gt; Farm Inputs &gt; Plant Breeding &gt; Technology Providers
SaaS &gt; Crop Tech &gt; Farm Inputs &gt; Plant Breeding &gt; Technology Providers
SaaS - MENA &gt; Crop Tech &gt; Farm Inputs &gt; Plant Breeding &gt; Technology Providers
Enterprise Tech - MENA &gt; Crop Tech &gt; Farm Inputs &gt; Plant Breeding &gt; Technology Providers
SaaS - Israel &gt; Crop Tech &gt; Farm Inputs &gt; Plant Breeding &gt; Technology Providers
Enterprise Tech - Israel &gt; Crop Tech &gt; Farm Inputs &gt; Plant Breeding &gt; Technology Providers
Plant Breeding &gt; Crop Tech &gt; Farm Inputs &gt; Plant Breeding &gt; Technology Providers</t>
  </si>
  <si>
    <t>DryGair</t>
  </si>
  <si>
    <t>drygair.com</t>
  </si>
  <si>
    <t>Dehumidification solutions for greenhouses</t>
  </si>
  <si>
    <t>Crop Tech &gt; Farm Equipment &gt; Dehumidifiers</t>
  </si>
  <si>
    <t>FarmApp Web</t>
  </si>
  <si>
    <t>farmappweb.com</t>
  </si>
  <si>
    <t>Mobile application for pest control, fumigation and weather reports</t>
  </si>
  <si>
    <t>Crop Tech &gt; Farm Management Software &gt; Diversified
Enterprise Tech - Latam &gt; Crop Tech &gt; Farm Management Software &gt; Diversified
Farm Management Software &gt; Crop Tech &gt; Farm Management Software &gt; Diversified</t>
  </si>
  <si>
    <t>Mayfield; mayfield.com</t>
  </si>
  <si>
    <t>Swaminathan Balasubramanian
Anita Das Choudhury
Arumugam Selvakumar
Mahalingam Srinivaasan</t>
  </si>
  <si>
    <t>Buylfun</t>
  </si>
  <si>
    <t>buylfun.com</t>
  </si>
  <si>
    <t>Online B2B platform for sale of agro products</t>
  </si>
  <si>
    <t>B2B E-Commerce &gt; Agriculture &gt; Marketplace
Consumer Digital - China &gt; B2B E-Commerce &gt; Agriculture &gt; Marketplace
Marketplaces &gt; B2B E-Commerce &gt; Agriculture &gt; Marketplace
Online Grocery &gt; B2B Ecommerce &gt; Farm Produce &gt; Multi-Category &gt; Marketplace
Consumer Digital - China &gt; Online Grocery &gt; B2B Ecommerce &gt; Farm Produce &gt; Multi-Category &gt; Marketplace
Marketplaces &gt; Online Grocery &gt; B2B Ecommerce &gt; Farm Produce &gt; Multi-Category &gt; Marketplace
B2B Farm Produce E-Commerce &gt; Online Grocery &gt; B2B Ecommerce &gt; Farm Produce &gt; Multi-Category &gt; Marketplace
Crop Tech &gt; ECommerce &gt; Farm Produce &gt; B2B &gt; Fruits and Vegetables &gt; Marketplace
Consumer Digital - China &gt; Crop Tech &gt; ECommerce &gt; Farm Produce &gt; B2B &gt; Fruits and Vegetables &gt; Marketplace
Marketplaces &gt; Crop Tech &gt; ECommerce &gt; Farm Produce &gt; B2B &gt; Fruits and Vegetables &gt; Marketplace</t>
  </si>
  <si>
    <t>The Hazera 1939; hazera1939.com</t>
  </si>
  <si>
    <t>Robert Bosch Venture Capital; rbvc.com
Flex Lab IX; flextronicslabix.com</t>
  </si>
  <si>
    <t>Robert Bosch Venture Capital
Flex Lab IX</t>
  </si>
  <si>
    <t>VegFru</t>
  </si>
  <si>
    <t>vegfru.com</t>
  </si>
  <si>
    <t>Wingify; wingify.com</t>
  </si>
  <si>
    <t>Wingify</t>
  </si>
  <si>
    <t>Online B2B marketplace for fruits, vegetables &amp; other farming services</t>
  </si>
  <si>
    <t>B2B E-Commerce &gt; Food &amp; Beverages &gt; Groceries &gt; Farm Products &gt; Marketplace
Marketplaces &gt; B2B E-Commerce &gt; Food &amp; Beverages &gt; Groceries &gt; Farm Products &gt; Marketplace
Enterprise Tech - India &gt; B2B E-Commerce &gt; Food &amp; Beverages &gt; Groceries &gt; Farm Products &gt; Marketplace
Crop Tech &gt; ECommerce &gt; Farm Produce &gt; B2B &gt; Fruits and Vegetables &gt; Marketplace
Marketplaces &gt; Crop Tech &gt; ECommerce &gt; Farm Produce &gt; B2B &gt; Fruits and Vegetables &gt; Marketplace
Enterprise Tech - India &gt; Crop Tech &gt; ECommerce &gt; Farm Produce &gt; B2B &gt; Fruits and Vegetables &gt; Marketplace
Online Grocery &gt; B2B Ecommerce &gt; Farm Produce &gt; Fruits and Vegetables &gt; Marketplace
Marketplaces &gt; Online Grocery &gt; B2B Ecommerce &gt; Farm Produce &gt; Fruits and Vegetables &gt; Marketplace
B2B Farm Produce E-Commerce &gt; Online Grocery &gt; B2B Ecommerce &gt; Farm Produce &gt; Fruits and Vegetables &gt; Marketplace
Enterprise Tech - India &gt; Online Grocery &gt; B2B Ecommerce &gt; Farm Produce &gt; Fruits and Vegetables &gt; Marketplace</t>
  </si>
  <si>
    <t>tech4farmers</t>
  </si>
  <si>
    <t>tech4farmers.com</t>
  </si>
  <si>
    <t>Digital platform providing pricing information and ledger for agribusinesses</t>
  </si>
  <si>
    <t>Crop Tech &gt; Content Platforms &gt; Data as a Service &gt; Market Data &gt; Pricing Information
Techstars Portfolio &gt; Crop Tech &gt; Content Platforms &gt; Data as a Service &gt; Market Data &gt; Pricing Information</t>
  </si>
  <si>
    <t>SAP; sap.com</t>
  </si>
  <si>
    <t>Nongguanjia</t>
  </si>
  <si>
    <t>nongguanjia.com</t>
  </si>
  <si>
    <t>Fosun; fosun.com</t>
  </si>
  <si>
    <t>Fosun</t>
  </si>
  <si>
    <t>Online B2B platform for agro products</t>
  </si>
  <si>
    <t>Crop Tech &gt; ECommerce &gt; Farm Produce &gt; B2B &gt; Fruits and Vegetables &gt; Marketplace
Enterprise Tech - China &gt; Crop Tech &gt; ECommerce &gt; Farm Produce &gt; B2B &gt; Fruits and Vegetables &gt; Marketplace
Marketplaces &gt; Crop Tech &gt; ECommerce &gt; Farm Produce &gt; B2B &gt; Fruits and Vegetables &gt; Marketplace
Online Grocery &gt; B2B Ecommerce &gt; Farm Produce &gt; Multi-Category &gt; Marketplace
Enterprise Tech - China &gt; Online Grocery &gt; B2B Ecommerce &gt; Farm Produce &gt; Multi-Category &gt; Marketplace
Marketplaces &gt; Online Grocery &gt; B2B Ecommerce &gt; Farm Produce &gt; Multi-Category &gt; Marketplace
B2B Farm Produce E-Commerce &gt; Online Grocery &gt; B2B Ecommerce &gt; Farm Produce &gt; Multi-Category &gt; Marketplace
B2B E-Commerce &gt; Agriculture &gt; Marketplace
Enterprise Tech - China &gt; B2B E-Commerce &gt; Agriculture &gt; Marketplace
Marketplaces &gt; B2B E-Commerce &gt; Agriculture &gt; Marketplace</t>
  </si>
  <si>
    <t>Jain Irrigation Systems</t>
  </si>
  <si>
    <t>jains.com</t>
  </si>
  <si>
    <t>Mandala Capital; mandala-capital.com</t>
  </si>
  <si>
    <t>Jalgaon, Maharashtra, India</t>
  </si>
  <si>
    <t>Manufacturer and distributor of irrigation equipment</t>
  </si>
  <si>
    <t>Crop Tech &gt; Autonomous Farming &gt; Irrigation
Enterprise Tech - India &gt; Crop Tech &gt; Autonomous Farming &gt; Irrigation
Autonomous Farming &gt; Crop Tech &gt; Autonomous Farming &gt; Irrigation</t>
  </si>
  <si>
    <t>OurCrowd; ourcrowd.com
Eshbol Ventures; eshbol.com
Kaedan Capital; kaedan.com
iAngels; iangels.com
Cognitiv Ventures; cognitiv.vc</t>
  </si>
  <si>
    <t>Marc Benioff</t>
  </si>
  <si>
    <t>OurCrowd
Eshbol Ventures</t>
  </si>
  <si>
    <t>AIRAg</t>
  </si>
  <si>
    <t>airag.cn</t>
  </si>
  <si>
    <t>Developer of integrated platform for farm data and analytics</t>
  </si>
  <si>
    <t>Crop Tech &gt; Farm Analytics &gt; Multispectral Sensing
Enterprise Tech - China &gt; Crop Tech &gt; Farm Analytics &gt; Multispectral Sensing
IoT in Agriculture &gt; Crop Tech &gt; Farm Analytics &gt; Multispectral Sensing
Farm Analytics &gt; Crop Tech &gt; Farm Analytics &gt; Multispectral Sensing
IoT Applications &gt; Industry Specific &gt; Agriculture &gt; Farms
Enterprise Tech - China &gt; IoT Applications &gt; Industry Specific &gt; Agriculture &gt; Farms
HiTech - China &gt; IoT Applications &gt; Industry Specific &gt; Agriculture &gt; Farms
IoT in Agriculture &gt; IoT Applications &gt; Industry Specific &gt; Agriculture &gt; Farms</t>
  </si>
  <si>
    <t>Swine Smart</t>
  </si>
  <si>
    <t>swinesmart.com</t>
  </si>
  <si>
    <t>Imagine Latam; imaginelab.cl</t>
  </si>
  <si>
    <t>Hardware and Software solutions for swine farm management</t>
  </si>
  <si>
    <t>Pet Tech &gt; Pet Care Management &gt; Tracking &gt; Cats and Dogs
Enterprise Tech - Latam &gt; Pet Tech &gt; Pet Care Management &gt; Tracking &gt; Cats and Dogs
IoT in Retail &gt; Pet Tech &gt; Pet Care Management &gt; Tracking &gt; Cats and Dogs
IoT in Agriculture &gt; Pet Tech &gt; Pet Care Management &gt; Tracking &gt; Cats and Dogs
Wearable Technology &gt; Pet Wearables &gt; Swine Monitoring
Enterprise Tech - Latam &gt; Wearable Technology &gt; Pet Wearables &gt; Swine Monitoring
Pet Wearables &gt; Wearable Technology &gt; Pet Wearables &gt; Swine Monitoring
IoT in Retail &gt; Wearable Technology &gt; Pet Wearables &gt; Swine Monitoring
IoT in Agriculture &gt; Wearable Technology &gt; Pet Wearables &gt; Swine Monitoring
IoT Applications &gt; Industry Specific &gt; Agriculture &gt; Livestock
IoT in Retail &gt; IoT Applications &gt; Industry Specific &gt; Agriculture &gt; Livestock
IoT in Agriculture &gt; IoT Applications &gt; Industry Specific &gt; Agriculture &gt; Livestock
Enterprise Tech - Latam &gt; IoT Applications &gt; Industry Specific &gt; Agriculture &gt; Livestock
Livestock Tech &gt; End-to-End Livestock Farm Automation
Enterprise Tech - Latam &gt; Livestock Tech &gt; End-to-End Livestock Farm Automation
IoT in Retail &gt; Livestock Tech &gt; End-to-End Livestock Farm Automation
IoT in Agriculture &gt; Livestock Tech &gt; End-to-End Livestock Farm Automation</t>
  </si>
  <si>
    <t>JD.com; jd.com
ClearVue Partners; cvpcap.com
SIG China; sig-china.com</t>
  </si>
  <si>
    <t>JD.com
ClearVue Partners
SIG China</t>
  </si>
  <si>
    <t>Sakal Media; sakalmediagroup.com
Rivigo; rivigo.com</t>
  </si>
  <si>
    <t>CK Ranganathan
Ishwar Subramanian
Meenakshi Mangaleswaran
Rahul Sankhe
Ramesh Mangaleswaran
Thailambal Chandramohan</t>
  </si>
  <si>
    <t>Factor[e] Ventures; factore.com</t>
  </si>
  <si>
    <t>Accel; accel.com
Qualcomm Ventures; qualcommventures.com
ZopSmart; zopsmart.com
M and S Capital Partners; ms-capitalpartners.com</t>
  </si>
  <si>
    <t>Yiweinet</t>
  </si>
  <si>
    <t>yiweinet.com</t>
  </si>
  <si>
    <t>Unity Ventures; unityvc.com
Beijing Zhonghai Investment Management; zandh.cn
Sinovation Ventures; sinovationventures.com</t>
  </si>
  <si>
    <t>Online B2B platform for ordering groceries</t>
  </si>
  <si>
    <t>B2B E-Commerce &gt; Food &amp; Beverages &gt; Groceries &gt; Farm Products &gt; E-Distributor
Enterprise Tech - China &gt; B2B E-Commerce &gt; Food &amp; Beverages &gt; Groceries &gt; Farm Products &gt; E-Distributor
Marketplaces &gt; B2B E-Commerce &gt; Food &amp; Beverages &gt; Groceries &gt; Farm Products &gt; E-Distributor
Online Grocery &gt; B2B Ecommerce &gt; Multi-Category &gt; E-Distributor
Enterprise Tech - China &gt; Online Grocery &gt; B2B Ecommerce &gt; Multi-Category &gt; E-Distributor
Marketplaces &gt; Online Grocery &gt; B2B Ecommerce &gt; Multi-Category &gt; E-Distributor
Crop Tech &gt; ECommerce &gt; Farm Produce &gt; B2B &gt; Fruits and Vegetables &gt; E Distributor
Enterprise Tech - China &gt; Crop Tech &gt; ECommerce &gt; Farm Produce &gt; B2B &gt; Fruits and Vegetables &gt; E Distributor
Marketplaces &gt; Crop Tech &gt; ECommerce &gt; Farm Produce &gt; B2B &gt; Fruits and Vegetables &gt; E Distributor</t>
  </si>
  <si>
    <t>Qiming Venture Partners; qimingvc.com</t>
  </si>
  <si>
    <t>Qiming Venture Partners</t>
  </si>
  <si>
    <t>The Trendlines Group; trendlines.com
MIGAL; migal.org.il</t>
  </si>
  <si>
    <t>Startupxseed Ventures; startupxseed.in
3one4 Capital; 3one4capital.com
ANG Group; ang.group
The Phoenix Fund; thephoenixfund.com</t>
  </si>
  <si>
    <t>Sanjay Jesrani
Ashok Atluri</t>
  </si>
  <si>
    <t>Origami Creative; origamicreative.com</t>
  </si>
  <si>
    <t>Kolathoor Mohammed Massod
Laeeq Ali</t>
  </si>
  <si>
    <t>Origami Creative</t>
  </si>
  <si>
    <t>VijayaLakshmi Rao
Sanjeev Kamte</t>
  </si>
  <si>
    <t>Zdongpin</t>
  </si>
  <si>
    <t>zdongpin.com</t>
  </si>
  <si>
    <t>B2B marketplace for raw sea food</t>
  </si>
  <si>
    <t>Online Grocery &gt; B2B Ecommerce &gt; Farm Produce &gt; Meat and Seafood &gt; Marketplace
Enterprise Tech - China &gt; Online Grocery &gt; B2B Ecommerce &gt; Farm Produce &gt; Meat and Seafood &gt; Marketplace
Consumer Digital - China &gt; Online Grocery &gt; B2B Ecommerce &gt; Farm Produce &gt; Meat and Seafood &gt; Marketplace
Marketplaces &gt; Online Grocery &gt; B2B Ecommerce &gt; Farm Produce &gt; Meat and Seafood &gt; Marketplace
B2B Farm Produce E-Commerce &gt; Online Grocery &gt; B2B Ecommerce &gt; Farm Produce &gt; Meat and Seafood &gt; Marketplace
B2B E-Commerce &gt; Food &amp; Beverages &gt; Groceries &gt; Farm Products &gt; Marketplace
Enterprise Tech - China &gt; B2B E-Commerce &gt; Food &amp; Beverages &gt; Groceries &gt; Farm Products &gt; Marketplace
Consumer Digital - China &gt; B2B E-Commerce &gt; Food &amp; Beverages &gt; Groceries &gt; Farm Products &gt; Marketplace
Marketplaces &gt; B2B E-Commerce &gt; Food &amp; Beverages &gt; Groceries &gt; Farm Products &gt; Marketplace
Aquaculture Tech &gt; ECommerce &gt; Farm Produce &gt; B2B &gt; Marketplace
Enterprise Tech - China &gt; Aquaculture Tech &gt; ECommerce &gt; Farm Produce &gt; B2B &gt; Marketplace
Consumer Digital - China &gt; Aquaculture Tech &gt; ECommerce &gt; Farm Produce &gt; B2B &gt; Marketplace
Marketplaces &gt; Aquaculture Tech &gt; ECommerce &gt; Farm Produce &gt; B2B &gt; Marketplace</t>
  </si>
  <si>
    <t>Tracxn Labs; tracxnlabs.com</t>
  </si>
  <si>
    <t>Kunal Bahl
Rohit Bansal
Utsav Somani
Farooq Adam Mukadam
Anupam Mittal
Pranay Jivrajka
Amit Gupta
Edul Patel
Geet Bhanawat
Pallav Singh
Pallaw Sharma
Viraj Shah
Karan Singh Shekhawat
Sameer Nagpal
Harpreet Singh
R Ramakrishnan
Ashish Goenka
Abhishek Jain
Abhinav Daga
Gagan Goyal
Neeraj Goenka</t>
  </si>
  <si>
    <t>Utsav Somani
Anupam Mittal
Ashish Goenka
Neeraj Goenka</t>
  </si>
  <si>
    <t>Pragnya; pragnyafunds.com
ACS International Resources; acs-intl.com</t>
  </si>
  <si>
    <t>Kris Gopalakrishnan
Rajiv Luthra
Sharad Junghare
Sandeep Soni
Sanjay Puri
Sadeesh Raghavan
Bikram Dasgupta
Harsh Vardhan Hada
Nilesh Vani
Ankit Agarwal
Sarath Sura
Neeraj Kumar Singal
Nagaraja Prakasam
Bikky Khosla
Vivek Chanana
Ananth Ravi
Prerna Kaul
Shahnaz Menon
Gaurav Joshua Vaz
Supriya Ganpule
Vijay Anand
Faraz Ahmed
Srinivas Reddy Kalakoti
Ebenezer Vidyasagar
Salil Gupta
Vishweshwar Reddy Konda</t>
  </si>
  <si>
    <t>Kris Gopalakrishnan
Rajiv Luthra
Sharad Junghare
Sandeep Soni
Sanjay Puri
Sadeesh Raghavan
Bikram Dasgupta
Harsh Vardhan Hada
Nilesh Vani
Ankit Agarwal
Sarath Sura
Neeraj Kumar Singal
Nagaraja Prakasam
Bikky Khosla
Vivek Chanana</t>
  </si>
  <si>
    <t>Yingzhongtou</t>
  </si>
  <si>
    <t>yingzhongtou.com</t>
  </si>
  <si>
    <t>Online P2P based agricultural loans</t>
  </si>
  <si>
    <t>Crowdfunding &gt; Revenue Sharing &gt; Agriculture
Consumer Digital - China &gt; Crowdfunding &gt; Revenue Sharing &gt; Agriculture
Marketplaces &gt; Crowdfunding &gt; Revenue Sharing &gt; Agriculture
FinTech - China &gt; Crowdfunding &gt; Revenue Sharing &gt; Agriculture
Agri FinTech &gt; Crowdfunding &gt; Revenue Sharing &gt; Agriculture
Alternative Lending &gt; Online Lenders &gt; Business Loans &gt; Term Loans &gt; Marketplace &gt; P2P
Consumer Digital - China &gt; Alternative Lending &gt; Online Lenders &gt; Business Loans &gt; Term Loans &gt; Marketplace &gt; P2P
Marketplaces &gt; Alternative Lending &gt; Online Lenders &gt; Business Loans &gt; Term Loans &gt; Marketplace &gt; P2P
FinTech - China &gt; Alternative Lending &gt; Online Lenders &gt; Business Loans &gt; Term Loans &gt; Marketplace &gt; P2P
Peer to Peer Lending &gt; Alternative Lending &gt; Online Lenders &gt; Business Loans &gt; Term Loans &gt; Marketplace &gt; P2P
Agri FinTech &gt; Alternative Lending &gt; Online Lenders &gt; Business Loans &gt; Term Loans &gt; Marketplace &gt; P2P
Internet First Lenders &gt; Alternative Lending &gt; Online Lenders &gt; Business Loans &gt; Term Loans &gt; Marketplace &gt; P2P
Internet First Term Loans for Businesses &gt; Alternative Lending &gt; Online Lenders &gt; Business Loans &gt; Term Loans &gt; Marketplace &gt; P2P
Crop Tech &gt; Finance &gt; Loans
Consumer Digital - China &gt; Crop Tech &gt; Finance &gt; Loans
Marketplaces &gt; Crop Tech &gt; Finance &gt; Loans</t>
  </si>
  <si>
    <t>Yuan Jing Capital; vplus.vc</t>
  </si>
  <si>
    <t>Matrix Partners China</t>
  </si>
  <si>
    <t>Agrihub</t>
  </si>
  <si>
    <t>theagrihub.com</t>
  </si>
  <si>
    <t>Listing platform for suppliers of various farm inputs in India</t>
  </si>
  <si>
    <t>B2B E-Commerce &gt; Agriculture &gt; Listing Platform
Enterprise Tech - India &gt; B2B E-Commerce &gt; Agriculture &gt; Listing Platform
Crop Tech &gt; ECommerce &gt; Diversified &gt; Marketplace
Enterprise Tech - India &gt; Crop Tech &gt; ECommerce &gt; Diversified &gt; Marketplace</t>
  </si>
  <si>
    <t>500 Durians; durians.500.co</t>
  </si>
  <si>
    <t>500 Durians</t>
  </si>
  <si>
    <t>Mitsui &amp; Co; mitsui.com
Syngenta Ventures; syngentaventures.com</t>
  </si>
  <si>
    <t>Syngenta Ventures</t>
  </si>
  <si>
    <t>17dfs</t>
  </si>
  <si>
    <t>17dfs.com</t>
  </si>
  <si>
    <t>K2VC; k2vc.com</t>
  </si>
  <si>
    <t>B2B trading platform for groceries direct from farmers</t>
  </si>
  <si>
    <t>B2B E-Commerce &gt; Food &amp; Beverages &gt; Groceries &gt; Farm Products &gt; Marketplace
Enterprise Tech - China &gt; B2B E-Commerce &gt; Food &amp; Beverages &gt; Groceries &gt; Farm Products &gt; Marketplace
Marketplaces &gt; B2B E-Commerce &gt; Food &amp; Beverages &gt; Groceries &gt; Farm Products &gt; Marketplace
Online Grocery &gt; B2B Ecommerce &gt; Farm Produce &gt; Multi-Category &gt; Marketplace
Enterprise Tech - China &gt; Online Grocery &gt; B2B Ecommerce &gt; Farm Produce &gt; Multi-Category &gt; Marketplace
Marketplaces &gt; Online Grocery &gt; B2B Ecommerce &gt; Farm Produce &gt; Multi-Category &gt; Marketplace
B2B Farm Produce E-Commerce &gt; Online Grocery &gt; B2B Ecommerce &gt; Farm Produce &gt; Multi-Category &gt; Marketplace
Crop Tech &gt; ECommerce &gt; Farm Produce &gt; B2B &gt; Fruits and Vegetables &gt; Marketplace
Enterprise Tech - China &gt; Crop Tech &gt; ECommerce &gt; Farm Produce &gt; B2B &gt; Fruits and Vegetables &gt; Marketplace
Marketplaces &gt; Crop Tech &gt; ECommerce &gt; Farm Produce &gt; B2B &gt; Fruits and Vegetables &gt; Marketplace</t>
  </si>
  <si>
    <t>IDG Ventures Vietnam; idgvv.com.vn
Topica; topica.asia
Samsung; samsung.com</t>
  </si>
  <si>
    <t>Jinxiushengxian</t>
  </si>
  <si>
    <t>jinxiushengxian.com</t>
  </si>
  <si>
    <t>Zhonghairuany Investment; zhsoftbank.com</t>
  </si>
  <si>
    <t>Online B2B supplier of fresh vegetables</t>
  </si>
  <si>
    <t>Crop Tech &gt; ECommerce &gt; Farm Produce &gt; B2B &gt; Fruits and Vegetables &gt; E Distributor
Enterprise Tech - China &gt; Crop Tech &gt; ECommerce &gt; Farm Produce &gt; B2B &gt; Fruits and Vegetables &gt; E Distributor
Marketplaces &gt; Crop Tech &gt; ECommerce &gt; Farm Produce &gt; B2B &gt; Fruits and Vegetables &gt; E Distributor
Online Grocery &gt; B2B Ecommerce &gt; Farm Produce &gt; Multi-Category &gt; E-Distributor
Enterprise Tech - China &gt; Online Grocery &gt; B2B Ecommerce &gt; Farm Produce &gt; Multi-Category &gt; E-Distributor
Marketplaces &gt; Online Grocery &gt; B2B Ecommerce &gt; Farm Produce &gt; Multi-Category &gt; E-Distributor
B2B Farm Produce E-Commerce &gt; Online Grocery &gt; B2B Ecommerce &gt; Farm Produce &gt; Multi-Category &gt; E-Distributor
B2B E-Commerce &gt; Food &amp; Beverages &gt; Groceries &gt; Farm Products &gt; E-Distributor
Enterprise Tech - China &gt; B2B E-Commerce &gt; Food &amp; Beverages &gt; Groceries &gt; Farm Products &gt; E-Distributor
Marketplaces &gt; B2B E-Commerce &gt; Food &amp; Beverages &gt; Groceries &gt; Farm Products &gt; E-Distributor</t>
  </si>
  <si>
    <t>Buscagro</t>
  </si>
  <si>
    <t>buscagro.cl</t>
  </si>
  <si>
    <t>Online platform for procuring farm inputs through geo-location search of suppliers and deals</t>
  </si>
  <si>
    <t>Crop Tech &gt; ECommerce &gt; Farm Inputs &gt; Multi Category &gt; Marketplace
Marketplaces &gt; Crop Tech &gt; ECommerce &gt; Farm Inputs &gt; Multi Category &gt; Marketplace
Enterprise Tech - Latam &gt; Crop Tech &gt; ECommerce &gt; Farm Inputs &gt; Multi Category &gt; Marketplace
Farm Inputs E-Commerce &gt; Crop Tech &gt; ECommerce &gt; Farm Inputs &gt; Multi Category &gt; Marketplace</t>
  </si>
  <si>
    <t>BioGenerator; biogenerator.org</t>
  </si>
  <si>
    <t>Launchpad Accelerator; developers.google.com/programs/launchpad/accelerators</t>
  </si>
  <si>
    <t>Mahindra Finance; mahindrafinance.com</t>
  </si>
  <si>
    <t>Mahindra Finance</t>
  </si>
  <si>
    <t>Baldev Raj Arora
Kaushal Raj Singh Thakur
Ramachandra Kaundinya Vinnakota</t>
  </si>
  <si>
    <t>Dongpinhui</t>
  </si>
  <si>
    <t>dongpinhui.cn</t>
  </si>
  <si>
    <t>B2B marketplace for Meat and Sea Food</t>
  </si>
  <si>
    <t>Online Grocery &gt; B2B Ecommerce &gt; Farm Produce &gt; Meat and Seafood &gt; Marketplace
Enterprise Tech - China &gt; Online Grocery &gt; B2B Ecommerce &gt; Farm Produce &gt; Meat and Seafood &gt; Marketplace
B2B Farm Produce E-Commerce &gt; Online Grocery &gt; B2B Ecommerce &gt; Farm Produce &gt; Meat and Seafood &gt; Marketplace
B2B E-Commerce &gt; Food &amp; Beverages &gt; Groceries &gt; Farm Products &gt; Marketplace
Enterprise Tech - China &gt; B2B E-Commerce &gt; Food &amp; Beverages &gt; Groceries &gt; Farm Products &gt; Marketplace
Livestock Tech &gt; ECommerce &gt; Farm Produce &gt; B2B &gt; Marketplace &gt; Meat
Enterprise Tech - China &gt; Livestock Tech &gt; ECommerce &gt; Farm Produce &gt; B2B &gt; Marketplace &gt; Meat</t>
  </si>
  <si>
    <t>Forrest Innovations</t>
  </si>
  <si>
    <t>forrestinnovations.com</t>
  </si>
  <si>
    <t>BIRD Foundation; birdf.com</t>
  </si>
  <si>
    <t>Uses RNA interference tech for citrus greening</t>
  </si>
  <si>
    <t>Crop Tech &gt; Autonomous Farming &gt; Pest Control
Autonomous Farming &gt; Crop Tech &gt; Autonomous Farming &gt; Pest Control
Genomics &gt; Enabling Technologies &gt; Technology Platforms &gt; RNA interference
Life Sciences - Israel &gt; Genomics &gt; Enabling Technologies &gt; Technology Platforms &gt; RNA interference
Life Sciences - MENA &gt; Genomics &gt; Enabling Technologies &gt; Technology Platforms &gt; RNA interference</t>
  </si>
  <si>
    <t>Beijing Agricultural hatch Network Technology</t>
  </si>
  <si>
    <t>nfu99.com</t>
  </si>
  <si>
    <t>Frees Fund; freesvc.com</t>
  </si>
  <si>
    <t>Online platform for farmers to obtaining money for liquidity requirements</t>
  </si>
  <si>
    <t>Crowdfunding &gt; Revenue Sharing &gt; Agriculture
FinTech - China &gt; Crowdfunding &gt; Revenue Sharing &gt; Agriculture
Agri FinTech &gt; Crowdfunding &gt; Revenue Sharing &gt; Agriculture
Crop Tech &gt; Finance &gt; Crowdfunding</t>
  </si>
  <si>
    <t>Sanfeng</t>
  </si>
  <si>
    <t>sanfeng.net</t>
  </si>
  <si>
    <t>Reward-based crowdfunding platform for agricultural produce.</t>
  </si>
  <si>
    <t>Crowdfunding &gt; Rewards &gt; Agriculture
Marketplaces &gt; Crowdfunding &gt; Rewards &gt; Agriculture
Consumer Digital - China &gt; Crowdfunding &gt; Rewards &gt; Agriculture
FinTech - China &gt; Crowdfunding &gt; Rewards &gt; Agriculture
Reward Based Crowdfunding &gt; Crowdfunding &gt; Rewards &gt; Agriculture
Agri FinTech &gt; Crowdfunding &gt; Rewards &gt; Agriculture</t>
  </si>
  <si>
    <t>Mailiangwang</t>
  </si>
  <si>
    <t>mailiangwang.com</t>
  </si>
  <si>
    <t>Lightspeed China Partners; lightspeedcp.com</t>
  </si>
  <si>
    <t>B2B trading platform for rice, wheat and other staples</t>
  </si>
  <si>
    <t>B2B E-Commerce &gt; Food &amp; Beverages &gt; Groceries &gt; Farm Products &gt; Marketplace
Enterprise Tech - China &gt; B2B E-Commerce &gt; Food &amp; Beverages &gt; Groceries &gt; Farm Products &gt; Marketplace
Marketplaces &gt; B2B E-Commerce &gt; Food &amp; Beverages &gt; Groceries &gt; Farm Products &gt; Marketplace
Crop Tech &gt; ECommerce &gt; Farm Produce &gt; B2B &gt; Grains
Enterprise Tech - China &gt; Crop Tech &gt; ECommerce &gt; Farm Produce &gt; B2B &gt; Grains
Marketplaces &gt; Crop Tech &gt; ECommerce &gt; Farm Produce &gt; B2B &gt; Grains
Online Grocery &gt; B2B Ecommerce &gt; Farm Produce &gt; Grains
Enterprise Tech - China &gt; Online Grocery &gt; B2B Ecommerce &gt; Farm Produce &gt; Grains
Marketplaces &gt; Online Grocery &gt; B2B Ecommerce &gt; Farm Produce &gt; Grains
B2B Farm Produce E-Commerce &gt; Online Grocery &gt; B2B Ecommerce &gt; Farm Produce &gt; Grains</t>
  </si>
  <si>
    <t>Fresh2Ket</t>
  </si>
  <si>
    <t>fresh2ket.co</t>
  </si>
  <si>
    <t>1337 Ventures; 1337accelerator.com</t>
  </si>
  <si>
    <t>B2B grocery supplier</t>
  </si>
  <si>
    <t>Online Grocery &gt; B2B Ecommerce &gt; Farm Produce &gt; Multi-Category &gt; E-Distributor
Enterprise Tech - SEA &gt; Online Grocery &gt; B2B Ecommerce &gt; Farm Produce &gt; Multi-Category &gt; E-Distributor
B2B Farm Produce E-Commerce &gt; Online Grocery &gt; B2B Ecommerce &gt; Farm Produce &gt; Multi-Category &gt; E-Distributor
B2B E-Commerce &gt; Food &amp; Beverages &gt; Groceries &gt; Farm Products &gt; E-Distributor
Enterprise Tech - SEA &gt; B2B E-Commerce &gt; Food &amp; Beverages &gt; Groceries &gt; Farm Products &gt; E-Distributor
Crop Tech &gt; ECommerce &gt; Farm Produce &gt; B2B &gt; Fruits and Vegetables &gt; E Distributor
Enterprise Tech - SEA &gt; Crop Tech &gt; ECommerce &gt; Farm Produce &gt; B2B &gt; Fruits and Vegetables &gt; E Distributor</t>
  </si>
  <si>
    <t>Agrimanu</t>
  </si>
  <si>
    <t>agrimanu.com</t>
  </si>
  <si>
    <t>Online B2B platform for trading groceries</t>
  </si>
  <si>
    <t>SubFlex</t>
  </si>
  <si>
    <t>subflex.org</t>
  </si>
  <si>
    <t>Pardes Hanna Karkur, Haifa District, Israel</t>
  </si>
  <si>
    <t>Design, supply, and installation of open sea net cages</t>
  </si>
  <si>
    <t>Aquaculture Tech &gt; Fisheries &gt; Diversified</t>
  </si>
  <si>
    <t>Premprakash Saboo</t>
  </si>
  <si>
    <t>Emubao</t>
  </si>
  <si>
    <t>emubao.com</t>
  </si>
  <si>
    <t>Sheep husbandary investment venture</t>
  </si>
  <si>
    <t>Livestock Tech &gt; Financing Platforms &gt; Investment</t>
  </si>
  <si>
    <t>Origene Seeds</t>
  </si>
  <si>
    <t>origeneseeds.com</t>
  </si>
  <si>
    <t>Hybrid crop seeds developer and supplier in Israel</t>
  </si>
  <si>
    <t>AutoAgronom</t>
  </si>
  <si>
    <t>autoagronom.com</t>
  </si>
  <si>
    <t>Yuanda China Holdings; yuandacn.com</t>
  </si>
  <si>
    <t>Precision agriculture tech for irrigation systems</t>
  </si>
  <si>
    <t>Crop Tech &gt; Autonomous Farming &gt; Irrigation
Enterprise Tech - MENA &gt; Crop Tech &gt; Autonomous Farming &gt; Irrigation
Enterprise Tech - Israel &gt; Crop Tech &gt; Autonomous Farming &gt; Irrigation
Autonomous Farming &gt; Crop Tech &gt; Autonomous Farming &gt; Irrigation
MassChallenge Batches &gt; Boston &gt; 2014 &gt; Silver
Enterprise Tech - MENA &gt; MassChallenge Batches &gt; Boston &gt; 2014 &gt; Silver
Enterprise Tech - Israel &gt; MassChallenge Batches &gt; Boston &gt; 2014 &gt; Silver</t>
  </si>
  <si>
    <t>Megha Chadha
Rohit Sharma
Siddharth Bhavnani
Bhanu Singhal
Gaurav Jain
Sandeep Kumar
Abhishek Sharman
Oscar De Lima Pereira
Ashvin Chadha</t>
  </si>
  <si>
    <t>Megha Chadha
Bhanu Singhal
Gaurav Jain
Sandeep Kumar
Ashvin Chadha</t>
  </si>
  <si>
    <t>Beijing Zhonghai Investment Management; zandh.cn</t>
  </si>
  <si>
    <t>Anxindeli</t>
  </si>
  <si>
    <t>anxindeli.com</t>
  </si>
  <si>
    <t>Zhen Fund; zhenfund.com
Renren; renren.com</t>
  </si>
  <si>
    <t>Online P2P lending platform for agri businesses</t>
  </si>
  <si>
    <t>Crowdfunding &gt; Revenue Sharing &gt; Agriculture
Enterprise Tech - China &gt; Crowdfunding &gt; Revenue Sharing &gt; Agriculture
Marketplaces &gt; Crowdfunding &gt; Revenue Sharing &gt; Agriculture
FinTech - China &gt; Crowdfunding &gt; Revenue Sharing &gt; Agriculture
Agri FinTech &gt; Crowdfunding &gt; Revenue Sharing &gt; Agriculture
Alternative Lending &gt; Online Lenders &gt; Business Loans &gt; Term Loans &gt; Marketplace &gt; P2P
Enterprise Tech - China &gt; Alternative Lending &gt; Online Lenders &gt; Business Loans &gt; Term Loans &gt; Marketplace &gt; P2P
Marketplaces &gt; Alternative Lending &gt; Online Lenders &gt; Business Loans &gt; Term Loans &gt; Marketplace &gt; P2P
FinTech - China &gt; Alternative Lending &gt; Online Lenders &gt; Business Loans &gt; Term Loans &gt; Marketplace &gt; P2P
Peer to Peer Lending &gt; Alternative Lending &gt; Online Lenders &gt; Business Loans &gt; Term Loans &gt; Marketplace &gt; P2P
Agri FinTech &gt; Alternative Lending &gt; Online Lenders &gt; Business Loans &gt; Term Loans &gt; Marketplace &gt; P2P
Internet First Lenders &gt; Alternative Lending &gt; Online Lenders &gt; Business Loans &gt; Term Loans &gt; Marketplace &gt; P2P
Internet First Term Loans for Businesses &gt; Alternative Lending &gt; Online Lenders &gt; Business Loans &gt; Term Loans &gt; Marketplace &gt; P2P
Crop Tech &gt; Finance &gt; Crowdfunding
Enterprise Tech - China &gt; Crop Tech &gt; Finance &gt; Crowdfunding
Marketplaces &gt; Crop Tech &gt; Finance &gt; Crowdfunding</t>
  </si>
  <si>
    <t>KCT Group; kctgroup.com
Fireside Ventures; firesideventures.com
Tholons; tholons.com</t>
  </si>
  <si>
    <t>Siddarth Pai
Anupama Das
Sekhar Chennupati
G Vinod
Kamalakshaiah S
Sameer Brij Verma
Kaushal Agarwal
Mohandas Pai
Kanwaljit Singh</t>
  </si>
  <si>
    <t>KCT Group</t>
  </si>
  <si>
    <t>Jiuchuang Capital; 9ccapital.com</t>
  </si>
  <si>
    <t>LESS Industries</t>
  </si>
  <si>
    <t>lessindustries.com</t>
  </si>
  <si>
    <t>Analytics platform for on-field data analysis and decision making</t>
  </si>
  <si>
    <t>IoT Applications &gt; Industry Specific &gt; Agriculture &gt; Farms
SaaS &gt; IoT Applications &gt; Industry Specific &gt; Agriculture &gt; Farms
SaaS - Latam &gt; IoT Applications &gt; Industry Specific &gt; Agriculture &gt; Farms
Enterprise Tech - Latam &gt; IoT Applications &gt; Industry Specific &gt; Agriculture &gt; Farms
IoT in Agriculture &gt; IoT Applications &gt; Industry Specific &gt; Agriculture &gt; Farms
Crop Tech &gt; Farm Analytics &gt; Diversified
SaaS &gt; Crop Tech &gt; Farm Analytics &gt; Diversified
SaaS - Latam &gt; Crop Tech &gt; Farm Analytics &gt; Diversified
Enterprise Tech - Latam &gt; Crop Tech &gt; Farm Analytics &gt; Diversified
IoT in Agriculture &gt; Crop Tech &gt; Farm Analytics &gt; Diversified
Farm Analytics &gt; Crop Tech &gt; Farm Analytics &gt; Diversified</t>
  </si>
  <si>
    <t>Bicaijia</t>
  </si>
  <si>
    <t>bicaijia.com</t>
  </si>
  <si>
    <t>SIG China; sig-china.com
01VC; 01vc.com</t>
  </si>
  <si>
    <t>Mobile app based B2B platform for vegetables</t>
  </si>
  <si>
    <t>B2B E-Commerce &gt; Food &amp; Beverages &gt; Groceries &gt; Farm Products &gt; E-Distributor
Enterprise Tech - China &gt; B2B E-Commerce &gt; Food &amp; Beverages &gt; Groceries &gt; Farm Products &gt; E-Distributor
Crop Tech &gt; ECommerce &gt; Farm Produce &gt; B2B &gt; Fruits and Vegetables &gt; E Distributor
Enterprise Tech - China &gt; Crop Tech &gt; ECommerce &gt; Farm Produce &gt; B2B &gt; Fruits and Vegetables &gt; E Distributor
Online Grocery &gt; B2B Ecommerce &gt; Farm Produce &gt; Fruits and Vegetables &gt; E-Distributor
Enterprise Tech - China &gt; Online Grocery &gt; B2B Ecommerce &gt; Farm Produce &gt; Fruits and Vegetables &gt; E-Distributor
B2B Farm Produce E-Commerce &gt; Online Grocery &gt; B2B Ecommerce &gt; Farm Produce &gt; Fruits and Vegetables &gt; E-Distributor</t>
  </si>
  <si>
    <t>Farmigo</t>
  </si>
  <si>
    <t>farmigo.com</t>
  </si>
  <si>
    <t>Sherbrooke Capital; sherbrookecapital.com
Benchmark; benchmark.com
Formation 8; formation8.com</t>
  </si>
  <si>
    <t>Formation 8</t>
  </si>
  <si>
    <t>Cloud-based CSA management software</t>
  </si>
  <si>
    <t>Crop Tech &gt; Farm Management Software
SaaS &gt; Crop Tech &gt; Farm Management Software
SaaS - MENA &gt; Crop Tech &gt; Farm Management Software
Enterprise Tech - MENA &gt; Crop Tech &gt; Farm Management Software
SaaS - Israel &gt; Crop Tech &gt; Farm Management Software
Enterprise Tech - Israel &gt; Crop Tech &gt; Farm Management Software
Farm Management Software &gt; Crop Tech &gt; Farm Management Software
Online Grocery &gt; Technology Enablers &gt; Grocery Retailers &gt; Suite
SaaS &gt; Online Grocery &gt; Technology Enablers &gt; Grocery Retailers &gt; Suite
Enterprise Tech - Israel &gt; Online Grocery &gt; Technology Enablers &gt; Grocery Retailers &gt; Suite
SaaS - Israel &gt; Online Grocery &gt; Technology Enablers &gt; Grocery Retailers &gt; Suite
Enterprise Tech - MENA &gt; Online Grocery &gt; Technology Enablers &gt; Grocery Retailers &gt; Suite
SaaS - MENA &gt; Online Grocery &gt; Technology Enablers &gt; Grocery Retailers &gt; Suite</t>
  </si>
  <si>
    <t>Groundwork BioAg</t>
  </si>
  <si>
    <t>groundworkbioag.com</t>
  </si>
  <si>
    <t>Israel Cleantech Ventures; icv.vc
Middleland Capital; middlelandcap.com
SRK Realty; srkrealty.com
BMO Global Asset Management; bmogam.com</t>
  </si>
  <si>
    <t>Mazor, Central District, Israel</t>
  </si>
  <si>
    <t>Producer of mycorrhizal fungi for better delivery of water and nutrients</t>
  </si>
  <si>
    <t>Chemicals Tech &gt; Green Chemicals &gt; Crop Nutrition &gt; Microbes
Crop Tech &gt; Farm Inputs &gt; Biologicals &gt; Crop Nutrition &gt; Microbes
Climate Tech &gt; Crop Tech &gt; Farm Inputs &gt; Biologicals &gt; Crop Nutrition &gt; Microbes
Crop Biologicals &gt; Crop Tech &gt; Farm Inputs &gt; Biologicals &gt; Crop Nutrition &gt; Microbes</t>
  </si>
  <si>
    <t>Aqua Spark; aqua-spark.nl
Ideosource; ideosource.com</t>
  </si>
  <si>
    <t>The Trendlines Group; trendlines.com</t>
  </si>
  <si>
    <t>Barefeet Analytics</t>
  </si>
  <si>
    <t>barefeet.co.in</t>
  </si>
  <si>
    <t>Mass spectrometry and data analytics for food and agriculture industries</t>
  </si>
  <si>
    <t>Biotech R&amp;D &gt; Services and Enablers &gt; Analytical Testing
Life Sciences - India &gt; Biotech R&amp;D &gt; Services and Enablers &gt; Analytical Testing
Enterprise Tech - India &gt; Biotech R&amp;D &gt; Services and Enablers &gt; Analytical Testing
Crop Tech &gt; Post Harvest Management &gt; Quality Testing &gt; Fruits and Vegetables &gt; Sensors
Enterprise Tech - India &gt; Crop Tech &gt; Post Harvest Management &gt; Quality Testing &gt; Fruits and Vegetables &gt; Sensors</t>
  </si>
  <si>
    <t>Lool Ventures; lool.vc</t>
  </si>
  <si>
    <t>BSP Funds; bspfunds.com
Ankur Capital; ankurcapital.com</t>
  </si>
  <si>
    <t>BSP Funds</t>
  </si>
  <si>
    <t>Sea6 Energy</t>
  </si>
  <si>
    <t>sea6energy.com</t>
  </si>
  <si>
    <t>Tata Capital; tatacapital.com</t>
  </si>
  <si>
    <t>Kiran Mazumdar Shaw
Dilip Kumar Panicker</t>
  </si>
  <si>
    <t>Tata Capital</t>
  </si>
  <si>
    <t>Grows and converts seaplants into bio-fuels and soil nutrients</t>
  </si>
  <si>
    <t>Biotech R&amp;D &gt; Research Applications &gt; Microbial Technology &gt; Suite
Life Sciences - India &gt; Biotech R&amp;D &gt; Research Applications &gt; Microbial Technology &gt; Suite
IIT Madras &gt; Biotech R&amp;D &gt; Research Applications &gt; Microbial Technology &gt; Suite
Aquaculture Tech &gt; Aquatic Plants &gt; Seaweed &gt; Diversified
IIT Madras &gt; Aquaculture Tech &gt; Aquatic Plants &gt; Seaweed &gt; Diversified
Climate Tech &gt; Aquaculture Tech &gt; Aquatic Plants &gt; Seaweed &gt; Diversified</t>
  </si>
  <si>
    <t>ZhenShun Fund; zhenshunfund.com</t>
  </si>
  <si>
    <t>Meituan; meituan.com
H Capital Advance; hcapitaladvance.com</t>
  </si>
  <si>
    <t>Meituan
H Capital Advance</t>
  </si>
  <si>
    <t>Xiangongshe</t>
  </si>
  <si>
    <t>xiangongshe.com</t>
  </si>
  <si>
    <t>B2B groceries marketplace</t>
  </si>
  <si>
    <t>Crop Tech &gt; ECommerce &gt; Farm Produce &gt; B2B &gt; Fruits and Vegetables &gt; Marketplace
Enterprise Tech - China &gt; Crop Tech &gt; ECommerce &gt; Farm Produce &gt; B2B &gt; Fruits and Vegetables &gt; Marketplace
Marketplaces &gt; Crop Tech &gt; ECommerce &gt; Farm Produce &gt; B2B &gt; Fruits and Vegetables &gt; Marketplace
B2B E-Commerce &gt; Food &amp; Beverages &gt; Groceries &gt; Farm Products &gt; Marketplace
Enterprise Tech - China &gt; B2B E-Commerce &gt; Food &amp; Beverages &gt; Groceries &gt; Farm Products &gt; Marketplace
Marketplaces &gt; B2B E-Commerce &gt; Food &amp; Beverages &gt; Groceries &gt; Farm Products &gt; Marketplace
Online Grocery &gt; B2B Ecommerce &gt; Multi-Category &gt; Marketplace
Enterprise Tech - China &gt; Online Grocery &gt; B2B Ecommerce &gt; Multi-Category &gt; Marketplace
Marketplaces &gt; Online Grocery &gt; B2B Ecommerce &gt; Multi-Category &gt; Marketplace</t>
  </si>
  <si>
    <t>Fireside Ventures; firesideventures.com
Milliways Ventures; milliwaysventures.com</t>
  </si>
  <si>
    <t>Visakh Kumar R Nair
S B Swaminathan
MM Murugappan
Sriram Viji
Siddarth pai
Ramesh Vangal
Aparna Santosh Nadampalli
T R Ramachandran
Lakshmi Venu
Srikanth Sundararajan
Venkatachary Srinivasan</t>
  </si>
  <si>
    <t>Milliways Ventures</t>
  </si>
  <si>
    <t>Tianchen Cloud Farm</t>
  </si>
  <si>
    <t>ync365.com</t>
  </si>
  <si>
    <t>Online platform for farm-related products and equipment</t>
  </si>
  <si>
    <t>Crop Tech &gt; ECommerce &gt; Farm Inputs &gt; Multi Category &gt; Marketplace
Enterprise Tech - China &gt; Crop Tech &gt; ECommerce &gt; Farm Inputs &gt; Multi Category &gt; Marketplace
Consumer Digital - China &gt; Crop Tech &gt; ECommerce &gt; Farm Inputs &gt; Multi Category &gt; Marketplace
Marketplaces &gt; Crop Tech &gt; ECommerce &gt; Farm Inputs &gt; Multi Category &gt; Marketplace
Farm Inputs E-Commerce &gt; Crop Tech &gt; ECommerce &gt; Farm Inputs &gt; Multi Category &gt; Marketplace</t>
  </si>
  <si>
    <t>Smartbeen</t>
  </si>
  <si>
    <t>smartbeen.com</t>
  </si>
  <si>
    <t>Avatech; avatech.ir</t>
  </si>
  <si>
    <t>Avatech</t>
  </si>
  <si>
    <t>Tehran, Ostan-e Tehran, Iran</t>
  </si>
  <si>
    <t>Climate controller for greenhouses</t>
  </si>
  <si>
    <t>Crop Tech &gt; Farm Equipment &gt; Greenhouse Systems</t>
  </si>
  <si>
    <t>OurCrowd; ourcrowd.com
GreenSoil Investments; greensoil-investments.com
Innovation Endeavors; innovationendeavors.com
Finistere Ventures; finistere.com</t>
  </si>
  <si>
    <t>Innovation Endeavors
Finistere Ventures</t>
  </si>
  <si>
    <t>Fsx123</t>
  </si>
  <si>
    <t>fsx123.com</t>
  </si>
  <si>
    <t>DW Fund; dwfund.net
K2VC; k2vc.com</t>
  </si>
  <si>
    <t>Online B2B platform for fertilizer and pesticide products</t>
  </si>
  <si>
    <t>B2B E-Commerce &gt; Agriculture &gt; Marketplace
Enterprise Tech - China &gt; B2B E-Commerce &gt; Agriculture &gt; Marketplace
Marketplaces &gt; B2B E-Commerce &gt; Agriculture &gt; Marketplace
Crop Tech &gt; ECommerce &gt; Farm Inputs &gt; Multi Category &gt; Marketplace
Enterprise Tech - China &gt; Crop Tech &gt; ECommerce &gt; Farm Inputs &gt; Multi Category &gt; Marketplace
Marketplaces &gt; Crop Tech &gt; ECommerce &gt; Farm Inputs &gt; Multi Category &gt; Marketplace
Farm Inputs E-Commerce &gt; Crop Tech &gt; ECommerce &gt; Farm Inputs &gt; Multi Category &gt; Marketplace</t>
  </si>
  <si>
    <t>Phagelux</t>
  </si>
  <si>
    <t>phagelux.com</t>
  </si>
  <si>
    <t>Developer and Supplier of phage products for agriculture and health industry in China and Canada</t>
  </si>
  <si>
    <t>Crop Tech &gt; Farm Inputs &gt; Biologicals &gt; Diversified &gt; Microbes
Climate Tech &gt; Crop Tech &gt; Farm Inputs &gt; Biologicals &gt; Diversified &gt; Microbes
Crop Biologicals &gt; Crop Tech &gt; Farm Inputs &gt; Biologicals &gt; Diversified &gt; Microbes</t>
  </si>
  <si>
    <t>Orange; orange.com</t>
  </si>
  <si>
    <t>Jigouwang</t>
  </si>
  <si>
    <t>16988.com</t>
  </si>
  <si>
    <t>Zhongke China Merchants Investment Management Group; leadvc.com</t>
  </si>
  <si>
    <t>Vertical B2B marketplace for agri products</t>
  </si>
  <si>
    <t>Online Grocery &gt; B2B Ecommerce &gt; Farm Produce &gt; Multi-Category &gt; Marketplace
Enterprise Tech - China &gt; Online Grocery &gt; B2B Ecommerce &gt; Farm Produce &gt; Multi-Category &gt; Marketplace
Marketplaces &gt; Online Grocery &gt; B2B Ecommerce &gt; Farm Produce &gt; Multi-Category &gt; Marketplace
B2B Farm Produce E-Commerce &gt; Online Grocery &gt; B2B Ecommerce &gt; Farm Produce &gt; Multi-Category &gt; Marketplace
B2B E-Commerce &gt; Agriculture &gt; Marketplace
Enterprise Tech - China &gt; B2B E-Commerce &gt; Agriculture &gt; Marketplace
Marketplaces &gt; B2B E-Commerce &gt; Agriculture &gt; Marketplace
Crop Tech &gt; ECommerce &gt; Farm Produce &gt; B2B
Enterprise Tech - China &gt; Crop Tech &gt; ECommerce &gt; Farm Produce &gt; B2B
Marketplaces &gt; Crop Tech &gt; ECommerce &gt; Farm Produce &gt; B2B</t>
  </si>
  <si>
    <t>Chang Ce Investment</t>
  </si>
  <si>
    <t>Poptani Asia</t>
  </si>
  <si>
    <t>poptani.asia</t>
  </si>
  <si>
    <t>Qeerad; qeerad.com</t>
  </si>
  <si>
    <t>Kuala Lumpur, Kuala Lumpur, Malaysia</t>
  </si>
  <si>
    <t>Online store for infrastructure for indoor farming</t>
  </si>
  <si>
    <t>Crop Tech &gt; Autonomous Farming &gt; Growing Systems &gt; Aquaponics
Enterprise Tech - SEA &gt; Crop Tech &gt; Autonomous Farming &gt; Growing Systems &gt; Aquaponics
Duke University &gt; Crop Tech &gt; Autonomous Farming &gt; Growing Systems &gt; Aquaponics
Autonomous Farming &gt; Crop Tech &gt; Autonomous Farming &gt; Growing Systems &gt; Aquaponics
Aquaponics &gt; Crop Tech &gt; Autonomous Farming &gt; Growing Systems &gt; Aquaponics</t>
  </si>
  <si>
    <t>Mifugotrade</t>
  </si>
  <si>
    <t>mifugo.trade</t>
  </si>
  <si>
    <t>Online platform for livestock farmers to sell their animals</t>
  </si>
  <si>
    <t>Livestock Tech &gt; ECommerce &gt; Livestock Trading
Marketplaces &gt; Livestock Tech &gt; ECommerce &gt; Livestock Trading
Enterprise Tech - Africa &gt; Livestock Tech &gt; ECommerce &gt; Livestock Trading</t>
  </si>
  <si>
    <t>Green Onyx</t>
  </si>
  <si>
    <t>greenonyx.biz</t>
  </si>
  <si>
    <t>Fully integrated product for cultivation and processing of khai-nam</t>
  </si>
  <si>
    <t>Crop Tech &gt; Autonomous Farming &gt; Growing Systems
Technion Israel Institute of Technology &gt; Crop Tech &gt; Autonomous Farming &gt; Growing Systems
Autonomous Farming &gt; Crop Tech &gt; Autonomous Farming &gt; Growing Systems</t>
  </si>
  <si>
    <t>MyAgro</t>
  </si>
  <si>
    <t>myagro.org</t>
  </si>
  <si>
    <t>startup orange; startup.orange.com</t>
  </si>
  <si>
    <t>Bamako, Bamako Region, Mali</t>
  </si>
  <si>
    <t>Mobile platform for connecting agriculture input retailers and farmers</t>
  </si>
  <si>
    <t>Crop Tech &gt; ECommerce &gt; Farm Inputs &gt; Multi Category &gt; Retailer
Farm Inputs E-Commerce &gt; Crop Tech &gt; ECommerce &gt; Farm Inputs &gt; Multi Category &gt; Retailer</t>
  </si>
  <si>
    <t>M-shamba App</t>
  </si>
  <si>
    <t>mshamba.net</t>
  </si>
  <si>
    <t>Online market linkage platforms for smallholder farmers</t>
  </si>
  <si>
    <t>B2B E-Commerce &gt; Agriculture &gt; Marketplace
Enterprise Tech - Africa &gt; B2B E-Commerce &gt; Agriculture &gt; Marketplace
Marketplaces &gt; B2B E-Commerce &gt; Agriculture &gt; Marketplace
Online Grocery &gt; B2B Ecommerce &gt; Farm Produce &gt; Multi-Category &gt; Marketplace
Enterprise Tech - Africa &gt; Online Grocery &gt; B2B Ecommerce &gt; Farm Produce &gt; Multi-Category &gt; Marketplace
Marketplaces &gt; Online Grocery &gt; B2B Ecommerce &gt; Farm Produce &gt; Multi-Category &gt; Marketplace
B2B Farm Produce E-Commerce &gt; Online Grocery &gt; B2B Ecommerce &gt; Farm Produce &gt; Multi-Category &gt; Marketplace
Crop Tech &gt; ECommerce &gt; Farm Produce &gt; B2B
Marketplaces &gt; Crop Tech &gt; ECommerce &gt; Farm Produce &gt; B2B
Enterprise Tech - Africa &gt; Crop Tech &gt; ECommerce &gt; Farm Produce &gt; B2B</t>
  </si>
  <si>
    <t>ClearVue Partners; cvpcap.com
SIG China; sig-china.com
JD.com; jd.com</t>
  </si>
  <si>
    <t>JD.com</t>
  </si>
  <si>
    <t>GlobalYeast</t>
  </si>
  <si>
    <t>globalyeast.com</t>
  </si>
  <si>
    <t>Performa Investimentos; performainvestimentos.com
VIB; vib.be
Social Finance; sofi.com</t>
  </si>
  <si>
    <t>Performa Investimentos
VIB
Social Finance</t>
  </si>
  <si>
    <t>Rio De Janeiro, Rio De Janeiro, Brazil</t>
  </si>
  <si>
    <t>Produces and supplies yeast-based fermentation additives</t>
  </si>
  <si>
    <t>Crop Tech &gt; Farm Inputs &gt; Biologicals &gt; Diversified &gt; Microbes
Climate Tech &gt; Crop Tech &gt; Farm Inputs &gt; Biologicals &gt; Diversified &gt; Microbes
Enterprise Tech - Brazil &gt; Crop Tech &gt; Farm Inputs &gt; Biologicals &gt; Diversified &gt; Microbes
Enterprise Tech - Latam &gt; Crop Tech &gt; Farm Inputs &gt; Biologicals &gt; Diversified &gt; Microbes
Crop Biologicals &gt; Crop Tech &gt; Farm Inputs &gt; Biologicals &gt; Diversified &gt; Microbes
Biotech R&amp;D &gt; Research Applications &gt; Industrial Biotechnology &gt; Bioprocessing
Enterprise Tech - Latam &gt; Biotech R&amp;D &gt; Research Applications &gt; Industrial Biotechnology &gt; Bioprocessing
Enterprise Tech - Brazil &gt; Biotech R&amp;D &gt; Research Applications &gt; Industrial Biotechnology &gt; Bioprocessing</t>
  </si>
  <si>
    <t>1776 Ventures; 1776.ventures</t>
  </si>
  <si>
    <t>1776 Ventures</t>
  </si>
  <si>
    <t>Liuxuxing</t>
  </si>
  <si>
    <t>liuxuxing.com</t>
  </si>
  <si>
    <t>Online platform for animal husbandry industry</t>
  </si>
  <si>
    <t>Livestock Tech &gt; ECommerce &gt; Farm Input &gt; Retailer
Consumer Digital - China &gt; Livestock Tech &gt; ECommerce &gt; Farm Input &gt; Retailer</t>
  </si>
  <si>
    <t>Revofarm</t>
  </si>
  <si>
    <t>revofarm.com</t>
  </si>
  <si>
    <t>Oasis 500; oasis500.com</t>
  </si>
  <si>
    <t>Kingston, Parish Of Saint Andrew, Jamaica</t>
  </si>
  <si>
    <t>Online listing platform for buying and selling of farm produce</t>
  </si>
  <si>
    <t>Crop Tech &gt; ECommerce &gt; Farm Produce &gt; B2B &gt; Fruits and Vegetables &gt; E Distributor
B2B E-Commerce &gt; Agriculture &gt; Listing Platform</t>
  </si>
  <si>
    <t>Saurabh Chandra
Santosh Raghu shetty
Aruna URS
Sakshi Singh</t>
  </si>
  <si>
    <t>Saurabh Chandra</t>
  </si>
  <si>
    <t>Ventures Lab; ventureslab.com
Morningside Ventures; morningside.com.cn</t>
  </si>
  <si>
    <t>Maoshucishen</t>
  </si>
  <si>
    <t>maoshucishen.com</t>
  </si>
  <si>
    <t>Shanghai Dongxi Investment Development; ewc.org.cn</t>
  </si>
  <si>
    <t>Online B2B fresh ingredients supplier</t>
  </si>
  <si>
    <t>Online Grocery &gt; B2B Ecommerce &gt; Farm Produce &gt; Fruits and Vegetables &gt; E-Distributor
Enterprise Tech - China &gt; Online Grocery &gt; B2B Ecommerce &gt; Farm Produce &gt; Fruits and Vegetables &gt; E-Distributor
Marketplaces &gt; Online Grocery &gt; B2B Ecommerce &gt; Farm Produce &gt; Fruits and Vegetables &gt; E-Distributor
B2B Farm Produce E-Commerce &gt; Online Grocery &gt; B2B Ecommerce &gt; Farm Produce &gt; Fruits and Vegetables &gt; E-Distributor
Crop Tech &gt; ECommerce &gt; Farm Produce &gt; B2B
Enterprise Tech - China &gt; Crop Tech &gt; ECommerce &gt; Farm Produce &gt; B2B
Marketplaces &gt; Crop Tech &gt; ECommerce &gt; Farm Produce &gt; B2B
B2B E-Commerce &gt; Food &amp; Beverages &gt; Groceries &gt; Farm Products &gt; E-Distributor
Enterprise Tech - China &gt; B2B E-Commerce &gt; Food &amp; Beverages &gt; Groceries &gt; Farm Products &gt; E-Distributor
Marketplaces &gt; B2B E-Commerce &gt; Food &amp; Beverages &gt; Groceries &gt; Farm Products &gt; E-Distributor</t>
  </si>
  <si>
    <t>Legend Holdings; legendholdings.com.cn</t>
  </si>
  <si>
    <t>Gautam Gupta
Madhur Hamnani</t>
  </si>
  <si>
    <t>CDC Group; cdcgroup.com</t>
  </si>
  <si>
    <t>Debt</t>
  </si>
  <si>
    <t>Mosavali</t>
  </si>
  <si>
    <t>mosavali.org</t>
  </si>
  <si>
    <t>Tbilisi, Kalaki Tbilisi, Georgia</t>
  </si>
  <si>
    <t>Online portal for information on agricultural practices</t>
  </si>
  <si>
    <t>Dachuwang</t>
  </si>
  <si>
    <t>dachuwang.com</t>
  </si>
  <si>
    <t>B2B grocery retailer</t>
  </si>
  <si>
    <t>Online Grocery &gt; B2B Ecommerce &gt; Farm Produce &gt; Multi-Category &gt; E-Distributor
Enterprise Tech - China &gt; Online Grocery &gt; B2B Ecommerce &gt; Farm Produce &gt; Multi-Category &gt; E-Distributor
B2B Farm Produce E-Commerce &gt; Online Grocery &gt; B2B Ecommerce &gt; Farm Produce &gt; Multi-Category &gt; E-Distributor
Crop Tech &gt; ECommerce &gt; Farm Produce &gt; B2B &gt; Fruits and Vegetables &gt; E Distributor
Enterprise Tech - China &gt; Crop Tech &gt; ECommerce &gt; Farm Produce &gt; B2B &gt; Fruits and Vegetables &gt; E Distributor
B2B E-Commerce &gt; Food &amp; Beverages &gt; Groceries &gt; Farm Products &gt; E-Distributor
Enterprise Tech - China &gt; B2B E-Commerce &gt; Food &amp; Beverages &gt; Groceries &gt; Farm Products &gt; E-Distributor</t>
  </si>
  <si>
    <t>Yunfarm</t>
  </si>
  <si>
    <t>yunfarm.cn</t>
  </si>
  <si>
    <t>Unity Ventures; unityvc.com</t>
  </si>
  <si>
    <t>Platform for investing in sheep husbandry</t>
  </si>
  <si>
    <t>Livestock Tech &gt; Financing Platforms &gt; Investment
Crowdfunding &gt; Revenue Sharing &gt; Agriculture
FinTech - China &gt; Crowdfunding &gt; Revenue Sharing &gt; Agriculture
Agri FinTech &gt; Crowdfunding &gt; Revenue Sharing &gt; Agriculture</t>
  </si>
  <si>
    <t>CloudFarm Innovations</t>
  </si>
  <si>
    <t>heatstressanalyzer.weebly.com</t>
  </si>
  <si>
    <t>Davao City, Davao, Philippines</t>
  </si>
  <si>
    <t>IoT system for detection and control of heat stress on farms</t>
  </si>
  <si>
    <t>IoT Applications &gt; Industry Specific &gt; Agriculture &gt; Farms
Enterprise Tech - SEA &gt; IoT Applications &gt; Industry Specific &gt; Agriculture &gt; Farms
IoT in Agriculture &gt; IoT Applications &gt; Industry Specific &gt; Agriculture &gt; Farms
HiTech - SEA &gt; IoT Applications &gt; Industry Specific &gt; Agriculture &gt; Farms
Crop Tech &gt; Farm Management Software &gt; Diversified
Enterprise Tech - SEA &gt; Crop Tech &gt; Farm Management Software &gt; Diversified
IoT in Agriculture &gt; Crop Tech &gt; Farm Management Software &gt; Diversified
Farm Management Software &gt; Crop Tech &gt; Farm Management Software &gt; Diversified</t>
  </si>
  <si>
    <t>Indian Angel Network; indianangelnetwork.com
Pragnya; pragnyafunds.com
Splice Capital; splicecapital.com
ACS International Resources; acs-intl.com</t>
  </si>
  <si>
    <t>Kris Gopalakrishnan
Nagaraja Prakasam
Ananda Kallugadde
Sadeesh Raghavan
Prasad Palisetty
Harsh Vardhan Hada
Sharad Junghare
Aseem Chauhan
Bikky Khosla
Ankit Agarwal
Sudhir Mehta
Amar Babu Radhakrishnan
Deepak Gupta
Sanjay Gujral
Bikram Dasgupta
Kavitkumar Dayabhai
Bunty Peerbhoy
Prerna Kaul
Neeraj Kumar Singal
Sanjay Sarvotham Rao
Jagan Mohan Reddy
Nitin Singhal
Pramod Bhasin
Vijay Anand</t>
  </si>
  <si>
    <t>Kris Gopalakrishnan
Nagaraja Prakasam
Ananda Kallugadde
Sadeesh Raghavan
Prasad Palisetty
Harsh Vardhan Hada
Sharad Junghare
Aseem Chauhan
Bikky Khosla
Ankit Agarwal
Sudhir Mehta
Amar Babu Radhakrishnan
Deepak Gupta
Bikram Dasgupta
Bunty Peerbhoy
Neeraj Kumar Singal
Nitin Singhal
Pramod Bhasin</t>
  </si>
  <si>
    <t>O2Waterator</t>
  </si>
  <si>
    <t>o2waterator.com</t>
  </si>
  <si>
    <t>Hutchison Kinrot; hutchisonkinrot.com</t>
  </si>
  <si>
    <t>Manufacture and supply of water pressure operated aerator system for aquaculture farmers</t>
  </si>
  <si>
    <t>Aquaculture Tech &gt; Farm Equipment &gt; Aeration</t>
  </si>
  <si>
    <t>Blue Lake Capital; bluelakecap.com
Shunwei Capital; shunwei.com</t>
  </si>
  <si>
    <t>Blue Lake Capital
Shunwei Capital</t>
  </si>
  <si>
    <t>Enolog Technologies</t>
  </si>
  <si>
    <t>enowisetech.com</t>
  </si>
  <si>
    <t>Fermentation monitoring and autonomous control technology for wine developers</t>
  </si>
  <si>
    <t>Crop Tech &gt; Farm Management Software &gt; Vineyard Management
Farm Management Software &gt; Crop Tech &gt; Farm Management Software &gt; Vineyard Management</t>
  </si>
  <si>
    <t>FrontalRain Technologies</t>
  </si>
  <si>
    <t>frontalrain.com</t>
  </si>
  <si>
    <t>Cloud based food supply management for agribusinesses</t>
  </si>
  <si>
    <t>Crop Tech &gt; Farm Management Software &gt; Diversified
SaaS &gt; Crop Tech &gt; Farm Management Software &gt; Diversified
IIT Bombay &gt; Crop Tech &gt; Farm Management Software &gt; Diversified
SaaS - India &gt; Crop Tech &gt; Farm Management Software &gt; Diversified
Consumer Digital - India &gt; Crop Tech &gt; Farm Management Software &gt; Diversified
Enterprise Tech - India &gt; Crop Tech &gt; Farm Management Software &gt; Diversified
Farm Management Software &gt; Crop Tech &gt; Farm Management Software &gt; Diversified
ERP &gt; Agriculture &gt; Farm Management &gt; Suite
SaaS &gt; ERP &gt; Agriculture &gt; Farm Management &gt; Suite
SaaS - India &gt; ERP &gt; Agriculture &gt; Farm Management &gt; Suite
Consumer Digital - India &gt; ERP &gt; Agriculture &gt; Farm Management &gt; Suite
IIT Bombay &gt; ERP &gt; Agriculture &gt; Farm Management &gt; Suite
Enterprise Tech - India &gt; ERP &gt; Agriculture &gt; Farm Management &gt; Suite</t>
  </si>
  <si>
    <t>Fdlm</t>
  </si>
  <si>
    <t>fdlm.cn</t>
  </si>
  <si>
    <t>Shanghai Zhonglu Group; zhonglu.com.cn</t>
  </si>
  <si>
    <t>B2B retailer of groceries to restaurants</t>
  </si>
  <si>
    <t>B2B E-Commerce &gt; Food &amp; Beverages &gt; Groceries &gt; Farm Products &gt; E-Distributor
Enterprise Tech - China &gt; B2B E-Commerce &gt; Food &amp; Beverages &gt; Groceries &gt; Farm Products &gt; E-Distributor
Online Grocery &gt; B2B Ecommerce &gt; Multi-Category &gt; E-Distributor
Enterprise Tech - China &gt; Online Grocery &gt; B2B Ecommerce &gt; Multi-Category &gt; E-Distributor
Crop Tech &gt; ECommerce &gt; Farm Produce &gt; B2B
Enterprise Tech - China &gt; Crop Tech &gt; ECommerce &gt; Farm Produce &gt; B2B</t>
  </si>
  <si>
    <t>Banyan green fuels</t>
  </si>
  <si>
    <t>efuels.co.in</t>
  </si>
  <si>
    <t>Intellecap Impact Investment Network; i3n.co.in</t>
  </si>
  <si>
    <t>Makes Bio fuels from agricultural waste</t>
  </si>
  <si>
    <t>Crop Tech &gt; Farm Inputs &gt; Biologicals &gt; Crop Nutrition &gt; BioChar &gt; From Carbon
Climate Tech &gt; Crop Tech &gt; Farm Inputs &gt; Biologicals &gt; Crop Nutrition &gt; BioChar &gt; From Carbon
Crop Biologicals &gt; Crop Tech &gt; Farm Inputs &gt; Biologicals &gt; Crop Nutrition &gt; BioChar &gt; From Carbon
Biotech R&amp;D &gt; Research Applications &gt; Synthetic Biology &gt; Biofuels and Petroleum Replacements
Life Sciences - India &gt; Biotech R&amp;D &gt; Research Applications &gt; Synthetic Biology &gt; Biofuels and Petroleum Replacements</t>
  </si>
  <si>
    <t>IITM Bioincubator; bioincubator.iitm.ac.in</t>
  </si>
  <si>
    <t>IITM Bioincubator</t>
  </si>
  <si>
    <t>Baita; baita.ac
Start-Up Brasil; startupbrasil.org.br</t>
  </si>
  <si>
    <t>Baita
Start-Up Brasil</t>
  </si>
  <si>
    <t>Danziger Innovations</t>
  </si>
  <si>
    <t>danziger-innovations.com</t>
  </si>
  <si>
    <t>Mishmar Dawid, Central District, Israel</t>
  </si>
  <si>
    <t>Developer of technology platform for the development of crop traits</t>
  </si>
  <si>
    <t>Crop Tech &gt; Farm Inputs &gt; Plant Breeding &gt; Technology Providers
Plant Breeding &gt; Crop Tech &gt; Farm Inputs &gt; Plant Breeding &gt; Technology Providers
Genomics &gt; Applied Genomics &gt; Agrigenomics
Life Sciences - Israel &gt; Genomics &gt; Applied Genomics &gt; Agrigenomics
Life Sciences - MENA &gt; Genomics &gt; Applied Genomics &gt; Agrigenomics
Biotech R&amp;D &gt; Research Applications &gt; Genomics &gt; Genome Engineering &gt; Gene Editing
Life Sciences - Israel &gt; Biotech R&amp;D &gt; Research Applications &gt; Genomics &gt; Genome Engineering &gt; Gene Editing
Life Sciences - MENA &gt; Biotech R&amp;D &gt; Research Applications &gt; Genomics &gt; Genome Engineering &gt; Gene Editing</t>
  </si>
  <si>
    <t>eLoan</t>
  </si>
  <si>
    <t>eloancn.com</t>
  </si>
  <si>
    <t>Wenzhou, Zhejiang Sheng, China</t>
  </si>
  <si>
    <t>Agriculture-focused P2P lending platform</t>
  </si>
  <si>
    <t>Crop Tech &gt; Finance &gt; Loans
Consumer Digital - China &gt; Crop Tech &gt; Finance &gt; Loans
Marketplaces &gt; Crop Tech &gt; Finance &gt; Loans
Alternative Lending &gt; Online Lenders &gt; Business Loans &gt; Term Loans &gt; Marketplace &gt; P2P
Consumer Digital - China &gt; Alternative Lending &gt; Online Lenders &gt; Business Loans &gt; Term Loans &gt; Marketplace &gt; P2P
Marketplaces &gt; Alternative Lending &gt; Online Lenders &gt; Business Loans &gt; Term Loans &gt; Marketplace &gt; P2P
FinTech - China &gt; Alternative Lending &gt; Online Lenders &gt; Business Loans &gt; Term Loans &gt; Marketplace &gt; P2P
Peer to Peer Lending &gt; Alternative Lending &gt; Online Lenders &gt; Business Loans &gt; Term Loans &gt; Marketplace &gt; P2P
Internet First Lenders &gt; Alternative Lending &gt; Online Lenders &gt; Business Loans &gt; Term Loans &gt; Marketplace &gt; P2P
Internet First Term Loans for Businesses &gt; Alternative Lending &gt; Online Lenders &gt; Business Loans &gt; Term Loans &gt; Marketplace &gt; P2P</t>
  </si>
  <si>
    <t>Caigouxiongdi</t>
  </si>
  <si>
    <t>caigouxiongdi.com</t>
  </si>
  <si>
    <t>B2B grocery marketplace</t>
  </si>
  <si>
    <t>B2B E-Commerce &gt; Food &amp; Beverages &gt; Groceries &gt; Farm Products &gt; Marketplace
Enterprise Tech - China &gt; B2B E-Commerce &gt; Food &amp; Beverages &gt; Groceries &gt; Farm Products &gt; Marketplace
Marketplaces &gt; B2B E-Commerce &gt; Food &amp; Beverages &gt; Groceries &gt; Farm Products &gt; Marketplace
Online Grocery &gt; B2B Ecommerce &gt; Multi-Category &gt; Marketplace
Enterprise Tech - China &gt; Online Grocery &gt; B2B Ecommerce &gt; Multi-Category &gt; Marketplace
Marketplaces &gt; Online Grocery &gt; B2B Ecommerce &gt; Multi-Category &gt; Marketplace
Crop Tech &gt; ECommerce &gt; Farm Produce &gt; B2B &gt; Fruits and Vegetables &gt; Marketplace
Enterprise Tech - China &gt; Crop Tech &gt; ECommerce &gt; Farm Produce &gt; B2B &gt; Fruits and Vegetables &gt; Marketplace
Marketplaces &gt; Crop Tech &gt; ECommerce &gt; Farm Produce &gt; B2B &gt; Fruits and Vegetables &gt; Marketplace</t>
  </si>
  <si>
    <t>Barn Invest; barninvest.com.br</t>
  </si>
  <si>
    <t>Barn Invest</t>
  </si>
  <si>
    <t>John Ramesh
Kalaiselvi Thangavel
Chellappa Gopalkrishnan</t>
  </si>
  <si>
    <t>John Ramesh</t>
  </si>
  <si>
    <t>PROMIP</t>
  </si>
  <si>
    <t>promip.agr.br</t>
  </si>
  <si>
    <t>Limeira, Estado De Sao Paulo, Brazil</t>
  </si>
  <si>
    <t>Manufacturer and distributor of biological pest control products</t>
  </si>
  <si>
    <t>Chemicals Tech &gt; Green Chemicals &gt; Crop Protection &gt; Plant Based
Enterprise Tech - Brazil &gt; Chemicals Tech &gt; Green Chemicals &gt; Crop Protection &gt; Plant Based
Enterprise Tech - Latam &gt; Chemicals Tech &gt; Green Chemicals &gt; Crop Protection &gt; Plant Based
Crop Tech &gt; Farm Inputs &gt; Biologicals &gt; Crop Protection &gt; Plant Based
Climate Tech &gt; Crop Tech &gt; Farm Inputs &gt; Biologicals &gt; Crop Protection &gt; Plant Based
Enterprise Tech - Brazil &gt; Crop Tech &gt; Farm Inputs &gt; Biologicals &gt; Crop Protection &gt; Plant Based
Enterprise Tech - Latam &gt; Crop Tech &gt; Farm Inputs &gt; Biologicals &gt; Crop Protection &gt; Plant Based
Crop Biologicals &gt; Crop Tech &gt; Farm Inputs &gt; Biologicals &gt; Crop Protection &gt; Plant Based</t>
  </si>
  <si>
    <t>Easy Flower</t>
  </si>
  <si>
    <t>easyflower.com</t>
  </si>
  <si>
    <t>Zhen Fund; zhenfund.com
Shunwei Capital; shunwei.com
Iheima; iheima.com</t>
  </si>
  <si>
    <t>B2B platform between flower growers and florists</t>
  </si>
  <si>
    <t>B2B E-Commerce &gt; Agriculture &gt; Marketplace
Enterprise Tech - China &gt; B2B E-Commerce &gt; Agriculture &gt; Marketplace
Consumer Digital - China &gt; B2B E-Commerce &gt; Agriculture &gt; Marketplace
Marketplaces &gt; B2B E-Commerce &gt; Agriculture &gt; Marketplace
Crop Tech &gt; ECommerce &gt; Farm Produce &gt; B2B &gt; Flowers
Consumer Digital - China &gt; Crop Tech &gt; ECommerce &gt; Farm Produce &gt; B2B &gt; Flowers
Enterprise Tech - China &gt; Crop Tech &gt; ECommerce &gt; Farm Produce &gt; B2B &gt; Flowers
Marketplaces &gt; Crop Tech &gt; ECommerce &gt; Farm Produce &gt; B2B &gt; Flowers
Online Gifting &gt; Ecommerce &gt; Florists &gt; B2B &gt; Marketplace
Enterprise Tech - China &gt; Online Gifting &gt; Ecommerce &gt; Florists &gt; B2B &gt; Marketplace
Consumer Digital - China &gt; Online Gifting &gt; Ecommerce &gt; Florists &gt; B2B &gt; Marketplace
Marketplaces &gt; Online Gifting &gt; Ecommerce &gt; Florists &gt; B2B &gt; Marketplace</t>
  </si>
  <si>
    <t>Wobble Base Bioresearch</t>
  </si>
  <si>
    <t>wobblebase.in</t>
  </si>
  <si>
    <t>Department of Biotechnology; dbtindia.nic.in
BIRAC; birac.nic.in</t>
  </si>
  <si>
    <t>Surat, Gujarat, India</t>
  </si>
  <si>
    <t>Developer of biological product for animal gut infection mitigation and human molecular biology</t>
  </si>
  <si>
    <t>Diversified Medical Devices &gt; Devices
Enterprise Tech - India &gt; Diversified Medical Devices &gt; Devices
Livestock Tech &gt; Health Management &gt; Nutrition Supplements &gt; Microbes Based
Enterprise Tech - India &gt; Livestock Tech &gt; Health Management &gt; Nutrition Supplements &gt; Microbes Based
Sustainable Animal And Fish Feed &gt; Livestock Tech &gt; Health Management &gt; Nutrition Supplements &gt; Microbes Based</t>
  </si>
  <si>
    <t>Omnivore Partners; omnivore.vc
Daily Mail &amp; General Trust; dmgt.com</t>
  </si>
  <si>
    <t>Daily Mail &amp; General Trust</t>
  </si>
  <si>
    <t>Living Box</t>
  </si>
  <si>
    <t>livingboxproject.com</t>
  </si>
  <si>
    <t>Pears Challenge; pearschallenge.com</t>
  </si>
  <si>
    <t>Integrated system for soil-less cultivation of fresh vegetables</t>
  </si>
  <si>
    <t>Crop Tech &gt; Autonomous Farming &gt; Growing Systems &gt; Hydroponics
Autonomous Farming &gt; Crop Tech &gt; Autonomous Farming &gt; Growing Systems &gt; Hydroponics
Hydroponics &gt; Crop Tech &gt; Autonomous Farming &gt; Growing Systems &gt; Hydroponics</t>
  </si>
  <si>
    <t>Surya Power Magic</t>
  </si>
  <si>
    <t>suryapowermagic.com</t>
  </si>
  <si>
    <t>Solar irrigation modules provider</t>
  </si>
  <si>
    <t>Solar Energy &gt; Solar Products &gt; Pumps
Crop Tech &gt; Farm Equipment &gt; Smart Solar Water Pumps</t>
  </si>
  <si>
    <t>Tony's Farm</t>
  </si>
  <si>
    <t>tonysfarm.com</t>
  </si>
  <si>
    <t>jinchangcapital.com</t>
  </si>
  <si>
    <t>Asset heavy farm to home retailer</t>
  </si>
  <si>
    <t>Crop Tech &gt; ECommerce &gt; Farm Produce &gt; B2C &gt; Fruits and Vegetables &gt; Retailer
Consumer Digital - China &gt; Crop Tech &gt; ECommerce &gt; Farm Produce &gt; B2C &gt; Fruits and Vegetables &gt; Retailer
Online Grocery &gt; B2C Ecommerce &gt; Fruits and Vegetables &gt; Retailer &gt; Organic
Consumer Digital - China &gt; Online Grocery &gt; B2C Ecommerce &gt; Fruits and Vegetables &gt; Retailer &gt; Organic
Organic Food Retail &gt; Online Grocery &gt; B2C Ecommerce &gt; Fruits and Vegetables &gt; Retailer &gt; Organic
B2C Grocery Delivery &gt; Online Grocery &gt; B2C Ecommerce &gt; Fruits and Vegetables &gt; Retailer &gt; Organic
B2C E-Commerce &gt; Online Grocery &gt; B2C Ecommerce &gt; Fruits and Vegetables &gt; Retailer &gt; Organic</t>
  </si>
  <si>
    <t>Living Green</t>
  </si>
  <si>
    <t>livingreen.co.il</t>
  </si>
  <si>
    <t>Development, manufacturing, and supply of mini hydroponic and aquaponic farming systems for urban agriculture in Israel</t>
  </si>
  <si>
    <t>Crop Tech &gt; Autonomous Farming &gt; Growing Systems
Autonomous Farming &gt; Crop Tech &gt; Autonomous Farming &gt; Growing Systems</t>
  </si>
  <si>
    <t>GX Capital; gxcapital.com.cn
Sequoia Capital; sequoiacap.com</t>
  </si>
  <si>
    <t>Agribots</t>
  </si>
  <si>
    <t>agribots.com</t>
  </si>
  <si>
    <t>Cloud-based farm management solution</t>
  </si>
  <si>
    <t>Field Force Automation &gt; Agricultural industry
Wharton Business School &gt; Field Force Automation &gt; Agricultural industry
Enterprise Tech - Latam &gt; Field Force Automation &gt; Agricultural industry
SaaS - Latam &gt; Field Force Automation &gt; Agricultural industry
University of Pennsylvania &gt; Field Force Automation &gt; Agricultural industry
SaaS &gt; Field Force Automation &gt; Agricultural industry
Crop Tech &gt; Farm Management Software &gt; Diversified
SaaS &gt; Crop Tech &gt; Farm Management Software &gt; Diversified
SaaS - Latam &gt; Crop Tech &gt; Farm Management Software &gt; Diversified
University of Pennsylvania &gt; Crop Tech &gt; Farm Management Software &gt; Diversified
Wharton Business School &gt; Crop Tech &gt; Farm Management Software &gt; Diversified
Enterprise Tech - Latam &gt; Crop Tech &gt; Farm Management Software &gt; Diversified
Farm Management Software &gt; Crop Tech &gt; Farm Management Software &gt; Diversified</t>
  </si>
  <si>
    <t>Hello Tractor</t>
  </si>
  <si>
    <t>hellotractor.com</t>
  </si>
  <si>
    <t>Points of Light; pointsoflight.org</t>
  </si>
  <si>
    <t>Abuja, Federal Capital Territory, Nigeria</t>
  </si>
  <si>
    <t>Renting service and data analytic for farm machinery</t>
  </si>
  <si>
    <t>Crop Tech &gt; ECommerce &gt; Farm Inputs &gt; Farm Equipment &gt; Rentals
AI in Agriculture &gt; Crop Tech &gt; ECommerce &gt; Farm Inputs &gt; Farm Equipment &gt; Rentals
Marketplaces &gt; Crop Tech &gt; ECommerce &gt; Farm Inputs &gt; Farm Equipment &gt; Rentals
Artificial Intelligence &gt; Crop Tech &gt; ECommerce &gt; Farm Inputs &gt; Farm Equipment &gt; Rentals
Consumer Digital - Africa &gt; Crop Tech &gt; ECommerce &gt; Farm Inputs &gt; Farm Equipment &gt; Rentals
Farm Inputs E-Commerce &gt; Crop Tech &gt; ECommerce &gt; Farm Inputs &gt; Farm Equipment &gt; Rentals</t>
  </si>
  <si>
    <t>SiembraViva</t>
  </si>
  <si>
    <t>siembraviva.com</t>
  </si>
  <si>
    <t>Acumen; acumen.org</t>
  </si>
  <si>
    <t>Online platform for Colombian farmers to sell their organic produce to the urban consumers</t>
  </si>
  <si>
    <t>Crop Tech &gt; ECommerce &gt; Farm Produce &gt; B2C &gt; Fruits and Vegetables &gt; Marketplace
Consumer Digital - Latam &gt; Crop Tech &gt; ECommerce &gt; Farm Produce &gt; B2C &gt; Fruits and Vegetables &gt; Marketplace
Marketplaces &gt; Crop Tech &gt; ECommerce &gt; Farm Produce &gt; B2C &gt; Fruits and Vegetables &gt; Marketplace</t>
  </si>
  <si>
    <t>Seed Co</t>
  </si>
  <si>
    <t>seedcogroup.com</t>
  </si>
  <si>
    <t>Harare, Harare, Zimbabwe</t>
  </si>
  <si>
    <t>Breeding technology research and development &amp; supply of seeds</t>
  </si>
  <si>
    <t>Crop Tech &gt; Farm Inputs &gt; Plant Breeding &gt; Technology Providers
Enterprise Tech - Africa &gt; Crop Tech &gt; Farm Inputs &gt; Plant Breeding &gt; Technology Providers
Plant Breeding &gt; Crop Tech &gt; Farm Inputs &gt; Plant Breeding &gt; Technology Providers</t>
  </si>
  <si>
    <t>Focus Ironclad Group; focus.co.zm</t>
  </si>
  <si>
    <t>Modisar</t>
  </si>
  <si>
    <t>modisar.com</t>
  </si>
  <si>
    <t>VC4A; vc4a.com</t>
  </si>
  <si>
    <t>Gaborone, South East District, Botswana</t>
  </si>
  <si>
    <t>Hardware and software for livestock farm monitoring</t>
  </si>
  <si>
    <t>Livestock Tech &gt; Livestock Management Software
Enterprise Tech - Africa &gt; Livestock Tech &gt; Livestock Management Software
SaaS &gt; Livestock Tech &gt; Livestock Management Software</t>
  </si>
  <si>
    <t>M-Farm</t>
  </si>
  <si>
    <t>mfarm.co.ke</t>
  </si>
  <si>
    <t>Online portal providing market prices info and a listing platform for agri produce</t>
  </si>
  <si>
    <t>Crop Tech &gt; Content Platforms &gt; Data as a Service &gt; Market Data
Enterprise Tech - Africa &gt; Crop Tech &gt; Content Platforms &gt; Data as a Service &gt; Market Data
B2B E-Commerce &gt; Food &amp; Beverages &gt; Groceries &gt; Farm Products &gt; Marketplace
Enterprise Tech - Africa &gt; B2B E-Commerce &gt; Food &amp; Beverages &gt; Groceries &gt; Farm Products &gt; Marketplace</t>
  </si>
  <si>
    <t>HardDrones</t>
  </si>
  <si>
    <t>harddrones.com</t>
  </si>
  <si>
    <t>Provider of drone mapping services</t>
  </si>
  <si>
    <t>Drones &gt; Services &gt; Horizontal
Commercial Drones &gt; Drones &gt; Services &gt; Horizontal
Enterprise Tech - Latam &gt; Drones &gt; Services &gt; Horizontal
Crop Tech &gt; Farm Analytics &gt; Drones Based
Enterprise Tech - Latam &gt; Crop Tech &gt; Farm Analytics &gt; Drones Based
Farm Analytics &gt; Crop Tech &gt; Farm Analytics &gt; Drones Based</t>
  </si>
  <si>
    <t>Bhakta Reddy
Vidya Omprakash
Suryaprakash Vithal Kukyan
Anjan Rangraj
Sandeep Sahadevan
Ritu Chakravarthy
Sundeep Goswami
Dhananjay Joshi
Anuraag Srivastava
Rupesh Kakarai
Vishal Pereira</t>
  </si>
  <si>
    <t>Bhakta Reddy
Vidya Omprakash</t>
  </si>
  <si>
    <t>Anuj Bhargava</t>
  </si>
  <si>
    <t>Lundin Foundation; lundinfoundation.org
Acumen; acumen.org</t>
  </si>
  <si>
    <t>Lundin Foundation
Acumen</t>
  </si>
  <si>
    <t>Premprakash Saboo
Rantej Singh</t>
  </si>
  <si>
    <t>Yellow Brick Group; ybcap.com</t>
  </si>
  <si>
    <t>Greencart.in</t>
  </si>
  <si>
    <t>greencart.in</t>
  </si>
  <si>
    <t>Online Store delivering Farm Fresh Fruits &amp; Vegetables</t>
  </si>
  <si>
    <t>Online Grocery &gt; B2C Ecommerce &gt; Fruits and Vegetables
Consumer Digital - India &gt; Online Grocery &gt; B2C Ecommerce &gt; Fruits and Vegetables
B2C Grocery Delivery &gt; Online Grocery &gt; B2C Ecommerce &gt; Fruits and Vegetables
B2C E-Commerce &gt; Online Grocery &gt; B2C Ecommerce &gt; Fruits and Vegetables
Crop Tech &gt; ECommerce &gt; Farm Produce &gt; B2C &gt; Fruits and Vegetables &gt; Farm to Home &gt; Organic
Consumer Digital - India &gt; Crop Tech &gt; ECommerce &gt; Farm Produce &gt; B2C &gt; Fruits and Vegetables &gt; Farm to Home &gt; Organic</t>
  </si>
  <si>
    <t>Tan Kok Leong
Chellappa Gopalkrishnan
Radha Madhavan Ananthakumar</t>
  </si>
  <si>
    <t>Tan Kok Leong</t>
  </si>
  <si>
    <t>ClearVue Partners; cvpcap.com
SIG China; sig-china.com</t>
  </si>
  <si>
    <t>ClearVue Partners</t>
  </si>
  <si>
    <t>ULink Organics</t>
  </si>
  <si>
    <t>ulinkorganics.com</t>
  </si>
  <si>
    <t>Aavishkaar; aavishkaar.in</t>
  </si>
  <si>
    <t>Bio-degradable organic fertilizer producer.</t>
  </si>
  <si>
    <t>Crop Tech &gt; Farm Inputs &gt; Biologicals &gt; Crop Nutrition &gt; BioChar
Climate Tech &gt; Crop Tech &gt; Farm Inputs &gt; Biologicals &gt; Crop Nutrition &gt; BioChar
Crop Biologicals &gt; Crop Tech &gt; Farm Inputs &gt; Biologicals &gt; Crop Nutrition &gt; BioChar</t>
  </si>
  <si>
    <t>Wanda Organic</t>
  </si>
  <si>
    <t>wandaorganic.org</t>
  </si>
  <si>
    <t>usaid.gov</t>
  </si>
  <si>
    <t>Manufacturer and distributor of bio-fertilizers</t>
  </si>
  <si>
    <t>Botanocap</t>
  </si>
  <si>
    <t>botanocap.com</t>
  </si>
  <si>
    <t>Infinity Group; infinity-equity.com</t>
  </si>
  <si>
    <t>Eco-Friendly pesticides</t>
  </si>
  <si>
    <t>Phenome Networks</t>
  </si>
  <si>
    <t>phenome-networks.com</t>
  </si>
  <si>
    <t>GreenSoil Investments; greensoil-investments.com</t>
  </si>
  <si>
    <t>Developer of software infrastructure for phenome analysis</t>
  </si>
  <si>
    <t>Crop Tech &gt; Farm Inputs &gt; Plant Breeding &gt; Management Solutions &gt; Analytics
Enterprise Tech - MENA &gt; Crop Tech &gt; Farm Inputs &gt; Plant Breeding &gt; Management Solutions &gt; Analytics
SaaS - MENA &gt; Crop Tech &gt; Farm Inputs &gt; Plant Breeding &gt; Management Solutions &gt; Analytics
SaaS &gt; Crop Tech &gt; Farm Inputs &gt; Plant Breeding &gt; Management Solutions &gt; Analytics
Enterprise Tech - Israel &gt; Crop Tech &gt; Farm Inputs &gt; Plant Breeding &gt; Management Solutions &gt; Analytics
SaaS - Israel &gt; Crop Tech &gt; Farm Inputs &gt; Plant Breeding &gt; Management Solutions &gt; Analytics
Plant Breeding &gt; Crop Tech &gt; Farm Inputs &gt; Plant Breeding &gt; Management Solutions &gt; Analytics</t>
  </si>
  <si>
    <t>Agronometrics</t>
  </si>
  <si>
    <t>agronometrics.com</t>
  </si>
  <si>
    <t>Digital platform for dissemination of international market prices and sales of agricultural commodities</t>
  </si>
  <si>
    <t>Crop Tech &gt; Content Platforms &gt; Data as a Service &gt; Market Data
Enterprise Tech - Latam &gt; Crop Tech &gt; Content Platforms &gt; Data as a Service &gt; Market Data
SaaS &gt; Crop Tech &gt; Content Platforms &gt; Data as a Service &gt; Market Data
SaaS - Latam &gt; Crop Tech &gt; Content Platforms &gt; Data as a Service &gt; Market Data</t>
  </si>
  <si>
    <t>8Villages</t>
  </si>
  <si>
    <t>8villages.com</t>
  </si>
  <si>
    <t>Jakarta, Jakarta, Indonesia
Bekasi, West Java, Indonesia</t>
  </si>
  <si>
    <t>Marketing solution for companies in agribusiness</t>
  </si>
  <si>
    <t>MarketingTech &gt; Suite &gt; SMB
Enterprise Tech - SEA &gt; MarketingTech &gt; Suite &gt; SMB
INSEAD &gt; MarketingTech &gt; Suite &gt; SMB
Enterprise Tech - Indonesia &gt; MarketingTech &gt; Suite &gt; SMB
Crop Tech &gt; Content Platforms &gt; Farming Advice &gt; Expert Advisors
INSEAD &gt; Crop Tech &gt; Content Platforms &gt; Farming Advice &gt; Expert Advisors
Enterprise Tech - Indonesia &gt; Crop Tech &gt; Content Platforms &gt; Farming Advice &gt; Expert Advisors
Enterprise Tech - SEA &gt; Crop Tech &gt; Content Platforms &gt; Farming Advice &gt; Expert Advisors</t>
  </si>
  <si>
    <t>Driptech</t>
  </si>
  <si>
    <t>driptech.com</t>
  </si>
  <si>
    <t>Simple drip irrigation products for small plot farmers</t>
  </si>
  <si>
    <t>Crop Tech &gt; Autonomous Farming &gt; Irrigation
Stanford University &gt; Crop Tech &gt; Autonomous Farming &gt; Irrigation
Autonomous Farming &gt; Crop Tech &gt; Autonomous Farming &gt; Irrigation</t>
  </si>
  <si>
    <t>Safaricom Foundation; safaricomfoundation.org</t>
  </si>
  <si>
    <t>Kaiima</t>
  </si>
  <si>
    <t>kaiima.com</t>
  </si>
  <si>
    <t>DFJ; dfj.com
International Finance Corporation; ifc.org
Infinity Group; infinity-equity.com
Kleiner Perkins; kleinerperkins.com
Musea Ventures; museaventures.com
DFJ Tamir Fishman; dfjtamirfishman.com
Mitsui Global; mitsui-global.com</t>
  </si>
  <si>
    <t>International Finance Corporation
Infinity Group</t>
  </si>
  <si>
    <t>Tiberias, Northern District, Israel</t>
  </si>
  <si>
    <t>Developer of plant genetics and breeding technology</t>
  </si>
  <si>
    <t>Crop Tech &gt; Farm Inputs &gt; Plant Breeding &gt; Technology Providers
Enterprise Tech - MENA &gt; Crop Tech &gt; Farm Inputs &gt; Plant Breeding &gt; Technology Providers
Enterprise Tech - Israel &gt; Crop Tech &gt; Farm Inputs &gt; Plant Breeding &gt; Technology Providers
Plant Breeding &gt; Crop Tech &gt; Farm Inputs &gt; Plant Breeding &gt; Technology Providers
Genomics &gt; Applied Genomics &gt; Agrigenomics
Life Sciences - Israel &gt; Genomics &gt; Applied Genomics &gt; Agrigenomics
Life Sciences - MENA &gt; Genomics &gt; Applied Genomics &gt; Agrigenomics
Enterprise Tech - MENA &gt; Genomics &gt; Applied Genomics &gt; Agrigenomics
Enterprise Tech - Israel &gt; Genomics &gt; Applied Genomics &gt; Agrigenomics</t>
  </si>
  <si>
    <t>Srinivas Reddy Kalakoti
Boney Jose
George Zacharia
Kurian Francis Manavalan
Shihaj P A
Anoop Kuruvilla
Ashoka G K
Sundeep Goswami
Devandra Muddala
Vema Reddy
Finisia Shihaj
Gaurav Joshua Vaz
Jijo Verghese
Madhulata Avisannagari</t>
  </si>
  <si>
    <t>Srinivas Reddy Kalakoti</t>
  </si>
  <si>
    <t>Omnivore Partners; omnivore.vc
RTBI; rtbi.in</t>
  </si>
  <si>
    <t>Algatech</t>
  </si>
  <si>
    <t>algatech.com</t>
  </si>
  <si>
    <t>Grovepoint; grovepoint.co.uk</t>
  </si>
  <si>
    <t>Eilat, Southern District, Israel</t>
  </si>
  <si>
    <t>Bio-ingredients manufacturer</t>
  </si>
  <si>
    <t>Aquaculture Tech &gt; Aquatic Plants &gt; Algae &gt; Bioreactors &gt; Business Focused &gt; Portable
Climate Tech &gt; Aquaculture Tech &gt; Aquatic Plants &gt; Algae &gt; Bioreactors &gt; Business Focused &gt; Portable</t>
  </si>
  <si>
    <t>Omnivore Partners; omnivore.vc
CIIE; ciie.co</t>
  </si>
  <si>
    <t>Sequoia Capital; sequoiacap.com</t>
  </si>
  <si>
    <t>Manisha Agri BioTech</t>
  </si>
  <si>
    <t>manishaseeds.com</t>
  </si>
  <si>
    <t>SEAF; seaf.com</t>
  </si>
  <si>
    <t>Manufactures high quality seeds</t>
  </si>
  <si>
    <t>SIG China; sig-china.com</t>
  </si>
  <si>
    <t>SIG China</t>
  </si>
  <si>
    <t>Proparco; proparco.fr
FMO; fmo.nl</t>
  </si>
  <si>
    <t>Camson Bio Technologies</t>
  </si>
  <si>
    <t>camsonbiotechnologies.com</t>
  </si>
  <si>
    <t>CLSA Capital Partners; clsacapital.com</t>
  </si>
  <si>
    <t>Manufactures biofertilizers, biocides, hybrid seeds</t>
  </si>
  <si>
    <t>Genomics &gt; Applied Genomics &gt; Agrigenomics
Life Sciences - India &gt; Genomics &gt; Applied Genomics &gt; Agrigenomics
Crop Tech &gt; Farm Inputs &gt; Biologicals &gt; Diversified
Climate Tech &gt; Crop Tech &gt; Farm Inputs &gt; Biologicals &gt; Diversified
Crop Biologicals &gt; Crop Tech &gt; Farm Inputs &gt; Biologicals &gt; Diversified</t>
  </si>
  <si>
    <t>Malaxmi Agri Ventures; malaxmi.in</t>
  </si>
  <si>
    <t>Malaxmi Agri Ventures</t>
  </si>
  <si>
    <t>Kunal Bahl
Rohit Bansal</t>
  </si>
  <si>
    <t>Chifeng Toyota Science and Technology Seed</t>
  </si>
  <si>
    <t>cfftzy.com</t>
  </si>
  <si>
    <t>Grand Yangtze Capital; grandyangtze.com</t>
  </si>
  <si>
    <t>Grand Yangtze Capital</t>
  </si>
  <si>
    <t>Chifeng, Inner Mongolia, China</t>
  </si>
  <si>
    <t>Producer and supplier of hybrid seeds</t>
  </si>
  <si>
    <t>Rekha Mangalpally
Gangadharaiah C P
Amit Pandey
Lavanya Subramanian
Raghavendra Joshi
Sheba Domnica Rasquinha
Lakshmanan Perichiappan
Srinivas Rao Palakodeti
Ramakrishnan P R
Ambica Seshasayee
Srishanthi Gurunathan
Harish Ananthamurthy
Ajay Nambi
Raghavendra Chary</t>
  </si>
  <si>
    <t>Rekha Mangalpally</t>
  </si>
  <si>
    <t>Global Incubation Services; ginserv.in</t>
  </si>
  <si>
    <t>Global Incubation Services</t>
  </si>
  <si>
    <t>Sherbrooke Capital; sherbrookecapital.com
RSF Social Finance; rsfsocialfinance.org
Benchmark; benchmark.com</t>
  </si>
  <si>
    <t>Ctrax</t>
  </si>
  <si>
    <t>ctrax.info</t>
  </si>
  <si>
    <t>Storage technology solution for agri transporters</t>
  </si>
  <si>
    <t>Logistics Tech &gt; Freight &gt; Software Solutions &gt; Fleet Management &gt; Tracking &gt; Cargo &gt; Cold Chain Monitoring
Fleet Management &gt; Logistics Tech &gt; Freight &gt; Software Solutions &gt; Fleet Management &gt; Tracking &gt; Cargo &gt; Cold Chain Monitoring
Crop Tech &gt; Post Harvest Management &gt; Quality Control &gt; Fruits and Vegetables &gt; Solar Powered Cold Storage</t>
  </si>
  <si>
    <t>Department of Biotechnology; dbtindia.nic.in</t>
  </si>
  <si>
    <t>International Finance Corporation; ifc.org
Mount Kellett Capital Management; mountkellett.com</t>
  </si>
  <si>
    <t>Unilazer Ventures; unilazer.com</t>
  </si>
  <si>
    <t>Unilazer Ventures</t>
  </si>
  <si>
    <t>Virtualcity</t>
  </si>
  <si>
    <t>virtualcity.co.ke</t>
  </si>
  <si>
    <t>Mobile technology solution provider for managing inventory and logistics</t>
  </si>
  <si>
    <t>Crop Tech &gt; Farm Management Software
Farm Management Software &gt; Crop Tech &gt; Farm Management Software</t>
  </si>
  <si>
    <t>Meta Helix Life Sciences</t>
  </si>
  <si>
    <t>meta-helix.com</t>
  </si>
  <si>
    <t>Manufactures seeds for Bt Cotton &amp; Bt Rice</t>
  </si>
  <si>
    <t>Crop Tech &gt; Farm Inputs &gt; Seeds &gt; Field Crops &gt; GMO
Enterprise Tech - India &gt; Crop Tech &gt; Farm Inputs &gt; Seeds &gt; Field Crops &gt; GMO
GMO and Hybrid Seeds &gt; Crop Tech &gt; Farm Inputs &gt; Seeds &gt; Field Crops &gt; GMO
Genomics &gt; Applied Genomics &gt; Agrigenomics
Life Sciences - India &gt; Genomics &gt; Applied Genomics &gt; Agrigenomics
Enterprise Tech - India &gt; Genomics &gt; Applied Genomics &gt; Agrigenomics
Biotech R&amp;D &gt; Research Applications &gt; Translational Research &gt; Biomarkers &gt; Agriculture
Life Sciences - India &gt; Biotech R&amp;D &gt; Research Applications &gt; Translational Research &gt; Biomarkers &gt; Agriculture
Enterprise Tech - India &gt; Biotech R&amp;D &gt; Research Applications &gt; Translational Research &gt; Biomarkers &gt; Agriculture</t>
  </si>
  <si>
    <t>Kiran Mazumdar Shaw
Nitish Kati</t>
  </si>
  <si>
    <t>Kiran Mazumdar Shaw</t>
  </si>
  <si>
    <t>RenewFibre</t>
  </si>
  <si>
    <t>renewmaterial.com</t>
  </si>
  <si>
    <t>Jiangyin, Jiangsu Sheng, China</t>
  </si>
  <si>
    <t>Makes products from agricultural waste</t>
  </si>
  <si>
    <t>Crop Tech &gt; Farm Inputs &gt; Biologicals &gt; Crop Nutrition &gt; Food Waste
Climate Tech &gt; Crop Tech &gt; Farm Inputs &gt; Biologicals &gt; Crop Nutrition &gt; Food Waste
Crop Biologicals &gt; Crop Tech &gt; Farm Inputs &gt; Biologicals &gt; Crop Nutrition &gt; Food Waste</t>
  </si>
  <si>
    <t>NRGene</t>
  </si>
  <si>
    <t>nrgene.com</t>
  </si>
  <si>
    <t>Adama; adama.com</t>
  </si>
  <si>
    <t>Provider of genomic big data analysis for agricultural research and breeding</t>
  </si>
  <si>
    <t>Biotech R&amp;D &gt; Research Applications &gt; Genomics &gt; Suite
Life Sciences - MENA &gt; Biotech R&amp;D &gt; Research Applications &gt; Genomics &gt; Suite
Life Sciences - Israel &gt; Biotech R&amp;D &gt; Research Applications &gt; Genomics &gt; Suite
Artificial Intelligence - MENA &gt; Biotech R&amp;D &gt; Research Applications &gt; Genomics &gt; Suite
Artificial Intelligence - Israel &gt; Biotech R&amp;D &gt; Research Applications &gt; Genomics &gt; Suite
Artificial Intelligence &gt; Biotech R&amp;D &gt; Research Applications &gt; Genomics &gt; Suite
AI in Healthcare &gt; Biotech R&amp;D &gt; Research Applications &gt; Genomics &gt; Suite
AI in Life Sciences &gt; Biotech R&amp;D &gt; Research Applications &gt; Genomics &gt; Suite
Enterprise Tech - MENA &gt; Biotech R&amp;D &gt; Research Applications &gt; Genomics &gt; Suite
Enterprise Tech - Israel &gt; Biotech R&amp;D &gt; Research Applications &gt; Genomics &gt; Suite
Genomics &gt; Genome Informatics &gt; Integrative Bioinformatics Platforms
Life Sciences - MENA &gt; Genomics &gt; Genome Informatics &gt; Integrative Bioinformatics Platforms
Life Sciences - Israel &gt; Genomics &gt; Genome Informatics &gt; Integrative Bioinformatics Platforms
Artificial Intelligence - MENA &gt; Genomics &gt; Genome Informatics &gt; Integrative Bioinformatics Platforms
Artificial Intelligence - Israel &gt; Genomics &gt; Genome Informatics &gt; Integrative Bioinformatics Platforms
Artificial Intelligence &gt; Genomics &gt; Genome Informatics &gt; Integrative Bioinformatics Platforms
AI in Healthcare &gt; Genomics &gt; Genome Informatics &gt; Integrative Bioinformatics Platforms
AI in Life Sciences &gt; Genomics &gt; Genome Informatics &gt; Integrative Bioinformatics Platforms
Enterprise Tech - MENA &gt; Genomics &gt; Genome Informatics &gt; Integrative Bioinformatics Platforms
Enterprise Tech - Israel &gt; Genomics &gt; Genome Informatics &gt; Integrative Bioinformatics Platforms
Crop Tech &gt; Farm Inputs &gt; Plant Breeding &gt; Management Solutions &gt; Analytics
Artificial Intelligence - MENA &gt; Crop Tech &gt; Farm Inputs &gt; Plant Breeding &gt; Management Solutions &gt; Analytics
Enterprise Tech - MENA &gt; Crop Tech &gt; Farm Inputs &gt; Plant Breeding &gt; Management Solutions &gt; Analytics
AI in Agriculture &gt; Crop Tech &gt; Farm Inputs &gt; Plant Breeding &gt; Management Solutions &gt; Analytics
Artificial Intelligence - Israel &gt; Crop Tech &gt; Farm Inputs &gt; Plant Breeding &gt; Management Solutions &gt; Analytics
Artificial Intelligence &gt; Crop Tech &gt; Farm Inputs &gt; Plant Breeding &gt; Management Solutions &gt; Analytics
Enterprise Tech - Israel &gt; Crop Tech &gt; Farm Inputs &gt; Plant Breeding &gt; Management Solutions &gt; Analytics
Plant Breeding &gt; Crop Tech &gt; Farm Inputs &gt; Plant Breeding &gt; Management Solutions &gt; Analytics</t>
  </si>
  <si>
    <t>Khosla Impact; khoslaimpact.com
Westlake Chemical; westlake.com</t>
  </si>
  <si>
    <t>FuturaGene</t>
  </si>
  <si>
    <t>futuragene.com</t>
  </si>
  <si>
    <t>Agricultural biotechnology company to develop genetic technology for fiber, feed, and fuel crops.</t>
  </si>
  <si>
    <t>Genomics &gt; Applied Genomics &gt; Agrigenomics
Life Sciences - MENA &gt; Genomics &gt; Applied Genomics &gt; Agrigenomics
Life Sciences - Israel &gt; Genomics &gt; Applied Genomics &gt; Agrigenomics
Crop Tech &gt; Farm Inputs &gt; Plant Breeding &gt; Technology Providers
Plant Breeding &gt; Crop Tech &gt; Farm Inputs &gt; Plant Breeding &gt; Technology Providers</t>
  </si>
  <si>
    <t>ImeveBiotecnologia</t>
  </si>
  <si>
    <t>imeve.com.br</t>
  </si>
  <si>
    <t>Jaboticabal, Estado De Sao Paulo, Brazil</t>
  </si>
  <si>
    <t>Development and production of animal feed additives</t>
  </si>
  <si>
    <t>Livestock Tech &gt; Feeding &gt; Sustainable Feeds &gt; Plant Based
Climate Tech &gt; Livestock Tech &gt; Feeding &gt; Sustainable Feeds &gt; Plant Based
Sustainable Animal And Fish Feed &gt; Livestock Tech &gt; Feeding &gt; Sustainable Feeds &gt; Plant Based</t>
  </si>
  <si>
    <t>Abhishek Rungta
Mohan Reddy
Sashwat Shakti
Pallav Nadhani</t>
  </si>
  <si>
    <t>Abhishek Rungta
Pallav Nadhani</t>
  </si>
  <si>
    <t>Shellcatch</t>
  </si>
  <si>
    <t>shellcatch.com</t>
  </si>
  <si>
    <t>Integrated solution for traceability of seafood produce</t>
  </si>
  <si>
    <t>Aquaculture Tech &gt; Fisheries &gt; Fishing Intelligence
SaaS &gt; Aquaculture Tech &gt; Fisheries &gt; Fishing Intelligence
SaaS - Latam &gt; Aquaculture Tech &gt; Fisheries &gt; Fishing Intelligence
Enterprise Tech - Latam &gt; Aquaculture Tech &gt; Fisheries &gt; Fishing Intelligence</t>
  </si>
  <si>
    <t>Advanta</t>
  </si>
  <si>
    <t>advantaindia.com</t>
  </si>
  <si>
    <t>Develops and supplies hybrid seeds</t>
  </si>
  <si>
    <t>Crop Tech &gt; Farm Inputs &gt; Seeds &gt; Horticulture &gt; Hybrid
GMO and Hybrid Seeds &gt; Crop Tech &gt; Farm Inputs &gt; Seeds &gt; Horticulture &gt; Hybrid</t>
  </si>
  <si>
    <t>YES SECURITIES; ysil.in
Credit Suisse; credit-suisse.com</t>
  </si>
  <si>
    <t>DT Capital Partners; dtcap.com
KPCB; kpcb.com
Delta Capital; delta-capital.cn
Ping An Ventures; pinganventures.com</t>
  </si>
  <si>
    <t>DT Capital Partners
KPCB
Delta Capital
Ping An Ventures</t>
  </si>
  <si>
    <t>Sri Biotech Laboratories</t>
  </si>
  <si>
    <t>sribio.com</t>
  </si>
  <si>
    <t>R&amp;D for crop improvement, manufactures crop nutrients</t>
  </si>
  <si>
    <t>DFJ; dfj.com
Tamir Fishman; tamirfishman.co.il
Kleiner Perkins; kleinerperkins.com
Musea Ventures; museaventures.com</t>
  </si>
  <si>
    <t>DFJ
Tamir Fishman
Kleiner Perkins
Musea Ventures</t>
  </si>
  <si>
    <t>eFarm</t>
  </si>
  <si>
    <t>efarm.in</t>
  </si>
  <si>
    <t>N Gautam
Ruchika Gupta
Vishwa Chandra
Sasha Gulu Mirchandani
Ramesh Kumar Shah
Ballabh Modani
Manish Mahendra Choksi</t>
  </si>
  <si>
    <t>N Gautam</t>
  </si>
  <si>
    <t>Agri e-supply chain solution.</t>
  </si>
  <si>
    <t>Crop Tech &gt; ECommerce &gt; Farm Produce &gt; B2B &gt; Fruits and Vegetables &gt; E Distributor
IIT Kharagpur &gt; Crop Tech &gt; ECommerce &gt; Farm Produce &gt; B2B &gt; Fruits and Vegetables &gt; E Distributor</t>
  </si>
  <si>
    <t>Identis</t>
  </si>
  <si>
    <t>identis.in</t>
  </si>
  <si>
    <t>Hyderabad Angels; hyderabadangels.in</t>
  </si>
  <si>
    <t>Hyderabad Angels</t>
  </si>
  <si>
    <t>RFID tags manufacturer and provider for livestock animals</t>
  </si>
  <si>
    <t>Livestock Tech &gt; Identification
Enterprise Tech - India &gt; Livestock Tech &gt; Identification</t>
  </si>
  <si>
    <t>VisualNACert</t>
  </si>
  <si>
    <t>visualnacert.com</t>
  </si>
  <si>
    <t>Developer of cloud based farm management software</t>
  </si>
  <si>
    <t>ERP &gt; Agriculture &gt; Farm Management &gt; Suite
SaaS &gt; ERP &gt; Agriculture &gt; Farm Management &gt; Suite
Enterprise Tech - Latam &gt; ERP &gt; Agriculture &gt; Farm Management &gt; Suite
SaaS - Latam &gt; ERP &gt; Agriculture &gt; Farm Management &gt; Suite
Crop Tech &gt; Farm Management Software &gt; Diversified
SaaS &gt; Crop Tech &gt; Farm Management Software &gt; Diversified
SaaS - Latam &gt; Crop Tech &gt; Farm Management Software &gt; Diversified
Enterprise Tech - Latam &gt; Crop Tech &gt; Farm Management Software &gt; Diversified
Farm Management Software &gt; Crop Tech &gt; Farm Management Software &gt; Diversified</t>
  </si>
  <si>
    <t>Pavan Vaish
Ashish Gupta
Aaron Solomon
Achal Agarwal
Rahul Chowdhari
Ashok Tawre
Sudhir Kamath</t>
  </si>
  <si>
    <t>Aavishkaar</t>
  </si>
  <si>
    <t>Nuziveedu Seeds</t>
  </si>
  <si>
    <t>nuziveeduseeds.com</t>
  </si>
  <si>
    <t>Blackstone; blackstone.com</t>
  </si>
  <si>
    <t>Blackstone</t>
  </si>
  <si>
    <t>Manufactures hybrid cotton and paddy seeds.</t>
  </si>
  <si>
    <t>Crop Tech &gt; Farm Inputs &gt; Seeds &gt; Field Crops &gt; Hybrid
GMO and Hybrid Seeds &gt; Crop Tech &gt; Farm Inputs &gt; Seeds &gt; Field Crops &gt; Hybrid
Genomics &gt; Applied Genomics &gt; Agrigenomics
Life Sciences - India &gt; Genomics &gt; Applied Genomics &gt; Agrigenomics</t>
  </si>
  <si>
    <t>GFA Advanced Systems</t>
  </si>
  <si>
    <t>growfishanywhere.com</t>
  </si>
  <si>
    <t>Linnaeus Capital Partners; linnaeuscp.com</t>
  </si>
  <si>
    <t>Kadima, Central District, Israel</t>
  </si>
  <si>
    <t>Developer of zero discharge intensive aquaculture system</t>
  </si>
  <si>
    <t>Aquaculture Tech &gt; Farm Management &gt; Fishes</t>
  </si>
  <si>
    <t>Dilip Kumar Panicker</t>
  </si>
  <si>
    <t>Nokia; nokia.com</t>
  </si>
  <si>
    <t>Sudhir Kamath
Ajit Bhanot</t>
  </si>
  <si>
    <t>Sudhir Kamath</t>
  </si>
  <si>
    <t>Afimilk</t>
  </si>
  <si>
    <t>afimilk.com</t>
  </si>
  <si>
    <t>Developer of multiple products for dairy farm management</t>
  </si>
  <si>
    <t>Livestock Tech &gt; Livestock Management Software &gt; Cattle
Enterprise Tech - MENA &gt; Livestock Tech &gt; Livestock Management Software &gt; Cattle
Enterprise Tech - Israel &gt; Livestock Tech &gt; Livestock Management Software &gt; Cattle</t>
  </si>
  <si>
    <t>Tsing Capital; tsingcapital.com</t>
  </si>
  <si>
    <t>Tsing Capital</t>
  </si>
  <si>
    <t>Scantask</t>
  </si>
  <si>
    <t>scantask.com</t>
  </si>
  <si>
    <t>Software platform for field management and crop assessment</t>
  </si>
  <si>
    <t>88mph; 88mph.ac</t>
  </si>
  <si>
    <t>Shenzhen Lvwei Kang Bioengineering</t>
  </si>
  <si>
    <t>leveking.com</t>
  </si>
  <si>
    <t>Tiantu Capital; tiantu.com.cn</t>
  </si>
  <si>
    <t>Manufacturer and supplier of enzymes and bio-based ingredients for animal nutrition</t>
  </si>
  <si>
    <t>Livestock Tech &gt; Health Management &gt; Nutrition Supplements &gt; Enzymes Based
Sustainable Animal And Fish Feed &gt; Livestock Tech &gt; Health Management &gt; Nutrition Supplements &gt; Enzymes Based</t>
  </si>
  <si>
    <t>Pimi Agro</t>
  </si>
  <si>
    <t>pimiagro.com</t>
  </si>
  <si>
    <t>Nazareth, Northern District, Israel</t>
  </si>
  <si>
    <t>Develops STHP products to extend shelf life of fruits and vegetables</t>
  </si>
  <si>
    <t>Crop Tech &gt; Post Harvest Management &gt; Quality Control &gt; Fruits and Vegetables &gt; Packaging</t>
  </si>
  <si>
    <t>Krishidhan</t>
  </si>
  <si>
    <t>krishidhanseeds.com</t>
  </si>
  <si>
    <t>Summit Partners; summitpartners.com</t>
  </si>
  <si>
    <t>Summit Partners</t>
  </si>
  <si>
    <t>Crop Tech &gt; Farm Inputs &gt; Seeds &gt; Field Crops &gt; Hybrid
Enterprise Tech - India &gt; Crop Tech &gt; Farm Inputs &gt; Seeds &gt; Field Crops &gt; Hybrid
GMO and Hybrid Seeds &gt; Crop Tech &gt; Farm Inputs &gt; Seeds &gt; Field Crops &gt; Hybrid</t>
  </si>
  <si>
    <t>LGT Venture Philanthropy; lgtvp.com</t>
  </si>
  <si>
    <t>Hi Center Ventures; hicenter.co.il</t>
  </si>
  <si>
    <t>Enalta</t>
  </si>
  <si>
    <t>enalta.com</t>
  </si>
  <si>
    <t>Sao Carlos, Estado De Sao Paulo, Brazil</t>
  </si>
  <si>
    <t>Developer of automation solutions for agriculture and agribusinesses</t>
  </si>
  <si>
    <t>Details about the funding rounds in your export set, split by investor.</t>
  </si>
  <si>
    <t>Investor Type</t>
  </si>
  <si>
    <t>Investor Name</t>
  </si>
  <si>
    <t>Investor Domain</t>
  </si>
  <si>
    <t>Type</t>
  </si>
  <si>
    <t>Is Lead Investor</t>
  </si>
  <si>
    <t>Markets</t>
  </si>
  <si>
    <t>Investor Location</t>
  </si>
  <si>
    <t>FUND</t>
  </si>
  <si>
    <t>capria.vc</t>
  </si>
  <si>
    <t>COMPANY</t>
  </si>
  <si>
    <t>Yes</t>
  </si>
  <si>
    <t>Seattle, Washington, United States</t>
  </si>
  <si>
    <t>graymatterscap.com</t>
  </si>
  <si>
    <t>Atlanta, Georgia, United States</t>
  </si>
  <si>
    <t>021.capital</t>
  </si>
  <si>
    <t>indiaquotient.in</t>
  </si>
  <si>
    <t>No</t>
  </si>
  <si>
    <t>Better Capital</t>
  </si>
  <si>
    <t>bettercapital.vc</t>
  </si>
  <si>
    <t>Santa Clara, California, United States</t>
  </si>
  <si>
    <t>ANGEL</t>
  </si>
  <si>
    <t>PEOPLE</t>
  </si>
  <si>
    <t>maple-advisors.com</t>
  </si>
  <si>
    <t>Abhinav Grover</t>
  </si>
  <si>
    <t>Samarth Agrawal</t>
  </si>
  <si>
    <t>rvcf.org</t>
  </si>
  <si>
    <t>AWE Funds</t>
  </si>
  <si>
    <t>awefunds.com</t>
  </si>
  <si>
    <t>United States</t>
  </si>
  <si>
    <t>Maverick Ventures</t>
  </si>
  <si>
    <t>maverickventures.com</t>
  </si>
  <si>
    <t>San Francisco, California, United States</t>
  </si>
  <si>
    <t>CORPORATE_INVESTOR</t>
  </si>
  <si>
    <t>OurCrowd</t>
  </si>
  <si>
    <t>ourcrowd.com</t>
  </si>
  <si>
    <t>Amichai Steinberg</t>
  </si>
  <si>
    <t>Ziv Aviram</t>
  </si>
  <si>
    <t>agfunder.com</t>
  </si>
  <si>
    <t>New York City, New York, United States</t>
  </si>
  <si>
    <t>heronrock.com</t>
  </si>
  <si>
    <t>nexusvp.com</t>
  </si>
  <si>
    <t>Menlo Park, California, United States</t>
  </si>
  <si>
    <t>Siddhi Capital</t>
  </si>
  <si>
    <t>siddhicapital.co</t>
  </si>
  <si>
    <t>kalaari.com</t>
  </si>
  <si>
    <t>Whiteboard Capital</t>
  </si>
  <si>
    <t>whiteboardcap.com</t>
  </si>
  <si>
    <t>Incubate Fund India</t>
  </si>
  <si>
    <t>incubatefund.in</t>
  </si>
  <si>
    <t>Tokyo, Tokyo-to, Japan</t>
  </si>
  <si>
    <t>Walmart</t>
  </si>
  <si>
    <t>walmart.com</t>
  </si>
  <si>
    <t>Bentonville, Arkansas, United States</t>
  </si>
  <si>
    <t>flipkart.com</t>
  </si>
  <si>
    <t>nabventures.in</t>
  </si>
  <si>
    <t>omnivore.vc</t>
  </si>
  <si>
    <t>chiratae.com</t>
  </si>
  <si>
    <t>aavishkaarcapital.in</t>
  </si>
  <si>
    <t>thl.com</t>
  </si>
  <si>
    <t>Boston, Massachusetts, United States</t>
  </si>
  <si>
    <t>alianscesonae.com.br</t>
  </si>
  <si>
    <t>ian-fund.com</t>
  </si>
  <si>
    <t>Kolkata, West Bengal, India</t>
  </si>
  <si>
    <t>europa.eu</t>
  </si>
  <si>
    <t>ipventures.in</t>
  </si>
  <si>
    <t>acumen.org</t>
  </si>
  <si>
    <t>ceniarthllc.com</t>
  </si>
  <si>
    <t>FMO</t>
  </si>
  <si>
    <t>fmo.nl</t>
  </si>
  <si>
    <t>The Hague, South Holland, Netherlands</t>
  </si>
  <si>
    <t>Bualuang Ventures</t>
  </si>
  <si>
    <t>bualuangventures.com</t>
  </si>
  <si>
    <t>Krungsri</t>
  </si>
  <si>
    <t>krungsri.com</t>
  </si>
  <si>
    <t>east.vc</t>
  </si>
  <si>
    <t>ACVentures</t>
  </si>
  <si>
    <t>acv.vc</t>
  </si>
  <si>
    <t>SMDV</t>
  </si>
  <si>
    <t>smdv.com</t>
  </si>
  <si>
    <t>GO Venture Capital</t>
  </si>
  <si>
    <t>govc.com</t>
  </si>
  <si>
    <t>Irvine, California, United States</t>
  </si>
  <si>
    <t>nsgroup-inc.com</t>
  </si>
  <si>
    <t>Wavemaker Partners</t>
  </si>
  <si>
    <t>wavemaker.vc</t>
  </si>
  <si>
    <t>Los Angeles, California, United States</t>
  </si>
  <si>
    <t>aqua-spark.nl</t>
  </si>
  <si>
    <t>Utrecht, Provincie Utrecht, Netherlands</t>
  </si>
  <si>
    <t>beyondnextventures.com</t>
  </si>
  <si>
    <t>ankurcapital.com</t>
  </si>
  <si>
    <t>Rockstud Capital</t>
  </si>
  <si>
    <t>rockstudcap.com</t>
  </si>
  <si>
    <t>Hitachi</t>
  </si>
  <si>
    <t>hitachi.com</t>
  </si>
  <si>
    <t>Chiyoda-ku, Tokyo-to, Japan</t>
  </si>
  <si>
    <t>K3 Ventures</t>
  </si>
  <si>
    <t>k3ventures.com</t>
  </si>
  <si>
    <t>Singapore, Singapore, Singapore</t>
  </si>
  <si>
    <t>vertexgrowth.com</t>
  </si>
  <si>
    <t>Mitsubishi UFJ Capital</t>
  </si>
  <si>
    <t>mucap.co.jp</t>
  </si>
  <si>
    <t>iAngels</t>
  </si>
  <si>
    <t>iangels.com</t>
  </si>
  <si>
    <t>Viola Group</t>
  </si>
  <si>
    <t>viola-group.com</t>
  </si>
  <si>
    <t>Finistere Ventures</t>
  </si>
  <si>
    <t>finistere.com</t>
  </si>
  <si>
    <t>San Diego, California, United States</t>
  </si>
  <si>
    <t>Vertex Ventures Israel</t>
  </si>
  <si>
    <t>vertexventures.co.il</t>
  </si>
  <si>
    <t>Savyon, Central District, Israel</t>
  </si>
  <si>
    <t>Mindset Ventures</t>
  </si>
  <si>
    <t>mindset.ventures</t>
  </si>
  <si>
    <t>Sao Paulo, Brazil</t>
  </si>
  <si>
    <t>Micron</t>
  </si>
  <si>
    <t>micron.com</t>
  </si>
  <si>
    <t>Boise, Idaho, United States</t>
  </si>
  <si>
    <t>UMC Capital</t>
  </si>
  <si>
    <t>umccapital.com</t>
  </si>
  <si>
    <t>Sunnyvale, California, United States</t>
  </si>
  <si>
    <t>Orion Fund</t>
  </si>
  <si>
    <t>theorionfund.org</t>
  </si>
  <si>
    <t>lamaison.in</t>
  </si>
  <si>
    <t>matrixpartners.in</t>
  </si>
  <si>
    <t>Sanjiv Rangrass</t>
  </si>
  <si>
    <t>Rohit MA</t>
  </si>
  <si>
    <t>Ramakant Sharma</t>
  </si>
  <si>
    <t>Titan Capital</t>
  </si>
  <si>
    <t>titancapital.vc</t>
  </si>
  <si>
    <t>Amit Lakhotia Kumar</t>
  </si>
  <si>
    <t>angel.co</t>
  </si>
  <si>
    <t>Kunal Bahl</t>
  </si>
  <si>
    <t>Capier Investments</t>
  </si>
  <si>
    <t>capierinvestments.com</t>
  </si>
  <si>
    <t>Rohit Bansal</t>
  </si>
  <si>
    <t>Sprout Capital Advisors</t>
  </si>
  <si>
    <t>sproutcapital.in</t>
  </si>
  <si>
    <t>Pushkar Singh</t>
  </si>
  <si>
    <t>Pankaj Kumar</t>
  </si>
  <si>
    <t>Yash Jaisinghani</t>
  </si>
  <si>
    <t>Vasant Sridhar</t>
  </si>
  <si>
    <t>Shwetha Rangaswamy</t>
  </si>
  <si>
    <t>Omkar Hariharpur Nagabhushana</t>
  </si>
  <si>
    <t>Amrit Acharya</t>
  </si>
  <si>
    <t>Rahul Sharma</t>
  </si>
  <si>
    <t>Srinath Ramakurshnan</t>
  </si>
  <si>
    <t>Vishal Chaudhary</t>
  </si>
  <si>
    <t>ffcapital.com</t>
  </si>
  <si>
    <t>Rosh Haayin, Central District, Israel</t>
  </si>
  <si>
    <t>Lool Ventures</t>
  </si>
  <si>
    <t>lool.vc</t>
  </si>
  <si>
    <t>Arc Impact</t>
  </si>
  <si>
    <t>arcimpact.org</t>
  </si>
  <si>
    <t>Atooro</t>
  </si>
  <si>
    <t>atooro.com</t>
  </si>
  <si>
    <t>Novastar Ventures</t>
  </si>
  <si>
    <t>novastarventures.com</t>
  </si>
  <si>
    <t>Rebright Partners</t>
  </si>
  <si>
    <t>rebrightpartners.com</t>
  </si>
  <si>
    <t>msivc.co.jp</t>
  </si>
  <si>
    <t>Artha Impact</t>
  </si>
  <si>
    <t>arthaimpact.com</t>
  </si>
  <si>
    <t>Zurich, Zurich, Switzerland</t>
  </si>
  <si>
    <t>Venkatachary Srinivasan</t>
  </si>
  <si>
    <t>Aparna Santosh Nayampalli</t>
  </si>
  <si>
    <t>Finnfund</t>
  </si>
  <si>
    <t>finnfund.fi</t>
  </si>
  <si>
    <t>Helsinki, Uusimaa, Finland</t>
  </si>
  <si>
    <t>Nordic Microfinance Initiative</t>
  </si>
  <si>
    <t>nmimicro.no</t>
  </si>
  <si>
    <t>Oslo, Oslo County, Norway</t>
  </si>
  <si>
    <t>Proparco</t>
  </si>
  <si>
    <t>proparco.fr</t>
  </si>
  <si>
    <t>Paris, Paris, France</t>
  </si>
  <si>
    <t>avcapital.cn</t>
  </si>
  <si>
    <t>mumbaiangels.com</t>
  </si>
  <si>
    <t>Parthiv Rokadia</t>
  </si>
  <si>
    <t>Gaurav Saraogi</t>
  </si>
  <si>
    <t>Kritik Abiram Govindan</t>
  </si>
  <si>
    <t>Fundacion Chile</t>
  </si>
  <si>
    <t>fch.cl</t>
  </si>
  <si>
    <t>corfo.cl</t>
  </si>
  <si>
    <t>ChileGlobal Ventures</t>
  </si>
  <si>
    <t>chileglobalventures.cl</t>
  </si>
  <si>
    <t>ENGIE Factory</t>
  </si>
  <si>
    <t>engiefactory.com</t>
  </si>
  <si>
    <t>Entel</t>
  </si>
  <si>
    <t>entel.cl</t>
  </si>
  <si>
    <t>ZOMALAB</t>
  </si>
  <si>
    <t>zomalab.com</t>
  </si>
  <si>
    <t>Denver, Colorado, United States</t>
  </si>
  <si>
    <t>Stride Ventures</t>
  </si>
  <si>
    <t>strideventures.in</t>
  </si>
  <si>
    <t>arkamvc.com</t>
  </si>
  <si>
    <t>blume.vc</t>
  </si>
  <si>
    <t>Prophetic Ventures</t>
  </si>
  <si>
    <t>prophetic.ventures</t>
  </si>
  <si>
    <t>Rajiv Sahney</t>
  </si>
  <si>
    <t>Sanjay Mariwala</t>
  </si>
  <si>
    <t>Fawaz Alshawwa</t>
  </si>
  <si>
    <t>Cem Garih</t>
  </si>
  <si>
    <t>Aaryaman Vir Shah</t>
  </si>
  <si>
    <t>Ratnaafin</t>
  </si>
  <si>
    <t>ratnaafin.com</t>
  </si>
  <si>
    <t>Ahmedabad, Gujarat, India</t>
  </si>
  <si>
    <t>Harshbeena Zaveri</t>
  </si>
  <si>
    <t>IndusInd Bank</t>
  </si>
  <si>
    <t>indusind.com</t>
  </si>
  <si>
    <t>startupxseed.in</t>
  </si>
  <si>
    <t>GrowX Venture Management</t>
  </si>
  <si>
    <t>growxventures.com</t>
  </si>
  <si>
    <t>A &amp; G</t>
  </si>
  <si>
    <t>a-gcorporate.com</t>
  </si>
  <si>
    <t>Bellwether Advisors LLP</t>
  </si>
  <si>
    <t>bellwetheradvisory.com</t>
  </si>
  <si>
    <t>Australia</t>
  </si>
  <si>
    <t>Bright Venture Capital</t>
  </si>
  <si>
    <t>brightvc.com</t>
  </si>
  <si>
    <t>HKSTP</t>
  </si>
  <si>
    <t>hkstp.org</t>
  </si>
  <si>
    <t>smile.co.in</t>
  </si>
  <si>
    <t>Rabo Corporate Investments</t>
  </si>
  <si>
    <t>rabocorporateinvestments.com</t>
  </si>
  <si>
    <t>UpWest</t>
  </si>
  <si>
    <t>upwest.com</t>
  </si>
  <si>
    <t>Columbus, Ohio, United States</t>
  </si>
  <si>
    <t>Plug and Play Tech Center</t>
  </si>
  <si>
    <t>plugandplaytechcenter.com</t>
  </si>
  <si>
    <t>J Ventures</t>
  </si>
  <si>
    <t>jventures.com</t>
  </si>
  <si>
    <t>openspace.vc</t>
  </si>
  <si>
    <t>Seeds Capital</t>
  </si>
  <si>
    <t>seedscapital.com</t>
  </si>
  <si>
    <t>Durham, Durham, United Kingdom</t>
  </si>
  <si>
    <t>trendlines.com</t>
  </si>
  <si>
    <t>Gefen Capital</t>
  </si>
  <si>
    <t>gefencapital.com</t>
  </si>
  <si>
    <t>Hertzliya, Tel Aviv, Israel</t>
  </si>
  <si>
    <t>forbon.com</t>
  </si>
  <si>
    <t>jvpvc.com</t>
  </si>
  <si>
    <t>2B Angels</t>
  </si>
  <si>
    <t>2b-angels.com</t>
  </si>
  <si>
    <t>One Way Ventures</t>
  </si>
  <si>
    <t>onewayvc.com</t>
  </si>
  <si>
    <t>Hyperplane Venture Capital</t>
  </si>
  <si>
    <t>hyperplane.vc</t>
  </si>
  <si>
    <t>syngentaventures.com</t>
  </si>
  <si>
    <t>Basel, Basel-city, Switzerland</t>
  </si>
  <si>
    <t>naspers.com</t>
  </si>
  <si>
    <t>anthemis.com</t>
  </si>
  <si>
    <t>London, England, United Kingdom</t>
  </si>
  <si>
    <t>Accion</t>
  </si>
  <si>
    <t>accion.org</t>
  </si>
  <si>
    <t>Cambridge, Massachusetts, United States</t>
  </si>
  <si>
    <t>Flourish</t>
  </si>
  <si>
    <t>flourishventures.com</t>
  </si>
  <si>
    <t>Redwood City, California, United States</t>
  </si>
  <si>
    <t>Newid Capital</t>
  </si>
  <si>
    <t>newidcapital.com</t>
  </si>
  <si>
    <t>Alexandria, Virginia, United States</t>
  </si>
  <si>
    <t>Sage Hill Capital</t>
  </si>
  <si>
    <t>sagehillcapital.com</t>
  </si>
  <si>
    <t>Breyer Labs</t>
  </si>
  <si>
    <t>breyerlabs.com</t>
  </si>
  <si>
    <t>Bayer</t>
  </si>
  <si>
    <t>leaps.bayer.com</t>
  </si>
  <si>
    <t>Leverkusen, North Rhine-westphalia, Germany</t>
  </si>
  <si>
    <t>Tracxn Labs</t>
  </si>
  <si>
    <t>tracxnlabs.com</t>
  </si>
  <si>
    <t>Narendra Sankar</t>
  </si>
  <si>
    <t>Sunil Mishra</t>
  </si>
  <si>
    <t>Sudarshan Ravi</t>
  </si>
  <si>
    <t>Ankit Parasher</t>
  </si>
  <si>
    <t>Anant Gupta</t>
  </si>
  <si>
    <t>Intelliquity Consulting</t>
  </si>
  <si>
    <t>intelliquity.in</t>
  </si>
  <si>
    <t>Amarkant Kumar</t>
  </si>
  <si>
    <t>Saket Chaudhary</t>
  </si>
  <si>
    <t>alteriacapital.com</t>
  </si>
  <si>
    <t>saamacapital.vc</t>
  </si>
  <si>
    <t>Grow</t>
  </si>
  <si>
    <t>grow.com</t>
  </si>
  <si>
    <t>Provo, Utah, United States</t>
  </si>
  <si>
    <t>SVG Ventures</t>
  </si>
  <si>
    <t>svgventures.com</t>
  </si>
  <si>
    <t>Los Gatos, California, United States</t>
  </si>
  <si>
    <t>gbahomeland.com</t>
  </si>
  <si>
    <t>Futian, Guangdong, China</t>
  </si>
  <si>
    <t>India Accelerator</t>
  </si>
  <si>
    <t>indiaaccelerator.co</t>
  </si>
  <si>
    <t>surgeahead.com</t>
  </si>
  <si>
    <t>California, United States</t>
  </si>
  <si>
    <t>Tempo Ventures</t>
  </si>
  <si>
    <t>tempo.vc</t>
  </si>
  <si>
    <t>rtp-global.com</t>
  </si>
  <si>
    <t>Moscow, Moscow, Russia</t>
  </si>
  <si>
    <t>Omidyar Network India</t>
  </si>
  <si>
    <t>omidyarnetwork.in</t>
  </si>
  <si>
    <t>sirius.com.sg</t>
  </si>
  <si>
    <t>trivellainvestimentos.com.br</t>
  </si>
  <si>
    <t>surgeventures.com</t>
  </si>
  <si>
    <t>Houston, Texas, United States</t>
  </si>
  <si>
    <t>beenext.com</t>
  </si>
  <si>
    <t>bytez.io</t>
  </si>
  <si>
    <t>Manish Vij</t>
  </si>
  <si>
    <t>Wong Kok Wai</t>
  </si>
  <si>
    <t>sequoiacap.com</t>
  </si>
  <si>
    <t>Pi Ventures</t>
  </si>
  <si>
    <t>piventures.in</t>
  </si>
  <si>
    <t>Redwood Trust</t>
  </si>
  <si>
    <t>redwoodtrust.com</t>
  </si>
  <si>
    <t>Mill Valley, California, United States</t>
  </si>
  <si>
    <t>innovationisrael.org.il</t>
  </si>
  <si>
    <t>BIRD Foundation</t>
  </si>
  <si>
    <t>birdf.com</t>
  </si>
  <si>
    <t>yiron.org.il</t>
  </si>
  <si>
    <t>DFC</t>
  </si>
  <si>
    <t>dfc.gov</t>
  </si>
  <si>
    <t>Washington, DC, District of Columbia, United States</t>
  </si>
  <si>
    <t>ycombinator.com</t>
  </si>
  <si>
    <t>Mountain View, California, United States</t>
  </si>
  <si>
    <t>Intudo Ventures</t>
  </si>
  <si>
    <t>intudovc.com</t>
  </si>
  <si>
    <t>BRI Ventures</t>
  </si>
  <si>
    <t>briventures.id</t>
  </si>
  <si>
    <t>Vertex Ventures</t>
  </si>
  <si>
    <t>vertexventures.sg</t>
  </si>
  <si>
    <t>UOB</t>
  </si>
  <si>
    <t>uobvm.com.sg</t>
  </si>
  <si>
    <t>Golden Gate Ventures</t>
  </si>
  <si>
    <t>goldengate.vc</t>
  </si>
  <si>
    <t>Tenaya Capital</t>
  </si>
  <si>
    <t>tenayacapital.com</t>
  </si>
  <si>
    <t>Portola Valley, California, United States</t>
  </si>
  <si>
    <t>Thrive Capital</t>
  </si>
  <si>
    <t>thrivecap.com</t>
  </si>
  <si>
    <t>lsvp.com</t>
  </si>
  <si>
    <t>Kinesys Group</t>
  </si>
  <si>
    <t>kinesysgroup.com</t>
  </si>
  <si>
    <t>AltoPartners</t>
  </si>
  <si>
    <t>altopartners.com</t>
  </si>
  <si>
    <t>Netherlands</t>
  </si>
  <si>
    <t>Thiel Foundation</t>
  </si>
  <si>
    <t>thielfoundation.org</t>
  </si>
  <si>
    <t>venturehighway.vc</t>
  </si>
  <si>
    <t>FundersClub</t>
  </si>
  <si>
    <t>fundersclub.com</t>
  </si>
  <si>
    <t>Lynett Capital</t>
  </si>
  <si>
    <t>lynettcapital.com</t>
  </si>
  <si>
    <t>Gokul Rajaram</t>
  </si>
  <si>
    <t>Atsushi Taira</t>
  </si>
  <si>
    <t>mistletoe.co</t>
  </si>
  <si>
    <t>Minato, Chiba-ken, Japan</t>
  </si>
  <si>
    <t>thriveagrifood.com</t>
  </si>
  <si>
    <t>Gemba Capital</t>
  </si>
  <si>
    <t>gembacapital.in</t>
  </si>
  <si>
    <t>Renu Satti</t>
  </si>
  <si>
    <t>Shankar Nath</t>
  </si>
  <si>
    <t>KRS Jamwal</t>
  </si>
  <si>
    <t>Ajay Lakhotia</t>
  </si>
  <si>
    <t>suncropgroup.com</t>
  </si>
  <si>
    <t>Pakistan</t>
  </si>
  <si>
    <t>accel.com</t>
  </si>
  <si>
    <t>Palo Alto, California, United States</t>
  </si>
  <si>
    <t>mayfield.com</t>
  </si>
  <si>
    <t>Innoven Capital</t>
  </si>
  <si>
    <t>innovencapital.com</t>
  </si>
  <si>
    <t>lightbox.vc</t>
  </si>
  <si>
    <t>aspada.com</t>
  </si>
  <si>
    <t>Itau BBA</t>
  </si>
  <si>
    <t>itau.com.br</t>
  </si>
  <si>
    <t>unboxcapital.com</t>
  </si>
  <si>
    <t>tpg.com</t>
  </si>
  <si>
    <t>Austin, Texas, United States</t>
  </si>
  <si>
    <t>Vasudev Narayanan</t>
  </si>
  <si>
    <t>Rajesh Balaraman</t>
  </si>
  <si>
    <t>K Rajarathirnam</t>
  </si>
  <si>
    <t>Shankara Arumugam Kulandaival</t>
  </si>
  <si>
    <t>Ramayee Chinnakaruppan</t>
  </si>
  <si>
    <t>Maddulety V</t>
  </si>
  <si>
    <t>firstime.vc</t>
  </si>
  <si>
    <t>Abhishek Ashok Dutt</t>
  </si>
  <si>
    <t>Hozefa Mansoor</t>
  </si>
  <si>
    <t>Kanav Hasija</t>
  </si>
  <si>
    <t>Leisha Sumeet Asnani</t>
  </si>
  <si>
    <t>Neeraj Narendra Soni</t>
  </si>
  <si>
    <t>Rajneesh Sharma</t>
  </si>
  <si>
    <t>Sandeep Deora</t>
  </si>
  <si>
    <t>Rachita Fenil Shah</t>
  </si>
  <si>
    <t>Sumeet Asnani</t>
  </si>
  <si>
    <t>Sarosh Bharucha</t>
  </si>
  <si>
    <t>Pulkit Anand</t>
  </si>
  <si>
    <t>Neha Singh</t>
  </si>
  <si>
    <t>Suraj Saharan</t>
  </si>
  <si>
    <t>Sprout Investment Advisors</t>
  </si>
  <si>
    <t>sproutvp.com</t>
  </si>
  <si>
    <t>capitallab.com.br</t>
  </si>
  <si>
    <t>spventures.com.br</t>
  </si>
  <si>
    <t>Acre Venture Partners</t>
  </si>
  <si>
    <t>acre.vc</t>
  </si>
  <si>
    <t>Fall Line Capital</t>
  </si>
  <si>
    <t>fall-line-capital.com</t>
  </si>
  <si>
    <t>San Mateo, California, United States</t>
  </si>
  <si>
    <t>Brasil Agro</t>
  </si>
  <si>
    <t>brasil-agro.com</t>
  </si>
  <si>
    <t>acceleratingasia.com</t>
  </si>
  <si>
    <t>Kiran Darisi</t>
  </si>
  <si>
    <t>Parsuram Vijayasankar</t>
  </si>
  <si>
    <t>croplife.co.za</t>
  </si>
  <si>
    <t>sathgurucatalysers.fund</t>
  </si>
  <si>
    <t>3one4 Capital</t>
  </si>
  <si>
    <t>3one4capital.com</t>
  </si>
  <si>
    <t>biifund.com</t>
  </si>
  <si>
    <t>Abcoude, Provincie Utrecht, Netherlands</t>
  </si>
  <si>
    <t>Sistema</t>
  </si>
  <si>
    <t>sistema.com</t>
  </si>
  <si>
    <t>nichirei.co.jp</t>
  </si>
  <si>
    <t>BASF</t>
  </si>
  <si>
    <t>basf.com</t>
  </si>
  <si>
    <t>Ludwigshafen Am Rhein, Rheinland-pfalz, Germany</t>
  </si>
  <si>
    <t>Roquette</t>
  </si>
  <si>
    <t>roquette.com</t>
  </si>
  <si>
    <t>Lestrem, Pas-de-calais, France</t>
  </si>
  <si>
    <t>Tanglin Venture Partners</t>
  </si>
  <si>
    <t>tanglinvp.com</t>
  </si>
  <si>
    <t>villgro.org</t>
  </si>
  <si>
    <t>gmccolabs.com</t>
  </si>
  <si>
    <t>innovanathinklabs.com</t>
  </si>
  <si>
    <t>Seedstars</t>
  </si>
  <si>
    <t>seedstars.com</t>
  </si>
  <si>
    <t>Carouge, Geneva, Switzerland</t>
  </si>
  <si>
    <t>zimifund.com.cn</t>
  </si>
  <si>
    <t>nssfug.org</t>
  </si>
  <si>
    <t>insuresilienceinvestment.fund</t>
  </si>
  <si>
    <t>barninvest.com.br</t>
  </si>
  <si>
    <t>ici.fund</t>
  </si>
  <si>
    <t>Fort Collins, Colorado, United States</t>
  </si>
  <si>
    <t>masschallenge.org</t>
  </si>
  <si>
    <t>Artesian</t>
  </si>
  <si>
    <t>artesianinvest.com</t>
  </si>
  <si>
    <t>Mount Parker</t>
  </si>
  <si>
    <t>mountparker.com</t>
  </si>
  <si>
    <t>Admiralty, Hong Kong, China</t>
  </si>
  <si>
    <t>zeroth.ai</t>
  </si>
  <si>
    <t>Location Labs</t>
  </si>
  <si>
    <t>locationlabs.com</t>
  </si>
  <si>
    <t>Emeryville, California, United States</t>
  </si>
  <si>
    <t>Animocabrands</t>
  </si>
  <si>
    <t>animocabrands.com</t>
  </si>
  <si>
    <t>goldmansachs.com</t>
  </si>
  <si>
    <t>ifc.org</t>
  </si>
  <si>
    <t>TLcom Capital Partners</t>
  </si>
  <si>
    <t>tlcomcapital.com</t>
  </si>
  <si>
    <t>Creadev</t>
  </si>
  <si>
    <t>creadev.com</t>
  </si>
  <si>
    <t>AlphaMundi</t>
  </si>
  <si>
    <t>alphamundi.ch</t>
  </si>
  <si>
    <t>Geneva, Geneva, Switzerland</t>
  </si>
  <si>
    <t>OPIC</t>
  </si>
  <si>
    <t>opic.gov</t>
  </si>
  <si>
    <t>trifectacapital.in</t>
  </si>
  <si>
    <t>500.co</t>
  </si>
  <si>
    <t>thaiunion.com</t>
  </si>
  <si>
    <t>Thailand</t>
  </si>
  <si>
    <t>500startups.com.vn</t>
  </si>
  <si>
    <t>globalinnovation.fund</t>
  </si>
  <si>
    <t>co-share.co.il</t>
  </si>
  <si>
    <t>ehealthventures.com</t>
  </si>
  <si>
    <t>KCIC</t>
  </si>
  <si>
    <t>kenyacic.org</t>
  </si>
  <si>
    <t>tecnogen.com</t>
  </si>
  <si>
    <t>Pontenure, Provincia Di Piacenza, Italy</t>
  </si>
  <si>
    <t>theyieldlab.com</t>
  </si>
  <si>
    <t>St. Louis, Missouri, United States</t>
  </si>
  <si>
    <t>techstars.com</t>
  </si>
  <si>
    <t>Boulder, Colorado, United States</t>
  </si>
  <si>
    <t>Chivas Venture</t>
  </si>
  <si>
    <t>chivas.com/the-venture/</t>
  </si>
  <si>
    <t>hatch.blue</t>
  </si>
  <si>
    <t>Bergen, Hordaland Fylke, Norway</t>
  </si>
  <si>
    <t>lightstonegroup.com</t>
  </si>
  <si>
    <t>AgVenture</t>
  </si>
  <si>
    <t>agventure.com</t>
  </si>
  <si>
    <t>Kentland, Indiana, United States</t>
  </si>
  <si>
    <t>mandiri-capital.co.id</t>
  </si>
  <si>
    <t>vistraitcl.com</t>
  </si>
  <si>
    <t>United Kingdom</t>
  </si>
  <si>
    <t>shorooq.ae</t>
  </si>
  <si>
    <t>Mohammed Bin Rashid Innovation Fund</t>
  </si>
  <si>
    <t>mbrif.ae</t>
  </si>
  <si>
    <t>Dubai, Dubai, United Arab Emirates</t>
  </si>
  <si>
    <t>Conservation</t>
  </si>
  <si>
    <t>conservation.org</t>
  </si>
  <si>
    <t>zeevventures.com</t>
  </si>
  <si>
    <t>Cavallo Ventures</t>
  </si>
  <si>
    <t>cavallovc.com</t>
  </si>
  <si>
    <t>Gal Ventures</t>
  </si>
  <si>
    <t>galventures.com</t>
  </si>
  <si>
    <t>Princeton, New Jersey, United States</t>
  </si>
  <si>
    <t>Germin8 Ventures</t>
  </si>
  <si>
    <t>germin8ventures.com</t>
  </si>
  <si>
    <t>Chicago, Illinois, United States</t>
  </si>
  <si>
    <t>Terra Venture Partners</t>
  </si>
  <si>
    <t>terravp.com</t>
  </si>
  <si>
    <t>inovabra</t>
  </si>
  <si>
    <t>inovabra.com.br</t>
  </si>
  <si>
    <t>Bela Vista Do Paraiso, Estado Do Parana, Brazil</t>
  </si>
  <si>
    <t>Positivo Tecnologia</t>
  </si>
  <si>
    <t>positivotecnologia.com.br</t>
  </si>
  <si>
    <t>Curitiba, Estado Do Parana, Brazil</t>
  </si>
  <si>
    <t>AlphaCode</t>
  </si>
  <si>
    <t>alphacode.club</t>
  </si>
  <si>
    <t>indigramlabs.org</t>
  </si>
  <si>
    <t>Jun Sheng Investment Management</t>
  </si>
  <si>
    <t>junsancapital.com</t>
  </si>
  <si>
    <t>Wuhan Optical Valley Talent Innovation Investment</t>
  </si>
  <si>
    <t>ggrctz.com</t>
  </si>
  <si>
    <t>sidbiventure.co.in</t>
  </si>
  <si>
    <t>Sumitomo</t>
  </si>
  <si>
    <t>sumitomocorp.com</t>
  </si>
  <si>
    <t>ARMADA Capital</t>
  </si>
  <si>
    <t>armadacapital.com</t>
  </si>
  <si>
    <t>Sofia, Sofia-capital, Bulgaria</t>
  </si>
  <si>
    <t>GreenSoil Investments</t>
  </si>
  <si>
    <t>greensoil-investments.com</t>
  </si>
  <si>
    <t>Toronto, Ontario, Canada</t>
  </si>
  <si>
    <t>Innovation Endeavors</t>
  </si>
  <si>
    <t>innovationendeavors.com</t>
  </si>
  <si>
    <t>matrixpartners.com.cn</t>
  </si>
  <si>
    <t>Asha Impact</t>
  </si>
  <si>
    <t>ashaimpact.com</t>
  </si>
  <si>
    <t>infoedgeventures.com</t>
  </si>
  <si>
    <t>Karnataka Startup Cell</t>
  </si>
  <si>
    <t>startup.karnataka.gov.in</t>
  </si>
  <si>
    <t>Enterprise Singapore</t>
  </si>
  <si>
    <t>enterprisesg.gov.sg</t>
  </si>
  <si>
    <t>Rainmatter Technology</t>
  </si>
  <si>
    <t>rainmatter.com</t>
  </si>
  <si>
    <t>Hivos</t>
  </si>
  <si>
    <t>hivos.org</t>
  </si>
  <si>
    <t>caspianequity.in</t>
  </si>
  <si>
    <t>guildcap.com</t>
  </si>
  <si>
    <t>rimonimfund.com</t>
  </si>
  <si>
    <t>Sachin Oswal</t>
  </si>
  <si>
    <t>African Development Bank Group</t>
  </si>
  <si>
    <t>afdb.org</t>
  </si>
  <si>
    <t>Abidjan, Lagunes, Ivory Coast</t>
  </si>
  <si>
    <t>WhatsApp</t>
  </si>
  <si>
    <t>whatsapp.com</t>
  </si>
  <si>
    <t>Invest India</t>
  </si>
  <si>
    <t>investindia.gov.in</t>
  </si>
  <si>
    <t>tigerglobal.com</t>
  </si>
  <si>
    <t>ABG Capital</t>
  </si>
  <si>
    <t>abgcapital.com</t>
  </si>
  <si>
    <t>Pittsburgh, Pennsylvania, United States</t>
  </si>
  <si>
    <t>Steadview Capital</t>
  </si>
  <si>
    <t>steadview.com</t>
  </si>
  <si>
    <t>European Commission</t>
  </si>
  <si>
    <t>ec.europa.eu</t>
  </si>
  <si>
    <t>Brussels, Brussels Capital, Belgium</t>
  </si>
  <si>
    <t>William R Jarvis</t>
  </si>
  <si>
    <t>Cristina Berta Jones</t>
  </si>
  <si>
    <t>grandeurproducts.com</t>
  </si>
  <si>
    <t>Punit Sarin</t>
  </si>
  <si>
    <t>Kaushik Ghate</t>
  </si>
  <si>
    <t>Ankur Agarwal</t>
  </si>
  <si>
    <t>Kailash Rathi</t>
  </si>
  <si>
    <t>Prasad Karumanchi</t>
  </si>
  <si>
    <t>Anil Yamani</t>
  </si>
  <si>
    <t>equanimityinvestments.com</t>
  </si>
  <si>
    <t>Gujarat Venture Finance</t>
  </si>
  <si>
    <t>gvfl.com</t>
  </si>
  <si>
    <t>Manish Choksi</t>
  </si>
  <si>
    <t>Nitin Gera</t>
  </si>
  <si>
    <t>DFS Lab</t>
  </si>
  <si>
    <t>dfslab.net</t>
  </si>
  <si>
    <t>Bill &amp; Melinda Gates Foundation</t>
  </si>
  <si>
    <t>gatesfoundation.org</t>
  </si>
  <si>
    <t>Future Food Asia</t>
  </si>
  <si>
    <t>futurefoodasia.com</t>
  </si>
  <si>
    <t>sparklabscultiv8.com</t>
  </si>
  <si>
    <t>Orange, New South Wales, Australia</t>
  </si>
  <si>
    <t>Start-Up Chile</t>
  </si>
  <si>
    <t>startupchile.org</t>
  </si>
  <si>
    <t>KAUST</t>
  </si>
  <si>
    <t>kaust.edu.sa</t>
  </si>
  <si>
    <t>rpdinnovations.com</t>
  </si>
  <si>
    <t>Algar</t>
  </si>
  <si>
    <t>algar.com.br</t>
  </si>
  <si>
    <t>ACE Startups</t>
  </si>
  <si>
    <t>acestartups.com.br</t>
  </si>
  <si>
    <t>cerana.com</t>
  </si>
  <si>
    <t>Paul Rosenblum</t>
  </si>
  <si>
    <t>Jeffrey Kadanoff</t>
  </si>
  <si>
    <t>Steven Isenberg</t>
  </si>
  <si>
    <t>Isaac Maresky</t>
  </si>
  <si>
    <t>Neil Closner</t>
  </si>
  <si>
    <t>Danial Schecter</t>
  </si>
  <si>
    <t>arcadiancap.com</t>
  </si>
  <si>
    <t>Beverly Hills, California, United States</t>
  </si>
  <si>
    <t>devlabs.bg</t>
  </si>
  <si>
    <t>Varna, Varna, Bulgaria</t>
  </si>
  <si>
    <t>IMKAN</t>
  </si>
  <si>
    <t>imkan.ae</t>
  </si>
  <si>
    <t>bharatinclusion.ciie.co</t>
  </si>
  <si>
    <t>ecc-capital.com</t>
  </si>
  <si>
    <t>GINCO Investments</t>
  </si>
  <si>
    <t>ginco.investments</t>
  </si>
  <si>
    <t>Simi Hari</t>
  </si>
  <si>
    <t>cambrianvc.com</t>
  </si>
  <si>
    <t>lefun-capital.com</t>
  </si>
  <si>
    <t>Tsuen Wan, Hong Kong, China</t>
  </si>
  <si>
    <t>Star Han Capital</t>
  </si>
  <si>
    <t>skysaga.com.cn</t>
  </si>
  <si>
    <t>Black Hole Investment</t>
  </si>
  <si>
    <t>blackholecap.com</t>
  </si>
  <si>
    <t>Plum Ventures</t>
  </si>
  <si>
    <t>plumventures.cn</t>
  </si>
  <si>
    <t>Changzhou, Jiangsu Sheng, China</t>
  </si>
  <si>
    <t>Samridhi Fund</t>
  </si>
  <si>
    <t>samridhifund.com</t>
  </si>
  <si>
    <t>chinagrowthcapital.com</t>
  </si>
  <si>
    <t>swanispice.com</t>
  </si>
  <si>
    <t>qh.gf.com.cn</t>
  </si>
  <si>
    <t>Baidu Ventures</t>
  </si>
  <si>
    <t>bv.ai</t>
  </si>
  <si>
    <t>Frees Fund</t>
  </si>
  <si>
    <t>freesvc.com</t>
  </si>
  <si>
    <t>Riverhillfund</t>
  </si>
  <si>
    <t>riverhillfund.com</t>
  </si>
  <si>
    <t>Star Technology Incubator</t>
  </si>
  <si>
    <t>casstar.com.cn</t>
  </si>
  <si>
    <t>Cox Enterprises</t>
  </si>
  <si>
    <t>coxenterprises.com</t>
  </si>
  <si>
    <t>Somesh Misra</t>
  </si>
  <si>
    <t>Kunal Arora</t>
  </si>
  <si>
    <t>Ganapathi Sabhahit</t>
  </si>
  <si>
    <t>Raghavendra Rao</t>
  </si>
  <si>
    <t>itanna.co</t>
  </si>
  <si>
    <t>Pankaj Chaddah</t>
  </si>
  <si>
    <t>Narayanan Venkataraman</t>
  </si>
  <si>
    <t>Mahalakshmi Narayanan</t>
  </si>
  <si>
    <t>Rabo Frontier Ventures</t>
  </si>
  <si>
    <t>rabofrontierventures.com</t>
  </si>
  <si>
    <t>Dileep George</t>
  </si>
  <si>
    <t>Akash Gupta</t>
  </si>
  <si>
    <t>Samay Kohli</t>
  </si>
  <si>
    <t>Hari Balasubramanian</t>
  </si>
  <si>
    <t>beyondcapitalfund.org</t>
  </si>
  <si>
    <t>Constellation Blu</t>
  </si>
  <si>
    <t>constellationblu.com</t>
  </si>
  <si>
    <t>Astarc Ventures</t>
  </si>
  <si>
    <t>astarcventures.com</t>
  </si>
  <si>
    <t>SAP</t>
  </si>
  <si>
    <t>sap.com</t>
  </si>
  <si>
    <t>Walldorf, Baden-wurttemberg, Germany</t>
  </si>
  <si>
    <t>Harsh Bangla</t>
  </si>
  <si>
    <t>Sanjaya Mariwala</t>
  </si>
  <si>
    <t>paperplane.ventures</t>
  </si>
  <si>
    <t>ewb.ca</t>
  </si>
  <si>
    <t>1to4</t>
  </si>
  <si>
    <t>1to4.ch</t>
  </si>
  <si>
    <t>Neuchatel, Neuchatel, Switzerland</t>
  </si>
  <si>
    <t>ADAP</t>
  </si>
  <si>
    <t>adapcapital.com</t>
  </si>
  <si>
    <t>El Paso, Texas, United States</t>
  </si>
  <si>
    <t>SUNU Capital</t>
  </si>
  <si>
    <t>sunucapital.com</t>
  </si>
  <si>
    <t>Peru</t>
  </si>
  <si>
    <t>lakefamilyfoundation.org</t>
  </si>
  <si>
    <t>topsailing.com.cn</t>
  </si>
  <si>
    <t>apluscapital.com</t>
  </si>
  <si>
    <t>gastrotope.com</t>
  </si>
  <si>
    <t>hanacovc.com</t>
  </si>
  <si>
    <t>Canaan Partners Israel</t>
  </si>
  <si>
    <t>canaanil.com</t>
  </si>
  <si>
    <t>IAngels</t>
  </si>
  <si>
    <t>iangels.co</t>
  </si>
  <si>
    <t>Mindset</t>
  </si>
  <si>
    <t>mindset.tech</t>
  </si>
  <si>
    <t>Northern Arc</t>
  </si>
  <si>
    <t>northernarc.com</t>
  </si>
  <si>
    <t>Caspian Impact Investment Adviser</t>
  </si>
  <si>
    <t>caspian.in</t>
  </si>
  <si>
    <t>letsventure.com</t>
  </si>
  <si>
    <t>factore.com</t>
  </si>
  <si>
    <t>Arvind Construction</t>
  </si>
  <si>
    <t>arvindconstruction.com</t>
  </si>
  <si>
    <t>sushiljain.in</t>
  </si>
  <si>
    <t>Yukti</t>
  </si>
  <si>
    <t>yukti.in</t>
  </si>
  <si>
    <t>Rajan Anandan</t>
  </si>
  <si>
    <t>pravegavc.com</t>
  </si>
  <si>
    <t>Sreejith Sudhakaran</t>
  </si>
  <si>
    <t>Ramit Sethi</t>
  </si>
  <si>
    <t>Vinay Mittal</t>
  </si>
  <si>
    <t>Nisarg Shah</t>
  </si>
  <si>
    <t>Swatee Agarwal</t>
  </si>
  <si>
    <t>Anshul Agarwal</t>
  </si>
  <si>
    <t>Gajendra Singh Chowhan</t>
  </si>
  <si>
    <t>yiguogroup.com.cn</t>
  </si>
  <si>
    <t>larix.vc</t>
  </si>
  <si>
    <t>Berlin, Land Berlin, Germany</t>
  </si>
  <si>
    <t>isif.ie</t>
  </si>
  <si>
    <t>Dublin, Leinster, Ireland</t>
  </si>
  <si>
    <t>GSMA</t>
  </si>
  <si>
    <t>gsma.com</t>
  </si>
  <si>
    <t>UK Government</t>
  </si>
  <si>
    <t>gov.uk</t>
  </si>
  <si>
    <t>dfat.gov.au</t>
  </si>
  <si>
    <t>Arun Gupta</t>
  </si>
  <si>
    <t>Devarajan Mohan</t>
  </si>
  <si>
    <t>Chandravir Saran Das</t>
  </si>
  <si>
    <t>Mohan Swarup Bhatnagar</t>
  </si>
  <si>
    <t>Shwetank Jain</t>
  </si>
  <si>
    <t>Virya Mobility</t>
  </si>
  <si>
    <t>viryamobility.com</t>
  </si>
  <si>
    <t>Ashish Mehta</t>
  </si>
  <si>
    <t>Rajan Srikanth</t>
  </si>
  <si>
    <t>Prajeen Prabhakaran</t>
  </si>
  <si>
    <t>Sankaranarayanan Parameswaran</t>
  </si>
  <si>
    <t>Ravichandran Sargunaraj</t>
  </si>
  <si>
    <t>Sukruth Pillarisetti</t>
  </si>
  <si>
    <t>Vishnu Karthik</t>
  </si>
  <si>
    <t>Vivek Agrawal</t>
  </si>
  <si>
    <t>Sisira Pillarisetti</t>
  </si>
  <si>
    <t>Megha Chawla</t>
  </si>
  <si>
    <t>Venkata Nori</t>
  </si>
  <si>
    <t>500tuktuks.com</t>
  </si>
  <si>
    <t>Neoplux</t>
  </si>
  <si>
    <t>neoplux.co.kr</t>
  </si>
  <si>
    <t>Gangnam, Seoul, South Korea</t>
  </si>
  <si>
    <t>qualcommventures.com</t>
  </si>
  <si>
    <t>Joe Hirao</t>
  </si>
  <si>
    <t>Rohini Nilekani</t>
  </si>
  <si>
    <t>Nandan Mohan Nilekani</t>
  </si>
  <si>
    <t>HR Capital</t>
  </si>
  <si>
    <t>hrcapital.in</t>
  </si>
  <si>
    <t>UCLA Foundation</t>
  </si>
  <si>
    <t>uclafoundation.org</t>
  </si>
  <si>
    <t>UNICEF Innovation Fund</t>
  </si>
  <si>
    <t>unicefinnovationfund.org</t>
  </si>
  <si>
    <t>Talent Capital</t>
  </si>
  <si>
    <t>tccapital.cn</t>
  </si>
  <si>
    <t>techtools.vc</t>
  </si>
  <si>
    <t>dobequity.nl</t>
  </si>
  <si>
    <t>Heerde, Provincie Gelderland, Netherlands</t>
  </si>
  <si>
    <t>wamdacapital.com</t>
  </si>
  <si>
    <t>GAFSP</t>
  </si>
  <si>
    <t>gafspfund.org</t>
  </si>
  <si>
    <t>Omidyar Network</t>
  </si>
  <si>
    <t>omidyar.com</t>
  </si>
  <si>
    <t>Uqalo</t>
  </si>
  <si>
    <t>uqalo.com</t>
  </si>
  <si>
    <t>Blue Haven Initiative</t>
  </si>
  <si>
    <t>bluehaveninitiative.com</t>
  </si>
  <si>
    <t>ahlventurepartners.com</t>
  </si>
  <si>
    <t>Vancouver, British Columbia, Canada</t>
  </si>
  <si>
    <t>1776.ventures</t>
  </si>
  <si>
    <t>Maloekoe Ventures</t>
  </si>
  <si>
    <t>maloekoeventures.com</t>
  </si>
  <si>
    <t>Social Capital</t>
  </si>
  <si>
    <t>socialcapital.com</t>
  </si>
  <si>
    <t>Unreasonable Capital</t>
  </si>
  <si>
    <t>unreasonablecapital.com</t>
  </si>
  <si>
    <t>Triputra Group</t>
  </si>
  <si>
    <t>triputra-group.com</t>
  </si>
  <si>
    <t>durians.500.co</t>
  </si>
  <si>
    <t>ccinv.cn</t>
  </si>
  <si>
    <t>Tianhe, Guangzhou, China</t>
  </si>
  <si>
    <t>Draper Richards Kaplan Foundation</t>
  </si>
  <si>
    <t>drkfoundation.org</t>
  </si>
  <si>
    <t>Nutrien</t>
  </si>
  <si>
    <t>nutrien.com</t>
  </si>
  <si>
    <t>Saskatoon, Saskatchewan, Canada</t>
  </si>
  <si>
    <t>https://www.viola-group.com/fund/violaventures</t>
  </si>
  <si>
    <t>Herzelia, Tel Aviv, Israel</t>
  </si>
  <si>
    <t>meltwater.org</t>
  </si>
  <si>
    <t>kosmosinnovationcenter.com</t>
  </si>
  <si>
    <t>Atul Kumar</t>
  </si>
  <si>
    <t>Ridhima Gupta</t>
  </si>
  <si>
    <t>Kaushik Raghunandan</t>
  </si>
  <si>
    <t>Amit Bagadia</t>
  </si>
  <si>
    <t>Mudit Gupta</t>
  </si>
  <si>
    <t>Ashok Kumar Malviya</t>
  </si>
  <si>
    <t>Praful Puranik</t>
  </si>
  <si>
    <t>Abhijit Pratap Singh</t>
  </si>
  <si>
    <t>Bipul Karnani</t>
  </si>
  <si>
    <t>Manik Singhal</t>
  </si>
  <si>
    <t>Prashant Jha</t>
  </si>
  <si>
    <t>Pushakar Singh</t>
  </si>
  <si>
    <t>Abhishek Gupta</t>
  </si>
  <si>
    <t>Nayan Agarwal</t>
  </si>
  <si>
    <t>Prateek Pujari</t>
  </si>
  <si>
    <t>Mastercard Foundation</t>
  </si>
  <si>
    <t>mastercardfdn.org</t>
  </si>
  <si>
    <t>Grameen Crédit Agricole Foundation</t>
  </si>
  <si>
    <t>gca-foundation.org</t>
  </si>
  <si>
    <t>Montrouge, Hauts-de-seine, France</t>
  </si>
  <si>
    <t>vilcap.com</t>
  </si>
  <si>
    <t>retigence.com</t>
  </si>
  <si>
    <t>Nativelead</t>
  </si>
  <si>
    <t>nativelead.org</t>
  </si>
  <si>
    <t>Madurai, Tamil Nadu, India</t>
  </si>
  <si>
    <t>Nagaraja Prakasam</t>
  </si>
  <si>
    <t>P K Gopalakishnan</t>
  </si>
  <si>
    <t>Murali V Sundaralingam</t>
  </si>
  <si>
    <t>Jyoti Sagar</t>
  </si>
  <si>
    <t>Anand Ladsariya</t>
  </si>
  <si>
    <t>Neeraj Goenka</t>
  </si>
  <si>
    <t>Rekha M Menon</t>
  </si>
  <si>
    <t>Ajay Kaul</t>
  </si>
  <si>
    <t>Raman Roy</t>
  </si>
  <si>
    <t>Mohit Mutreja</t>
  </si>
  <si>
    <t>Anurag Goel</t>
  </si>
  <si>
    <t>Anuj Munot</t>
  </si>
  <si>
    <t>Gun Nidhi Dalmia</t>
  </si>
  <si>
    <t>Rajeev Sarda</t>
  </si>
  <si>
    <t>Amit Gupta</t>
  </si>
  <si>
    <t>Anirudh Bhagchandka</t>
  </si>
  <si>
    <t>Sanjiv Bajaj</t>
  </si>
  <si>
    <t>Nitin R Agrawal</t>
  </si>
  <si>
    <t>Artha India Ventures</t>
  </si>
  <si>
    <t>artha.ventures</t>
  </si>
  <si>
    <t>Aman Chowdhury</t>
  </si>
  <si>
    <t>Hashim Ayillath</t>
  </si>
  <si>
    <t>Jayaram Govindarajan</t>
  </si>
  <si>
    <t>K P Raveendran</t>
  </si>
  <si>
    <t>Omsharravana</t>
  </si>
  <si>
    <t>Subhash Babu</t>
  </si>
  <si>
    <t>Manish Khera</t>
  </si>
  <si>
    <t>Sibi Kurian</t>
  </si>
  <si>
    <t>Shilen Sagunan</t>
  </si>
  <si>
    <t>Abdul Salam</t>
  </si>
  <si>
    <t>Vijayan S</t>
  </si>
  <si>
    <t>Viral Mittal</t>
  </si>
  <si>
    <t>Manipal Group</t>
  </si>
  <si>
    <t>manipalgroup.com</t>
  </si>
  <si>
    <t>Sriram Sankaran</t>
  </si>
  <si>
    <t>Shravani Bagchi</t>
  </si>
  <si>
    <t>K G Prithvi</t>
  </si>
  <si>
    <t>Shemil Muhammad</t>
  </si>
  <si>
    <t>Sidharth Pansari</t>
  </si>
  <si>
    <t>S Madhu</t>
  </si>
  <si>
    <t>Saheer Palakkodan</t>
  </si>
  <si>
    <t>P Shabeerali</t>
  </si>
  <si>
    <t>Manjappa Prem Kumar</t>
  </si>
  <si>
    <t>Pooja Kumar</t>
  </si>
  <si>
    <t>Crevisse</t>
  </si>
  <si>
    <t>crevisse.com</t>
  </si>
  <si>
    <t>Seoul, Seoul, South Korea</t>
  </si>
  <si>
    <t>strive.vc</t>
  </si>
  <si>
    <t>Hillhouse Capital Group</t>
  </si>
  <si>
    <t>hillhousecap.com</t>
  </si>
  <si>
    <t>Smart Axiata Digital Innovation Fund</t>
  </si>
  <si>
    <t>sadif.com.kh</t>
  </si>
  <si>
    <t>Phnom Penh, Phnom Penh, Cambodia</t>
  </si>
  <si>
    <t>forteinsurance.com</t>
  </si>
  <si>
    <t>The Index Project</t>
  </si>
  <si>
    <t>designtoimprovelife.dk</t>
  </si>
  <si>
    <t>Copenhagen, Capital Region, Denmark</t>
  </si>
  <si>
    <t>Kazuma Ieiri</t>
  </si>
  <si>
    <t>Keisuke Honda</t>
  </si>
  <si>
    <t>Masakuni Matsumura</t>
  </si>
  <si>
    <t>GX Capital</t>
  </si>
  <si>
    <t>gxcapital.com.cn</t>
  </si>
  <si>
    <t>Cedro Capital</t>
  </si>
  <si>
    <t>cedrocapital.com</t>
  </si>
  <si>
    <t>Brasilia, Federal, Brazil</t>
  </si>
  <si>
    <t>cannabics.com</t>
  </si>
  <si>
    <t>Bethesda, Maryland, United States</t>
  </si>
  <si>
    <t>Cargill</t>
  </si>
  <si>
    <t>cargill.com</t>
  </si>
  <si>
    <t>Minneapolis, Minnesota, United States</t>
  </si>
  <si>
    <t>HIMangel</t>
  </si>
  <si>
    <t>himangel.com</t>
  </si>
  <si>
    <t>Shanghai Bingcheng Equity Investment Management Co</t>
  </si>
  <si>
    <t>beyondcapital.cn</t>
  </si>
  <si>
    <t>Central China Securities</t>
  </si>
  <si>
    <t>ccnew.com</t>
  </si>
  <si>
    <t>XinJiang Huier Agriculture Group</t>
  </si>
  <si>
    <t>xjher.com</t>
  </si>
  <si>
    <t>ganeshalab.com</t>
  </si>
  <si>
    <t>Las Condes, Santiago Metropolitan, Chile</t>
  </si>
  <si>
    <t>CIIE</t>
  </si>
  <si>
    <t>ciie.co</t>
  </si>
  <si>
    <t>prasadseeds.com</t>
  </si>
  <si>
    <t>India</t>
  </si>
  <si>
    <t>Manju Sri Mudholkar</t>
  </si>
  <si>
    <t>Aparna Rakhra</t>
  </si>
  <si>
    <t>Megha Raturi</t>
  </si>
  <si>
    <t>Vatsal Gaur</t>
  </si>
  <si>
    <t>bridgesisrael.com</t>
  </si>
  <si>
    <t>HR Capital Partners</t>
  </si>
  <si>
    <t>hrcapital.partners</t>
  </si>
  <si>
    <t>Harmonious Agriculture and Animal Development</t>
  </si>
  <si>
    <t>hmken.com</t>
  </si>
  <si>
    <t>Global Partnerships</t>
  </si>
  <si>
    <t>globalpartnerships.org</t>
  </si>
  <si>
    <t>EDF</t>
  </si>
  <si>
    <t>edf.fr</t>
  </si>
  <si>
    <t>Huagai Capital</t>
  </si>
  <si>
    <t>hgcapital.cn</t>
  </si>
  <si>
    <t>Kubos</t>
  </si>
  <si>
    <t>kubos.biz</t>
  </si>
  <si>
    <t>Arun Jain</t>
  </si>
  <si>
    <t>Ananthanarayanan Kumar</t>
  </si>
  <si>
    <t>Anil Jain</t>
  </si>
  <si>
    <t>Sriram Subramanya</t>
  </si>
  <si>
    <t>Arihant Gothi</t>
  </si>
  <si>
    <t>Mahesh Ramachandran</t>
  </si>
  <si>
    <t>Prakash Katama</t>
  </si>
  <si>
    <t>Narayanan Balakrishnan</t>
  </si>
  <si>
    <t>Rajshree Natarajan</t>
  </si>
  <si>
    <t>Sairam Jayaraman</t>
  </si>
  <si>
    <t>Ravichandran Srinivasan</t>
  </si>
  <si>
    <t>Gopal Srinivasan</t>
  </si>
  <si>
    <t>K Sivaraman</t>
  </si>
  <si>
    <t>VijayaLakshmi Rao</t>
  </si>
  <si>
    <t>S V Krishnamurthy</t>
  </si>
  <si>
    <t>Ramachandran Vishwanath</t>
  </si>
  <si>
    <t>Seetharaman Sreedhar</t>
  </si>
  <si>
    <t>nedbank.co.za</t>
  </si>
  <si>
    <t>4Di Capital</t>
  </si>
  <si>
    <t>4dicapital.com</t>
  </si>
  <si>
    <t>Savannah Fund</t>
  </si>
  <si>
    <t>savannah.vc</t>
  </si>
  <si>
    <t>Lee Edwards</t>
  </si>
  <si>
    <t>Justin Spratt</t>
  </si>
  <si>
    <t>Joe Caruso</t>
  </si>
  <si>
    <t>Rabobank</t>
  </si>
  <si>
    <t>rabobank.com</t>
  </si>
  <si>
    <t>Israel Innovation Authority</t>
  </si>
  <si>
    <t>matimop.org.il</t>
  </si>
  <si>
    <t>Deepak Sethia</t>
  </si>
  <si>
    <t>Amit Trivedi</t>
  </si>
  <si>
    <t>Rachna Nath</t>
  </si>
  <si>
    <t>Sonal Trivedi</t>
  </si>
  <si>
    <t>Dinesh Goel</t>
  </si>
  <si>
    <t>Rajesh Khanna</t>
  </si>
  <si>
    <t>Ashok Khanna</t>
  </si>
  <si>
    <t>Prashant Rajput</t>
  </si>
  <si>
    <t>Vikash Sethia</t>
  </si>
  <si>
    <t>Manoj Khandelwal</t>
  </si>
  <si>
    <t>Yogesh Rangwani</t>
  </si>
  <si>
    <t>Pallavi Shah</t>
  </si>
  <si>
    <t>Amit Shah</t>
  </si>
  <si>
    <t>Vivek John</t>
  </si>
  <si>
    <t>Chabbi Maheshwari</t>
  </si>
  <si>
    <t>Prajeet Patel</t>
  </si>
  <si>
    <t>Chandan Chatarjee</t>
  </si>
  <si>
    <t>Shweta Sharma</t>
  </si>
  <si>
    <t>cashcapital.cn</t>
  </si>
  <si>
    <t>Anurag Jhanwar</t>
  </si>
  <si>
    <t>Mohini Jhanwar</t>
  </si>
  <si>
    <t>Inseed Investimentos</t>
  </si>
  <si>
    <t>inseedinvestimentos.com.br</t>
  </si>
  <si>
    <t>Nova Lima, Estado De Minas Gerais, Brazil</t>
  </si>
  <si>
    <t>Chanwanich</t>
  </si>
  <si>
    <t>chanwanich.com</t>
  </si>
  <si>
    <t>dtac</t>
  </si>
  <si>
    <t>dtac.co.th</t>
  </si>
  <si>
    <t>pagoda.com.cn</t>
  </si>
  <si>
    <t>kosmosenergy.com</t>
  </si>
  <si>
    <t>Dallas, Texas, United States</t>
  </si>
  <si>
    <t>IndusAge Partners</t>
  </si>
  <si>
    <t>indusage.com</t>
  </si>
  <si>
    <t>Burlingame, California, United States</t>
  </si>
  <si>
    <t>ABB</t>
  </si>
  <si>
    <t>abb.com</t>
  </si>
  <si>
    <t>IITM Incubation Cell</t>
  </si>
  <si>
    <t>incubation.iitm.ac.in</t>
  </si>
  <si>
    <t>Monsanto</t>
  </si>
  <si>
    <t>monsanto.com</t>
  </si>
  <si>
    <t>OpenVC</t>
  </si>
  <si>
    <t>open-vc.com</t>
  </si>
  <si>
    <t>Canary</t>
  </si>
  <si>
    <t>canary.com.br</t>
  </si>
  <si>
    <t>viridianca.com</t>
  </si>
  <si>
    <t>Yuan Jing Capital</t>
  </si>
  <si>
    <t>vplus.vc</t>
  </si>
  <si>
    <t>Shunwei Capital</t>
  </si>
  <si>
    <t>shunwei.com</t>
  </si>
  <si>
    <t>aidea.naarm.org.in</t>
  </si>
  <si>
    <t>Alaya Capital Partners</t>
  </si>
  <si>
    <t>alaya-capital.com</t>
  </si>
  <si>
    <t>xpand.ventures</t>
  </si>
  <si>
    <t>rairah.com</t>
  </si>
  <si>
    <t>PALS Global Solutions</t>
  </si>
  <si>
    <t>palsglobalsolutions.com</t>
  </si>
  <si>
    <t>cibusfund.com</t>
  </si>
  <si>
    <t>Middleland Capital</t>
  </si>
  <si>
    <t>middlelandcap.com</t>
  </si>
  <si>
    <t>Indian Angel Network</t>
  </si>
  <si>
    <t>indianangelnetwork.com</t>
  </si>
  <si>
    <t>Austin Roach</t>
  </si>
  <si>
    <t>Peron Roach</t>
  </si>
  <si>
    <t>Sean Lazaro</t>
  </si>
  <si>
    <t>Kanishka Agiwal</t>
  </si>
  <si>
    <t>Mark Lazaro</t>
  </si>
  <si>
    <t>Newton Alex</t>
  </si>
  <si>
    <t>A M Sendhilraj</t>
  </si>
  <si>
    <t>Keshav Kumar</t>
  </si>
  <si>
    <t>K D Mandanna</t>
  </si>
  <si>
    <t>Shilpa Maheshwari</t>
  </si>
  <si>
    <t>iimcip.org</t>
  </si>
  <si>
    <t>icl-group.com</t>
  </si>
  <si>
    <t>Government of Gujarat</t>
  </si>
  <si>
    <t>gujaratindia.gov.in</t>
  </si>
  <si>
    <t>nutreco.com</t>
  </si>
  <si>
    <t>Amersfoort, Provincie Utrecht, Netherlands</t>
  </si>
  <si>
    <t>alphajwc.com</t>
  </si>
  <si>
    <t>radiantharoti.com</t>
  </si>
  <si>
    <t>Brinc</t>
  </si>
  <si>
    <t>brinc.io</t>
  </si>
  <si>
    <t>divinecapital.net</t>
  </si>
  <si>
    <t>Hivos Impact Investments</t>
  </si>
  <si>
    <t>hivosimpactinvestments.com</t>
  </si>
  <si>
    <t>zhiyivc.com</t>
  </si>
  <si>
    <t>Bertelsmann Asia Investment Fund</t>
  </si>
  <si>
    <t>baifund.com</t>
  </si>
  <si>
    <t>Yonghua Capital</t>
  </si>
  <si>
    <t>yonghuacapital.com.cn</t>
  </si>
  <si>
    <t>Source Code Capital</t>
  </si>
  <si>
    <t>sourcecodecap.com</t>
  </si>
  <si>
    <t>zhenfund.com</t>
  </si>
  <si>
    <t>Ginni International Limited</t>
  </si>
  <si>
    <t>ginniint.com</t>
  </si>
  <si>
    <t>sakalmediagroup.com</t>
  </si>
  <si>
    <t>Chinna Pardhasaradhi</t>
  </si>
  <si>
    <t>Ramesh Mangaleswaran</t>
  </si>
  <si>
    <t>CK Ranganathan</t>
  </si>
  <si>
    <t>Madhu Krishnaswamy</t>
  </si>
  <si>
    <t>Senthilkumar Natarajan</t>
  </si>
  <si>
    <t>Ishwar Subramaniam</t>
  </si>
  <si>
    <t>Ravikant Banka</t>
  </si>
  <si>
    <t>Shailaja Reddy</t>
  </si>
  <si>
    <t>Netherlands Space Office</t>
  </si>
  <si>
    <t>spaceoffice.nl</t>
  </si>
  <si>
    <t>leap201.org</t>
  </si>
  <si>
    <t>Endeavor</t>
  </si>
  <si>
    <t>endeavor.org</t>
  </si>
  <si>
    <t>CRESUD</t>
  </si>
  <si>
    <t>cresud.com.ar</t>
  </si>
  <si>
    <t>Bunge</t>
  </si>
  <si>
    <t>bunge.com</t>
  </si>
  <si>
    <t>White Plains, New York, United States</t>
  </si>
  <si>
    <t>Syngenta</t>
  </si>
  <si>
    <t>syngenta.com</t>
  </si>
  <si>
    <t>IMPACT Accelerator</t>
  </si>
  <si>
    <t>impact-accelerator.com</t>
  </si>
  <si>
    <t>Madrid, Madrid, Spain</t>
  </si>
  <si>
    <t>ICICI Venture</t>
  </si>
  <si>
    <t>iciciventure.com</t>
  </si>
  <si>
    <t>DOMO Invest</t>
  </si>
  <si>
    <t>domoinvest.com.br</t>
  </si>
  <si>
    <t>N Vimala</t>
  </si>
  <si>
    <t>fusionlabs.la</t>
  </si>
  <si>
    <t>Santa Monica, California, United States</t>
  </si>
  <si>
    <t>Torres</t>
  </si>
  <si>
    <t>torres.es</t>
  </si>
  <si>
    <t>Barcelona, Barcelona, Spain</t>
  </si>
  <si>
    <t>thinqbate.com</t>
  </si>
  <si>
    <t>Nitish Kumar</t>
  </si>
  <si>
    <t>Swapnil Kumar</t>
  </si>
  <si>
    <t>NESsT</t>
  </si>
  <si>
    <t>nesst.org</t>
  </si>
  <si>
    <t>Oakland, California, United States</t>
  </si>
  <si>
    <t>Glocal</t>
  </si>
  <si>
    <t>glocalmanagers.com</t>
  </si>
  <si>
    <t>BIRAC</t>
  </si>
  <si>
    <t>birac.nic.in</t>
  </si>
  <si>
    <t>propellerinc.com</t>
  </si>
  <si>
    <t>Agrimatco</t>
  </si>
  <si>
    <t>agrimatco.com</t>
  </si>
  <si>
    <t>Limassol, Limassol, Cyprus</t>
  </si>
  <si>
    <t>uber.com</t>
  </si>
  <si>
    <t>Native Angels Network</t>
  </si>
  <si>
    <t>nativeangelsnetwork.com</t>
  </si>
  <si>
    <t>Ascent E Digit Solution</t>
  </si>
  <si>
    <t>aedindia.com</t>
  </si>
  <si>
    <t>P Mayilvel</t>
  </si>
  <si>
    <t>A S Prabhu</t>
  </si>
  <si>
    <t>G N Jayaram</t>
  </si>
  <si>
    <t>M Unnamalai</t>
  </si>
  <si>
    <t>G Vanjinath</t>
  </si>
  <si>
    <t>Sarath Selvanathan</t>
  </si>
  <si>
    <t>M Yuvarani</t>
  </si>
  <si>
    <t>Shree Shivkumar</t>
  </si>
  <si>
    <t>Vellayan Lakshmanan</t>
  </si>
  <si>
    <t>Vimal Veereshwarayya</t>
  </si>
  <si>
    <t>Thiagarajan Aravamudan</t>
  </si>
  <si>
    <t>N Sugumar</t>
  </si>
  <si>
    <t>S Vijayan</t>
  </si>
  <si>
    <t>Sivakumar Sadayappan</t>
  </si>
  <si>
    <t>Pratik Agarwal</t>
  </si>
  <si>
    <t>ProLogis</t>
  </si>
  <si>
    <t>glprop.com.cn</t>
  </si>
  <si>
    <t>Puhua Capital</t>
  </si>
  <si>
    <t>puhuacapital.com</t>
  </si>
  <si>
    <t>IDG</t>
  </si>
  <si>
    <t>cn.idgcapital.com</t>
  </si>
  <si>
    <t>hk</t>
  </si>
  <si>
    <t>arunseed.jp</t>
  </si>
  <si>
    <t>flat6labscairo.com</t>
  </si>
  <si>
    <t>Giza, Muhafazat Al Jizah, Egypt</t>
  </si>
  <si>
    <t>Genesis Capital</t>
  </si>
  <si>
    <t>gcfunds.com</t>
  </si>
  <si>
    <t>Poornanand Mandalika</t>
  </si>
  <si>
    <t>Deepak Gopinath</t>
  </si>
  <si>
    <t>Kreos Capital</t>
  </si>
  <si>
    <t>kreoscapital.com</t>
  </si>
  <si>
    <t>Ratan N Tata</t>
  </si>
  <si>
    <t>Srinivaas Sirigeri</t>
  </si>
  <si>
    <t>Nikhil Velpanur</t>
  </si>
  <si>
    <t>Singularity Ventures</t>
  </si>
  <si>
    <t>singularityventures.in</t>
  </si>
  <si>
    <t>Sanvar Oberoi</t>
  </si>
  <si>
    <t>Michael Cohn</t>
  </si>
  <si>
    <t>Tyler Scriven</t>
  </si>
  <si>
    <t>Right Side Capital Management</t>
  </si>
  <si>
    <t>rightsidecapital.com</t>
  </si>
  <si>
    <t>Christof Walter</t>
  </si>
  <si>
    <t>Akshay Ranjan Chaurasia</t>
  </si>
  <si>
    <t>Anumolu Sridhar Babu</t>
  </si>
  <si>
    <t>Rajiv Singh</t>
  </si>
  <si>
    <t>Santosh Raghu shetty</t>
  </si>
  <si>
    <t>Prabhakar Mishra</t>
  </si>
  <si>
    <t>Rajiv Motwani</t>
  </si>
  <si>
    <t>Sarwesh Saurabh</t>
  </si>
  <si>
    <t>John Thomas Clinton</t>
  </si>
  <si>
    <t>Ashwin Kelkar</t>
  </si>
  <si>
    <t>Dharmendra Singh</t>
  </si>
  <si>
    <t>Tapas Ray</t>
  </si>
  <si>
    <t>Aruna URS</t>
  </si>
  <si>
    <t>Sakshi Singh</t>
  </si>
  <si>
    <t>GGV Capital</t>
  </si>
  <si>
    <t>ggvc.com</t>
  </si>
  <si>
    <t>gobivc.com</t>
  </si>
  <si>
    <t>Yunqi Partners</t>
  </si>
  <si>
    <t>yunqi.vc</t>
  </si>
  <si>
    <t>Neovia Group</t>
  </si>
  <si>
    <t>neovia-group.com</t>
  </si>
  <si>
    <t>Vannes, Morbihan, France</t>
  </si>
  <si>
    <t>siicincubator.com</t>
  </si>
  <si>
    <t>Kanpur, Uttar Pradesh, India</t>
  </si>
  <si>
    <t>Hazem Abu Khalaf</t>
  </si>
  <si>
    <t>Karl Magnus Olsson</t>
  </si>
  <si>
    <t>BMG UpTech</t>
  </si>
  <si>
    <t>bmguptech.com.br</t>
  </si>
  <si>
    <t>Pioneering Ventures</t>
  </si>
  <si>
    <t>pioneering-ventures.com</t>
  </si>
  <si>
    <t>Ajay Malhotra</t>
  </si>
  <si>
    <t>Komil Shah</t>
  </si>
  <si>
    <t>Amitabh Jaipuria</t>
  </si>
  <si>
    <t>Nishant Singh</t>
  </si>
  <si>
    <t>Pushpa Mohta</t>
  </si>
  <si>
    <t>Vijay Kumar Mahajan</t>
  </si>
  <si>
    <t>Anurag Khandelia</t>
  </si>
  <si>
    <t>Vivek Gangually</t>
  </si>
  <si>
    <t>Sumit Tank</t>
  </si>
  <si>
    <t>Ashish Khandelia</t>
  </si>
  <si>
    <t>Ashok Biyani</t>
  </si>
  <si>
    <t>Piyush Khandelwal</t>
  </si>
  <si>
    <t>Ramchandra Rao</t>
  </si>
  <si>
    <t>Sunil Govindlal Bhandari</t>
  </si>
  <si>
    <t>Varun Mahajan</t>
  </si>
  <si>
    <t>Vinay Kumar</t>
  </si>
  <si>
    <t>Sunita Malik</t>
  </si>
  <si>
    <t>Sheetal Pote</t>
  </si>
  <si>
    <t>Tongdu Capital</t>
  </si>
  <si>
    <t>tendencevc.com</t>
  </si>
  <si>
    <t>daffodilsw.com</t>
  </si>
  <si>
    <t>epsilonventurepartners.com</t>
  </si>
  <si>
    <t>iimlindia.com</t>
  </si>
  <si>
    <t>tencent.com</t>
  </si>
  <si>
    <t>bspfunds.com</t>
  </si>
  <si>
    <t>oasis.com</t>
  </si>
  <si>
    <t>Bondi, New South Wales, Australia</t>
  </si>
  <si>
    <t>Hamendra Mathur</t>
  </si>
  <si>
    <t>Startupbootcamp</t>
  </si>
  <si>
    <t>startupbootcamp.org</t>
  </si>
  <si>
    <t>Alok Mittal</t>
  </si>
  <si>
    <t>Anuj Gupta</t>
  </si>
  <si>
    <t>Mohit Agarwal</t>
  </si>
  <si>
    <t>Manikandan Sundaram</t>
  </si>
  <si>
    <t>Suhail Kassim</t>
  </si>
  <si>
    <t>Suresh Kumar Jeevanani</t>
  </si>
  <si>
    <t>Sudarshan Lal Maini</t>
  </si>
  <si>
    <t>Safaricom</t>
  </si>
  <si>
    <t>safaricom.co.ke</t>
  </si>
  <si>
    <t>Ranjit Barthakur</t>
  </si>
  <si>
    <t>Rohan Shah</t>
  </si>
  <si>
    <t>Subramaniam Ramadorai</t>
  </si>
  <si>
    <t>The Good Kitchen</t>
  </si>
  <si>
    <t>good.kitchen</t>
  </si>
  <si>
    <t>unilazer.com</t>
  </si>
  <si>
    <t>menterra.com</t>
  </si>
  <si>
    <t>milliwaysventures.com</t>
  </si>
  <si>
    <t>Los Altos, California, United States</t>
  </si>
  <si>
    <t>Fireside Ventures</t>
  </si>
  <si>
    <t>firesideventures.com</t>
  </si>
  <si>
    <t>Aparna Santosh Nadampalli</t>
  </si>
  <si>
    <t>Citadel Ventures</t>
  </si>
  <si>
    <t>citadelvc.com</t>
  </si>
  <si>
    <t>Dhruv Agarwala</t>
  </si>
  <si>
    <t>Pradeep Sarin</t>
  </si>
  <si>
    <t>Pankaj Rathi</t>
  </si>
  <si>
    <t>Arjun Chitoor</t>
  </si>
  <si>
    <t>Krishnan Akhileswaran</t>
  </si>
  <si>
    <t>Ganesh M Shivanna</t>
  </si>
  <si>
    <t>Cisco Investments</t>
  </si>
  <si>
    <t>ciscoinvestments.com</t>
  </si>
  <si>
    <t>San Jose, California, United States</t>
  </si>
  <si>
    <t>bvp.com</t>
  </si>
  <si>
    <t>Israel Cleantech Ventures</t>
  </si>
  <si>
    <t>icv.vc</t>
  </si>
  <si>
    <t>Fenbushi Capital</t>
  </si>
  <si>
    <t>fenbushi.vc</t>
  </si>
  <si>
    <t>Fangyi Equity Investment Fund</t>
  </si>
  <si>
    <t>fangfund.com</t>
  </si>
  <si>
    <t>Innoventures</t>
  </si>
  <si>
    <t>innoventures.me</t>
  </si>
  <si>
    <t>Heliopolis, Muhafazat Al Qahirah, Egypt</t>
  </si>
  <si>
    <t>tisiwi.com</t>
  </si>
  <si>
    <t>Orchid Asia Group</t>
  </si>
  <si>
    <t>orchidasia.com</t>
  </si>
  <si>
    <t>Fincluders</t>
  </si>
  <si>
    <t>fincluders.com</t>
  </si>
  <si>
    <t>Frankfurt Am Main, Hesse, Germany</t>
  </si>
  <si>
    <t>Facebook</t>
  </si>
  <si>
    <t>facebook.com</t>
  </si>
  <si>
    <t>fasttrackmalmo.com</t>
  </si>
  <si>
    <t>Malmo, Skane, Sweden</t>
  </si>
  <si>
    <t>Thought For Food</t>
  </si>
  <si>
    <t>tffchallenge.com</t>
  </si>
  <si>
    <t>Israel</t>
  </si>
  <si>
    <t>PG Impact Investments</t>
  </si>
  <si>
    <t>pg-impact.com</t>
  </si>
  <si>
    <t>Baar, Zug, Switzerland</t>
  </si>
  <si>
    <t>Eshbol Ventures</t>
  </si>
  <si>
    <t>eshbol.com</t>
  </si>
  <si>
    <t>Ashutosh Saxena</t>
  </si>
  <si>
    <t>Ravi Garikipati</t>
  </si>
  <si>
    <t>Nitin Agarwal</t>
  </si>
  <si>
    <t>Bhushan Patil</t>
  </si>
  <si>
    <t>Pradeep Kumar Mishra</t>
  </si>
  <si>
    <t>Shazia Imran Khan</t>
  </si>
  <si>
    <t>Energy Access Ventures</t>
  </si>
  <si>
    <t>eavafrica.com</t>
  </si>
  <si>
    <t>Partners Group</t>
  </si>
  <si>
    <t>partnersgroup.com</t>
  </si>
  <si>
    <t>airtac.net</t>
  </si>
  <si>
    <t>Thick stone capital</t>
  </si>
  <si>
    <t>houshicapital.com</t>
  </si>
  <si>
    <t>M and S Capital Partners</t>
  </si>
  <si>
    <t>ms-capitalpartners.com</t>
  </si>
  <si>
    <t>Port Louis, Port Louis District, Mauritius</t>
  </si>
  <si>
    <t>UMG Indonesia</t>
  </si>
  <si>
    <t>umgindonesia.com</t>
  </si>
  <si>
    <t>Sidharth Gupta</t>
  </si>
  <si>
    <t>Shubranshu Sekhar Pani</t>
  </si>
  <si>
    <t>Shardul Shivaji Kashirsagar</t>
  </si>
  <si>
    <t>Mahalingam Srinivaasan</t>
  </si>
  <si>
    <t>Naresh Kanal</t>
  </si>
  <si>
    <t>Saibalini Sahoo</t>
  </si>
  <si>
    <t>Premananda Acharya</t>
  </si>
  <si>
    <t>Rajaram Tripathy</t>
  </si>
  <si>
    <t>Banco Galicia</t>
  </si>
  <si>
    <t>bancogalicia.com</t>
  </si>
  <si>
    <t>Santander</t>
  </si>
  <si>
    <t>santander.com</t>
  </si>
  <si>
    <t>Banco Hipotecario</t>
  </si>
  <si>
    <t>hipotecario.com.ar</t>
  </si>
  <si>
    <t>MARIVA</t>
  </si>
  <si>
    <t>mariva.com.ar</t>
  </si>
  <si>
    <t>zillionize.com</t>
  </si>
  <si>
    <t>Sreenivas R Garlapati</t>
  </si>
  <si>
    <t>Warren C Kocmond Jr</t>
  </si>
  <si>
    <t>Alok Gupta</t>
  </si>
  <si>
    <t>Ambarish Raghuvanshi</t>
  </si>
  <si>
    <t>Diwakar Nigam</t>
  </si>
  <si>
    <t>Prakash VGN</t>
  </si>
  <si>
    <t>Ankit Agarwal</t>
  </si>
  <si>
    <t>Mridula Ramesh</t>
  </si>
  <si>
    <t>Manoj Aheeray</t>
  </si>
  <si>
    <t>Pragnya</t>
  </si>
  <si>
    <t>pragnyafunds.com</t>
  </si>
  <si>
    <t>Nipun Goel</t>
  </si>
  <si>
    <t>Vikas Khattar</t>
  </si>
  <si>
    <t>Priyank Garg</t>
  </si>
  <si>
    <t>Harshvardhan Chitale</t>
  </si>
  <si>
    <t>Ankur Gupta</t>
  </si>
  <si>
    <t>IDG ventures</t>
  </si>
  <si>
    <t>idgventures.com</t>
  </si>
  <si>
    <t>JD Finance</t>
  </si>
  <si>
    <t>jr.jd.com</t>
  </si>
  <si>
    <t>Ningbo Hong Kong Modern Venture Services</t>
  </si>
  <si>
    <t>ygxdcy.com</t>
  </si>
  <si>
    <t>Vish Bajaj</t>
  </si>
  <si>
    <t>Harsh Kundra</t>
  </si>
  <si>
    <t>Anupam Tyagi</t>
  </si>
  <si>
    <t>Nandkumar Rane</t>
  </si>
  <si>
    <t>LN Raju Buddharaju</t>
  </si>
  <si>
    <t>Samir Saran</t>
  </si>
  <si>
    <t>Gaurav Sharma</t>
  </si>
  <si>
    <t>Jitendra Gupta</t>
  </si>
  <si>
    <t>Amrita TBI</t>
  </si>
  <si>
    <t>amritatbi.com</t>
  </si>
  <si>
    <t>Kollam, Kerala, India</t>
  </si>
  <si>
    <t>Expara</t>
  </si>
  <si>
    <t>expara.com</t>
  </si>
  <si>
    <t>stihl.com</t>
  </si>
  <si>
    <t>Waiblingen, Baden-wurttemberg, Germany</t>
  </si>
  <si>
    <t>zoho.com</t>
  </si>
  <si>
    <t>Future Capital</t>
  </si>
  <si>
    <t>future-cap.com</t>
  </si>
  <si>
    <t>Guojin Securities</t>
  </si>
  <si>
    <t>gjzq.com.cn</t>
  </si>
  <si>
    <t>Ameba Capital</t>
  </si>
  <si>
    <t>amebacapital.com</t>
  </si>
  <si>
    <t>ivycapventures.com</t>
  </si>
  <si>
    <t>Murali Abburi</t>
  </si>
  <si>
    <t>Preetam Kothapally</t>
  </si>
  <si>
    <t>Musunuru Raja Kumar</t>
  </si>
  <si>
    <t>Marc A Haugen</t>
  </si>
  <si>
    <t>Sripada Shivananda</t>
  </si>
  <si>
    <t>Kiran R Garlapati</t>
  </si>
  <si>
    <t>Ramakrishna Tummala</t>
  </si>
  <si>
    <t>Jaya Sri</t>
  </si>
  <si>
    <t>Gayathri Rallapalli</t>
  </si>
  <si>
    <t>Vamsee Reddy</t>
  </si>
  <si>
    <t>Cordiant</t>
  </si>
  <si>
    <t>cordiantcap.com</t>
  </si>
  <si>
    <t>Montreal, Quebec, Canada</t>
  </si>
  <si>
    <t>Tuandaiwang</t>
  </si>
  <si>
    <t>tdw.cn</t>
  </si>
  <si>
    <t>Kranti Mohan</t>
  </si>
  <si>
    <t>Adwait Karanjkar</t>
  </si>
  <si>
    <t>M Ramakrishnan</t>
  </si>
  <si>
    <t>Shreesh Soni</t>
  </si>
  <si>
    <t>Atul Arora</t>
  </si>
  <si>
    <t>Suneet Gupta</t>
  </si>
  <si>
    <t>Ekta Vijay</t>
  </si>
  <si>
    <t>Lalit Kumar Tejwani</t>
  </si>
  <si>
    <t>Megha Saini</t>
  </si>
  <si>
    <t>Niti Mohan</t>
  </si>
  <si>
    <t>River Hill Capital</t>
  </si>
  <si>
    <t>riverhillcapital.com</t>
  </si>
  <si>
    <t>Louisville, Kentucky, United States</t>
  </si>
  <si>
    <t>Legend Capital</t>
  </si>
  <si>
    <t>legendcapital.com.cn</t>
  </si>
  <si>
    <t>Yunfeng Capital</t>
  </si>
  <si>
    <t>yfc.cn</t>
  </si>
  <si>
    <t>cbiholdings.com</t>
  </si>
  <si>
    <t>Elevar Equity</t>
  </si>
  <si>
    <t>elevarequity.com</t>
  </si>
  <si>
    <t>Kaksha Kuntal Mehta</t>
  </si>
  <si>
    <t>Sugata Sircar</t>
  </si>
  <si>
    <t>Ashutosh Kumar Sinha</t>
  </si>
  <si>
    <t>Mrutyunjaya Das</t>
  </si>
  <si>
    <t>Aditya Kumar Maharana</t>
  </si>
  <si>
    <t>Advanced Nutrients</t>
  </si>
  <si>
    <t>advancednutrients.com</t>
  </si>
  <si>
    <t>Abbotsford, British Columbia, Canada</t>
  </si>
  <si>
    <t>cjvcapital.com</t>
  </si>
  <si>
    <t>Phyto Partners</t>
  </si>
  <si>
    <t>phytopartners.com</t>
  </si>
  <si>
    <t>Boca Raton, Florida, United States</t>
  </si>
  <si>
    <t>Ben Biron</t>
  </si>
  <si>
    <t>Gregg Weiss</t>
  </si>
  <si>
    <t>FasterCapital</t>
  </si>
  <si>
    <t>fastercapital.com</t>
  </si>
  <si>
    <t>Mohandas Pai</t>
  </si>
  <si>
    <t>Kunal Shah</t>
  </si>
  <si>
    <t>Sandeep Tandon</t>
  </si>
  <si>
    <t>Anand Chandrasekaran</t>
  </si>
  <si>
    <t>Srikanth Velamakanni</t>
  </si>
  <si>
    <t>Ashish Goenka</t>
  </si>
  <si>
    <t>Geet Bhanawat</t>
  </si>
  <si>
    <t>Abhinav Daga</t>
  </si>
  <si>
    <t>Mahindra Agri Solutions</t>
  </si>
  <si>
    <t>mahindraagri.com</t>
  </si>
  <si>
    <t>Chuxin Capital Partners</t>
  </si>
  <si>
    <t>chuxincapital.com</t>
  </si>
  <si>
    <t>ACS International Resources</t>
  </si>
  <si>
    <t>acs-intl.com</t>
  </si>
  <si>
    <t>Chadds Ford, Pennsylvania, United States</t>
  </si>
  <si>
    <t>Vivek Chanana</t>
  </si>
  <si>
    <t>Ramnath Rao</t>
  </si>
  <si>
    <t>Bunty Peerbhoy</t>
  </si>
  <si>
    <t>Amar Babu Radhakrishnan</t>
  </si>
  <si>
    <t>Raghupathy Dwarkanath Dixit</t>
  </si>
  <si>
    <t>Vidya Omprakash</t>
  </si>
  <si>
    <t>Sujit Kumar Prabhakar</t>
  </si>
  <si>
    <t>Santosh Balakrishna</t>
  </si>
  <si>
    <t>Rajiv Krishan Luthra</t>
  </si>
  <si>
    <t>Salil Gupta</t>
  </si>
  <si>
    <t>Sharad Junghare</t>
  </si>
  <si>
    <t>Bikky Khosla</t>
  </si>
  <si>
    <t>Agro Innovation Lab</t>
  </si>
  <si>
    <t>agroinnovationlab.com</t>
  </si>
  <si>
    <t>Vienna, Vienna, Austria</t>
  </si>
  <si>
    <t>RWA Group</t>
  </si>
  <si>
    <t>rwa.at</t>
  </si>
  <si>
    <t>Shanghai Zhangjiang</t>
  </si>
  <si>
    <t>600895.com</t>
  </si>
  <si>
    <t>Sophia Investment</t>
  </si>
  <si>
    <t>sophia-investment.com</t>
  </si>
  <si>
    <t>AGRA</t>
  </si>
  <si>
    <t>agra.org</t>
  </si>
  <si>
    <t>Artha</t>
  </si>
  <si>
    <t>arthaplatform.com</t>
  </si>
  <si>
    <t>IdeaSpace Foundation</t>
  </si>
  <si>
    <t>ideaspacefoundation.org</t>
  </si>
  <si>
    <t>Makati, National Capital Region, Philippines</t>
  </si>
  <si>
    <t>deep.ventures</t>
  </si>
  <si>
    <t>Cultivation Capital</t>
  </si>
  <si>
    <t>cultivationcapital.com</t>
  </si>
  <si>
    <t>Mukul Singhal</t>
  </si>
  <si>
    <t>Rohit Jain</t>
  </si>
  <si>
    <t>Nihit Ajay</t>
  </si>
  <si>
    <t>Sukit Kumar Prabhakar</t>
  </si>
  <si>
    <t>Akriti Chopra</t>
  </si>
  <si>
    <t>Himanshu Aggarwal</t>
  </si>
  <si>
    <t>Rajiv Puri</t>
  </si>
  <si>
    <t>Deepak Jain</t>
  </si>
  <si>
    <t>Preethi Agarwal</t>
  </si>
  <si>
    <t>Ashish Gupta</t>
  </si>
  <si>
    <t>Sajal Agarwal</t>
  </si>
  <si>
    <t>Sunil Goyal</t>
  </si>
  <si>
    <t>Sandeep Agarwal</t>
  </si>
  <si>
    <t>Varun Kumar Vummidi</t>
  </si>
  <si>
    <t>Centre for Incubation &amp; Business Acceleration</t>
  </si>
  <si>
    <t>ciba.org.in</t>
  </si>
  <si>
    <t>Salcete, Goa, India</t>
  </si>
  <si>
    <t>Atul Patil</t>
  </si>
  <si>
    <t>Sandeep Pingale</t>
  </si>
  <si>
    <t>Usha Ganpat Apte</t>
  </si>
  <si>
    <t>Manasi Sanjay Thatte</t>
  </si>
  <si>
    <t>Tanuja Joshi</t>
  </si>
  <si>
    <t>Sheela Damle</t>
  </si>
  <si>
    <t>ZhenShun Fund</t>
  </si>
  <si>
    <t>zhenshunfund.com</t>
  </si>
  <si>
    <t>qimingvc.com</t>
  </si>
  <si>
    <t>patamar.com</t>
  </si>
  <si>
    <t>National Environment Trust Fund</t>
  </si>
  <si>
    <t>netfund.go.ke</t>
  </si>
  <si>
    <t>Qualcomm</t>
  </si>
  <si>
    <t>qualcomm.com</t>
  </si>
  <si>
    <t>VC Spark</t>
  </si>
  <si>
    <t>vcspark.com</t>
  </si>
  <si>
    <t>mushaventures.com</t>
  </si>
  <si>
    <t>Arch Grants</t>
  </si>
  <si>
    <t>archgrants.org</t>
  </si>
  <si>
    <t>Seedstars World</t>
  </si>
  <si>
    <t>seedstarsworld.com</t>
  </si>
  <si>
    <t>Baita</t>
  </si>
  <si>
    <t>baita.ac</t>
  </si>
  <si>
    <t>Monashees</t>
  </si>
  <si>
    <t>monashees.com.br</t>
  </si>
  <si>
    <t>SilkRoute Indchem</t>
  </si>
  <si>
    <t>silkrouteindchem.com</t>
  </si>
  <si>
    <t>Mustafa Wajid</t>
  </si>
  <si>
    <t>R Natarajan</t>
  </si>
  <si>
    <t>Sriram Viji</t>
  </si>
  <si>
    <t>Anita Das Choudhury</t>
  </si>
  <si>
    <t>Arumugam Selvakumar</t>
  </si>
  <si>
    <t>The Hazera 1939</t>
  </si>
  <si>
    <t>hazera1939.com</t>
  </si>
  <si>
    <t>Robert Bosch Venture Capital</t>
  </si>
  <si>
    <t>rbvc.com</t>
  </si>
  <si>
    <t>Frankfurt, Brandenburg, Germany</t>
  </si>
  <si>
    <t>Flex Lab IX</t>
  </si>
  <si>
    <t>flextronicslabix.com</t>
  </si>
  <si>
    <t>Morgan Hill, California, United States</t>
  </si>
  <si>
    <t>wingify.com</t>
  </si>
  <si>
    <t>fosun.com</t>
  </si>
  <si>
    <t>Mandala Capital</t>
  </si>
  <si>
    <t>mandala-capital.com</t>
  </si>
  <si>
    <t>Ebene City, Plaines Wilhems District, Mauritius</t>
  </si>
  <si>
    <t>Kaedan Capital</t>
  </si>
  <si>
    <t>kaedan.com</t>
  </si>
  <si>
    <t>Cognitiv Ventures</t>
  </si>
  <si>
    <t>cognitiv.vc</t>
  </si>
  <si>
    <t>Ventura, California, United States</t>
  </si>
  <si>
    <t>Imagine Latam</t>
  </si>
  <si>
    <t>imaginelab.cl</t>
  </si>
  <si>
    <t>jd.com</t>
  </si>
  <si>
    <t>cvpcap.com</t>
  </si>
  <si>
    <t>sig-china.com</t>
  </si>
  <si>
    <t>Rivigo</t>
  </si>
  <si>
    <t>rivigo.com</t>
  </si>
  <si>
    <t>Ishwar Subramanian</t>
  </si>
  <si>
    <t>Meenakshi Mangaleswaran</t>
  </si>
  <si>
    <t>Rahul Sankhe</t>
  </si>
  <si>
    <t>Thailambal Chandramohan</t>
  </si>
  <si>
    <t>ZopSmart</t>
  </si>
  <si>
    <t>zopsmart.com</t>
  </si>
  <si>
    <t>Unity Ventures</t>
  </si>
  <si>
    <t>unityvc.com</t>
  </si>
  <si>
    <t>Beijing Zhonghai Investment Management</t>
  </si>
  <si>
    <t>zandh.cn</t>
  </si>
  <si>
    <t>Sinovation Ventures</t>
  </si>
  <si>
    <t>sinovationventures.com</t>
  </si>
  <si>
    <t>MIGAL</t>
  </si>
  <si>
    <t>migal.org.il</t>
  </si>
  <si>
    <t>Kiryat Shmona, Northern District, Israel</t>
  </si>
  <si>
    <t>ANG Group</t>
  </si>
  <si>
    <t>ang.group</t>
  </si>
  <si>
    <t>The Phoenix Fund</t>
  </si>
  <si>
    <t>thephoenixfund.com</t>
  </si>
  <si>
    <t>origamicreative.com</t>
  </si>
  <si>
    <t>Kolathoor Mohammed Massod</t>
  </si>
  <si>
    <t>Laeeq Ali</t>
  </si>
  <si>
    <t>Sanjeev Kamte</t>
  </si>
  <si>
    <t>Utsav Somani</t>
  </si>
  <si>
    <t>Farooq Adam Mukadam</t>
  </si>
  <si>
    <t>Anupam Mittal</t>
  </si>
  <si>
    <t>Pranay Jivrajka</t>
  </si>
  <si>
    <t>Edul Patel</t>
  </si>
  <si>
    <t>Pallav Singh</t>
  </si>
  <si>
    <t>Pallaw Sharma</t>
  </si>
  <si>
    <t>Viraj Shah</t>
  </si>
  <si>
    <t>Karan Singh Shekhawat</t>
  </si>
  <si>
    <t>Sameer Nagpal</t>
  </si>
  <si>
    <t>Harpreet Singh</t>
  </si>
  <si>
    <t>R Ramakrishnan</t>
  </si>
  <si>
    <t>Abhishek Jain</t>
  </si>
  <si>
    <t>Gagan Goyal</t>
  </si>
  <si>
    <t>Kris Gopalakrishnan</t>
  </si>
  <si>
    <t>Rajiv Luthra</t>
  </si>
  <si>
    <t>Sandeep Soni</t>
  </si>
  <si>
    <t>Sanjay Puri</t>
  </si>
  <si>
    <t>Sadeesh Raghavan</t>
  </si>
  <si>
    <t>Bikram Dasgupta</t>
  </si>
  <si>
    <t>Harsh Vardhan Hada</t>
  </si>
  <si>
    <t>Nilesh Vani</t>
  </si>
  <si>
    <t>Sarath Sura</t>
  </si>
  <si>
    <t>Neeraj Kumar Singal</t>
  </si>
  <si>
    <t>Ananth Ravi</t>
  </si>
  <si>
    <t>Prerna Kaul</t>
  </si>
  <si>
    <t>Shahnaz Menon</t>
  </si>
  <si>
    <t>Gaurav Joshua Vaz</t>
  </si>
  <si>
    <t>Supriya Ganpule</t>
  </si>
  <si>
    <t>Vijay Anand</t>
  </si>
  <si>
    <t>Faraz Ahmed</t>
  </si>
  <si>
    <t>Ebenezer Vidyasagar</t>
  </si>
  <si>
    <t>Vishweshwar Reddy Konda</t>
  </si>
  <si>
    <t>Mitsui &amp; Co</t>
  </si>
  <si>
    <t>mitsui.com</t>
  </si>
  <si>
    <t>K2VC</t>
  </si>
  <si>
    <t>k2vc.com</t>
  </si>
  <si>
    <t>IDG Ventures Vietnam</t>
  </si>
  <si>
    <t>idgvv.com.vn</t>
  </si>
  <si>
    <t>Topica</t>
  </si>
  <si>
    <t>topica.asia</t>
  </si>
  <si>
    <t>Hanoi, Thanh Pho Ha Noi, Vietnam</t>
  </si>
  <si>
    <t>Samsung</t>
  </si>
  <si>
    <t>samsung.com</t>
  </si>
  <si>
    <t>Zhonghairuany Investment</t>
  </si>
  <si>
    <t>zhsoftbank.com</t>
  </si>
  <si>
    <t>BioGenerator</t>
  </si>
  <si>
    <t>biogenerator.org</t>
  </si>
  <si>
    <t>Launchpad Accelerator</t>
  </si>
  <si>
    <t>developers.google.com/programs/launchpad/accelerators</t>
  </si>
  <si>
    <t>mahindrafinance.com</t>
  </si>
  <si>
    <t>Baldev Raj Arora</t>
  </si>
  <si>
    <t>Kaushal Raj Singh Thakur</t>
  </si>
  <si>
    <t>Ramachandra Kaundinya Vinnakota</t>
  </si>
  <si>
    <t>Lightspeed China Partners</t>
  </si>
  <si>
    <t>lightspeedcp.com</t>
  </si>
  <si>
    <t>1337 Ventures</t>
  </si>
  <si>
    <t>1337accelerator.com</t>
  </si>
  <si>
    <t>Yuanda China Holdings</t>
  </si>
  <si>
    <t>yuandacn.com</t>
  </si>
  <si>
    <t>Shenyang, Liaoning, China</t>
  </si>
  <si>
    <t>Megha Chadha</t>
  </si>
  <si>
    <t>Rohit Sharma</t>
  </si>
  <si>
    <t>Siddharth Bhavnani</t>
  </si>
  <si>
    <t>Bhanu Singhal</t>
  </si>
  <si>
    <t>Gaurav Jain</t>
  </si>
  <si>
    <t>Sandeep Kumar</t>
  </si>
  <si>
    <t>Abhishek Sharman</t>
  </si>
  <si>
    <t>Ashvin Chadha</t>
  </si>
  <si>
    <t>Renren</t>
  </si>
  <si>
    <t>renren.com</t>
  </si>
  <si>
    <t>kctgroup.com</t>
  </si>
  <si>
    <t>Siddarth Pai</t>
  </si>
  <si>
    <t>Anupama Das</t>
  </si>
  <si>
    <t>Sekhar Chennupati</t>
  </si>
  <si>
    <t>G Vinod</t>
  </si>
  <si>
    <t>Kamalakshaiah S</t>
  </si>
  <si>
    <t>Sameer Brij Verma</t>
  </si>
  <si>
    <t>Kaushal Agarwal</t>
  </si>
  <si>
    <t>Tholons</t>
  </si>
  <si>
    <t>tholons.com</t>
  </si>
  <si>
    <t>Kanwaljit Singh</t>
  </si>
  <si>
    <t>Jiuchuang Capital</t>
  </si>
  <si>
    <t>9ccapital.com</t>
  </si>
  <si>
    <t>01VC</t>
  </si>
  <si>
    <t>01vc.com</t>
  </si>
  <si>
    <t>Sherbrooke Capital</t>
  </si>
  <si>
    <t>sherbrookecapital.com</t>
  </si>
  <si>
    <t>Wellesley, Massachusetts, United States</t>
  </si>
  <si>
    <t>Benchmark</t>
  </si>
  <si>
    <t>benchmark.com</t>
  </si>
  <si>
    <t>formation8.com</t>
  </si>
  <si>
    <t>SRK Realty</t>
  </si>
  <si>
    <t>srkrealty.com</t>
  </si>
  <si>
    <t>BMO Global Asset Management</t>
  </si>
  <si>
    <t>bmogam.com</t>
  </si>
  <si>
    <t>Ideosource</t>
  </si>
  <si>
    <t>ideosource.com</t>
  </si>
  <si>
    <t>tatacapital.com</t>
  </si>
  <si>
    <t>Meituan</t>
  </si>
  <si>
    <t>meituan.com</t>
  </si>
  <si>
    <t>H Capital Advance</t>
  </si>
  <si>
    <t>hcapitaladvance.com</t>
  </si>
  <si>
    <t>Teaneck, New Jersey, United States</t>
  </si>
  <si>
    <t>Visakh Kumar R Nair</t>
  </si>
  <si>
    <t>S B Swaminathan</t>
  </si>
  <si>
    <t>MM Murugappan</t>
  </si>
  <si>
    <t>Siddarth pai</t>
  </si>
  <si>
    <t>Ramesh Vangal</t>
  </si>
  <si>
    <t>T R Ramachandran</t>
  </si>
  <si>
    <t>Lakshmi Venu</t>
  </si>
  <si>
    <t>Srikanth Sundararajan</t>
  </si>
  <si>
    <t>avatech.ir</t>
  </si>
  <si>
    <t>DW Fund</t>
  </si>
  <si>
    <t>dwfund.net</t>
  </si>
  <si>
    <t>Xuhui, Shanghai Shi, China</t>
  </si>
  <si>
    <t>Orange</t>
  </si>
  <si>
    <t>orange.com</t>
  </si>
  <si>
    <t>Zhongke China Merchants Investment Management Group</t>
  </si>
  <si>
    <t>leadvc.com</t>
  </si>
  <si>
    <t>Qeerad</t>
  </si>
  <si>
    <t>qeerad.com</t>
  </si>
  <si>
    <t>startup orange</t>
  </si>
  <si>
    <t>startup.orange.com</t>
  </si>
  <si>
    <t>Performa Investimentos</t>
  </si>
  <si>
    <t>performainvestimentos.com</t>
  </si>
  <si>
    <t>VIB</t>
  </si>
  <si>
    <t>vib.be</t>
  </si>
  <si>
    <t>Zwijnaarde, East Flanders Province, Belgium</t>
  </si>
  <si>
    <t>Social Finance</t>
  </si>
  <si>
    <t>sofi.com</t>
  </si>
  <si>
    <t>Oasis 500</t>
  </si>
  <si>
    <t>oasis500.com</t>
  </si>
  <si>
    <t>Ventures Lab</t>
  </si>
  <si>
    <t>ventureslab.com</t>
  </si>
  <si>
    <t>Morningside Ventures</t>
  </si>
  <si>
    <t>morningside.com.cn</t>
  </si>
  <si>
    <t>Shanghai Dongxi Investment Development</t>
  </si>
  <si>
    <t>ewc.org.cn</t>
  </si>
  <si>
    <t>Legend Holdings</t>
  </si>
  <si>
    <t>legendholdings.com.cn</t>
  </si>
  <si>
    <t>Gautam Gupta</t>
  </si>
  <si>
    <t>Madhur Hamnani</t>
  </si>
  <si>
    <t>Ananda Kallugadde</t>
  </si>
  <si>
    <t>Prasad Palisetty</t>
  </si>
  <si>
    <t>Aseem Chauhan</t>
  </si>
  <si>
    <t>Sudhir Mehta</t>
  </si>
  <si>
    <t>Deepak Gupta</t>
  </si>
  <si>
    <t>Sanjay Gujral</t>
  </si>
  <si>
    <t>Kavitkumar Dayabhai</t>
  </si>
  <si>
    <t>Splice Capital</t>
  </si>
  <si>
    <t>splicecapital.com</t>
  </si>
  <si>
    <t>Sanjay Sarvotham Rao</t>
  </si>
  <si>
    <t>Jagan Mohan Reddy</t>
  </si>
  <si>
    <t>Nitin Singhal</t>
  </si>
  <si>
    <t>Pramod Bhasin</t>
  </si>
  <si>
    <t>Hutchison Kinrot</t>
  </si>
  <si>
    <t>hutchisonkinrot.com</t>
  </si>
  <si>
    <t>Blue Lake Capital</t>
  </si>
  <si>
    <t>bluelakecap.com</t>
  </si>
  <si>
    <t>Shanghai Zhonglu Group</t>
  </si>
  <si>
    <t>zhonglu.com.cn</t>
  </si>
  <si>
    <t>Intellecap Impact Investment Network</t>
  </si>
  <si>
    <t>i3n.co.in</t>
  </si>
  <si>
    <t>bioincubator.iitm.ac.in</t>
  </si>
  <si>
    <t>Start-Up Brasil</t>
  </si>
  <si>
    <t>startupbrasil.org.br</t>
  </si>
  <si>
    <t>Kalaiselvi Thangavel</t>
  </si>
  <si>
    <t>Chellappa Gopalkrishnan</t>
  </si>
  <si>
    <t>Iheima</t>
  </si>
  <si>
    <t>iheima.com</t>
  </si>
  <si>
    <t>Department of Biotechnology</t>
  </si>
  <si>
    <t>dbtindia.nic.in</t>
  </si>
  <si>
    <t>dmgt.com</t>
  </si>
  <si>
    <t>Pears Challenge</t>
  </si>
  <si>
    <t>pearschallenge.com</t>
  </si>
  <si>
    <t>Ramat Aviv, Tel Aviv, Israel</t>
  </si>
  <si>
    <t>Points of Light</t>
  </si>
  <si>
    <t>pointsoflight.org</t>
  </si>
  <si>
    <t>VC4A</t>
  </si>
  <si>
    <t>vc4a.com</t>
  </si>
  <si>
    <t>Amsterdam, North Holland, Netherlands</t>
  </si>
  <si>
    <t>Bhakta Reddy</t>
  </si>
  <si>
    <t>Suryaprakash Vithal Kukyan</t>
  </si>
  <si>
    <t>Anjan Rangraj</t>
  </si>
  <si>
    <t>Sandeep Sahadevan</t>
  </si>
  <si>
    <t>Ritu Chakravarthy</t>
  </si>
  <si>
    <t>Sundeep Goswami</t>
  </si>
  <si>
    <t>Dhananjay Joshi</t>
  </si>
  <si>
    <t>Anuraag Srivastava</t>
  </si>
  <si>
    <t>Rupesh Kakarai</t>
  </si>
  <si>
    <t>Vishal Pereira</t>
  </si>
  <si>
    <t>Lundin Foundation</t>
  </si>
  <si>
    <t>lundinfoundation.org</t>
  </si>
  <si>
    <t>Rantej Singh</t>
  </si>
  <si>
    <t>Yellow Brick Group</t>
  </si>
  <si>
    <t>ybcap.com</t>
  </si>
  <si>
    <t>Radha Madhavan Ananthakumar</t>
  </si>
  <si>
    <t>aavishkaar.in</t>
  </si>
  <si>
    <t>Infinity Group</t>
  </si>
  <si>
    <t>infinity-equity.com</t>
  </si>
  <si>
    <t>Safaricom Foundation</t>
  </si>
  <si>
    <t>safaricomfoundation.org</t>
  </si>
  <si>
    <t>DFJ</t>
  </si>
  <si>
    <t>dfj.com</t>
  </si>
  <si>
    <t>Kleiner Perkins</t>
  </si>
  <si>
    <t>kleinerperkins.com</t>
  </si>
  <si>
    <t>Musea Ventures</t>
  </si>
  <si>
    <t>museaventures.com</t>
  </si>
  <si>
    <t>DFJ Tamir Fishman</t>
  </si>
  <si>
    <t>dfjtamirfishman.com</t>
  </si>
  <si>
    <t>Mitsui Global</t>
  </si>
  <si>
    <t>mitsui-global.com</t>
  </si>
  <si>
    <t>Boney Jose</t>
  </si>
  <si>
    <t>George Zacharia</t>
  </si>
  <si>
    <t>Kurian Francis Manavalan</t>
  </si>
  <si>
    <t>Shihaj P A</t>
  </si>
  <si>
    <t>Anoop Kuruvilla</t>
  </si>
  <si>
    <t>Ashoka G K</t>
  </si>
  <si>
    <t>Devandra Muddala</t>
  </si>
  <si>
    <t>Vema Reddy</t>
  </si>
  <si>
    <t>Finisia Shihaj</t>
  </si>
  <si>
    <t>Jijo Verghese</t>
  </si>
  <si>
    <t>Madhulata Avisannagari</t>
  </si>
  <si>
    <t>RTBI</t>
  </si>
  <si>
    <t>rtbi.in</t>
  </si>
  <si>
    <t>Grovepoint</t>
  </si>
  <si>
    <t>grovepoint.co.uk</t>
  </si>
  <si>
    <t>SEAF</t>
  </si>
  <si>
    <t>seaf.com</t>
  </si>
  <si>
    <t>CLSA Capital Partners</t>
  </si>
  <si>
    <t>clsacapital.com</t>
  </si>
  <si>
    <t>malaxmi.in</t>
  </si>
  <si>
    <t>grandyangtze.com</t>
  </si>
  <si>
    <t>Gangadharaiah C P</t>
  </si>
  <si>
    <t>Amit Pandey</t>
  </si>
  <si>
    <t>Lavanya Subramanian</t>
  </si>
  <si>
    <t>Raghavendra Joshi</t>
  </si>
  <si>
    <t>Sheba Domnica Rasquinha</t>
  </si>
  <si>
    <t>Lakshmanan Perichiappan</t>
  </si>
  <si>
    <t>Srinivas Rao Palakodeti</t>
  </si>
  <si>
    <t>Ramakrishnan P R</t>
  </si>
  <si>
    <t>Ambica Seshasayee</t>
  </si>
  <si>
    <t>Srishanthi Gurunathan</t>
  </si>
  <si>
    <t>Harish Ananthamurthy</t>
  </si>
  <si>
    <t>Ajay Nambi</t>
  </si>
  <si>
    <t>Raghavendra Chary</t>
  </si>
  <si>
    <t>ginserv.in</t>
  </si>
  <si>
    <t>RSF Social Finance</t>
  </si>
  <si>
    <t>rsfsocialfinance.org</t>
  </si>
  <si>
    <t>Mount Kellett Capital Management</t>
  </si>
  <si>
    <t>mountkellett.com</t>
  </si>
  <si>
    <t>Nitish Kati</t>
  </si>
  <si>
    <t>Adama</t>
  </si>
  <si>
    <t>adama.com</t>
  </si>
  <si>
    <t>Khosla Impact</t>
  </si>
  <si>
    <t>khoslaimpact.com</t>
  </si>
  <si>
    <t>Westlake Chemical</t>
  </si>
  <si>
    <t>westlake.com</t>
  </si>
  <si>
    <t>Abhishek Rungta</t>
  </si>
  <si>
    <t>Mohan Reddy</t>
  </si>
  <si>
    <t>Sashwat Shakti</t>
  </si>
  <si>
    <t>Pallav Nadhani</t>
  </si>
  <si>
    <t>DT Capital Partners</t>
  </si>
  <si>
    <t>dtcap.com</t>
  </si>
  <si>
    <t>KPCB</t>
  </si>
  <si>
    <t>kpcb.com</t>
  </si>
  <si>
    <t>Delta Capital</t>
  </si>
  <si>
    <t>delta-capital.cn</t>
  </si>
  <si>
    <t>Ping An Ventures</t>
  </si>
  <si>
    <t>pinganventures.com</t>
  </si>
  <si>
    <t>Tamir Fishman</t>
  </si>
  <si>
    <t>tamirfishman.co.il</t>
  </si>
  <si>
    <t>Ruchika Gupta</t>
  </si>
  <si>
    <t>Vishwa Chandra</t>
  </si>
  <si>
    <t>Sasha Gulu Mirchandani</t>
  </si>
  <si>
    <t>Ramesh Kumar Shah</t>
  </si>
  <si>
    <t>Ballabh Modani</t>
  </si>
  <si>
    <t>Manish Mahendra Choksi</t>
  </si>
  <si>
    <t>hyderabadangels.in</t>
  </si>
  <si>
    <t>Pavan Vaish</t>
  </si>
  <si>
    <t>Aaron Solomon</t>
  </si>
  <si>
    <t>Achal Agarwal</t>
  </si>
  <si>
    <t>Rahul Chowdhari</t>
  </si>
  <si>
    <t>Ashok Tawre</t>
  </si>
  <si>
    <t>blackstone.com</t>
  </si>
  <si>
    <t>Linnaeus Capital Partners</t>
  </si>
  <si>
    <t>linnaeuscp.com</t>
  </si>
  <si>
    <t>Nokia</t>
  </si>
  <si>
    <t>nokia.com</t>
  </si>
  <si>
    <t>Espoo, Uusimaa, Finland</t>
  </si>
  <si>
    <t>Ajit Bhanot</t>
  </si>
  <si>
    <t>tsingcapital.com</t>
  </si>
  <si>
    <t>88mph</t>
  </si>
  <si>
    <t>88mph.ac</t>
  </si>
  <si>
    <t>Tiantu Capital</t>
  </si>
  <si>
    <t>tiantu.com.cn</t>
  </si>
  <si>
    <t>summitpartners.com</t>
  </si>
  <si>
    <t>LGT Venture Philanthropy</t>
  </si>
  <si>
    <t>lgtvp.com</t>
  </si>
  <si>
    <t>Hi Center Ventures</t>
  </si>
  <si>
    <t>hicenter.co.il</t>
  </si>
  <si>
    <t>Details about the companies in your export set.</t>
  </si>
  <si>
    <t>City</t>
  </si>
  <si>
    <t>State</t>
  </si>
  <si>
    <t>Is Funded</t>
  </si>
  <si>
    <t>Latest Funded Date</t>
  </si>
  <si>
    <t>Latest Funded Amount</t>
  </si>
  <si>
    <t>Latest Funded Amount (USD)</t>
  </si>
  <si>
    <t>Company Stage</t>
  </si>
  <si>
    <t>Editor's Rating</t>
  </si>
  <si>
    <t>Editor's Rated Date</t>
  </si>
  <si>
    <t>Soonicorn Club Status</t>
  </si>
  <si>
    <t>Soonicorn Club Marked Date</t>
  </si>
  <si>
    <t>Soonicorn Club Event Date</t>
  </si>
  <si>
    <t>Practice Areas</t>
  </si>
  <si>
    <t>Feed Name</t>
  </si>
  <si>
    <t>Description</t>
  </si>
  <si>
    <t>All Geographies Served</t>
  </si>
  <si>
    <t>Company Emails</t>
  </si>
  <si>
    <t>Company Phone Numbers</t>
  </si>
  <si>
    <t>Founders' Info</t>
  </si>
  <si>
    <t>Founders' Email Ids</t>
  </si>
  <si>
    <t>Links to Founders' Profiles</t>
  </si>
  <si>
    <t>Link to Employees</t>
  </si>
  <si>
    <t>Annual Revenue (USD)</t>
  </si>
  <si>
    <t>Annual Revenue as on</t>
  </si>
  <si>
    <t>Is Incorporated</t>
  </si>
  <si>
    <t>Incorporation Date</t>
  </si>
  <si>
    <t>Paid-up Capital at Incorporation (USD)</t>
  </si>
  <si>
    <t>Founders at Incorporation</t>
  </si>
  <si>
    <t>Acquisition List</t>
  </si>
  <si>
    <t>Is Acquired</t>
  </si>
  <si>
    <t>Acquired By</t>
  </si>
  <si>
    <t>Acquired Date</t>
  </si>
  <si>
    <t>Acquired Amount (USD)</t>
  </si>
  <si>
    <t>Acquisition Type</t>
  </si>
  <si>
    <t>Is IPO</t>
  </si>
  <si>
    <t>Stock Ticker</t>
  </si>
  <si>
    <t>IPO Date</t>
  </si>
  <si>
    <t>IPO Amount (USD)</t>
  </si>
  <si>
    <t>Revenue at IPO (USD)</t>
  </si>
  <si>
    <t>Market Capital at IPO (USD)</t>
  </si>
  <si>
    <t>Stock Price at IPO (USD)</t>
  </si>
  <si>
    <t>Is Deadpooled</t>
  </si>
  <si>
    <t>Deadpooled Date</t>
  </si>
  <si>
    <t>Part Of</t>
  </si>
  <si>
    <t>Same As</t>
  </si>
  <si>
    <t>Website</t>
  </si>
  <si>
    <t>Website Status</t>
  </si>
  <si>
    <t>Website Status Last Updated</t>
  </si>
  <si>
    <t>LinkedIn</t>
  </si>
  <si>
    <t>Twitter</t>
  </si>
  <si>
    <t>Blog Url</t>
  </si>
  <si>
    <t>Tracxn URL</t>
  </si>
  <si>
    <t>Date Added</t>
  </si>
  <si>
    <t>Annual Net Profit (USD)</t>
  </si>
  <si>
    <t>Annual Net Profit as on</t>
  </si>
  <si>
    <t>Annual EBITDA (USD)</t>
  </si>
  <si>
    <t>Annual EBITDA as on</t>
  </si>
  <si>
    <t>Latest Valuation (USD)</t>
  </si>
  <si>
    <t>Latest Valuation as on</t>
  </si>
  <si>
    <t>Total Employee Count</t>
  </si>
  <si>
    <t>Total Employee Count as on</t>
  </si>
  <si>
    <t>Tracxn Score</t>
  </si>
  <si>
    <t>Revenue Multiple</t>
  </si>
  <si>
    <t>Revenue Multiple as on</t>
  </si>
  <si>
    <t>Special Flags : Yes</t>
  </si>
  <si>
    <t>Special Flags : No</t>
  </si>
  <si>
    <t>Special Flags : Unknown</t>
  </si>
  <si>
    <t>Beijing</t>
  </si>
  <si>
    <t>Beijing Shi</t>
  </si>
  <si>
    <t>Food Tech
Agriculture</t>
  </si>
  <si>
    <t>Online Grocery
Livestock Tech</t>
  </si>
  <si>
    <t>Online Grocery &gt; B2B Ecommerce &gt; Farm Produce &gt; Meat and Seafood &gt; Marketplace
Livestock Tech &gt; ECommerce &gt; Farm Produce &gt; B2B &gt; Marketplace &gt; Meat</t>
  </si>
  <si>
    <t>Dongshifu is an online B2B marketplace offering frozen lamb meat. The company claims to serve factories and wholesalers with frozen mutton circulation and improve industrial chain transactions.</t>
  </si>
  <si>
    <t>+86-1085892590</t>
  </si>
  <si>
    <t>http://www.dshifu.cn</t>
  </si>
  <si>
    <t>https://tracxn.com/companies/GGZ4c2Rb5mw43T2o3QqDTi_rvarS-EvuVnArsPGtXYo/dshifu.cn</t>
  </si>
  <si>
    <t>Tech
Enterprise
Marketplace</t>
  </si>
  <si>
    <t>Consumer
SaaS
Software
Tech Hardware
Social Impact
Artificial Intelligence
Blockchain</t>
  </si>
  <si>
    <t>Innovative
High IP
Goods
Service
Looks Scalable
Chain
Not for Profit</t>
  </si>
  <si>
    <t>Delhi</t>
  </si>
  <si>
    <t>NCT</t>
  </si>
  <si>
    <t>Crop Tech</t>
  </si>
  <si>
    <t>Online smart digital platform for farmers. The company uses technologies such as big data, IoT, and plant phenomics. The services offered by the company includes a hyper-local digital platform for farm machinery rental leveraging machinery demand and supply gap, an integrated farm management system featuring data-driven crop, soil, and water management, dynamic crop calendar, and also offers warehousing and distribution services for delivery of the product to customers and farmers.</t>
  </si>
  <si>
    <t>operations@agrixago.com</t>
  </si>
  <si>
    <t>+91-9690344124</t>
  </si>
  <si>
    <t>Vivek Kumar; Founder
Nilay Pandey; Founder
Saurav Singh; Co-Founder; https://linkedin.com/in/saurav-singh-991146a1</t>
  </si>
  <si>
    <t>https://linkedin.com/in/saurav-singh-991146a1</t>
  </si>
  <si>
    <t>https://www.agrixagro.com</t>
  </si>
  <si>
    <t>https://linkedin.com/company/agrixagrotech/about</t>
  </si>
  <si>
    <t>https://twitter.com/agrixindia</t>
  </si>
  <si>
    <t>https://facebook.com/agrixindia</t>
  </si>
  <si>
    <t>https://tracxn.com/companies/n25ZtxfPwWTRi3hsVISTMDxSKZQVuvOkRgdetS8uJNI/agrixagro.com</t>
  </si>
  <si>
    <t>Tech
Enterprise
Software
Artificial Intelligence</t>
  </si>
  <si>
    <t>Consumer
Marketplace
SaaS
Tech Hardware
Social Impact
Blockchain</t>
  </si>
  <si>
    <t>Noida</t>
  </si>
  <si>
    <t>Uttar Pradesh</t>
  </si>
  <si>
    <t>$2M</t>
  </si>
  <si>
    <t>nabventures
Gemba Capital</t>
  </si>
  <si>
    <t>KRS Jamwal
Vijay Shekhar Sharma
Sumeet Seraf
Shankar Nath
Ajay Lakhotia
Renu Satti
Vikas Garg</t>
  </si>
  <si>
    <t>Unnati is a provider of digital technology services for farmers. It offers banking services to farming-related transactions, fulfills working capital requirements, and enables farmers to purchase all production inputs and manage sales. Offersagronom services like insights on soil, weather, farming history, etc. Offers agri-input services and output management.</t>
  </si>
  <si>
    <t>info@unnatiagri.com</t>
  </si>
  <si>
    <t>+91-7329002900</t>
  </si>
  <si>
    <t>Amit Sinha; Co-Founder; amit.s@akshamaala.com; http://linkedin.com/pub/amit-sinha/1/7a6/8a3; Ex- Paytm Mall, Gamepind, Paytm Payments Bank, PricewaterhouseCoopers, Keane Consulting, Airtel and Infosys. IIT BTech, IIM Calcutta PGDM
Ashok Prasad; Co-Founder &amp; CEO; ashok.prasad@akshamaala.in; http://linkedin.com/pub/ashok-prasad/9/649/197; Ex- Akshamaala Solutions, Ericsson, Nokia Network, Nortel Networks, One97 Communication and Tata Teleservices. BITS MS, IIFT MBA</t>
  </si>
  <si>
    <t>amit.s@akshamaala.com
ashok.prasad@akshamaala.in</t>
  </si>
  <si>
    <t>http://linkedin.com/pub/amit-sinha/1/7a6/8a3
http://linkedin.com/pub/ashok-prasad/9/649/197</t>
  </si>
  <si>
    <t>http://www.unnatiagri.com</t>
  </si>
  <si>
    <t>https://linkedin.com/company/unnatiagri/about</t>
  </si>
  <si>
    <t>https://twitter.com/unnatiagri</t>
  </si>
  <si>
    <t>https://facebook.com/unnatifarms</t>
  </si>
  <si>
    <t>https://tracxn.com/companies/utZq6xqBG_v0xmcl_Sn7M0nV79vNEBrZ9X3-Uhe1Yhg/unnatiagri.com</t>
  </si>
  <si>
    <t>Enterprise
Tech</t>
  </si>
  <si>
    <t>Consumer
Marketplace
SaaS
Software
Tech Hardware
Social Impact
Artificial Intelligence
Blockchain</t>
  </si>
  <si>
    <t>Bangalore</t>
  </si>
  <si>
    <t>Karnataka</t>
  </si>
  <si>
    <t>Funded</t>
  </si>
  <si>
    <t>Technology
Internet of Things
Agriculture</t>
  </si>
  <si>
    <t>IoT Applications
Crop Tech</t>
  </si>
  <si>
    <t>IoT Applications &gt; Industry Specific &gt; Real Estate and Construction &gt; Real Estate
Crop Tech &gt; Farm Management Software &gt; Irrigation Management &gt; Water Management</t>
  </si>
  <si>
    <t>LifySignals is a provider of smart water metering solutions. The company claims that its digital sensors can record the consumption pattern and transfer them into a cloud-based platform from where the users can analyze and predict the usage pattern of the water. The company also offers IoT-based smart farming solutions to increase the quality and quantity of agriculture production.</t>
  </si>
  <si>
    <t>info@lifysignals.in</t>
  </si>
  <si>
    <t>https://www.lifysignals.in</t>
  </si>
  <si>
    <t>https://tracxn.com/companies/iz1LEFsjxnZbTGobRMcsnIEM8Pt67kYr470OXoi68Uk/lifysignals.in</t>
  </si>
  <si>
    <t>Tech
Enterprise
Software
Tech Hardware</t>
  </si>
  <si>
    <t>Consumer
Marketplace
SaaS
Social Impact
Artificial Intelligence
Blockchain</t>
  </si>
  <si>
    <t>Tel Aviv</t>
  </si>
  <si>
    <t>$7M</t>
  </si>
  <si>
    <t>MINICORN</t>
  </si>
  <si>
    <t>Crop Tech &gt; Farm Management Software &gt; Pest Monitoring</t>
  </si>
  <si>
    <t>2B Angels
Syngenta Ventures
Plus Ventures
Jerusalem Venture Partners
Hyperplane Venture Capital
One Way Ventures
Hike Ventures</t>
  </si>
  <si>
    <t>Greeneye is a provider of AI-based solutions for pest control. The company claims that their SSP system can be customized to any type of row crops and can detect only weeds and control them without contaminating the soil. It also claims that its features include identifying weeds to its species level, sub-mm images to give deeper insights into the weed, etc.</t>
  </si>
  <si>
    <t>info@greeneye.ag</t>
  </si>
  <si>
    <t>Alon Klein Orbach; Co-Founder; alon@green-eye.ca
Itzhak Khait; Co-Founder; itzhak@green-eye.ca
Nadav Bocher; Co-Founder &amp; CEO; bocher.nadav@gmail.com; https://linkedin.com/in/nadav-bocher-a907a3171</t>
  </si>
  <si>
    <t>alon@green-eye.ca
itzhak@green-eye.ca
bocher.nadav@gmail.com
nadav@green-eye.ca</t>
  </si>
  <si>
    <t>https://linkedin.com/in/nadav-bocher-a907a3171</t>
  </si>
  <si>
    <t>https://greeneye.ag/</t>
  </si>
  <si>
    <t>https://linkedin.com/company/greeneye-technology</t>
  </si>
  <si>
    <t>https://twitter.com/greeneyeag</t>
  </si>
  <si>
    <t>https://facebook.com/greeneye-technology-110745290618037</t>
  </si>
  <si>
    <t>http://techblog.greeneye.ag</t>
  </si>
  <si>
    <t>https://tracxn.com/companies/iVEbA8B4vTYtjIEzAxuiA6hrYs4VTDifw9OFIP2pIv0/greeneye.ag</t>
  </si>
  <si>
    <t>Artificial Intelligence
Tech
Enterprise
Software</t>
  </si>
  <si>
    <t>Hyderabad</t>
  </si>
  <si>
    <t>Telangana</t>
  </si>
  <si>
    <t>$3M</t>
  </si>
  <si>
    <t>Ankur Capital
Sprout Capital Advisors
AngelList
Capier Investments
Better Capital
Titan Capital
Matrix Partners India</t>
  </si>
  <si>
    <t>Shwetha Rangaswamy
Omkar Hariharpur Nagabhushana
Kunal Bahl
Pushkar Singh
Rohit MA
Ramakant Sharma
Pankaj Kumar
Rahul Sharma
Vishal Chaudhary
Amrit Acharya
Srinath Ramakurshnan
Yash Jaisinghani
Amit Lakhotia Kumar
Rohit Bansal
Sanjiv Rangrass
Vasant Sridhar</t>
  </si>
  <si>
    <t>Vegrow is a provider of tech-enabled farming services to farmers. The company claims to offer services like personalized advisory services based on soil, water, weather, stage of the crop, etc., supply chain, and strong market network. It also claims that it helps the farmers to improve the utilization of farms through field intervention in horticulture crops.</t>
  </si>
  <si>
    <t>contact@vegrow.in</t>
  </si>
  <si>
    <t>+91-8068248324</t>
  </si>
  <si>
    <t>Kiran Naik; Co-Founder; kiran.naik@vegrow.in; https://linkedin.com/in/kiran-naik-a6304856; IIT Madras BTech 2011
Praneeth Kumar; Co-Founder; praneeth.kumar@vegrow.in; https://linkedin.com/in/praneeth-kumar-74baa419; Ex-AgroStar, ITC. IIT Madras 2012
Mrudhukar Batchu; Co-Founder; https://linkedin.com/in/mrudhu; Ex-Chronus. IIT Madras BTech 2008
Shobhit Jain; Co-Founder; shobhit@vegrow.in; https://linkedin.com/in/shobhit-jain-88a35315; UrbanClap, ITC, ex-VSL. IIT Kharagpur BTech 2012</t>
  </si>
  <si>
    <t>kiran.naik@vegrow.in
praneeth.kumar@vegrow.in
shobhit@vegrow.in</t>
  </si>
  <si>
    <t>https://linkedin.com/in/kiran-naik-a6304856
https://linkedin.com/in/praneeth-kumar-74baa419
https://linkedin.com/in/mrudhu
https://linkedin.com/in/shobhit-jain-88a35315</t>
  </si>
  <si>
    <t>https://www.vegrow.in</t>
  </si>
  <si>
    <t>https://linkedin.com/company/vegrow/about</t>
  </si>
  <si>
    <t>https://facebook.com/vegrow-106528757696750</t>
  </si>
  <si>
    <t>https://tracxn.com/companies/3wB5JDqPpjrNvsDH5qQDNghz82Y1R-y2DPPHSFGy1Hs/vegrow.in</t>
  </si>
  <si>
    <t>Tech
Consumer</t>
  </si>
  <si>
    <t>Enterprise
Marketplace
SaaS
Software
Tech Hardware
Social Impact
Artificial Intelligence
Blockchain</t>
  </si>
  <si>
    <t>Livestock Tech</t>
  </si>
  <si>
    <t>Livestock Tech &gt; Breeding &gt; Artificial Insemination &gt; Smart Device</t>
  </si>
  <si>
    <t>+91-9342507632</t>
  </si>
  <si>
    <t>http://agverse.in/</t>
  </si>
  <si>
    <t>http://habr.com/en/company/alconost</t>
  </si>
  <si>
    <t>https://tracxn.com/companies/mMlxGs1FI22xZvVWMXOBMaGvBG6mDnRiOmL8RX4zlFA/agverse.in</t>
  </si>
  <si>
    <t>Tech
Enterprise
Tech Hardware
Artificial Intelligence</t>
  </si>
  <si>
    <t>Consumer
Marketplace
SaaS
Software
Social Impact
Blockchain</t>
  </si>
  <si>
    <t>$112K</t>
  </si>
  <si>
    <t>Crop Tech &gt; Post Harvest Management &gt; Traceability</t>
  </si>
  <si>
    <t>Omnivore Partners
Accel
Mayfield
Alteria Capital</t>
  </si>
  <si>
    <t>Clover provides a supply chain solution for fruits and vegetables. The solution is based on demand-led cultivation and farm network for maintaining quality, consistency, and traceability.</t>
  </si>
  <si>
    <t>info@cloverventures.in</t>
  </si>
  <si>
    <t>+91-8041902700</t>
  </si>
  <si>
    <t>Gururaj S Rao; Co-Founder; gururaj@cloverventures.in; https://linkedin.com/in/gururajsrao; Ex- Myntra.com, Myntra Designs, LeadFormix, Naukri.com, Infosys. M S Ramaiah Institute of Technology BE 2002, Indian School of Business 2007
Santosh Narasipura; Co-Founder; +919845049400; santosh@cloverventures.in; https://linkedin.com/in/santosh-narasipura-a60017160; Ex-Karnataka Engineering Enterprises. Cardiff University MBA 2004
Mark Kahn
Avinash B R; Co-Founder; avinash@cloverventures.in; https://linkedin.com/in/avinash-b-r-9b401a14; Ex-TRIBE Tech, Aavishkaar, Infosys Technologies. R. V. College of Engineering BE  2002, University of Mannheim MBA 2010
Arvind Murali; Co-Founder; arvind@cloverventures.in; https://linkedin.com/in/arvind-murali-b3808652; Ex- Altaaqa Global, Rental Solutions and Services, Flexiflo. VTU BE
Vikram Suhas Godse</t>
  </si>
  <si>
    <t>gururaj@cloverventures.in
santosh@cloverventures.in
avinash@cloverventures.in
arvind@cloverventures.in</t>
  </si>
  <si>
    <t>https://linkedin.com/in/gururajsrao
https://linkedin.com/in/santosh-narasipura-a60017160
https://linkedin.com/in/avinash-b-r-9b401a14
https://linkedin.com/in/arvind-murali-b3808652</t>
  </si>
  <si>
    <t>https://shop.clover.ag</t>
  </si>
  <si>
    <t>https://twitter.com/cloverventures</t>
  </si>
  <si>
    <t>https://tracxn.com/companies/8hp16xemXjTCGI19lZBjQzR7akZHxZv0LoCQSZspao0/clover.ag</t>
  </si>
  <si>
    <t>Tech
Enterprise</t>
  </si>
  <si>
    <t>$150K</t>
  </si>
  <si>
    <t>Food Tech
Agriculture
Accelerator Batches</t>
  </si>
  <si>
    <t>Online Grocery
Crop Tech
Y Combinator Batches</t>
  </si>
  <si>
    <t>Online Grocery &gt; B2B Ecommerce &gt; Surplus Products
Crop Tech &gt; ECommerce &gt; Farm Produce &gt; B2B &gt; Fruits and Vegetables &gt; E Distributor &gt; Ugly Produce
Y Combinator Batches &gt; 2020 &gt; Winter</t>
  </si>
  <si>
    <t>FarmTheory is an online B2B distributor of farm produce. It sources fruits and vegetables from nearby farms and delivers it to restaurants. It delivers Ugly Produce, which is fresh fruits and vegetables with a bad appearance, to the buyers.</t>
  </si>
  <si>
    <t>founders@farmtheory.in</t>
  </si>
  <si>
    <t>+91-9916585906</t>
  </si>
  <si>
    <t>Sakshi Agarwal; Co-Founder; +919916585906; sakshiagarwal.bangalore@gmail.com; https://linkedin.com/in/sakshiagarwal123; Ex-Technovation Challenge. Christ Junior College 2020
Arpit Agarwal; Co-Founder; arpit@farmtheory.in; https://linkedin.com/in/arpit-98; PES University  BTech</t>
  </si>
  <si>
    <t>sakshiagarwal.bangalore@gmail.com
sakshi@farmtheory.in
arpit@farmtheory.in</t>
  </si>
  <si>
    <t>https://linkedin.com/in/sakshiagarwal123
https://linkedin.com/in/arpit-98</t>
  </si>
  <si>
    <t>https://farmtheory.in/</t>
  </si>
  <si>
    <t>https://tracxn.com/companies/cqBrOavpo_G-w06ju6zak9M0ZdKiujBhAfBkR0KKp1o/farmtheory.in</t>
  </si>
  <si>
    <t>Consumer
Marketplace
SaaS
Software
Tech Hardware
Artificial Intelligence
Social Impact
Blockchain</t>
  </si>
  <si>
    <t>Gandhinagar</t>
  </si>
  <si>
    <t>Gujarat</t>
  </si>
  <si>
    <t>$8K</t>
  </si>
  <si>
    <t>Technology
Internet of Things
Semiconductors
Agriculture
Environment Tech</t>
  </si>
  <si>
    <t>IoT Applications
Sensors
Crop Tech
Water and Wastewater Management Tech</t>
  </si>
  <si>
    <t>IoT Applications &gt; Industry Specific &gt; Agriculture &gt; Farms
Sensors &gt; Industry Applications &gt; Agriculture &gt; Soil Moisture
Crop Tech &gt; Farm Management Software &gt; Soil Management &gt; Soil Moisture Monitoring &gt; Sensors
Water and Wastewater Management Tech &gt; Smart Irrigation &gt; Farming &gt; Soil Moisture Monitoring</t>
  </si>
  <si>
    <t>NEERx provides smart agriculture solutions. It claims to provide a smart sensor called SHOOL for hydrology and land application. The device measures parameters such as dielectric permittivity, electrical conductivity, moisture, salinity, and temperature when inserted in a medium. It can be deployed as an IoT station for continuous monitoring or a standalone sensor for intermittent sensing. Features of the technology include it brings data visualization wirelessly to mobile, laptop and web, has long-lasting in-built DC power battery, provides an android application for data visualization, easy to install, it has a compact design rugged, reliable, waterproof and IoT enabled. Offers an intelligent platform to interpret localized farm asset and provide specific actionable insights directly to the hands of our farmer, complemented by right skill and training to nurture our farming community.</t>
  </si>
  <si>
    <t>+91-7737339977</t>
  </si>
  <si>
    <t>Nikita Tiwari; Co-Founder &amp; COO; https://linkedin.com/in/nikita-tiwari-80868a148; CrAdLE, ex-Pusa Krishi Incubator. NIT Raipur BTech 2019
Harsh Agrawal; Co-Founder &amp; CEO; +917737339977; https://linkedin.com/in/harshag96; ex-Co-Founder Goonj. Nirma University BTech 2019</t>
  </si>
  <si>
    <t>https://linkedin.com/in/nikita-tiwari-80868a148
https://linkedin.com/in/harshag96</t>
  </si>
  <si>
    <t>https://www.neerx.in</t>
  </si>
  <si>
    <t>https://linkedin.com/company/neerx</t>
  </si>
  <si>
    <t>https://facebook.com/neerx-technovation-pvt-ltd-111296850261038</t>
  </si>
  <si>
    <t>https://tracxn.com/companies/Iw7Tb-_ztQgeByNmhPxptV_hh0FXlifL6o9IMVbubs8/neerx.in</t>
  </si>
  <si>
    <t>Chennai</t>
  </si>
  <si>
    <t>Tamil Nadu</t>
  </si>
  <si>
    <t>$1M</t>
  </si>
  <si>
    <t>Aquaculture Tech</t>
  </si>
  <si>
    <t>Aquaculture Tech &gt; Farm Intelligence</t>
  </si>
  <si>
    <t>Omnivore Partners
Hatch Blue
Vistra ITCL</t>
  </si>
  <si>
    <t>Aquaconnect is a technology company that develops products for data-driven farming in the shrimp ecosystem. It offers various products which include FarmMOJO, a mobile app for Shrimp farmers to improve farm productivity and traceability, and an AI-based decision support system. The app is available on Android and iOS platforms.</t>
  </si>
  <si>
    <t>info@aquaconnect.blue</t>
  </si>
  <si>
    <t>+91-7299910993</t>
  </si>
  <si>
    <t>Raja Manohar; Co-Founder &amp; CEO; rajamanohar@gmail.com; https://linkedin.com/in/rajamanohar; Co-Founder Aquaconnect, Founder Hexolabs - The Mobile App Company, Founder Socialabs, World Economic Forum, Digital Impact Awards Africa, ex-Co-Founder Fringle, Naranya Labs, Exosphe. IIT Kanpur MDes 2004, Stanford University 2016
Sanjai Kumar; Co-Founder; https://linkedin.com/in/sanjai-kumar-225a40146; Annamalai University, Annamalainagar
Shanmuga Sundararaj Subramaiam; Co-Founder; shanmuga@aquaconnect.blue</t>
  </si>
  <si>
    <t>rajamanohar@gmail.com
shanmuga@aquaconnect.blue</t>
  </si>
  <si>
    <t>https://linkedin.com/in/rajamanohar
https://linkedin.com/in/sanjai-kumar-225a40146</t>
  </si>
  <si>
    <t>https://aquaconnect.blue/</t>
  </si>
  <si>
    <t>https://linkedin.com/company/aquaconnect1</t>
  </si>
  <si>
    <t>https://twitter.com/aqua_connect</t>
  </si>
  <si>
    <t>https://facebook.com/aquaconnect.org.in</t>
  </si>
  <si>
    <t>https://tracxn.com/companies/fZOtY1PLNM0Gbn_p3bsEdctBHh-wngKntp7tPEaU4_E/aquaconnect.blue</t>
  </si>
  <si>
    <t>Tech
Consumer
Software</t>
  </si>
  <si>
    <t>Enterprise
Marketplace
SaaS
Tech Hardware
Social Impact
Artificial Intelligence
Blockchain</t>
  </si>
  <si>
    <t>Mianyang</t>
  </si>
  <si>
    <t>Sichuan Sheng</t>
  </si>
  <si>
    <t>Technology
Internet of Things
Agriculture
Agriculture</t>
  </si>
  <si>
    <t>Internet of Things Infrastructure
Livestock Tech
Crop Tech</t>
  </si>
  <si>
    <t>Internet of Things Infrastructure &gt; IoT Chips &gt; Communication Modules
Livestock Tech &gt; End-to-End Livestock Farm Automation
Crop Tech &gt; Autonomous Farming &gt; Diversified</t>
  </si>
  <si>
    <t>Ailian Technology provides wireless communication modules for IoT applications. Offers NB-IoT / LoRa modules, navigation &amp; positioning modules, GSM communication modules, and other LAN &amp; WAN wireless modules. Has use case in security, automotive electronics, smart education, smart tourism, smart cities, smart farming, livestock and other applications.</t>
  </si>
  <si>
    <t>ai-link@changhong.com</t>
  </si>
  <si>
    <t>+86-8162438701</t>
  </si>
  <si>
    <t>http://www.ailinkiot.com</t>
  </si>
  <si>
    <t>https://tracxn.com/companies/5q6reOXNej1Nun-4PiWcvFqvnY9Oaj-YryXW0FUup-M/ailinkiot.com</t>
  </si>
  <si>
    <t>Tech
Enterprise
Tech Hardware</t>
  </si>
  <si>
    <t>Consumer
Marketplace
SaaS
Software
Social Impact
Artificial Intelligence
Blockchain</t>
  </si>
  <si>
    <t>Nahariya</t>
  </si>
  <si>
    <t>Northern District</t>
  </si>
  <si>
    <t>$10M</t>
  </si>
  <si>
    <t>Energy Tech
Agriculture
Accelerator Batches</t>
  </si>
  <si>
    <t>Renewable Energy Tech
Insect Farming Tech
MassChallenge Batches</t>
  </si>
  <si>
    <t>Renewable Energy Tech &gt; Solar Energy &gt; Applications &gt; Agriculture and Food &gt; Autonomous Beehive
Insect Farming Tech &gt; Bees &gt; Equipment ECommerce &gt; Internet First Brand &gt; Autonomous &gt; Solar Based
MassChallenge Batches &gt; Israel &gt; 2019 &gt; Gold</t>
  </si>
  <si>
    <t>Arc Impact
Atooro
MassChallenge
Fortissimo Capital
Lool Ventures</t>
  </si>
  <si>
    <t>Beewise is an autonomous beehive management technology provider. It offers features such as climate control, humidity control, pest control, autonomous swarm prevention, automated harvesting, and real-time problem alerts.</t>
  </si>
  <si>
    <t>hello@beewise.ag</t>
  </si>
  <si>
    <t>Hallel Schreier; Co-Founder &amp; COO; hallel@beewise.ag; https://linkedin.com/in/hallel-schreier-10a50329; Ex-Branco-Wiess Institute,Lube Constructions. The Hebrew University of Jerusalem BA 2008,Technion - Israel Institute of Technology MS 2015 &amp; PhD 2019
Saar Safra; Co-Founder &amp; CEO; saar@beewise.ag; http://linkedin.com/in/saars; Co-Founder The Uprise, ActiveGiver, RealPage, Microsoft. University of Washington MBA 2016</t>
  </si>
  <si>
    <t>hallel@beewise.ag
saar@beewise.ag</t>
  </si>
  <si>
    <t>https://linkedin.com/in/hallel-schreier-10a50329
http://linkedin.com/in/saars</t>
  </si>
  <si>
    <t>https://www.beewise.ag</t>
  </si>
  <si>
    <t>https://linkedin.com/company/beewise-technologies/about</t>
  </si>
  <si>
    <t>https://twitter.com/beewiset</t>
  </si>
  <si>
    <t>https://facebook.com/beewisetechnologies</t>
  </si>
  <si>
    <t>http://medium.com/@beewise.ag</t>
  </si>
  <si>
    <t>https://tracxn.com/companies/tgBu0GNcbDFzzzS7wVFWRt2D0lwubzdqCrq_5Na2Ie8/beewise.ag</t>
  </si>
  <si>
    <t>Xiamen</t>
  </si>
  <si>
    <t>Fujian</t>
  </si>
  <si>
    <t>Crop Tech &gt; ECommerce &gt; Farm Produce &gt; B2C &gt; Fruits and Vegetables &gt; Retailer</t>
  </si>
  <si>
    <t>Laisanjin is an online retail platform offering farm produce. Their product catalog includes fruits, vegetables, grains, etc. In addition, it also claims to offer snacks, tea, wine, etc.</t>
  </si>
  <si>
    <t>laisanjinsxy@163.com</t>
  </si>
  <si>
    <t>+86-4000089698</t>
  </si>
  <si>
    <t>http://laisanjin.cn</t>
  </si>
  <si>
    <t>https://tracxn.com/companies/TUH8shIbHX6doUg0Y-MqrMb_lJEFH0i78oNYSTGfgVc/laisanjin.cn</t>
  </si>
  <si>
    <t>Santiago</t>
  </si>
  <si>
    <t>Santiago Metropolitan</t>
  </si>
  <si>
    <t>$30K</t>
  </si>
  <si>
    <t>Crop Tech &gt; Farm Management Software &gt; Diversified</t>
  </si>
  <si>
    <t>Start-Up Chile
ChileGlobal Ventures</t>
  </si>
  <si>
    <t>Agrapp provides farm management solutions. It offers a platform for farmers to record, track, and manage farm operations. Farmers can also control the work, provide assistance, and communicate with the field workers using the platform. Other features include inventory management, calendar activities, work status reports, etc.</t>
  </si>
  <si>
    <t>soporte@agrapp.cl</t>
  </si>
  <si>
    <t>+56-932610370</t>
  </si>
  <si>
    <t>Joaquin Garcia Huidobro; Co-Founder; joaquingh@agrapp.cl; https://linkedin.com/in/joaqu%C3%ADn-garc%C3%ADa-huidobro-0022923b; Adolfo Ibanez University
Bedo Maximiliano Caceres Bernal; Co-Founder &amp; CTO; bedo@agrapp.cl; https://linkedin.com/in/bedomax; Founder Bedomax, LAN Airlines, Avianca, LatAm Cars, Urbano Express. Pontifical Catholic University 2011, UNIACC University 2019</t>
  </si>
  <si>
    <t>joaquingh@agrapp.cl
bedo@agrapp.cl</t>
  </si>
  <si>
    <t>https://linkedin.com/in/joaqu%C3%ADn-garc%C3%ADa-huidobro-0022923b
https://linkedin.com/in/bedomax</t>
  </si>
  <si>
    <t>https://www.agrapp.cl</t>
  </si>
  <si>
    <t>https://linkedin.com/company/agrapp/about</t>
  </si>
  <si>
    <t>https://facebook.com/agrapp.cl</t>
  </si>
  <si>
    <t>https://tracxn.com/companies/2e78llzbu2eaGemrPil3_RJ3aYB9Kkw-2uSmT0tNMAI/agrapp.cl</t>
  </si>
  <si>
    <t>Tech
Enterprise
SaaS
Software</t>
  </si>
  <si>
    <t>Consumer
Marketplace
Tech Hardware
Social Impact
Artificial Intelligence
Blockchain</t>
  </si>
  <si>
    <t>Uberlandia</t>
  </si>
  <si>
    <t>Estado De Minas Gerais</t>
  </si>
  <si>
    <t>Brazil</t>
  </si>
  <si>
    <t>$714K</t>
  </si>
  <si>
    <t>Crop Tech &gt; Content Platforms &gt; Farming Advice &gt; Farmer to Farmer</t>
  </si>
  <si>
    <t>Atomic Agro is an online peer to peer information dissemination platform for producers. The company claims that it provides an app where producers can share their mistakes and success with other producers. Other features include industry information, news from the farm, planting planning, financial market, etc. The mobile platform is available for Android and iOS users.</t>
  </si>
  <si>
    <t>contecomigo@atomicagro.com.br</t>
  </si>
  <si>
    <t>+55-3432330606
+55-34984065131</t>
  </si>
  <si>
    <t>Bruno Matozo; Co-Founder &amp; CEO; bruno.matozo@atomicagro.com.br; https://linkedin.com/in/bruno-matozo-74538064; Ex-Solutions Contact Center. Barcelona University 2009
Ricardo Giannini; Co-Founder &amp; CFO; ricardo.giannini@atomicagro.com.br; https://linkedin.com/in/ricardogiannini; GT Participacoes, ex-Director Celeres, Sodrugestvo, ABC Inco Algar, Cargill, Corn Products International. University of Sao Paulo MBA 2007
Gustavo Guimaraes; Co-Founder &amp; Advisor; gustavo.guimaraes@atomicagro.com.br; http://linkedin.com/in/gustavo-guimaraes-8994a56; CEO Igua Saneamento, IG4 Capital, ex-Patagon Management Partners, Algar Agro, KPMG. Pontifical Catholic University of Minas Gerais 1997, Ibmec Business School MBA 2007</t>
  </si>
  <si>
    <t>bruno.matozo@atomicagro.com.br
ricardo.giannini@atomicagro.com.br
gustavo.guimaraes@atomicagro.com.br</t>
  </si>
  <si>
    <t>https://linkedin.com/in/bruno-matozo-74538064
https://linkedin.com/in/ricardogiannini
http://linkedin.com/in/gustavo-guimaraes-8994a56</t>
  </si>
  <si>
    <t>https://atomicagro.com.br/</t>
  </si>
  <si>
    <t>https://linkedin.com/company/atomic-mobi</t>
  </si>
  <si>
    <t>https://facebook.com/atomicagro</t>
  </si>
  <si>
    <t>http://atomicagro.com.br/blog</t>
  </si>
  <si>
    <t>https://tracxn.com/companies/tazSQRXL7W9sq27P9EPd1Zoi1B653Cr86v4iNow9dmQ/atomicagro.com.br</t>
  </si>
  <si>
    <t>Gurgaon</t>
  </si>
  <si>
    <t>Haryana</t>
  </si>
  <si>
    <t>$12M</t>
  </si>
  <si>
    <t>Retail
Agriculture
Accelerator Batches</t>
  </si>
  <si>
    <t>B2B E-Commerce
Crop Tech
Surge Batches</t>
  </si>
  <si>
    <t>B2B E-Commerce &gt; Food &amp; Beverages &gt; Groceries &gt; Farm Products &gt; Marketplace
Crop Tech &gt; ECommerce &gt; Farm Produce &gt; B2B &gt; Fruits and Vegetables &gt; Marketplace
Surge Batches &gt; 2019 &gt; Surge 02</t>
  </si>
  <si>
    <t>RTP Global
Tempo Ventures
Surge
Indigram Labs
Better Capital
Omnivore Partners
Omidyar Network India</t>
  </si>
  <si>
    <t>Bijak is an online B2B marketplace to trade agriculture commodities. It allows producers to sell their produce at real-time prices to wholesalers and retailers. It also provides loans for buyers and working capital for producers. Additionally, provides aggregated logistics services to eliminate wastage and avoid partial truck loads. Other features include digitizing transactions with an electronic book-keeping feature, advance payments, and individual rating system.</t>
  </si>
  <si>
    <t>contact@bijak.in</t>
  </si>
  <si>
    <t>+91-9625262759</t>
  </si>
  <si>
    <t>Daya Rai; Co-Founder; dayarai87@gmail.com; https://linkedin.com/in/daya-rai-76951033; ex-Co-Founder Krishi Acharya &amp;KSHIR BEVERAGES, Gobasco, Samruddha Jeevan Foods, Amrapali Group. Banaras Hindu University BA 2008, IMS Ghaziabad PGDM 2012
Jitender Bedwal; Co-Founder; +919599112638; jitenderjb@gmail.com; http://linkedin.com/in/jitenderbedwal; Founder JNB Concepts, ex- Founder Bedwal Automation, Bedwal Web Solutions &amp; Bedwal Labs, ZuKK, Nuplus Ultra Motion, Co-Founder Pixelobe Multimedia. University of Delhi BA 2010, IGNOU BA 2013
Mahesh Jakhotia; Co-Founder; mahesh@bijak.in; https://linkedin.com/in/maheshjakhotia; ex-Asia Innovations Group, Revolt Motors, Founder MYFIT TECH, Micromax Informatics. BITS Pilani BE, University of Pennsylvania
Nukul Upadhye; Co-Founder &amp; CEO; nukul651@gmail.com; https://linkedin.com/in/nukulupadhye; ex-Gobasco, Everest Group, Rocket Internet, Founder Againn, J.P. Morgan. BITS BE 2011, University of Virginia Darden School of Business MBA 2017</t>
  </si>
  <si>
    <t>dayarai87@gmail.com
jitenderjb@gmail.com
jitender.jb@gmail.com
mahesh@bijak.in
nukul651@gmail.com
nukul651@gmail.com</t>
  </si>
  <si>
    <t>https://linkedin.com/in/daya-rai-76951033
http://linkedin.com/in/jitenderbedwal
https://linkedin.com/in/maheshjakhotia
https://linkedin.com/in/nukulupadhye</t>
  </si>
  <si>
    <t>https://www.bijak.in</t>
  </si>
  <si>
    <t>https://linkedin.com/company/bijakapp</t>
  </si>
  <si>
    <t>https://tracxn.com/companies/YyV2tIZLgeg5K1snt7sK_Xh7BXwdOxRlC7xW97jJd-4/bijak.in</t>
  </si>
  <si>
    <t>Crop Tech &gt; Indoor Farming &gt; Hydroponics</t>
  </si>
  <si>
    <t>ChileGlobal Ventures
ENGIE Factory
Entel
corfo.cl
ZOMALAB
Fundacion Chile</t>
  </si>
  <si>
    <t>AgroUrbana is a producer of hydroponic-based vegetables. The company claims that it uses less water and land use while growing its products, and grows them in a controlled climate.</t>
  </si>
  <si>
    <t>Cristián Sjögren; Co-Founder &amp; CEO; cristian.sjogren@solarwatt.cl; https://linkedin.com/in/cristi%C3%A1n-sj%C3%B6gren-17a85510; Co-Founder Solarwatt, Ex- Solar Chile. University of California MBA 2010
Pablo Bunster Claudet; Co-Founder &amp; CCO; https://linkedin.com/in/pablo-bunster-claudet-a26483161; Co-Founder MBBH Investment, Ex- Cielo Wind Power. University of Colorado Boulder MBA 2010</t>
  </si>
  <si>
    <t>cristian.sjogren@solarwatt.cl</t>
  </si>
  <si>
    <t>https://linkedin.com/in/cristi%C3%A1n-sj%C3%B6gren-17a85510
https://linkedin.com/in/pablo-bunster-claudet-a26483161</t>
  </si>
  <si>
    <t>https://agrourbana.ag/</t>
  </si>
  <si>
    <t>https://linkedin.com/company/agrourbana/about</t>
  </si>
  <si>
    <t>https://tracxn.com/companies/JiMVNVMoJsdKAsVSqlLIn8-7IYydiqlq53OijF9ktMA/agrourbana.ag</t>
  </si>
  <si>
    <t>Tech
Consumer
Enterprise</t>
  </si>
  <si>
    <t>Marketplace
SaaS
Software
Tech Hardware
Innovative
Blockchain</t>
  </si>
  <si>
    <t>Social Impact
Artificial Intelligence
High IP
Goods
Service
Looks Scalable
Chain
Not for Profit</t>
  </si>
  <si>
    <t>Guwahati</t>
  </si>
  <si>
    <t>Assam</t>
  </si>
  <si>
    <t>$100K</t>
  </si>
  <si>
    <t>Technology
Aerospace, Maritime and Defense Tech
Agriculture</t>
  </si>
  <si>
    <t>Drones
Crop Tech</t>
  </si>
  <si>
    <t>Drones &gt; Services &gt; Precision Agriculture
Crop Tech &gt; Farm Analytics &gt; Drones Based</t>
  </si>
  <si>
    <t>T-Hub</t>
  </si>
  <si>
    <t>MARUT Drones provides drone-based precision agriculture services. Its product offerings include both hexacopter and quadcopter drones. The drone allows agriculturists to get insights on the health of the soil and nutrients in it, which helps to plan irrigation. Its uses cases are in the areas of pesticide spraying and mosquito eradication. It also offers customer drone development with an endurance of 100 min and application in the areas of surveying, photography, UAV research, and payload testing.</t>
  </si>
  <si>
    <t>prem@marutdrones.com</t>
  </si>
  <si>
    <t>+91-9985855494</t>
  </si>
  <si>
    <t>Suraj Peddi; Co-Founder; suraj@marutdrones.com; https://linkedin.com/in/suraj-peddi; Forbes, ex-Qualcomm. IIT Guwahati BTech 2012
Prem Kumar Vislawath; Co-Founder; +919985855494; prem.133@gmail.com; https://linkedin.com/in/premkumar9; Founder Virtual Raasta, Amplify - Events &amp; Conferences &amp; Raasta Studios, Co-Founder  Raasta Films, ex-Datawind. IIT Guwahati  BTech
Saikumar Reddy Chinthala; Co-Founder</t>
  </si>
  <si>
    <t>suraj@marutdrones.com
prem.133@gmail.com
prem@raastafilms.com
prem@raastastudios.com
prem@marutdrones.com</t>
  </si>
  <si>
    <t>https://linkedin.com/in/suraj-peddi
https://linkedin.com/in/premkumar9</t>
  </si>
  <si>
    <t>https://marutdrones.com/</t>
  </si>
  <si>
    <t>https://tracxn.com/companies/niXBc1ve_neNvsZnDd3huSZHlbbGdfHvr6XbBINvu-s/marutdrones.com</t>
  </si>
  <si>
    <t>Artificial Intelligence
Tech
Enterprise
Tech Hardware</t>
  </si>
  <si>
    <t>Pudong</t>
  </si>
  <si>
    <t>Shanghai Shi</t>
  </si>
  <si>
    <t>Online Grocery &gt; B2B Ecommerce &gt; Farm Produce &gt; Eggs &gt; Marketplace
Livestock Tech &gt; ECommerce &gt; Farm Produce &gt; B2B &gt; Marketplace &gt; Eggs</t>
  </si>
  <si>
    <t>Eggxiaoer is a developer of a platform for trading eggs. It offers a smartphone app that allows users to optimize logistics routes, improve efficiency, increase sales income of the egg cart driver groups. It offers solutions for poultry farmers, egg cart traders, etc.</t>
  </si>
  <si>
    <t>zhujinwan@shjinwo.com</t>
  </si>
  <si>
    <t>+86-4006186675</t>
  </si>
  <si>
    <t>Li Yulan; CEO</t>
  </si>
  <si>
    <t>https://www.eggxiaoer.com</t>
  </si>
  <si>
    <t>https://tracxn.com/companies/dZ3Hzgox5sX_UKTtgB-NOGfTI6KvH2QZtajabkIDm88/eggxiaoer.com</t>
  </si>
  <si>
    <t>Kuningan</t>
  </si>
  <si>
    <t>West Java</t>
  </si>
  <si>
    <t>Indonesia</t>
  </si>
  <si>
    <t>Retail
Food Tech
Agriculture
Accelerator Batches</t>
  </si>
  <si>
    <t>Social Commerce
Online Grocery
Crop Tech
Surge Batches</t>
  </si>
  <si>
    <t>Social Commerce &gt; Community Based Shopping Platforms &gt; Grocery &gt; Agent Communities
Online Grocery &gt; B2C Ecommerce &gt; Fruits and Vegetables &gt; Social Commerce &gt; Agent Based Communities
Crop Tech &gt; ECommerce &gt; Farm Produce &gt; B2C &gt; Fruits and Vegetables &gt; Social Commerce &gt; Community Farming &gt; Agent Based
Surge Batches &gt; 2019 &gt; Surge 02</t>
  </si>
  <si>
    <t>AltoPartners
ZICO Trust
Golden Gate Ventures
classicsquare.ae
Lightspeed Venture Partners
Surge
Kinesys Group
Watiga</t>
  </si>
  <si>
    <t>Chilibeli is an online community platform offering agricultural products. The company claims that it connects farmers to the consumers by directly sourcing products from their farms to the customers. In addition, it also offers packaged foods. Their app is available for android users.</t>
  </si>
  <si>
    <t>support@chilibeli.com</t>
  </si>
  <si>
    <t>+62-8111609029</t>
  </si>
  <si>
    <t>Damon Yue; Co-Founder; https://linkedin.com/in/damon-yue-16819717; MIT
Alex Feng; Co-Founder &amp; CEO; alexfeng@chilibeli.com; https://linkedin.com/in/alex-feng-8b1bba101; Ex-VP Lazada Group, Tmall.com &amp; Tmall Global, Singtel. University of Bradford
Matt Li; Co-Founder &amp; CPO; mattli@chilibeli.com; https://linkedin.com/in/matt-li-6688b942; Ex-Co-Founder of NexGen Cloud Solutions, hiLife Interactive, MRI Software. NUS 2006, Nanyang Technological University MSc 2011</t>
  </si>
  <si>
    <t>alexfeng@chilibeli.com
mattli@chilibeli.com</t>
  </si>
  <si>
    <t>https://linkedin.com/in/damon-yue-16819717
https://linkedin.com/in/alex-feng-8b1bba101
https://linkedin.com/in/matt-li-6688b942</t>
  </si>
  <si>
    <t>https://www.chilibeli.com</t>
  </si>
  <si>
    <t>https://linkedin.com/company/chilibeli-pte-ltd/about</t>
  </si>
  <si>
    <t>https://facebook.com/chilibeli-bagus-indonesia-112259693583670</t>
  </si>
  <si>
    <t>http://chilibeli.com/blog</t>
  </si>
  <si>
    <t>https://tracxn.com/companies/dddzG8-bpxuwkyqpz_y9t0Od88C_8K24zLrQbH54KGg/chilibeli.com</t>
  </si>
  <si>
    <t>Tech
Consumer
Marketplace</t>
  </si>
  <si>
    <t>Enterprise
SaaS
Software
Tech Hardware
Social Impact
Artificial Intelligence
Blockchain</t>
  </si>
  <si>
    <t>Kochi</t>
  </si>
  <si>
    <t>Kerala</t>
  </si>
  <si>
    <t>Livestock Tech &gt; Health Management &gt; Health Monitoring &gt; Diversified</t>
  </si>
  <si>
    <t>Mumbai Angels
Huddle
Maker Village
India Accelerator</t>
  </si>
  <si>
    <t>Brainwired offers livestock health monitoring and tracking solution. The company offers WeSTOCK, which offers features such as automated health monitoring, cloud-based storage for storing livestock biodata, personalized notifications, access to online blogs on animal husbandry, automated weight measurement. geo-fencing, RFID-based tracking system, etc.</t>
  </si>
  <si>
    <t>brainwired.official@gmail.com</t>
  </si>
  <si>
    <t>+91-9995299132</t>
  </si>
  <si>
    <t>Romeo P Jerard; Co-Founder &amp; COO; romeo.jerard@brainwired.in; https://linkedin.com/in/romeo-p-jerard-1059ab15a; ex- Co-Founder LYKAN, Callbell, Toc-H Institute of Science and Technology BTech 2017
Sreeshankar Nair; Co-Founder &amp; CEO; +919995299132; smsreeshankar27@gmail.com; https://linkedin.com/in/sreeshankar-nair-6b1414144; ex-LYKAN, Think &amp; Learn. Toc-H Institute of Science and Technology BTech 2017</t>
  </si>
  <si>
    <t>romeo.jerard@brainwired.in
smsreeshankar27@gmail.com
sreeshankar.nair@brainwired.in</t>
  </si>
  <si>
    <t>https://linkedin.com/in/romeo-p-jerard-1059ab15a
https://linkedin.com/in/sreeshankar-nair-6b1414144</t>
  </si>
  <si>
    <t>https://www.brainwired.in</t>
  </si>
  <si>
    <t>https://linkedin.com/company/brain-wired/about</t>
  </si>
  <si>
    <t>https://facebook.com/brainwired01</t>
  </si>
  <si>
    <t>https://tracxn.com/companies/Fj6H9Kul-JOD9tkL2X41FnnkaUpA00I0PeCbhWCwvcw/brainwired.in</t>
  </si>
  <si>
    <t>Tech
Enterprise
Software</t>
  </si>
  <si>
    <t>Consumer
Marketplace
SaaS
Tech Hardware
Social Impact
Artificial Intelligence</t>
  </si>
  <si>
    <t>Innovative
High IP
Goods
Service
Looks Scalable
Chain
Not for Profit
Blockchain</t>
  </si>
  <si>
    <t>Mumbai</t>
  </si>
  <si>
    <t>Maharashtra</t>
  </si>
  <si>
    <t>Public</t>
  </si>
  <si>
    <t>Agriculture
Chemicals and Materials</t>
  </si>
  <si>
    <t>Crop Tech
Chemicals Tech</t>
  </si>
  <si>
    <t>Crop Tech &gt; Farm Inputs &gt; Biologicals &gt; Crop Protection &gt; Plant Based
Chemicals Tech &gt; Green Chemicals &gt; Crop Protection &gt; Plant Based</t>
  </si>
  <si>
    <t>UPL is a producer and supplier of farm inputs. It develops and offers hight yielding variety seeds of sorghum, corn, canola, forages, sunflower, millets, paddy, wheat, soya, etc. It also develops and offers integrated crop protection solutions that integrate natural crop protection products including biostimulants, biofertilizers, biopesticides, bio fungicides, etc. with chemical crop protection products to gain profits. Additionally manufactures and offers crop protection products, plant growth promoters, biostimulants, seed treatment products, shelf-life enhancers, post-harvest storage solutions.</t>
  </si>
  <si>
    <t>Guyana
Ghana
Liechtenstein
Panama
Trinidad And Tobago
Testing Country 2
Benin
United States
Germany
Malaysia
Kiribati
Testing Country 9
Libya
Taiwan
Zambia
Mali
Republic Of Congo
East Timor
Norway
Solomon Islands
Greece
Scotland
New Caledonia
Congo
Nagorno-Karabakh Republic
Romania
Ukraine
Sweden
Guinea-bissau
Chad
Somalia
Greenland
Peru
Afghanistan
Portugal
Argentina
Saint Lucia
Brunei
Senegal
San Marino
Bhutan
Ivory Coast
Channel Islands
Montenegro
Dominican Republic
Tunisia
Turkmenistan
Testing Country 4
Russia
Guadeloupe
Uruguay
Mozambique
Tajikistan
Hungary
Brazil
Saint Barthelemy
Venezuela
Saint Kitts And Nevis
Guinea
Testing Country 1
Sri Lanka
Israel
Lebanon
Cuba
Grenada
Antarctica
Jersey
Kyrgyzstan
Comoros
Vietnam
Malawi
Reunion
Svalbard And Jan Mayen
Nigeria
Testing Country 8
Czech Republic
Kuwait
Qatar
Singapore
Mexico
Moldova
Madagascar
Central African Republic
Turkey
Indonesia
Cape Verde
Austria
Uganda
Haiti
French Guiana
Nicaragua
Sint Maarten
Somaliland
Netherlands
Ecuador
U.s. Virgin Islands
Aland Islands
Sao Tome And Principe
United Arab Emirates
Iceland
Honduras
France
Yemen
Paraguay
Mauritania
Sierra Leone
Azerbaijan
Morocco
Syria
Testing Country Location
Malta
Zimbabwe
Slovakia
Nepal
Pakistan
Italy
Seychelles
Testing Country 6
Isle Of Man
Mayotte
Djibouti
Kosovo
Guernsey
Fiji
Saint Vincent And The Grenadines
Sudan
Montserrat
Harshit
Spain
China
British Virgin Islands
New Zealand
Vanuatu
Luxembourg
Aruba
Belgium
Philippines
Guatemala
Suriname
Canada
South Sudan
Switzerland
Ethiopia
Burundi
Faroe Islands
Jordan
Australia
Togo
Bahamas
Bonaire
Marshall Islands
Liberia
Cayman Islands
Estonia
Jamaica
India
Macedonia
Ireland
Poland
Laos
Andorra
Kazakhstan
Slovenia
Cameroon
Burkina Faso
Palestine
Cook Islands
Namibia
South Africa
Puerto Rico
Curacao
Niger
Latvia
Lesotho
Niue
Northern Mariana Islands
Bosnia And Herzegovina
French Polynesia
Mauritius
Samoa
Martinique
Testing Country 5
Armenia
Serbia
Croatia
Cyprus
Monaco
Swaziland
Algeria
Bangladesh
Mongolia
Tonga
Testing Country 3
Iraq
Denmark
Thailand
Lithuania
Albania
Costa Rica
Bolivia
Testing Country
Guam
Finland
American Samoa
Turks And Caicos Islands
Tanzania
South Georgia And The South Sandwich Islands
South Korea
Colombia
Wallis And Futuna
United Kingdom
Iran
North Korea
Rwanda
Uzbekistan
Bahrain
Myanmar
Testing Location
Botswana
Antigua And Barbuda
Bulgaria
Angola
Gambia
Anguilla
Palau
Papua New Guinea
Cambodia
Dominica
Gabon
Equatorial Guinea
Gibraltar
Japan
Oman
Kenya
Belize
Chile
Georgia
Egypt
Saudi Arabia
Belarus
Maldives
El Salvador
Barbados
Testing Country 7</t>
  </si>
  <si>
    <t>enquire.india@uniphos.com</t>
  </si>
  <si>
    <t>+91-18001021199</t>
  </si>
  <si>
    <t>Jai Shroff; CEO; https://linkedin.com/in/jaishroff; University of Mumbai</t>
  </si>
  <si>
    <t>https://linkedin.com/in/jaishroff</t>
  </si>
  <si>
    <t>arystalifescience.com
arysta-na.com
cerexagri.com
yoloo.cn
bioquimcr.com</t>
  </si>
  <si>
    <t>NSE:UPL</t>
  </si>
  <si>
    <t>https://www.upl-ltd.com</t>
  </si>
  <si>
    <t>https://linkedin.com/company/upl-ltd</t>
  </si>
  <si>
    <t>https://twitter.com/uplltd</t>
  </si>
  <si>
    <t>https://facebook.com/uplglobal</t>
  </si>
  <si>
    <t>https://tracxn.com/companies/mMCihgosFJJtAvW3wtF4w94_ObxNflunAyWB2k0-u6s/upl-ltd.com</t>
  </si>
  <si>
    <t>Rosario</t>
  </si>
  <si>
    <t>Provincia De Santa Fe</t>
  </si>
  <si>
    <t>Argentina</t>
  </si>
  <si>
    <t>$43M</t>
  </si>
  <si>
    <t>Acquired</t>
  </si>
  <si>
    <t>Crop Tech &gt; Farm Inputs &gt; Biologicals &gt; Diversified</t>
  </si>
  <si>
    <t>Bioceres Crop Solutions is a manufacturer and supplier of biological farm inputs. It offers fertilizers, inoculants, adjuvants, crop protection solutions, and seeds. It majorly offers solutions for soy, corn, wheat and alfalfa.</t>
  </si>
  <si>
    <t>+54-3414861100</t>
  </si>
  <si>
    <t>Federico Trucco; CEO; https://linkedin.com/in/federico-trucco-44246911; Bioceres, S&amp;W Semillas, Verdeca, RASA Holding, SEMYA and AGBM. Louisiana State University,  Colorado State University</t>
  </si>
  <si>
    <t>https://linkedin.com/in/federico-trucco-44246911</t>
  </si>
  <si>
    <t>unionacquisitioncorp.com</t>
  </si>
  <si>
    <t>Business Acquisition</t>
  </si>
  <si>
    <t>https://investors.biocerescrops.com/home/default.aspx</t>
  </si>
  <si>
    <t>https://tracxn.com/companies/sLZ5PfhoFkXOxL4RuWi-FpG3oeAX-u5WhQqFwtIfza4/biocerescrops.com</t>
  </si>
  <si>
    <t>Enterprise</t>
  </si>
  <si>
    <t>Tech
Consumer
Marketplace
SaaS
Software
Tech Hardware
Social Impact
Artificial Intelligence</t>
  </si>
  <si>
    <t>Sao Paulo Do Potengi</t>
  </si>
  <si>
    <t>Estado Do Rio Grande Do Norte</t>
  </si>
  <si>
    <t>$535K</t>
  </si>
  <si>
    <t>SP Ventures
Capital Lab
Grão</t>
  </si>
  <si>
    <t>Pink Farms is a producer and supplier of vegetables. It offers lettuces and microgreens. The company claims to own and operate a hydroponic growing system in Sau Paulo. The products are supplied to restaurants and cafes. Also, sells to consumers under the brand name Pink Farms.</t>
  </si>
  <si>
    <t>sac@pinkfarms.com.br</t>
  </si>
  <si>
    <t>+55-1138358325</t>
  </si>
  <si>
    <t>Rafael Delalibera; Co-Founder; rafael.delalibera@pinkfarms.com.br; https://linkedin.com/in/rafael-pereira-delalibera; Co-Founder Asolum, ex- Mobly, Blackwool &amp; Co., CENTAURO. Polytechnic School of the University of Sao Paulo 2012, Darmstadt University of Technology MSc  2012
Mateus Dellalibera; Co-Founder; mateus.dellalibera@pinkfarms.com.br
Geraldo Maia; Co-Founder; geraldo.maia@pinkfarms.com.br; https://linkedin.com/in/geraldomaianeto; Co-Founder Asolum ex- Mobly. Federal University of Sao Carlos BA 2014</t>
  </si>
  <si>
    <t>rafael.delalibera@pinkfarms.com.br
mateus.dellalibera@pinkfarms.com.br
geraldo.maia@pinkfarms.com.br</t>
  </si>
  <si>
    <t>https://linkedin.com/in/rafael-pereira-delalibera
https://linkedin.com/in/geraldomaianeto</t>
  </si>
  <si>
    <t>https://www.pinkfarms.com.br</t>
  </si>
  <si>
    <t>https://linkedin.com/company/pinkfarms/about</t>
  </si>
  <si>
    <t>https://facebook.com/pink-farms-288687241804755</t>
  </si>
  <si>
    <t>https://tracxn.com/companies/TPwOJ82BMomX4rvbVUXm8bgYjPCYE6DYbLdeCQionPs/pinkfarms.com.br</t>
  </si>
  <si>
    <t>Consumer
Tech
Marketplace
SaaS
Software
Tech Hardware
Social Impact
Artificial Intelligence</t>
  </si>
  <si>
    <t>Agriculture
Food
Consumer Goods</t>
  </si>
  <si>
    <t>Crop Tech
Food &amp; Beverage Products</t>
  </si>
  <si>
    <t>Crop Tech &gt; Indoor Farming &gt; Hydroponics
Food &amp; Beverage Products &gt; Grocery &amp; Staples &gt; Multi-category</t>
  </si>
  <si>
    <t>Gourmet garden specializes in producing vegetables using naturoponic technology. It offers products such as cucumber, bok choy, spinach, butterhead lettuce, green amaranthus, red mustard, and much more. The crops are produced by using a patented technology called Naturoponics that uses RO quality water for the production.</t>
  </si>
  <si>
    <t>hello@gourmetgarden.in</t>
  </si>
  <si>
    <t>+91-9108114321</t>
  </si>
  <si>
    <t>https://gourmetgarden.in/</t>
  </si>
  <si>
    <t>https://tracxn.com/companies/C9JIq-BuIObJ1wZb-BjU8TZS6q2dgXD4wP-qUbc7mkQ/gourmetgarden.in</t>
  </si>
  <si>
    <t>Liaoning</t>
  </si>
  <si>
    <t>$280K</t>
  </si>
  <si>
    <t>eChain Farm is an online retailer offering farm produce. Their product catalog includes fruits, vegetables, rice, etc.</t>
  </si>
  <si>
    <t>+86-200000000</t>
  </si>
  <si>
    <t>http://www.eliannc.com</t>
  </si>
  <si>
    <t>https://tracxn.com/companies/ZR1bbrVxBuLpLTAiuoUblPDnBH7kpil4p96DaTpxpGk/eliannc.com</t>
  </si>
  <si>
    <t>Aquaculture Tech &gt; Feeding &gt; Feed Inventory Management</t>
  </si>
  <si>
    <t>LAVCA
DevLabs
Imagine Latam</t>
  </si>
  <si>
    <t>Altum Lab provides web-based fishmeal inventory management solutions. It offers Boss, a web-based platform that enables fishmeal producers to optimize their operations, monitor blending plants and manages the raw material. Claims to develop the product leveraging computer science, mathematical models, probabilistic models and machine learning technologies.</t>
  </si>
  <si>
    <t>info@altumlab.cl</t>
  </si>
  <si>
    <t>+56-981960011</t>
  </si>
  <si>
    <t>Ismael Valenzuela; Co-Founder; https://linkedin.com/in/ivalenzu; Co-Founder Be HOPE, ex-Institute Complex Engineering Systems, Pontificia Universidad Católica de Chile, MobileSolutions. University of Chile 2012
Madeleine Valderrama; Co-Founder &amp; CEO; mvalderrama@altumlab.cl; https://linkedin.com/in/madevalderrama; La Dresseria, Co-Founder Be HOPE, ex-GHT, Cia.Pesquera Camanchaca. University of Chile 2005 &amp; 2015</t>
  </si>
  <si>
    <t>mvalderrama@altumlab.cl</t>
  </si>
  <si>
    <t>https://linkedin.com/in/ivalenzu
https://linkedin.com/in/madevalderrama</t>
  </si>
  <si>
    <t>https://www.altumlab.cl</t>
  </si>
  <si>
    <t>https://linkedin.com/company/altum-lab/about</t>
  </si>
  <si>
    <t>https://tracxn.com/companies/G-5DS044Lbd5mEfVux9Hn1dz6VEPgFTd3ujtSdeyibo/altumlab.cl</t>
  </si>
  <si>
    <t>Tech
Enterprise
SaaS
Software
Artificial Intelligence</t>
  </si>
  <si>
    <t>Consumer
Marketplace
Tech Hardware
Social Impact</t>
  </si>
  <si>
    <t>Nairobi</t>
  </si>
  <si>
    <t>Nairobi Province</t>
  </si>
  <si>
    <t>Kenya</t>
  </si>
  <si>
    <t>$250K</t>
  </si>
  <si>
    <t>Crop Tech &gt; ECommerce &gt; Farm Produce &gt; B2B &gt; Fruits and Vegetables &gt; Marketplace</t>
  </si>
  <si>
    <t>Farmshine is an online marketplace for agricultural products. The platform connects the farmers with suppliers and service providers for improving traceability, market efficiency, pooled purchasing, and more.</t>
  </si>
  <si>
    <t>info@farmshine.io</t>
  </si>
  <si>
    <t>Luca Alinovi; Co-Founder &amp; CEO; luca@farmshine.io; https://linkedin.com/in/luca-alinovi-870b2611; Co-Founder Aflazero, Founder &amp; CEO PP Sherpas, Ex-Global Resilience Partnership. University of Florence Msc 1991, Phd 2008</t>
  </si>
  <si>
    <t>luca@farmshine.io
luca.alinovi@farmshine.io</t>
  </si>
  <si>
    <t>https://linkedin.com/in/luca-alinovi-870b2611</t>
  </si>
  <si>
    <t>http://farmshine.io</t>
  </si>
  <si>
    <t>https://tracxn.com/companies/XLQGnSPHcsEyU5APPJzc1j5tMZUtvuIRRFIqd7b9GCA/farmshine.io</t>
  </si>
  <si>
    <t>Tech
Consumer
Enterprise
Marketplace</t>
  </si>
  <si>
    <t>SaaS
Software
Tech Hardware
Artificial Intelligence
Social Impact
Blockchain</t>
  </si>
  <si>
    <t>$649K</t>
  </si>
  <si>
    <t>Absolute Fresh is a producer and supplier of herbs and vegetables. It offers tomatoes, leafy vegetables, herbs, etc. It owns and operates indoor and semi-indoor hydroponic vertical farms for its production activities. The products are supplied under the brand label Absolute Fresh. The orders can be placed through Whatsapp or e-mails. Claims to deliver the products within 24 hours. It supplies products to restaurants, retailers, and food processors.</t>
  </si>
  <si>
    <t>+91-9999536535</t>
  </si>
  <si>
    <t>Agam Khare; Founder &amp; CEO; khareagam@gmail.com; https://linkedin.com/in/khareagam; Ex-Vertex Group of Companies, Office of Dr APJ Abdul Kalam, Co-Founder YUVA Unstoppable. RTU BTech, TAU</t>
  </si>
  <si>
    <t>khareagam@gmail.com</t>
  </si>
  <si>
    <t>https://linkedin.com/in/khareagam</t>
  </si>
  <si>
    <t>https://www.absolutefoods.in</t>
  </si>
  <si>
    <t>https://linkedin.com/company/absolutefoods</t>
  </si>
  <si>
    <t>https://facebook.com/absolutegreens</t>
  </si>
  <si>
    <t>http://absolutefoods.in/blog</t>
  </si>
  <si>
    <t>https://tracxn.com/companies/SgZccVGN8gTQUze7bOGIbaWleJlofwl57vBve6wfh_4/absolutefoods.in</t>
  </si>
  <si>
    <t>Bayan Lepas</t>
  </si>
  <si>
    <t>Pulau Pinang</t>
  </si>
  <si>
    <t>Malaysia</t>
  </si>
  <si>
    <t>$275K</t>
  </si>
  <si>
    <t>Online Grocery &gt; B2C Ecommerce &gt; Meat and Seafood &gt; Retailer &gt; Meat
Livestock Tech &gt; ECommerce &gt; Farm Produce &gt; B2C &gt; Retailer &gt; Meat</t>
  </si>
  <si>
    <t>Fresh@Heart is an online retailer of meat and seafood. It offers whole fish, steak cuts, shellfish, fillets, fish slices, chicken, meat, pork, lamb, beef, etc. Also, provides fruits, vegetables, and ready to cook products. It delivers orders across Malaysia. Users can either choose home delivery or pick up option. Claims to operate nearly 22 pickup points across Malaysia.</t>
  </si>
  <si>
    <t>fisherman@fishclub.com.my</t>
  </si>
  <si>
    <t>fishclub.com.my</t>
  </si>
  <si>
    <t>https://freshatheart.my</t>
  </si>
  <si>
    <t>https://tracxn.com/companies/-kBulYs-dWUYgQKnfcYp3wVAE7CbLTRlFRxYAJN0Z3U/freshatheart.my</t>
  </si>
  <si>
    <t>Enterprise
Marketplace
SaaS
Software
Tech Hardware
Social Impact
Artificial Intelligence</t>
  </si>
  <si>
    <t>$50K</t>
  </si>
  <si>
    <t>FinTech
Agriculture</t>
  </si>
  <si>
    <t>Crowdfunding
Crop Tech</t>
  </si>
  <si>
    <t>Crowdfunding &gt; Revenue Sharing &gt; Agriculture
Crop Tech &gt; Finance &gt; Crowdfunding</t>
  </si>
  <si>
    <t>Agrikaab is an online crowdfunding platform for agriculture businesses. it provides a platform for investors to invest in greenhouse farming and livestock businesses of Somalia and Kenya. It sends all the updates of the farm businesses to the investor and also allows them to monitor their investments. The revenue generated from the harvests is shared among the investors according to their shares.</t>
  </si>
  <si>
    <t>info@agrikaab.com</t>
  </si>
  <si>
    <t>Mohamed Jimale; Founder; jimale@agrikaab.com; https://linkedin.com/in/mohamed-jimale-619254105; Founder Somaliska.com</t>
  </si>
  <si>
    <t>jimale@agrikaab.com</t>
  </si>
  <si>
    <t>https://linkedin.com/in/mohamed-jimale-619254105</t>
  </si>
  <si>
    <t>https://www.agrikaab.com</t>
  </si>
  <si>
    <t>https://linkedin.com/company/agrikaab/about</t>
  </si>
  <si>
    <t>https://twitter.com/agrikaab</t>
  </si>
  <si>
    <t>https://facebook.com/agrikaab</t>
  </si>
  <si>
    <t>https://tracxn.com/companies/JohTEOBXLd6Gcro87rJcIUJk0LaAGHf01BWOC5BTWDw/agrikaab.com</t>
  </si>
  <si>
    <t>Consumer
Marketplace
SaaS
Software
Tech Hardware
Social Impact
Artificial Intelligence</t>
  </si>
  <si>
    <t>Juarez</t>
  </si>
  <si>
    <t>Campeche</t>
  </si>
  <si>
    <t>Agriculture
Accelerator Batches</t>
  </si>
  <si>
    <t>Crop Tech
MassChallenge Batches</t>
  </si>
  <si>
    <t>Crop Tech &gt; Content Platforms &gt; Farming Advice &gt; Expert Advisors
MassChallenge Batches &gt; Mexico &gt; 2018 &gt; Gold</t>
  </si>
  <si>
    <t>Nuup offers online agriculture information dissemination platform. It offers platform Nuup operated by experts of agri-food sectors to provide information to producers and farmers. Also, offers financial assistance for agriculture businesses, collaborates producers with input distributors and produce suppliers. Additionally, offers digital services including marketing, product listing services etc.</t>
  </si>
  <si>
    <t>info@nuup.co</t>
  </si>
  <si>
    <t>+52-5541662862</t>
  </si>
  <si>
    <t>Maria Sanchez; Co-Founder; http://linkedin.com/in/marialuisaluquesanchez; Ashoka, Palmas Development Institute, Global Partnerships, Goldman Sachs International, Fortis Bank. Solvay Business School 2005, Columbia University  2012
Ivan Cordova; Co-Founder
Vincent Lagace; Co-Founder &amp; CEO; vlagace@nuup.co; http://linkedin.com/in/vincentlagace; Root Capital, Developpement international Desjardins, Fairtrade International, Albright Stonebridge. University of North Carolina BS 2006, University of Ottawa  MA 2010</t>
  </si>
  <si>
    <t>vlagace@nuup.co</t>
  </si>
  <si>
    <t>http://linkedin.com/in/marialuisaluquesanchez
http://linkedin.com/in/vincentlagace</t>
  </si>
  <si>
    <t>http://www.linkedin.com/vsearch/p?f_CC=9460339</t>
  </si>
  <si>
    <t>https://nuup.co/</t>
  </si>
  <si>
    <t>http://linkedin.com/company/plataforma-nuup</t>
  </si>
  <si>
    <t>http://twitter.com/nuupagro</t>
  </si>
  <si>
    <t>https://tracxn.com/companies/JpvpCIBPD7tHsL21gQ-GYmsQkv8V1FX3I-3QBHutwpk/nuup.co</t>
  </si>
  <si>
    <t>$4M</t>
  </si>
  <si>
    <t>Blume Ventures
Beenext
Surge
SURGE Ventures
Rainmatter Technology</t>
  </si>
  <si>
    <t>Procol is a provider of cloud-based procurement software for agribusiness. The company claims that users can buy and sell agricultural commodities, bid live auctions, manage supply chains, track goods, and get access to all agriculture-related news and market rates through their platform. Their app is available for both android and ios users and also offers web login.</t>
  </si>
  <si>
    <t>partner@procol.in</t>
  </si>
  <si>
    <t>+91-1140845454</t>
  </si>
  <si>
    <t>Gaurav Baheti; Co-Founder &amp; CEO; +919711251412; gaurav@procol.in; https://linkedin.com/in/gbaheti; Ex-  Google, Zomato.
Sumit Mendiratta; Co-Founder &amp; CTO; sumit@procol.in; https://linkedin.com/in/mendirattasumit; Ex- OYO, Zomato.</t>
  </si>
  <si>
    <t>gaurav@procol.in
gaurav.baheti@gmail.com
gaurav@spars.in
sumit@procol.in
mendirattasumit16@gmail.com
sumit27@outlook.com
sumit@spars.in</t>
  </si>
  <si>
    <t>https://linkedin.com/in/gbaheti
https://linkedin.com/in/mendirattasumit</t>
  </si>
  <si>
    <t>https://www.procol.in</t>
  </si>
  <si>
    <t>https://linkedin.com/company/procoltech/about</t>
  </si>
  <si>
    <t>https://twitter.com/procol_</t>
  </si>
  <si>
    <t>https://facebook.com/procoltech</t>
  </si>
  <si>
    <t>http://procol.in/blog</t>
  </si>
  <si>
    <t>https://tracxn.com/companies/MsSrFUzOTIC8iLIf0P_hgQMB9hgtImh-dXDSnmEIkj8/procol.in</t>
  </si>
  <si>
    <t>Tech
Enterprise
Software
SaaS
Artificial Intelligence</t>
  </si>
  <si>
    <t>Marketplace
Consumer
Tech Hardware
Social Impact
Blockchain</t>
  </si>
  <si>
    <t>Morelia</t>
  </si>
  <si>
    <t>Michoacan</t>
  </si>
  <si>
    <t>Crop Tech &gt; Farm Inputs &gt; Biologicals &gt; Crop Nutrition &gt; Microbes
Chemicals Tech &gt; Green Chemicals &gt; Crop Nutrition &gt; Microbes</t>
  </si>
  <si>
    <t>Symbiotic Labs manufactures and supplies biological farm inputs. It offers crop-specific biological solutions that enhance the nutrient uptake by plants. The products are produced by mixing microorganisms in defined quantities according to the type of crop. The company claims that the products can reduce the infestation of root pests and enhances stress tolerance of plants.</t>
  </si>
  <si>
    <t>+55-39903607</t>
  </si>
  <si>
    <t>Sara Landa; Co-Founder; sara@simbioticalabs.com; http://linkedin.com/in/sara-landa-19507a14a; Universidad Iberoamericana Mexico City 2016</t>
  </si>
  <si>
    <t>sara@simbioticalabs.com</t>
  </si>
  <si>
    <t>http://linkedin.com/in/sara-landa-19507a14a</t>
  </si>
  <si>
    <t>http://simbioticalabs.com</t>
  </si>
  <si>
    <t>https://linkedin.com/company/simbiotica-labs</t>
  </si>
  <si>
    <t>http://facebook.com/psimbiotica</t>
  </si>
  <si>
    <t>http://simbioticalabs.com/blog</t>
  </si>
  <si>
    <t>https://tracxn.com/companies/WTakOo4b3LThdX0oKbCxoQRbHlfRTQ0LMbfLhWS_Pfg/simbioticalabs.com</t>
  </si>
  <si>
    <t>$15K</t>
  </si>
  <si>
    <t>IoT Applications &gt; Industry Specific &gt; Agriculture &gt; Farms
Crop Tech &gt; Farm Analytics &gt; Multispectral Sensing</t>
  </si>
  <si>
    <t>Atlak provides precision agriculture solutions. It offers Atlak, a device to record the microclimate data of the farm and analyse the possible pest &amp; disease outbreaks. The suite of sensors includes 3 sensors to measure temperature, humidity, and rain. It analyses the data and provides recommendations on the usage of agrochemicals including the active ingredient to be used and the dosage to be followed.</t>
  </si>
  <si>
    <t>Danyella Y Vasquez Oliva; CEO; danyella@atlak.net</t>
  </si>
  <si>
    <t>danyella@atlak.net</t>
  </si>
  <si>
    <t>http://atlak.net</t>
  </si>
  <si>
    <t>https://facebook.com/atlaksystems</t>
  </si>
  <si>
    <t>https://tracxn.com/companies/Z8j_zDWSt9hfl25pK4pILuR6_aTYImbnpitZhUrUgm4/atlak.net</t>
  </si>
  <si>
    <t>Retail
Agriculture</t>
  </si>
  <si>
    <t>B2B E-Commerce
Crop Tech</t>
  </si>
  <si>
    <t>B2B E-Commerce &gt; Agriculture &gt; Marketplace
Crop Tech &gt; ECommerce &gt; Farm Inputs &gt; Seeds &gt; Field Crops</t>
  </si>
  <si>
    <t>SmartFarms is an online B2B distributor of agricultural input products. It offers solutions such as cashless transactions, product promotion, field trails, online ordering of products, crop growing advisory services, and more.</t>
  </si>
  <si>
    <t>info@mysmartfarms.com</t>
  </si>
  <si>
    <t>+91-1245025042</t>
  </si>
  <si>
    <t>Raj Shekhar Sinha; Co-Founder; raj@mysmartfarms.com; https://linkedin.com/in/raj-shekhar-sinha-27271078; Illustrographics studio, Ex-DBSTD, Meenu Creation. NIFT 2012
Satish Sehrawat; Co-Founder; satish@mysmartfarms.com; https://linkedin.com/in/satish-sehrawat-5516a227; Ex-Garvit International, Riddhima Apparels. Pan Am International Flight Academy 2010, Dean International 2008.</t>
  </si>
  <si>
    <t>raj@mysmartfarms.com
satish@mysmartfarms.com</t>
  </si>
  <si>
    <t>https://linkedin.com/in/raj-shekhar-sinha-27271078
https://linkedin.com/in/satish-sehrawat-5516a227</t>
  </si>
  <si>
    <t>http://www.mysmartfarms.com</t>
  </si>
  <si>
    <t>https://linkedin.com/company/smartfarms-agritech-private-limited/about</t>
  </si>
  <si>
    <t>https://twitter.com/mysmartfarms</t>
  </si>
  <si>
    <t>http://mysmartfarms.com/blog</t>
  </si>
  <si>
    <t>https://tracxn.com/companies/TNp5QfQyhhMH2wdDrvY3aCBEL7_2R-PMkJ4ySHLXJCk/mysmartfarms.com</t>
  </si>
  <si>
    <t>Cairo</t>
  </si>
  <si>
    <t>Egypt</t>
  </si>
  <si>
    <t>Retail
Food Tech
Agriculture</t>
  </si>
  <si>
    <t>B2B E-Commerce
Online Grocery
Crop Tech</t>
  </si>
  <si>
    <t>B2B E-Commerce &gt; Food &amp; Beverages &gt; Groceries &gt; Farm Products &gt; Marketplace
Online Grocery &gt; B2B Ecommerce &gt; Farm Produce &gt; Fruits and Vegetables &gt; Marketplace
Crop Tech &gt; ECommerce &gt; Farm Produce &gt; B2B &gt; Fruits and Vegetables &gt; Marketplace</t>
  </si>
  <si>
    <t>FreshSource is an online B2B platform for horticulture products. It offers a platform for connecting farmers with vendors and retailers to trade horticulture products. The company provides logistics and distribution services for delivering the products to retailers. The company is based in Cairo, Oraby.</t>
  </si>
  <si>
    <t>Omar Emara; Co-Founder &amp; COO; omaremara@freshsourceglobal.com; http://linkedin.com/in/omar-emara-576078107; Multi Fruit Egypt, ex-Goldman Sachs, Eed Masreya, Arab African International Bank. University of Bath 2018
Farah Emara; Co-Founder &amp; CEO; farahemara@freshsourceglobal.com; http://linkedin.com/in/farah-emara-030095131; Ex-Procter &amp; Gamble, Endeavor. Durham University, LSE 2017</t>
  </si>
  <si>
    <t>omaremara@freshsourceglobal.com
farahemara@freshsourceglobal.com</t>
  </si>
  <si>
    <t>http://linkedin.com/in/omar-emara-576078107
http://linkedin.com/in/farah-emara-030095131</t>
  </si>
  <si>
    <t>https://www.freshsourceglobal.com</t>
  </si>
  <si>
    <t>http://linkedin.com/company/freshsource-global</t>
  </si>
  <si>
    <t>http://freshsourceglobal.com/blog</t>
  </si>
  <si>
    <t>https://tracxn.com/companies/5_dihid38PA0nDJG4-nlSPOKhwsUURoNLKmc7E_lEnk/freshsourceglobal.com</t>
  </si>
  <si>
    <t>Consumer
SaaS
Social Impact
Tech Hardware
Artificial Intelligence</t>
  </si>
  <si>
    <t>Software
Innovative
High IP
Goods
Service
Looks Scalable
Chain
Not for Profit
Blockchain</t>
  </si>
  <si>
    <t>Accra</t>
  </si>
  <si>
    <t>Greater Accra Region</t>
  </si>
  <si>
    <t>Ghana</t>
  </si>
  <si>
    <t>Kwidex is an online crowdfunding platform for agribusinesses. It provides a platform connecting investors with Ghanaian farmers. It allows investors to fund in farming businesses, mushroom production businesses etc. through their platform and provides a profit share to the investors at the end of the farming season.</t>
  </si>
  <si>
    <t>info@kwidex.com</t>
  </si>
  <si>
    <t>+233-243155687</t>
  </si>
  <si>
    <t>Prince Asamoah; Co-Founder; https://linkedin.com/in/prince-asamoah-70377054; ex-Speech Forces Organisation, Creamy Cravings. University of Ghana BA 2017.</t>
  </si>
  <si>
    <t>https://linkedin.com/in/prince-asamoah-70377054</t>
  </si>
  <si>
    <t>https://kwidex.com/</t>
  </si>
  <si>
    <t>https://twitter.com/kwidex1</t>
  </si>
  <si>
    <t>https://facebook.com/kwidex-agricultural-financing-made-easy-853469244856466</t>
  </si>
  <si>
    <t>https://tracxn.com/companies/b8af0VqcaJ3d_903viI6JddHoaWR3isxoBAsByzyX5s/kwidex.com</t>
  </si>
  <si>
    <t>Aquaculture Tech
MassChallenge Batches</t>
  </si>
  <si>
    <t>Kosmos Energy
MassChallenge
MEST
Digest Africa</t>
  </si>
  <si>
    <t>Alex Calvin Gbetie; Co-Founder; alex@profishgh.com; https://linkedin.com/in/agbetie; Co-Founder Hemera Service, Impact Gospel Medias Group, ex-Epistrophe Côte d'Ivoire. Lancaster University 2017, Meltwater Entrepreneuriat School of Technology 2018
Benjamin Setor Aflakpui; Co-Founder; benjamin@profishgh.com
Caroline Pomeyie; Co-Founder &amp; CEO; caroline@profishgh.com
Emmanuel Tetteh Apeku; Co-Founder; emmanuel@profishgh.com</t>
  </si>
  <si>
    <t>alex@profishgh.com
benjamin@profishgh.com
caroline@profishgh.com
emmanuel@profishgh.com</t>
  </si>
  <si>
    <t>https://linkedin.com/in/agbetie</t>
  </si>
  <si>
    <t>https://profishgh.com/</t>
  </si>
  <si>
    <t>https://tracxn.com/companies/gN5Uk480-1xe9uPcckIMYccO2fRSojT0TlUde1DIl90/profishgh.com</t>
  </si>
  <si>
    <t>Consumer</t>
  </si>
  <si>
    <t>Marketplace
SaaS
Software
Tech Hardware
Social Impact
Innovative
Artificial Intelligence
High IP
Goods
Service
Looks Scalable
Chain
Not for Profit
Blockchain</t>
  </si>
  <si>
    <t>$5M</t>
  </si>
  <si>
    <t>SOONICORN</t>
  </si>
  <si>
    <t>B2B E-Commerce &gt; Food &amp; Beverages &gt; Groceries &gt; Farm Products &gt; E-Distributor
Online Grocery &gt; B2B Ecommerce &gt; Farm Produce &gt; Fruits and Vegetables &gt; Marketplace
Crop Tech &gt; ECommerce &gt; Farm Produce &gt; B2B &gt; Fruits and Vegetables &gt; Marketplace</t>
  </si>
  <si>
    <t>Africa Tech Ventures
Wamda Capital
OPIC
AlphaMundi
GAFSP
usaid.gov
Omidyar Network
1776 Ventures
Creadev
International Finance Corporation
Blue Haven Initiative
AHL Venture Partners
Musha Ventures
Goldman Sachs
TLcom Capital Partners
DFC
DOB Equity
GSMA
Uqalo</t>
  </si>
  <si>
    <t>Twiga is an online B2B marketplace for the supply of fruits and vegetables. It claims to source its products from the Kenyan farmers. Farmers can register on their platform after which the company assess their farms and adds the farmers onto the list and weights their produce and pay them. On the other hand the vendors can place their order through the sales representatives after which the products are packed and delivered to them.</t>
  </si>
  <si>
    <t>info@twiga.ke</t>
  </si>
  <si>
    <t>+254-709258000</t>
  </si>
  <si>
    <t>Peter Njonjo; Co-Founder &amp; CEO; peter@twiga.ke; https://linkedin.com/in/peter-njonjo-867167156; ex- Coca-Cola West Africa, Coca-Cola East Africa, Coca-Cola Kenya, Coca-Cola East and Central Africa. United States International University - Africa BSc 1999, Harvard Business School 2018
Grant Brooke; Co-Founder; grant@twiga.ke; https://linkedin.com/in/grant-brooke-4b630a14; University of Oxford 2014</t>
  </si>
  <si>
    <t>peter@twiga.ke
grant@twiga.ke</t>
  </si>
  <si>
    <t>https://linkedin.com/in/peter-njonjo-867167156
https://linkedin.com/in/grant-brooke-4b630a14</t>
  </si>
  <si>
    <t>http://www.linkedin.com/vsearch/p?f_CC=10118408</t>
  </si>
  <si>
    <t>https://www.twiga.ke</t>
  </si>
  <si>
    <t>http://linkedin.com/company/twiga-foods</t>
  </si>
  <si>
    <t>http://twitter.com/twigafoods</t>
  </si>
  <si>
    <t>http://facebook.com/1653593188194276</t>
  </si>
  <si>
    <t>https://tracxn.com/companies/yG1tnFials3y40o39p-TR3y2dQRktHYyDMhbe7d7ciY/twiga.ke</t>
  </si>
  <si>
    <t>Consumer
SaaS
Tech Hardware
Social Impact
Artificial Intelligence
Blockchain
Software</t>
  </si>
  <si>
    <t>Fresno</t>
  </si>
  <si>
    <t>California</t>
  </si>
  <si>
    <t>United States
Israel</t>
  </si>
  <si>
    <t>IoT Applications
Insect Farming Tech</t>
  </si>
  <si>
    <t>IoT Applications &gt; Industry Specific &gt; Agriculture &gt; Livestock
Insect Farming Tech &gt; Bees &gt; Pollination Intelligence</t>
  </si>
  <si>
    <t>Rabo Corporate Investments
UpWest
SigmaLabs
J Ventures
Plug and Play Tech Center
FoodBytes
UpWest
iAngels
Technion DRIVE Accelerator</t>
  </si>
  <si>
    <t>BeeHero is an integrated platform for monitoring beehive. It provides beehive data and pollination intelligence solutions. It offers technology for measuring pollination quality, pollination analysis, yield performance benchmarking, and others. Claims to use machine learning algorithms and sensors for reporting.</t>
  </si>
  <si>
    <t>contact@beehero.io</t>
  </si>
  <si>
    <t>+1-6502857673</t>
  </si>
  <si>
    <t>Omer Davidi; Co-Founder &amp; CTO; omer@beehero.io; https://linkedin.com/in/omer-davidi-9685321b; GetIn. IDC Herzliya BS 2010, MS 2016
Guy Kaufman; Co-Founder &amp; CEO; guy.kaufman@gmail.com; https://linkedin.com/in/guy-kaufman-1195bb1; Ex- XCritical, IAF - Israeli Air Force, Mercury Interactive, Gigami. Technion - Israel Institute of Technology 2000
Itai Kanot; Co-Founder &amp; COO; itai@beehero.io; https://linkedin.com/in/itai-kanot-932b6582; Ex- Boaz Kanot Bees &amp; Honey. IDC Herzliya 2016</t>
  </si>
  <si>
    <t>omer@beehero.io
guy.kaufman@gmail.com
itai@beehero.io</t>
  </si>
  <si>
    <t>https://linkedin.com/in/omer-davidi-9685321b
https://linkedin.com/in/guy-kaufman-1195bb1
https://linkedin.com/in/itai-kanot-932b6582</t>
  </si>
  <si>
    <t>https://www.beehero.io</t>
  </si>
  <si>
    <t>https://linkedin.com/company/beehero/about</t>
  </si>
  <si>
    <t>https://twitter.com/beehero_io</t>
  </si>
  <si>
    <t>https://tracxn.com/companies/_XDXxxFzc42mXmXJzzYFfPPzoXutzgAIKSNZv8ZfaGM/beehero.io</t>
  </si>
  <si>
    <t>Tech
Enterprise
Artificial Intelligence
Tech Hardware
Software</t>
  </si>
  <si>
    <t>Consumer
Marketplace
Social Impact
SaaS
Blockchain</t>
  </si>
  <si>
    <t>Online Grocery
Crop Tech</t>
  </si>
  <si>
    <t>Online Grocery &gt; B2C Ecommerce &gt; Fruits and Vegetables &gt; Farm to Home
Crop Tech &gt; ECommerce &gt; Farm Produce &gt; B2C &gt; Fruits and Vegetables &gt; Farm to Home</t>
  </si>
  <si>
    <t>Inflection Point Ventures
Pravega Ventures
Smile Group</t>
  </si>
  <si>
    <t>Otipy is an app-based platform offering fruits and vegetables. The company offers 100+ varieties of vegetables and fruit directly from the forms which are free from chemical and other toxic ingredients. Their app is available for both Android and iOS users.</t>
  </si>
  <si>
    <t>info@crofarm.com</t>
  </si>
  <si>
    <t>+91-7291998523
+91-7291998551</t>
  </si>
  <si>
    <t>Varun Khurana; Co-Founder &amp; CEO; +919999020045; varunkhurana@gmail.com; http://linkedin.com/in/varunkhurana; Ex-CTO Grofers, Co-Founder Mygreenbox &amp; Wirkle Technologies, Location Labs. IIT Delhi BTech 2001
Prashant Jain; Co-Founder; +918130534206; prashant@crofarm.com; http://linkedin.com/in/prashant-jain-40714619; Ex-Co-Founder Greenbox, Grofers, Mygrahak, Vishal Ratail, Cottage Industries Exposition. Sikkim Manipal University MSc 2000</t>
  </si>
  <si>
    <t>varunkhurana@gmail.com
varun.khurana@gmail.com
varun@crofarm.com
varun@indianangelnetwork.com
prashant@crofarm.com</t>
  </si>
  <si>
    <t>http://linkedin.com/in/varunkhurana
http://linkedin.com/in/prashant-jain-40714619</t>
  </si>
  <si>
    <t>https://www.otipy.com</t>
  </si>
  <si>
    <t>https://linkedin.com/company/otipy</t>
  </si>
  <si>
    <t>https://twitter.com/otipy_com</t>
  </si>
  <si>
    <t>https://facebook.com/otipy-107094460873162</t>
  </si>
  <si>
    <t>https://tracxn.com/companies/d5YLU_E-z6ejWE8UKV_U0WGxgqPcZFI1F3QoCV6j5Zo/otipy.com</t>
  </si>
  <si>
    <t>Pune</t>
  </si>
  <si>
    <t>$215K</t>
  </si>
  <si>
    <t>Crop Tech &gt; Content Platforms &gt; Data as a Service &gt; Farm Data Platform</t>
  </si>
  <si>
    <t>Vijay Kumar Mahajan
Premprakash Saboo
Sumit Tank
Sunita Malik
Ajay Malhotra
Varun Mahajan
Shailaja Reddy
Anurag Khandelia
Ashish Khandelia
Nishant Singh
Vivek Gangually
Rantej Singh
Sandeep Daga
Pushpa Mohta
Ashok Biyani
Ravikant Banka
Piyush Khandelwal
Ramchandra Rao
Sandeep Bhammer
Paresh Hede
Amitabh Jaipuria
Sheetal Pote
Komil Shah
Sunil Govindlal Bhandari
Vinay Kumar</t>
  </si>
  <si>
    <t>FarmBee is an online platform providing data-driven agricultural solutions. It offers agricultural content, commodity prices, weather data, and contextual advice to the farmers. It provides information on various farming methods based on the data collected from farmers cultivating the same crop. Offers on-call and mobile app support for farm management on pests, diseases, nutrition, weeds, etc. The farmers are allowed to take the pictures of the crop and send it through the FarmBee-RML Farmer mobile application with the queries to receive the solutions. The platform is available as a mobile application for Android users.</t>
  </si>
  <si>
    <t>Amit Mehra; Co-Founder; http://linkedin.com/in/amitmehraccsa; MD Accenture, ex-Founder Thomson Reuters. Shri Ram College of Commerce B.Com 1994, London Business School MBA 2001
Dev Raj Arya; Co-Founder; https://linkedin.com/in/dr-dev-raj-arya-27661b9; VP AgroStar, ex-Monsanto Company. G. B. Pant University Of Agriculture &amp; Technology MSc 1988, Chaudhary Charan Singh Haryana Agricultural University PhD 1992
Rajiv Singh; Co-Founder &amp; CEO; +919833612111; rajiv.tevtiya@gmail.com; http://linkedin.com/in/rajiv-tevtiya-a57a898; Ex-Co-Founder Greencart, Tata AIG General, Reliance Communications, Vodafone. Delhi University BSc, Jamnalal Bajaj Institute of Management Studies.
Sunil Jain; Co-Founder; sunil.jain@farmbee.in; http://linkedin.com/in/sunijain; Co-Founder FarmBee, ex-Amazon, eGain Communincations, AmberPoint Technologies. IIT Kanpur BTech 1999
Sumantra Mukherjee; Co-Founder; +919930170714; http://linkedin.com/in/sumantramukherjee; Amazon, ex-Founder FarmBee, Trablogue, Castrol, IBM India. WBUT 2007, IIM MBA 2011</t>
  </si>
  <si>
    <t>rajiv.tevtiya@gmail.com
rajiv.tevtiya@farmbee.in
sunil.jain@farmbee.in
sunil@sproutcapital.in</t>
  </si>
  <si>
    <t>http://linkedin.com/in/amitmehraccsa
https://linkedin.com/in/dr-dev-raj-arya-27661b9
http://linkedin.com/in/rajiv-tevtiya-a57a898
http://linkedin.com/in/sunijain
http://linkedin.com/in/sumantramukherjee</t>
  </si>
  <si>
    <t>https://farmbee.in</t>
  </si>
  <si>
    <t>https://linkedin.com/company/rmlfarmbee</t>
  </si>
  <si>
    <t>https://tracxn.com/companies/EdP0qc0GbSrJGvalG6wDXmsGRn8JqEDJtGpQX9JSBEA/farmbee.in</t>
  </si>
  <si>
    <t>Enterprise
Marketplace
SaaS
Social Impact
Artificial Intelligence
Software
Tech Hardware
Blockchain</t>
  </si>
  <si>
    <t>Bihar Sharif</t>
  </si>
  <si>
    <t>Bihar</t>
  </si>
  <si>
    <t>$332K</t>
  </si>
  <si>
    <t>Livestock Tech &gt; Tech Enabled Farm Services &gt; Poultry</t>
  </si>
  <si>
    <t>AngelList
Tracxn Labs
Intelliquity Consulting
Rebright Partners
Astir Ventures</t>
  </si>
  <si>
    <t>Vishal Sharma
Anant Gupta
Abhishek Gupta
Abhijit Pratap Singh
Mudit Gupta
Pushkar Singh
Sunil Mishra
Sunil Mishra
Atul Kumar
Nayan Agarwal
Anurag Jhanwar
Sudarshan Ravi
Prashant Jha
Vishal Sharma
Ridhima Gupta
Manik Singhal
Bipul Karnani
Kaushik Raghunandan
Saket Chaudhary
Praful Puranik
Pushakar Singh
Mohini Jhanwar
Ashok Kumar Malviya
Rahul Sharma
Narendra Sankar
Prateek Pujari
Ankit Parasher
Amarkant Kumar
Amit Bagadia</t>
  </si>
  <si>
    <t>NUPA Technologies is a full-stack egg producer using advanced technology, IoT based poultry farming techniques. The company is involved in layer poultry farming, egg production, poultry feed production and supplying of the eggs. The company owns and operates layer poultry farms with 1,00,000 birds across Madhya Pradesh and Bihar. The poultry farms are operated under the name Eggoz. Also, claims to build a model farm for research and development at Nalanda, Bihar. Claims to produce 72,000 eggs per day using its IoT based smart farm management techniques. The company serves the customers of Madhya Pradesh and Bihar in India.</t>
  </si>
  <si>
    <t>+91-8375048698</t>
  </si>
  <si>
    <t>Uttam Kumar; Co-Founder; uttam@eggoz.in; http://linkedin.com/in/uttam-kumar-50984262; ex-PropTiger, Co-Founder 3DPhy, Founder Introbots, Kharagpur RoboSoccer Students' Group. IIT Kharagpur BTech &amp;  MTech 2014
Aditya Singh; Co-Founder; aditya@eggoz.in; http://linkedin.com/in/aditya-singh-aaa80719; ex-3DPhy, OYO Rooms, EcolAgro, Co-Founder EDnect. IIT Kharagpur 2014
Pankaj Pandey; Co-Founder; pankaj@eggoz.in; http://linkedin.com/in/pankaj-pandey-836753a9; ex-PropTiger, 3DPhy, Co-Founder Introbots. College of Technology - Govind Ballabh Pant University 2014
Abhishek Negi; Co-Founder; abhishek@eggoz.in; http://linkedin.com/in/bhishekneg; ex-Co-Founder Roder, Vodafone. IIT Kharagpur 2013
Amit Anand; Co-Founder; amit.anand@eggoz.in; http://linkedin.com/in/amit-anand-b066a1148; Cold Point. Savitribai Phule Pune University 2014</t>
  </si>
  <si>
    <t>uttam@eggoz.in
aditya@eggoz.in
pankaj@eggoz.in
abhishek@eggoz.in
amit.anand@eggoz.in</t>
  </si>
  <si>
    <t>http://linkedin.com/in/uttam-kumar-50984262
http://linkedin.com/in/aditya-singh-aaa80719
http://linkedin.com/in/pankaj-pandey-836753a9
http://linkedin.com/in/bhishekneg
http://linkedin.com/in/amit-anand-b066a1148</t>
  </si>
  <si>
    <t>Abhishek Negi
Aditya Singh
Pankaj Pandey
Uttam Kumar</t>
  </si>
  <si>
    <t>https://eggoz.in/</t>
  </si>
  <si>
    <t>http://linkedin.com/company/eggoz</t>
  </si>
  <si>
    <t>https://tracxn.com/companies/D4-qxvWsX8rSP47kfv8giC8eOiZ2NthdcKSFYwI6wms/eggoz.in</t>
  </si>
  <si>
    <t>Tech
Consumer
Marketplace
SaaS
Social Impact
Artificial Intelligence</t>
  </si>
  <si>
    <t>Software
Tech Hardware
Innovative
High IP
Goods
Service
Looks Scalable
Chain
Not for Profit
Blockchain</t>
  </si>
  <si>
    <t>KAUST
rpdinnovations.com</t>
  </si>
  <si>
    <t>Red Sea farms provides EPC services for greenhouses. It provides planning, construction, and installation of saltwater greenhouses using its patent-pending salt water cooling technologies. It can be used to grow vegetable crops in desert areas. It also provides consulting services, saltwater resistant seeds, and farm produce.</t>
  </si>
  <si>
    <t>info@redseafarms.com</t>
  </si>
  <si>
    <t>+966-128082922</t>
  </si>
  <si>
    <t>Mark Tester; Co-Founder; ex-AGT, Founder  Australian Plant Phenomics Facility.
Ryan Lefers; Co-Founder; Co-Founder A&amp;A Epiphany aquaponics,  Farming and entrepreneurship.</t>
  </si>
  <si>
    <t>https://redseafarms.com/</t>
  </si>
  <si>
    <t>https://tracxn.com/companies/d1ELBITPMJCOHZxiyE-te0ZEt8GWz_QJHkIPNhllxo8/redseafarms.com</t>
  </si>
  <si>
    <t>Marketplace
SaaS
Software
Tech Hardware
Social Impact
Artificial Intelligence</t>
  </si>
  <si>
    <t>Tumkur</t>
  </si>
  <si>
    <t>Deadpooled</t>
  </si>
  <si>
    <t>Technology
Internet of Things
Semiconductors
Agriculture</t>
  </si>
  <si>
    <t>IoT Applications
Sensors
Crop Tech</t>
  </si>
  <si>
    <t>IoT Applications &gt; Industry Specific &gt; Agriculture &gt; Farms
Sensors &gt; Industry Applications &gt; Agriculture
Crop Tech &gt; Farm Management Software &gt; Diversified</t>
  </si>
  <si>
    <t>Karnataka Startup Cell
IKP EDEN</t>
  </si>
  <si>
    <t>RUHM INNOVATION designs and develops Internet of Things enabled solutions for industrial applications chiefly for the agriculture sector. It offers smart sensor technology for the purpose of monitoring crops and claims to make better yields for farmers and double their income streams by making the traditional method more smarter. As of April 2019, the website is not functional.</t>
  </si>
  <si>
    <t>Chinmay Nm; Co-Founder; https://linkedin.com/in/nm-chinmay-6947851b3; Tech Narayana. Siddaganga Institute of Technology BE 2017
Shreevathsa Nagabushan; CEO; +919008335541; shreevathsanagabushan@gmail.com; https://linkedin.com/in/shreevathsa-nagabushan; Ex-vDrone. Siddaganga Institute of Technology 2017</t>
  </si>
  <si>
    <t>shreevathsanagabushan@gmail.com</t>
  </si>
  <si>
    <t>https://linkedin.com/in/nm-chinmay-6947851b3
https://linkedin.com/in/shreevathsa-nagabushan</t>
  </si>
  <si>
    <t>http://ruhminnovation.com</t>
  </si>
  <si>
    <t>https://linkedin.com/company/ruhm-innovation/about</t>
  </si>
  <si>
    <t>https://tracxn.com/companies/Zw2vls7lNNpz-cZVzN0PL8LyFcHNei-Rh_Ub-mGYO6c/ruhminnovation.com</t>
  </si>
  <si>
    <t>Consumer
Marketplace
SaaS
Software
Social Impact
Artificial Intelligence</t>
  </si>
  <si>
    <t>Crop Tech &gt; Farm Inputs &gt; Plant Breeding &gt; Technology Providers
MassChallenge Batches &gt; Switzerland &gt; 2020</t>
  </si>
  <si>
    <t>MassChallenge
Techstars</t>
  </si>
  <si>
    <t>ImagoAI provides an AI-powered plant breeding virtual assistant. It offers Phenox, plant breeding virtual agent that provides instant measurements on various crop traits. Also, enables plant breeders to record data, measure phenotypic traits, analyse, track, and share the research data with other breeders. Also, offers Pestoz, a smartphone based solution which automatically detects diseases of various crops.</t>
  </si>
  <si>
    <t>+91-8800827709</t>
  </si>
  <si>
    <t>Shweta Gupta; Co-Founder; shweta20gupta@gmail.com; https://linkedin.com/in/shweta20gupta; ex-Founder BVPISTE, Scry Analytics, Snapdeal, Aricent, Algorithmic Insight. BVCOE Delhi BTech 2012
Abhishek Goyal; Co-Founder; goyal.abhishek66@gmail.com; https://linkedin.com/in/abhishek-goyal-05237b16; Co-Founder AgroConnect, Ex-Limeroad.com, FabFurnish.com, Founder Unicorn Modular Systems. Indian Institute of Technology Roorkee 2012</t>
  </si>
  <si>
    <t>shweta20gupta@gmail.com
shweta@imagoai.com
goyal.abhishek66@gmail.com
abhishek.goyal@agroconnect.co.in
abhishek@imagoai.com</t>
  </si>
  <si>
    <t>https://linkedin.com/in/shweta20gupta
https://linkedin.com/in/abhishek-goyal-05237b16</t>
  </si>
  <si>
    <t>https://www.imagoai.com</t>
  </si>
  <si>
    <t>https://linkedin.com/company/imagoai</t>
  </si>
  <si>
    <t>https://tracxn.com/companies/2KkXMyUUrlfuH1yARMJBU2hUHcxdrpT_t9jMYWi8ld0/imagoai.com</t>
  </si>
  <si>
    <t>Artificial Intelligence
Software
Enterprise
Tech</t>
  </si>
  <si>
    <t>Innovative
Social Impact
SaaS
Tech Hardware
Marketplace
Consumer</t>
  </si>
  <si>
    <t>High IP
Goods
Service
Looks Scalable
Chain
Not for Profit
Blockchain</t>
  </si>
  <si>
    <t>$500K</t>
  </si>
  <si>
    <t>B2B E-Commerce
Online Grocery
Crop Tech
MassChallenge Batches</t>
  </si>
  <si>
    <t>B2B E-Commerce &gt; Food &amp; Beverages &gt; Groceries &gt; Farm Products &gt; E-Distributor
Online Grocery &gt; B2B Ecommerce &gt; Farm Produce &gt; Fruits and Vegetables &gt; Marketplace
Crop Tech &gt; ECommerce &gt; Farm Produce &gt; B2B &gt; Fruits and Vegetables &gt; E Distributor
MassChallenge Batches &gt; Israel &gt; 2019</t>
  </si>
  <si>
    <t>MassChallenge
Daffodil Software</t>
  </si>
  <si>
    <t>Agrowave offers a farm to the business supply chain for perishable produce including fruits and vegetables. The company has established a produce procurement chain, directly from farmers. The company sorts, grades, packages, and brand the produce and supply the same to urban businesses including grocery retailers, restaurants and food services, supermarkets, hospitality, etc. The company offers a digital platform for managing the orders and fulfillment of both the farmer and the business end.</t>
  </si>
  <si>
    <t>info@agrowaves.in</t>
  </si>
  <si>
    <t>+91-7290098732</t>
  </si>
  <si>
    <t>Rohan Sethi; ex-Co-Founder; sethiubt@iitr.ac.in; http://linkedin.com/in/rohan-sethi-61810797; Ex-PWC, Cognizance, Centrum India. IIT Roorkee BTech 2017
Anu Meena; Co-Founder &amp; CEO; +918860820044; anu@agrowaves.in; http://linkedin.com/in/anu-meena-a6a71195; Ex-Shapecrunch, GoLorry. IIT Delhi MTech 2016  
Payal Jawalkar; Co-Founder; +919891965620; payal@agrowaves.in; http://linkedin.com/in/payaljawalkar; Ex-Busigence Technologies, Helpiez, Blue Doodle.in, Dabur. IIT Delhi BTech 2016 
Prakash Kushwaha; ex-Co-Founder; http://linkedin.com/in/prakash-kushwaha-210b708b</t>
  </si>
  <si>
    <t>sethiubt@iitr.ac.in
anu@agrowaves.in
anumeena666@gmail.com
payal@agrowaves.in
payaljawalkar@gmail.com</t>
  </si>
  <si>
    <t>http://linkedin.com/in/rohan-sethi-61810797
http://linkedin.com/in/anu-meena-a6a71195
http://linkedin.com/in/payaljawalkar
http://linkedin.com/in/prakash-kushwaha-210b708b</t>
  </si>
  <si>
    <t>Anu Meena
Prakash Kushwaha</t>
  </si>
  <si>
    <t>http://agrowaves.in/</t>
  </si>
  <si>
    <t>http://linkedin.com/company/agrowave</t>
  </si>
  <si>
    <t>http://twitter.com/dagrowave</t>
  </si>
  <si>
    <t>http://facebook.com/agrowave</t>
  </si>
  <si>
    <t>http://agrowaves.in/blog</t>
  </si>
  <si>
    <t>https://tracxn.com/companies/H43vPLAGSMTTsFRYSzuqMeGQI6_lVGu9ZhWThDYbQCc/agrowaves.in</t>
  </si>
  <si>
    <t>Nanshan</t>
  </si>
  <si>
    <t>Guangdong</t>
  </si>
  <si>
    <t>$14M</t>
  </si>
  <si>
    <t>Technology
Technology
Internet of Things
Agriculture</t>
  </si>
  <si>
    <t>Industrial Robotics
Digital Twin
Crop Tech</t>
  </si>
  <si>
    <t>Industrial Robotics &gt; Agriculture
Digital Twin &gt; Digital Twin Platforms &gt; Products &gt; Agriculture
Crop Tech &gt; Autonomous Farming &gt; Diversified</t>
  </si>
  <si>
    <t>Dongfeng Motor
Xinhua
Greater Bay Area Homeland Investments</t>
  </si>
  <si>
    <t>FJ Dynamics agriculture provides smart agricultural robots such as autonomous high-speed rice transplanter, autonomous tractors, autonomous sprayers, harvesters, vegetable, and tobacco transplanter, etc. The company provides smart navigation system for Agri-Vehicles</t>
  </si>
  <si>
    <t>sales.global@fjdynamics.com</t>
  </si>
  <si>
    <t>+86-4007776160</t>
  </si>
  <si>
    <t>James Wu; CEO</t>
  </si>
  <si>
    <t>https://www.fjdynamics.com/en/</t>
  </si>
  <si>
    <t>https://linkedin.com/company/fjdynamicsglobal/about</t>
  </si>
  <si>
    <t>https://twitter.com/fjdynamics</t>
  </si>
  <si>
    <t>https://facebook.com/fjdynamics</t>
  </si>
  <si>
    <t>https://tracxn.com/companies/hmaSOJvla4TnpRPelsLGop2mZyhdLmlbjE7xnrHVbWI/fjdynamics.com</t>
  </si>
  <si>
    <t>Shenzhen</t>
  </si>
  <si>
    <t>$720K</t>
  </si>
  <si>
    <t>FEC Chopsticks Technology provides digital agriculture solutions. Its offerings include B2B and B2C platforms for producers, distributors, retailers, and consumers to trade agriculture commodities with inventory management solutions. Also, offers an online P2P crowdfunding platform for agriculture businesses. Also, offers technology solutions for logistics, distribution, farm management solutions. Additionally, offers various cloud solutions to track and analyse agriculture data.</t>
  </si>
  <si>
    <t>+86-4008015205</t>
  </si>
  <si>
    <t>http://www.fecnong.com</t>
  </si>
  <si>
    <t>https://tracxn.com/companies/VaW9f5xYWqRDXcJTCpVDvOI5ucez7MRUICNu-Bpqah4/fecnong.com</t>
  </si>
  <si>
    <t>Social Impact
Tech Hardware
SaaS
Marketplace
Consumer
Artificial Intelligence</t>
  </si>
  <si>
    <t>B2B E-Commerce &gt; Food &amp; Beverages &gt; Groceries &gt; Farm Products &gt; E-Distributor
Online Grocery &gt; B2B Ecommerce &gt; Farm Produce &gt; Fruits and Vegetables &gt; E-Distributor
Crop Tech &gt; ECommerce &gt; Farm Produce &gt; B2B &gt; Fruits and Vegetables &gt; E Distributor</t>
  </si>
  <si>
    <t>Gujarat Venture Finance
Equanimity Investments</t>
  </si>
  <si>
    <t>Nitin Gera
Manish Choksi</t>
  </si>
  <si>
    <t>VnF is an online platform to purchase fruits and vegetables. It provides an Android mobile application for restaurants to place orders for delivery of fruits and vegetables. Also, provides features such as rating, delivery tracking, and quality confirmation.</t>
  </si>
  <si>
    <t>+91-2266981274</t>
  </si>
  <si>
    <t>Aashish Krishnatre; aashish.krishnatre@gmail.com; https://linkedin.com/in/aashish-krishnatre-609b0379; ex-Comezo, GoPigeon, Alcheringa. IIT Guwahati 2015
Atul Kumar; Co-Founder &amp; CEO; +919322194932; kum.atul@gmail.com; http://linkedin.com/in/atul-kumar-6769a91; Co-Founder FreshVnF, Reliance Capital, Maruti Udyog, Addverb, MyAdvo.in. IIT Kharagpur BTech 2001, IIM Indore PGDBM 2005
Sumit Rai; +919664291501; sumit@freshvnf.com; https://linkedin.com/in/sumitraitubett; ex-Co-Founder Tubett, Cogoport, Savvy Investments, Sodel Solutions. University of Mumbai BE 2010
Sushil Chaudhary; sushil@picturetime.in; http://linkedin.com/in/sushil-chaudhary-1701106; MD-mann-india technologies, ex-Tarapore and Company. National Institute of Technology, Tiruchirappalli Dates attended or expected graduation 1997
Sanjay Kumar Randhar; sanjay.randhar@piramal.com; https://linkedin.com/in/sanjay-randhar-0a27188
Vikas Dosala; Co-Founder &amp; COO; vikas.dosala@gmail.com; https://linkedin.com/in/vikasdosala; ex-Asian Paints. IIT Madras MTech 2009, IIM Calcutta MBA 2011</t>
  </si>
  <si>
    <t>aashish.krishnatre@gmail.com
aashish@freshvnf.com
kum.atul@gmail.com
atul@freshvnf.com
sumit@freshvnf.com
sushil@picturetime.in
sanjay.randhar@piramal.com
sanjay.randhar@gvfl.com
vikas.dosala@gmail.com
vikas@freshvnf.com</t>
  </si>
  <si>
    <t>https://linkedin.com/in/aashish-krishnatre-609b0379
http://linkedin.com/in/atul-kumar-6769a91
https://linkedin.com/in/sumitraitubett
http://linkedin.com/in/sushil-chaudhary-1701106
https://linkedin.com/in/sanjay-randhar-0a27188
https://linkedin.com/in/vikasdosala</t>
  </si>
  <si>
    <t>Atul Kumar
Sushil Chaudhary</t>
  </si>
  <si>
    <t>https://www.freshvnf.com</t>
  </si>
  <si>
    <t>https://linkedin.com/company/freshvnf/about</t>
  </si>
  <si>
    <t>https://twitter.com/freshvnf</t>
  </si>
  <si>
    <t>https://tracxn.com/companies/JxJs5UuLz7kcmJGFYWSTOgwBRq5ptYTCVNTz2zFyJXU/freshvnf.com</t>
  </si>
  <si>
    <t>TechShelta provides tech-enabled agronomic consulting services. It provides GreenGinie, a web and mobile application that enables greenhouse farmers to have on-demand access the agronomic consulting services. It provides general information, comparative analysis, set-up costs, operational costs and outcomes of various types of greenhouses. Also, provides advisory on greenhouse automation. Additionally, provides site visit services.</t>
  </si>
  <si>
    <t>admin@techshelta.com</t>
  </si>
  <si>
    <t>+233-547777206</t>
  </si>
  <si>
    <t>Gifty Quarshie; Co-Founder; https://linkedin.com/in/gifty-mintaa-quarshie; Bsystems, Old Mutual Ghana. Ghana Institute of Management and Public Administration 2015.</t>
  </si>
  <si>
    <t>https://linkedin.com/in/gifty-mintaa-quarshie</t>
  </si>
  <si>
    <t>https://techshelta.com/</t>
  </si>
  <si>
    <t>https://linkedin.com/company/techshelta/about</t>
  </si>
  <si>
    <t>https://facebook.com/techshelta</t>
  </si>
  <si>
    <t>http://techshelta.com/blog</t>
  </si>
  <si>
    <t>https://tracxn.com/companies/XeNoTrHV4cSFvzIJhHzFM131DYRctmPj5O3wfw_Jo-Y/techshelta.com</t>
  </si>
  <si>
    <t>Nanjing</t>
  </si>
  <si>
    <t>Jiangsu Sheng</t>
  </si>
  <si>
    <t>Shuxi Technology provides data-driven precision agriculture solutions. It offers Hui Farm that provides prescriptions for agriculture inputs by coupling the real-time farm parameters with its proprietary AI algorithms. It recommends solutions to monitor soil health, crop growth, yield production, irrigation, and crop protection operations.</t>
  </si>
  <si>
    <t>business@shuxitech.com</t>
  </si>
  <si>
    <t>Xiang Haitao; Co-Founder &amp; CEO; Ex-Co-Founder  Ag sensus,  The Climate Corp. University of Illinois PhD
Tony Xiang; Co-Founder</t>
  </si>
  <si>
    <t>http://www.shuxitech.com</t>
  </si>
  <si>
    <t>https://tracxn.com/companies/Sm149dXJH631lqLaibKT-eGSn49KueuhJ9XDIXqD3x0/shuxitech.com</t>
  </si>
  <si>
    <t>SaaS
Marketplace
Consumer
Tech Hardware
Social Impact
Blockchain</t>
  </si>
  <si>
    <t>$136K</t>
  </si>
  <si>
    <t>B2B E-Commerce &gt; Food &amp; Beverages &gt; Groceries &gt; Farm Products &gt; E-Distributor
Crop Tech &gt; ECommerce &gt; Farm Produce &gt; B2B &gt; Fruits and Vegetables &gt; E Distributor</t>
  </si>
  <si>
    <t>Punit Sarin
Kaushik Ghate
Andrei Dunca</t>
  </si>
  <si>
    <t>Farmpal is an online platform delivering farm produce to businesses. The platform connects farmers with businesses to balance demand and supply. It offers online ordering and delivery services.</t>
  </si>
  <si>
    <t>tofarmpal@farmpal.co.in</t>
  </si>
  <si>
    <t>+91-9686377335</t>
  </si>
  <si>
    <t>Puneet Brijmohan Sethi; Co-Founder; sethip11@gmail.com
Niraj Mahendra Bora; Co-Founder; https://linkedin.com/in/niraj-bora-21648811
Karansaheb Dnyandev Hon; Co-Founder; https://linkedin.com/in/karanhon</t>
  </si>
  <si>
    <t>sethip11@gmail.com</t>
  </si>
  <si>
    <t>https://linkedin.com/in/niraj-bora-21648811
https://linkedin.com/in/karanhon</t>
  </si>
  <si>
    <t>https://www.farmpal.co.in</t>
  </si>
  <si>
    <t>https://linkedin.com/company/farmpal-techlogi</t>
  </si>
  <si>
    <t>https://facebook.com/farmpaltechlogipvtltd</t>
  </si>
  <si>
    <t>https://tracxn.com/companies/4EaxevJyqPkQEXfSVuKZnydTYqE8TgxQKwR95754Vjs/farmpal.co.in</t>
  </si>
  <si>
    <t>Bioinnovation Centre
Karnataka Startup Cell</t>
  </si>
  <si>
    <t>Woolly is a producer and supplier of fruits and vegetables. Its product offerings include amaranth, lettuce, spinach, palak, etc. It owns and operates a hydroponic farm equipped with IoT sensors to monitor the indoor environment. Also, claims to leverage computer vision and deep learning technologies to monitor plant growth and production analysis. It delivers products to consumers, retail stores, and food businesses.</t>
  </si>
  <si>
    <t>mail@woolly.io</t>
  </si>
  <si>
    <t>+91-8030030801</t>
  </si>
  <si>
    <t>Satyendra Prabhu; Co-Founder; satyendra.prabhu@gmail.com; https://linkedin.com/in/satyendraprabhu; ex-Graphene Services, HealthFore Technologies, Sunny International, Moksha Digital Software . Dr. CV Raman University BA
Nithun K V; Co-Founder &amp; CEO; nithun@woolly.io; https://linkedin.com/in/nithunkv; ex-Co-Founder SalesX &amp; Waybeo technology Solutions. Sree Chitra Tirunal College of Engineering 2007</t>
  </si>
  <si>
    <t>satyendra.prabhu@gmail.com
satyendraprabhu@gmail.com
satyendra@woolly.io
nithun@woolly.io</t>
  </si>
  <si>
    <t>https://linkedin.com/in/satyendraprabhu
https://linkedin.com/in/nithunkv</t>
  </si>
  <si>
    <t>https://www.woolly.io</t>
  </si>
  <si>
    <t>https://linkedin.com/company/woollyfarms/about</t>
  </si>
  <si>
    <t>https://twitter.com/freshfoodwoolly</t>
  </si>
  <si>
    <t>https://facebook.com/woolly.io</t>
  </si>
  <si>
    <t>http://woolly.io/category/blog-classic</t>
  </si>
  <si>
    <t>https://tracxn.com/companies/H6JabMbj-HX0YCMvFZs_RGcEAjwpljQ04JUtdJVgQZ8/woolly.io</t>
  </si>
  <si>
    <t>Marketplace
SaaS
Software
Tech Hardware
Social Impact
Artificial Intelligence
Blockchain</t>
  </si>
  <si>
    <t>Chaoyang</t>
  </si>
  <si>
    <t>$15M</t>
  </si>
  <si>
    <t>Drones &gt; Civilian Drones &gt; Drone Platform
Crop Tech &gt; Autonomous Farming &gt; Pest Control &gt; Drones</t>
  </si>
  <si>
    <t>Riverhillfund
Baidu Ventures
GF Qianhe Investment
Frees Fund
ECC Capital
Star Technology Incubator</t>
  </si>
  <si>
    <t>Maifei Technology provides disease and pest monitoring solutions. It offers McVision AgriDetector, hyperspectral cameras to collect farm data and its proprietary drones to collect aerial farm data. The data collected from drones and on-field sensors are processed through Maiyun, its proprietary AI-powered cloud platform to provide variable rate recommendations for spraying of crop protection products in required doses to prevent pest and disease infestation. Also, provides controlled spraying solutions through McFlye and precision planting solutions through McVision Planting platform.</t>
  </si>
  <si>
    <t>bd@mcfly.com.cn</t>
  </si>
  <si>
    <t>+86-1053959868</t>
  </si>
  <si>
    <t>Chen Yu; Co-Founder; ex-  Alibaba . Wuhan University MS
Liu Long; Co-Founder
Gong Huaze; Co-Founder; Chinese Academy of Scineces. Ph.D</t>
  </si>
  <si>
    <t>http://www.mcfly.com.cn</t>
  </si>
  <si>
    <t>https://tracxn.com/companies/n2IcQGvDwvO3SrerOhub6xEiwOzwFzQmeNXz6NAtwMQ/mcfly.com.cn</t>
  </si>
  <si>
    <t>Tech
Enterprise
Software
Tech Hardware
SaaS
Artificial Intelligence</t>
  </si>
  <si>
    <t>Marketplace
Consumer
Social Impact</t>
  </si>
  <si>
    <t>$789K</t>
  </si>
  <si>
    <t>Fairy box Technologies is a producer and supplier of vegetables. The company owns and operates 500 acres of hydroponic cultivation bases in South China. The products are supplied to retailers and grocers through an in-house delivery team. Claims to deliver products within 30 minutes.</t>
  </si>
  <si>
    <t>Fedor Han; CEO; https://linkedin.com/in/%25d1%2584%25d0%25b5%25d0%25b4%25d0%25be%25d1%2580-%25d1%2585%25d0%25b0%25d0%25bd%25d1%258c-42955910a; CEO xru.com &amp; China-Russia International. Tianjin Foreign Studies University 2001</t>
  </si>
  <si>
    <t>https://linkedin.com/in/%25d1%2584%25d0%25b5%25d0%25b4%25d0%25be%25d1%2580-%25d1%2585%25d0%25b0%25d0%25bd%25d1%258c-42955910a</t>
  </si>
  <si>
    <t>https://www.abigbox.cn</t>
  </si>
  <si>
    <t>https://tracxn.com/companies/Uibtk_c88nKmHhD_OhbgCsW6mgAhRmcIT16ZPrBNzHI/abigbox.cn</t>
  </si>
  <si>
    <t>$743K</t>
  </si>
  <si>
    <t>Shennong provides precision agriculture services. It provides an AI-powered platform as a mobile application for farmers to upload the images of their farm to identify the pests and diseases. The platform automatically detects the disease and pest and provides information on its frequent occurrence areas, disease characteristics, disease main factors, and environmental factors of the relevant cases. Also, recommends preventive measures and pesticide products.</t>
  </si>
  <si>
    <t>https://www.sndistinguish.com</t>
  </si>
  <si>
    <t>https://tracxn.com/companies/WMNRx0lYu0c8fhoE5cJRs-Fa-ple1TmLKVcYW409IVY/sndistinguish.com</t>
  </si>
  <si>
    <t>Consumer
Marketplace
SaaS
Tech Hardware
Social Impact</t>
  </si>
  <si>
    <t>Herzliya</t>
  </si>
  <si>
    <t>Crop Tech &gt; Farm Analytics &gt; Drones Based</t>
  </si>
  <si>
    <t>Canaan Partners Israel
IAngels
ScaleUp inBrazil
Mindset
Ataria Ventures
Mindset Ventures
Hanaco Ventures Capital</t>
  </si>
  <si>
    <t>SeeTree develops and offers a machine learning based data-driven solutions for orchard growers. It enables the users to identify the weak trees, tree clusters, and the health status of trees using artificial intelligence, machine learning, IoT multi-sensor data, and drone imaging technologies. The core system is based on geospatial and object recognition algorithms and trained to identify, measure, and organize the data from orchard trees to provide analysis for precise decision making.</t>
  </si>
  <si>
    <t>Guy Morgenstern; Co-Founder; http://linkedin.com/in/guy-morgenstern-8357a63; Ennovaty, Ex-PointRF R&amp;D, Kajeet, Co-Founder LegCyte, Co-Founder Seambi. Technion - Israel Institute of Technology BSc 1999, Tel Aviv University MSc 2006
Barak Hachamov; Co-Founder &amp; Chairman; barak@seetree.ai; http://linkedin.com/in/barakhachamov; Google, Ex-Founder &amp; CEO Reactions, Founder &amp; Chairman Neocraft &amp; my6sense, Co-Founder  Veraz Networks &amp; Corrigent Systems. The Hebrew University of Jerusalem BA &amp; MBA 1992
Israel Talpaz; Co-Founder &amp; CEO; israel@seetree.ai; http://linkedin.com/in/israel-talpaz-64331613b</t>
  </si>
  <si>
    <t>barak@seetree.ai
israel@seetree.ai</t>
  </si>
  <si>
    <t>http://linkedin.com/in/guy-morgenstern-8357a63
http://linkedin.com/in/barakhachamov
http://linkedin.com/in/israel-talpaz-64331613b</t>
  </si>
  <si>
    <t>https://www.seetree.ai</t>
  </si>
  <si>
    <t>http://linkedin.com/company/seetree</t>
  </si>
  <si>
    <t>https://twitter.com/seetree_ai</t>
  </si>
  <si>
    <t>https://tracxn.com/companies/UXGAVxZHcAY7DtAcrFRTA7TkEBzrHcL7i88hgMTr8TY/seetree.ai</t>
  </si>
  <si>
    <t>Consumer
Marketplace
SaaS
Social Impact</t>
  </si>
  <si>
    <t>Jeddah</t>
  </si>
  <si>
    <t>Makkah Province</t>
  </si>
  <si>
    <t>Energy Tech
Agriculture</t>
  </si>
  <si>
    <t>Energy Efficiency Tech
Crop Tech</t>
  </si>
  <si>
    <t>Energy Efficiency Tech &gt; Lighting Products &gt; LED &gt; Smart Lights &gt; Commercial &gt; Agriculture
Crop Tech &gt; Farm Equipment &gt; Grow Lights &gt; LED</t>
  </si>
  <si>
    <t>innovation.kaust.edu.sa
SparkLabs Cultiv8</t>
  </si>
  <si>
    <t>Oaesis is a manufacturer and supplier of LED lights. It offers laser grow lights for indoor farms that emit less heat and more light for plants. It allows users to plan their farm lighting based on crop specifications and adjust the light intensity as per the crop growth stages.</t>
  </si>
  <si>
    <t>info@oaesislsc.com</t>
  </si>
  <si>
    <t>+966-128083781</t>
  </si>
  <si>
    <t>https://www.oaesislsc.com</t>
  </si>
  <si>
    <t>https://linkedin.com/company/oaesis/about</t>
  </si>
  <si>
    <t>https://twitter.com/oaesislsc</t>
  </si>
  <si>
    <t>https://facebook.com/oaesislsc/info</t>
  </si>
  <si>
    <t>https://tracxn.com/companies/uwTNuk8TrrZ1QVGi1FDNgdag6xTLrJungVRg2nKN36M/oaesislsc.com</t>
  </si>
  <si>
    <t>Piracicaba</t>
  </si>
  <si>
    <t>Estado De Sao Paulo</t>
  </si>
  <si>
    <t>Genica is a manufacturer and supplier of biological farm inputs. Its product offerings include biological insecticides, biological plant growth regulators, and biological seed inoculants. The products are distributed across Brazil.</t>
  </si>
  <si>
    <t>contato@genica.com.br</t>
  </si>
  <si>
    <t>+55-1934239504</t>
  </si>
  <si>
    <t>Marcos Agostinho Petean Gomes; CEO; marcos.petean@genica.com.br; https://linkedin.com/in/marcos-agostinho-petean-gomes-b66b0353; ex-Casa Bugre Sementes, Agrivalle, Noble Group, CSIRO. University of Sao Paulo 2011</t>
  </si>
  <si>
    <t>marcos.petean@genica.com.br</t>
  </si>
  <si>
    <t>https://linkedin.com/in/marcos-agostinho-petean-gomes-b66b0353</t>
  </si>
  <si>
    <t>https://genica.com.br/newsite/</t>
  </si>
  <si>
    <t>https://linkedin.com/company/g%C3%AAnica---inova%C3%A7%C3%A3o-biotecnol%C3%B3gica/about</t>
  </si>
  <si>
    <t>https://twitter.com/genicainovacoes</t>
  </si>
  <si>
    <t>https://facebook.com/genica.bio</t>
  </si>
  <si>
    <t>https://tracxn.com/companies/koly1YDORacHFg2Vh7l60imVdCrZea7GKBF0fHmBw8U/genica.com.br</t>
  </si>
  <si>
    <t>Montego Bay</t>
  </si>
  <si>
    <t>Parish Of Saint James</t>
  </si>
  <si>
    <t>Jamaica</t>
  </si>
  <si>
    <t>Zimmer and Co is an online distributor of hemp-based CBD products. Its product portfolio includes Cannabis-based wellness products, personal care products, and medical cannabis products of various brands including Global Xtracts, Hemp &amp; Heal, Magic wand, xCan 21, etc. It distributes products to the retailers and dispensaries of the Caribbean market.</t>
  </si>
  <si>
    <t>info@zimmerglobal.com</t>
  </si>
  <si>
    <t>+1-8766330377</t>
  </si>
  <si>
    <t>T'Shura Gibbs; CEO; https://linkedin.com/in/tshuragibbs; ex-Montego Bay Chamber of Commerce and Industry,  Company NameJamaica Public Service Company, US Airways.</t>
  </si>
  <si>
    <t>https://linkedin.com/in/tshuragibbs</t>
  </si>
  <si>
    <t>http://www.linkedin.com/vsearch/p?f_CC=6440</t>
  </si>
  <si>
    <t>canexjamaica.com</t>
  </si>
  <si>
    <t>https://www.zimmerglobal.com</t>
  </si>
  <si>
    <t>https://linkedin.com/company/zimmer</t>
  </si>
  <si>
    <t>https://tracxn.com/companies/_XgY97m0N1wWo8WEyhXwHzJBl5lLrmo36qR5Iu8F0Jg/zimmerglobal.com</t>
  </si>
  <si>
    <t>Misgav</t>
  </si>
  <si>
    <t>Drones &gt; Software &gt; Ancillary Software &gt; Image Processing &amp; 3D Mapping
Crop Tech &gt; Farm Analytics &gt; Drones Based &gt; Software</t>
  </si>
  <si>
    <t>The Trendlines Group
BIRD Foundation
ScaleUp inBrazil
innovationisrael.org.il
yiron.org.il</t>
  </si>
  <si>
    <t>Agro-Scout provides crop scouting solutions. It collects data of agriculture farmlands using drones, cameras, and other sources to analyse the presence of pests and diseases. It uses a proprietary system powered by deep learning and artificial technologies to process data. It enables farmers to identify the problem areas in the field, detect diseases automatically, and get recommendations on crop protection.</t>
  </si>
  <si>
    <t>info@agro-scout.com</t>
  </si>
  <si>
    <t>+97-2722607041</t>
  </si>
  <si>
    <t>Simcha Shore; CEO; sim@agro-scout.com; https://linkedin.com/in/simcha-shore-3727a371; CEO Idrone-Insights, University of Haifa 2012</t>
  </si>
  <si>
    <t>sim@agro-scout.com</t>
  </si>
  <si>
    <t>https://linkedin.com/in/simcha-shore-3727a371</t>
  </si>
  <si>
    <t>https://agro-scout.com/</t>
  </si>
  <si>
    <t>https://linkedin.com/company/agroscout-ltd</t>
  </si>
  <si>
    <t>http://ghoastapp.blogspot.com</t>
  </si>
  <si>
    <t>https://tracxn.com/companies/j4Ok0Cx0zIzA8pJa6ygPwCLC0UTh9lHUelhKJ5P_q3U/agro-scout.com</t>
  </si>
  <si>
    <t>Binh Phuoc</t>
  </si>
  <si>
    <t>An Giang</t>
  </si>
  <si>
    <t>Vietnam</t>
  </si>
  <si>
    <t>Insect Farming Tech</t>
  </si>
  <si>
    <t>Insect Farming Tech &gt; Insects &gt; Insect based Products &gt; Diversified</t>
  </si>
  <si>
    <t>500 Startups
FPT Ventures
Startupbootcamp</t>
  </si>
  <si>
    <t>CricketOne produces and supplies edible insects. The product offerings include whole dried crickets, cricket flour for human consumption and pet food for pets. The company utilizes proprietary technology consisting of cricket rearing towers in a controlled environment with a remote monitoring system. Claims to feed crickets on agriculture by-products and biological plants. The company is operational in Vietnam.</t>
  </si>
  <si>
    <t>cricketone@cricketone.asia</t>
  </si>
  <si>
    <t>+84-937031500</t>
  </si>
  <si>
    <t>Bicky Nguyen; Co-Founder; http://linkedin.com/in/bicky-nguyen-309b1358; The Bros &amp; Sis Coffee Roasting, ex- Mimosatek. The Economic University of HCMC 2010
Nam Dang; Co-Founder; http://linkedin.com/in/namcaodang; ex- Co-Founder Mimosa Technology, Vietbridge Business Matching, Hainam. University of Alberta MBA 2015</t>
  </si>
  <si>
    <t>http://linkedin.com/in/bicky-nguyen-309b1358
http://linkedin.com/in/namcaodang</t>
  </si>
  <si>
    <t>https://cricketone.asia/</t>
  </si>
  <si>
    <t>http://twitter.com/cricketoneasia</t>
  </si>
  <si>
    <t>https://tracxn.com/companies/CJlEIi9j-FB6zpEGbyWTxjyVLc8YT3VOLE_riaIIYO8/cricketone.asia</t>
  </si>
  <si>
    <t>Agro2o is a manufacturer and supplier of indoor hydroponic system. It offers Agro2o, an intelligent indoor hydroponics system equipped with a smart nutrient doser that supplies nutrients based on the plant growth stage. The product can be purchased online from its website.</t>
  </si>
  <si>
    <t>connect@agro2o.com</t>
  </si>
  <si>
    <t>+91-6350459122</t>
  </si>
  <si>
    <t>Yash Vyas; Founder; yash@agro2o.com; https://linkedin.com/in/yash-vyas; Landmark Group, ex-Central, Future Lifestyle Fashions, Landmark Group. National Institute of Fashion Technology 2012</t>
  </si>
  <si>
    <t>yash@agro2o.com</t>
  </si>
  <si>
    <t>https://linkedin.com/in/yash-vyas</t>
  </si>
  <si>
    <t>https://www.agro2o.com</t>
  </si>
  <si>
    <t>https://linkedin.com/company/agro2o/about</t>
  </si>
  <si>
    <t>https://twitter.com/agro2o_</t>
  </si>
  <si>
    <t>https://facebook.com/agro2o</t>
  </si>
  <si>
    <t>http://agro2o.com/blog</t>
  </si>
  <si>
    <t>https://tracxn.com/companies/--hVNaDs0YQUaemsmdhBipzG7RhvJZ6YL56qxXv6IVU/agro2o.com</t>
  </si>
  <si>
    <t>Omnivore Partners
Mount Parker
BESST-HORT
Location Labs
Artesian
Wavemaker Partners
The Yield Lab Asia Pacific
Animocabrands
Zeroth Ai
Mistletoe</t>
  </si>
  <si>
    <t>Fasal develops an AI-powered IoT platform for precision agriculture. It offers a cloud platform that collects the microclimatic data captured by the on-field sensors. The real-time farm information such as temperature, humidity, rainfall, soil moisture, soil temperature etc. is incorporated in its proprietary AI-based microclimate forecasting algorithm to analyze and provide insights on microclimate, disease forecast, irrigation management, resource optimization, yield enhancement, fertilizer application etc. The user can access the insights from the mobile or PC and immediate actions can be made through the device.</t>
  </si>
  <si>
    <t>Shailendra Tiwari; Founder; 8262908981; shailendraa.tiwari@gmail.com; http://linkedin.com/in/shailendra-tiwari-93015444; ex-COVIAM, INKONIQ, NIFT
Ananda Verma; Founder &amp; CEO; +918904470724; rahul.vit09@gmail.com; http://linkedin.com/in/ananda-verma-a8b42b1b; Co-Founder Foss Bytes, ex-COVIAM, Butterfly Innovations.  VIT  B.Tech 2011, IIIT  Bangalore M.Tech 2014</t>
  </si>
  <si>
    <t>shailendraa.tiwari@gmail.com
rahul.vit09@gmail.com</t>
  </si>
  <si>
    <t>http://linkedin.com/in/shailendra-tiwari-93015444
http://linkedin.com/in/ananda-verma-a8b42b1b</t>
  </si>
  <si>
    <t>https://fasal.co</t>
  </si>
  <si>
    <t>http://linkedin.com/company/fasal</t>
  </si>
  <si>
    <t>http://twitter.com/fasalofficial</t>
  </si>
  <si>
    <t>http://facebook.com/fasalapp</t>
  </si>
  <si>
    <t>https://tracxn.com/companies/2RbY2oJJdJscJEpf_gvui8oVpYHPLqmrhrNklRGNcM8/fasal.co</t>
  </si>
  <si>
    <t>SaaS
Tech
Enterprise
Artificial Intelligence
Software</t>
  </si>
  <si>
    <t>Consumer
Marketplace
Tech Hardware
Social Impact
Blockchain</t>
  </si>
  <si>
    <t>FinTech
InsurTech</t>
  </si>
  <si>
    <t>Internet First Insurance Platforms</t>
  </si>
  <si>
    <t>Internet First Insurance Platforms &gt; Internet First Insurers &gt; P&amp;C &gt; Crop</t>
  </si>
  <si>
    <t>Barclays
Techstars
100+ Accelerator
LHoFT</t>
  </si>
  <si>
    <t>OKO offers parametric crop insurance solutions. Partners with weather information providers, using satellite or microwave technologies to obtain hyper-local data to define risk and determine premium price and automate the claim validation process by analysis of the historical data. Offers farmers weather alerts, farming tips and access to micro-credit. Also develops distribution channel interfaces and platforms for the different stakeholders i.e, policy management platform for insurance companies, apps for end-users, and APIs for partners. Offers solutions for mobile network operators, microfinance institutions, farmers, governments and NGOs.</t>
  </si>
  <si>
    <t>info@oko.finance</t>
  </si>
  <si>
    <t>+972-584771405</t>
  </si>
  <si>
    <t>Simon Schwall; Co-Founder &amp; CEO; simon.schwall@oko.finance; http://linkedin.com/in/simonschwall; ex- EY, BIMA, HEC Junior Conseil. NUS 2010, HEC Paris 2011
Shehzad Lokhandwalla; Co-Founder &amp; CTO; shehzad@oko.finance; http://linkedin.com/in/shehzad-lokhandwalla-4b3b3770; ex- Techstars, One Acre Fund, Friends Without A Border. University of California Davis 2015</t>
  </si>
  <si>
    <t>simon.schwall@oko.finance
shehzad@oko.finance</t>
  </si>
  <si>
    <t>http://linkedin.com/in/simonschwall
http://linkedin.com/in/shehzad-lokhandwalla-4b3b3770</t>
  </si>
  <si>
    <t>https://www.oko.finance</t>
  </si>
  <si>
    <t>http://linkedin.com/company/oko-solutions</t>
  </si>
  <si>
    <t>http://twitter.com/oko_insurance</t>
  </si>
  <si>
    <t>http://facebook.com/okoinsurance</t>
  </si>
  <si>
    <t>http://oko.finance/blog</t>
  </si>
  <si>
    <t>https://tracxn.com/companies/-otGugPGeNJJQx5BQrAOjuwEYxFFCjitUqu-q2SGtW8/oko.finance</t>
  </si>
  <si>
    <t>$40K</t>
  </si>
  <si>
    <t>Start-Up Chile
Startupbootcamp</t>
  </si>
  <si>
    <t>Nocofio is an online crowdfunding platform for agribusinesses. It provides a platform connecting investors with agribusinesses. It enables investors to select and invest in registered agriculture projects. The platform provides financial assistance for those agriculture projects to make profits which will be shared to investors on a fixed percentage basis at the end of the cropping season.</t>
  </si>
  <si>
    <t>hello@nocofio.com</t>
  </si>
  <si>
    <t>+233-244076236</t>
  </si>
  <si>
    <t>https://www.nocofio.com</t>
  </si>
  <si>
    <t>https://linkedin.com/company/nocofio/about</t>
  </si>
  <si>
    <t>https://twitter.com/nocofioft</t>
  </si>
  <si>
    <t>https://facebook.com/nocofio</t>
  </si>
  <si>
    <t>http://blog.nocofio.com</t>
  </si>
  <si>
    <t>https://tracxn.com/companies/0N0840SOoVmCazPHBTmweY-i5sHKdbFMUlkStoV89AE/nocofio.com</t>
  </si>
  <si>
    <t>$109K</t>
  </si>
  <si>
    <t>Crop Tech &gt; Finance &gt; Payments</t>
  </si>
  <si>
    <t>Bharat Inclusion Initiative
Tracxn Labs
Redwood Trust</t>
  </si>
  <si>
    <t>Raghavendra Rao
Sudhanshu Bahadur
Ganapathi Sabhahit
Ramakant Sharma
Somesh Misra
Kunal Arora</t>
  </si>
  <si>
    <t>Aggois is a platform providing agriculture financial solutions. It offers liquidity solutions for farmers by offering instant pay services for the products sold and ensures that the farmers get a minimum guaranteed price for their agriculture produce through rapid pay and price protection. Also, offers regular cash flow solutions by converting agriculture receivables through regular pay. Also, offers working capital finance, agriculture credit, and agriculture insurance solutions.</t>
  </si>
  <si>
    <t>Prathmesh Kant; Co-Founder &amp; CEO; prathmeshkant@gmail.com; http://linkedin.com/in/prathmesh-kant-2120251; Ex-farebond, Rahageer, Goldman Sachs, Goldman Sachs. Indian Institute of Technology, Kanpur BE 2003
Arpit; Co-Founder; arpitbrahmchary@gmail.com; http://linkedin.com/in/arpit-brahmchari-03a7564b; Ex-Bottr.me, WizIQ, Browntape Ecommerce, Infosys. Birla Institute of Technology BE 2014.
Akhil Sharma; Co-Founder; akhil.sharma@aggois.com; http://linkedin.com/in/akhil-sharma-5450209a; TEDxIITRoorkee, ex-Quantofy, Entrepreneurship Development Cell, Global Entrepreneurs Conclave, SINTIS. Indian Institute of Technology, Roorkee BTech 2017.</t>
  </si>
  <si>
    <t>prathmeshkant@gmail.com
prathmesh.kant@aggois.com
arpitbrahmchary@gmail.com
akhil.sharma@aggois.com</t>
  </si>
  <si>
    <t>http://linkedin.com/in/prathmesh-kant-2120251
http://linkedin.com/in/arpit-brahmchari-03a7564b
http://linkedin.com/in/akhil-sharma-5450209a</t>
  </si>
  <si>
    <t>http://www.aggois.com</t>
  </si>
  <si>
    <t>https://linkedin.com/company/aggois</t>
  </si>
  <si>
    <t>https://facebook.com/aggois-363397874120990</t>
  </si>
  <si>
    <t>https://tracxn.com/companies/utVAG5mk0bYGPILUAj2mO9_yFrVwboJZ7a1cBUsx-mg/aggois.com</t>
  </si>
  <si>
    <t>$309K</t>
  </si>
  <si>
    <t>Consumer
Media &amp; Entertainment
Agriculture</t>
  </si>
  <si>
    <t>Social Platforms
Crop Tech</t>
  </si>
  <si>
    <t>Social Platforms &gt; Professionals &gt; Farmers
Crop Tech &gt; Content Platforms &gt; Data as a Service &gt; Market Data</t>
  </si>
  <si>
    <t>Sprout Investment Advisors
Tracxn Labs</t>
  </si>
  <si>
    <t>Leisha Sumeet Asnani
Neha Singh
Kanav Hasija
Pulkit Anand
Abhishek Ashok Dutt
B Srinivasan
Suraj Saharan
Neeraj Narendra Soni
Rajneesh Sharma
Rachita Fenil Shah
Sandeep Deora
Sumeet Asnani
Kanav Hasija
Hozefa Mansoor
Neeraj Soni
Sarosh Bharucha</t>
  </si>
  <si>
    <t>The Krishi is an online social platform for farmers. It provides news and content related to agriculture. It also provides weather reports, information on crops, and the location of the nearest marketplace.</t>
  </si>
  <si>
    <t>desk@thekrishi.com</t>
  </si>
  <si>
    <t>Ashish Mishra; Co-Founder &amp; CEO; ashish@thekrishi.com; https://linkedin.com/in/ashishmishra3; ex- Healthians.com, ex-Co-Founder ReFlaunt, TLabs, Mygola.com. Indian Institute of Technology Btech 2009
Rajesh Ranjan; Co-Founder; ranjan.rajesh004@gmail.com; https://linkedin.com/in/rajeshranjan04
Siddhant Bhomia; Co-Founder; siddhant@thekrishi.com; https://linkedin.com/in/siddhantbhomia; ex- Innovaccer, PwC India, Cognilytics, Fractal Analytics. IIT Kharagpur BTech &amp; MTech 2010</t>
  </si>
  <si>
    <t>ashish@thekrishi.com
ranjan.rajesh004@gmail.com
siddhant@thekrishi.com</t>
  </si>
  <si>
    <t>https://linkedin.com/in/ashishmishra3
https://linkedin.com/in/rajeshranjan04
https://linkedin.com/in/siddhantbhomia</t>
  </si>
  <si>
    <t>https://thekrishi.com:443/</t>
  </si>
  <si>
    <t>https://linkedin.com/company/thekrishi/about</t>
  </si>
  <si>
    <t>https://tracxn.com/companies/AlBpXqu4Nq7wVkkJxVEx78GWWr7_vDOU1JGDpqM-fbE/thekrishi.com</t>
  </si>
  <si>
    <t>Food Tech
Semiconductors
Agriculture</t>
  </si>
  <si>
    <t>Food Tech
Sensors
Crop Tech</t>
  </si>
  <si>
    <t>Food Tech &gt; Tech Hardware &gt; Food Safety &gt; Consumer Focused &gt; Allergen Detection
Sensors &gt; Industry Applications &gt; Food
Crop Tech &gt; Post Harvest Management &gt; Quality Testing &gt; Fruits and Vegetables &gt; Sensors</t>
  </si>
  <si>
    <t>EHealth Ventures
Coshare</t>
  </si>
  <si>
    <t>AllerGuard is an early stage company focussed on developing a sensor for detecting allergens in food. The sensor system inspects a food dish, using the chemical properties of the Allergic-inducing compound, and will alert the user in the case of hazardous events. Claims that the system even senses just a few PPM (parts per million) of the allergen presence. In Mar 2017, the company was one of the winners at the inauguration event of the eHealth Ventures incubator, a digital health incubator in Israel. The company product development details are not disclosed.</t>
  </si>
  <si>
    <t>Guy Ayal; Co-Founder &amp; CTO; http://linkedin.com/in/guy-ayal-2b374a2; Ex-Goji Food Solutions, Applied Materials, TowerJazz, Tower Semiconductor. Tel Aviv University MSc 2007
Shai Hershkovich; Co-Founder; http://linkedin.com/in/hershkovich; Ex-Moldawsky Diamonds, FreshKeep, Guidepoint, Co-Founder Nanolyst Technologies &amp; Velloxx, CTO Innovashell - Technologies.ORT Braude College of Engineering BSc 2004</t>
  </si>
  <si>
    <t>http://linkedin.com/in/guy-ayal-2b374a2
http://linkedin.com/in/hershkovich</t>
  </si>
  <si>
    <t>https://allerguardsystems.com/</t>
  </si>
  <si>
    <t>http://linkedin.com/company/allerguard-</t>
  </si>
  <si>
    <t>http://facebook.com/allerguard-systems-2034633500100961/%5d</t>
  </si>
  <si>
    <t>https://tracxn.com/companies/3DWBMiIufdK4KMK9pytZ41RmOz-zFPCE9SqJrzb9bc4/allerguardsystems.com</t>
  </si>
  <si>
    <t>Enterprise
Marketplace
SaaS</t>
  </si>
  <si>
    <t>Software
Tech Hardware
Social Impact
Innovative
Artificial Intelligence
High IP
Goods
Service
Looks Scalable
Chain
Not for Profit
Blockchain</t>
  </si>
  <si>
    <t>$156K</t>
  </si>
  <si>
    <t>Enterprise Applications
Agriculture</t>
  </si>
  <si>
    <t>Data as a Service
Crop Tech</t>
  </si>
  <si>
    <t>Data as a Service &gt; Industries &gt; Agriculture and Forestry Data &gt; Agronomic Intelligence
Crop Tech &gt; Farm Management Software &gt; Diversified</t>
  </si>
  <si>
    <t>1Crowd</t>
  </si>
  <si>
    <t>Ranjit Barthakur
Ritu Shah
Subramaniam Ramadorai
Rohan Shah</t>
  </si>
  <si>
    <t>Hummingbird offers products including AIS (Agri Info System) a unique platform which combines mobile &amp; desktop, to provide information &amp; analytics. Another one is Decision Support System to assess the risk and help optimise the buying. Services include decision support system, commodity risk management, real-time market intelligence services, crop estimation and forecasting. Clientele includes Future Group, Sab Miller India, IFMR Ventures, Nestle, General Mills, Pulse Growers and others.</t>
  </si>
  <si>
    <t>contact@agrisk.in</t>
  </si>
  <si>
    <t>Sankara Pillai; Co-Founder; sankara@agrisk.in; http://linkedin.com/in/sankara-pillai-7626514; QED Research, ex-Pathfinders, IMRB. Govt Arts College 1982, XLRI Jamshedpur PGDM 1984
Jaideep Sen; Co-Founder
Ravishankar Mantha; Co-Founder; +919892502419; rm@agrisk.in; http://linkedin.com/in/ravishankar-mantha-31a7542; Ex-Indian Agribusiness Systems,YES Bank, HDFC Bank. Savitribai Phule Pune University  MA 1994</t>
  </si>
  <si>
    <t>sankara@agrisk.in
rm@agrisk.in</t>
  </si>
  <si>
    <t>http://linkedin.com/in/sankara-pillai-7626514
http://linkedin.com/in/ravishankar-mantha-31a7542</t>
  </si>
  <si>
    <t>http://www.linkedin.com/vsearch/p?f_CC=680573</t>
  </si>
  <si>
    <t>Ravishankar Mantha
Umesh Ikhe</t>
  </si>
  <si>
    <t>agrisktech.com</t>
  </si>
  <si>
    <t>http://www.hummingbird.in</t>
  </si>
  <si>
    <t>https://tracxn.com/companies/rTybUlmFriAMZaBtsoSTT6AZqj32UGrgQhkP7xlAqsw/hummingbird.in</t>
  </si>
  <si>
    <t>Consumer
Marketplace
SaaS</t>
  </si>
  <si>
    <t>Crop Tech &gt; Farm Analytics &gt; Diversified</t>
  </si>
  <si>
    <t>Omnivore Partners
Wavemaker Partners
Mount Parker
Artesian
Zeroth Ai
CoE IoT
Mistletoe</t>
  </si>
  <si>
    <t>connect@wolkus.com</t>
  </si>
  <si>
    <t>+91-8904470724
+91-8262908981</t>
  </si>
  <si>
    <t>Saurabh Tiwari; Co-Founder; saurabh.tiwaari@gmail.com
Shailendra Tiwari; Co-Founder; 8262908981; shailendra.tiwari@wolkus.com; http://linkedin.com/in/shailendra-tiwari-93015444; ex-COVIAM, INKONIQ, Decathlon International. NIFT
Ananda Prakash Verma; Co-Founder &amp; CEO; 8904470724; ananda.verma@wolkus.com; http://linkedin.com/in/ananda-verma-a8b42b1b; Co-Founder Fossbytes, ex-COVIAM, Butterfly Innovations. Vellore Institute of Technology BTech 2011, International Institute of Information Technology – Bangalore MTech 2014</t>
  </si>
  <si>
    <t>saurabh.tiwaari@gmail.com
shailendra.tiwari@wolkus.com
shailendraa.tiwari@gmail.com
ananda.verma@wolkus.com
rahul.vit09@gmail.com</t>
  </si>
  <si>
    <t>http://wolkus.com</t>
  </si>
  <si>
    <t>http://linkedin.com/company/wolkus</t>
  </si>
  <si>
    <t>http://twitter.com/wolkushq</t>
  </si>
  <si>
    <t>http://facebook.com/wolkushq</t>
  </si>
  <si>
    <t>http://medium.com/wolkus-hq</t>
  </si>
  <si>
    <t>https://tracxn.com/companies/H6xBHiWPPkiW_Cgn_UYuKtbMdw0_hgm-PqxPZvOb3bI/wolkus.com</t>
  </si>
  <si>
    <t>Tech
Enterprise
Software
Tech Hardware
Artificial Intelligence</t>
  </si>
  <si>
    <t>Technology
Agriculture</t>
  </si>
  <si>
    <t>Blockchain
Crop Tech</t>
  </si>
  <si>
    <t>Blockchain &gt; Agriculture
Crop Tech &gt; Post Harvest Management &gt; Traceability</t>
  </si>
  <si>
    <t>C5 Accelerate
Village Capital</t>
  </si>
  <si>
    <t>Annona develops block-chain based supply chain solutions for agriculture businesses. It offers a mobile and web-based platform that enables the suppliers to manage procurement and payments from small-scale producers. It provides produce traceability and transaction transparency between farmers, suppliers, and retailers in international food trade with blockchain technology. Farmers can record and track the inputs and monitor farm profit and loss. Also, provides SMS-based profit and loss reports to the farmers. It provides importers with a direct access to the real-time information of the required farms and reduces the auditing costs.</t>
  </si>
  <si>
    <t>info@annona.co</t>
  </si>
  <si>
    <t>+254-799717047</t>
  </si>
  <si>
    <t>Zeluis Teixeira; Co-Founder; http://linkedin.com/in/zeluis; Founder ZETE, Open Society Foundations, ex-Co-Founder SOAR Baltimore, Wells Fargo. University of Maryland College Park 2005.
Ashley King-Bischof; Co-Founder &amp; CEO; ashley@annona.co; http://linkedin.com/in/ashleykb; ex-Halcyon Incubator, Yelp.com, Strakonice Basketball Club. Brown University BA 2007, IE Business School MBA 2014.</t>
  </si>
  <si>
    <t>ashley@annona.co</t>
  </si>
  <si>
    <t>http://linkedin.com/in/zeluis
http://linkedin.com/in/ashleykb</t>
  </si>
  <si>
    <t>http://www.linkedin.com/vsearch/p?f_CC=10093773</t>
  </si>
  <si>
    <t>http://www.annona.co</t>
  </si>
  <si>
    <t>http://linkedin.com/company/markit-opportunity</t>
  </si>
  <si>
    <t>http://twitter.com/annona_co</t>
  </si>
  <si>
    <t>http://facebook.com/annona.co</t>
  </si>
  <si>
    <t>http://blog.annona.co</t>
  </si>
  <si>
    <t>https://tracxn.com/companies/WGsGpjS3RuO-TfPHhY4t5nCJ_t7EE8a0EMIR_u0lYiU/annona.co</t>
  </si>
  <si>
    <t>Tech
Enterprise
Blockchain</t>
  </si>
  <si>
    <t>Software
Innovative
High IP
Goods
Service
Looks Scalable
Chain
Not for Profit</t>
  </si>
  <si>
    <t>Guangzhou</t>
  </si>
  <si>
    <t>Guangzhou Hoire Information Technology Co offers cloud-based agricultural monitoring platform. The company's product offerings include monitoring terminal, transmission terminal, control terminal, and web-based interface to monitor and control. The platform offers features such as automatic collection of environmental information, video, photos, multi-terminal visual display, remote control, automatic control, temperature control, irrigation, lighting, ventilation, etc.</t>
  </si>
  <si>
    <t>gzhoire@163.com</t>
  </si>
  <si>
    <t>+86-2082109055</t>
  </si>
  <si>
    <t>https://www.hoire.cn</t>
  </si>
  <si>
    <t>https://tracxn.com/companies/bghe2fN46X5Em048xD7lAvTIROwAITVbtNeIK8HZVLw/hoire.cn</t>
  </si>
  <si>
    <t>Tech
Enterprise
SaaS</t>
  </si>
  <si>
    <t>Consumer
Marketplace</t>
  </si>
  <si>
    <t>Kfar Saba</t>
  </si>
  <si>
    <t>Central District</t>
  </si>
  <si>
    <t>IoT Applications &gt; Industry Specific &gt; Agriculture &gt; Farms
Sensors &gt; Industry Applications &gt; Agriculture
Crop Tech &gt; Farm Management Software &gt; Soil Management &gt; Soil Moisture Monitoring &gt; Sensors
Water and Wastewater Management Tech &gt; Smart Irrigation &gt; Farming &gt; Soil Moisture Monitoring &gt; Sensors</t>
  </si>
  <si>
    <t>Bridges Israel
ScaleUp inBrazil
ICI Fund</t>
  </si>
  <si>
    <t>Viridix manufactures sensors for the agriculture industry. The sensor, known as I-Dripper, measures the parameters such as the moisture-level, fertility, and production capability. The sensor also provides analytics on these metrics for the users. Additionally, the information from these sensors can be used to optimize the costs and automate tasks related to agriculture. The company is based out of Israel,</t>
  </si>
  <si>
    <t>info@viridix.com</t>
  </si>
  <si>
    <t>Mor Yegerman; Founder &amp; CEO; mor@viridix.com; http://linkedin.com/in/mor-yegerman-5605791; M.Y innovation, ex-Magisto, ICQ, SRL
Arik Shitrit; Founder &amp; CTO; arik@viridix.com; http://linkedin.com/in/arik-shitrit-400445108; Ex-ABC, Hadassah Academic College B.Sc. 2002</t>
  </si>
  <si>
    <t>mor@viridix.com
arik@viridix.com</t>
  </si>
  <si>
    <t>http://linkedin.com/in/mor-yegerman-5605791
http://linkedin.com/in/arik-shitrit-400445108</t>
  </si>
  <si>
    <t>https://www.viridix.com</t>
  </si>
  <si>
    <t>http://linkedin.com/company/18199377</t>
  </si>
  <si>
    <t>http://facebook.com/idripper</t>
  </si>
  <si>
    <t>https://tracxn.com/companies/08JKg6djfFNjIA1RUHEgeKk1T8fR-4lV_RGgmLge6KE/viridix.com</t>
  </si>
  <si>
    <t>Consumer
Marketplace
SaaS
Software
Social Impact
Blockchain
Artificial Intelligence</t>
  </si>
  <si>
    <t>$25K</t>
  </si>
  <si>
    <t>Alternative Lending
Crop Tech</t>
  </si>
  <si>
    <t>Alternative Lending &gt; Online Lenders &gt; Consumer Loans &gt; Farm Loans &gt; Marketplace
Crop Tech &gt; Content Platforms &gt; Farming Advice</t>
  </si>
  <si>
    <t>AHL Venture Partners
Facebook
usaid.gov
Global Partnerships
CGAP
Village Capital
Compass
Beyond Capital Fund
Inclusive Fintech 50</t>
  </si>
  <si>
    <t>Tulaa provides an online marketplace for loans and commerce platform for rural farmers. It enables the farmers to purchase inputs, receive tailored agronomic advice, and market the crops at harvest time. It markets the crops by estimating the expected volume farmers will produce and brokers the sale of the product with buyers.</t>
  </si>
  <si>
    <t>info@tulaa.io</t>
  </si>
  <si>
    <t>+233-302211611</t>
  </si>
  <si>
    <t>Hillary Miller-Wise; Founder &amp; CEO; hillary@tulaa.io; https://linkedin.com/in/hillary-miller-wise-2381536; Ex-CEO Esoko, Grameen Foundation, TechnoServe, FINCA International. Middlebury College BA, The Johns Hopkins University MA, INSEAD MBA</t>
  </si>
  <si>
    <t>hillary@tulaa.io</t>
  </si>
  <si>
    <t>https://linkedin.com/in/hillary-miller-wise-2381536</t>
  </si>
  <si>
    <t>http://tulaa.io</t>
  </si>
  <si>
    <t>http://linkedin.com/company/11164051</t>
  </si>
  <si>
    <t>http://twitter.com/tulaanews</t>
  </si>
  <si>
    <t>http://facebook.com/tulaanews</t>
  </si>
  <si>
    <t>http://tulaa.io/blog</t>
  </si>
  <si>
    <t>https://tracxn.com/companies/OZDwZmesf0JNtU9QU2RnG8FUfWKIx5BefKWju_NLOOw/tulaa.io</t>
  </si>
  <si>
    <t>Tech
Enterprise
Marketplace
Social Impact</t>
  </si>
  <si>
    <t>Consumer
SaaS
Software
Tech Hardware
Artificial Intelligence
Blockchain</t>
  </si>
  <si>
    <t>Sao Paulo City</t>
  </si>
  <si>
    <t>Sao Paulo</t>
  </si>
  <si>
    <t>Crop Tech &gt; Farm Management Software &gt; Disease Management</t>
  </si>
  <si>
    <t>DigiFarmz is a platform to calculate spray dosages. The robust platform provides information about disease management, climate factor, locations, suitable date of spray, number of sprays to be performed, reports &amp; panels, alerts &amp; conditions, and more.</t>
  </si>
  <si>
    <t>digifarmz@digifarmz.com</t>
  </si>
  <si>
    <t>+55-11963485010</t>
  </si>
  <si>
    <t>Alexandre Chequim; CEO; alexandre@digifarmz.com; https://linkedin.com/in/chequim; Founder Orium Data-Driven Marketing, ex- Co-Founder Upbiz Business Valuation, Orium Group Communication and Marketing. Federal University of Santa Maria 2003, University of Santa Cruz do Sul MBA 2007</t>
  </si>
  <si>
    <t>alexandre@digifarmz.com</t>
  </si>
  <si>
    <t>https://linkedin.com/in/chequim</t>
  </si>
  <si>
    <t>https://www.digifarmz.com</t>
  </si>
  <si>
    <t>https://linkedin.com/company/digifarmz/about</t>
  </si>
  <si>
    <t>https://twitter.com/digifarmz</t>
  </si>
  <si>
    <t>https://facebook.com/digifarmz</t>
  </si>
  <si>
    <t>http://digifarmz.com/blog</t>
  </si>
  <si>
    <t>https://tracxn.com/companies/6H7L8GPIPN8joht_0DIWcqbYSs-WZKrnIYbDiOfQ3FE/digifarmz.com</t>
  </si>
  <si>
    <t>Consumer
Marketplace
SaaS
Tech Hardware
Social Impact
Artificial Intelligence
Blockchain</t>
  </si>
  <si>
    <t>Aquaculture Tech &gt; Farm Management</t>
  </si>
  <si>
    <t>Omnivore Partners
Hatch Blue
10000 Startups</t>
  </si>
  <si>
    <t>Coastal Aquaculture Research Institute develops and offers aquaculture management system. Its flagship product Aquaconnect, based on Aqua Locate, a data-analytics platform developed with a proprietary predictive algorithm to manage aquaculture operations. Aquaconnect enables the user to record data, manage hatcheries cycles, and plan the hatcheries sales. It helps exporters to find the location-specific product availability and plan their purchases. Also, involved in the research, training, education and organizing out-reach programmes for aqua farmers and hatcheries.</t>
  </si>
  <si>
    <t>hello@cari.org.in</t>
  </si>
  <si>
    <t>+91-18001231263</t>
  </si>
  <si>
    <t>Rajamanohar; Co-Founder &amp; CEO; rajamanohar@gmail.com; http://linkedin.com/in/rajamanohar; Hexolabs, Socialabs, World Economic Forum, TED Conferences, ex-Kaasu, Fringle. Indian Institute of Technology 2004
Shanmuga Sundara; Co-Founder; shanmuga@cari.org.in; http://linkedin.com/in/shanmuga-sundara-raj-s-34622189; ex-Kotak Mahindra Old Mutual Life Insurance, Canara HSBC Oriental Bank of Commerce Life Insurance, ICICI Prudential Life Insurance. Sengunthar Arts &amp; Science College BBA 2002, VLB Janaki Ammal College of Arts and Science MBA 2004.
Sanjai Kumar; Co-Founder; sanjai@cari.org.in; http://linkedin.com/in/sanjai-kumar-225a40146</t>
  </si>
  <si>
    <t>rajamanohar@gmail.com
shanmuga@cari.org.in
sanjai@cari.org.in</t>
  </si>
  <si>
    <t>http://linkedin.com/in/rajamanohar
http://linkedin.com/in/shanmuga-sundara-raj-s-34622189
http://linkedin.com/in/sanjai-kumar-225a40146</t>
  </si>
  <si>
    <t>http://ww38.cari.org.in/</t>
  </si>
  <si>
    <t>http://linkedin.com/company/aquaconnect1</t>
  </si>
  <si>
    <t>https://tracxn.com/companies/5WakRilhEIVS2Vqd-iXLKKIzMZVW2-seaFvGzbuJ9x8/cari.org.in</t>
  </si>
  <si>
    <t>SaaS
Enterprise
Tech</t>
  </si>
  <si>
    <t>Artificial Intelligence
Social Impact
Tech Hardware
Marketplace
Consumer</t>
  </si>
  <si>
    <t>Hangzhou</t>
  </si>
  <si>
    <t>Zhejiang Sheng</t>
  </si>
  <si>
    <t>$755K</t>
  </si>
  <si>
    <t>Crop Tech &gt; Farm Analytics &gt; Multispectral Sensing</t>
  </si>
  <si>
    <t>Yunnan Xiaobao Technology develops and offers portable miniature near-infrared spectrometer for agricultural applications. Its product offerings include spectral analysis for agricultural applications, tobacco testing, fruit inspection, milk powder check etc. It also offers spectral analysis for medical applications, and services such as rapid testing, portable device development, big data analysis, and spectral detection features. It measures moisture, starch, protein, fat, sugar, and dietary fiber content in grains, moisture, acidity, sweetness, maturity analysis in fruits and vegetables.</t>
  </si>
  <si>
    <t>xbst@ynxbst.com</t>
  </si>
  <si>
    <t>+86-87168308676</t>
  </si>
  <si>
    <t>http://www.ynxbst.com</t>
  </si>
  <si>
    <t>https://tracxn.com/companies/uAGOzWMtn7V2gfE0Ukt3JIweghqwOaBfHPBWZQyWP-c/ynxbst.com</t>
  </si>
  <si>
    <t>Tech
Consumer
Marketplace
SaaS
Artificial Intelligence</t>
  </si>
  <si>
    <t>Software
Tech Hardware
Social Impact
Innovative
High IP
Goods
Service
Looks Scalable
Chain
Not for Profit
Blockchain</t>
  </si>
  <si>
    <t>Technology
Artificial Intelligence
Semiconductors
Agriculture</t>
  </si>
  <si>
    <t>Computer Vision
Sensors
Crop Tech</t>
  </si>
  <si>
    <t>Computer Vision &gt; Industry Specific Applications &gt; Agriculture &gt; Crops
Sensors &gt; Industry Applications &gt; Agriculture
Crop Tech &gt; Post Harvest Management &gt; Quality Testing &gt; Fruits and Vegetables &gt; Sensors</t>
  </si>
  <si>
    <t>Gastrotope
10000 Startups
Social Alpha</t>
  </si>
  <si>
    <t>Occipital Tech provides automated grading and sorting solutions. It develops and offers automated grading and sorting solutions leveraging computer vision and machine learning technologies. It offers a color sorting system that detects and sorts products by its color and an optical grading solution that classifies products by shape and size.</t>
  </si>
  <si>
    <t>contact@occipitaltech.com</t>
  </si>
  <si>
    <t>Kshitij Thakur; Founder &amp; CEO; Kshitij@occipitaltech.com; https://linkedin.com/in/kshitij-thakur; ex- Co-Founder Cyzem,Entrepreneurship Cell, DMCE, cookwala.com. Datta Meghe College Of Engineering 2017</t>
  </si>
  <si>
    <t>Kshitij@occipitaltech.com
kshitij@occipitaltech.com</t>
  </si>
  <si>
    <t>https://linkedin.com/in/kshitij-thakur</t>
  </si>
  <si>
    <t>https://www.occipitaltech.com</t>
  </si>
  <si>
    <t>https://linkedin.com/company/occipitaltech/about</t>
  </si>
  <si>
    <t>https://twitter.com/occipitaltech</t>
  </si>
  <si>
    <t>http://occipitaltech.com/blog</t>
  </si>
  <si>
    <t>https://tracxn.com/companies/0e031lxnzLCH4gmi50xzB1d5FOIJ3l6MthkAzjzIjR8/occipitaltech.com</t>
  </si>
  <si>
    <t>Artificial Intelligence
Tech
Enterprise
Tech Hardware
Software</t>
  </si>
  <si>
    <t>Consumer
Marketplace
SaaS
Social Impact
Blockchain</t>
  </si>
  <si>
    <t>Alternative Lending &gt; Online Lenders &gt; Consumer Loans &gt; Farm Loans &gt; Marketplace
Crop Tech &gt; Finance &gt; Loans</t>
  </si>
  <si>
    <t>Arkam Ventures
Better Capital
nabventures
Ratnaafin
Bharat Inclusion Initiative
Constellation Blu
Village Capital
AngelList
Inclusive Fintech 50
Blume Ventures
SAP
Prophetic Ventures
Future Food Asia
Astarc Ventures</t>
  </si>
  <si>
    <t>Harshbeena Zaveri
Fawaz Alshawwa
Sanjaya Mariwala
Harsh Bangla
Cem Garih
Rajiv Sahney
Sanjay Mariwala
Aaryaman Vir Shah</t>
  </si>
  <si>
    <t>Jai Kisan provides an integrated input and produces a supply chain solution for farmers. It offers a fintech platform connecting farmers with finance providers facilitating finance solutions. Also, provides an agriculture marketplace for the users to buy agriculture inputs. It provides market linkages with buyers to buy the farmer's produce. It also offers advisory services on agriculture practices.</t>
  </si>
  <si>
    <t>contact@jai-kisan.com</t>
  </si>
  <si>
    <t>+91-7499159014</t>
  </si>
  <si>
    <t>Adriel Maniego; Co-Founder &amp; COO; adrielmaniego@gmail.com; http://linkedin.com/in/adrielmaniego; Ex-Alvarez and Marsal, PwC, EY, AMD. Texas AM University BBA
Arjun Ahluwalia; Co-Founder &amp; CEO; arjun.ahluwalia1@gmail.com; http://linkedin.com/in/arjun-ahluwalia-02baa325; Ex-Co-Founder Zegla, Agri Tech Startup ,The Abraaj Group, Founder SVB Capital. Texas AM University BBA
Ashutosh Ahluwalia; Co-Founder</t>
  </si>
  <si>
    <t>adrielmaniego@gmail.com
adriel@jai-kisan.com
arjun.ahluwalia1@gmail.com
arjun@jai-kisan.com</t>
  </si>
  <si>
    <t>http://linkedin.com/in/adrielmaniego
http://linkedin.com/in/arjun-ahluwalia-02baa325</t>
  </si>
  <si>
    <t>Arjun Ahluwalia
Ashutosh Ahluwalia</t>
  </si>
  <si>
    <t>https://www.jai-kisan.com</t>
  </si>
  <si>
    <t>https://linkedin.com/company/jai-kisan/about</t>
  </si>
  <si>
    <t>https://tracxn.com/companies/7sQaSGlU4K6JUsfZ1Cd3UgZJM26IP0LQvgLdS7XRMPE/jai-kisan.com</t>
  </si>
  <si>
    <t>Consumer
SaaS
Tech Hardware
Artificial Intelligence
Software
Blockchain</t>
  </si>
  <si>
    <t>Sao Jose Dos Campos</t>
  </si>
  <si>
    <t>$480K</t>
  </si>
  <si>
    <t>Geographic Information Systems
NewSpace
Crop Tech</t>
  </si>
  <si>
    <t>Geographic Information Systems &gt; Location Analytics &gt; Agriculture
NewSpace &gt; Space Services &gt; Imaging &gt; Satellite Based
Crop Tech &gt; Farm Analytics &gt; Satellite Image Based</t>
  </si>
  <si>
    <t>Canary
Yield Lab
WOLFMAN.ONE</t>
  </si>
  <si>
    <t>TerraMagna provides satellite imaging services for the agriculture industry. It uses artificial intelligence and cloud computing technologies to provide insights from the images and data in real-time. Additionally, it provides agribusiness intelligence solutions based on remote sensing, a big data infrastructure, and geographic information systems. The company has partnered with multiple institutions from Brazilian agricultural sector for research and development of its solutions.</t>
  </si>
  <si>
    <t>contato@terramagna.com.br</t>
  </si>
  <si>
    <t>+55-12988618181</t>
  </si>
  <si>
    <t>Renato Sanabria; Co-Founder; http://linkedin.com/in/renato-sanabria-463b3465; Study Foundation, ex-  BRASA at Cornell University. Technological Institute of Aeronautics - ITA BE 2015
Rodrigo Marques; Co-Founder; rodrigo@terramagna.com.br; http://linkedin.com/in/rodrigo-marques-47a4a157; Ex- RightHand Robotics, CNPq - MCT, Banco BBM. Technological Institute of Aeronautics - ITA ME 2016
Joao Paulo Torres; Co-Founder; +5512988618181; joao.torres@terramagna.com.br; http://linkedin.com/in/jo%C3%A3o-paulo-torres-4bb2b6b1; Technological Institute of Aeronautics - ITA 2015</t>
  </si>
  <si>
    <t>rodrigo@terramagna.com.br
joao.torres@terramagna.com.br</t>
  </si>
  <si>
    <t>http://linkedin.com/in/renato-sanabria-463b3465
http://linkedin.com/in/rodrigo-marques-47a4a157
http://linkedin.com/in/jo%C3%A3o-paulo-torres-4bb2b6b1</t>
  </si>
  <si>
    <t>https://terramagna.com.br</t>
  </si>
  <si>
    <t>http://linkedin.com/company/terramagna</t>
  </si>
  <si>
    <t>https://tracxn.com/companies/jZV0TRXl28GJzWL_lJ6ey9F8gC5c2DKEveYCUaxh0jU/terramagna.com.br</t>
  </si>
  <si>
    <t>Tech
Enterprise
Artificial Intelligence</t>
  </si>
  <si>
    <t>Consumer
Marketplace
SaaS
Software
Tech Hardware
Social Impact</t>
  </si>
  <si>
    <t>Crop Domain is a manufacturer of multi-category biological inputs. The product catalog includes biofertilizers, biochemical pesticides, crop enhancements, etc. In addition, the company also claims to provide training on biological inputs to students, greenkeepers, professional growers, foresters, etc.</t>
  </si>
  <si>
    <t>info@cropdomain.com</t>
  </si>
  <si>
    <t>+91-8023146969</t>
  </si>
  <si>
    <t>Lavanya Hs; Co-Founder &amp; Managing Director; lavanyahs@cropdomain.com; https://linkedin.com/in/lavanya-hs-651818156; B. M. S. College of Engineering 2003
Mahadeva Swamy; Founder &amp; CEO; http://linkedin.com/in/dr-mahadeva-swamy-72b93b41; University of Agricultural Sciences 2005 &amp; 2007, Kuvempu University, Shankaraghatta PhD 2014</t>
  </si>
  <si>
    <t>lavanyahs@cropdomain.com</t>
  </si>
  <si>
    <t>https://linkedin.com/in/lavanya-hs-651818156
http://linkedin.com/in/dr-mahadeva-swamy-72b93b41</t>
  </si>
  <si>
    <t>http://cropdomain.com/</t>
  </si>
  <si>
    <t>https://tracxn.com/companies/CUb2eiU80e4ozSnE5jW1MW4ydbp_KVHy8HJUxwlNwnM/cropdomain.com</t>
  </si>
  <si>
    <t>Johor Bahru</t>
  </si>
  <si>
    <t>Johor</t>
  </si>
  <si>
    <t>Agriculture
Agriculture</t>
  </si>
  <si>
    <t>Livestock Tech
Insect Farming Tech</t>
  </si>
  <si>
    <t>Livestock Tech &gt; Feeding &gt; Sustainable Feeds &gt; Insect Based
Insect Farming Tech &gt; Insects &gt; Insect based Products &gt; Animal Feed &gt; Diversified</t>
  </si>
  <si>
    <t>Alpha Founders Capital
Seeds Capital
Enterprise Singapore
Openspace Ventures
Nullabor</t>
  </si>
  <si>
    <t>Nutrition Technologies is a manufacturer and supplier of livestock feed products. Its product offerings include HiMeal, a protein meal derived from black soldier fly larvae. Also, offers HiOil, a natural feed oil for piglets and chickens gut health. Also, offers HiDried consisting of dried black soldier fly larvae, HiLive consisting of wriggling live soldier fly larvae. Additionally, offers HiFrass, an organic fertilizer that enhances the soil properties. The company claims to use proprietary technology for the production of animal feed proteins and serves aqua, poultry and swine feed markets.</t>
  </si>
  <si>
    <t>info@nutrition-technologies.com
sales@nutrition-technologies.com</t>
  </si>
  <si>
    <t>+60-107197220</t>
  </si>
  <si>
    <t>Nick Piggott; Founder &amp; CEO; nick@nutrition-technologies.com; https://linkedin.com/in/nick-piggott-37314946; ex-CEO &amp; Founder Coffee Couriers, Co-Founder Street Child of Sierra Leone. University of Leicester BSc 2002, London South Bank University 2010</t>
  </si>
  <si>
    <t>nick@nutrition-technologies.com</t>
  </si>
  <si>
    <t>https://linkedin.com/in/nick-piggott-37314946</t>
  </si>
  <si>
    <t>https://www.nutrition-technologies.com</t>
  </si>
  <si>
    <t>https://linkedin.com/company/nutrition-technologies-ltd</t>
  </si>
  <si>
    <t>https://facebook.com/nutritiontec</t>
  </si>
  <si>
    <t>https://tracxn.com/companies/aFZXnTrnPcDTrlbDsOWnf5lvEFjS6Dqkacl7sHl6ITU/nutrition-technologies.com</t>
  </si>
  <si>
    <t>Consumer
Tech
Marketplace
SaaS
Software
Social Impact
Tech Hardware
Artificial Intelligence</t>
  </si>
  <si>
    <t>Crop Tech &gt; Content Platforms &gt; Data as a Service &gt; Market Data</t>
  </si>
  <si>
    <t>Credible is a technology company that provides AI-based agriculture solutions. It provides various solutions which include AI-enabled crop monitoring, local market demand forecasting, and more. The product offered uses a combination of public and proprietary data to provide agricultural insights.</t>
  </si>
  <si>
    <t>Vikram Sarbajna; Founder; vikram@credible-india.com; https://linkedin.com/in/vikramsarbajna; Ex-Rabobank ICT, Banque Populaire Du Rwanda, Air France KLM, TWONE. Delft University of Technology 2009, Amsterdam Institute of Finance 2014</t>
  </si>
  <si>
    <t>vikram@credible-india.com</t>
  </si>
  <si>
    <t>https://linkedin.com/in/vikramsarbajna</t>
  </si>
  <si>
    <t>https://www.credible-india.com</t>
  </si>
  <si>
    <t>https://linkedin.com/company/credible-india/about</t>
  </si>
  <si>
    <t>https://twitter.com/credible_india</t>
  </si>
  <si>
    <t>https://tracxn.com/companies/7D9cLE-nhrz1EXywJuwNCs_qtg1rk7BdPWJeKIIB1DI/credible-india.com</t>
  </si>
  <si>
    <t>Artificial Intelligence
Tech
Consumer</t>
  </si>
  <si>
    <t>Enterprise
Marketplace
SaaS
Software
Tech Hardware
Social Impact
Blockchain</t>
  </si>
  <si>
    <t>Crop Tech &gt; ECommerce &gt; Farm Inputs &gt; Multi Category &gt; Marketplace</t>
  </si>
  <si>
    <t>Agri App is an online marketplace for agriculture farm inputs. It provides an Android mobile application for the users providing a marketplace connecting farmers, retailers, farm input manufacturers etc. Its offerings include NPK fertilizers, bio fertilizer, organic fertilizer, crop tonics, specialty fertilizers, insecticides, fungicides, weedicides, seeds, and equipment. It also provides information on farm practices of various crops. Also, offers advisory services on crop protection and crop production practices by the in-house agriculture experts.</t>
  </si>
  <si>
    <t>contact@agriapp.co.in</t>
  </si>
  <si>
    <t>+91-8023621645</t>
  </si>
  <si>
    <t>Basavaraj Rudrappa Girennavar; Managing Director; +919741414048; basu.giri@gmail.com; https://linkedin.com/in/basu-girennavar-6916599; MD Criyagen. Texas A&amp;M University PhD  2007</t>
  </si>
  <si>
    <t>basu.giri@gmail.com</t>
  </si>
  <si>
    <t>https://linkedin.com/in/basu-girennavar-6916599</t>
  </si>
  <si>
    <t>https://www.agriapp.co.in</t>
  </si>
  <si>
    <t>http://twitter.com/agri_app</t>
  </si>
  <si>
    <t>http://facebook.com/agriapp-criyagen-653650331408835</t>
  </si>
  <si>
    <t>https://tracxn.com/companies/F0CjkI9X4g5rxmeaPiuS7t0yVvgsxNyP-gz_bFb_Yjo/agriapp.co.in</t>
  </si>
  <si>
    <t>Consumer
SaaS
Tech Hardware
Social Impact
Artificial Intelligence</t>
  </si>
  <si>
    <t>Bandar Seri Begawan</t>
  </si>
  <si>
    <t>Brunei And Muara District</t>
  </si>
  <si>
    <t>Brunei</t>
  </si>
  <si>
    <t>IoT Applications &gt; Industry Specific &gt; Agriculture &gt; Farms
Crop Tech &gt; Farm Analytics &gt; Diversified</t>
  </si>
  <si>
    <t>Agrome IQ develops integrated hardware and software platform for farm data collection, analytics and automation of farming operations for commercial agriculture. The platform consists of a software for business intelligence and data analytics apart from an IoT platform that consists of on-field sensors tracking environmental and soil parameters which are pushed to the cloud through an IoT node, and a field automation solution. The company also develops Sprout IQ which is a learning and indoor / urban farm management platform for hobby farmers.</t>
  </si>
  <si>
    <t>hello@agromeiq.com</t>
  </si>
  <si>
    <t>Fahim Ibrahim; Co-Founder; http://linkedin.com/in/fahim-ibrahim-936488138; Ex-Neptune Bio Innovations. Universiti Brunei Darussalam BSc 2016
Vanessa Teo; Co-Founder &amp; CEO; vanessateo@agromeiq.com; http://linkedin.com/in/vanessa-teo-b5503168; Google Developers Group, ex-UBD IBM. Imperial College London BSc 2011, MS 2012, University of Brunei Darussalam PhD 2015</t>
  </si>
  <si>
    <t>vanessateo@agromeiq.com</t>
  </si>
  <si>
    <t>http://linkedin.com/in/fahim-ibrahim-936488138
http://linkedin.com/in/vanessa-teo-b5503168</t>
  </si>
  <si>
    <t>https://www.agromeiq.com</t>
  </si>
  <si>
    <t>https://linkedin.com/company/agrome-iq-international/about</t>
  </si>
  <si>
    <t>https://tracxn.com/companies/Rx84kqQaTy7ZTgVlQmiVFw3lD80A1SexUw3gwoUUtjY/agromeiq.com</t>
  </si>
  <si>
    <t>Tech
Consumer
Enterprise
SaaS</t>
  </si>
  <si>
    <t>Marketplace</t>
  </si>
  <si>
    <t>Ponta Grossa</t>
  </si>
  <si>
    <t>Estado Do Parana</t>
  </si>
  <si>
    <t>$194K</t>
  </si>
  <si>
    <t>contato@agropro.com.br</t>
  </si>
  <si>
    <t>Vicente Furiatti; Co-Founder; https://linkedin.com/in/vicente-furiatti-23a9a89a; Ex- Myzus Research and Consulting, Founder AgroPro Academy, IHARABRAS S / A CHEMICAL INDUSTRIES, GRADUAL Investments. Ponta Grossa State University</t>
  </si>
  <si>
    <t>https://linkedin.com/in/vicente-furiatti-23a9a89a</t>
  </si>
  <si>
    <t>http://www.agropromonitor.com.br</t>
  </si>
  <si>
    <t>https://linkedin.com/company/agropro-brasil</t>
  </si>
  <si>
    <t>https://facebook.com/agroprobrasil</t>
  </si>
  <si>
    <t>http://blog.agropro.com.br</t>
  </si>
  <si>
    <t>https://tracxn.com/companies/FsI2c2xT_5jpEmt9Ipuu3sv5C8WNdp_nZU2IpeXcQfU/agropromonitor.com.br</t>
  </si>
  <si>
    <t>Tech
Consumer
Enterprise
Software</t>
  </si>
  <si>
    <t>Marketplace
SaaS
Tech Hardware
Social Impact
Artificial Intelligence
Blockchain</t>
  </si>
  <si>
    <t>Technology
Technology
Internet of Things
Semiconductors
Aerospace, Maritime and Defense Tech
Agriculture
Accelerator Batches</t>
  </si>
  <si>
    <t>Geographic Information Systems
IoT Applications
Sensors
NewSpace
Crop Tech
MassChallenge Batches</t>
  </si>
  <si>
    <t>Geographic Information Systems &gt; Location Analytics &gt; Agriculture
IoT Applications &gt; Industry Specific &gt; Agriculture &gt; Farms
Sensors &gt; Industry Applications &gt; Agriculture
NewSpace &gt; Space Services &gt; Imaging &gt; Satellite Based
Crop Tech &gt; Farm Analytics &gt; Satellite Image Based
MassChallenge Batches &gt; Texas In Houston &gt; 2020</t>
  </si>
  <si>
    <t>MassChallenge
Start-Up Chile
MARL 5G Accelerator
Kiuas</t>
  </si>
  <si>
    <t>Sensegrass has developed a smart farming solution for managing fertilizers and detecting crop disease thereby helping to increase the crop yield. It comprises of patented magnetic sensors that measure more 40+ crop and soil parameters. The measured data is combined with hyperspectral images captured by drones and nanosatellites for being processed by proprietary software that uses AI to provide farmers with actionable data, reports, and recommendations to improve their cropping. The target market includes farming companies, seed companies, enterprises dealing in crop insurance, government agencies, among others. Partners include The Youth Hub, Climate Smart Agriculture Youth Network, among others. The company was a part of the accelerator program of Startupbootcamp in 2017.</t>
  </si>
  <si>
    <t>contact@sensegrass.com</t>
  </si>
  <si>
    <t>+91-1412342019</t>
  </si>
  <si>
    <t>Abhishek Khandal; Co-Founder; abhishek@sensegrass.com; https://linkedin.com/in/abhishekkhandal
Lalit Gautam; Co-Founder &amp; CEO; +919024386464; lalit@sensegrass.com; http://linkedin.com/in/lalit-gautam-61241a23; Handscart, United Nations, Bridge for BillionsMisk Foundation, Social Capital Markets, UPRISE Festival Europe, GlobalWEP, La French Tech. Sri Balaji College Of Pharmcy 2009, Malaviya National Institute of Technology MBA 2012
Janmejay Singh; Co-Founder; +919205137675; janmejay23@gmail.com; https://linkedin.com/in/janmejaysingh23; CEO tantrabyte.com, ex- jtcom. FGIET BTech</t>
  </si>
  <si>
    <t>abhishek@sensegrass.com
lalit@sensegrass.com
janmejay23@gmail.com</t>
  </si>
  <si>
    <t>https://linkedin.com/in/abhishekkhandal
http://linkedin.com/in/lalit-gautam-61241a23
https://linkedin.com/in/janmejaysingh23</t>
  </si>
  <si>
    <t>https://www.sensegrass.com</t>
  </si>
  <si>
    <t>https://linkedin.com/company/sensegrass</t>
  </si>
  <si>
    <t>https://twitter.com/sensegrass1</t>
  </si>
  <si>
    <t>https://facebook.com/sensegrass</t>
  </si>
  <si>
    <t>https://tracxn.com/companies/HPZBAd_cXYvApWg7DhyQSmfiHvo2P11_I1Fk5ZmsFEg/sensegrass.com</t>
  </si>
  <si>
    <t>Iganmu</t>
  </si>
  <si>
    <t>Lagos</t>
  </si>
  <si>
    <t>Nigeria</t>
  </si>
  <si>
    <t>Itanna
Kepple Africa Ventures</t>
  </si>
  <si>
    <t>Tradebuza offers a cloud-based platform for purchase order financing. It offers financing solutions to commodities aggregators, exporters, and agricultural processors. It provides tools for tracking out-grower schemes, data management, and aggregators activities from pre-production to harvest.</t>
  </si>
  <si>
    <t>contact@tradebuza.com</t>
  </si>
  <si>
    <t>+234-7060603779</t>
  </si>
  <si>
    <t>Nonso Eze; Co-Founder; http://linkedin.com/in/nonso-eze-6ba94526; PowerTech Nigeria, ex- Venture Garden Group, Co-Founder Chota, TedxIfe</t>
  </si>
  <si>
    <t>http://linkedin.com/in/nonso-eze-6ba94526</t>
  </si>
  <si>
    <t>https://www.tradebuza.com</t>
  </si>
  <si>
    <t>https://linkedin.com/company/tradebuza</t>
  </si>
  <si>
    <t>https://twitter.com/tradebuza</t>
  </si>
  <si>
    <t>http://facebook.com/tradebuza</t>
  </si>
  <si>
    <t>https://tracxn.com/companies/-8eP4WZzCb4XLEXi2xw4oKfBgeb64jLomWiy8s1W_V4/tradebuza.com</t>
  </si>
  <si>
    <t>Tech
Enterprise
Marketplace
SaaS
Software</t>
  </si>
  <si>
    <t>Consumer
Tech Hardware
Social Impact
Artificial Intelligence
Blockchain</t>
  </si>
  <si>
    <t>Jaipur</t>
  </si>
  <si>
    <t>Rajasthan</t>
  </si>
  <si>
    <t>$295K</t>
  </si>
  <si>
    <t>Crop Tech &gt; Post Harvest Management &gt; Quality Testing &gt; Grains</t>
  </si>
  <si>
    <t>Nebulaa's Matt is a crop quality assessment system. Grain analyzer assesses the quality of the crop sample using advanced computer vision and deep learning technology. Addressing the problem of price-quality mismatch by having a standard quality assessment tool. The analyzer can connect to any service like e-mandi etc. over the network. Vernacular languages support available.</t>
  </si>
  <si>
    <t>info@nebulaa.in</t>
  </si>
  <si>
    <t>+91-856095337</t>
  </si>
  <si>
    <t>Mohit Dadhich; Co-Founder; +919636546079; mohitdadhich897@gmail.com; https://linkedin.com/in/mohit-dadhich-2929574b; Ex-Aha 3D Innovations, Automobile Club. IIT Jodhpur BTech 2015
Yogesh Gupta; Co-Founder &amp; CTO; yogesh@nebulaa.in; http://linkedin.com/in/yogesh-gupta-25679161; Ex-OYO Rooms, Housing, ARM, Co-Founder Zopkorn. IIT Jodhpur BTech 2014
Tanmay Sethi; Co-Founder; +918560953375; tanmay@nebulaa.in; http://linkedin.com/in/tanmay-sethi-69815243; Ex-Aha 3D Innovations, Trident Group India, The Energy and Resources Institute. IIT Jodhpur 2014</t>
  </si>
  <si>
    <t>mohitdadhich897@gmail.com
mohit@nebulaa.in
yogesh@nebulaa.in
tanmay@nebulaa.in</t>
  </si>
  <si>
    <t>https://linkedin.com/in/mohit-dadhich-2929574b
http://linkedin.com/in/yogesh-gupta-25679161
http://linkedin.com/in/tanmay-sethi-69815243</t>
  </si>
  <si>
    <t>Abhishek Anand
Mohit Dadhich
Tanmay Sethi</t>
  </si>
  <si>
    <t>http://www.nebulaa.in</t>
  </si>
  <si>
    <t>http://linkedin.com/company/13195387</t>
  </si>
  <si>
    <t>https://tracxn.com/companies/oW2SeGpL7ia-MWtVNmPsSK2ghphIuWXWcPj9NVnguyI/nebulaa.in</t>
  </si>
  <si>
    <t>Tech
Enterprise
Artificial Intelligence
Software</t>
  </si>
  <si>
    <t>Yogyakarta</t>
  </si>
  <si>
    <t>IoT Applications
Aquaculture Tech</t>
  </si>
  <si>
    <t>IoT Applications &gt; Industry Specific &gt; Agriculture &gt; Aquaculture
Aquaculture Tech &gt; Farm Monitoring &gt; Shrimps &gt; Water Quality</t>
  </si>
  <si>
    <t>Conservation
Hatch Blue
Brinc
Instellar
500 Startups
GIST Network</t>
  </si>
  <si>
    <t>Jala is an IoT device for monitoring water condition in the shrimp farm. The device can be submerged in the pond and is equipped with multiple sensors for monitoring parameters like dissolved oxygen, temperature, humidity, pH, salinity, and TDS (total dissolved solids). It collects the above-mentioned data and sends the same, in real-time, to the cloud. The company additionally provides a web-based portal wherein the collected data is processed and uses decision-making algorithms to produce actionable insights for the farmers. Also provides a companion application enabling the farmers to access data in case there is no internet connectivity. Claims that in March 2015, it won a grant from ASME. One of the clients includes Shrimp Club Indonesia.</t>
  </si>
  <si>
    <t>contact@jala.tech</t>
  </si>
  <si>
    <t>+62-274898269</t>
  </si>
  <si>
    <t>Syauqy Nurul Aziz; Co-Founder; http://linkedin.com/in/syauqyaziz; Ex-Amagine Interactive, Cofounder My Electrical Romance, Gadjah Mada Aerospace. UGM BE 2014
Aryo Wiryawan; Co-Founder; http://linkedin.com/in/aryo-wiryawan-a218173b; CEO INDMIRA, Citra Nusa Niaga, Cofoun der Ennergi Motorsport &amp; Alvin Photography Studio. Universitas Islam Indonesia 2004
Raynalfie Budhy Rahardjo; Co-Founder; http://linkedin.com/in/raynalfie-budhy-rahardjo-780b73118; Ex-UGM. UGM MBA 2017</t>
  </si>
  <si>
    <t>http://linkedin.com/in/syauqyaziz
http://linkedin.com/in/aryo-wiryawan-a218173b
http://linkedin.com/in/raynalfie-budhy-rahardjo-780b73118</t>
  </si>
  <si>
    <t>https://jala.tech/</t>
  </si>
  <si>
    <t>http://linkedin.com/company/10818165</t>
  </si>
  <si>
    <t>http://twitter.com/jalaiot</t>
  </si>
  <si>
    <t>http://facebook.com/atnicco</t>
  </si>
  <si>
    <t>http://medium.com/atnic</t>
  </si>
  <si>
    <t>https://tracxn.com/companies/cQKg1q1y1ak-ndj0TnKr-VQ3raDY-XuCwju9-9NQ4zg/jala.tech</t>
  </si>
  <si>
    <t>$80K</t>
  </si>
  <si>
    <t>Security &amp; Surveillance Technology
Crop Tech</t>
  </si>
  <si>
    <t>Security &amp; Surveillance Technology &gt; Location Tracking &gt; Vehicle Tracking
Crop Tech &gt; Autonomous Farming &gt; Diversified</t>
  </si>
  <si>
    <t>Start-Up Chile
ACE Startups</t>
  </si>
  <si>
    <t>Agrotrac provides transport monitoring solution for the agriculture industry. It offers a product known as Agrotrac GPS Tracker, which is a GPS device connected with the vehicle, emit a remote signal and store information.</t>
  </si>
  <si>
    <t>contacto@agrotrac.cl</t>
  </si>
  <si>
    <t>+56-976495582</t>
  </si>
  <si>
    <t>https://agrotrac.cl/</t>
  </si>
  <si>
    <t>https://tracxn.com/companies/cYRk_oF8Yyfj1LntaNoT05xS-X-1SoHIb2yZrbNDBKg/agrotrac.cl</t>
  </si>
  <si>
    <t>Consumer
Marketplace
SaaS
Social Impact
Artificial Intelligence</t>
  </si>
  <si>
    <t>Juiz De Fora</t>
  </si>
  <si>
    <t>Livestock Tech &gt; Livestock Management Software</t>
  </si>
  <si>
    <t>Scanner Bovino is a herd management platform that offers traceability and identification solutions for livestock management. It uses the OCR (Optical Character Recognition) algorithms to identify animals. Allows users to manage animals offline using the smartphone camera. The app is available for the Android platform.</t>
  </si>
  <si>
    <t>Pedro Duim; Co-Founder; pedro.duim@scannerbovino.com; https://linkedin.com/in/pedro-duim-063672134; Federal Institute of Education 2011, Juiz de Fora Federal University 2018</t>
  </si>
  <si>
    <t>pedro.duim@scannerbovino.com</t>
  </si>
  <si>
    <t>https://linkedin.com/in/pedro-duim-063672134</t>
  </si>
  <si>
    <t>http://www.scannerbovino.com</t>
  </si>
  <si>
    <t>https://linkedin.com/company/scanner-bovino/about</t>
  </si>
  <si>
    <t>https://facebook.com/scannerbovino</t>
  </si>
  <si>
    <t>https://tracxn.com/companies/78RqFJ34lp6ebFuGThkn6hoJGLIvj-1VEH_SIJ4OOHY/scannerbovino.com</t>
  </si>
  <si>
    <t>Tech
Consumer
Software
Tech Hardware
Artificial Intelligence</t>
  </si>
  <si>
    <t>Enterprise
Marketplace
SaaS
Social Impact
Blockchain</t>
  </si>
  <si>
    <t>Kampala</t>
  </si>
  <si>
    <t>Kampala District</t>
  </si>
  <si>
    <t>Uganda</t>
  </si>
  <si>
    <t>$28K</t>
  </si>
  <si>
    <t>Jaguza farm provides livestock farm monitoring solutions. It provides microchips which can be placed on cattle to collect data and monitor livestock animals through the companion mobile application. It provides information including the heart rate, respiratory rate, blood pressure, and location of farm animals. Also, collects aerial images of livestock farms leveraging drone technology and allows users to access real-time updates on their livestock farms. Also, offers identification and traceability solutions. Additionally, offers solutions to manage farm inventory, animal health, farm information, etc.</t>
  </si>
  <si>
    <t>info@jaguzafarm.com</t>
  </si>
  <si>
    <t>+256-414660365</t>
  </si>
  <si>
    <t>Katamba Ronald; Founder; katambaronald@gmail.com; https://linkedin.com/in/katamba-ronald-515303a9; Founder &amp; CEO Afrosoft IT Solution, ex- ESAFF UGANDA and UOSPA, Techno Brain, NameTechnology Associates. Makerere University</t>
  </si>
  <si>
    <t>katambaronald@gmail.com</t>
  </si>
  <si>
    <t>https://linkedin.com/in/katamba-ronald-515303a9</t>
  </si>
  <si>
    <t>https://jaguzafarm.com/</t>
  </si>
  <si>
    <t>https://twitter.com/jaguza_app</t>
  </si>
  <si>
    <t>https://facebook.com/jaguzalivestockapp</t>
  </si>
  <si>
    <t>http://jaguzafarm.com/blog</t>
  </si>
  <si>
    <t>https://tracxn.com/companies/whv_EZ5D5LnUItVIm1vNvdWld1ITMM3CSTljl6jVKeM/jaguzafarm.com</t>
  </si>
  <si>
    <t>Consumer
SaaS
Marketplace
Tech Hardware
Social Impact
Blockchain</t>
  </si>
  <si>
    <t>Johannesburg</t>
  </si>
  <si>
    <t>Gauteng</t>
  </si>
  <si>
    <t>South Africa</t>
  </si>
  <si>
    <t>$20K</t>
  </si>
  <si>
    <t>Crop Tech &gt; ECommerce &gt; Farm Produce &gt; B2C &gt; Fruits and Vegetables &gt; Marketplace</t>
  </si>
  <si>
    <t>Khula is an online marketplace for agriculture products. It provides a platform for the farmers to list out their products for sale and the consumers to place the order from preferred producers and suppliers. Also, provides a platform for delivery service providers to register and deliver the orders. Also, allows the farmers to buy farm inputs at discounted prices. The platform is available as an Android mobile application for the users. It serves the customers of Gauteng, South Africa.</t>
  </si>
  <si>
    <t>dev@khula.co.za</t>
  </si>
  <si>
    <t>Matthew Piper; Founder; matthewp@khula.co.za; http://linkedin.com/in/matthew-piper; Founder MoneyTree Group, ex-Director Made with Rural. University of Cape Town BBS 2017</t>
  </si>
  <si>
    <t>matthewp@khula.co.za</t>
  </si>
  <si>
    <t>http://linkedin.com/in/matthew-piper</t>
  </si>
  <si>
    <t>https://khula.co.za</t>
  </si>
  <si>
    <t>http://linkedin.com/company/khulaagriculturetechnology</t>
  </si>
  <si>
    <t>http://twitter.com/khulaapp</t>
  </si>
  <si>
    <t>http://facebook.com/khulaapp</t>
  </si>
  <si>
    <t>https://tracxn.com/companies/Jtcj1ayh5bQOEQOUh5NKnUNUhIsavsFE2tMgUhTjhTw/khula.co.za</t>
  </si>
  <si>
    <t>Marketplace
SaaS
Tech Hardware
Social Impact
Artificial Intelligence</t>
  </si>
  <si>
    <t>Dhaka</t>
  </si>
  <si>
    <t>Dhaka District</t>
  </si>
  <si>
    <t>Bangladesh</t>
  </si>
  <si>
    <t>$74K</t>
  </si>
  <si>
    <t>iFarmer is an online crowdfunding platform for farming communities. It enables an individual to invest in farming and livestock enterprises of Bangladesh. The platform connects farmers, landowners, sponsors, and crop buyers and creates a farming supply chain and allows sponsors to fund projects for a social cause or share the profits from farming businesses.</t>
  </si>
  <si>
    <t>info@ifarmer.asia</t>
  </si>
  <si>
    <t>+88-01675101938</t>
  </si>
  <si>
    <t>Jamil Akbar; Co-Founder &amp; COO; https://linkedin.com/in/jamil-akbar-8399926a; Co-Founder Misfit Technologies, Graphic People, ex-Tiger IT Bangladesh. North South University 2010.
Fahad I; Co-Founder; https://linkedin.com/in/misfit; Director Misfit Technologies, SPRING Accelerator, EDGE, CARE. Asian Institute of Technology 2012, North South University MSc 2013.</t>
  </si>
  <si>
    <t>https://linkedin.com/in/jamil-akbar-8399926a
https://linkedin.com/in/misfit</t>
  </si>
  <si>
    <t>https://www.ifarmer.asia</t>
  </si>
  <si>
    <t>https://linkedin.com/company/ifarmerasia</t>
  </si>
  <si>
    <t>https://twitter.com/ifarmer_asia</t>
  </si>
  <si>
    <t>https://facebook.com/ifarmerasia</t>
  </si>
  <si>
    <t>https://tracxn.com/companies/Tu3RtgoVYZMXNUx8mDPdb9fOt6GymzyvXD2rrcRRcCc/ifarmer.asia</t>
  </si>
  <si>
    <t>Consumer
SaaS
Marketplace
Software
Tech Hardware
Social Impact
Artificial Intelligence</t>
  </si>
  <si>
    <t>Belo Horizonte</t>
  </si>
  <si>
    <t>BeGreen is a platform offering hydroponic based products. The company products include products for indoor farming. The products include pots and planters, seeds, and planting accessories.</t>
  </si>
  <si>
    <t>Giuliano Bittencourt; CEO; giuliano@begreen.farm; https://linkedin.com/in/giulianobittencourt; Ex- Minas Gerais State Office for Strategic Priorities, SEED, Joao Pinheiro Consultoria Junior.</t>
  </si>
  <si>
    <t>giuliano@begreen.farm</t>
  </si>
  <si>
    <t>https://linkedin.com/in/giulianobittencourt</t>
  </si>
  <si>
    <t>https://www.begreen.farm</t>
  </si>
  <si>
    <t>https://linkedin.com/company/begreen-farm</t>
  </si>
  <si>
    <t>https://facebook.com/begreen.farm</t>
  </si>
  <si>
    <t>https://tracxn.com/companies/LfQTkoSpo8eD567hfOCTDjmfQyTWDZfyxAR73jadolI/begreen.farm</t>
  </si>
  <si>
    <t>Field Force Automation
Crop Tech</t>
  </si>
  <si>
    <t>Field Force Automation &gt; Agricultural industry
Crop Tech &gt; Farm Management Software &gt; Diversified</t>
  </si>
  <si>
    <t>GIRA develops and offers agriculture receivables management system. It enables the user to monitor farm operations through a risk map accompanying the rural product certificate. Also, enables the users to demarcate the area and set survey dates according to the crop. Also, generates post-germination and post-granulation reports during the surveys. The platform is accessible through its Android mobile application.</t>
  </si>
  <si>
    <t>https://www.gira.com.br</t>
  </si>
  <si>
    <t>https://linkedin.com/company/gira---gest%C3%A3o-integrada-de-receb%C3%ADveis-do-agroneg%C3%B3cio</t>
  </si>
  <si>
    <t>http://facebook.com/cprgira</t>
  </si>
  <si>
    <t>https://tracxn.com/companies/KH2Y5dNqE68fajPl_bwX9jtqqE6x8P9_FZ9hS0kkbZk/gira.com.br</t>
  </si>
  <si>
    <t>Shunwei Capital
GGV Capital
Zhen Fund
Gobi Partners
Yunqi Partners
YI Capital</t>
  </si>
  <si>
    <t>FarmFriend is a  provider of farming services to farmers. The company claims to offer digital agricultural services for crops like rice, corn, wheat, etc. IT also claims to offer services like data monitoring, order planting, modern cotton picking, machinery harvesting, fly protection, etc. Its features include digital job management, after-sales maintenance, insurance protection, quality order, etc.</t>
  </si>
  <si>
    <t>public@farmfriend.cn</t>
  </si>
  <si>
    <t>+86-4000627595</t>
  </si>
  <si>
    <t>Yu Yang; Co-Founder &amp; CEO; National University OF Defense Technology MSc
Meng Fanqi; Co-Founder; China Agricultural University
Hou Xiaoxiao; Co-Founder; Ex-Goldman Sachs. Peking University MBA</t>
  </si>
  <si>
    <t>irrigation.com.cn</t>
  </si>
  <si>
    <t>http://www.farmfriend.cn</t>
  </si>
  <si>
    <t>https://tracxn.com/companies/OLMPZdxTSeze2SmF4J5F_6yHv4ALkjnSECaa0-TJtkA/farmfriend.cn</t>
  </si>
  <si>
    <t>Enterprise
Consumer
Tech</t>
  </si>
  <si>
    <t>Marketplace
SaaS
Tech Hardware
Software
Social Impact
Artificial Intelligence
Blockchain</t>
  </si>
  <si>
    <t>Betim</t>
  </si>
  <si>
    <t>Minas Gerais</t>
  </si>
  <si>
    <t>Intergado develops and offers an integrated herd management system. The system Intergado collects the animal data from electronic troughs, weighing scales, feeder systems etc. The automatic drinking troughs, weighing stations automatically generate accurate data on individual live animal weights and water consumption to evaluate daily weight gain, feed conversion, ideal slaughter point, economic efficiency points etc. It also enables the user to identify diseased and inefficient animals and monitor the livestock. Also, provides reports on behavioral, physiological and productive parameters of the animals and provides assistance in decision making.</t>
  </si>
  <si>
    <t>contato@intergado.com.br</t>
  </si>
  <si>
    <t>+55-31998256946</t>
  </si>
  <si>
    <t>Marcelo Ribas; CEO; marcelo@intergado.com.br; https://linkedin.com/in/marcelo-neves-ribas-64713934; ex-Seva Engenharia, Value Farming Guidelines. UFMG - Federal University of Minas Gerais</t>
  </si>
  <si>
    <t>marcelo@intergado.com.br</t>
  </si>
  <si>
    <t>https://linkedin.com/in/marcelo-neves-ribas-64713934</t>
  </si>
  <si>
    <t>https://www.intergado.com.br</t>
  </si>
  <si>
    <t>https://linkedin.com/company/intergado</t>
  </si>
  <si>
    <t>https://twitter.com/intergadobr</t>
  </si>
  <si>
    <t>http://facebook.com/intergado</t>
  </si>
  <si>
    <t>https://tracxn.com/companies/5qBRq7Di56WWyRdU_jwPYoXirzP3QmAsN2i0LggJMxo/intergado.com.br</t>
  </si>
  <si>
    <t>Enterprise
Tech
Tech Hardware</t>
  </si>
  <si>
    <t>Depok</t>
  </si>
  <si>
    <t>FinTech
FinTech
Agriculture
Agriculture</t>
  </si>
  <si>
    <t>Crowdfunding
Islamic FinTech
Crop Tech
Aquaculture Tech</t>
  </si>
  <si>
    <t>Crowdfunding &gt; Revenue Sharing &gt; Agriculture
Islamic FinTech &gt; Crowdfunding &gt; Revenue Sharing &gt; Livestock
Crop Tech &gt; Finance &gt; Crowdfunding
Aquaculture Tech &gt; Online Investment Platforms</t>
  </si>
  <si>
    <t>inFishta is an online platform connecting investors with fish farmers. It allows investors to choose the cultivation method, determine the funds to be invested, and invest in fish farming projects. Users can receive real-time updates on the projects they invest and earn from profits.</t>
  </si>
  <si>
    <t>infishta@gmail.com</t>
  </si>
  <si>
    <t>Ferry Alif Purnama Sugandhi; CEO; ferry@infishta.com; https://linkedin.com/in/ferryalif; Pesma YKM Feui. University of Indonesia SE 2017</t>
  </si>
  <si>
    <t>ferry@infishta.com</t>
  </si>
  <si>
    <t>https://linkedin.com/in/ferryalif</t>
  </si>
  <si>
    <t>https://www.infishta.com</t>
  </si>
  <si>
    <t>https://linkedin.com/company/infishta/about</t>
  </si>
  <si>
    <t>https://facebook.com/infishta-1973256992896923</t>
  </si>
  <si>
    <t>http://infishta.com/blogs</t>
  </si>
  <si>
    <t>https://tracxn.com/companies/_OLUFpaBSOZEmPNXnq58UAgKqYAyixWaDAzA1kOU8Cg/infishta.com</t>
  </si>
  <si>
    <t>Haifa</t>
  </si>
  <si>
    <t>Haifa District</t>
  </si>
  <si>
    <t>Crop Tech &gt; Farming as a Service &gt; Tech Enabled Services &gt; Pollination</t>
  </si>
  <si>
    <t>edete Precision Agriculture Technologies is developing automated precision mechanical pollination machines. The company's devices will enable extraction and storage of pollen and subsequently enable mechanical pollination in fruit orchards or vegetable farms using autonomous devices such as drones or vehicle mounted pollinators.  The pollen used in deployment will be tested in its chemical laboratories for germination. The pollinators would have on board sensing systems and would use proprietary algorithms to achieve precise pollination of each plant and a large number of plants in a significantly lesser amount of time as compared to manual or insect / bird based pollination, as claims by the company. The company also claims to have successfully demonstrated its system for almond orchards.</t>
  </si>
  <si>
    <t>+972-775055810</t>
  </si>
  <si>
    <t>Ori Inbar; Co-Founder
Elad Etgar; Co-Founder
Eylam Ran; Co-Founder &amp; CEO; +972542872262; eylam@edetepta.com; http://linkedin.com/in/eylam-ran-2909a3110; Ex- Plasan Sasa. Isarael Institute of Technology BASc 2005
Keren Mimran; Co-Founder; +972545819651; keren@edetepta.com; http://linkedin.com/in/keren-mimran-36883114; Ex- Founder Koranit Projects, StoreNext, E &amp; Y, ERGO Consulting Group. The Hebrew University of Jerusalem MBA 1995</t>
  </si>
  <si>
    <t>eylam@edetepta.com
keren@edetepta.com</t>
  </si>
  <si>
    <t>http://linkedin.com/in/eylam-ran-2909a3110
http://linkedin.com/in/keren-mimran-36883114</t>
  </si>
  <si>
    <t>https://www.edetepta.com</t>
  </si>
  <si>
    <t>http://linkedin.com/company/edete-precision-technologies-for-agriculture</t>
  </si>
  <si>
    <t>https://tracxn.com/companies/H0nrh8Giq_DHzAZvCWsdDiDST7r94DxhaZNRmGNJX14/edetepta.com</t>
  </si>
  <si>
    <t>Consumer
Marketplace
SaaS
Software
Tech Hardware
Social Impact
Innovative
Artificial Intelligence
High IP
Goods
Service
Looks Scalable
Chain
Not for Profit
Blockchain</t>
  </si>
  <si>
    <t>Dakar</t>
  </si>
  <si>
    <t>Senegal</t>
  </si>
  <si>
    <t>FinTech
FinTech
FinTech
Agriculture</t>
  </si>
  <si>
    <t>Alternative Lending
Investment Tech
Crowdfunding
Crop Tech</t>
  </si>
  <si>
    <t>Alternative Lending &gt; Online Lenders &gt; Consumer Loans &gt; Farm Loans &gt; Marketplace
Investment Tech &gt; Alternative Investment Platforms &gt; Equity Crowdfunding &gt; Agriculture
Crowdfunding &gt; Equity &gt; Agriculture
Crop Tech &gt; Finance &gt; Crowdfunding</t>
  </si>
  <si>
    <t>BaySeddo is an online crowdfunding platform for agribusinesses. It allows investors to invest in agriculture projects by buying agriculture shares for a limited duration of 6-12 months. Investors can earn returns at the end of cropping seasons. It provides a mobile application for investors to track their investments and project status in real-time.</t>
  </si>
  <si>
    <t>contact@bayseddo.com</t>
  </si>
  <si>
    <t>+221-773793888</t>
  </si>
  <si>
    <t>Mamadou Sall; Co-Founder &amp; CEO; https://linkedin.com/in/mamadou-sall-a06671b5; CEO Next Dream. Universite Gaston Berger De SAINT Louis Master Sciences 2015</t>
  </si>
  <si>
    <t>https://linkedin.com/in/mamadou-sall-a06671b5</t>
  </si>
  <si>
    <t>https://www.bayseddo.com</t>
  </si>
  <si>
    <t>https://linkedin.com/company/bayseddo/about</t>
  </si>
  <si>
    <t>https://twitter.com/bayseddo</t>
  </si>
  <si>
    <t>https://facebook.com/bayseddo</t>
  </si>
  <si>
    <t>https://tracxn.com/companies/6X8zPpb5nv-oOveMUUeZ9YOXfy9QyYZj_HBtLVMAf5A/bayseddo.com</t>
  </si>
  <si>
    <t>Tech
Enterprise
Consumer</t>
  </si>
  <si>
    <t>Crop Tech &gt; ECommerce &gt; Diversified &gt; Marketplace</t>
  </si>
  <si>
    <t>National Social Security Fund
Growth Africa</t>
  </si>
  <si>
    <t>Famunera is an online marketplace for agriculture products. It enables farmers to sell their farm produce to verified agro-processors and buy farm inputs such as seeds, fertilizers, pesticides, equipment, agriculture extension services, consultancy services, plant &amp; animal inputs, etc. from authorised suppliers across Africa.</t>
  </si>
  <si>
    <t>trade@famunera.com</t>
  </si>
  <si>
    <t>+256-786224601</t>
  </si>
  <si>
    <t>Nammanda Lydia; Co-Founder
Naika Enock Julius; Founder &amp; CEO; naiken@famunera.com; https://linkedin.com/in/naika-enock-julius-292bb657; Victoria University Kampala BSc, Cavendish University 2014
Joel Barnabas Ojema; Co-Founder &amp; CFO; ojemajoel@gmail.com; https://linkedin.com/in/ojema-joel-23166651; Ex- Imuka Ventures, Cellulant. The University of Buckingham BBMIS 2013, International University of East Africa BBA 2015, Management And Accountancy Training College ACCA 2016</t>
  </si>
  <si>
    <t>naiken@famunera.com
ojemajoel@gmail.com
joel.ojema@famunera.com</t>
  </si>
  <si>
    <t>https://linkedin.com/in/naika-enock-julius-292bb657
https://linkedin.com/in/ojema-joel-23166651</t>
  </si>
  <si>
    <t>https://www.famunera.com</t>
  </si>
  <si>
    <t>https://twitter.com/famuneraonline</t>
  </si>
  <si>
    <t>https://facebook.com/famuneraonline</t>
  </si>
  <si>
    <t>https://tracxn.com/companies/oM2LWV1DBAibNdFTYpQUSbaeW9nT2DIze2xgZy2jluo/famunera.com</t>
  </si>
  <si>
    <t>IKP Knowledge Park
Sathguru Catalyser Advisors</t>
  </si>
  <si>
    <t>Glenda Weber Polack</t>
  </si>
  <si>
    <t>Telluris Biotech is a company engaged in the manufacturing and supply of crop protection solutions for farmers and growers. Its product portfolio includes 4 different products against plant-parasitic pathogens such as root-knot nematode Meloidogyne incognita. The company is still under the process of field trials for registration of products. In addition, it is also developing protocols for food processing facilities for two molecular methodologies to simultaneously detect Salmonella typhimurium, E. coli, etc with is a single food sample.</t>
  </si>
  <si>
    <t>+91-8333048333
+91-8333068333</t>
  </si>
  <si>
    <t>Venu Polineni; Founder &amp; MD; +918333068333; vpolineni5@gmail.com; http://linkedin.com/in/venu-polineni-4701ab24; ex-UC Merced, Telluris Mineral Traders. Osmania University BS 2005, Sri Venkateswara University MS 2007, California State University MS 2010, UC Davis MBA 2015
Kalavathi; Co-Founder</t>
  </si>
  <si>
    <t>vpolineni5@gmail.com
vpolineni@tellurisbiotech.com</t>
  </si>
  <si>
    <t>http://linkedin.com/in/venu-polineni-4701ab24</t>
  </si>
  <si>
    <t>https://tellurisbiotech.com/</t>
  </si>
  <si>
    <t>https://tracxn.com/companies/3zeAQQTIjDZ-vgadhZQJg2ydad15uJLmcH76hmBASK0/tellurisbiotech.com</t>
  </si>
  <si>
    <t>Dongguan</t>
  </si>
  <si>
    <t>Crop Tech &gt; Farm Management Software</t>
  </si>
  <si>
    <t>Bright Venture Capital
Cambrian Venture
HKSTP</t>
  </si>
  <si>
    <t>Dongguan Sesame Network Technology provides agricultural cloud computing solutions. It developed the Agricultural Products Enterprise Management System, that enables wholesalers of agriculture supply chain manage invoicing process, multiple store inventory, statistical data, and analysis. Also, provides other technical services for government and private enterprises.</t>
  </si>
  <si>
    <t>+86-4006228882</t>
  </si>
  <si>
    <t>https://www.zhimadi.cn</t>
  </si>
  <si>
    <t>https://linkedin.com/company/%E4%B8%9C%E8%8E%9E%E5%B8%82%E8%8A%9D%E9%BA%BB%E5%9C%B0%E7%BD%91%E7%BB%9C%E7%A7%91%E6%8A%80%E6%9C%89%E9%99%90%E5%85%AC%E5%8F%B8/about</t>
  </si>
  <si>
    <t>https://tracxn.com/companies/UCP8xSeRuqNMVvTiaorRLsGt22rPUQ37a7m1KM1t8ws/zhimadi.cn</t>
  </si>
  <si>
    <t>Consumer
Marketplace
Tech Hardware
Social Impact
Artificial Intelligence</t>
  </si>
  <si>
    <t>Vitacura</t>
  </si>
  <si>
    <t>Crop Tech &gt; Farm Inputs &gt; Biologicals &gt; Crop Protection &gt; Microbes
Chemicals Tech &gt; Green Chemicals &gt; Crop Protection &gt; Microbes</t>
  </si>
  <si>
    <t>Botanical Solutions is a manufacturer and supplier of biopesticide. It offers Botristop, a biochemical biopesticide that directly acts on the pathogen Botrytis Cinera upon its contact. It can be used in fruit crops and horticulture crops.</t>
  </si>
  <si>
    <t>contacto@botanicalsolutions.cl</t>
  </si>
  <si>
    <t>+569-97836645</t>
  </si>
  <si>
    <t>Gaston salinas; Co-Founder &amp; General Manager; https://linkedin.com/in/gast%C3%B3n-salinas-6b031b2; Ex-Founder Latinnovators, Telefónica Chile, Ingalfarma. University of California, Berkeley, Haas School of Business 2014
Gustavo Zuniga Libano; Co-Founder; https://linkedin.com/in/gustavozunigal; Universidad de Santiago de Chile 2015</t>
  </si>
  <si>
    <t>https://linkedin.com/in/gast%C3%B3n-salinas-6b031b2
https://linkedin.com/in/gustavozunigal</t>
  </si>
  <si>
    <t>http://botanicalsolutions.cl/</t>
  </si>
  <si>
    <t>https://linkedin.com/company/botanical-solutions-spa/about</t>
  </si>
  <si>
    <t>https://tracxn.com/companies/7bZme_z-8YWWiCHyF0cRmR3uYJ9heR8ZMgIJ9Fme_aM/botanicalsolutions.cl</t>
  </si>
  <si>
    <t>Hubei</t>
  </si>
  <si>
    <t>Jiangxi Sheng</t>
  </si>
  <si>
    <t>Enterprise Applications
Technology
Agriculture</t>
  </si>
  <si>
    <t>Data as a Service
Geographic Information Systems
Crop Tech</t>
  </si>
  <si>
    <t>Data as a Service &gt; Industries &gt; Agriculture and Forestry Data &gt; Agronomic Intelligence
Geographic Information Systems &gt; Location Analytics &gt; Agriculture
Crop Tech &gt; Farm Analytics &gt; Satellite Image Based</t>
  </si>
  <si>
    <t>Empower Investment
Jun Sheng Investment Management
Wuhan Optical Valley Talent Innovation Investment
Cash Capital</t>
  </si>
  <si>
    <t>Wuhan Yihe Technology provides satellite-based geographical data for agricultural industries. It enables users to extract, process and classify geographical data captured through satellite remote sensing technology. It also allows users to write queries, analyze data and provides insights and solutions for crop planting, agricultural statistics and predict the market insights. It provides data related to crop distribution, crop yield, soil moisture, drought index and crop growth.</t>
  </si>
  <si>
    <t>market@datall.cn</t>
  </si>
  <si>
    <t>+86-2781562688</t>
  </si>
  <si>
    <t>Wei Leng; Founder &amp; CEO; lengwei@datall.cn</t>
  </si>
  <si>
    <t>lengwei@datall.cn</t>
  </si>
  <si>
    <t>https://www.datall.cn</t>
  </si>
  <si>
    <t>https://tracxn.com/companies/dTZRZf2xU7VSilgicsbYiDhVw4_Hsfdsod6g3pM1EBk/datall.cn</t>
  </si>
  <si>
    <t>Tech
Enterprise
SaaS
Artificial Intelligence</t>
  </si>
  <si>
    <t>$114K</t>
  </si>
  <si>
    <t>Rivigo
Innoven Capital
Lightstone
Lightbox
Northern Arc
Caspian Impact Investment Adviser
Sakal Media
IndusInd Bank
Aspada Investments
FMO</t>
  </si>
  <si>
    <t>Meenakshi Mangaleswaran
Madhu Krishnaswamy
CK Ranganathan
V Kavita
Thailambal Chandramohan
N Vimala
Ishwar Subramanian
Rahul Sankhe
Ramesh Mangaleswaran
Chinna Pardhasaradhi
Ishwar Subramaniam
Deepak Garg
Senthilkumar Natarajan</t>
  </si>
  <si>
    <t>WayCool is an E-distributor of farm products. The company procures fruits, dairy, and vegetables directly from farmers, aggregators, and cooperatives to supply hotels, restaurants, retailers, and wholesalers. It distributes to retail outlets under the brand, “SunnyBee”. Clients include The French Loaf, Nilgiris, Dell, Nokia, Dell, Heritage, Swiggy, and others.</t>
  </si>
  <si>
    <t>info@waycool.in</t>
  </si>
  <si>
    <t>+91-9500168299</t>
  </si>
  <si>
    <t>Alok Singh; Co-Founder; aloksingh@gmail.com; http://linkedin.com/in/alokalokk; ex-M-BIZ Global, Buongiorno, News Trust of India, Kamyab Infotech. Asian Institute of Management 2007
Sanjay Dasari; Co-Founder; +919841405897; sunnyd.dasari@gmail.com; https://linkedin.com/in/sanjaydasari; Co-Founder SunnyBee &amp; VijayGanga Speciality Care, ex-LugMug, AID India. Babson College 2015
Vignesh Kumar Manogaran; Co-Founder; vignesh.manogaran@waycool.in; https://linkedin.com/in/vigneshkumarm
Karthik Jayaraman; Co-Founder; +919094040990; karthik.jayaraman@waycool.in; https://linkedin.com/in/karthik-jayaraman-87924a1; Ex-Ashok Leyland, McKinsey, Timken, Tata Motors. IIT Madras BTech 1996, Purdue University MS 1998, ISB MBA 2004</t>
  </si>
  <si>
    <t>aloksingh@gmail.com
sunnyd.dasari@gmail.com
sanjay.dasari@waycool.in
sanjay.dasari@sunnybee.in
vignesh.manogaran@waycool.in
karthik.jayaraman@waycool.in</t>
  </si>
  <si>
    <t>http://linkedin.com/in/alokalokk
https://linkedin.com/in/sanjaydasari
https://linkedin.com/in/vigneshkumarm
https://linkedin.com/in/karthik-jayaraman-87924a1</t>
  </si>
  <si>
    <t>Sarita Dasari</t>
  </si>
  <si>
    <t>benanifoods.com
aalgro.com</t>
  </si>
  <si>
    <t>https://www.waycool.in</t>
  </si>
  <si>
    <t>https://linkedin.com/company/waycoolfoods/about</t>
  </si>
  <si>
    <t>https://twitter.com/waycoolfoods</t>
  </si>
  <si>
    <t>https://facebook.com/waycoolfoods</t>
  </si>
  <si>
    <t>https://tracxn.com/companies/L7BrYzT7rf3zA_0ARWNqbF6Fwt4AYTqU72z0t1IpHzM/waycool.in</t>
  </si>
  <si>
    <t>Consumer
Marketplace
SaaS
Blockchain
Software
Tech Hardware
Social Impact
Artificial Intelligence</t>
  </si>
  <si>
    <t>Secunderabad</t>
  </si>
  <si>
    <t>Andhra Pradesh</t>
  </si>
  <si>
    <t>$6M</t>
  </si>
  <si>
    <t>Crop Tech &gt; Farm Inputs &gt; Seeds &gt; Field Crops &gt; Hybrid</t>
  </si>
  <si>
    <t>Narayana Reddy Punyala; Founder &amp; Managing Director; https://linkedin.com/in/pnreddy16; ex-JK AGRI-GENETICS, Madras Fertilisers Ltd. NIBM,CHENNAI MBA 2007
Anitha K</t>
  </si>
  <si>
    <t>https://linkedin.com/in/pnreddy16</t>
  </si>
  <si>
    <t>http://www.nugenes.net</t>
  </si>
  <si>
    <t>https://tracxn.com/companies/wIb6GrKxqrMQkqDe4uvsXxePEOGu82KjW27wmjFn5YY/nugenes.net</t>
  </si>
  <si>
    <t>Consumer
Tech</t>
  </si>
  <si>
    <t>Crop Tech &gt; Autonomous Farming &gt; Irrigation</t>
  </si>
  <si>
    <t>Beijing Caipos Technology provides integrated hardware and software platforms for real-time monitoring of soil &amp; climatic parameters of farm fields, data analytics to provide decision support for pest modeling, irrigation scheduling etc, and automation of irrigation operations. The hardware has soil sensors and climatic weather stations which stream data on a real-time basis to a master node that subsequently streams the captured data to a cloud where it is analyzed. Through analysis, pest modeling is done in order to provide early warning signs of a probable pest infestation. The irrigation operation can be automated by integrating the monitoring module with automation module that controls irrigation valves. It also provides a real-time monitoring and irrigation automation system for greenhouse cultivation operation.</t>
  </si>
  <si>
    <t>+86-01068781955</t>
  </si>
  <si>
    <t>http://www.kebaiiot.com</t>
  </si>
  <si>
    <t>https://tracxn.com/companies/bD1wTOTZRth_dwnUSlrx-wvWUH3aThLlu2vwGbL84wg/kebaiiot.com</t>
  </si>
  <si>
    <t>Enterprise
SaaS
Tech
Software
Tech Hardware</t>
  </si>
  <si>
    <t>Consumer
Marketplace
Social Impact
Artificial Intelligence</t>
  </si>
  <si>
    <t>Ness Ziona</t>
  </si>
  <si>
    <t>Semiconductors
Agriculture</t>
  </si>
  <si>
    <t>Sensors
Crop Tech</t>
  </si>
  <si>
    <t>Firstime
h2020.net</t>
  </si>
  <si>
    <t>ClariFruit (formerly AclarTech) has developed a mobile application for monitoring and analyzing fruit quality and ripeness. The app called AclaroMeter leverages scientific methods to grade agricultural products and allows data collection to determine fruit quality and value. It uses SCiO molecular sensor (or spectrometer) with infrared rays to scan the fruits and sends that data to the mobile application. It claims that the app improves the efficiency of the fruit supply chain starting from the farmer fields to the consumers by providing a real-time quality and ripeness meter. As of Dec 17, the application works on grapes and tomatoes.</t>
  </si>
  <si>
    <t>info@clarifruit.com</t>
  </si>
  <si>
    <t>Avi Schwartzer; Co-Founder &amp; CEO; avi@clarifruit.com; http://linkedin.com/in/avi-schwartzer-329829101; EX-HP, SAP. The Academic College of Tel-Aviv, Yaffo 2001
Ruby Boyarski; Co-Founder &amp; CTO; ruby@clarifruit.com; http://linkedin.com/in/ruby-boyarski-a568aa2; Infomedia ,  EX-SAP, Verix. University of Derby MBA 2000</t>
  </si>
  <si>
    <t>avi@clarifruit.com
ruby@clarifruit.com</t>
  </si>
  <si>
    <t>http://linkedin.com/in/avi-schwartzer-329829101
http://linkedin.com/in/ruby-boyarski-a568aa2</t>
  </si>
  <si>
    <t>https://www.clarifruit.com</t>
  </si>
  <si>
    <t>http://linkedin.com/company/clarifruit</t>
  </si>
  <si>
    <t>http://twitter.com/clarifruit</t>
  </si>
  <si>
    <t>https://tracxn.com/companies/v7hNTw_kaZRPvPK8LSs5x0BuycxswIm3T9HfeKGXTcs/clarifruit.com</t>
  </si>
  <si>
    <t>Tech</t>
  </si>
  <si>
    <t>Consumer
Enterprise
Marketplace
SaaS
Software
Tech Hardware
Social Impact
Innovative
Artificial Intelligence
High IP
Goods
Service
Looks Scalable
Chain
Not for Profit
Blockchain</t>
  </si>
  <si>
    <t>$951K</t>
  </si>
  <si>
    <t>Online Grocery &gt; B2C Ecommerce &gt; Fruits and Vegetables &gt; Farm to Home &gt; Organic
Crop Tech &gt; ECommerce &gt; Farm Produce &gt; B2C &gt; Fruits and Vegetables &gt; Farm to Home &gt; Organic</t>
  </si>
  <si>
    <t>Earth Food produces and supplies vegetables. Its product offerings include tomato, spinach, french bean, bottle gourd, capsicum, zucchini, basil, cabbage, cucumber, parsley, brinjal etc. The company is engaged in crop selection, land preparation, seed selection, seed sowing, crop growth, harvesting and transportation of the produce. Its products can be purchased online through the website or offline through a network of retailers. It delivers its products all across Pune, India.</t>
  </si>
  <si>
    <t>basket@theearthfood.com</t>
  </si>
  <si>
    <t>+91-7620450000</t>
  </si>
  <si>
    <t>Ravindra Patil; CEO; ravipatil2565@hotmail.com; https://linkedin.com/in/ravi-patil-29762020; Co-Founder Vedsun Agro, ex-CEO VTP Foods, COO Dangote.PUNJABRAO KRISHI VIDYAPEETH BTech 1988, Jaipur University MBA
Bhushan Vilaskumar Palresha; Co-Founder; bhushan@vtpgroup.in; https://linkedin.com/in/bhushan-v-palresha-94a52920; MD VTP Group.
Nilesh Palresha; Co-Founder; nilesh@vtpgroup.in; http://linkedin.com/in/nilesh-palresha-46690560; Director VTP Group. Fergusson College 2003
Siddharth Khinvasara; Co-Founder; sk@khinvasaraventures.com; https://linkedin.com/in/siddharth-khinvasara-72613b121; MD Khinvasara Ventures</t>
  </si>
  <si>
    <t>ravipatil2565@hotmail.com
bhushan@vtpgroup.in
nilesh@vtpgroup.in
sk@khinvasaraventures.com</t>
  </si>
  <si>
    <t>https://linkedin.com/in/ravi-patil-29762020
https://linkedin.com/in/bhushan-v-palresha-94a52920
http://linkedin.com/in/nilesh-palresha-46690560
https://linkedin.com/in/siddharth-khinvasara-72613b121</t>
  </si>
  <si>
    <t>Bhushan Vilaskumar Palresha
Nilesh Palresha</t>
  </si>
  <si>
    <t>https://www.theearthfood.com</t>
  </si>
  <si>
    <t>http://twitter.com/theearthfood</t>
  </si>
  <si>
    <t>http://facebook.com/theearthfood</t>
  </si>
  <si>
    <t>https://tracxn.com/companies/gUtJUzNkGgVD98gWY5r3gwKNH9mBGazPuYO-CLWbuZs/theearthfood.com</t>
  </si>
  <si>
    <t>Enterprise
Marketplace
SaaS
Tech</t>
  </si>
  <si>
    <t>Tamale</t>
  </si>
  <si>
    <t>Northern Region</t>
  </si>
  <si>
    <t>$300K</t>
  </si>
  <si>
    <t>Livestock Tech &gt; Health Management &gt; Vet Care Services</t>
  </si>
  <si>
    <t>Cowtribe provides medical assistance to farmers for management of cattle health. The farmers can subscribe and log in into the Tribe platform and receive information about the health of their cattle and consult with doctors in areas of their expertise to provide health solutions.</t>
  </si>
  <si>
    <t>info@cowtribe.com</t>
  </si>
  <si>
    <t>+233-203905658</t>
  </si>
  <si>
    <t>Alima Bawah; Co-Founder &amp; COO; alima.bawah@cowtribe.com; http://linkedin.com/in/alima-bawah-5a694765; Bishara Radio, Legal Resource Centre-British High Commission. University of Education Winneba  2017.
Peter Awin; Co-Founder &amp; CEO; peter.awin@cowtribe.com; http://linkedin.com/in/awinpeter; Founder &amp; CEO Afrilead Institute. University for Development Studies BA 2007.</t>
  </si>
  <si>
    <t>alima.bawah@cowtribe.com
peter.awin@cowtribe.com</t>
  </si>
  <si>
    <t>http://linkedin.com/in/alima-bawah-5a694765
http://linkedin.com/in/awinpeter</t>
  </si>
  <si>
    <t>https://www.cowtribe.com</t>
  </si>
  <si>
    <t>http://linkedin.com/company/cowtribe</t>
  </si>
  <si>
    <t>http://twitter.com/cowtribe</t>
  </si>
  <si>
    <t>http://facebook.com/cowtribe</t>
  </si>
  <si>
    <t>http://cowtribe.com/tribe-blog</t>
  </si>
  <si>
    <t>https://tracxn.com/companies/Bdq31rnETAb5k1xJr_tLL6--vfWN8wwpEIsCKJ5KvYs/cowtribe.com</t>
  </si>
  <si>
    <t>Tech
Consumer
Social Impact</t>
  </si>
  <si>
    <t>Enterprise
SaaS
Software
Marketplace
Tech Hardware
Artificial Intelligence</t>
  </si>
  <si>
    <t>Lahore</t>
  </si>
  <si>
    <t>Punjab</t>
  </si>
  <si>
    <t>500 TukTuks
Chanwanich
Wavemaker Partners
Krungsri
Bill &amp; Melinda Gates Foundation
Bualuang Ventures
dtac
Chivas Venture
gap.riseaccel.com</t>
  </si>
  <si>
    <t>Ricult provides a mobile platform to the agriculture industry that farmers can use to procure farm input products, to market their farm products, to obtain credit for working capital management, and to obtain agronomic services for service providers. The company claims to have partnered with major farm input suppliers in Pakistan and also with major food processing companies in Pakistan. The company's representatives are available in the rural zones for helping farmers with registration procedures.</t>
  </si>
  <si>
    <t>contact@ricult.com</t>
  </si>
  <si>
    <t>+92-03048671113</t>
  </si>
  <si>
    <t>Gabriel Torres; Co-Founder; gabriel.torres@ricult.com; http://linkedin.com/in/gabrieltorres2; Ex- Hard Eight Futures, Unaffiliated, Susquehanna International. MIT B.S 2008.
Usman Javaid; Co-Founder &amp; CEO; usman.javaid@ricult.com; http://linkedin.com/in/usmanj; ex- Telenor, Nestle, Artal GranAsia, Engro Chemical. MIT MBA 2015.
Aukrit Unahalekhaka; Co-Founder &amp; CPO; aukrit@ricult.com; http://linkedin.com/in/aukrit-unahalekhaka-0b347ab; Ex- Accenture, Cisco, Citibank. MIT 2016.</t>
  </si>
  <si>
    <t>gabriel.torres@ricult.com
usman.javaid@ricult.com
aukrit@ricult.com</t>
  </si>
  <si>
    <t>http://linkedin.com/in/gabrieltorres2
http://linkedin.com/in/usmanj
http://linkedin.com/in/aukrit-unahalekhaka-0b347ab</t>
  </si>
  <si>
    <t>https://www.ricult.com</t>
  </si>
  <si>
    <t>http://linkedin.com/company/ricult</t>
  </si>
  <si>
    <t>http://twitter.com/contact_ricult</t>
  </si>
  <si>
    <t>http://facebook.com/contactricult</t>
  </si>
  <si>
    <t>https://tracxn.com/companies/Ocffc_MfBBLWsHkOpsaFMAEZXaPt-556dR1E7zsi9PE/ricult.com</t>
  </si>
  <si>
    <t>Enterprise
Marketplace
Tech</t>
  </si>
  <si>
    <t>Consumer
SaaS</t>
  </si>
  <si>
    <t>Natura is a manufacturer and supplier of multi-category farm inputs. Their product catalog includes biofertilizers, micronutrients, and biopesticides. The company claims that all their products are suitable for organic farming.</t>
  </si>
  <si>
    <t>admin@naturacropcare.com</t>
  </si>
  <si>
    <t>+91-8792123827</t>
  </si>
  <si>
    <t>Rupa Manoj Kumar; Founder &amp; CEO; https://linkedin.com/in/rupa-manoj-kumar-3044598a; Jawaharlal Nehru Technological University MTech 2010</t>
  </si>
  <si>
    <t>https://linkedin.com/in/rupa-manoj-kumar-3044598a</t>
  </si>
  <si>
    <t>https://naturacropcare.com/</t>
  </si>
  <si>
    <t>https://linkedin.com/company/natura-crop-care/about</t>
  </si>
  <si>
    <t>https://twitter.com/naturacropcare</t>
  </si>
  <si>
    <t>https://facebook.com/naturacropcare</t>
  </si>
  <si>
    <t>http://naturacropcare.com/blog-grid-3-columns</t>
  </si>
  <si>
    <t>https://tracxn.com/companies/ICnjxECX8a9yXGUEgE0w53LaXK-VGET34LhbpvWt3qs/naturacropcare.com</t>
  </si>
  <si>
    <t>$297K</t>
  </si>
  <si>
    <t>Crop Tech &gt; ECommerce &gt; Farm Inputs &gt; Farm Land Lease &gt; Listing</t>
  </si>
  <si>
    <t>Suhail Kassim
Alok Mittal
Manikandan Sundaram
Mohit Agarwal
Sudarshan Lal Maini
Anuj Gupta
Suresh Kumar Jeevanani</t>
  </si>
  <si>
    <t>Farmizen has developed a mobile app to connect consumers with farmers. The app enables consumers to command farmers to grow the produce they require and monitor the farm through timely updates and pictures submitted by the farmer. At the time of harvest, the consumers can visit the farm and harvest themselves or let the farmer harvest and transport the produce to the consumer through 3PL. On the financial side of things, the farm plots (usually 600 square foot slots) are rented by the respective consumers before the cultivation begins.</t>
  </si>
  <si>
    <t>support@farmizen.com</t>
  </si>
  <si>
    <t>Gitanjali Rajamani; Co-Founder &amp; COO; +919632140099; gitanjali@farmizen.com; http://linkedin.com/in/gitanjali-rajamani-09b988b; Founder GreenMyLife, ex- TCS, Sristek Consulting. Pondicherry University MBA, ISB 2016
Shameek Chakravarty; Co-Founder &amp; CEO; +919632107744; shameek@farmizen.com; http://linkedin.com/in/shameekc; Piki Poll, Artinem, GreenMyLife, ex- Trimian, Yahoo. BITS Pilani BE 2001, ISB 2006
Sudaakeran Balasubramanian; Co-Founder &amp; CTO; sudaakeran_b@yahoo.com; http://linkedin.com/in/sudaakeran-balasubramanian-ab3733; Ex-Trimian, Yahoo, Lexity, Four Interactive. Anna University BE 2002</t>
  </si>
  <si>
    <t>gitanjali@farmizen.com
gitanjalir@gmail.com
shameek@farmizen.com
shameekc@gmail.com
sudaakeran_b@yahoo.com</t>
  </si>
  <si>
    <t>http://linkedin.com/in/gitanjali-rajamani-09b988b
http://linkedin.com/in/shameekc
http://linkedin.com/in/sudaakeran-balasubramanian-ab3733</t>
  </si>
  <si>
    <t>Sudaakeran Balasubramanian
Gitanjali Rajamani
Shameek Chakravarty</t>
  </si>
  <si>
    <t>https://www.farmizen.com</t>
  </si>
  <si>
    <t>https://linkedin.com/company/farmizen</t>
  </si>
  <si>
    <t>http://twitter.com/farmizen</t>
  </si>
  <si>
    <t>http://facebook.com/farmizen</t>
  </si>
  <si>
    <t>http://farmizen.com/blog</t>
  </si>
  <si>
    <t>https://tracxn.com/companies/Po7J9lqhMhEkpF2DQtY6PUq2EjJWwuwW7HzyUlWQZMs/farmizen.com</t>
  </si>
  <si>
    <t>Enterprise
Marketplace
SaaS
Artificial Intelligence
Social Impact
Tech Hardware
Blockchain</t>
  </si>
  <si>
    <t>Ra'anana</t>
  </si>
  <si>
    <t>Life Sciences
Life Sciences
Agriculture</t>
  </si>
  <si>
    <t>Biotech R&amp;D
Genomics
Crop Tech</t>
  </si>
  <si>
    <t>Biotech R&amp;D &gt; Research Applications &gt; Genomics &gt; Genome Engineering &gt; Gene Editing
Genomics &gt; Applied Genomics &gt; Agrigenomics
Crop Tech &gt; Farm Inputs &gt; Plant Breeding &gt; Technology Providers</t>
  </si>
  <si>
    <t>PlantArcBio is involved in developing a gene discovery platform to improve crop productivity traits. The Direct In Platform (DIP) enables the user to screen the gene pools of the crop samples and identify the unique traits without any prior knowledge about them. Applications include both marker-assisted selection breeding, gene editing, or biotech. Claims that the company has discovered drought tolerance, insect control and yield improvement genes using DIP. Also, claims to discover more in herbicide tolerance and disease control genes.</t>
  </si>
  <si>
    <t>info@plantarcbio.com</t>
  </si>
  <si>
    <t>Dror Shalitin; Founder &amp; CEO; dror@plantarcbio.com; http://linkedin.com/in/dror-shalitin-200a175; ex-Evogene, Institute for Myeloma &amp; Bone Cancer Research. The Hebrew University of Jerusalem PhD 2000, UCLA MCDB 2005</t>
  </si>
  <si>
    <t>dror@plantarcbio.com</t>
  </si>
  <si>
    <t>http://linkedin.com/in/dror-shalitin-200a175</t>
  </si>
  <si>
    <t>https://plantarcbio.com/</t>
  </si>
  <si>
    <t>https://tracxn.com/companies/nDn9TJnPhCOuAtuJfD5ovaifmVdNytznpdZ0GTzwCdY/plantarcbio.com</t>
  </si>
  <si>
    <t>Consumer
Marketplace
SaaS
Artificial Intelligence
Social Impact
Software
Tech Hardware</t>
  </si>
  <si>
    <t>$9M</t>
  </si>
  <si>
    <t>Drones &gt; Services &gt; Precision Agriculture
Crop Tech &gt; Farming as a Service &gt; Tech Enabled Services</t>
  </si>
  <si>
    <t>JD Finance
Gobi Partners
Ningbo Hong Kong Modern Venture Services
Tongdu Capital</t>
  </si>
  <si>
    <t>Beehive is a drone technology company that claims to build a quadcopter drone called Worker Bee for agricultural spraying purposes. Its offering is available as drones for sale, and as flight services. It also offers drone piloting services.</t>
  </si>
  <si>
    <t>Wu Guoning; CEO; Peking University 2008</t>
  </si>
  <si>
    <t>http://beehivesa.com</t>
  </si>
  <si>
    <t>https://tracxn.com/companies/Z3aoPCnYyWVaTVzdbisc4XT9ewtN2j_ml5nNQnX_Rjw/beehivesa.com</t>
  </si>
  <si>
    <t>$70K</t>
  </si>
  <si>
    <t>Technology
Internet of Things
Technology
Artificial Intelligence
Agriculture</t>
  </si>
  <si>
    <t>IoT Applications
Computer Vision
Crop Tech</t>
  </si>
  <si>
    <t>IoT Applications &gt; Industry Specific &gt; Agriculture &gt; Farms
Computer Vision &gt; Industry Specific Applications &gt; Agriculture &gt; Crops
Crop Tech &gt; Farm Management Software &gt; Diversified</t>
  </si>
  <si>
    <t>CoE IoT
Villgro
10000 Startups</t>
  </si>
  <si>
    <t>Cultyvate develops integrated hardware and software platforms that use connected (IoT-based) devices such as field sensors, wireless cameras, remote controlled irrigation valves, etc. and artificial intelligence subsets such as machine learning and computer vision to read farm data and translate the same into on-field automation. Its products include water and pest management solutions. The water management platform collects data such as temperature, wind, soil parameters - moisture and conductivity, etc. and weather data from satellite based white label platforms and translates the same into action using its cloud based AI algorithms by controlling irrigation valves to control water deployment and nutrient dozing rates. Its pest management platform uses wireless cameras to detect insect / pest activity and the same is combined with satellite based images to identify pest-disturbed / infested locations on farm and alert the user. The company plans to automate the same by integrating the platform with a drone based autonomous pest troubleshooter in future. The products appear positioned towards horticulture / plantation crops.</t>
  </si>
  <si>
    <t>hello@cultyvate.com</t>
  </si>
  <si>
    <t>Subhendu Mitra
Bhavana Mallesh
Sarath Sribhasyam; ex-Co-Founder; http://linkedin.com/in/sarath-sribhasyam-561b1333; CTO Trenika Technologies, ex-CTO Farms2fork Technologies, Co-Founder Purna Organics, Accenture. SJCE MCA 1989
Arun Kumar Raveendran; arun@cultyvate.com
Tigali Mallesh; Founder &amp; CEO; mallesh@cultyvate.com; http://linkedin.com/pub/tigali-mallesh/7/582/407; Farms 2 Fork Technologies, Purna Organics,  Ex-Accenture,  Wipro Technologies. Bangalore University 1992</t>
  </si>
  <si>
    <t>arun@cultyvate.com
mallesh@cultyvate.com
mallesh@purnaorganics.com</t>
  </si>
  <si>
    <t>http://linkedin.com/in/sarath-sribhasyam-561b1333
http://linkedin.com/pub/tigali-mallesh/7/582/407</t>
  </si>
  <si>
    <t>https://www.cultyvate.com</t>
  </si>
  <si>
    <t>http://linkedin.com/company/cultyvate</t>
  </si>
  <si>
    <t>https://twitter.com/letscultyvate</t>
  </si>
  <si>
    <t>https://tracxn.com/companies/SCSdPh2zeI0EWHcfBQr9hdCGPjz3PkOg5zcs3Yl0aoE/cultyvate.com</t>
  </si>
  <si>
    <t>$680K</t>
  </si>
  <si>
    <t>Livestock Tech
CIIE Batches</t>
  </si>
  <si>
    <t>Livestock Tech &gt; Feeding &gt; Sustainable Feeds &gt; Food Waste Based
CIIE Batches &gt; 2017</t>
  </si>
  <si>
    <t>Villgro
Rajasthan Venture Capital Fund
CIIE
YES SCALE
Oasis
Social Alpha</t>
  </si>
  <si>
    <t>Krimanshi is a developer &amp; supplier of sustainable feed for livestock animals. The company focuses on providing better nutrition. Some of the product materials provided by the company include cottonseed cake, mineral mixture, silage &amp; fruit powder, etc.</t>
  </si>
  <si>
    <t>Nikhil Bohra; Founder &amp; CEO; nikhil@krimanshi.com; https://linkedin.com/in/nikbohra88; Freelancer, ex-Wello, Jal Bhagirathi Foundation. Vellore Institute of Technology B.Tech 2010</t>
  </si>
  <si>
    <t>nikhil@krimanshi.com</t>
  </si>
  <si>
    <t>https://linkedin.com/in/nikbohra88</t>
  </si>
  <si>
    <t>https://www.krimanshi.com</t>
  </si>
  <si>
    <t>https://linkedin.com/company/krimanshi/about</t>
  </si>
  <si>
    <t>https://tracxn.com/companies/DLV6wk7DQr5_XkDIXzsuga-YAdnHOSO7MTNgwCuAsBI/krimanshi.com</t>
  </si>
  <si>
    <t>Enterprise
Marketplace
SaaS
Software
Tech Hardware
Artificial Intelligence
Blockchain</t>
  </si>
  <si>
    <t>Medellin</t>
  </si>
  <si>
    <t>Antioquia</t>
  </si>
  <si>
    <t>Colombia</t>
  </si>
  <si>
    <t>$87K</t>
  </si>
  <si>
    <t>Crop Tech &gt; Farm Inputs &gt; Biologicals &gt; Crop Nutrition &gt; Food Waste</t>
  </si>
  <si>
    <t>Bioestibas provides waste management solutions for agribusinesses. It produces and sells ecological stowage manufactured with export flower stems, the agricultural surplus to the traditional wooden stowage.</t>
  </si>
  <si>
    <t>contacto@bioestibas.com</t>
  </si>
  <si>
    <t>+57-43112158</t>
  </si>
  <si>
    <t>Alvaro Vasquez; Founder &amp; CEO; https://linkedin.com/in/%C3%A1lvaro-v%C3%A1squez-osorio-554036144</t>
  </si>
  <si>
    <t>https://linkedin.com/in/%C3%A1lvaro-v%C3%A1squez-osorio-554036144</t>
  </si>
  <si>
    <t>http://bioestibas.com/</t>
  </si>
  <si>
    <t>https://twitter.com/bioestibas</t>
  </si>
  <si>
    <t>https://facebook.com/bioestibas</t>
  </si>
  <si>
    <t>http://bioestibas.com/blog</t>
  </si>
  <si>
    <t>https://tracxn.com/companies/hkEhYgmcR1P8Mf8dMYps-LHy3-WFZ0tjamziz0vL60s/bioestibas.com</t>
  </si>
  <si>
    <t>Life Sciences
Agriculture</t>
  </si>
  <si>
    <t>Genomics
Livestock Tech</t>
  </si>
  <si>
    <t>Genomics &gt; Applied Genomics &gt; Veterinary Genomics
Livestock Tech &gt; Breeding &gt; Genetic Breeding Services</t>
  </si>
  <si>
    <t>Tropical Animal Genetics is a developer of the in-vitro animal breeding platform. It developed In Vitro Breeding Platform, a species agnostic breeding platform that allows breeding of animals at the cellular level within the laboratory. It also allows breeders to add all desirable traits at the gene level to develop desired species of poultry, livestock, and aquatic animals.</t>
  </si>
  <si>
    <t>+91-8003135030</t>
  </si>
  <si>
    <t>Pravin Kini; Co-Founder &amp; CEO; https://linkedin.com/in/pravin-kini-tag; ex- Co-founder Bourn Hall, Reproductive Medicine physician. Kasturba Medical College, MBBS, DGO, MD, 1989
Srinivasa Rao Aluri; Co-Founder; https://linkedin.com/in/aluri13; ex- Angel, M.D Morgan Stanley, ICICI, CEO Natco Pharma. Osmania University MBA 1998, London Business School 2000, Yale University 2016</t>
  </si>
  <si>
    <t>https://linkedin.com/in/pravin-kini-tag
https://linkedin.com/in/aluri13</t>
  </si>
  <si>
    <t>https://taggnx.com/</t>
  </si>
  <si>
    <t>https://tracxn.com/companies/7Ez1BRgfZRQg0oNxDb_0do8E212rIQwhfMaIriTYPWw/taggnx.com</t>
  </si>
  <si>
    <t>Bnei Atarot</t>
  </si>
  <si>
    <t>Rafael Development
Bridges Israel</t>
  </si>
  <si>
    <t>N-Drip provides micro-irrigation solutions. It offers a gravity-powered irrigation system that consists of a recyclable IP-protected dripper that allows water in the precise quantity. It provides software for users to measure field topography and plant density to plan the installation of irrigation equipment.</t>
  </si>
  <si>
    <t>info@ndrip.com</t>
  </si>
  <si>
    <t>+972-723845060</t>
  </si>
  <si>
    <t>Eran Pollak; CEO; eran@ndrip.com; https://linkedin.com/in/eran-pollak-6886754a; ex-  EBRD , Israeli Ministry of Finance. Hebrew University BSc &amp; MSc</t>
  </si>
  <si>
    <t>eran@ndrip.com</t>
  </si>
  <si>
    <t>https://linkedin.com/in/eran-pollak-6886754a</t>
  </si>
  <si>
    <t>https://ndrip.com/</t>
  </si>
  <si>
    <t>https://linkedin.com/company/n-drip-gravity-micro-irrigation/a</t>
  </si>
  <si>
    <t>https://tracxn.com/companies/-Zx8SR9483WFVcUPF5njG0YFSdYWgX1E77Khjyfp1Ok/ndrip.com</t>
  </si>
  <si>
    <t>Consumer
Marketplace
SaaS
Tech Hardware
Software
Social Impact
Artificial Intelligence</t>
  </si>
  <si>
    <t>Yokneam Illit</t>
  </si>
  <si>
    <t>Crop Tech &gt; Autonomous Farming &gt; Growing Systems &gt; Hydroponics</t>
  </si>
  <si>
    <t>Seedo is a developer of AI-enabled automated indoor hydroponic farms. It has developed automated, indoor, hydroponic plant growing systems namely Seedo Home and Seedo Farm for residential and commercial applications respectively. It has developed an agronomic database that captures various growth parameters at different stages of crop lifecycle. The AI-based algorithm analyses the current growth stage of the plant and tweaks the environment based on plant growth stage and health status. The system deploys computer vision, big data, and machine learning technologies to monitor and control lighting, humidity, and temperature conditions inside the grow room. It was also equipped with a hermitic ecosystem to protect plants from pests and leaks. Users can monitor and access the system using its companion mobile application.</t>
  </si>
  <si>
    <t>info@seedolab.com</t>
  </si>
  <si>
    <t>+972-776149333</t>
  </si>
  <si>
    <t>Zohar Levy; Co-Founder &amp; CEO; zohar@seedo.com; https://linkedin.com/in/zohar-levy-9887a231; Ex-Green Point Environmental Service, Green environment Waste management. Ort</t>
  </si>
  <si>
    <t>zohar@seedo.com</t>
  </si>
  <si>
    <t>https://linkedin.com/in/zohar-levy-9887a231</t>
  </si>
  <si>
    <t>https://www.seedo.com</t>
  </si>
  <si>
    <t>https://linkedin.com/company/seedo/about</t>
  </si>
  <si>
    <t>https://facebook.com/seedolab</t>
  </si>
  <si>
    <t>http://seedolab.com/blog</t>
  </si>
  <si>
    <t>https://tracxn.com/companies/CsaRMrNZKjunoWp_Oa_5HMmdlRPgYzeYDF-J6drjhyM/seedo.com</t>
  </si>
  <si>
    <t>Tech
Enterprise
Consumer
Tech Hardware
Artificial Intelligence</t>
  </si>
  <si>
    <t>Marketplace
Software
SaaS
Social Impact
Blockchain</t>
  </si>
  <si>
    <t>$386K</t>
  </si>
  <si>
    <t>MABIF
PALS Global Solutions</t>
  </si>
  <si>
    <t>KHETHINEXT  is a mobile app that enables the procurement of farm inputs. The company offers a farmer-centric app that enables the procurement of farm inputs at a lower cost, improves the quality of produce, creates demand, and facilitates the selling of produce at higher margins. The app also offers to connect with financial institutions and improve their crop productivity by virtually connecting with the rest of the agriculture ecosystem, such as agriculture experts, policymakers, and government extension officers.</t>
  </si>
  <si>
    <t>info@khethinext.com</t>
  </si>
  <si>
    <t>+91-4040202507</t>
  </si>
  <si>
    <t>Raghu Alla Rami Reddy; Director
Phanidhar Palakoti; Founder &amp; CEO; +918142777099; palakoti@hotmail.com; http://linkedin.com/in/palakoti; Ex-Microsoft, SagarSoft India, Softech, Choice solutions. BIET BE 1994</t>
  </si>
  <si>
    <t>palakoti@hotmail.com
phani@palsglobalsolutions.com</t>
  </si>
  <si>
    <t>http://linkedin.com/in/palakoti</t>
  </si>
  <si>
    <t>Phanidhar Palakoti</t>
  </si>
  <si>
    <t>http://www.khethinext.com</t>
  </si>
  <si>
    <t>https://twitter.com/khethinext</t>
  </si>
  <si>
    <t>https://tracxn.com/companies/Y5TKxDJ-DXwx7pJ7xaP84fpRxTCdqWRV8FjNK5TlheI/khethinext.com</t>
  </si>
  <si>
    <t>021 Capital
India Quotient
Better Capital
Uber
AngelList
YES SCALE</t>
  </si>
  <si>
    <t>Aditya Pande
Sachin Oswal
Aditya Pande
Sachin Oswal
Simi Hari
Ajay Prabhu</t>
  </si>
  <si>
    <t>BharatAgri is a platform that provides crop management solutions for farmers. Its features include irrigation management, nutrient management, weather prediction, seed selection, crop protection, and more. It also provides solutions such as soil test reports, pest &amp; disease support, and many more.</t>
  </si>
  <si>
    <t>contact@bharatagri.com</t>
  </si>
  <si>
    <t>+91-9075907522</t>
  </si>
  <si>
    <t>Sai Gole; Co-Founder; gole.sai@gmail.com; https://linkedin.com/in/saigole; ex-ITC. IIT Madras 2016
Siddharth Dialani; Co-Founder; +919884308764; siddharthdialani@gmail.com; https://linkedin.com/in/siddharthdialani; ex-Housing.com. IIT Madras BTech, MTech 2015</t>
  </si>
  <si>
    <t>gole.sai@gmail.com
sai@leanagri.com
sai@bharatagri.com
siddharthdialani@gmail.com
siddharth.dialani@leanagri.com
siddharth.dialani@bharatagri.com</t>
  </si>
  <si>
    <t>https://linkedin.com/in/saigole
https://linkedin.com/in/siddharthdialani</t>
  </si>
  <si>
    <t>https://www.bharatagri.com</t>
  </si>
  <si>
    <t>https://linkedin.com/company/bharatagri/about</t>
  </si>
  <si>
    <t>https://twitter.com/leanagri_india</t>
  </si>
  <si>
    <t>https://facebook.com/leanagri</t>
  </si>
  <si>
    <t>http://blog.bharatagri.com</t>
  </si>
  <si>
    <t>https://tracxn.com/companies/n9gUhKg8Sr2V4eLw5Y-pOd1uX9PZEdlEa671Z9zniZ4/bharatagri.com</t>
  </si>
  <si>
    <t>Cape Town</t>
  </si>
  <si>
    <t>Province Of The Western Cape</t>
  </si>
  <si>
    <t>Agri Intel provides an online platform for the dissemination of agrochemical information to South African farmers &amp; agribusinesses.  The company claims that it consists of a team of agricultural specialists along with organisations such as  CropLife South Africa, Fruitgro Science, etc. It offers information about the effective &amp; sustainiable use of agrochemiclas, database of agrochemical products registered in South Africa, chemical residue management, crop plans, etc.</t>
  </si>
  <si>
    <t>+27-219073000</t>
  </si>
  <si>
    <t>https://www.agri-intel.com</t>
  </si>
  <si>
    <t>https://tracxn.com/companies/dvuHLh6NRLMT2NfyVbzQ1iZdItpis1YdEVG9hFAWAuI/agri-intel.com</t>
  </si>
  <si>
    <t>$23K</t>
  </si>
  <si>
    <t>Startup Incubation and Innovation Centre
Karnataka Startup Cell</t>
  </si>
  <si>
    <t>Easy Krishi offers a mobile software platform that connects small-scale suppliers with agricultural bulk buyers. The company engages with farmers through Farm Produce Organization (FPO). The mobile app has features like real-time monitoring of farmer group activities, demand aggregation, supply aggregation, and multilingual support. The app is available for Android devices. The company claims that when farmers buy together they avail a retail margin of 15-40 % on agri-input products.</t>
  </si>
  <si>
    <t>support@easykrishi.com</t>
  </si>
  <si>
    <t>+91-8080871144</t>
  </si>
  <si>
    <t>Prabhav Garudadhwajan; Founder &amp; CEO; +918080871144; prabhavgd@gmail.com; http://linkedin.com/in/prabhav-garudadhwajan-924b7414; Ex-Founder Catalyst Labs, Aeon Communication, Fractal Analytics, Equations Marketing Consultants. SIT Tumkur BE 2009, ITM Group of Institutions 2012</t>
  </si>
  <si>
    <t>prabhavgd@gmail.com
prabhav@easykrishi.com</t>
  </si>
  <si>
    <t>http://linkedin.com/in/prabhav-garudadhwajan-924b7414</t>
  </si>
  <si>
    <t>Radha Garudadhwajan
Prabhav Garudadhwajan</t>
  </si>
  <si>
    <t>http://www.easykrishi.com</t>
  </si>
  <si>
    <t>https://linkedin.com/company/easykrishi-pvt-ltd/about</t>
  </si>
  <si>
    <t>https://tracxn.com/companies/c2FSAQI0mhWthe453XMeCxc0mhQwju2LQaDD-BCoe-8/easykrishi.com</t>
  </si>
  <si>
    <t>B2B E-Commerce
Online Grocery
Livestock Tech</t>
  </si>
  <si>
    <t>B2B E-Commerce &gt; Food &amp; Beverages &gt; Groceries &gt; Farm Products &gt; Marketplace
Online Grocery &gt; B2B Ecommerce &gt; Farm Produce &gt; Meat and Seafood &gt; Marketplace
Livestock Tech &gt; ECommerce &gt; Farm Produce &gt; B2B &gt; Marketplace &gt; Meat</t>
  </si>
  <si>
    <t>Good meat networks is a Chinese company offering online meat trading platform for meat producers and buyers. The company offers a platform for upstream meat suppliers to sell its products directly to the downstream meat buyers and processors. Apart from offering a platform, the company also offers services such as free of charge connection with suppliers, supply chain finance, cold chain transportation, order tracking, etc.</t>
  </si>
  <si>
    <t>Jiang Hua; Founder</t>
  </si>
  <si>
    <t>http://www.91haorou.com</t>
  </si>
  <si>
    <t>https://tracxn.com/companies/6Su4N-b_mPwMrufWa6pQLDah37evkLwiwQ4Hooi6oDE/91haorou.com</t>
  </si>
  <si>
    <t>Consumer
SaaS
Artificial Intelligence</t>
  </si>
  <si>
    <t>Sanming</t>
  </si>
  <si>
    <t>Kehuiseed is a producer of hybrid seeds. Its product offerings include hybrid rice seeds, maize seeds, feed corn seeds etc. The company is involved in research, development, production, processing, and supplying of hybrid seeds.</t>
  </si>
  <si>
    <t>tzf.123@126.com</t>
  </si>
  <si>
    <t>+86-5987860922</t>
  </si>
  <si>
    <t>http://en.kehuiseed.com</t>
  </si>
  <si>
    <t>https://facebook.com/kehuiseed</t>
  </si>
  <si>
    <t>https://tracxn.com/companies/DgCrqtzcEv0N9OcRcqKhgxj4J5O_j_SpuJW-xW_jHH8/kehuiseed.com</t>
  </si>
  <si>
    <t>Aracatuba</t>
  </si>
  <si>
    <t>$20M</t>
  </si>
  <si>
    <t>Crop Tech &gt; Autonomous Farming &gt; Diversified</t>
  </si>
  <si>
    <t>Unbox Capital
THRIVE
Itau BBA
TPG
AgFunder</t>
  </si>
  <si>
    <t>Solinftec is a Brazilian company engaged in the development and supply of equipment, technologies, and systems for automation of agricultural logistics processes. The company develops solutions for real-time monitoring of farm implements, analysis for efficient operation, etc. The company has developed a dynamic distribution transshipment tractor solution for reducing the cost of sugarcane harvesting.</t>
  </si>
  <si>
    <t>imprensa@solinftec.com.br</t>
  </si>
  <si>
    <t>+55-1836222270</t>
  </si>
  <si>
    <t>Daniel Padrao; CEO; http://linkedin.com/in/daniel-padr%C3%A3o-03677633; Ex Sao Manoel Sugarcane Mill, Sao Mano Power Plant. Insper MBA 2013</t>
  </si>
  <si>
    <t>http://linkedin.com/in/daniel-padr%C3%A3o-03677633</t>
  </si>
  <si>
    <t>https://www.solinftec.com</t>
  </si>
  <si>
    <t>http://linkedin.com/company/3563964</t>
  </si>
  <si>
    <t>http://twitter.com/solinftec_br</t>
  </si>
  <si>
    <t>http://facebook.com/solinftec.brasil</t>
  </si>
  <si>
    <t>https://tracxn.com/companies/NlnQHqbM-YX2ySRSM7oX_ZefwAmpyE0nmi8UUo49R9o/solinftec.com</t>
  </si>
  <si>
    <t>EdTech
Agriculture</t>
  </si>
  <si>
    <t>Continued Learning
Crop Tech</t>
  </si>
  <si>
    <t>Continued Learning &gt; Professional &gt; Courses &gt; Sector Specific &gt; Agriculture
Crop Tech &gt; Content Platforms &gt; Farming Advice &gt; Expert Advisors</t>
  </si>
  <si>
    <t>Tian Tian Xuenong provides an agriculture technology learning platform. The company is in co-operation with agro-technical experts to publish a variety of agricultural technical knowledge courses such as variety selection, cultivation management, pest control, nutrient fertilization, harvesting, etc. It also provides information through its app available for Android and iOS platforms. It claims the platform helps the farmers to increase production and income.</t>
  </si>
  <si>
    <t>Services@ttxn.com</t>
  </si>
  <si>
    <t>+86-4001687557</t>
  </si>
  <si>
    <t>Zhao Guang; Founder &amp; CEO</t>
  </si>
  <si>
    <t>https://www.ttxn.com</t>
  </si>
  <si>
    <t>https://tracxn.com/companies/_Ee9zzqF5-_1ZAQQ_mkT4HVJgVE47-xiCWktAmXMK4o/ttxn.com</t>
  </si>
  <si>
    <t>Buenos Aires</t>
  </si>
  <si>
    <t>Buenos Aires F.d.</t>
  </si>
  <si>
    <t>B2B E-Commerce &gt; Agriculture &gt; Marketplace
Crop Tech &gt; ECommerce &gt; Farm Produce &gt; B2B &gt; Fruits and Vegetables &gt; Marketplace</t>
  </si>
  <si>
    <t>Agree Market is an online marketplace for agriculture commodities. It provides a cloud-based platform that allows the users to buy or sell grains, oilseeds, agriculture byproducts, and specialty products. The user can choose the companies to trade with, place an order, negotiate and close the transactions. Also, provides access to the information on export markets, industry trends, brokers, consumption, stocks, producers etc. The user can access the platform either on a mobile or desktop. It allows the user to trade the products both in Argentina domestic markets and global markets.</t>
  </si>
  <si>
    <t>Nicolas Mayer Wolf; Co-Founder; http://linkedin.com/in/nmayerwolf; Ex-Nidera, Perez Companc Group, Philip Morris International. Universidad Torcuato Di Tella 2002
Rodrigo Vazquez; Co-Founder &amp; CTO; rvazquez@agreemarket.com; http://linkedin.com/in/rovazquez; Spark Flow, ex-CTO Admotion, Intecoma, Groupe PSA. University of Buenos Aires 1999</t>
  </si>
  <si>
    <t>rvazquez@agreemarket.com</t>
  </si>
  <si>
    <t>http://linkedin.com/in/nmayerwolf
http://linkedin.com/in/rovazquez</t>
  </si>
  <si>
    <t>https://www.agreemarket.com</t>
  </si>
  <si>
    <t>http://linkedin.com/company/agree-market</t>
  </si>
  <si>
    <t>http://twitter.com/agree_market</t>
  </si>
  <si>
    <t>http://facebook.com/agreemarket.smart.trade</t>
  </si>
  <si>
    <t>https://tracxn.com/companies/SwWQjIQvpBgcgJBP6yWS7d4MqBUxDG8peiJacmbTHuA/agreemarket.com</t>
  </si>
  <si>
    <t>Daxing</t>
  </si>
  <si>
    <t>Jilin Sheng</t>
  </si>
  <si>
    <t>B2B E-Commerce &gt; Agriculture &gt; E-Distributor
Crop Tech &gt; ECommerce &gt; Farm Produce &gt; B2B &gt; Fruits and Vegetables &gt; E Distributor</t>
  </si>
  <si>
    <t>Plum Ventures
Star Han Capital
Letong Capital
Black Hole Investment</t>
  </si>
  <si>
    <t>Yuncaiyuan is an online B2B platform for agriculture products. It provides an online platform providing agriculture information, warehousing, finance, logistics, payment, traceability, and distribution services for agriculture products. Also, operates a retail store chain for the supply of agriculture products.</t>
  </si>
  <si>
    <t>+86-1053671179</t>
  </si>
  <si>
    <t>Xiong Bin; Founder</t>
  </si>
  <si>
    <t>http://www.4008268365.com</t>
  </si>
  <si>
    <t>https://tracxn.com/companies/BkdjQdAfhbqqOv_sw5erF_6qjNTmWR497T3rrA5r9xQ/4008268365.com</t>
  </si>
  <si>
    <t>$10K</t>
  </si>
  <si>
    <t>Seedstars
Hivos Impact Investments</t>
  </si>
  <si>
    <t>Green Fingers Mobile is a mobile-first Saas platform for agronomists and financial institutions to collect farmer's data in any region to measure indices such as credit scoring. The data collected is analyzed on the platform to develop a sales strategy for farm input suppliers and farm products' marketing companies according to farmers' operations in any area. The platform provides customized reports and visualization reports according to various use cases such as loans for smallholder farmers, farm input requirements in a region, yield forecasts for a specific crop in a specific region, etc. The platform also provides weather forecasts in the covered agroclimatic areas. The company claims that its solution is currently available for 3 African countries and manages data of around 5000 smallholder farmers who cultivate crops such as chili, soybean, sorghum, and maize.</t>
  </si>
  <si>
    <t>info@greenfingersmobile.com</t>
  </si>
  <si>
    <t>+27-0614045086</t>
  </si>
  <si>
    <t>Maximilian Pichulik; Co-Founder; maxpichulik@gmail.com; http://linkedin.com/in/maxpichulik; Earth Capital, Co-Founder Impact Amplifier, ex  Lloyds TSB bank, Co-Founder Heart Capital. University of Cape Town BCom 2001</t>
  </si>
  <si>
    <t>maxpichulik@gmail.com</t>
  </si>
  <si>
    <t>http://linkedin.com/in/maxpichulik</t>
  </si>
  <si>
    <t>https://greenfingersmobile.com/</t>
  </si>
  <si>
    <t>https://linkedin.com/company/greenfingers-mobile</t>
  </si>
  <si>
    <t>https://twitter.com/greenfingersmo1</t>
  </si>
  <si>
    <t>http://facebook.com/greenfingersmobile</t>
  </si>
  <si>
    <t>http://greenfingersmobile.com/blog</t>
  </si>
  <si>
    <t>https://tracxn.com/companies/7NPh-eZtai_ef1M8iq4HsC5Fza5AhzvaNbVdAUyYKs8/greenfingersmobile.com</t>
  </si>
  <si>
    <t>Enterprise
SaaS
Tech
Software</t>
  </si>
  <si>
    <t>$65K</t>
  </si>
  <si>
    <t>Crop Tech &gt; Farm Management Software &gt; Controlled Environment Farming</t>
  </si>
  <si>
    <t>Physiz is a company developing integrated solutions for monitoring, management, and control of indoor farms. The company offers a reservoir and dosing unit (for dosing and monitoring the nutrients, pH, and circulation of the water), the Physiz brain for automating and controlling all the operations including water pumps, grow lights, humidifiers, dosing unit, etc. It also offers a web-based software (FarmFeed) as personal growing assistant for controlling the farming operations.</t>
  </si>
  <si>
    <t>info@physiz.com</t>
  </si>
  <si>
    <t>Naveen Singh; Co-Founder; +919920227994; naveen@physiz.com; http://linkedin.com/in/naveen-singh-06b27528; ex-Servify, Capillary Technologies. IIT Roorkee 2011
Mohit Sibal; Co-Founder; +919820438177; mohit@physiz.com; http://linkedin.com/in/mohit-sibal-00668082; ex-Servify, Bluestar Infotech. Babson College BASc 2014
Siddharth Naik; Co-Founder; siddharth@physiz.com; http://linkedin.com/in/siddharth-naik-a56113147; NMIMS 2020</t>
  </si>
  <si>
    <t>naveen@physiz.com
io.naveens@gmail.com
mohit@physiz.com
msibal1@babson.edu
siddharth@physiz.com</t>
  </si>
  <si>
    <t>http://linkedin.com/in/naveen-singh-06b27528
http://linkedin.com/in/mohit-sibal-00668082
http://linkedin.com/in/siddharth-naik-a56113147</t>
  </si>
  <si>
    <t>https://www.physiz.com</t>
  </si>
  <si>
    <t>http://linkedin.com/company/13362995</t>
  </si>
  <si>
    <t>http://twitter.com/physizag</t>
  </si>
  <si>
    <t>http://facebook.com/physizag</t>
  </si>
  <si>
    <t>https://tracxn.com/companies/bDiOR_j3DAqiWTJykR44gI1_oB91a9OKtN0kxz1KGc8/physiz.com</t>
  </si>
  <si>
    <t>Consumer
Marketplace
SaaS
Blockchain
Tech Hardware
Social Impact
Artificial Intelligence</t>
  </si>
  <si>
    <t>Jining</t>
  </si>
  <si>
    <t>Shandong Sheng</t>
  </si>
  <si>
    <t>Online Grocery &gt; B2C Ecommerce &gt; Multi Category &gt; Marketplace &gt; Own Delivery Fleet
Crop Tech &gt; ECommerce &gt; Farm Produce &gt; B2C &gt; Fruits and Vegetables &gt; Marketplace</t>
  </si>
  <si>
    <t>Fengshuihui is an online marketplace for agro products. The product offerings include grains, oils, vegetables, fruits, leafy greens, dry fruits, Chinese herbal products, beverages, seeds, honey etc. The company serves the customers across China.</t>
  </si>
  <si>
    <t>+86-4008268365</t>
  </si>
  <si>
    <t>http://www.5fengshou.com</t>
  </si>
  <si>
    <t>https://tracxn.com/companies/enZ5F41vNW6kQhHix_lrg16atZCuj1BUCsmseNzZH0g/5fengshou.com</t>
  </si>
  <si>
    <t>Enterprise
SaaS
Social Impact
Artificial Intelligence</t>
  </si>
  <si>
    <t>Suzhou</t>
  </si>
  <si>
    <t>Breck is a provider of big data solutions for the agricultural sector. It offers solutions such as information technology, agricultural consulting, modern agriculture, food safety &amp; financial investment, and many more. It analyzes agricultural industry statistics &amp; big data and builds a county-level agricultural big data platform to provide industry planning and agricultural organization management solutions.</t>
  </si>
  <si>
    <t>shicc@accfutures.com</t>
  </si>
  <si>
    <t>+86-4001698801</t>
  </si>
  <si>
    <t>http://www.chinabric.com</t>
  </si>
  <si>
    <t>https://tracxn.com/companies/utFjixxGHYsJJtwO_70Dx_wocM7nqLCi1UrpDb4hv6o/chinabric.com</t>
  </si>
  <si>
    <t>Consumer
Marketplace
SaaS
Tech Hardware
Artificial Intelligence
Social Impact
Blockchain</t>
  </si>
  <si>
    <t>Rehovot</t>
  </si>
  <si>
    <t>Food Tech
Semiconductors
Agriculture
Accelerator Batches</t>
  </si>
  <si>
    <t>Food Tech
Sensors
Crop Tech
MassChallenge Batches</t>
  </si>
  <si>
    <t>Food Tech &gt; Tech Hardware &gt; Food Safety &gt; Consumer Focused &gt; Allergen Detection
Sensors &gt; Industry Applications &gt; Food
Crop Tech &gt; Post Harvest Management &gt; Quality Testing &gt; Fruits and Vegetables &gt; Sensors
MassChallenge Batches &gt; Israel &gt; 2017</t>
  </si>
  <si>
    <t>MassChallenge
EHealth Ventures</t>
  </si>
  <si>
    <t>SensoGenic is a device developed for sensing food ingredients for detecting the allergens in it. The device smells the food without any physical contact &amp;amp; and sends a report to the smartphone listing the allergens detected. The device technology is based on the research done by Dr. David Shoseyov who is also the Co-Founder and Lead scientist of the company. As of February 2017, the device is in the development stages.</t>
  </si>
  <si>
    <t>Alon Yasovsky; Co-Founder &amp; CEO; alon@sensogenic.com; http://linkedin.com/in/alon-yasovsky-1120211; ex-Intel, Apple, PrimeSense, Elbit Systems. TAU Tel Aviv 2003
Gidi Halaf; Co-Founder &amp; COO; gidi@sensogenic.com; http://linkedin.com/in/gidi-halaf-132a2712; ex-CollPlant, Tapazol-Pesticide industry, Israeli Biotechnology Research, Teva. HU Jerusalem 2006</t>
  </si>
  <si>
    <t>alon@sensogenic.com
gidi@sensogenic.com</t>
  </si>
  <si>
    <t>http://linkedin.com/in/alon-yasovsky-1120211
http://linkedin.com/in/gidi-halaf-132a2712</t>
  </si>
  <si>
    <t>https://www.sensogenic.com</t>
  </si>
  <si>
    <t>http://linkedin.com/company/sensogenic</t>
  </si>
  <si>
    <t>https://tracxn.com/companies/QXlcdX9CFoMrEbnFo4yV8DC_dLIIDRU5PCe6B2hqjcs/sensogenic.com</t>
  </si>
  <si>
    <t>Consumer
Enterprise
Tech</t>
  </si>
  <si>
    <t>Marketplace
SaaS</t>
  </si>
  <si>
    <t>Mohali</t>
  </si>
  <si>
    <t>Karnataka Startup Cell
Kalaari Capital
a-IDEA
Omnivore Partners
STEP IIT Kharagpur</t>
  </si>
  <si>
    <t>Samir Kumar
Simmarpal Singh Bhurjee
Simmarpal Singh</t>
  </si>
  <si>
    <t>AgNext is a developer of a platform for monitoring and improving agricultural food quality. It offers solutions such as post-harvest procurement assessment &amp; management, inventory monitoring &amp; control, automated quality auditing, food traceability, and much more.</t>
  </si>
  <si>
    <t>contact@agnext.in</t>
  </si>
  <si>
    <t>+91-9700720005</t>
  </si>
  <si>
    <t>Taranjeet Singh Bhamra; Co-Founder &amp; CEO; +919592299944; taranjeet@outlook.com; http://linkedin.com/in/taranjeetsingh; ex-KPMG, MH Alshaya. IIT Kharagpur BTech 2002, IIM Calcutta MBA 2007
Deepak Jaiswal; Co-Founder; http://linkedin.com/in/d-jaiswal; IIT Kharagpur BTech 2002, Rovira i Virgili University MS 2004, Penn State University PhD 2010
Mrigank Sharad; Co-Founder; mriganksh@gmail.com; http://linkedin.com/in/mrigank-sharad-b2835b7; IIT Kharagpur BTech, MTech 2010, Purdue University PhD 2014
Sparsh Kaur; Co-Founder; sparsh@agnext.in; http://linkedin.com/in/sparshkaur</t>
  </si>
  <si>
    <t>taranjeet@outlook.com
taranbhamra@gmail.com
taran.bhamra@gmail.com
taran@agnext.in
mriganksh@gmail.com
mrigank.sh@gmail.com
mrigank@agnext.in
sparsh@agnext.in</t>
  </si>
  <si>
    <t>http://linkedin.com/in/taranjeetsingh
http://linkedin.com/in/d-jaiswal
http://linkedin.com/in/mrigank-sharad-b2835b7
http://linkedin.com/in/sparshkaur</t>
  </si>
  <si>
    <t>https://agnext.com/</t>
  </si>
  <si>
    <t>https://linkedin.com/company/agnextworld</t>
  </si>
  <si>
    <t>https://twitter.com/agnextworld</t>
  </si>
  <si>
    <t>https://facebook.com/agnextworld</t>
  </si>
  <si>
    <t>https://tracxn.com/companies/Q4GXM2n9km5rbwvx2jc1EdSajlNi56NZAtgoMhCo_CM/agnext.com</t>
  </si>
  <si>
    <t>Los Mochis</t>
  </si>
  <si>
    <t>Sinaloa</t>
  </si>
  <si>
    <t>$338K</t>
  </si>
  <si>
    <t>Technology
Aerospace, Maritime and Defense Tech
Technology
Agriculture</t>
  </si>
  <si>
    <t>Drones
Geographic Information Systems
Crop Tech</t>
  </si>
  <si>
    <t>Drones &gt; Civilian Drones &gt; Drone Platform
Geographic Information Systems &gt; Location Analytics &gt; Agriculture
Crop Tech &gt; Farm Analytics &gt; Drones Based &gt; Software</t>
  </si>
  <si>
    <t>Wayra</t>
  </si>
  <si>
    <t>Luxelare provides an integrated unmanned aerial vehicle system and a software platform for farm dadta collection and analytics. The drone named "LX-AP" is a 1.7 KG system that can fly at a maximum speed of 130 km/hr and can perform a 40-minute autonomous flight and the company claims that it can cover 200 hectares in a 20 minutes flight. The system comes in basic, advanced, and pro version and pro version has high-resolution multispectral cameras installed with it. The software platform named Captum processes the images and delivers decision support information to farmers. The company also provides offline agronomic decision support services an on-demand aerial image capturing and image processing services.</t>
  </si>
  <si>
    <t>info@luxelare.com</t>
  </si>
  <si>
    <t>Julio Antonio Lopez Lizarraga; Co-Founder &amp; CEO; http://linkedin.com/in/julio-antonio-l%C3%B3pez-liz%C3%A1rraga-36721142; Co Founder Cowork Corner, Tomato Valley, ex-UANL FIME. University of Alcala 2015</t>
  </si>
  <si>
    <t>http://linkedin.com/in/julio-antonio-l%C3%B3pez-liz%C3%A1rraga-36721142</t>
  </si>
  <si>
    <t>https://www.luxelare.com</t>
  </si>
  <si>
    <t>http://linkedin.com/company/luxelare</t>
  </si>
  <si>
    <t>http://twitter.com/luxelare</t>
  </si>
  <si>
    <t>http://facebook.com/luxelare</t>
  </si>
  <si>
    <t>http://luxelare.com/blog</t>
  </si>
  <si>
    <t>https://tracxn.com/companies/DeF3qTg_iNncaX2aYxvK18DcyvNOJCNCjOjg1EQe-Q8/luxelare.com</t>
  </si>
  <si>
    <t>$878K</t>
  </si>
  <si>
    <t>Gobasco is tech-enabled manager of supply chain of agricultural produce from farm to business. Claims to be developing a software platform for internal consumption and for supply chain optimization. The software will integrate with satellite imagery, geo-location services and data streams (manual) from produce markets, traders, and farmers. The company also claims that it is developing artificial intelligence algorithms that leverage machine learning techniques for supply chain optimization and computer vision for efficient sorting and grading of the produce. The primary business model appears to be procurement of produce from farmers at pre-determined costs, sorting and grading and supplying the produce to bulk buyers including traders and wholesale/retail businesses. The company claims to be asset light and uses existing inventory for procurement  and transportation. As of Nov, 2017, the company claims to be receiving a demand of 6000 tons of fruits and vegetables per month and is looking to hit MRR of INR 120M by end of 2018.</t>
  </si>
  <si>
    <t>info@gobasco.com</t>
  </si>
  <si>
    <t>Vedant Katiyar; Co-Founder &amp; CEO; +918588978001; vedant.katiyar@gobasco.com; http://linkedin.com/in/vedantkatiyar; Ex- Spark Capital Advisors, The Boston Consulting Group, Co-Founder Zafire Enterprises, Grail Research. Faculty of Management Studies 2016, BITS BE 2010
Abhishek Sharma; Co-Founder &amp; CTO; abhishek.sharma@gobasco.com; http://linkedin.com/in/abhishek-sharma-a1204921; Ex- Apple, MERL, Microsoft Research. University of Maryland College Park PhD 2015, IIT Roorkee Btech 2010</t>
  </si>
  <si>
    <t>vedant.katiyar@gobasco.com
vedantkatiyar88@gmail.com
abhishek.sharma@gobasco.com</t>
  </si>
  <si>
    <t>http://linkedin.com/in/vedantkatiyar
http://linkedin.com/in/abhishek-sharma-a1204921</t>
  </si>
  <si>
    <t>Vedant Katiyar
Abhishek Sharma</t>
  </si>
  <si>
    <t>http://www.gobasco.com</t>
  </si>
  <si>
    <t>http://linkedin.com/company/13465673</t>
  </si>
  <si>
    <t>http://twitter.com/gobasco1</t>
  </si>
  <si>
    <t>http://facebook.com/gobascoin</t>
  </si>
  <si>
    <t>https://tracxn.com/companies/pudApBsAc2-jxO0ieWxshOn8iv6Tt59mxq0_XbGubog/gobasco.com</t>
  </si>
  <si>
    <t>Rio Cuarto</t>
  </si>
  <si>
    <t>Provincia De Cordoba</t>
  </si>
  <si>
    <t>$75K</t>
  </si>
  <si>
    <t>FinTech</t>
  </si>
  <si>
    <t>Alternative Lending</t>
  </si>
  <si>
    <t>Alternative Lending &gt; Online Lenders &gt; Consumer Loans &gt; Farm Loans &gt; Marketplace</t>
  </si>
  <si>
    <t>Startupbootcamp
Village Capital</t>
  </si>
  <si>
    <t>Siembro offers an online lending platform for farm loans. It also offers solutions to agricultural SMEs. It provides an online tracking system for maturities and guarantees.</t>
  </si>
  <si>
    <t>customers@siembro.com</t>
  </si>
  <si>
    <t>+54-3584728566</t>
  </si>
  <si>
    <t>Nicolas Simonassi; Founder &amp; CEO; nsimonassi@siembro.com; https://linkedin.com/in/nicol%C3%A1s-simonassi-098773111; Simonassi Agricultural Machinery, Ex-Telefonica Argentina. Pontifical Catholic University of Argentina 1999.</t>
  </si>
  <si>
    <t>nsimonassi@siembro.com</t>
  </si>
  <si>
    <t>https://linkedin.com/in/nicol%C3%A1s-simonassi-098773111</t>
  </si>
  <si>
    <t>https://www.siembro.com</t>
  </si>
  <si>
    <t>https://linkedin.com/company/siembro</t>
  </si>
  <si>
    <t>https://twitter.com/siembroao</t>
  </si>
  <si>
    <t>https://facebook.com/siembroci</t>
  </si>
  <si>
    <t>http://blog.siembro.com</t>
  </si>
  <si>
    <t>https://tracxn.com/companies/w1-IlQNVb75T41EVN0oVZcyOMFStVpc7pHb8IV4_Vu4/siembro.com</t>
  </si>
  <si>
    <t>Tech
Consumer
Marketplace
Social Impact</t>
  </si>
  <si>
    <t>Enterprise
SaaS
Software
Tech Hardware
Artificial Intelligence
Blockchain</t>
  </si>
  <si>
    <t>XL Africa
Bantam Group
LaunchLab
Nedbank
AngelList
Naspers
Savannah Fund
AgFunder
Alter Global
Paper Plane Ventures
4Di Capital
Startupbootcamp</t>
  </si>
  <si>
    <t>Lee Edwards
Joe Caruso
Justin Spratt</t>
  </si>
  <si>
    <t>Aerobotics specializes in providing farm monitoring and pest management solutions. Its offerings include AI-enabled pest detection, disease detection, drone imagery services, orchard management, yield management, and more.</t>
  </si>
  <si>
    <t>support@aerobotics.com</t>
  </si>
  <si>
    <t>+27-210351060</t>
  </si>
  <si>
    <t>Benjamin Meltzer; Co-Founder &amp; CTO; benji@aerobotics.com; https://linkedin.com/in/benjamin-meltzer; Ex-Uber, The Cyest. University of Cape Town BSc 2011, Imperial College London MSc 2014
James Paterson; Co-Founder &amp; CEO; james@aerobotics.co; http://linkedin.com/in/james-paterson-5735a8123; University of Cape Town BSc 2011, MIT MSc 2014</t>
  </si>
  <si>
    <t>benji@aerobotics.com
james@aerobotics.co
james@aerobotics.com</t>
  </si>
  <si>
    <t>https://linkedin.com/in/benjamin-meltzer
http://linkedin.com/in/james-paterson-5735a8123</t>
  </si>
  <si>
    <t>https://www.aerobotics.com</t>
  </si>
  <si>
    <t>https://linkedin.com/company/aerobotics/about</t>
  </si>
  <si>
    <t>https://twitter.com/aerobotics_intl</t>
  </si>
  <si>
    <t>https://facebook.com/aeroboticsintl</t>
  </si>
  <si>
    <t>http://blog.aerobotics.co</t>
  </si>
  <si>
    <t>https://tracxn.com/companies/ecUdkSqKsL6IZ3Ndims7j4fcHYZ_DbnXfVvwGFVGeaQ/aerobotics.com</t>
  </si>
  <si>
    <t>Tech
Enterprise
Artificial Intelligence
Tech Hardware</t>
  </si>
  <si>
    <t>Udupi</t>
  </si>
  <si>
    <t>Crop Tech &gt; Farm Management Software &gt; Soil Management &gt; Soil Testing</t>
  </si>
  <si>
    <t>nabventures
Omnivore Partners
a-IDEA
Indigram Labs
SINE</t>
  </si>
  <si>
    <t>Krishitantra develops and provides tools for soil testing. It offers an automated soil analysis system that provides results of soil nutrients. It employs an automated sequencing process to index and quantifies macro, micro, and secondary nutrients in sync with time tested soil sampling techniques.</t>
  </si>
  <si>
    <t>Anand Bellan Raman; Co-Founder &amp; COO
Sandeep Nagesh Kondaji; Founder &amp; CEO; sandeep.kondaji@krishitantra.com; https://linkedin.com/in/sandeepkondaji; ex-Klassik Klonec Systems, LTS Solutions, Amplebit. Visvesvaraya Technological University BE 2006
Mukesh Kumar Sudarshan
Vishnuprasada Vittal Bhat; Co-Founder</t>
  </si>
  <si>
    <t>sandeep.kondaji@krishitantra.com</t>
  </si>
  <si>
    <t>https://linkedin.com/in/sandeepkondaji</t>
  </si>
  <si>
    <t>https://krishitantra.com/</t>
  </si>
  <si>
    <t>https://linkedin.com/company/krishitantra</t>
  </si>
  <si>
    <t>https://twitter.com/krishitantra</t>
  </si>
  <si>
    <t>https://tracxn.com/companies/lRoOaM7-nkJKxUnFRH-6a3KAmNngWX-F_tZ693JSwsY/krishitantra.com</t>
  </si>
  <si>
    <t>$57K</t>
  </si>
  <si>
    <t>Startup Incubation and Innovation Centre
Villgro
Rockstart</t>
  </si>
  <si>
    <t>KrishiHub is a company offering an online platform for B2B sales of vegetables directly to institutional buyers such as restaurants, hotels, canteens, retail stores, etc. The company allows the farmers can directly sell their produce directly to the businesses through its platform. It claims to have 200+ farmers registered on its platform, with 5000+ transactions done.</t>
  </si>
  <si>
    <t>contact@krishihub.com</t>
  </si>
  <si>
    <t>+91-18002009261</t>
  </si>
  <si>
    <t>Jyotiska Khasnabish; Co-Founder &amp; CTO; +918867109730; jyotiska@krishihub.com; http://linkedin.com/in/jkhasnabish; ex-GSN, DataWeave. IIIT Bangalore MTech 2014
Bhoopendra Kumar; Co-Founder &amp; CEO; bhoopendra@krishihub.com; https://linkedin.com/in/singhbhoopendra; ex-Supertext, DataWeave Software, TaxiForSure, Hewlett Packard. IIT Guwahati MTech 2011</t>
  </si>
  <si>
    <t>jyotiska@krishihub.com
bhoopendra@krishihub.com</t>
  </si>
  <si>
    <t>http://linkedin.com/in/jkhasnabish
https://linkedin.com/in/singhbhoopendra</t>
  </si>
  <si>
    <t>Bhoopendra Kumar
Jyotiska Khasnabish</t>
  </si>
  <si>
    <t>https://www.krishihub.com</t>
  </si>
  <si>
    <t>https://linkedin.com/company/krishihub/about</t>
  </si>
  <si>
    <t>https://twitter.com/krishihub</t>
  </si>
  <si>
    <t>https://facebook.com/krishihub.co.in</t>
  </si>
  <si>
    <t>https://tracxn.com/companies/RwPR0wiAlKAtWZLDpkZxetN0nAszuXJ_WWOg3t9bag0/krishihub.com</t>
  </si>
  <si>
    <t>FinTech
Agriculture
Accelerator Batches</t>
  </si>
  <si>
    <t>Crowdfunding
Crop Tech
Y Combinator Batches</t>
  </si>
  <si>
    <t>Crowdfunding &gt; Revenue Sharing &gt; Agriculture
Crop Tech &gt; Finance &gt; Crowdfunding
Y Combinator Batches &gt; 2019 &gt; Winter</t>
  </si>
  <si>
    <t>Y Combinator
Ventures Platform
Launchpad Accelerator</t>
  </si>
  <si>
    <t>Thrive Agric is an online platform on which investors can invest in a specific farming project. The company claims that it gets the land for cultivation and works with farmers who performs the farming operations in that land. The resultant harvest is sold in the market and returns are realized by the investor. The company deals primarily in cassava, Okro, watermelon, sesame, maize, and pepper. Projects for various produce and seasons can be chosen by the investor.</t>
  </si>
  <si>
    <t>Uka Eje; Co-Founder &amp; CEO; ukaeje@thriveagric.com; https://linkedin.com/in/ukaeje; Quick Leap, ex- Royal Impact Corp. Covenant University 2012</t>
  </si>
  <si>
    <t>ukaeje@thriveagric.com</t>
  </si>
  <si>
    <t>https://linkedin.com/in/ukaeje</t>
  </si>
  <si>
    <t>https://www.thriveagric.com</t>
  </si>
  <si>
    <t>https://linkedin.com/company/thriveagric/about</t>
  </si>
  <si>
    <t>http://facebook.com/thrive-agric-577822042409238</t>
  </si>
  <si>
    <t>https://tracxn.com/companies/3CxD-RHGN05G_YiczmlVb9NLzLjXsySYwHmA3UKR2sw/thriveagric.com</t>
  </si>
  <si>
    <t>Maistra
Syngenta Ventures
BRS Ventures
baerpro.com
Pioneering Ventures
Peter Ernst</t>
  </si>
  <si>
    <t>Arthur Widmer</t>
  </si>
  <si>
    <t>FarmLink is an online B2B Platform for supplying fruits and vegetables. The company is engaged in the development of collection centers for fruits and vegetables directly from farmers and supplies them to industrial buyers. The company has set up various collection centers across the country for the collection of fresh fruits and vegetables directly from farmers and supplies them to B2B institutional buyers. Its product portfolio includes onion, potato, tomato, lettuce, banana, grapes, melon, etc. It has also developed an online traceability application known as FarmTrace for consumers to trace the products from farm to shelf.</t>
  </si>
  <si>
    <t>info@farmlink.in</t>
  </si>
  <si>
    <t>+91-2245405100</t>
  </si>
  <si>
    <t>Rupesh Patil; Owner; patilrupeshj@gmail.com; https://linkedin.com/in/patilrupeshj; Ex-Tilaknagar Industries, Desai Fruits and Vegetables. Doctor Balasaheb Sawant Konkan Krishi Vidyapeeth BSc 2004, Marathwada Krishi Vidyapeeth MSc 2006</t>
  </si>
  <si>
    <t>patilrupeshj@gmail.com</t>
  </si>
  <si>
    <t>https://linkedin.com/in/patilrupeshj</t>
  </si>
  <si>
    <t>https://farmlink.in/</t>
  </si>
  <si>
    <t>https://linkedin.com/company/farmlink-india/about</t>
  </si>
  <si>
    <t>https://tracxn.com/companies/es_csCd1xCM6aENsH41B_8ItSW69gahSAxHtU1SzB6M/farmlink.in</t>
  </si>
  <si>
    <t>AWE Funds
Innovana Thinklabs
Rajasthan Venture Capital Fund</t>
  </si>
  <si>
    <t>FreshKartz provides an online platform for consumers to order fruits and vegetables. The company sources its products from partner farmers and does sorting &amp; grading at its own warehouses. The sorted products are supplied to consumers as per the ordered quantity.</t>
  </si>
  <si>
    <t>enquiries@freshokartz.com</t>
  </si>
  <si>
    <t>Sonesh Kumar; CTO; https://linkedin.com/in/sonesh-kumar-58226141
Nagendra Yadav; Co-Founder &amp; CMO; nagendra.yadav@freshokartz.com; http://linkedin.com/in/nagendra-yadav-6baab683; IIITDM Jabalpur 2015
Rajendra Lora; Co-Founder &amp; CEO; rajendralora@gmail.com; http://linkedin.com/in/rajendralora; Ex-Startup. IIITDMJ 2015</t>
  </si>
  <si>
    <t>nagendra.yadav@freshokartz.com
rajendralora@gmail.com
rajendra.lora@gmail.com</t>
  </si>
  <si>
    <t>https://linkedin.com/in/sonesh-kumar-58226141
http://linkedin.com/in/nagendra-yadav-6baab683
http://linkedin.com/in/rajendralora</t>
  </si>
  <si>
    <t>https://www.freshokartz.com</t>
  </si>
  <si>
    <t>http://linkedin.com/company/13243900</t>
  </si>
  <si>
    <t>http://twitter.com/freshokartz</t>
  </si>
  <si>
    <t>http://facebook.com/freshokartz</t>
  </si>
  <si>
    <t>https://tracxn.com/companies/iuTVjr_46lBwsWVpMTFNMaUU5oJstOHzTLNCLihZUww/freshokartz.com</t>
  </si>
  <si>
    <t>Jerusalem</t>
  </si>
  <si>
    <t>Jerusalem District</t>
  </si>
  <si>
    <t>Livestock Tech
MassChallenge Batches</t>
  </si>
  <si>
    <t>Livestock Tech &gt; Breeding &gt; Gender Detection &gt; Poultry
MassChallenge Batches &gt; Israel &gt; 2016 &gt; Diamond</t>
  </si>
  <si>
    <t>Rimonim Fund
MassChallenge
Creative Destruction Lab
FoodBytes
Foodlab Capital
ScaleUp inBrazil</t>
  </si>
  <si>
    <t>eggXYt is focussed on developing a technology for the gender detection of chick embryos. Its technology claims to enable gender detection immediately after the eggs are laid and before they enter the 21-day incubation process. It has conducted its studies at Harvard &amp;amp; claims to save the expenses of poultry industry by avoiding wastage of half of the hatching capacity in order to pay at the end of the hatchery line. It also claims to add over 3 Billion eggs a year to the global food supply by sending the non-incubated male eggs to the food market.</t>
  </si>
  <si>
    <t>Yehuda Elram; Co-Founder &amp; CEO; yehuda@eggxyt.com; http://linkedin.com/in/yehuda-elram-4662835; Aroma Espresso Bar, Co-Founder Neurogen . Harvard University MC 2016</t>
  </si>
  <si>
    <t>yehuda@eggxyt.com</t>
  </si>
  <si>
    <t>http://linkedin.com/in/yehuda-elram-4662835</t>
  </si>
  <si>
    <t>https://www.eggxyt.com</t>
  </si>
  <si>
    <t>https://linkedin.com/company/eggxyt</t>
  </si>
  <si>
    <t>http://facebook.com/pages/eggxyt/1763030413963918</t>
  </si>
  <si>
    <t>https://tracxn.com/companies/6m_7bPi-dnBbryHcbwL0pv2UIiahIjtHhqgNbcHf2B8/eggxyt.com</t>
  </si>
  <si>
    <t>Consumer
SaaS
Marketplace
Tech</t>
  </si>
  <si>
    <t>Thane</t>
  </si>
  <si>
    <t>Crop Tech
CIIE Batches</t>
  </si>
  <si>
    <t>Crop Tech &gt; Post Harvest Management &gt; Quality Testing &gt; Fruits and Vegetables
CIIE Batches &gt; 2018</t>
  </si>
  <si>
    <t>CIIE
a-IDEA
Ankur Capital</t>
  </si>
  <si>
    <t>Nitish Kumar
Swapnil Kumar
Pravin Gandhi</t>
  </si>
  <si>
    <t>Agricx is a provider of AI-based stack solutions. It has developed various products such as Inspect, an app that can be used by an individual or an enterprise as a quality assessment tool from an image of the product sample; Procure, which digitizes the procurement process; Spectral, which develops portable spectrometer and hyperspectral device and Hardware Integration; an open platform for third party integration. It claims to offer solutions for entities in the business of producing, trading, transporting, storing, etc.</t>
  </si>
  <si>
    <t>sales@agricxlab.com</t>
  </si>
  <si>
    <t>+91-2249718249</t>
  </si>
  <si>
    <t>Ritesh Dhoot; Co-Founder &amp; CTO; ritesh.dhoot@agricxlab.com; http://linkedin.com/in/riteshdhoot; Ex-Riverbed Technology, Cisco, TCS.
Saurabh Kumar; Co-Founder &amp; CEO; +919987544399; saurabh.kumar@agricxlab.com; http://linkedin.com/in/psaurabh; Ex-Founder SBP Technologies, Grass Roots, TajOnline India, Alkem Laboratories. LNM College of Business Management MBA 1998</t>
  </si>
  <si>
    <t>ritesh.dhoot@agricxlab.com
saurabh.kumar@agricxlab.com</t>
  </si>
  <si>
    <t>http://linkedin.com/in/riteshdhoot
http://linkedin.com/in/psaurabh</t>
  </si>
  <si>
    <t>Ritesh Dhoot
Saurabh Kumar</t>
  </si>
  <si>
    <t>http://agricx.com/</t>
  </si>
  <si>
    <t>https://linkedin.com/company/agricxlab/about</t>
  </si>
  <si>
    <t>https://twitter.com/agricx</t>
  </si>
  <si>
    <t>https://facebook.com/agricx</t>
  </si>
  <si>
    <t>https://tracxn.com/companies/KMTxuEajWfKZVI91M-_m2t1dw1D4SOL1QsMuyphV-Ms/agricx.com</t>
  </si>
  <si>
    <t>Enterprise
SaaS
Tech
Artificial Intelligence
Software</t>
  </si>
  <si>
    <t>Cultivation Capital
Cygnus Capital
Yield Lab</t>
  </si>
  <si>
    <t>Eiwa provides services for aerial imagery capturing and data analysis to provide actionable insights to the agriculture industry. The company provides services on a subscription basis for a growing season. It trains the subscribed farmers in flying drones. Farmers conduct a number of flights during the season and upload the data on the web-based platform. Eiwa processes the data and provides farmers with detailed reports and actionable insights. It has drone platforms for high altitude, low altitude, and high resolution image capturing below the canopy.</t>
  </si>
  <si>
    <t>Marcelo Gowland; Co-Founder; http://linkedin.com/in/marcelo-gowland-78114b32; Co-Founder FAM, Club Hotel Catedral. ESEADE BA 2013</t>
  </si>
  <si>
    <t>http://linkedin.com/in/marcelo-gowland-78114b32</t>
  </si>
  <si>
    <t>https://www.eiwa.ag</t>
  </si>
  <si>
    <t>https://www.linkedin.com/company/eiwa-s.a</t>
  </si>
  <si>
    <t>http://facebook.com/eiwa-365833927138903/</t>
  </si>
  <si>
    <t>https://tracxn.com/companies/yVM44ioVt62CIAVKwlAIOA585VVJ5vPwfokxEqmnGJ4/eiwa.ag</t>
  </si>
  <si>
    <t>$481K</t>
  </si>
  <si>
    <t>India Quotient
Better</t>
  </si>
  <si>
    <t>Aditya Pande
Travis Kalanick
Hari Balasubramanian
Sachin Oswal
Ajay Prabhu</t>
  </si>
  <si>
    <t>LeanAgri is a company providing technology solutions to farmers to improve the productivity and efficiency of its farms. Its services portfolio includes the latest solutions for seeds and post-harvest management (under Lean Equip), messaging services for providing weekly updates regarding the latest implementable solutions about soil health management (under Lean Connect), and personalized nutrient management solutions including soil sampling and testing (under Lean Nutri).</t>
  </si>
  <si>
    <t>contact@leanagri.com</t>
  </si>
  <si>
    <t>+91-7038147835</t>
  </si>
  <si>
    <t>Sachin Oswal; sachinoswal@gmail.com; https://linkedin.com/in/sachinoswal
Sai Gole; Co-Founder &amp; COO; gole.sai@gmail.com; https://linkedin.com/in/saigole; ex-ITC. IIT Madras 2016
Siddharth Dialani; Co-Founder &amp; CEO; +919884308764; siddharthdialani@gmail.com; https://linkedin.com/in/siddharthdialani; ex-Housing.com. IIT Madras BTech, MTech 2015</t>
  </si>
  <si>
    <t>sachinoswal@gmail.com
sachin.oswal@gmail.com
gole.sai@gmail.com
sai@leanagri.com
sai@bharatagri.com
siddharthdialani@gmail.com
siddharth.dialani@leanagri.com
siddharth.dialani@bharatagri.com</t>
  </si>
  <si>
    <t>https://linkedin.com/in/sachinoswal
https://linkedin.com/in/saigole
https://linkedin.com/in/siddharthdialani</t>
  </si>
  <si>
    <t>Siddharth Dialani
Sai Gole</t>
  </si>
  <si>
    <t>https://www.leanagri.com</t>
  </si>
  <si>
    <t>http://linkedin.com/company/13441955</t>
  </si>
  <si>
    <t>https://tracxn.com/companies/05w8BOuTYaBLh9gGZ-teO9DbkgGM_3fbiYsWa-FYGGc/leanagri.com</t>
  </si>
  <si>
    <t>Alternative Lending &gt; Online Lenders &gt; Consumer Loans &gt; Farm Loans &gt; Marketplace
Crop Tech &gt; Farming as a Service &gt; Tech Enabled Services</t>
  </si>
  <si>
    <t>Sage Hill Capital
Factor[e] Ventures
Breyer Labs
FMO
Musha Ventures
Newid Capital
Anthemis Group
Inclusive Fintech 50
Bayer
Mastercard Foundation
Flourish
Accion
Rabobank</t>
  </si>
  <si>
    <t>Apollo Agriculture is a platform for farmers to access credit and farm inputs through crop health assessment. The platform uses satellite data, agronomic machine learning, remote sensing, and mobile technology for credit assessment. Farmers can also get customized advice regarding the operation through the platform.</t>
  </si>
  <si>
    <t>customercare@apolloagriculture.com</t>
  </si>
  <si>
    <t>Eli Pollak; Co-Founder &amp; CEO; eli@apolloagriculture.com; https://linkedin.com/in/elipollak; Ex-AirPaper, The Climate. Stanford University BS 2012
Earl St Sauver; Co-Founder; earl@apolloagriculture.com; https://linkedin.com/in/estsauver; Ex-The Climate, MindSumo. Tufts University BS 2013
Benjamin Njenga; Co-Founder; ben@apolloagriculture.com; https://linkedin.com/in/benjamin-njenga-4841876b; Ex-ACRE Africa, SFSA, Safaricom. Egerton University 2008, JKUAT MBA 2014</t>
  </si>
  <si>
    <t>eli@apolloagriculture.com
earl@apolloagriculture.com
ben@apolloagriculture.com</t>
  </si>
  <si>
    <t>https://linkedin.com/in/elipollak
https://linkedin.com/in/estsauver
https://linkedin.com/in/benjamin-njenga-4841876b</t>
  </si>
  <si>
    <t>https://www.apolloagriculture.com</t>
  </si>
  <si>
    <t>https://linkedin.com/company/apollo-agriculture/about</t>
  </si>
  <si>
    <t>https://twitter.com/apolloagri</t>
  </si>
  <si>
    <t>https://tracxn.com/companies/XPjInamuliPeorkK0CoWJGJDKDGggUYvaZvso7Q7xCk/apolloagriculture.com</t>
  </si>
  <si>
    <t>Enterprise
Marketplace
Tech
Artificial Intelligence
Social Impact</t>
  </si>
  <si>
    <t>Consumer
SaaS
Software
Blockchain
Tech Hardware
Chain</t>
  </si>
  <si>
    <t>Innovative
High IP
Goods
Service
Looks Scalable
Not for Profit</t>
  </si>
  <si>
    <t>Data as a Service &gt; Industries &gt; Horizontal &gt; Data Platforms &gt; Visualization Platform
Geographic Information Systems &gt; Location Analytics &gt; Horizontal
Crop Tech &gt; Content Platforms &gt; Data as a Service &gt; Farm Data Platform</t>
  </si>
  <si>
    <t>Cisco
IMKAN
Hatch CoLab
Village Capital
Future Food Asia</t>
  </si>
  <si>
    <t>SatSure provides data services for crop health monitoring and assessment using satellite imagery, machine learning, and big data analytics. The company offers data and information services to agriculture finance corporations, agriculture input providers, and other related parties for crop health monitoring and assessment. The company's platform offers features such as variable rate prescriptions, vegetation index maps, soil nutrient analysis, fertilizer recommendations, etc.</t>
  </si>
  <si>
    <t>info@satsure.co
careers@satsure.co</t>
  </si>
  <si>
    <t>+91-8095600300</t>
  </si>
  <si>
    <t>Amardeep Sibia; Co-CEO; amardeep@satsure.co; http://linkedin.com/in/amardeep-sibia; ex-Earth2Orbit, Goldman Sachs, CyberTech System, Evergrowth Telecom. Thapar Institute of Engineering and Technology BE 1994, IIM Bangalore  2016
Samuel John; Founder &amp; COO; samuel@satsure.co; http://linkedin.com/in/samueljohnprofile; ex- Statlogic FZ, Petrofac, Orient Planet PR and Marketing Communication, The Hindu. Mar Ivanios College BA 1998, University of Bradford 2002.
Rashmit Singh Sukhmani; Co-Founder; rashmit@satsure.co; http://linkedin.com/in/rsukhmani; Wikistrat, ex- ISRO. Indian Institute of Space Science and Technology B.Tech 2011, Thompson Rivers University MBA 2015.
Abhishek Raju; Co-Founder &amp; Co-CEO; +918095600300; abhishek@satsure.co; http://linkedin.com/in/abhishekraju; Iotag, ASIA CONNECT Center, Office for Economy and Labour, Tech-Galiant Systems, Bellatrix Aerospace, Specific Impulse Technologies , Dhruva Space, ex-Jivana Vitality India, Startup Amigo. Bangalore University
Prateep Basu; Co-Founder &amp; COO; +917760018349; prateep@satsure.co; http://linkedin.com/in/prateep-basu-0ba6791b; Bellatrix Aerospace, Nodd, ex- Northern Sky Research, IdeaResearch. IIST B.Tech 2011, International Space University MSc 2015
Gopinath Mallipatna; Co-Founder &amp; CFO; gopinath@satsure.co
Karthik Ravindhra; Executive Director; https://linkedin.com/in/karthikravindhra
Ishan Tomar; Co-Founder &amp; CTO; ishan@satsure.co; http://linkedin.com/in/ishan-tomar-843b491b; Ex- ISRO, Founder Konchords. IIST BTech 2011</t>
  </si>
  <si>
    <t>amardeep@satsure.co
samuel@satsure.co
rashmit@satsure.co
abhishek@satsure.co
prateep@satsure.co
prateepbasu@gmail.com
gopinath@satsure.co
gopinath.mallipatna@gmail.com
ishan@satsure.co
tomar.ultimate@gmail.com</t>
  </si>
  <si>
    <t>http://linkedin.com/in/amardeep-sibia
http://linkedin.com/in/samueljohnprofile
http://linkedin.com/in/rsukhmani
http://linkedin.com/in/abhishekraju
http://linkedin.com/in/prateep-basu-0ba6791b
https://linkedin.com/in/karthikravindhra
http://linkedin.com/in/ishan-tomar-843b491b</t>
  </si>
  <si>
    <t>Abhishek Raju
Prateep Basu</t>
  </si>
  <si>
    <t>https://www.satsure.co</t>
  </si>
  <si>
    <t>http://linkedin.com/company/satsure-inc.</t>
  </si>
  <si>
    <t>http://twitter.com/sat_sure</t>
  </si>
  <si>
    <t>http://facebook.com/satsureag</t>
  </si>
  <si>
    <t>https://tracxn.com/companies/RKEKMfRmH1PQ_hEgu5_12QhJ1WIXqZjPpsQARPnSTx4/satsure.co</t>
  </si>
  <si>
    <t>Enterprise
Artificial Intelligence
Tech</t>
  </si>
  <si>
    <t>Consumer
Marketplace
SaaS
Blockchain
Tech Hardware
Social Impact
Software</t>
  </si>
  <si>
    <t>Ernakulam</t>
  </si>
  <si>
    <t>$476K</t>
  </si>
  <si>
    <t>Indian Angel Network Fund
Artha India Ventures
Manipal Group
Nativelead
a-IDEA</t>
  </si>
  <si>
    <t>Nagaraja Prakasam
S Madhu
Raman Roy
Amit Gupta
Aman Chowdhury
Manjappa Prem Kumar
Shilen Sagunan
Anirudh Bhagchandka
Viral Mittal
K G Prithvi
Hashim Ayillath
Jyoti Sagar
Sriram Sankaran
Omsharravana
Abdul Salam
Sidharth Pansari
Sibi Kurian
P K Gopalakishnan
Pooja Kumar
K P Raveendran
Subhash Babu
Murali V Sundaralingam
Neeraj Goenka
Mohit Mutreja
Anurag Goel
Nitin R Agrawal
Jayaram Govindarajan
Saheer Palakkodan
P Shabeerali
Ajay Kaul
Rekha M Menon
Shravani Bagchi
Sanjiv Bajaj
Shemil Muhammad
Anuj Munot
Anand Ladsariya
Rajeev Sarda
Manish Khera
Gun Nidhi Dalmia
Vijayan S</t>
  </si>
  <si>
    <t>FarmersFZ is an online marketplace for groceries. Its product offerings include fruits, vegetables, eggs, tamarind, turmeric, eggs, oils, honey, vinegar, turmeric, chilli powder, pepper etc. The products are delivered across Ernakulam, Kerala.</t>
  </si>
  <si>
    <t>farmer@farmersfz.com</t>
  </si>
  <si>
    <t>+91-7293943993</t>
  </si>
  <si>
    <t>Shajan Babu Sankaran Punarka
Pradeep P S; Founder &amp; CEO; +917293943993; pradeep@farmersfz.com; http://linkedin.com/in/pradeep-p-s-a37abb20; Fingent. University of Calicut 2012, Sikkim Manipal University - Distance Education mba 2015.</t>
  </si>
  <si>
    <t>pradeep@farmersfz.com
pradeeepps@gmail.com</t>
  </si>
  <si>
    <t>http://linkedin.com/in/pradeep-p-s-a37abb20</t>
  </si>
  <si>
    <t>Pradeep P S
Shajan Babu Sankaran Punarka</t>
  </si>
  <si>
    <t>https://www.farmersfz.com</t>
  </si>
  <si>
    <t>https://linkedin.com/company/farmersfreshzone</t>
  </si>
  <si>
    <t>http://twitter.com/farmersfz</t>
  </si>
  <si>
    <t>http://facebook.com/farmersfz</t>
  </si>
  <si>
    <t>https://tracxn.com/companies/oOZE8jKYfRKmRHEHKMpsW-MK6tsGT8XVRy1Tka9UcrA/farmersfz.com</t>
  </si>
  <si>
    <t>Enterprise
SaaS
Tech Hardware
Social Impact
Artificial Intelligence
Software
Blockchain</t>
  </si>
  <si>
    <t>Bekasi</t>
  </si>
  <si>
    <t>Brinc
Instellar
Artesian
Indigo Creative Nation</t>
  </si>
  <si>
    <t>Habibi is an IoT-based precision farming platform. They deploy a central device which connects to a number of sensors to record data related to light intensity, humidity, moisture, nutrients and send it to the central cloud platform. The information is processed and used to control on ground devices like water pumps to supply water to the field when it is required. All the information is processed and is available in a dashboard like an interface for farmers to monitor their fields.</t>
  </si>
  <si>
    <t>+62-82129566512</t>
  </si>
  <si>
    <t>Dian Susanto; CEO</t>
  </si>
  <si>
    <t>https://www.habibigarden.com</t>
  </si>
  <si>
    <t>https://tracxn.com/companies/98zBr2X-ZCS1NOMFFtSX65gMwI5xY7EdRsvS_wLyu2o/habibigarden.com</t>
  </si>
  <si>
    <t>Abu Dhabi</t>
  </si>
  <si>
    <t>United Arab Emirates</t>
  </si>
  <si>
    <t>$21M</t>
  </si>
  <si>
    <t>Shorooq Investments
wafra-kuwait.com
Mohammed Bin Rashid Innovation Fund
Iraq Tech Ventures</t>
  </si>
  <si>
    <t>Pure Harvest is an integrated business that engages in the cultivation of fruits and vegetables using hydroponics cultivation technology and supplies farm produce. It uses Dutch hydroponic technology for cultivation. It also uses various technologies such as controlled environment simulation through grow LED lights.</t>
  </si>
  <si>
    <t>Mahmoud Adi; Co-Founder; mahmoud@pureharvest.ae; http://linkedin.com/in/mahmoud-adi-1692b619; Ex-Corporate Strategy head, Global Foundries
Sky Kurtz; Co-Founder &amp; CEO; sky@vence.io; http://linkedin.com/in/skykurtz; Ex-CEO, Mateen Corporation</t>
  </si>
  <si>
    <t>mahmoud@pureharvest.ae
sky@vence.io
sky@pureharvest.ae</t>
  </si>
  <si>
    <t>http://linkedin.com/in/mahmoud-adi-1692b619
http://linkedin.com/in/skykurtz</t>
  </si>
  <si>
    <t>https://pureharvest.ae/</t>
  </si>
  <si>
    <t>https://www.linkedin.com/company/13218984</t>
  </si>
  <si>
    <t>https://twitter.com/pureharvestsf</t>
  </si>
  <si>
    <t>https://tracxn.com/companies/E0NVTqmuY33JQJV7gdxhKv-qAT4ZJB9D21Ehym1VSKw/pureharvest.ae</t>
  </si>
  <si>
    <t>Haidian</t>
  </si>
  <si>
    <t>Sheyuan is an online B2B platform to trade agriculture products. The platform enables the user to buy and sell the agriculture products including fruits, vegetables, seafood, fertilizers, pesticides, aquatic products etc.  Also, provides training, agricultural big data, agricultural product brand building, e-commerce demonstration services. The company serves the customers of China.</t>
  </si>
  <si>
    <t>sheyuan@sheyuan.com</t>
  </si>
  <si>
    <t>+86-4000225588</t>
  </si>
  <si>
    <t>https://www.sheyuan.com</t>
  </si>
  <si>
    <t>https://tracxn.com/companies/DV2rgI5krfQDbI9RLp8ra0RafUPG6f7LRA24ZcZSD-g/sheyuan.com</t>
  </si>
  <si>
    <t>$451K</t>
  </si>
  <si>
    <t>KRS Jamwal
Ajay Lakhotia
Roshan Lal Tamak
Shankar Nath
Hamendra Mathur
Renu Satti</t>
  </si>
  <si>
    <t>info@unnati.world</t>
  </si>
  <si>
    <t>+91-1204040160</t>
  </si>
  <si>
    <t>Amit Sinha; Co-Founder; amit.s@akshamaala.com; http://linkedin.com/pub/amit-sinha/1/7a6/8a3; Ex- Paytm Mall, Gamepind, Paytm Payments Bank, PricewaterhouseCoopers, Keane Consulting, Airtel and Infosys. IIT BTech, IIM Calcutta PGDM
Ashok Prasad; Co-Founder; https://linkedin.com/in/ashok-prasad-1976499</t>
  </si>
  <si>
    <t>amit.s@akshamaala.com</t>
  </si>
  <si>
    <t>http://linkedin.com/pub/amit-sinha/1/7a6/8a3
https://linkedin.com/in/ashok-prasad-1976499</t>
  </si>
  <si>
    <t>https://www.unnati.world</t>
  </si>
  <si>
    <t>https://linkedin.com/company/unnatifarms/about</t>
  </si>
  <si>
    <t>https://tracxn.com/companies/oqUSrPr7a9bok0-ZymP62vN6kJhWhf_Aec7VzW_qwFs/unnati.world</t>
  </si>
  <si>
    <t>Consumer
Enterprise
Marketplace
SaaS
Tech
Software
Tech Hardware
Social Impact
Innovative
Artificial Intelligence
High IP
Goods
Service
Looks Scalable
Chain
Not for Profit
Blockchain</t>
  </si>
  <si>
    <t>Technology
Technology
Technology
Artificial Intelligence
Retail
Agriculture
Accelerator Batches
Accelerator Batches</t>
  </si>
  <si>
    <t>AI Infrastructure
Image Recognition
Computer Vision
In Store Retail Tech
Crop Tech
Plug and Play Tech Center Batches
MassChallenge Batches</t>
  </si>
  <si>
    <t>AI Infrastructure &gt; Computer Vision &gt; Object Recognition &gt; Image Analysis &gt; Image Recognition
Image Recognition &gt; Applications &gt; Offline Retail &gt; Retail Execution
Computer Vision &gt; Industry Specific Applications &gt; Agriculture &gt; Crops
In Store Retail Tech &gt; Analytics
Crop Tech &gt; Farm Management Software &gt; Diversified
Plug and Play Tech Center Batches &gt; Food &amp; Beverage &gt; Batch 3
MassChallenge Batches &gt; Israel &gt; 2018</t>
  </si>
  <si>
    <t>JioGenNext
MassChallenge
AgFunder
FoodBytes
Nexus Venture Partners
SVG Ventures
Omnivore Partners
Plug and Play Tech Center
Thrive Capital
Saama Capital
Indigram Labs
Grow
a-IDEA
GROW
Future Food Asia</t>
  </si>
  <si>
    <t>Vivek John
Vikash Sethia
Lalit Kumar Tejwani
Amit Trivedi
Niti Mohan
Rishi Gupta
Adwait Karanjkar
Amit Gupta
Yogesh Rangwani
Shreesh Soni
Sonal Trivedi
Kranti Mohan
Deepak Sethia
Rachna Nath
Manoj Khandelwal
Ashok Khanna
Megha Saini
Pallavi Shah
Prajeet Patel
Rajesh Khanna
Chandan Chatarjee
Prashant Rajput
Chabbi Maheshwari
M Ramakrishnan
Ekta Vijay
Shweta Sharma
Dinesh Goel
Atul Arora
Amit Shah
Suneet Gupta</t>
  </si>
  <si>
    <t>Intello Labs develops solutions based on image recognition technology for various industries. The image recognition technology developed by the company can recognise objects, faces, flora fauna and tag them. The company has developed a solution for the agricultural sector which provides insights on the crops’ health during the growing season and its final harvested grade by analysing the images of the crop. The company has also developed an e-commerce analytics suite which offers features such as reporting and alerts for the data available on the web, brand monitoring, product mapping, price trends etc. The company also offers computer vision-based solutions based on the client's requirements.</t>
  </si>
  <si>
    <t>contact@intellolabs.com</t>
  </si>
  <si>
    <t>Ashutosh Kumar; Co-Founder; +919741329821; ashu.iitkgp@gmail.com; https://linkedin.com/in/ashukumar27; Capillary Technologies, ex-Seynse Technologies, dunnhumby. IIT Kharagpur BTech 2007
Himani Shah; Co-Founder; himani@intellolabs.com; http://linkedin.com/in/himanishah19; ex-PeopleStrong HR Services, Co-Founder Allied Nanotechnologies Universal, Deutsche Bank. IIT Bombay 2008
Devendra Chandani; Co-Founder; devendra.chandani@gmail.com; http://linkedin.com/in/devendrachandani; ex-KPMG, AbsolutData Analytics, Analytics Quotient, SAP Labs, TCS, Infosys. Nagpur University BTeh 2002, MDI Gurgaon 2006
Milan Sharma; Co-Founder &amp; CEO; +919818792682; milansharma1985@gmail.com; http://linkedin.com/in/milansharmaintellolabs; ex-Snapdeal, Evalueserve, AbsolutData Analytics, dunnhumby, MarketRx. IIT Bombay 2007
Nishant Mishra; Co-Founder &amp; CTO; +919916408371; nishantfirst@gmail.com; http://linkedin.com/in/nishantmishra09; ex-Amazon, Yahoo, Canon India, Ciena. IIT Bombay MTech 2007</t>
  </si>
  <si>
    <t>ashu.iitkgp@gmail.com
himani@intellolabs.com
devendra.chandani@gmail.com
devendrachandani@gmail.com
devendrac@intellolabs.com
milansharma1985@gmail.com
milan@intellolabs.com
nishantfirst@gmail.com
nishant@intellolabs.com</t>
  </si>
  <si>
    <t>https://linkedin.com/in/ashukumar27
http://linkedin.com/in/himanishah19
http://linkedin.com/in/devendrachandani
http://linkedin.com/in/milansharmaintellolabs
http://linkedin.com/in/nishantmishra09</t>
  </si>
  <si>
    <t>Ashutosh Kumar
Nishant Mishra
Milan Sharma</t>
  </si>
  <si>
    <t>https://www.intellolabs.com</t>
  </si>
  <si>
    <t>https://linkedin.com/company/intello-labs-pvt-ltd</t>
  </si>
  <si>
    <t>http://twitter.com/intellolabs</t>
  </si>
  <si>
    <t>https://facebook.com/intellolabs</t>
  </si>
  <si>
    <t>https://tracxn.com/companies/dUbhAV1TZPY6wYJFDF7Qx-YlsMX601HZz7Gq3uzH56U/intellolabs.com</t>
  </si>
  <si>
    <t>Consumer
Marketplace
SaaS
Social Impact
Tech Hardware
Blockchain</t>
  </si>
  <si>
    <t>Yangon</t>
  </si>
  <si>
    <t>Yangon Region</t>
  </si>
  <si>
    <t>Myanmar</t>
  </si>
  <si>
    <t>Alter Global
Netherlands Space Office
leap201.org
ScaleUpNation</t>
  </si>
  <si>
    <t>Impact Terra has developed various mobile-based platforms for smallholder farmers for obtaining agronomy information and the adoption of farming practices. Golden Paddy ("Shwe Thee Nhan") is a mobile application that can be used by farmers, traders, wholesalers, and brokers for obtaining information related to farming practices, weather forecasts, input prices, crop market prices, financing information, etc. Tracking and Tracing is a mobile solution for agricultural professionals for content management and inspection data management. Extension tools for mobile applications are also available for related parties. Mobile applications are available in all Myanmar languages as well as in other languages such as Thai and Vietnamese.</t>
  </si>
  <si>
    <t>impact@impactterra.com</t>
  </si>
  <si>
    <t>+95-9797033584</t>
  </si>
  <si>
    <t>Erwin Sikma; Founder &amp; CEO; esikma@gmail.com; http://linkedin.com/in/erwinsikma; EuroCham Myanmar, ex- Founder Rocket Internet, McKinsey &amp; Company. University of Twente 2008 &amp; 2010</t>
  </si>
  <si>
    <t>esikma@gmail.com
erwin@impactterra.com</t>
  </si>
  <si>
    <t>http://linkedin.com/in/erwinsikma</t>
  </si>
  <si>
    <t>https://www.impactterra.com</t>
  </si>
  <si>
    <t>https://www.linkedin.com/company/impact-terra</t>
  </si>
  <si>
    <t>https://twitter.com/impactterra</t>
  </si>
  <si>
    <t>http://facebook.com/impactterra/</t>
  </si>
  <si>
    <t>https://tracxn.com/companies/7GZOsRvxKRO8hPnGjRkC5XNWs9hHCpTUARxFENEB0Os/impactterra.com</t>
  </si>
  <si>
    <t>Enterprise
Tech
Software</t>
  </si>
  <si>
    <t>Amman</t>
  </si>
  <si>
    <t>Jordan</t>
  </si>
  <si>
    <t>$120K</t>
  </si>
  <si>
    <t>Enterprise Applications
Enterprise Applications
Technology
Internet of Things
Agriculture</t>
  </si>
  <si>
    <t>Field Force Automation
GRC Software
IoT Applications
Crop Tech</t>
  </si>
  <si>
    <t>Field Force Automation &gt; Agricultural industry
GRC Software &gt; Compliance &gt; QEHS Compliance &gt; Integrated QEHS Compliance
IoT Applications &gt; Industry Specific &gt; Agriculture &gt; Farms
Crop Tech &gt; Farm Management Software &gt; Diversified</t>
  </si>
  <si>
    <t>Hub71
Wamda Capital
Techstars
GINCO Investments
Propeller
500 Startups
Agrimatco</t>
  </si>
  <si>
    <t>Nestrom provides an integrated platform consisting of hardware and software for farm monitoring and scouting application. The platform consists of nodes which is brand agnostic and works with different types of on-field sensors. The nodes stream the data to the cloud using licensed network and the cloud based management dashboard provided as a part of the platform helps in reading the sensor data, managing scouting by tagging the farms based on GPS and benchmark the historical data.</t>
  </si>
  <si>
    <t>info@nestrom.com</t>
  </si>
  <si>
    <t>Yousef Wadi; Founder; yousef@nestrom.com; http://linkedin.com/in/yousefwadi; Co-Founder ArabiaWeather, ex-7awi, Yahoo. German Jordanian University 2009</t>
  </si>
  <si>
    <t>yousef@nestrom.com</t>
  </si>
  <si>
    <t>http://linkedin.com/in/yousefwadi</t>
  </si>
  <si>
    <t>https://www.nestrom.com</t>
  </si>
  <si>
    <t>https://www.linkedin.com/company/nestrom</t>
  </si>
  <si>
    <t>https://tracxn.com/companies/5gVXBYqkDD7CDguGfnKyhrhk0Od6Sv6sqGOQMwVUfGE/nestrom.com</t>
  </si>
  <si>
    <t>Kiambu</t>
  </si>
  <si>
    <t>Kiambu District</t>
  </si>
  <si>
    <t>Technology
Internet of Things
Agriculture
Accelerator Batches</t>
  </si>
  <si>
    <t>IoT Applications
Crop Tech
MassChallenge Batches</t>
  </si>
  <si>
    <t>IoT Applications &gt; Industry Specific &gt; Agriculture &gt; Farms
Crop Tech &gt; Farm Analytics &gt; Satellite Image Based
MassChallenge Batches &gt; Switzerland &gt; 2020</t>
  </si>
  <si>
    <t>MassChallenge
KCIC</t>
  </si>
  <si>
    <t>Lentera Africa provides precision agriculture solutions. It offers data-driven precision agriculture solutions to optimize yield productions by analysing the data collected from farm sensors, satellite images, and aerial images. It provides insights on crop health, soil health, abiotic stresses, pest &amp; disease infestations, etc. It also provides organic manures, silicon fertilizers, phosphatic fertilizers, fertilizers mixes, foliar fertilizers, etc.</t>
  </si>
  <si>
    <t>+254-202400427</t>
  </si>
  <si>
    <t>Darshana Joshi; Co-Founder &amp; COO; https://linkedin.com/in/darshana-joshi-3277ab12; Ex- Sony, Unilever and Dal Group, Africa Improved Foods, Aryzta. M.V.L.U College Mumbai University BSc 2003, TIMSR Mumbai University MMS 2005, Mumbai University MBA 2005, IMD Business School MBA 2014
Moses Kimani; Founder &amp; CEO; mkimani@lenterafrica.com; https://linkedin.com/in/moses-kimani-97481516; Ex- Dow Chemical, TechnoServe, Sanergy. Strathmore University BCom 2006, IMD Business School MBA 2014</t>
  </si>
  <si>
    <t>mkimani@lenterafrica.com</t>
  </si>
  <si>
    <t>https://linkedin.com/in/darshana-joshi-3277ab12
https://linkedin.com/in/moses-kimani-97481516</t>
  </si>
  <si>
    <t>https://lenterafrica.com</t>
  </si>
  <si>
    <t>https://linkedin.com/company/lentera-limited/about</t>
  </si>
  <si>
    <t>https://twitter.com/lenteraafrica</t>
  </si>
  <si>
    <t>https://facebook.com/lenterafrica</t>
  </si>
  <si>
    <t>https://tracxn.com/companies/-5_Lr5ueIWj5H6CCCH6vz-wGiB1V-Pduq0UgyZfo6GM/lenterafrica.com</t>
  </si>
  <si>
    <t>$348K</t>
  </si>
  <si>
    <t>FinTech
FinTech
InsurTech
Agriculture</t>
  </si>
  <si>
    <t>Alternative Lending
Internet First Insurance Platforms
Crop Tech</t>
  </si>
  <si>
    <t>Alternative Lending &gt; Online Lenders &gt; Consumer Loans &gt; Farm Loans &gt; Marketplace
Internet First Insurance Platforms &gt; Internet First Insurers &gt; P&amp;C &gt; Crop
Crop Tech &gt; Finance &gt; Payments</t>
  </si>
  <si>
    <t>MABIF
MFS Investment Management
Bharat Inclusion Initiative
Catalyst Fund</t>
  </si>
  <si>
    <t>Rajesh Balaraman
Vasudev Narayanan</t>
  </si>
  <si>
    <t>PayAgri offers an online platform to connect small and marginal farmers with stakeholders in value chain such as farm input suppliers, agronomists, banks, buyers, etc and bring cashless ecosystem in Agriculture value chain. The company claims that it has connected 2000 farmers in Andhra Pradesh with different stakeholders and help them get farm inputs at better prices, crop insurance, technical support and better price for their produce.</t>
  </si>
  <si>
    <t>Rajeev G Kaimal; Co-Founder; rajeev.kaimal@payagri.com; https://linkedin.com/in/rajeevgkaimal; Ex-Samunnati Financial Intermediation &amp; Services, IFMR, Citibank India, ICICI Bank, Mecklai Financial. University of Calicut BCom 1996, Cambridge University 1999
Manickavasagan Kamachi Veerakamachi Rajkumar; Co-Founder &amp; Managing Director; rajkvm.official@gmail.com; https://linkedin.com/in/rajkumarkvm; Founder TerraGreen AgriTech Ventures, Farmsys, Rightfields, Founder GreatThoughts, ex-Procap FSPL, IFCI Financial Services. Madurai Kamaraj University BCom 1997, Alagappa University MFC 2002, Ulyanovsk State University MBA 2014</t>
  </si>
  <si>
    <t>rajeev.kaimal@payagri.com
rajkvm.official@gmail.com
rajkumar.kvm@payagri.com</t>
  </si>
  <si>
    <t>https://linkedin.com/in/rajeevgkaimal
https://linkedin.com/in/rajkumarkvm</t>
  </si>
  <si>
    <t>https://www.payagri.com</t>
  </si>
  <si>
    <t>http://linkedin.com/company/13262565</t>
  </si>
  <si>
    <t>https://twitter.com/pay_agri</t>
  </si>
  <si>
    <t>http://facebook.com/payagri</t>
  </si>
  <si>
    <t>https://tracxn.com/companies/eZDzQisam-J4hgGavXz5_z07cev4HtzkHkemVjw2BUE/payagri.com</t>
  </si>
  <si>
    <t>Tech
Enterprise
Social Impact</t>
  </si>
  <si>
    <t>Software
Tech Hardware
Innovative
Artificial Intelligence
High IP
Goods
Service
Looks Scalable
Chain
Not for Profit
Blockchain</t>
  </si>
  <si>
    <t>Lekki</t>
  </si>
  <si>
    <t>Crowdfunding
Internet First Insurance Platforms
Crop Tech</t>
  </si>
  <si>
    <t>Crowdfunding &gt; Revenue Sharing &gt; Agriculture
Internet First Insurance Platforms &gt; Internet First Insurers &gt; P&amp;C &gt; Crop
Crop Tech &gt; Finance &gt; Crowdfunding</t>
  </si>
  <si>
    <t>Social Capital
GreenTec Capital
Right Side Capital Management
Techstars
Cox Enterprises
GSMA</t>
  </si>
  <si>
    <t>Michael Cohn
Christof Walter
Tyler Scriven</t>
  </si>
  <si>
    <t>FarmCrowdy is an online platform for individuals and businesses to invest in farming projects. Users signup on the platform and can scroll through the listing of farms on the platform. Upon investment by an investor in a farm, the money is transferred to an investment fund which does the land acquisition(if required) and overviews the whole farming operations. After sale of commodities post harvest, money is returned with gains made on the money.</t>
  </si>
  <si>
    <t>info@farmcrowdy.com</t>
  </si>
  <si>
    <t>Onyeka Akumah; Co-Founder &amp; CEO; onyeka.akumah@gmail.com; http://linkedin.com/in/onyekaakumah; Travelbeta, CoSign, ex-Founder Anozim, Konga Online Shopping, GTBank. SMU 2006</t>
  </si>
  <si>
    <t>onyeka.akumah@gmail.com
onyeka.akumah@farmcrowdy.com</t>
  </si>
  <si>
    <t>http://linkedin.com/in/onyekaakumah</t>
  </si>
  <si>
    <t>bestfoodsnigeria.com
bestfoodsgroupng.net</t>
  </si>
  <si>
    <t>https://www.farmcrowdy.com</t>
  </si>
  <si>
    <t>https://www.linkedin.com/company/farmcrowdy-limited</t>
  </si>
  <si>
    <t>http://twitter.com/farmcrowdy</t>
  </si>
  <si>
    <t>http://facebook.com/farmcrowdy/</t>
  </si>
  <si>
    <t>https://farmcrowdy.com/blog</t>
  </si>
  <si>
    <t>https://tracxn.com/companies/cSGliKmS6ii1BBHpAW2010pK55l6XcDZedJ4tE8SjQk/farmcrowdy.com</t>
  </si>
  <si>
    <t>Triton Foodworks is an integrated business engaged in soil-less cultivation for the production of pesticide free fruits and vegetables using hydroponics and vertically integrated farming systems in environment controlled greenhouses. The company owns and operates 150,000 sft vertical farms for the production of fruits and vegetable such as spinach, strawberries, tomatoes, bell peppers, coriander, etc. It supplies its products directly to its retail, institutional and restaurant clients.</t>
  </si>
  <si>
    <t>info@urbanfarming.co</t>
  </si>
  <si>
    <t>Devanshu Shivnani; Co-Founder
Vaibhav Batra; Co-Founder
Ullas Samrat; Co-Founder; +919999553738; ullas@tritonfoodworks.com; http://linkedin.com/in/ullassamrat; Co-Founder CPS Electric, ex-Founder The SEO Lab. IIMC, Delhi 2012
Deepak Murli Kukreja; Co-Founder; deepak@tritonfoodworks.com
Dhruv Khanna; Co-Founder; dhruv@tritonfoodworks.com; https://linkedin.com/in/dhkhanna; Ex-IBM, Brightpoint India, Network Security Solutions, Futuresoft Solutions. Jiwaji University 1999, IIM Calcutta 2008</t>
  </si>
  <si>
    <t>ullas@tritonfoodworks.com
ullassamrat@gmail.com
deepak@tritonfoodworks.com
dhruv@tritonfoodworks.com
dhruv@dataresolve.com
dhruv.khanna@dataresolve.com</t>
  </si>
  <si>
    <t>http://linkedin.com/in/ullassamrat
https://linkedin.com/in/dhkhanna</t>
  </si>
  <si>
    <t>https://www.tritonfoodworks.com</t>
  </si>
  <si>
    <t>http://linkedin.com/company/13211879</t>
  </si>
  <si>
    <t>http://facebook.com/tritonfoodworks</t>
  </si>
  <si>
    <t>https://tracxn.com/companies/xm6agTPHJTsy5TLoJUl2hGYlQ_MHN966ONWvP5vg6hU/tritonfoodworks.com</t>
  </si>
  <si>
    <t>Tech
Consumer
Marketplace
SaaS</t>
  </si>
  <si>
    <t>The Trendlines Group
Technion DRIVE Accelerator</t>
  </si>
  <si>
    <t>MetoMotion is focussed on developing multi-purpose robotic systems to reduce reliance on human labor in greenhouse vegetable production. Its first system is being developed for harvesting greenhouse vegetables which perform pruning, pollination, de-leafing, and monitoring tasks. As of November 2016, the system is being developed for tomatoes and is planning to extend for cucumbers and peppers.</t>
  </si>
  <si>
    <t>Adi Nir; CEO; adi@metomotion.com; https://linkedin.com/in/adi-nir-23514032; Technion - Israel Institute of Technology 2000, MSc 2008</t>
  </si>
  <si>
    <t>adi@metomotion.com</t>
  </si>
  <si>
    <t>https://linkedin.com/in/adi-nir-23514032</t>
  </si>
  <si>
    <t>https://metomotion.com/</t>
  </si>
  <si>
    <t>https://tracxn.com/companies/2WzLdBU-4miX2gvK3dQo3qQ3QiH6sAOw10SRMwz9MFc/metomotion.com</t>
  </si>
  <si>
    <t>$733K</t>
  </si>
  <si>
    <t>Zuzi smart scene lamp is a wireless smart LED lamp with app control and interactive screen games which enable 16million colors based on users' choice. It has also developed household herb growing kits named HerbGrow equipped with LED lights and automated connected system for nutrient and water deployment. Apart, it also has a platform for vertical farming called VegePlant which is modular and equipped with autonomous lighting, nutrient dozing and watering systems targeted at plant factories.</t>
  </si>
  <si>
    <t>info@zuzitech.com</t>
  </si>
  <si>
    <t>http://www.zuzitech.com</t>
  </si>
  <si>
    <t>https://linkedin.com/company/%E5%8D%92%E5%AD%90%E7%A7%91%E6%8A%80-%E6%B7%B1%E5%9C%B3-%E6%9C%89%E9%99%90%E5%85%AC%E5%8F%B8/about</t>
  </si>
  <si>
    <t>https://twitter.com/zuzilite</t>
  </si>
  <si>
    <t>http://facebook.com/zuzilite</t>
  </si>
  <si>
    <t>https://tracxn.com/companies/V1YDvxBt7tae9Ok9ZzVJSgjbXsvdbrJwRck_cGpS4gI/zuzitech.com</t>
  </si>
  <si>
    <t>$195K</t>
  </si>
  <si>
    <t>Auto Tech
Energy Tech
Agriculture
Auto Tech
Auto Tech</t>
  </si>
  <si>
    <t>Electric Vehicles
Crop Tech
Autonomous Vehicles
Off Highway Vehicles Tech</t>
  </si>
  <si>
    <t>Electric Vehicles &gt; Automaker &gt; Off Highway Vehicles &gt; Tractors
Crop Tech &gt; Tractor Solutions &gt; Electric Tractors &gt; Autonomous
Autonomous Vehicles &gt; Self Driving Technology &gt; Off Highway Vehicles &gt; OEMs &gt; Agriculture
Off Highway Vehicles Tech &gt; Autonomous Vehicles &gt; Agriculture</t>
  </si>
  <si>
    <t>Chandravir Saran Das
Ashish Mehta
Vishnu Karthik
Prajeen Prabhakaran
Shwetank Jain
Sukruth Pillarisetti
Rajan Srikanth
Sisira Pillarisetti
Devarajan Mohan
Venkata Nori
Jason Stephen Morais
Mohan Swarup Bhatnagar
Arun Gupta
Sankaranarayanan Parameswaran
Vivek Agrawal
Swadeep Pillarisetti
Ravichandran Sargunaraj
Megha Chawla</t>
  </si>
  <si>
    <t>AutoNxt Automation is an early stage Indian startup working on the development of electric vehicles. As on Sep 2016, the company is working on the development of a prototype of their electric autonomous tractor, Toro, suited for agricultural applications.</t>
  </si>
  <si>
    <t>Kaustubh Dhonde; Founder &amp; CEO; +919920852550; kaustubhd271@gmail.com; https://linkedin.com/in/kaustubh-dhonde-a2554578; Book Mera Book, IEEE-RAIT. Padmashree Dr D. Y. Patil Vidyapeeth 2016</t>
  </si>
  <si>
    <t>kaustubhd271@gmail.com
kaustubh@autonxt.in</t>
  </si>
  <si>
    <t>https://linkedin.com/in/kaustubh-dhonde-a2554578</t>
  </si>
  <si>
    <t>https://www.autonxt.in</t>
  </si>
  <si>
    <t>http://facebook.com/autonxtautomation</t>
  </si>
  <si>
    <t>https://tracxn.com/companies/xK7HwqYRh2UsJ7alt3Ofoh_puJqiuHN_2rlTu1_oF_4/autonxt.in</t>
  </si>
  <si>
    <t>Consumer
Marketplace
SaaS
Artificial Intelligence</t>
  </si>
  <si>
    <t>Netanya</t>
  </si>
  <si>
    <t>Crop Tech &gt; Farm Analytics &gt; Satellite Image Based &gt; Crop Yield Prediction</t>
  </si>
  <si>
    <t>The Trendlines Group
AgVenture
forbon.com</t>
  </si>
  <si>
    <t>Fruitspec is developing a technology that can count the number of unripened fruits on all trees in an orchard and uses predictive analytics to estimate yield. The data is shared with the farmer and others in the value chain including agribusinesses and insurance companies. The company has patented its technology. The product is not launched as of Jan, 2017.</t>
  </si>
  <si>
    <t>Nir Margalit; Co-Founder &amp; CTO; nir@fruitspec.com; http://linkedin.com/in/nir-margalit-5317a537; NT-Remote Sensing, ex-Elbit Systems, Bar-Kal Systems Engineering. Ben Gurion University MSC 1999
Shahar Nitsan; Founder &amp; COO; shahar@fruitspec.com; http://linkedin.com/in/shahar-nitsan-aa239261; Motchan nursery. The Hebrew University 2013
Raviv Kula; Co-Founder &amp; CEO; raviv@fruitspec.com; http://linkedin.com/in/raviv-kula-455b14; The Business Clinic, ex-LiveLens, Comverse.</t>
  </si>
  <si>
    <t>nir@fruitspec.com
shahar@fruitspec.com
raviv@fruitspec.com</t>
  </si>
  <si>
    <t>http://linkedin.com/in/nir-margalit-5317a537
http://linkedin.com/in/shahar-nitsan-aa239261
http://linkedin.com/in/raviv-kula-455b14</t>
  </si>
  <si>
    <t>https://www.fruitspec.com</t>
  </si>
  <si>
    <t>https://tracxn.com/companies/UbVQOzLG--AQgfhW2GnxyJH6l4N40DhXDBf_dgi413E/fruitspec.com</t>
  </si>
  <si>
    <t>Enterprise
Tech
Artificial Intelligence</t>
  </si>
  <si>
    <t>Zhengzhou</t>
  </si>
  <si>
    <t>Henan Sheng</t>
  </si>
  <si>
    <t>Shanghai Bingcheng Equity Investment Management Co
Central China Securities</t>
  </si>
  <si>
    <t>NongTaowang is an online marketplace connecting sellers and buyers of all the agricultural input products including consumables such as seeds, fertilizers, agrochemicals, etc. and non-consumables such as farm equipment, machinery, etc. The platform also enables online transaction. It does not provide fulfilment (storage and transportation). This is provided by the seller. The platform is mostly B2B as farmers can buy the products in bulk as per their farm / agribusiness requirement.</t>
  </si>
  <si>
    <t>http://nongtaowang.com</t>
  </si>
  <si>
    <t>https://tracxn.com/companies/deQ7R1XU42TuJrJe_9WX98iwlu132jUUWilJv6DLeWI/nongtaowang.com</t>
  </si>
  <si>
    <t>JD.com
China Telecom Corporation
China Unicom
Shenzhen Topsailing Capital
Huawei</t>
  </si>
  <si>
    <t>Yun Yang Data Technology provides an integrated hardware and software platform for real-time monitoring, data analytics, and automated controlling of greenhouses. The hardware portfolio has soil pH sensor, soil electrical conductivity sensor, CO2 sensor, smoke safety testing system, and wireless cameras. The captured data is streamed to a cloud and through data analytics and prefixed limits the environment management can be automated using the controlling infrastructure such as venting controller, water valve controlling system etc.</t>
  </si>
  <si>
    <t>yunyang@yunyangdata.com</t>
  </si>
  <si>
    <t>+86-01053658995</t>
  </si>
  <si>
    <t>http://www.yunyangdata.com</t>
  </si>
  <si>
    <t>https://tracxn.com/companies/XJ5LnpvZJpOxPCi0Eo9A4GYyta1dyFSArZbDWKsX1rI/yunyangdata.com</t>
  </si>
  <si>
    <t>Consumer
Marketplace
SaaS
Tech</t>
  </si>
  <si>
    <t>Crop Tech &gt; ECommerce &gt; Farm Produce &gt; B2B &gt; Fruits and Vegetables &gt; E Distributor</t>
  </si>
  <si>
    <t>Safaricom
Novastar Ventures
Growth Africa
Ceniarth
Africa Tech Ventures</t>
  </si>
  <si>
    <t>Iprocure is a supply chain management software developer and services provider for agricultural produce. Connects producers / farmers with transportation and warehousing service providers and gives them visibility over the complete supply chain, demand, market share, pricing, etc. The company aggregates supply and demand data and performs analytics to provide visual insights on overall market dynamics including sale point pricing, tracking of produce, etc.</t>
  </si>
  <si>
    <t>theteam@iprocu.re</t>
  </si>
  <si>
    <t>+254-791496375</t>
  </si>
  <si>
    <t>Stefano Carcoforo; Co-Founder &amp; CEO; stefano@iprocu.re; http://linkedin.com/in/stefano-carcoforo-32631962; Ex-Cordaid Haiti.</t>
  </si>
  <si>
    <t>stefano@iprocu.re</t>
  </si>
  <si>
    <t>http://linkedin.com/in/stefano-carcoforo-32631962</t>
  </si>
  <si>
    <t>https://www.iprocu.re</t>
  </si>
  <si>
    <t>https://www.linkedin.com/company/4992253?trk=prof-exp-company-name</t>
  </si>
  <si>
    <t>https://tracxn.com/companies/rc6E5AUce4ZZ5SUdImrWF14jWpy1-3K2F6P32YuMLt0/iprocu.re</t>
  </si>
  <si>
    <t>Enterprise
SaaS
Tech</t>
  </si>
  <si>
    <t>Jakarta</t>
  </si>
  <si>
    <t>STRIVE
Unreasonable
Mandiri Capital Indonesia
Digitaraya
Crevisse
Instellar</t>
  </si>
  <si>
    <t>Crowde is an online platform for connecting the farmers with retail investors for obtaining capital for their farming operations. The farmers can get their project listed upon registration. Investors can choose among the listed projects for making their investments. There is no lower limit of investment on the platform.</t>
  </si>
  <si>
    <t>hello@crowde.co</t>
  </si>
  <si>
    <t>Yohanes Sugihtononugroho; Co-Founder; yohanessugihtononugroho@gmail.com; http://linkedin.com/in/yohanes-sugihtononugroho-aabb8b116; Prasetiya Mulya Business School</t>
  </si>
  <si>
    <t>yohanessugihtononugroho@gmail.com</t>
  </si>
  <si>
    <t>http://linkedin.com/in/yohanes-sugihtononugroho-aabb8b116</t>
  </si>
  <si>
    <t>https://www.crowde.co</t>
  </si>
  <si>
    <t>https://linkedin.com/company/crowdeco/about</t>
  </si>
  <si>
    <t>https://twitter.com/temancrowde</t>
  </si>
  <si>
    <t>https://tracxn.com/companies/PF1TeULEbBzxmmaZihY1l_FTnXS3Pihhh0cpmE2aEcI/crowde.co</t>
  </si>
  <si>
    <t>MarketingTech
Crop Tech</t>
  </si>
  <si>
    <t>MarketingTech &gt; Suite &gt; SMB
Crop Tech &gt; Farm Management Software &gt; Diversified</t>
  </si>
  <si>
    <t>hebjr.cn
wishcapital.cn
Shenzhen Jurun Investment Management</t>
  </si>
  <si>
    <t>Shenzhen Chaoqun provides cloud-based omnichannel marketing solutions for agribusinesses. The product Nongbo, developed based on cloud computing, big data and artificial intelligence offer marketing and channel operation solutions to the enterprises. The product includes different modules to manage orders, channel operations, membership, marketing and promotions, commodities, funds, logistics, inventory, field, consultation, farm operations etc. Applications include multiple industries such as pesticide, fertilizer, feed, agricultural distribution, breeding base, processing etc.</t>
  </si>
  <si>
    <t>tengfei@cqgk.com.cn</t>
  </si>
  <si>
    <t>+86-4000456115</t>
  </si>
  <si>
    <t>Jin Mingde; CEO</t>
  </si>
  <si>
    <t>http://www.51xnb.com</t>
  </si>
  <si>
    <t>https://tracxn.com/companies/4fJMIi7DU6x_GUgYOpJB1bfdwtzfj4_1kzS-A2SFDME/51xnb.com</t>
  </si>
  <si>
    <t>Tech
Enterprise
SaaS
Artificial Intelligence
Software</t>
  </si>
  <si>
    <t>Consumer
Marketplace
Blockchain
Social Impact
Tech Hardware</t>
  </si>
  <si>
    <t>Shanghai</t>
  </si>
  <si>
    <t>Chuxin Capital Partners
Divine Capital</t>
  </si>
  <si>
    <t>Shanghai Feiyan Information Technology is a Chinese company developing an online farm business management solution for management of pig farms. The company markets its software as "Pig Treasure" with features such as automatic planning reminders, record keeping of farm inputs such as veterinary drugs, biological products, breeding equipment, etc. The platform also provides a trading platform for hogs and tailor made financial services for pig farmers. The company also offers a mobile application for real time data collection and access.</t>
  </si>
  <si>
    <t>Yan Xu; Founder</t>
  </si>
  <si>
    <t>http://www.zzb518.com</t>
  </si>
  <si>
    <t>https://tracxn.com/companies/K1e_1hBahk03ge3csTJlhRa3G-xTrrOqhxfYiPuB9FQ/zzb518.com</t>
  </si>
  <si>
    <t>Hubli</t>
  </si>
  <si>
    <t>Online Grocery &gt; B2C Ecommerce &gt; Multi Category &gt; Retailer &gt; Outsourced Delivery
Crop Tech &gt; ECommerce &gt; Farm Produce &gt; B2C &gt; Fruits and Vegetables &gt; Retailer</t>
  </si>
  <si>
    <t>Sandbox Startups
SquareRoot Ventures
Karnataka Startup Cell
APRIL Ventures</t>
  </si>
  <si>
    <t>Freshboxx is an e-distributor of grocery products. Its offerings include Indian fruits, Indian vegetables, leafy vegetables, exotic fruits, exotic vegetables, salts, millets, batter, and more. The company claims to procure fruits and vegetables directly from farmers.</t>
  </si>
  <si>
    <t>info@freshboxx.in</t>
  </si>
  <si>
    <t>+91-7899884488</t>
  </si>
  <si>
    <t>Pavan Patil; Co-Founder &amp; COO; pavan@freshboxx.in; http://linkedin.com/in/pavan-patil-93b04288; KLE Institute of Technology BE 2015
Rohan Kulkarni; Co-Founder &amp; CEO; rohan@freshboxx.in; http://linkedin.com/in/rohan-kulkarni-5a5aaa14; ex- MCX Stock Exchange, Fullerton Securities &amp; Wealth Advisors,  Bajaj Allianz Life Insurance. Visvesvaraya Technological University BE 2006, Chanakya Indian Management MBA 2008</t>
  </si>
  <si>
    <t>pavan@freshboxx.in
rohan@freshboxx.in</t>
  </si>
  <si>
    <t>http://linkedin.com/in/pavan-patil-93b04288
http://linkedin.com/in/rohan-kulkarni-5a5aaa14</t>
  </si>
  <si>
    <t>Rohan Kulkarni
Kshiti Rohan Kumar Kulkarni</t>
  </si>
  <si>
    <t>urmajesty.com</t>
  </si>
  <si>
    <t>https://www.freshboxx.in</t>
  </si>
  <si>
    <t>http://linkedin.com/company/freshboxx</t>
  </si>
  <si>
    <t>http://twitter.com/freshboxx_in</t>
  </si>
  <si>
    <t>http://facebook.com/freshboxx</t>
  </si>
  <si>
    <t>https://tracxn.com/companies/7sy0mtuvYQiqVH0hpzjwmif9RuZqdBBKNecqksTZLC8/freshboxx.in</t>
  </si>
  <si>
    <t>Enterprise
Marketplace
SaaS
Tech Hardware
Social Impact
Artificial Intelligence
Software
Blockchain</t>
  </si>
  <si>
    <t>Nanning</t>
  </si>
  <si>
    <t>Guangxi Zhuangzu Zizhiqu</t>
  </si>
  <si>
    <t>IoT Applications &gt; Industry Specific &gt; Agriculture &gt; Farms
Crop Tech &gt; Farm Management Software &gt; Controlled Environment Farming</t>
  </si>
  <si>
    <t>Pagoda
Zhen Fund</t>
  </si>
  <si>
    <t>Talent Cloud Information Technology develops and provides IoT based agricultural monitoring and traceability products. Its flagship product is the IoT based indoor and outdoor farm monitoring, data collection and analysis product. It uses field sensors to collect soil and weather data points from different locations in the field and provide the same to the user through a cloud based dashboard. It uses IoT gateway and end-to-end encryption for data transmission. It also provides QR code based packaging solutions for perishable produce traceability. It has a product - Grape Master - dedicated to farm data and analytics in vineyards.</t>
  </si>
  <si>
    <t>https://www.tcloudit.com</t>
  </si>
  <si>
    <t>https://www.linkedin.com/company/广西慧云信息技术有限公司</t>
  </si>
  <si>
    <t>https://tracxn.com/companies/8M1hxc7sqt17QXcokHrGb2DdvxEasGe-bqKcBgH14k0/tcloudit.com</t>
  </si>
  <si>
    <t>Leshan</t>
  </si>
  <si>
    <t>Yoonop is a provider of farm management solutions. Its products and solutions include ERP, analysis of agriculture data, IoT technology to monitor real-time growth of the crop, agriculture material supervision, handling of business records, etc.</t>
  </si>
  <si>
    <t>econtact@yoonop.com</t>
  </si>
  <si>
    <t>+86-4006125008</t>
  </si>
  <si>
    <t>http://www.yoonop.com</t>
  </si>
  <si>
    <t>https://tracxn.com/companies/fWvFy5_ukLzwJpZw8DbzcEDfCQZ6FQK-STcWFekruBA/yoonop.com</t>
  </si>
  <si>
    <t>Holon</t>
  </si>
  <si>
    <t>Vertical Business Intelligence
Crop Tech</t>
  </si>
  <si>
    <t>Vertical Business Intelligence &gt; Industry Specific &gt; Agriculture
Crop Tech &gt; Farm Management Software &gt; Diversified</t>
  </si>
  <si>
    <t>Barn Invest
InsuResilience Investment Fund</t>
  </si>
  <si>
    <t>AgriTask is a software platform which provides agronomy support and field management modules to the field crop farmers. The software has hyper-local pest management models for the identification of pest in the farm fields. Aerial images can be uploaded on the platform for the pest management by farmers. It also has field management module in which farmers can enter specific data while scouting crops and take decision support for the planning purpose. It also provides business intelligence by comparing historical data and traceability solution for in-field logistics.</t>
  </si>
  <si>
    <t>Yuri Magrisso; Co-Founder &amp; CTO; http://linkedin.com/in/yuri-magrisso-266304; Ex-Targetize, ScanTask, REB Associates, Cellutag. New Bulgarian University BS 1998
Israel Fraier; Co-Founder &amp; CEO; http://linkedin.com/in/israel-fraier-15666; Founder Omind &amp; CelluTag, ex-APPlitec, Tadiran. Ben Gurion University MSc 1979</t>
  </si>
  <si>
    <t>http://linkedin.com/in/yuri-magrisso-266304
http://linkedin.com/in/israel-fraier-15666</t>
  </si>
  <si>
    <t>https://start.agritask.com/?agritask_url=www.agritask.com%2Fm%2Fmain%2F</t>
  </si>
  <si>
    <t>https://www.linkedin.com/company/agritask</t>
  </si>
  <si>
    <t>https://tracxn.com/companies/Tf0s-LmsI9neD32vVhU9g5Z9bSpSWFCPahL7MyuNv9k/agritask.com</t>
  </si>
  <si>
    <t>$220K</t>
  </si>
  <si>
    <t>Beyond Capital Fund
Gray Matters Capital</t>
  </si>
  <si>
    <t>Farmers Pride is an online horizontal marketplace for farmers. It connects farmers to inputs, information, and agriculture service providers in their local communities through the web or mobile app. Its features include the ability to track farm expenses and input purchases, climate information, soil testing and receive soil recommendations &amp; analysis via an app, and others. The app is available for Android devices.</t>
  </si>
  <si>
    <t>info@farmersprideafrica.com</t>
  </si>
  <si>
    <t>+254-725718069</t>
  </si>
  <si>
    <t>Samuel Munguti; CEO; samuel.munguti@farmersprideafrica.com; https://linkedin.com/in/samuelmunguti; ex-Farm Shop, LOreal, Colgate-Palmolive, Coca-Cola. University of Nairobi BA 2003, Mount Kenya University MBA 2016</t>
  </si>
  <si>
    <t>samuel.munguti@farmersprideafrica.com</t>
  </si>
  <si>
    <t>https://linkedin.com/in/samuelmunguti</t>
  </si>
  <si>
    <t>https://farmersprideafrica.com/</t>
  </si>
  <si>
    <t>https://linkedin.com/company/farmers-pride-africa/about</t>
  </si>
  <si>
    <t>https://twitter.com/farmersprideke</t>
  </si>
  <si>
    <t>https://facebook.com/farmers-pride-1517048061930715</t>
  </si>
  <si>
    <t>http://farmersprideafrica.com/category/blog</t>
  </si>
  <si>
    <t>https://tracxn.com/companies/MAgZRBJMPw9mmXcWj50-xMxT3xG7rfk0ygsVKbJlTM4/farmersprideafrica.com</t>
  </si>
  <si>
    <t>Caballito</t>
  </si>
  <si>
    <t>IoT Applications
Livestock Tech</t>
  </si>
  <si>
    <t>IoT Applications &gt; Industry Specific &gt; Agriculture &gt; Livestock
Livestock Tech &gt; Livestock Farm Intelligence</t>
  </si>
  <si>
    <t>Turodeo provides livestock farm monitoring solutions. It provides sensors for each animal on the farm to collect animal information and generate productivity reports. It allows users to remotely track the status of fieldwork and animal health. Additionally, offers traceability solutions along with the genetic information of the livestock.</t>
  </si>
  <si>
    <t>Manuel Cayre; Founder; manuel@turodeo.com; https://linkedin.com/in/mcayre; Park now Group, ex- Co-Founder Mobypark &amp; Dabawalas, Sigfito Agroenvases, Softype. National University of Cordoba 2008, Polytechnic University of Madrid 2012
Julieta Cayre; Co-Founder; julieta@turodeo.com; https://linkedin.com/in/julietacayre; ex- Girls In Tech, Coderhouse, WEAmericas Accelerator of the US Department of State . Montpellier Business School 2013</t>
  </si>
  <si>
    <t>manuel@turodeo.com
julieta@turodeo.com</t>
  </si>
  <si>
    <t>https://linkedin.com/in/mcayre
https://linkedin.com/in/julietacayre</t>
  </si>
  <si>
    <t>http://turodeo.com</t>
  </si>
  <si>
    <t>https://twitter.com/turodeo_tech</t>
  </si>
  <si>
    <t>https://tracxn.com/companies/pGRXDX9R4O1Xhkty5DLGW_K4uN0XmJS7pM2HxukneYM/turodeo.com</t>
  </si>
  <si>
    <t>Islamabad</t>
  </si>
  <si>
    <t>Islamabad Capital Territory</t>
  </si>
  <si>
    <t>Technology
Internet of Things
Technology
Internet of Things
Retail
Agriculture
Accelerator Batches</t>
  </si>
  <si>
    <t>Wearable Technology
IoT Applications
Pet Tech
Livestock Tech
Y Combinator Batches</t>
  </si>
  <si>
    <t>Wearable Technology &gt; Pet Wearables &gt; Cattle Monitoring
IoT Applications &gt; Industry Specific &gt; Agriculture &gt; Livestock
Pet Tech &gt; Pet Care Management &gt; Health Monitoring &gt; Cats and Dogs &gt; Wearable
Livestock Tech &gt; Tracking &gt; GPS Collars &gt; Cattle
Y Combinator Batches &gt; 2017 &gt; Winter</t>
  </si>
  <si>
    <t>Zillionize
Enabling Future
Hack VC
Y Combinator
FoodBytes</t>
  </si>
  <si>
    <t>Cowlar has developed an integrated hardware and software platform for real-time dairy cattle monitoring and detection of problematic issues. The hardware is a wearable collar device equipped with sensors to measure the temperature and heat cycle activities of animals. It collects the data on a real-time basis and pushes the same on the dashboard of the software platform. The platform provides notifications to the farmers or farm managers regarding any abnormal activity such as abnormal temperature. Through the heat cycle monitoring, the platform detects the disease symptoms in the animals and notifies the farmer about the same.</t>
  </si>
  <si>
    <t>info@cowlar.com</t>
  </si>
  <si>
    <t>Umer Ilyas; Co-Founder &amp; CTO; uilyas@e4technologies.net; http://linkedin.com/in/uilyas; Co-Founder E4 Technologies, ex-Powersoft19, KBK Electronics. NUST BE 2010
Umer Adnan; Founder &amp; CEO; umer@e4technologies.net; http://linkedin.com/in/umer27; Co-Founder E4 Technologies, ex-Founder Solarize, KBK Electronics. Arizona State University MS 2013
Hussam Jawed; Co-Founder; http://linkedin.com/in/hussamjawed; Co-Founder E4 Technologies, Founder FerneTech, Technicolor, ex-Infosys, PepsiCo, Citi. Karachi University BS 2006</t>
  </si>
  <si>
    <t>uilyas@e4technologies.net
umer@e4technologies.net
umer27@gmail.com</t>
  </si>
  <si>
    <t>http://linkedin.com/in/uilyas
http://linkedin.com/in/umer27
http://linkedin.com/in/hussamjawed</t>
  </si>
  <si>
    <t>https://www.cowlar.com</t>
  </si>
  <si>
    <t>https://www.linkedin.com/company/cowlar</t>
  </si>
  <si>
    <t>http://twitter.com/cowlar1</t>
  </si>
  <si>
    <t>http://facebook.com/cowlar/</t>
  </si>
  <si>
    <t>https://tracxn.com/companies/enB8J3g1NfyV5Kvh7q5uhmBfA02_CzChvgXP1PI2pBA/cowlar.com</t>
  </si>
  <si>
    <t>SilkRoute Indchem
3one4 Capital
Artha India Ventures
Artha Impact
Milliways Ventures
Menterra Venture Advisors
IITM Incubation Cell
Rebright Partners
Fireside Ventures
Mitsui Sumitomo Insurance Venture Capital
Startupxseed Ventures</t>
  </si>
  <si>
    <t>Venkatachary Srinivasan
Visakh Kumar R Nair
Ramesh Vangal
Srikanth Sundararajan
Aparna Santosh Nadampalli
Mustafa Wajid
Aparna Santosh Nayampalli
Lakshmi Venu
S B Swaminathan
Sriram Viji
R Natarajan
T R Ramachandran
Siddarth pai
MM Murugappan</t>
  </si>
  <si>
    <t>AIBono provides services for farm data collection &amp; analytics to provide precision agriculture decision support. The company works on a 90-days model in which first 30 days are used for collecting soil samples and analytics to generate farm maps and variable rate farm input scripts. A company representative coordinates the process with farmers. The company generates farm maps with the zonal categorisation of various zones in farms and suggests various crops that should be grown in those zones. This is followed by the commencement of sowing process according to the selected crops and farm input scripts. Data of planting is uploaded in the "Bono" mobile application for the subsequent farm management. The company also provides services of developing market linkages of both farm input and farm produce by partnering with farm produce marketing and farm input supplier companies.</t>
  </si>
  <si>
    <t>hello@aibono.com</t>
  </si>
  <si>
    <t>+91-9538762938</t>
  </si>
  <si>
    <t>Sudha Sreedharan; Co-Founder
Suman Sredharan; Co-Founder; https://linkedin.com/in/suman-sreedharan
Vivek Rajkumar; Founder; +919840489497; rajkumarvivek@gmail.com; http://linkedin.com/in/rajkumarvivek; Ex-Founder Airwood Farm Management, Procter &amp; Gamble. IIT Madras 2011</t>
  </si>
  <si>
    <t>rajkumarvivek@gmail.com
rajkumar.vivek@gmail.com
vivek@aibono.com</t>
  </si>
  <si>
    <t>https://linkedin.com/in/suman-sreedharan
http://linkedin.com/in/rajkumarvivek</t>
  </si>
  <si>
    <t>Vivek Rajkumar
Sudha Sreedharan</t>
  </si>
  <si>
    <t>http://www.aibono.com</t>
  </si>
  <si>
    <t>https://linkedin.com/company/aibono</t>
  </si>
  <si>
    <t>http://twitter.com/aibonoworld</t>
  </si>
  <si>
    <t>http://facebook.com/aibonoworld</t>
  </si>
  <si>
    <t>http://aibono.com/blog</t>
  </si>
  <si>
    <t>https://tracxn.com/companies/ljD2_vlr72Jw-cIR2TJ64exDKeQTby1iCaqVizKa8dw/aibono.com</t>
  </si>
  <si>
    <t>Enterprise
Social Impact</t>
  </si>
  <si>
    <t>Cairo
Heliopolis</t>
  </si>
  <si>
    <t>Cairo
Muhafazat Al Qahirah</t>
  </si>
  <si>
    <t>Egypt
Egypt</t>
  </si>
  <si>
    <t>IoT Applications &gt; Industry Specific &gt; Agriculture &gt; Farms
Crop Tech &gt; Farm Management Software &gt; Diversified</t>
  </si>
  <si>
    <t>Tomatiki develops and offers IoT based farm management solutions. It offers solutions to monitor and manage the irrigation operations, climate changes, greenhouse temperatures etc. Climate Changes detects the farm climate changes and notify the user through mobile SMS, phone call. Greenhouse helps the user to remotely control the greenhouse temperature. Digital Timer, Farm irrigation, Landscape irrigation, and On Pivot enables the users to schedule the irrigation and remotely monitor the irrigation operations. The solutions enable the user to remotely manage the farm operations.</t>
  </si>
  <si>
    <t>info@tomatiki.com</t>
  </si>
  <si>
    <t>+20-1002738747</t>
  </si>
  <si>
    <t>Mohammed Sileem Hassan; Co-Founder; http://linkedin.com/in/mohammed-sileem-hassan-7a2b4527; ICBR, ex-Daallo Airlines, Orascom Technology, IBM. Ain Shams University 1999, University of Liverpool MSc 2009
Mahamed Barakat Hamd Eloraby; Co-Founder; http://linkedin.com/in/mahamed-barakat-hamd-eloraby-96b98856; Schaduf, ex-Encon Group, Elwaha for Agriculture Production. Cairo University 2008</t>
  </si>
  <si>
    <t>http://linkedin.com/in/mohammed-sileem-hassan-7a2b4527
http://linkedin.com/in/mahamed-barakat-hamd-eloraby-96b98856</t>
  </si>
  <si>
    <t>https://tomatiki.com/</t>
  </si>
  <si>
    <t>http://linkedin.com/company/tomatiki</t>
  </si>
  <si>
    <t>http://twitter.com/tomatiki3</t>
  </si>
  <si>
    <t>https://tracxn.com/companies/ky9PSUyhkS1AceyJyXQd7YXLZ-bM6Cyedlhr_UxU5O0/tomatiki.com</t>
  </si>
  <si>
    <t>Food Tech
Insect Farming Tech</t>
  </si>
  <si>
    <t>Food Tech &gt; Novel Foods &gt; Food Ingredients &gt; Protein
Insect Farming Tech &gt; Insects &gt; Insect based Products &gt; Novel Foods</t>
  </si>
  <si>
    <t>The Trendlines Group
Sirius Venture Capital
FoodBytes
tau-innovation.com
Agro Innovation Lab
RWA Group</t>
  </si>
  <si>
    <t>Hargol FoodTech (earlier Steak TzarTzar) is engaged in breeding and rearing of edible insects. It is focused on developing industrial scale rearing of grasshoppers as of June 2016. It claims to have completed 3 full cycles of hatchery protocol. It plans to further forward integrate into the processing of harvested grasshoppers into shakes.</t>
  </si>
  <si>
    <t>Ben Friedman; Co Founder; http://linkedin.com/in/ben-friedman-a2b14a49; Founder Houser &amp; Haozer, ex-Join2Buy.  NYU STERN  2010
Dror Tamir; Co-Founder &amp; CEO; http://linkedin.com/in/drortamir; Founder Plate my Meal, ex-Cooking with Tami. Tel Aviv University 1994
Chanan Aviv; Co-founder &amp; CTO; chananaviv@gmail.com; http://linkedin.com/in/chanan-aviv-74761875; ex-Commercial Breeding of Isects, Carpenters Farm Shop, Ornamental Fish Farm. The Hebrew University 2000</t>
  </si>
  <si>
    <t>chananaviv@gmail.com</t>
  </si>
  <si>
    <t>http://linkedin.com/in/ben-friedman-a2b14a49
http://linkedin.com/in/drortamir
http://linkedin.com/in/chanan-aviv-74761875</t>
  </si>
  <si>
    <t>http://www.linkedin.com/vsearch/p?f_CC=10010653</t>
  </si>
  <si>
    <t>https://hargol.com/</t>
  </si>
  <si>
    <t>https://linkedin.com/company/steak-tzartzar</t>
  </si>
  <si>
    <t>http://twitter.com/hargolfoodtech</t>
  </si>
  <si>
    <t>https://tracxn.com/companies/tYL0JrdVCuAbKQGi8h-A8g_k0zTQyolB3mn5NjMShqQ/hargol.com</t>
  </si>
  <si>
    <t>$124K</t>
  </si>
  <si>
    <t>Technology
Aerospace, Maritime and Defense Tech
Agriculture
Accelerator Batches</t>
  </si>
  <si>
    <t>Drones
Crop Tech
MassChallenge Batches</t>
  </si>
  <si>
    <t>Drones &gt; Services &gt; Precision Agriculture &gt; Swarm Drones
Crop Tech &gt; Autonomous Farming &gt; Pest Control &gt; Drones
MassChallenge Batches &gt; Israel &gt; 2016</t>
  </si>
  <si>
    <t>Rimonim Fund
MassChallenge
IMPACT Accelerator</t>
  </si>
  <si>
    <t>SkyX has developed technology to convert drones into autonomous agriculture sprayers using machine learning and artificial intelligence. It claims that using these technologies, drones can perform 3D path searches and can operate in obstacle-ridden terrains through bypassing of obstacles. The platform can integrate several drones at any point in time. Integrated software platform can be used for flight simulations and data recording. The company is currently incubated at Mass Challenge Israel program. It does not sells it products directly to the farmers and partners with drone manufacturers.</t>
  </si>
  <si>
    <t>Eylon Sorek; Founder &amp; CEO; eylon@skyx.solutions; http://linkedin.com/in/esorek; Ex-Co-Founder InnoBreeze(1yr 10months), Cisco(5yrs 1month) . Ben-Gurion University of the Negev BSc 2000 &amp; MBA 2006</t>
  </si>
  <si>
    <t>eylon@skyx.solutions</t>
  </si>
  <si>
    <t>http://linkedin.com/in/esorek</t>
  </si>
  <si>
    <t>https://www.skyx.solutions</t>
  </si>
  <si>
    <t>https://tracxn.com/companies/9-C8vyBtYHKt8b8CKhRTeDhtNFPxWZlpj6bGTiVqUAA/skyx.solutions</t>
  </si>
  <si>
    <t>Gedera</t>
  </si>
  <si>
    <t>Drones &gt; Civilian Drones &gt; Drone Platform
Crop Tech &gt; Autonomous Farming &gt; Harvesting</t>
  </si>
  <si>
    <t>Maverick Ventures
OurCrowd
AgFunder
Maverick Ventures</t>
  </si>
  <si>
    <t>Tevel is a developer of AI-powered autonomous drones for the harvesting of fruits. It offers autonomous drones equipped with a mechanical claw used to either harvest fruits or thin and prune the fruit trees. The robot has been developed leveraging its airborne patented robotics platform with specific algorithms to detect and classify harvested fruits, leaves, and other objects. Also, collects the data on fruit quality and quantity of each tree in the orchard.</t>
  </si>
  <si>
    <t>office@tevel-tech.com</t>
  </si>
  <si>
    <t>+972-83009180</t>
  </si>
  <si>
    <t>Yaniv Maor; Founder &amp; CEO; yaniv@tevel-tech.com; https://linkedin.com/in/yaniv-maor-2177822; Elta-IAI, ex-Lumio, VKB. Technion – Israel Institute of Technology BSc &amp; ME</t>
  </si>
  <si>
    <t>yaniv@tevel-tech.com</t>
  </si>
  <si>
    <t>https://linkedin.com/in/yaniv-maor-2177822</t>
  </si>
  <si>
    <t>https://www.tevel-tech.com</t>
  </si>
  <si>
    <t>https://linkedin.com/company/tevel-aerobotics-technologies-ltd/about</t>
  </si>
  <si>
    <t>https://tracxn.com/companies/OxDkWmxQiMBvhfrJopaxzJ3ettZl3nRFufdxfTQB2-Y/tevel-tech.com</t>
  </si>
  <si>
    <t>Enterprise
Tech
Tech Hardware
Software
Artificial Intelligence</t>
  </si>
  <si>
    <t>SaaS
Marketplace
Consumer
Social Impact
Blockchain</t>
  </si>
  <si>
    <t>$11M</t>
  </si>
  <si>
    <t>Crop Tech &gt; Indoor Farming</t>
  </si>
  <si>
    <t>Breathing of Life(BoL) Pharma is an integrated business involved in cultivation and processing of cannabis to supply cannabis-based products to a range of industries. The company uses greenhouse soil-based cultivation for its products. It has pharmaceuticals, cosmetics, and dietary supplements, and medical cannabis &amp;amp; flora products in its product portfolio. It provides custom packaging solutions as per the clients' requirements. The company has formed partnerships with Israel chief scientists and many universities for development of its products and claims to be an official supplier to Israel Chief Scientist, Hebrew University, Weizmann Institute, Clait Health Services, hospitals etc.</t>
  </si>
  <si>
    <t>cs@bolpharma.com</t>
  </si>
  <si>
    <t>Tamir Gedo; CEO; http://linkedin.com/in/tamir-gedo-65215551; Manchester Business School PhD, BGU MBA
Hagai Hillman; Founder &amp; Chairman; hagai.hillman@bolpharma.com</t>
  </si>
  <si>
    <t>hagai.hillman@bolpharma.com</t>
  </si>
  <si>
    <t>http://linkedin.com/in/tamir-gedo-65215551</t>
  </si>
  <si>
    <t>https://www.bolpharma.com</t>
  </si>
  <si>
    <t>http://facebook.com/bolpharma/</t>
  </si>
  <si>
    <t>https://tracxn.com/companies/hkfNARQUSEtDmZJ_Bwoe8Xz0pgMeOFmMVS_KQuZ7OWk/bolpharma.com</t>
  </si>
  <si>
    <t>Energy
Agriculture</t>
  </si>
  <si>
    <t>Solar Energy
Crop Tech</t>
  </si>
  <si>
    <t>Solar Energy &gt; Solar Products &gt; Pumps
Crop Tech &gt; Autonomous Farming &gt; Irrigation</t>
  </si>
  <si>
    <t>Compass Ventures Group</t>
  </si>
  <si>
    <t>Roots-Sustainable Agriculture Technologies has developed solar power closed loop irrigation systems for the farmers. The systems use two patented technologies: Root Temperature optimization by using two set of pipes in root zone and stable temperature soil layer &amp; utilization of humidity in the outer layer of pipes through condensation to provide cool water for irrigation. The product portfolio has products that utilize one or both technologies. It also provides a monitoring system which contains 8-10 sensors and monitors root zone temperature, humidity of the outer surface of pipes &amp;amp; captured data can be seen by the farmer in the web interface.</t>
  </si>
  <si>
    <t>roots@rootssat.com</t>
  </si>
  <si>
    <t>Sharon Devir; Co-Founder; sharon@rootssat.com; http://linkedin.com/in/sharon-devir-64b8027; RIMONIM AGRO FUND I, Salicrop, Rimonim Food and Agro Technology Fund, ex-  Bikurofe, NGT Technological Incubator, Para Data. Wageningen University Ph.D 1996</t>
  </si>
  <si>
    <t>sharon@rootssat.com</t>
  </si>
  <si>
    <t>http://linkedin.com/in/sharon-devir-64b8027</t>
  </si>
  <si>
    <t>ASX:ROO</t>
  </si>
  <si>
    <t>https://rootssat.com/</t>
  </si>
  <si>
    <t>https://tracxn.com/companies/oBUwyHEdeQZA8kA-QwkbojopfGNcpoPAfaOk0uzj2xA/rootssat.com</t>
  </si>
  <si>
    <t>Enterprise
Marketplace
SaaS
Tech
Social Impact
Tech Hardware
Artificial Intelligence</t>
  </si>
  <si>
    <t>Raichur</t>
  </si>
  <si>
    <t>Crop Tech &gt; Post Harvest Management &gt; Quality Testing &gt; Grains
MassChallenge Batches &gt; Switzerland &gt; 2019</t>
  </si>
  <si>
    <t>Karnataka Startup Cell
MassChallenge
a-IDEA</t>
  </si>
  <si>
    <t>AmviCube is a developer of paddy quality tester. It offers a WiFi-enabled, plug and play device to test paddy quality for the presence of internal cracks, admixtures, and chalkiness in paddy. It provides results, reports, and detailed analytics through SMS and emails.</t>
  </si>
  <si>
    <t>info@amvicube.com</t>
  </si>
  <si>
    <t>+91-9036096077</t>
  </si>
  <si>
    <t>Vikram Sreerama; Co-Founder; +919036096077; vikram@amvicube.cim; https://linkedin.com/in/vikram-sreerama-0342a3a1; ex-shriya rice mills. Siddaganga Institute of Technology BE 2002
Amarnath Somalapuram; Co-Founder; somalapuram@gmail.com; http://linkedin.com/in/amarnath-somalapuram-12b01328; ex-ATONARP, Samsung Research Institute Bangalore, Jeevan Softech, Embeyond Technologi. Visvesvaraya Technological University BE 2004</t>
  </si>
  <si>
    <t>vikram@amvicube.cim
somalapuram@gmail.com</t>
  </si>
  <si>
    <t>https://linkedin.com/in/vikram-sreerama-0342a3a1
http://linkedin.com/in/amarnath-somalapuram-12b01328</t>
  </si>
  <si>
    <t>http://www.amvicube.com</t>
  </si>
  <si>
    <t>https://linkedin.com/company/amvicube/about</t>
  </si>
  <si>
    <t>https://tracxn.com/companies/0AMlFXf7S9QT4T_P-BYQzVaxQAVgN9D_Eyfv3BW48y0/amvicube.com</t>
  </si>
  <si>
    <t>sushiljain.in
Arvind Construction
Bytez
LetsVenture
Supply Chain Labs
India Accelerator
Yukti
Pravega Ventures
Inflection Point Ventures
Citadel Ventures
Smile Group
Factor[e] Ventures</t>
  </si>
  <si>
    <t>Sajal Agarwal
Akriti Chopra
Manish Vij
Vinay Mittal
Ramit Sethi
Pradeep Sarin
Preethi Agarwal
Rajiv Puri
Rajan Anandan
Krishnan Akhileswaran
Sukit Kumar Prabhakar
Nisarg Shah
Gajendra Singh Chowhan
Nihit Ajay
Deepak Jain
Sreejith Sudhakaran
Dhruv Agarwala
Wong Kok Wai
Pankaj Rathi
Sunil Goyal
Jitendra Gupta
Arjun Chitoor
Ashish Gupta
Rohit Jain
Himanshu Aggarwal
Anshul Agarwal
Sandeep Agarwal
Swatee Agarwal
Mukul Singhal
Varun Kumar Vummidi</t>
  </si>
  <si>
    <t>Crofarm provides a digital supply chain of fruits and vegetables from farm to business It manages the logistics, storage, supply to clients in retail chains like Big Bazaar, Reliance Retail and online stores like BigBasket and Grofers.  The company claims to use proprietary digital tools for supply chain management and logistics optimization.</t>
  </si>
  <si>
    <t>contact@crofarm.com</t>
  </si>
  <si>
    <t>+91-7291998118</t>
  </si>
  <si>
    <t>Varun Khurana
Prashant Jain</t>
  </si>
  <si>
    <t>http://www.crofarm.com</t>
  </si>
  <si>
    <t>https://linkedin.com/company/crofarm/about</t>
  </si>
  <si>
    <t>https://twitter.com/crofarm_com</t>
  </si>
  <si>
    <t>https://facebook.com/crofarm.co</t>
  </si>
  <si>
    <t>https://tracxn.com/companies/yrjBSOcm4X6DY4xcZBLNyHSlcDvT2YqIgnPpCj-TRgQ/crofarm.com</t>
  </si>
  <si>
    <t>Consumer
Marketplace
SaaS
Software
Tech Hardware
Social Impact
Blockchain</t>
  </si>
  <si>
    <t>Uberaba</t>
  </si>
  <si>
    <t>$628K</t>
  </si>
  <si>
    <t>B2B E-Commerce &gt; Agriculture &gt; Marketplace
Crop Tech &gt; ECommerce &gt; Farm Produce &gt; B2B &gt; Grains</t>
  </si>
  <si>
    <t>Bayer
Monsanto
Canary
OpenVC
Lanx Capital</t>
  </si>
  <si>
    <t>Grao Direto is a mobile app-based platform for negotiations between grain producers and buyers. It offers users to interact digitally for spot, future, and barter trading. Its platform can be used by cooperatives, tradings, traditional brokers, feed factories, warehouses, and traders. The platform generates market intelligence gains for producers and buyers to make decisions in processes such as logistics, contract management, financial products etc. Its app is available for Android and iOS platform.</t>
  </si>
  <si>
    <t>contato@graodireto.com.br</t>
  </si>
  <si>
    <t>+55-3433311163</t>
  </si>
  <si>
    <t>Alexandre Borges; Co-Founder; alexandre.borges@graodireto.com.br; http://linkedin.com/in/aborgess; ex-WE-K, ALEGRIA, PIONEIRO. FEA USP MBA 2018</t>
  </si>
  <si>
    <t>alexandre.borges@graodireto.com.br</t>
  </si>
  <si>
    <t>http://linkedin.com/in/aborgess</t>
  </si>
  <si>
    <t>https://www.graodireto.com.br</t>
  </si>
  <si>
    <t>http://linkedin.com/company/gr%C3%A3o-direto</t>
  </si>
  <si>
    <t>http://twitter.com/graodireto</t>
  </si>
  <si>
    <t>http://facebook.com/graodireto</t>
  </si>
  <si>
    <t>https://tracxn.com/companies/DPleF2IZlQsOEkz6mCdc-wRZiYc-ukNoM1Qf7vuPaY0/graodireto.com.br</t>
  </si>
  <si>
    <t>SaaS</t>
  </si>
  <si>
    <t>Mombasa</t>
  </si>
  <si>
    <t>Mombasa District</t>
  </si>
  <si>
    <t>$28M</t>
  </si>
  <si>
    <t>Draper Richards Kaplan Foundation
FMO
PeakChange
Ceniarth
Novastar Ventures</t>
  </si>
  <si>
    <t>Komaza is a forestry agribusiness that engages in organized farming in partnership with small holder farmers. The company provides farm inputs and training to farmers with cultivable land and labor. It mainly deals in trees which can be harvested for wood. The harvest is sold and revenue is shared with the partner farmers. It pools the farm land to reduce cost of production using economics of scale. Its operations are located in Kenya.</t>
  </si>
  <si>
    <t>sales@komaza.com</t>
  </si>
  <si>
    <t>+254-713942780</t>
  </si>
  <si>
    <t>Esther Mutuma; Managing Director; esther.mutuma@komaza.com; https://linkedin.com/in/esther-mutuma-1478a635; Ex- Asante Capital EPZ. University of Nairobi  BA, University of Cambridge MA
Tevis Howard; Founder &amp; CEO; tevis@komaza.com; http://linkedin.com/in/tevishoward; Brown University BSc  2007</t>
  </si>
  <si>
    <t>esther.mutuma@komaza.com
tevis@komaza.com</t>
  </si>
  <si>
    <t>https://linkedin.com/in/esther-mutuma-1478a635
http://linkedin.com/in/tevishoward</t>
  </si>
  <si>
    <t>http://www.linkedin.com/vsearch/p?f_CC=239650</t>
  </si>
  <si>
    <t>https://www.komaza.com</t>
  </si>
  <si>
    <t>http://linkedin.com/company/komaza</t>
  </si>
  <si>
    <t>http://twitter.com/komaza</t>
  </si>
  <si>
    <t>http://facebook.com/komazakenya</t>
  </si>
  <si>
    <t>https://tracxn.com/companies/CJvz_x6ltAIwFBKqXgkDqmO-Q9Xgrefn5ZMr7PQ6B00/komaza.com</t>
  </si>
  <si>
    <t>Consumer
Tech
Marketplace
SaaS</t>
  </si>
  <si>
    <t>Geographic Information Systems
Crop Tech</t>
  </si>
  <si>
    <t>Geographic Information Systems &gt; Location Analytics &gt; Agriculture
Crop Tech &gt; Farm Analytics &gt; Satellite Image Based</t>
  </si>
  <si>
    <t>SP Ventures
DOMO Invest
THRIVE
ACE Startups
SVG Ventures</t>
  </si>
  <si>
    <t>Agronow has developed a cloud based software for satellite imaging of farms and doing a productivity analysis of crops as well as identification of pest attacks. It allows to store historical data for bench marking and climate impact analysis.</t>
  </si>
  <si>
    <t>Walkiria Sassaki; Co-Founder; walkiria.sassaki@agronow.com.br; http://linkedin.com/in/walkiria-sassaki-b9694829; Architect, Sigmatech Consultation</t>
  </si>
  <si>
    <t>walkiria.sassaki@agronow.com.br</t>
  </si>
  <si>
    <t>http://linkedin.com/in/walkiria-sassaki-b9694829</t>
  </si>
  <si>
    <t>https://www.agronow.com.br</t>
  </si>
  <si>
    <t>https://linkedin.com/company/agronow/about</t>
  </si>
  <si>
    <t>https://twitter.com/agronow_tec</t>
  </si>
  <si>
    <t>https://tracxn.com/companies/Kth4cli12CIgDjWKxPQi2ijT-Bb3IUtiM9MsTvKBgd8/agronow.com.br</t>
  </si>
  <si>
    <t>Enterprise
SaaS
Tech
Artificial Intelligence</t>
  </si>
  <si>
    <t>Sandton</t>
  </si>
  <si>
    <t>$132K</t>
  </si>
  <si>
    <t>FinTech
FinTech
Agriculture
Agriculture
Accelerator Batches</t>
  </si>
  <si>
    <t>Alternative Lending
Crowdfunding
Livestock Tech
Crop Tech
MassChallenge Batches</t>
  </si>
  <si>
    <t>Alternative Lending &gt; Online Lenders &gt; Consumer Loans &gt; Farm Loans &gt; Marketplace
Crowdfunding &gt; Revenue Sharing &gt; Horizontal
Livestock Tech &gt; Financing Platforms &gt; Crowdfunding
Crop Tech &gt; Finance &gt; Crowdfunding
MassChallenge Batches &gt; Cohort Information Unavailable</t>
  </si>
  <si>
    <t>MassChallenge
AlphaCode</t>
  </si>
  <si>
    <t>Livestock Wealth is an online platform where anyone can invest in cows. It manages and operates two farms: Fairplay in Zululand, Vryheid and Rietfontein in Kokstad, KwaZulu Natal, South Africa. The current farms have carrying capacity of a 1000 head of cattle. It aims to grow the cows under management to 1 million by 2020 in different farms in South Africa and beyond.</t>
  </si>
  <si>
    <t>invest@livestockwealth.com</t>
  </si>
  <si>
    <t>Ntuthuko Shezi; Founder &amp; CEO; shezi@livestockwealth.com; http://linkedin.com/in/ntuthuko-shezi-a8517b2a; CE3, Scratch Mobile, ex-Accenture. University of Cape Town 2001</t>
  </si>
  <si>
    <t>shezi@livestockwealth.com</t>
  </si>
  <si>
    <t>http://linkedin.com/in/ntuthuko-shezi-a8517b2a</t>
  </si>
  <si>
    <t>https://livestockwealth.com/</t>
  </si>
  <si>
    <t>https://linkedin.com/company/livestock-wealth</t>
  </si>
  <si>
    <t>http://twitter.com/livestockwealth</t>
  </si>
  <si>
    <t>http://facebook.com/zulufilmfestival/</t>
  </si>
  <si>
    <t>http://livestockwealth.com/index.php/press</t>
  </si>
  <si>
    <t>https://tracxn.com/companies/t6A7ghuB85EiK5Z4_8P03_OYW44GeLbG6e-wyRFBo6c/livestockwealth.com</t>
  </si>
  <si>
    <t>Consumer
Enterprise</t>
  </si>
  <si>
    <t>Marketplace
SaaS
Artificial Intelligence
Tech</t>
  </si>
  <si>
    <t>Crowdfunding &gt; Equity &gt; Agriculture
Crop Tech &gt; Finance &gt; Crowdfunding</t>
  </si>
  <si>
    <t>Farmfolio has developed an online platform for the crowdfunding in the selective farming projects of Central and South America. Upon registration, farmers can list their property for a certain farming project. Registered investors can express their interest in certain projects and after a certain escrow limit is achieved for a project, funding can be done on that project. Each investment unit is called "Farm shares". The platform allows the secondary transaction for the existing investor to exit their investment as per the demand from the other investors.</t>
  </si>
  <si>
    <t>Info@farmfolio.net</t>
  </si>
  <si>
    <t>Dax Cooke; Founder &amp; CEO; cookedax@gmail.com; http://linkedin.com/in/dax-cooke-b66a4b84; Co-Founder&amp; CEO, Federal Employee Benefit Councellor</t>
  </si>
  <si>
    <t>cookedax@gmail.com</t>
  </si>
  <si>
    <t>http://linkedin.com/in/dax-cooke-b66a4b84</t>
  </si>
  <si>
    <t>https://farmfolio.net/</t>
  </si>
  <si>
    <t>https://www.linkedin.com/company/farmfolio</t>
  </si>
  <si>
    <t>http://twitter.com/farmfolio</t>
  </si>
  <si>
    <t>https://tracxn.com/companies/O37Kj8mxXvoxlviWPXW-2UGw0J5Jy0do8uaX3gy8-14/farmfolio.net</t>
  </si>
  <si>
    <t>Xian</t>
  </si>
  <si>
    <t>Shaanxi</t>
  </si>
  <si>
    <t>Qiming Venture Partners
XinJiang Huier Agriculture Group</t>
  </si>
  <si>
    <t>Seven Kilometers provides an online B2B platform for marketing of farm produce and warehousing. The company claims that it has more than 3000 cooperation stores, covering Shanxi, Hena, and Hebei provinces on the platform and total GMV of 3.4 billion yuans as of 2015. Warehousing services providers are also registered on the platform with whom farmers can connect to warehouse their produce.</t>
  </si>
  <si>
    <t>+86-02982305176</t>
  </si>
  <si>
    <t>Wang Fei; Founder &amp; CEO</t>
  </si>
  <si>
    <t>http://7gongli.com.cn</t>
  </si>
  <si>
    <t>https://tracxn.com/companies/2MtgQGfD34euwbgK_SxgaPjZrPzwo91TsHssz0HPv0Y/7gongli.com.cn</t>
  </si>
  <si>
    <t>$217K</t>
  </si>
  <si>
    <t>Muthuswami Lakshminarayan
Sheela Damle
Tanuja Joshi
Usha Ganpat Apte
Atul Patil
Manasi Sanjay Thatte
Sandeep Pingale</t>
  </si>
  <si>
    <t>Agreeta Solutions Pvt. Ltd. is a developer of multiple digital platforms offering various solutions ranging from resource planning and crop management, agronomy information and content developed by agronomists to a marketplace connecting the farmers to traders and other agribusinesses.</t>
  </si>
  <si>
    <t>info@agreeta.com</t>
  </si>
  <si>
    <t>Sandeepa Kanitkar; Co-Founder; asnikar.pranav@gmail.com; http://linkedin.com/profile/view; Agribusiness Management, Cornell University</t>
  </si>
  <si>
    <t>asnikar.pranav@gmail.com</t>
  </si>
  <si>
    <t>http://linkedin.com/profile/view</t>
  </si>
  <si>
    <t>https://agreeta.com/</t>
  </si>
  <si>
    <t>http://linkedin.com/company/agreeta-solutions-private-limited</t>
  </si>
  <si>
    <t>https://twitter.com/agreetapvtltd</t>
  </si>
  <si>
    <t>https://tracxn.com/companies/OLTQgU_2jqeZcU2ENarL27D8NqGo_dgEcbfOB17y9BQ/agreeta.com</t>
  </si>
  <si>
    <t>Alternative Lending &gt; Online Lenders &gt; Business Loans &gt; Equipment Financing &gt; Marketplace
Crop Tech &gt; Finance &gt; Loans</t>
  </si>
  <si>
    <t>Yonghua Capital
Shunwei Capital
Guojin Securities
Source Code Capital
Innoven Capital
Zhen Fund
Bertelsmann Asia Investment Fund
YI Capital
Future Capital
Plum Ventures</t>
  </si>
  <si>
    <t>Nongfenqi is an online purchase finance platform for farmers to buy agricultural equipment. Through the platform, farmers can buy agricultural equipment in monthly instalments. The company has gathered data from at grass root level about farmers from various villages to offer credit rating services to both agro equipment vendors and agro lending financial institutions.</t>
  </si>
  <si>
    <t>Zhou Jian; Founder &amp; CEO</t>
  </si>
  <si>
    <t>http://www.nongfenqi.com</t>
  </si>
  <si>
    <t>https://tracxn.com/companies/9rQryfXpFpFWeu4wwYUukc8JvweN3mD-wThH7ao7RgY/nongfenqi.com</t>
  </si>
  <si>
    <t>Consumer
Marketplace
Tech</t>
  </si>
  <si>
    <t>Enterprise
SaaS</t>
  </si>
  <si>
    <t>Ashqelon</t>
  </si>
  <si>
    <t>Southern District</t>
  </si>
  <si>
    <t>GreenSoil Investments
AquAgro Fund
Middleland Capital
THRIVE
Terracap Ventures
Cibus Fund</t>
  </si>
  <si>
    <t>Rootility is a biotech company involved in the development of seeds through the breeding technology developed by it. It claims that its practices are non-GMO. Technology is focused towards the development of "Root Power Trait" i.e. the protection against biotic and abiotic stresses through the development of more powerful roots. It has 4 registered products in the USA and one in the EU(Spain).</t>
  </si>
  <si>
    <t>Rafael Meissner; Founder &amp; CEO; rafael.meissner@rootility.com; http://linkedin.com/in/rafael-meissner-35b53318; PhD, Plant Science, Weizmann Institute of Science</t>
  </si>
  <si>
    <t>rafael.meissner@rootility.com</t>
  </si>
  <si>
    <t>http://linkedin.com/in/rafael-meissner-35b53318</t>
  </si>
  <si>
    <t>http://www.rootility.com:2222</t>
  </si>
  <si>
    <t>https://www.linkedin.com/company/rootility</t>
  </si>
  <si>
    <t>https://tracxn.com/companies/HP8BX0KkOIDPwGcQqw0LJmWuX1rIHhQPKEwJUoZ5Q9s/rootility.com</t>
  </si>
  <si>
    <t>Hong Kong</t>
  </si>
  <si>
    <t>Food Tech &gt; Novel Foods &gt; Food Ingredients &gt; Protein
Insect Farming Tech &gt; Insects &gt; Growing Systems</t>
  </si>
  <si>
    <t>K-Startup Grand Challenge
Agro Innovation Lab
HAX
European Union</t>
  </si>
  <si>
    <t>Livin Farms makes a 6-layer kitchentop hive that grows edible worms as a meat alternative. The hive is climate-controlled with fans and sensors to reduce smell. User is supposed to feed the mealworms kitchen scraps. A week's harvest produces 200-500 grams of mealworms. The pupae can be put back at the top of the hive, where they'll hatch into beetles and start the whole process over again. The company raised $76k in a crowdfunding round. Priced at $449 for initial customers and $700 at retail.</t>
  </si>
  <si>
    <t>Katharina Unger; Founder and CEO; katharina@livinfarms.com; http://linkedin.com/in/katharina-unger-64091928; The University of the Arts, Studio Fiona Raby, University of Applied Arts Vienna, Michael Young Ltd., Fulbright Scholarship</t>
  </si>
  <si>
    <t>katharina@livinfarms.com</t>
  </si>
  <si>
    <t>http://linkedin.com/in/katharina-unger-64091928</t>
  </si>
  <si>
    <t>https://www.livinfarms.com</t>
  </si>
  <si>
    <t>https://www.linkedin.com/company/10284773?trk=prof-exp-company-name</t>
  </si>
  <si>
    <t>https://twitter.com/livinfarms</t>
  </si>
  <si>
    <t>https://tracxn.com/companies/tgUXv2tHmPpBIAgab5ADnuzFL0PSlPHlKQ3T0KO-VVk/livinfarms.com</t>
  </si>
  <si>
    <t>Aquaculture Tech &gt; ECommerce &gt; Farm Produce &gt; B2C &gt; Fish &gt; Marketplace</t>
  </si>
  <si>
    <t>ACVentures
SMDV
UMG Indonesia
East Ventures</t>
  </si>
  <si>
    <t>Aruna is an Indonesian company which provides a cloud platform to fishery companies to manage their day to day operations. Its features include fishery management, data intelligence related to fisheries and online fishery trading.</t>
  </si>
  <si>
    <t>Utari Octavianty; Co-Founder; http://linkedin.com/in/utari-octavianty-9b8850b5/en; Co-Founder / Chief Marketing Officer  PasarLaut.com, Telkom University 2011 - 15
Farid Naufal Aslam; Founder; farid@aruna.id; http://linkedin.com/in/faridnaslam; Chief Executive Officer  Aruna Indonesia, Telkom University 2011-16</t>
  </si>
  <si>
    <t>farid@aruna.id</t>
  </si>
  <si>
    <t>http://linkedin.com/in/utari-octavianty-9b8850b5/en
http://linkedin.com/in/faridnaslam</t>
  </si>
  <si>
    <t>https://aruna.id/</t>
  </si>
  <si>
    <t>https://www.linkedin.com/company/aruna-indonesia</t>
  </si>
  <si>
    <t>https://tracxn.com/companies/QjzDNkTG6ewZ1xrKPmE9yrE3s7GVqrnT1iMhWj8x_Pc/aruna.id</t>
  </si>
  <si>
    <t>B2B E-Commerce &gt; Food &amp; Beverages &gt; Groceries &gt; Farm Products &gt; Listing Platform
Crop Tech &gt; ECommerce &gt; Farm Produce &gt; B2B &gt; Grains</t>
  </si>
  <si>
    <t>GreenTec Capital
UK Government
dfat.gov.au
Fincluders
GSMA
Seedstars
Village Capital</t>
  </si>
  <si>
    <t>AgroCenta has developed a digital platform linking players across the agri supply chain including farmers, logistics operators, traders and retailers providing market linkage to smallholder farmers and farm organisations. It provides an on demand shipping service named Truckr, an agri trade listing platform where farmers can list their produce and buyers can book the same and an agronomy information platform.</t>
  </si>
  <si>
    <t>Michael Ocansey; Co-Founder; michael.ocansey@agrocenta.com; https://linkedin.com/in/mkocansey; Ex-Co-Founder-Swappaholics Holdings, Origo Software, Esoko. Regent University College of Science and Technology BSc
Francis Obirikorang; Co-Founder &amp; CEO; francis@agrocenta.com; https://linkedin.com/in/swapchief; Startup Grind, Co-Founder-Swappaholics Holdings, ex-TXT Ghana, Corenett. KNUST 2006</t>
  </si>
  <si>
    <t>michael.ocansey@agrocenta.com
francis@agrocenta.com</t>
  </si>
  <si>
    <t>https://linkedin.com/in/mkocansey
https://linkedin.com/in/swapchief</t>
  </si>
  <si>
    <t>https://www.agrocenta.com</t>
  </si>
  <si>
    <t>https://twitter.com/agrocenta</t>
  </si>
  <si>
    <t>https://tracxn.com/companies/gBJQ6asY3nbc8l4JaPdIFKAglfh6eCPDdefSBY202V8/agrocenta.com</t>
  </si>
  <si>
    <t>Enterprise
Tech
Social Impact</t>
  </si>
  <si>
    <t>Chengdu</t>
  </si>
  <si>
    <t>Consumer
Logistics Tech
Food Tech
Agriculture</t>
  </si>
  <si>
    <t>Logistics Tech
Online Grocery
Crop Tech</t>
  </si>
  <si>
    <t>Logistics Tech &gt; Parcel &gt; Hyperlocal &gt; B2C &gt; Grocery
Online Grocery &gt; B2C Ecommerce &gt; Multi Category &gt; Marketplace &gt; Own Delivery Fleet
Crop Tech &gt; ECommerce &gt; Farm Produce &gt; B2C &gt; Fruits and Vegetables &gt; Marketplace</t>
  </si>
  <si>
    <t>Fenbushi Capital
Fangyi Equity Investment Fund</t>
  </si>
  <si>
    <t>5ufarm is an online platform which connects farmers and buyers of agro products. Users can order table eggs, meat, beverages, organic fruits and vegetables, nuts, grains and other categories of ingredients from the platform. Tests the products on 137 parameters before delivering it to the consumers. Claims to have a strategic partnership with 218 small and medium farms as of March, 2016.</t>
  </si>
  <si>
    <t>http://5ufarm.com</t>
  </si>
  <si>
    <t>https://twitter.com/jingyixinzi</t>
  </si>
  <si>
    <t>https://tracxn.com/companies/5KclIzvAE0mSHBQunIdEDpaN8Uxco0qgaEQFMTn9Jco/5ufarm.com</t>
  </si>
  <si>
    <t>Kumasi</t>
  </si>
  <si>
    <t>Ashanti Region</t>
  </si>
  <si>
    <t>Chanzo Capital
Mastercard Foundation
Kickstart Innovation
African Development Bank Group</t>
  </si>
  <si>
    <t>Farmerline provides a mobile application for weather forecast information dissemination to smallholder farmers in African countries. It also provides services of mass messaging, survey collection, and content development for information dissemination to agriculture-related businesses. It also provides project management services for agribusinesses and government agencies.</t>
  </si>
  <si>
    <t>team@farmerline.org</t>
  </si>
  <si>
    <t>Emmanuel O Addai; Co-Founder &amp; CTO; emmanuel@farmerline.co; http://linkedin.com/in/eoaddai; Ex- iCottage, VOTO Mobile, Joy Maternity Home. Prempeh College 2001, KNUST MSc 2011
Alloysius Attah; Co-Founder &amp; CEO; alloysiusattah@gmail.com; http://linkedin.com/in/alloysiusattah; TAHMO Initiative, Echoing Green, ex- iCottage Networks, Alloyworld. KNUST BSc 2012</t>
  </si>
  <si>
    <t>emmanuel@farmerline.co
alloysiusattah@gmail.com
alloysius@farmerline.co</t>
  </si>
  <si>
    <t>http://linkedin.com/in/eoaddai
http://linkedin.com/in/alloysiusattah</t>
  </si>
  <si>
    <t>http://www.linkedin.com/vsearch/p?f_CC=3346451</t>
  </si>
  <si>
    <t>https://farmerline.co</t>
  </si>
  <si>
    <t>https://www.linkedin.com/company/farmerline</t>
  </si>
  <si>
    <t>http://twitter.com/farmerline</t>
  </si>
  <si>
    <t>http://facebook.com/farmerline</t>
  </si>
  <si>
    <t>http://farmerline.co/blog</t>
  </si>
  <si>
    <t>https://tracxn.com/companies/fzFYQgk-38Mgv0qjs7oLf0TFXRJSDPmExDaYCWM0AX4/farmerline.co</t>
  </si>
  <si>
    <t>$37K</t>
  </si>
  <si>
    <t>a-IDEA
Villgro</t>
  </si>
  <si>
    <t>BharatRohan provides advisory services to farmers based on the data captured through the aerial survey of farmland through UAV laden with hyper spectral imagery device and crop specific analytic of hyper spectral imagery done for the individual subscribed farmer. The advises given by BharatRohan are focused towards the crop diseases and controlled use of pesticides and fertilizers. Moreover, it predicts the crop yield pattern for the farmers to plan for the post harvest measures.</t>
  </si>
  <si>
    <t>info@bharatrohan.in</t>
  </si>
  <si>
    <t>Akansha Tyagi; ex-Co-Founder; Banasthali Vidyapeeth BTech, Xavier Institute of Management, Bhubaneswar MBA
Amandeep Panwar; Co-Founder &amp; CEO; +9109696925550; aman@bharatrohan.in; http://linkedin.com/in/amandeeppanwar; BBDNITM, Lucknow 2015
Rishabh Choudhary; Co-Founder &amp; CTO; rishabh@bharatrohan.in; http://linkedin.com/in/choudharyrishabh; BBDNITM 2015
Keshav Singh; Co-Founder; http://linkedin.com/in/keshav-d-singh-8962092b; University of Saskatchewan, University of California, JECRC University. IIT PHD 2014
Mukesh Panwar; Co-Founder</t>
  </si>
  <si>
    <t>aman@bharatrohan.in
amandeeppanwar@gmail.com
rishabh@bharatrohan.in</t>
  </si>
  <si>
    <t>http://linkedin.com/in/amandeeppanwar
http://linkedin.com/in/choudharyrishabh
http://linkedin.com/in/keshav-d-singh-8962092b</t>
  </si>
  <si>
    <t>http://www.bharatrohan.in</t>
  </si>
  <si>
    <t>http://linkedin.com/company/12893933</t>
  </si>
  <si>
    <t>https://twitter.com/bharatrohan3</t>
  </si>
  <si>
    <t>http://facebook.com/bharatrohan.in/</t>
  </si>
  <si>
    <t>https://tracxn.com/companies/4hjmzUAsQv-FL2s4rT8TYkx_I8KP6u-Cc6ZleE--Bws/bharatrohan.in</t>
  </si>
  <si>
    <t>B2B E-Commerce
Online Grocery
Crop Tech
Y Combinator Batches</t>
  </si>
  <si>
    <t>B2B E-Commerce &gt; Food &amp; Beverages &gt; Groceries &gt; Farm Products &gt; Marketplace
Online Grocery &gt; B2B Ecommerce &gt; Farm Produce &gt; Multi-Category &gt; Marketplace
Crop Tech &gt; ECommerce &gt; Farm Produce &gt; B2B &gt; Fruits and Vegetables &gt; Marketplace
Y Combinator Batches &gt; 2016 &gt; Winter</t>
  </si>
  <si>
    <t>Venture Highway
Mistletoe
Y Combinator
Thiel Foundation
Lynett Capital
FundersClub</t>
  </si>
  <si>
    <t>Kisan Network is an online B2B marketplace for the farmers in India to connect directly to the retailers and bulk buyers rather than selling their produce in mandis. A farmer can register and list their produce on the platform through the mobile app, toll free number or miss call on the designated number. A buyer can register and put up a selling request through mobile app, emails, toll free number or miss call on the designated number. Kisan Network provides the integrated services including grading and sorting of crops and packaging, transportation delivery of crop upon the receipt of an order.</t>
  </si>
  <si>
    <t>info@kisannetwork.com</t>
  </si>
  <si>
    <t>+91-180030002422</t>
  </si>
  <si>
    <t>Aditya Agarwalla; Co-Founder; adi.agarwalla@kisannetwork.com; http://linkedin.com/in/adiagarwalla; The Thiel Foundation, ex-Y Combinator. Princeton University 2015
Sanjay K Agarwalla; Co-Founder; sanjay.agarwalla@kisannetwork.com; http://linkedin.com/in/sanjaykagarwalla; Founder Integrated Digital Systems, ex-Y Combinator, IDM. Gauhati University MBA 1989</t>
  </si>
  <si>
    <t>adi.agarwalla@kisannetwork.com
adi.agarwalla@gmail.com
sanjay.agarwalla@kisannetwork.com
sanjaykagarwalla@gmail.com</t>
  </si>
  <si>
    <t>http://linkedin.com/in/adiagarwalla
http://linkedin.com/in/sanjaykagarwalla</t>
  </si>
  <si>
    <t>Aditya Agarwalla</t>
  </si>
  <si>
    <t>https://www.kisannetwork.com</t>
  </si>
  <si>
    <t>https://linkedin.com/company/kisan-network</t>
  </si>
  <si>
    <t>http://twitter.com/kisannetwork</t>
  </si>
  <si>
    <t>https://tracxn.com/companies/nZOSeMQ6ID-6k1Wg9o6LeSPhY44yekzjoGOSeqwlJmk/kisannetwork.com</t>
  </si>
  <si>
    <t>$157K</t>
  </si>
  <si>
    <t>Enterprise Applications
Enterprise Applications
Agriculture</t>
  </si>
  <si>
    <t>ERP
Field Force Automation
Crop Tech</t>
  </si>
  <si>
    <t>ERP &gt; Agriculture &gt; Farm Management &gt; Suite
Field Force Automation &gt; Agricultural industry
Crop Tech &gt; Farm Management Software &gt; Diversified</t>
  </si>
  <si>
    <t>Radiant Haroti
Prasad Seeds
vaidaangi.com
Indigram Labs</t>
  </si>
  <si>
    <t>Vijay Anand Jhanwar
Prasad Karumanchi
Kailash Rathi
Manju Sri Mudholkar
Megha Raturi
Vatsal Gaur
Ruchi N Singh
Ankur Agarwal
Aparna Rakhra
Anil Yamani</t>
  </si>
  <si>
    <t>Farmguide is building a tech enabled tool to build farmer's database collected through field agents and stored in the cloud. This can later be processed to meet the needs of various stakeholders such as banks, input providers, agro commodity players, procurement managers, logistic agro supply chain. The platform also enables farmers to plan crops, take precautionary decisions about weather, pest attacks and connect to markets. Currently in stealth mode</t>
  </si>
  <si>
    <t>+91-1244235259</t>
  </si>
  <si>
    <t>Monika Toshniwal; Co-Founder
Nikhil Toshniwal; Founder; +918130954420; nikhil@farmguide.in; http://linkedin.com/in/nikhil-toshniwal-16991828; Ex ISFiT, Grameen Bank. BTech IITD.</t>
  </si>
  <si>
    <t>nikhil@farmguide.in
nikhiltoshniwal2@gmail.com</t>
  </si>
  <si>
    <t>http://linkedin.com/in/nikhil-toshniwal-16991828</t>
  </si>
  <si>
    <t>Nikhil Toshniwal
Monika Toshniwal</t>
  </si>
  <si>
    <t>https://www.farmguide.in</t>
  </si>
  <si>
    <t>https://twitter.com/farmguideindia</t>
  </si>
  <si>
    <t>https://tracxn.com/companies/QV9INkHkg6a5wWmiY_u7YeAFchvIhIWLIOcXk4GKhFM/farmguide.in</t>
  </si>
  <si>
    <t>Consumer
Enterprise
SaaS
Tech
Artificial Intelligence</t>
  </si>
  <si>
    <t>Marketplace
Software
Tech Hardware
Social Impact
Innovative
High IP
Goods
Service
Looks Scalable
Chain
Not for Profit
Blockchain</t>
  </si>
  <si>
    <t>The Trendlines Group
Aqua Spark</t>
  </si>
  <si>
    <t>Biofishency has developed a plug'n'play water treatment product leveraging the recirculating aquaculture system. Claims 95% reduction in water use, 2 to 5 fold increase in yields, 2x nitrification (ammonia removal), etc. Also claims that this solution is much cheaper compared to the conventional water treatment plants used in aquaculture.</t>
  </si>
  <si>
    <t>info@biofishency.com</t>
  </si>
  <si>
    <t>Cobi Levanon; Co-Founder &amp; CEO; cobi@biofishency.com; http://linkedin.com/in/%D7%A7%D7%95%D7%91%D7%99-%D7%9C%D7%91%D7%A0%D7%95%D7%9F-99821b94
Igal Magen; Co-Founder &amp; CTO; igal@biofishency.com; http://linkedin.com/in/igal-magen-7168a526; Ex-CARANA Corporation, Agribusiness Private consultancy. HUJI Israel 2000</t>
  </si>
  <si>
    <t>cobi@biofishency.com
igal@biofishency.com</t>
  </si>
  <si>
    <t>http://linkedin.com/in/%D7%A7%D7%95%D7%91%D7%99-%D7%9C%D7%91%D7%A0%D7%95%D7%9F-99821b94
http://linkedin.com/in/igal-magen-7168a526</t>
  </si>
  <si>
    <t>https://biofishency.com/</t>
  </si>
  <si>
    <t>https://www.linkedin.com/company/biofishency-ltd.</t>
  </si>
  <si>
    <t>http://facebook.com/biofishency/</t>
  </si>
  <si>
    <t>https://tracxn.com/companies/nfOpGxdD44_BkvNQvnWDEmh9hcHU9_nWTUo1kDRcNXM/biofishency.com</t>
  </si>
  <si>
    <t>Aquaculture Tech &gt; Feeding &gt; Sustainable Feeds &gt; Microbial Based</t>
  </si>
  <si>
    <t>The Trendlines Group
Neovia Group</t>
  </si>
  <si>
    <t>AquiNovo is a developer of proprietary materials which can block reproductive hormone receptors which it claims will inhibit puberty and enhance fish growth shortening the time to growth for market ready product and increases the chance of more growth cycles. The materials are mixed with normal feeds and delivered to the fish. The company claims that the technology used for developing these materials is non-GM (genetically modified) and non-hormonal solution and its first product is specifically targeted at the tilapia fish culture industry. The company claims to have a PCT application IP. It was established and funded by Trendlines AgTech.</t>
  </si>
  <si>
    <t>Nissim Chen; Founder &amp; CEO; Nissim@Aquinovo.com; http://linkedin.com/in/nissimchen; PhD, Virology, The Hebrew University, MBA, Tel Aviv University</t>
  </si>
  <si>
    <t>Nissim@Aquinovo.com</t>
  </si>
  <si>
    <t>http://linkedin.com/in/nissimchen</t>
  </si>
  <si>
    <t>http://www.aquinovo.com</t>
  </si>
  <si>
    <t>https://tracxn.com/companies/qBOCNBbOlUEitSR9Q1FT3n2CkWR9rsjMQGZp8VsYEVg/aquinovo.com</t>
  </si>
  <si>
    <t>Biotech R&amp;D &gt; Research Applications &gt; Genomics &gt; Suite
Genomics &gt; Applied Genomics &gt; Agrigenomics
Crop Tech &gt; Farm Inputs &gt; Seeds &gt; Field Crops &gt; Hybrid</t>
  </si>
  <si>
    <t>BASF
Fortissimo Capital
The Hazera 1939
Roquette
The Trendlines Group</t>
  </si>
  <si>
    <t>Equinom is a seed breeding company. Uses alternative techniques of breeding leveraging the DNA sequencing technology. It claims to have developed proprietary algorithms which integrate conventional breeding with sequencing data sets resulting in a "Target Product Genomic Code" (TPGC). This genomic code is then used for determining the optimal hybrid combinations for developing the final seed product. Currently focusing on development of hybrid varieties of Sorghum and Quinoa. Also claims that the technology is non-GMO. The company has launched its own products (seeds for 4 crops) and also provides breeding services through joint breeding programs with seed companies.</t>
  </si>
  <si>
    <t>Gil Shalev; CEO; gils@equi-nom.com; http://linkedin.com/in/gil-shalev-1833993a; PhD, Genetics and Plant Breeding, The Hebrew University</t>
  </si>
  <si>
    <t>gils@equi-nom.com</t>
  </si>
  <si>
    <t>http://linkedin.com/in/gil-shalev-1833993a</t>
  </si>
  <si>
    <t>https://equi-nom.com/</t>
  </si>
  <si>
    <t>https://tracxn.com/companies/k-xiJGK6xfob4w4f2te3gxGMKye7HTcPf01XprYV6aA/equi-nom.com</t>
  </si>
  <si>
    <t>Consumer
Marketplace
SaaS
Tech
Tech Hardware
Social Impact
Artificial Intelligence</t>
  </si>
  <si>
    <t>Ningbo</t>
  </si>
  <si>
    <t>$31M</t>
  </si>
  <si>
    <t>B2B E-Commerce
Online Grocery
Aquaculture Tech</t>
  </si>
  <si>
    <t>B2B E-Commerce &gt; Food &amp; Beverages &gt; Groceries &gt; Farm Products &gt; Marketplace
Online Grocery &gt; B2B Ecommerce &gt; Farm Produce &gt; Meat and Seafood &gt; Marketplace
Aquaculture Tech &gt; ECommerce &gt; Farm Produce &gt; B2B &gt; Marketplace</t>
  </si>
  <si>
    <t>Yuan Jing Capital
Shunwei Capital
airtac.net</t>
  </si>
  <si>
    <t>Haishangxian is an online B2B platform for seafood. It aims to eliminate middlemen and delivers directly to restaurants or small businesses. It connects fishermen to buyers directly through app powered by Wifi terminals in the sea. Both buyers and sellers can broadcast requirements like quantity, price etc in real-time. It will save cost and time for both parties. It has more than 500 wifi terminals and done transactions worth 150 million yuan. It will use funds for establishing supply chain and expanding team.</t>
  </si>
  <si>
    <t>info@haishangxian.cn</t>
  </si>
  <si>
    <t>https://www.haishangxian.cn</t>
  </si>
  <si>
    <t>https://tracxn.com/companies/8Wnpn8EUiMlphPPgrmzPsH-UCDvJxszcde_5Rx3tzNs/haishangxian.cn</t>
  </si>
  <si>
    <t>SaaS
Consumer
Artificial Intelligence</t>
  </si>
  <si>
    <t>$494K</t>
  </si>
  <si>
    <t>Alternative Lending &gt; Online Lenders &gt; Consumer Loans &gt; Farm Loans &gt; Marketplace
Crop Tech &gt; ECommerce &gt; Retail Enablers &gt; Farm Inputs Retail</t>
  </si>
  <si>
    <t>Indian Angel Network
LetsVenture
BDG Angels
Pragnya
500 Startups</t>
  </si>
  <si>
    <t>Alok Gupta
Priyank Garg
Manoj Aheeray
Ajay Kaul
Ankit Agarwal
Harshvardhan Chitale
Vikas Khattar
Ankur Gupta
Mridula Ramesh
Manish Khera
Ambarish Raghuvanshi
Diwakar Nigam
Prakash VGN
Nipun Goel</t>
  </si>
  <si>
    <t>farMart offers a web and mobile-based platform for peer-to-peer renting of farm equipment. Features include vernacular language support, transparent pricing, doorstep delivery of equipment, and cashless payment through Unified Payment Interface. They have launched the pilot project in 10 villages of Saharanpur and claim to have completed 400+ orders, average ticket size of Rs 800 with 60% repeat customers as of June 2016.</t>
  </si>
  <si>
    <t>Lokesh Singh; Co-Founder &amp; COO; lokesh31382@gmail.com; https://linkedin.com/in/lokesh-singh-a7b5319; Ex-MicroSave, MD Sanchetna Financial Services, SKS Microfinance . HBTI BTech 2002, IRMA 2004
Mehtab Singh Hans; Co-Founder &amp; CFO; mehtab.hans@farmart.co; https://linkedin.com/in/mehtab-singh-hans-5a015921; Ex-National Institute of Public Finance and Policy, Goldman Sachs, Christ University BBA 2012
Alekh Sanghera; Co-Founder &amp; CEO; +919956008339; alekh.sanghera@gmail.com; https://linkedin.com/in/alekh-sanghera-58a36778; Ex-MicroSave. VTU BE  2013</t>
  </si>
  <si>
    <t>lokesh31382@gmail.com
lokesh@farmart.co
mehtab.hans@farmart.co
alekh.sanghera@gmail.com
alekh2230@gmail.com
alekh@farmart.co</t>
  </si>
  <si>
    <t>https://linkedin.com/in/lokesh-singh-a7b5319
https://linkedin.com/in/mehtab-singh-hans-5a015921
https://linkedin.com/in/alekh-sanghera-58a36778</t>
  </si>
  <si>
    <t>http://www.farmart.co</t>
  </si>
  <si>
    <t>https://www.linkedin.com/company/7956882?trk=prof-exp-company-name</t>
  </si>
  <si>
    <t>https://twitter.com/farmart_</t>
  </si>
  <si>
    <t>https://facebook.com/farmart.agritech</t>
  </si>
  <si>
    <t>https://tracxn.com/companies/tmO8WbdJ51h6YPDqAQaSvBMjOBw6QBfo1cGhgtmHK4U/farmart.co</t>
  </si>
  <si>
    <t>MIGAL
Gefen Capital
Perot Jain
European Commission
Torres
forbon.com
The Trendlines Group</t>
  </si>
  <si>
    <t>Saturas has developed sensors which can be embedded into the stem of the crops from where they can determine the actual water content in the crop and stream it to the cloud. This data which is also called Stem Water Potential (SWP) is useful for determining the actual water need of the crops and precision irrigation.</t>
  </si>
  <si>
    <t>Anat Halgoa Solomon; Co-Founder &amp; CEO; anat@saturas-ag.com; http://linkedin.com/in/anat-halgoa-solomon-2129b052</t>
  </si>
  <si>
    <t>anat@saturas-ag.com</t>
  </si>
  <si>
    <t>http://linkedin.com/in/anat-halgoa-solomon-2129b052</t>
  </si>
  <si>
    <t>https://saturas-ag.com</t>
  </si>
  <si>
    <t>https://linkedin.com/company/saturas-ltd</t>
  </si>
  <si>
    <t>https://twitter.com/anatsaturas</t>
  </si>
  <si>
    <t>https://www.facebook.com/saturas.ag/</t>
  </si>
  <si>
    <t>https://tracxn.com/companies/pveVtl0odBAA4kpmkVhMQLGceBPhLw-khlhXxuj8b0s/saturas-ag.com</t>
  </si>
  <si>
    <t>Kankan</t>
  </si>
  <si>
    <t>Kankan Prefecture</t>
  </si>
  <si>
    <t>Guinea</t>
  </si>
  <si>
    <t>Crop Tech &gt; Farm Inputs &gt; Biologicals &gt; Crop Nutrition &gt; Food Waste &gt; Harvester Technology
MassChallenge Batches &gt; Switzerland &gt; 2017 &gt; Gold</t>
  </si>
  <si>
    <t>Dechets a l'Or is a waste mitigation company. It partners with multiple waste collection companies to collect urban household and commercial agricultural waste and sorts it into inorganic and organic waste. The organic waste is processed through two channels: compost and anaerobic digestor. The compost outputs biofertilizer which is sold to the agriculture industry and the anaerobic digestor outputs energy which is sold to the power grid. It is running a pilot project in Kankan, Guinea and plans to scale up soon.</t>
  </si>
  <si>
    <t>Cuthbert Onikute; Founder &amp; CEO; cuthbert.ayo.onikute@gmail.com; http://linkedin.com/in/caonikute; Ex-PCI Media Impact, Infosys. Buffalo University BA 2007, GSAPP 2013</t>
  </si>
  <si>
    <t>cuthbert.ayo.onikute@gmail.com</t>
  </si>
  <si>
    <t>http://linkedin.com/in/caonikute</t>
  </si>
  <si>
    <t>http://www.dechetsalor.com</t>
  </si>
  <si>
    <t>https://linkedin.com/company/dechetsalor/about</t>
  </si>
  <si>
    <t>https://twitter.com/dechetsalor</t>
  </si>
  <si>
    <t>https://tracxn.com/companies/_Ghu24mpWS27bmyrzwDyzXbFnVNR-cLjm-tVRkUrEb4/dechetsalor.com</t>
  </si>
  <si>
    <t>Sunnyvale
Sao Paulo
Buenos Aires</t>
  </si>
  <si>
    <t>California
Sao Paulo
Buenos Aires F.d.</t>
  </si>
  <si>
    <t>United States
Brazil
Argentina</t>
  </si>
  <si>
    <t>$30M</t>
  </si>
  <si>
    <t>iAngels
Cognitiv Ventures
Viola Ventures
Cavallo Ventures
8200 EISP
ODINE
Mindset Ventures
Kaedan Capital
Hitachi
Eshbol Ventures
Microsoft Accelerator
THRIVE
Vertex Growth
Viola Group
Finistere Ventures
Micron
3G Capital Investments
Nutrien
UMC Capital
K3 Ventures
Mitsubishi UFJ Capital
Vertex Ventures Israel
OurCrowd
lamaison.in
Sumitomo
Orion Fund</t>
  </si>
  <si>
    <t>Marc Benioff
Eyal Gura
Gal Yarden
Eyal Gura</t>
  </si>
  <si>
    <t>Taranis is a provider of analytical solutions for crop protection. The company claims to offers solutions that include aerial imagery solutions, analysis, and insights to analyze crop threats and crop field comparisons. Their technology includes AI square, UHR, and satellite images. Their solutions include detection of uneven emergence, automated field scouting for nutrient deficiency, detection of pests, insects, etc. and yield estimation for corn.</t>
  </si>
  <si>
    <t>info@taranis.ag</t>
  </si>
  <si>
    <t>Assaf Horowitz; Co-Founder; ahorowitz@taranis.ag
Ayal Karmi; Co-Founder &amp; COO; ayal@taranis.ag; https://linkedin.com/in/ayal-karmi-13403829; Ex-Bank of Israel, Meitav Dash, Israel Defense Forces. The Hebrew University
Ofir Schlam; Co-Founder &amp; CEO; ofir@taranis.ag; https://linkedin.com/in/ofir-schlam-934195a0; Ex-Elite Technological Unit. Bar Ilan University 2007
Eli Bukchin; Co-Founder &amp; CTO; eli@taranis.ag; http://linkedin.com/in/eli-bukchin-0031b67b; Ex-Simbionix. BGU Negev BS 2006</t>
  </si>
  <si>
    <t>ahorowitz@taranis.ag
ayal@taranis.ag
ofir@taranis.ag
eli@taranis.ag</t>
  </si>
  <si>
    <t>https://linkedin.com/in/ayal-karmi-13403829
https://linkedin.com/in/ofir-schlam-934195a0
http://linkedin.com/in/eli-bukchin-0031b67b</t>
  </si>
  <si>
    <t>mavrx.co</t>
  </si>
  <si>
    <t>https://taranis.ag/</t>
  </si>
  <si>
    <t>https://linkedin.com/company/taranis-visual/about</t>
  </si>
  <si>
    <t>https://twitter.com/taranisag</t>
  </si>
  <si>
    <t>https://facebook.com/taranisvisual</t>
  </si>
  <si>
    <t>http://taranis.ag/category/blog</t>
  </si>
  <si>
    <t>https://tracxn.com/companies/CMWSBgPMw90KaL4G0COUGRmi7H3UQqDV85S0_l8AIQY/taranis.ag</t>
  </si>
  <si>
    <t>Enterprise
Tech
Software
Tech Hardware</t>
  </si>
  <si>
    <t>Consumer
Marketplace
SaaS
Artificial Intelligence
Social Impact
Blockchain</t>
  </si>
  <si>
    <t>B2B E-Commerce &gt; Agriculture &gt; Marketplace
Crop Tech &gt; ECommerce &gt; Diversified &gt; Marketplace</t>
  </si>
  <si>
    <t>China Growth Capital
Matrix Partners China
Orchid Asia Group</t>
  </si>
  <si>
    <t>Dafengshou is an online marketplace offering agricultural equipment and inputs. Their product catalog includes pesticides, fertilizers, disease test equipment, farm machinery, etc. Some of the brands associated with the company are Tea King, Almighty, Jiangmen, Red Quart, etc. Their app is available for ios users.</t>
  </si>
  <si>
    <t>yinping.mi@dfs168.com</t>
  </si>
  <si>
    <t>+86-75586721821</t>
  </si>
  <si>
    <t>Matt Yan; CEO; matt.yan@dfs168.com; Sun Yat-sen University
Tan Zexin; Founder; zexin.tan@dfs168.com
Yan Zitong; Co-Founder; Co-founder Tiantian Xuenong, ex-Pingan Trust. Sun Yat-sen University 2006, Hong Kong Baptist University MBA 2010</t>
  </si>
  <si>
    <t>matt.yan@dfs168.com
zexin.tan@dfs168.com</t>
  </si>
  <si>
    <t>https://www.dfs168.com</t>
  </si>
  <si>
    <t>https://tracxn.com/companies/S1ZJNk13pLgPConHEATste9SteLzVgk7UaUtswppOdo/dfs168.com</t>
  </si>
  <si>
    <t>Consumer
Enterprise
Marketplace
Tech</t>
  </si>
  <si>
    <t>SaaS
Artificial Intelligence
Software
Tech Hardware
Social Impact
Blockchain</t>
  </si>
  <si>
    <t>$27M</t>
  </si>
  <si>
    <t>B2B E-Commerce &gt; Food &amp; Beverages &gt; Groceries &gt; Farm Products &gt; E-Distributor
Online Grocery &gt; B2B Ecommerce &gt; Farm Produce &gt; Multi-Category &gt; E-Distributor
Crop Tech &gt; ECommerce &gt; Farm Produce &gt; B2B &gt; Fruits and Vegetables &gt; E Distributor</t>
  </si>
  <si>
    <t>Yuan Jing Capital
Huagai Capital
IDG
ProLogis
Matrix Partners China
Puhua Capital</t>
  </si>
  <si>
    <t>Song Xiaocai operates an online B2B platform offering farm products. Through the platform, suppliers can directly trade with retailers. It offers services like warehousing, sales of goods, distribution, and more.</t>
  </si>
  <si>
    <t>info@songxiaocai.com</t>
  </si>
  <si>
    <t>+86-15345888039</t>
  </si>
  <si>
    <t>Yu Lingbing; Founder &amp; CEO</t>
  </si>
  <si>
    <t>https://www.songxiaocai.com</t>
  </si>
  <si>
    <t>https://tracxn.com/companies/tTxs3PtXTDH8_zK0Rcd5f5hJ2GEse7zq7cTqYSXyL7s/songxiaocai.com</t>
  </si>
  <si>
    <t>Consumer
Marketplace
SaaS
Artificial Intelligence
Software
Tech Hardware
Social Impact
Blockchain</t>
  </si>
  <si>
    <t>Ramat Gan</t>
  </si>
  <si>
    <t>Food Tech
Agriculture
Healthcare
Accelerator Batches</t>
  </si>
  <si>
    <t>Food Tech
Insect Farming Tech
Nutraceuticals
MassChallenge Batches</t>
  </si>
  <si>
    <t>Food Tech &gt; Novel Foods &gt; Food Ingredients &gt; Protein
Insect Farming Tech &gt; Insects &gt; Insect based Products &gt; Novel Foods
Nutraceuticals &gt; Nutraceutical Ingredients
MassChallenge Batches &gt; Cohort Information Unavailable</t>
  </si>
  <si>
    <t>MassChallenge
Thai Union
The Kitchen
Crimson Seed Capital</t>
  </si>
  <si>
    <t>FlyingSpArk is involved in the processing of insect larvae and extraction of proteins from the same to provide protein products for the consumers in Israel. the product portfolio has Whole Powder, Low-fat powder, dry larvae and edible cooking oils. It claims to use edible insects rich in iron, calcium, and magnesium which have the best profile of Omega 3 to Omega 6 fatty acids for its products.</t>
  </si>
  <si>
    <t>info@theflyingspark.com</t>
  </si>
  <si>
    <t>Eran Gronich; Founder &amp; CEO; gronicheran@gmail.com; http://linkedin.com/in/erangronich
Yoram Yerushalmi; Co-Founder &amp; CTO; yoram@theflyingspark.com; http://linkedin.com/in/yoram-yerushalmi-6519b889; Mass Challenge, Israel Institute of Technology, ex-Ohalo College, University of Haifa, The University of Arizona. The Hebrew University PhD 2001</t>
  </si>
  <si>
    <t>gronicheran@gmail.com
eran@theflyingspark.com
yoram@theflyingspark.com
yoramyerushalmi@gmail.com</t>
  </si>
  <si>
    <t>http://linkedin.com/in/erangronich
http://linkedin.com/in/yoram-yerushalmi-6519b889</t>
  </si>
  <si>
    <t>https://www.theflyingspark.com</t>
  </si>
  <si>
    <t>https://tracxn.com/companies/If_JvYuqkXqkpxN6NBB-j71CrLf1FQIf7s4Pm5qsxOk/theflyingspark.com</t>
  </si>
  <si>
    <t>Malaxmi Agri Ventures
Grandeur Products</t>
  </si>
  <si>
    <t>Ramachandra Kaundinya Vinnakota
Kaushal Raj Singh Thakur
Baldev Raj Arora</t>
  </si>
  <si>
    <t>Tierra Seed Science is an agricultural biotechnology company that develops hybrid seeds of cotton, rice, tomato, and corn using mutation breeding, marker-assisted breeding, TILLING and other advanced genomics tools to develop new traits and better products.</t>
  </si>
  <si>
    <t>Suresh Atluri; Co-Founder &amp; CEO; suresh@tierraseedscience.com; http://linkedin.com/in/suatluri; Global Business Head @ Advanta
Surinder K. Tikoo; Co-Founder; surinder@tierraseedscience.com; http://linkedin.com/in/surinder-tikoo-8475199a; Breeding &amp; Research Management at Indian Institute of Horticulture Research (IIHR), Pioneer, Syngenta and Advanta. Ph.D. in Botany from Bangalore University.
Parthasarathi Bhattacharya; Co-Founder; parthasarathi@tierraseedscience.com; http://linkedin.com/in/dr-parthasarathi-bhattacharya-00992491; J.K Agri Genetics, PhD Biotechnology IIT</t>
  </si>
  <si>
    <t>suresh@tierraseedscience.com
surinder@tierraseedscience.com
parthasarathi@tierraseedscience.com</t>
  </si>
  <si>
    <t>http://linkedin.com/in/suatluri
http://linkedin.com/in/surinder-tikoo-8475199a
http://linkedin.com/in/dr-parthasarathi-bhattacharya-00992491</t>
  </si>
  <si>
    <t>https://www.tierraseedscience.com</t>
  </si>
  <si>
    <t>http://facebook.com/pages/tierra-seed-science/552733908126819</t>
  </si>
  <si>
    <t>https://tracxn.com/companies/rt1ixNSLF857yv9Oa5Ryxu4j4yN9dG3CqNQ_4oAwQ-s/tierraseedscience.com</t>
  </si>
  <si>
    <t>Crop Tech &gt; Farm Equipment &gt; Greenhouse Systems
MassChallenge Batches &gt; Israel &gt; 2017 &gt; Diamond</t>
  </si>
  <si>
    <t>Draper Richards Kaplan Foundation
MassChallenge
Columbia University
Acumen
Ceniarth
Millennium Alliance</t>
  </si>
  <si>
    <t>Kheyti offers "greenhouse in a box" which is a 4000 sq ft greenhouse and targets small hold / marginal farmers. Apart from the greenhouse infrastructure itself, it also offer agri inputs like seeds/ agrochemicals, farming advisory services and market linkages for selling the produce at best prices. Claims that this product will increase the yield 7 times and provide a consistent $20-a-week income to the farmer. Claims to have catered to 1500 small hold farmers as of November 2015.</t>
  </si>
  <si>
    <t>Sathya Raghu; Co-Founder; +919908585734; sathya@kheyti.com; http://linkedin.com/in/sathya-raghu-v-mokkapati-64a2a513; Director IndigoLearn ,Co-Founder Cosmos Green, ex-QT. Osmania University B.Com 2006, ICAI  CA 2008
Akhil Naru; Co-Founder; akhil@kheyti.com; http://linkedin.com/in/akhilnaru; ex-Investment Analyst Ventureast, IIT Kharagpur
Kaushik K; Founder; kaushik@kheyti.com; http://linkedin.com/in/kaushik-k-66053720; IIT Kharagpur BTech, MTech  2009, Columbia Business School  MBA 2017</t>
  </si>
  <si>
    <t>sathya@kheyti.com
raghumokkapati@gmail.com
akhil@kheyti.com
kaushik@kheyti.com
knrkaushik@gmail.com</t>
  </si>
  <si>
    <t>http://linkedin.com/in/sathya-raghu-v-mokkapati-64a2a513
http://linkedin.com/in/akhilnaru
http://linkedin.com/in/kaushik-k-66053720</t>
  </si>
  <si>
    <t>https://kheyti.com/</t>
  </si>
  <si>
    <t>http://linkedin.com/company/6637731</t>
  </si>
  <si>
    <t>https://tracxn.com/companies/8voH5BGr_ONE-1rImKPLlLpngF1BY_TZCWeZc_cEKS8/kheyti.com</t>
  </si>
  <si>
    <t>Santiago De Queretaro</t>
  </si>
  <si>
    <t>Queretaro</t>
  </si>
  <si>
    <t>Crop Tech &gt; Farm Inputs &gt; Biologicals &gt; Diversified
MassChallenge Batches &gt; Mexico &gt; 2017</t>
  </si>
  <si>
    <t>BBVA Momentum
MassChallenge</t>
  </si>
  <si>
    <t>Tierra de Monte is a manufacturer and supplier of organic fertilizers and plant production products. Its product offerings include biofertilizers, soil conditioners, plant growth regulators, biopesticides etc. Claims to offer products made from beneficial bacteria and fungi. It offers crop-specific solutions for various crops including berries, banana, cocoa, coffee, grasses, palm plantations etc.</t>
  </si>
  <si>
    <t>contacto@tierrademonte.com</t>
  </si>
  <si>
    <t>+52-4423741871</t>
  </si>
  <si>
    <t>Adriana Luna; Co-Founder; adriana@tierrademonte.com; https://linkedin.com/in/adriana-luna-6353a936; Corporación Hidro Industrial SA de CV, TRG México SA de SRL de CV. UDLAP 2006, University of Victoria 2015,  UMA 2015</t>
  </si>
  <si>
    <t>adriana@tierrademonte.com</t>
  </si>
  <si>
    <t>https://linkedin.com/in/adriana-luna-6353a936</t>
  </si>
  <si>
    <t>https://www.tierrademonte.com</t>
  </si>
  <si>
    <t>https://linkedin.com/company/tierra-de-monte</t>
  </si>
  <si>
    <t>https://twitter.com/tierrademonte</t>
  </si>
  <si>
    <t>https://facebook.com/tierrademonteagriculturalibre</t>
  </si>
  <si>
    <t>http://tierrademonte.com/noticias</t>
  </si>
  <si>
    <t>https://tracxn.com/companies/FSi3olewLRypVWq4-C2tWDD-srtQOWjGZPXJ23silIk/tierrademonte.com</t>
  </si>
  <si>
    <t>Consumer
Tech
Marketplace
SaaS
Tech Hardware
Software
Social Impact
Artificial Intelligence</t>
  </si>
  <si>
    <t>Livestock Tech &gt; Feeding &gt; Feed Production Systems &gt; Hydroponics</t>
  </si>
  <si>
    <t>LishaBora Hydroponics is an integrated company engaged in organic fodder cultivation through hydroponics in greenhouses. The company produces barley fodder and sells its as animal feed to smallholder dairy farmers in Kenya. The company has 2 greenhouses to produce fodder with a combined capacity of 1000 kg of feed per day.</t>
  </si>
  <si>
    <t>Graham Benton; Founder &amp; MD; ggosbenton@gmail.com; http://linkedin.com/in/graham-benton-22b55050; ex-Director Takamoto Biogas &amp; Sail Caribbean. Prescott College 2010</t>
  </si>
  <si>
    <t>ggosbenton@gmail.com</t>
  </si>
  <si>
    <t>http://linkedin.com/in/graham-benton-22b55050</t>
  </si>
  <si>
    <t>https://www.lishabora.com</t>
  </si>
  <si>
    <t>http://linkedin.com/company/13267115</t>
  </si>
  <si>
    <t>http://twitter.com/lishabora</t>
  </si>
  <si>
    <t>http://facebook.com/lishaborakenya</t>
  </si>
  <si>
    <t>https://tracxn.com/companies/AK7h45LSiZORiml_swJ4dGnhuIoIn_wWBvir2Z1ae9I/lishabora.com</t>
  </si>
  <si>
    <t>$17M</t>
  </si>
  <si>
    <t>B2B E-Commerce &gt; Food &amp; Beverages &gt; Groceries &gt; Farm Products &gt; Marketplace
Online Grocery &gt; B2B Ecommerce &gt; Farm Produce &gt; Multi-Category &gt; Marketplace
Crop Tech &gt; ECommerce &gt; Farm Produce &gt; B2B &gt; Fruits and Vegetables &gt; Marketplace</t>
  </si>
  <si>
    <t>BRI Ventures
Golden Gate Ventures
UOB
DFS Lab
Vertex Ventures
Intudo Ventures
Alpha JWC Ventures
Bill &amp; Melinda Gates Foundation
Tenaya Capital
Openspace Ventures</t>
  </si>
  <si>
    <t>TaniHub is an app-based online marketplace to trade agriculture commodities. It allows farmers and producers to sell the products to retailers, wholesalers, and individual customers. It allows buyers to buy fruits, vegetables, grains, meat, seafood, etc. It delivers products through an in-house delivery team Tani-Express. The mobile platform is available for Android users.</t>
  </si>
  <si>
    <t>help@tanihub.com</t>
  </si>
  <si>
    <t>Wawan Budi Setyawan; Co-Founder &amp; CTO; http://linkedin.com/in/wawanbsetyawan; Founder LapakTap, EmoDoc, PT. Celengan Inovasi Keuangan, ex-Bountie, Founder NetraX, OweYaa. Bina Sarana Informatics University 2012
Pamitra Wineka; Co-Founder; pamitra@tanifund.com; http://linkedin.com/in/pamitra-wineka-99685112b; Co-Founder TaniFund, Akulaku, Perdana, ex-The World Bank, JP Morgan, Danareksa. Bandung Institute of Technology BSc 2009, University of Illinois at Urbana-Champaign MS
William Setiawan; Co-Founder &amp; CMO; williams@tanifund.com; http://linkedin.com/in/setiawanwilliam; Co-Founder TaniFund, Scrum, ex-Weekend, Greenlab Group, Aiviee. UMN Tangerang, Youngsan University
Eka Pamitra; Co-Founder; eka@tanihub.com; Co-Founder Tani Group.
Ivan Arie Sustiawan; Co-Founder &amp; CEO; ivan@tanifund.com; http://linkedin.com/in/ivanariesustiawan; Co-Founder TaniFund, aksimuda, ex-VP etobee, HappyFresh, Carrefour Indonesia. Trisakti University 2000
Michael Jovan Sugianto; Co-Founder; michael@tanihub.com; https://linkedin.com/in/mjsugianto; Co-Founder TaniFund, Binus International. Binus International 2016
Miftahul Choiri; Co-Founder
Oki Setiawan; Co-Founder; oki@tanihub.com; http://linkedin.com/in/oki-setiawan-185038106; Co-Founder TaniFund, ex-Co-Founder Terhubung. Bina Nusantara University 2016
Wahyu Setyo Nugroho; Co-Founder; https://linkedin.com/in/wahyusn7; Istana Mode. Universitas Indonesia 2019
Edwin Setiawan; Co-Founder; edwin@tanihub.com; https://linkedin.com/in/edwinnnss; Co-Founder TaniFund, ex-Co-Founder Terhubung, Bina Nusantara University 2016</t>
  </si>
  <si>
    <t>pamitra@tanifund.com
pamitra@tanihub.com
williams@tanifund.com
william@tanihub.com
eka@tanihub.com
pamitra@tanihub.com
ivan@tanifund.com
ivan@tanihub.com
michael@tanihub.com
oki@tanihub.com
oki.setiawan@tanihub.com
edwin@tanihub.com
edwin.setiawan@tanihub.com
edwins@tanihub.com</t>
  </si>
  <si>
    <t>http://linkedin.com/in/wawanbsetyawan
http://linkedin.com/in/pamitra-wineka-99685112b
http://linkedin.com/in/setiawanwilliam
http://linkedin.com/in/ivanariesustiawan
https://linkedin.com/in/mjsugianto
http://linkedin.com/in/oki-setiawan-185038106
https://linkedin.com/in/wahyusn7
https://linkedin.com/in/edwinnnss</t>
  </si>
  <si>
    <t>https://tanihub.com/</t>
  </si>
  <si>
    <t>https://www.linkedin.com/company/tanihub</t>
  </si>
  <si>
    <t>http://twitter.com/tanihubid</t>
  </si>
  <si>
    <t>http://facebook.com/tanihub</t>
  </si>
  <si>
    <t>https://tracxn.com/companies/ABbqJjog6MGNBufmaYOfkImw28K07WHTkQ8gHpzf1RQ/tanihub.com</t>
  </si>
  <si>
    <t>SaaS
Tech Hardware
Social Impact
Artificial Intelligence
Software
Blockchain</t>
  </si>
  <si>
    <t>Ali Akbar Group is a conglomerate that provides products, technological expertise, and field services for various sectors such as agriculture, energy, and textile. It provides various products which include insecticides, fertilizers, micro-nutrients, herbicides, seeds, and more.</t>
  </si>
  <si>
    <t>info@aliakbargroup.com</t>
  </si>
  <si>
    <t>+92-4235321461</t>
  </si>
  <si>
    <t>Saad Akbar Khan; Managing Director; saad@aliakbargroup.com; Ex. Chairman Pakistan Crop Protection Association
Shafaat Ahmad Khan; Founder &amp; Chairman; saad@aliakbargroup.com</t>
  </si>
  <si>
    <t>saad@aliakbargroup.com
saad@aliakbargroup.com</t>
  </si>
  <si>
    <t>https://www.aliakbargroup.com</t>
  </si>
  <si>
    <t>https://twitter.com/ali_pvt</t>
  </si>
  <si>
    <t>https://facebook.com/pages/themefusion/101565403356430</t>
  </si>
  <si>
    <t>https://tracxn.com/companies/LSA3hTmmQVCgWIYeMuZGgMe_g47qzUDD8XyyUDXjCn8/aliakbargroup.com</t>
  </si>
  <si>
    <t>Mexico City</t>
  </si>
  <si>
    <t>The Federal District</t>
  </si>
  <si>
    <t>Livestock Tech &gt; ECommerce &gt; Diversified &gt; Marketplace
MassChallenge Batches &gt; Mexico &gt; 2018</t>
  </si>
  <si>
    <t>Merca Rancho is an online listing platform connecting farmers to farm input and service providers. Typical use case includes farm service providers like warehouse and transportation companies to list their services and farmers can contact them for the same. Livestock breeding farmers can list their animals for other livestock farmers to buy.</t>
  </si>
  <si>
    <t>César Cázares; Founder; cesarcazares96@hotmail.com; http://linkedin.com/in/cesarcazares21; MBA (Candidate), Universidad Insurgentes, S.C., 2017</t>
  </si>
  <si>
    <t>cesarcazares96@hotmail.com</t>
  </si>
  <si>
    <t>http://linkedin.com/in/cesarcazares21</t>
  </si>
  <si>
    <t>https://www.mercarancho.com</t>
  </si>
  <si>
    <t>http://twitter.com/mercarancho</t>
  </si>
  <si>
    <t>https://tracxn.com/companies/TBUDky27nkOp1l4PG6epXNCh19CZppc4ZnJA7uZ3UKk/mercarancho.com</t>
  </si>
  <si>
    <t>$110K</t>
  </si>
  <si>
    <t>Fusion LA
ODINE
THRIVE
Lool Ventures
IMPACT Accelerator</t>
  </si>
  <si>
    <t>Farmdog is a developer of farm activity management and planning application. The app supports the mapping of the farm and geo-tracking the scouting paths. It also enables users to geo-tag contentious crops and adds notes regarding any activity performed at these places. It also allows users to schedule scouts and alerts for pest control/dozing. Application is available on the web and can be accessed on multiple platforms.</t>
  </si>
  <si>
    <t>support@farmdog.ag</t>
  </si>
  <si>
    <t>Liron Brish; Co-Founder &amp; CEO; lironbrish@gmail.com; http://linkedin.com/in/lironbrish; Ex-Co-Founder Audio Preservation Fund, Founder SkyTrails, McKinsey &amp; Company, Vinson and Elkins. The University of Texas at Austin BBA 2005, New York University School of Law JD 2008
Michael Hermon; Co-Founder; michael@farmdog.ag; https://linkedin.com/in/michaelhermon; monday, ex-Wix, Co-Founder Traido, McCann Erickson, Founder INTRPX. Tel Aviv University BA 2009, Columbia University MBA</t>
  </si>
  <si>
    <t>lironbrish@gmail.com
liron@farmdog.ag
michael@farmdog.ag
michael@monday.com</t>
  </si>
  <si>
    <t>http://linkedin.com/in/lironbrish
https://linkedin.com/in/michaelhermon</t>
  </si>
  <si>
    <t>http://www.linkedin.com/vsearch/p?f_CC=6376832</t>
  </si>
  <si>
    <t>https://farmdog.ag/</t>
  </si>
  <si>
    <t>https://www.linkedin.com/company/farm-dog</t>
  </si>
  <si>
    <t>http://twitter.com/thefarmdogco</t>
  </si>
  <si>
    <t>http://facebook.com/farmdog.ag</t>
  </si>
  <si>
    <t>http://blog.farmdog.ag</t>
  </si>
  <si>
    <t>https://tracxn.com/companies/o9Zw-9VPjlw_D5IMzhOw0uCNiEU5y0-61Wt6JL-AhaY/farmdog.ag</t>
  </si>
  <si>
    <t>Online Grocery &gt; B2C Ecommerce &gt; Multi Category &gt; Marketplace &gt; Drop Shipping
Crop Tech &gt; ECommerce &gt; Farm Produce &gt; B2C &gt; Fruits and Vegetables &gt; Marketplace</t>
  </si>
  <si>
    <t>a-IDEA
Karnataka Startup Cell</t>
  </si>
  <si>
    <t>Jivabhumi.com is an online marketplace for agri produce including food grains, spices, and processed food like sugar, jaggery and oils. The company forms farmer groups comprising of farmers and/or farm cooperatives who can list the products. Allows consumers to order products from the portal and schedule a pickup. As of November 2015 it had started taking orders for Bangalore city.</t>
  </si>
  <si>
    <t>Laxminarayan Srinivasaiah; Co-Founder; laxminarayan@gmail.com; http://linkedin.com/in/laxminarayan-srinivasaiah-253a6411; SAP Labs India, ex-Robert Bosch. Bangalore University BE 1997
Srivatsa T Sreenivasarao; Co-Founder; srivatsa@jivabhumi.com; https://linkedin.com/in/srivatsashandilya; Ex- Co-Founder Jivabhumi, Bosch Engineering and Business Solutions,Techstars, SmartOn Learning Solutions, Campus Management Corp, Talisma.
Anil Nadig; Co-Founder; anilnadig@gmail.com; http://linkedin.com/in/anilnadig77; Ex- Co-Founder Jivabhumi, BT, Infosys, Misys,Igate</t>
  </si>
  <si>
    <t>laxminarayan@gmail.com
srivatsa@jivabhumi.com
anilnadig@gmail.com
anil@jivabhumi.com</t>
  </si>
  <si>
    <t>http://linkedin.com/in/laxminarayan-srinivasaiah-253a6411
https://linkedin.com/in/srivatsashandilya
http://linkedin.com/in/anilnadig77</t>
  </si>
  <si>
    <t>http://jivabhumi.com/</t>
  </si>
  <si>
    <t>http://twitter.com/jivabhumi</t>
  </si>
  <si>
    <t>https://tracxn.com/companies/0FRNPaAlDugfl9Rjch5e2PGGjhxR7io2SYVTKxpYC_U/jivabhumi.com</t>
  </si>
  <si>
    <t>$8M</t>
  </si>
  <si>
    <t>IIML
Epsilon Venture Partners</t>
  </si>
  <si>
    <t>Kiran R Garlapati
Gayathri Rallapalli
Marc A Haugen
Bhaskar Vadlamani
Thomas M Rohrs
Musunuru Raja Kumar
Phaneesh Murthy
Sudheer Kuppam
Warren C Kocmond Jr
Sripada Shivananda
Preetam Kothapally
Jaya Sri
Ramakrishna Tummala
Murali Abburi
Vamsee Reddy
Sreenivas R Garlapati</t>
  </si>
  <si>
    <t>GS FarmTaaza Produce manages the supply chain for exotic vegetables like broccoli, yellow/green zucchini, English cucumber, iceberg lettuce, carrot, coconut &amp;amp; chinese cabbage. It ties up with farmers, and helps them as an advisory to improve the yield. It grades the produce at the source, procures, packages and delivers to institutional clients (B2B). Has operational centers in Bangalore, Hyderabad, Chennai and Ooty.  Claims to get over 200 orders a day from clients and supplies which translates roughly to 20 tonnes on a daily basis, as of Oct, 2017. Reported topline of INR 19 crore in FY2016.</t>
  </si>
  <si>
    <t>support@farmtaaza.com</t>
  </si>
  <si>
    <t>+91-8025531488</t>
  </si>
  <si>
    <t>Sharath Narayana; ex-Co-Founder; http://linkedin.com/in/sharathn; ex-Director of Operations, Pearson Education, ex-CTO, Epsilon Embedded Computing, ex-Syracuse University, ex-RV College
Kumar Ramachandran; ex-Co-Founder &amp; CEO; +919845210000; kumarvignani@gmail.com; http://linkedin.com/in/kumar-ramachandran-21b5245; Founder JMark Advisors,</t>
  </si>
  <si>
    <t>kumarvignani@gmail.com</t>
  </si>
  <si>
    <t>http://linkedin.com/in/sharathn
http://linkedin.com/in/kumar-ramachandran-21b5245</t>
  </si>
  <si>
    <t>http://www.linkedin.com/vsearch/p?f_CC=10141015</t>
  </si>
  <si>
    <t>Kumar Ramachandran</t>
  </si>
  <si>
    <t>http://www.farmtaaza.com</t>
  </si>
  <si>
    <t>https://tracxn.com/companies/1Ee12jtaNyO5W-sJh2lHfPYzlzOMC9Rw353QbnTLauA/farmtaaza.com</t>
  </si>
  <si>
    <t>$39K</t>
  </si>
  <si>
    <t>Varun Vijay Rao
Laeeq Ali
Manivel Kulandaivelu
Poornanand Mandalika
Deepak Gopinath
Ganesh M Shivanna
Kolathoor Mohammed Massod</t>
  </si>
  <si>
    <t>BrownApron is an online retail platform selling meat and seafood. Users can purchase chicken, mutton, fish, eggs, dairy products, and exotic meats. Users can choose their meat and cut and place an order online. Users can choose the time for delivery. Claims to deliver food in food grade plastic stored in bacteria-free, chilled box containers. Operating only in Bangalore as of March 2016.</t>
  </si>
  <si>
    <t>info.brownapron@gmail.com</t>
  </si>
  <si>
    <t>Sainag Chakravarthy; Co-Founder
Faiz Azim; Co-Founder; faiz@brownapron.com; http://linkedin.com/in/faiz-azim-697a79; VP Jubiliant Retail. ex-Walmart, A.T.Kearney. .Aligarh Muslim University 2003, IIM Bangalore 2005</t>
  </si>
  <si>
    <t>faiz@brownapron.com
faizazim@gmail.com</t>
  </si>
  <si>
    <t>http://linkedin.com/in/faiz-azim-697a79</t>
  </si>
  <si>
    <t>Faiz Azim
Samiullah Khan Rashed</t>
  </si>
  <si>
    <t>https://www.brownapron.com</t>
  </si>
  <si>
    <t>http://twitter.com/infobrownapron</t>
  </si>
  <si>
    <t>http://facebook.com/brown-apron-1411381085841334</t>
  </si>
  <si>
    <t>https://tracxn.com/companies/MlOot8f4dFGe5cE1jD-FDd-z84N4FghqGjLF_IxU-aE/brownapron.com</t>
  </si>
  <si>
    <t>Enterprise
Marketplace
SaaS
Software
Tech Hardware
Social Impact
Innovative
Artificial Intelligence
High IP
Goods
Service
Looks Scalable
Chain
Not for Profit
Blockchain</t>
  </si>
  <si>
    <t>Providencia</t>
  </si>
  <si>
    <t>Sensors &gt; Industry Applications &gt; Agriculture &gt; Soil Moisture
Crop Tech &gt; Farm Management Software &gt; Soil Management &gt; Soil Moisture Monitoring &gt; Sensors</t>
  </si>
  <si>
    <t>Magical Startups
THRIVE
ChileGlobal Ventures
Fundacion Chile</t>
  </si>
  <si>
    <t>InstaCrops provides an integrated hardware and software platform for the real-time monitoring of soil and microclimatic parameters at farm fields and data analytics to provide decision support regarding irrigation management in farm fields. The hardware is a device named "Miden" which is laden with sensors for monitoring soil parameters, ambient environment parameters, and irrigation water parameters. The captured data is pushed to a cloud and analyzed there to provide insights and notifications to farmers through a user interface software platform. The company claims that the platform takes crop specific factors into consideration for providing decision support to farmers. Moreover, the company also provides individual module for climatic parameter monitoring and soil parameter monitoring.</t>
  </si>
  <si>
    <t>contacto@instacrops.com</t>
  </si>
  <si>
    <t>+56-229423853</t>
  </si>
  <si>
    <t>Jorge Vega Aravena; Co-Founder &amp; CTO; http://linkedin.com/in/jorge-vega-aravena-586a6b82; CEO Digisec, ex- Zweicom, Sixbell. Pontifical Catholic University of Valparaiso
Mario Andres Bustamante Bernucci; Co-Founder &amp; CEO; mario.bbernucci@gmail.com; http://linkedin.com/in/mario-andr%C3%A9s-bustamante-bernucci-36a79030; CEO Bissen, ex- Komatsu Cummins Chile. Pontifical Catholic University of Valparaíso</t>
  </si>
  <si>
    <t>mario.bbernucci@gmail.com</t>
  </si>
  <si>
    <t>http://linkedin.com/in/jorge-vega-aravena-586a6b82
http://linkedin.com/in/mario-andr%C3%A9s-bustamante-bernucci-36a79030</t>
  </si>
  <si>
    <t>https://www.instacrops.com/en/home/</t>
  </si>
  <si>
    <t>http://linkedin.com/company/9443044</t>
  </si>
  <si>
    <t>http://twitter.com/instacrops_cl</t>
  </si>
  <si>
    <t>http://facebook.com/instacrops</t>
  </si>
  <si>
    <t>http://instacrops.com/noticias</t>
  </si>
  <si>
    <t>https://tracxn.com/companies/C9Z6XZRsvnf6lLhuCIRle5KqFodIXYhY62QfQgWhxSU/instacrops.com</t>
  </si>
  <si>
    <t>KCT Group
UCLA Foundation
Vertex Ventures
3one4 Capital
Nichirei
Neoplux
Vertex Growth
Mayfield
Innoven Capital
Bertelsmann India Investments
Fireside Ventures
Tholons
Sistema</t>
  </si>
  <si>
    <t>Ankita Vashistha
Mayur Mukundbhai Desai
Kanwaljit Singh
Sekhar Chennupati
Abhishek Goyal
Siddarth Pai
Anupama Das
Mayur Mukundbhai Desai
Kaushal Agarwal
G Vinod
Kamalakshaiah S
Sameer Brij Verma
Mohandas Pai
Pranav Pai</t>
  </si>
  <si>
    <t>Licious delivers hand-cut individually vacuum-sealed, packed fresh, marinated, or cold cut meat. Has a central processing plant and a number of storage units in multiple cities. Works on a zero inventory model. It also offers a subscription model that allows pre-set delivery dates and products. Its app is available on Android and iOS platforms.</t>
  </si>
  <si>
    <t>talktous@licious.in
security@licious.com</t>
  </si>
  <si>
    <t>+91-18004190786</t>
  </si>
  <si>
    <t>Abhay Hanjura; Co-Founder; abhayhanjura@gmail.com; http://linkedin.com/in/abhay-hanjura-0bbaa317; Ex-Futurisk Insurance Broking, Bajaj Allianz, Google, Infosys. Bangalore University BSc 2007, Indian Institute of Insurance 2009
Vivek Gupta; Co-Founder; +919663022855; vivekgca@gmail.com; http://linkedin.com/pub/vivek-gupta/97/177/aa6; MobiCom Commune, ex- Helion Ventures, Tavant Technologies. Panjab University BCom 2001</t>
  </si>
  <si>
    <t>abhayhanjura@gmail.com
abhay@licious.in
vivekgca@gmail.com
vivek@licious.in</t>
  </si>
  <si>
    <t>http://linkedin.com/in/abhay-hanjura-0bbaa317
http://linkedin.com/pub/vivek-gupta/97/177/aa6</t>
  </si>
  <si>
    <t>Vivek Gupta
Abhay Hanjura</t>
  </si>
  <si>
    <t>https://www.licious.in</t>
  </si>
  <si>
    <t>https://linkedin.com/company/licious---a-great-meal-begins-here</t>
  </si>
  <si>
    <t>http://twitter.com/liciousfoods</t>
  </si>
  <si>
    <t>https://facebook.com/liciousfoods</t>
  </si>
  <si>
    <t>http://blog.licious.in</t>
  </si>
  <si>
    <t>https://tracxn.com/companies/EOlHE61xRUPfrOAZ8L71etmtD0UnESK8oZBZhIWSfwk/licious.in</t>
  </si>
  <si>
    <t>Enterprise
Marketplace
SaaS
Software
Tech Hardware
Social Impact
Artificial Intelligence
Blockchain
Not for Profit</t>
  </si>
  <si>
    <t>Innovative
High IP
Goods
Service
Looks Scalable
Chain</t>
  </si>
  <si>
    <t>Industrial Robotics
Crop Tech</t>
  </si>
  <si>
    <t>Industrial Robotics &gt; Agriculture
Crop Tech &gt; Autonomous Farming &gt; Harvesting</t>
  </si>
  <si>
    <t>Qualcomm
Karnataka Startup Cell
Villgro
CoE IoT</t>
  </si>
  <si>
    <t>Green Robot Machinery is developing a harvesting robot for picking cotton for the agriculture industry. The robot called "Cotton Picker" uses machine learning and computer vision to replicate the human behavior in the harvesting operation of cotton. It is also developing IoT products for agriculture automation and parking automation.</t>
  </si>
  <si>
    <t>Neeraj Bhardwaj; Co-Founder; bhardwajneeraj@hotmail.com
Manohar Sambandam; Co-Founder &amp; CEO; manoharsambandam@gmail.com; http://linkedin.com/in/manoharsambandam; Ex-Broadcom India Research, Director Athena Semiconductors, Texas Instruments. Madras Christian College 1983, Indian Institute of Science 1989</t>
  </si>
  <si>
    <t>bhardwajneeraj@hotmail.com
neer@grobomac.com
manoharsambandam@gmail.com
manohar.sambandam@gmail.com
mano@grobomac.com</t>
  </si>
  <si>
    <t>http://linkedin.com/in/manoharsambandam</t>
  </si>
  <si>
    <t>http://www.linkedin.com/vsearch/p?f_CC=10034415</t>
  </si>
  <si>
    <t>Manohar Sambandam
Neeraj Bhardwaj</t>
  </si>
  <si>
    <t>https://www.grobomac.com</t>
  </si>
  <si>
    <t>http://linkedin.com/company/green-robot-machinery</t>
  </si>
  <si>
    <t>http://facebook.com/green-robot-machinery-1605595703030680</t>
  </si>
  <si>
    <t>https://tracxn.com/companies/vOUpPDpQOZjxQV53N3ksOWHda98HgN7oPQOxx5ewKQ8/grobomac.com</t>
  </si>
  <si>
    <t>Foidn Technology Group develops software applications for management of livestock farms. It has developed separate software packages for cattle, pig, sheep farms. Its software enables farmers to aggregate operational data and maintain animal profiles. The company pushes upgrade packages from cloud. The company also provides customized software applications based on client requirement.</t>
  </si>
  <si>
    <t>webmaster@foidn.com</t>
  </si>
  <si>
    <t>http://www.linkedin.com/vsearch/p?f_CC=10099144</t>
  </si>
  <si>
    <t>http://www.foidn.com</t>
  </si>
  <si>
    <t>http://linkedin.com/company/foidn-technology-group</t>
  </si>
  <si>
    <t>https://tracxn.com/companies/Xz8GIRsrq26ULZvKojXqt4LK2ilE8OsYWwjcQlGI5os/foidn.com</t>
  </si>
  <si>
    <t>Joinville</t>
  </si>
  <si>
    <t>Estado De Santa Catarina</t>
  </si>
  <si>
    <t>$886K</t>
  </si>
  <si>
    <t>SP Ventures
Gulfill Stream Partners
Inovativa Brasil
4Legacy
ACE Startups</t>
  </si>
  <si>
    <t>JetBov is a cloud-based software platform for recording data of livestock farms. The data related to feeding and health related activities such as vaccination can be maintained on the platform. The platform does the predictive analysis and provides cost related insights for every step of the farming process of livestock animals. The data can be accessed and edited from anywhere through the mobile application.</t>
  </si>
  <si>
    <t>Xisto Alves; Co-Founder &amp; CEO; http://linkedin.com/in/xisto-alves-de-souza-jr-pmp-cbpp-424872; Graduate, Planning and Strategic Management,Pontifical Catholic University of Paraná
Giovani Zamboni; Co-Founder &amp; CTO; zamboni@jetbov.com; http://linkedin.com/in/zamboni; Ex-Lead Developer Engineer, ContaAzul Software Ltda</t>
  </si>
  <si>
    <t>zamboni@jetbov.com</t>
  </si>
  <si>
    <t>http://linkedin.com/in/xisto-alves-de-souza-jr-pmp-cbpp-424872
http://linkedin.com/in/zamboni</t>
  </si>
  <si>
    <t>http://www.linkedin.com/vsearch/p?f_CC=10091846</t>
  </si>
  <si>
    <t>https://www.jetbov.com</t>
  </si>
  <si>
    <t>http://linkedin.com/company/jetbov</t>
  </si>
  <si>
    <t>http://twitter.com/jetbov</t>
  </si>
  <si>
    <t>http://facebook.com/jetbov</t>
  </si>
  <si>
    <t>https://tracxn.com/companies/eXjSBoupJFRwtXUX7TBCdVKg3WkI2oTzP3n3UK8GF3Y/jetbov.com</t>
  </si>
  <si>
    <t>Porto Alegre</t>
  </si>
  <si>
    <t>Estado Do Rio Grande Do Sul</t>
  </si>
  <si>
    <t>$778K</t>
  </si>
  <si>
    <t>Agriculture
Auto Tech</t>
  </si>
  <si>
    <t>Crop Tech
Off Highway Vehicles Tech</t>
  </si>
  <si>
    <t>Crop Tech &gt; Autonomous Farming &gt; Diversified
Off Highway Vehicles Tech &gt; Autonomous Vehicles &gt; Agriculture</t>
  </si>
  <si>
    <t>Eirene Solutions is developing autonomous vehicles for performing various tasks in farm fields. The company claims that its system consists of a mechanical and an electrical platform. The electronic platform has an embedded system containing various sensors which can be controlled with mobiles or tablets for performing various tasks autonomously. The company was earlier in the consulting business for agribusinesses but pivoted to the development of robotic products for agriculture.</t>
  </si>
  <si>
    <t>contato@eirenesolutions.com</t>
  </si>
  <si>
    <t>+55-5130241077</t>
  </si>
  <si>
    <t>Eduardo Marckmann; CEO; eduardo@eirenesolutions.com; https://linkedin.com/in/eduardo-marckmann-9b296922; Toth Technology, ex- LIFEMED. Unisinos 2007, Pontifical Catholic University of Rio Grande do Sul  2012</t>
  </si>
  <si>
    <t>eduardo@eirenesolutions.com</t>
  </si>
  <si>
    <t>https://linkedin.com/in/eduardo-marckmann-9b296922</t>
  </si>
  <si>
    <t>http://www.linkedin.com/vsearch/p?f_CC=10079604</t>
  </si>
  <si>
    <t>https://www.eirenesolutions.com</t>
  </si>
  <si>
    <t>http://linkedin.com/company/eirene-solutions</t>
  </si>
  <si>
    <t>http://facebook.com/eirenesolutions</t>
  </si>
  <si>
    <t>https://tracxn.com/companies/zWWaCxJYrwUeIWXECLXqEtMA1RW3-3ADeJqNcxHFctU/eirenesolutions.com</t>
  </si>
  <si>
    <t>Smart Homes
Crop Tech</t>
  </si>
  <si>
    <t>Smart Homes &gt; Gardening &gt; Indoor Gardening
Crop Tech &gt; Autonomous Farming &gt; Growing Systems &gt; Hydroponics &gt; Commercial &gt; Cannabis</t>
  </si>
  <si>
    <t>Arcadian Capital
Advanced Nutrients
CanopyBoulder
Phyto Partners
CJV Capital</t>
  </si>
  <si>
    <t>Danial Schecter
Isaac Maresky
Paul Rosenblum
Ben Biron
Steven Isenberg
Neil Closner
Jeffrey Kadanoff
Michael Cohn
Gregg Weiss</t>
  </si>
  <si>
    <t>Leaf is a 4'x2' box system that automatically grows cannabis and is controlled by a smartphone. Leaf takes care of tasks such as pH balancing, nutrient deployment, light control, temperature control, and ventilation, benchmarks and thresholds for which can be set through the mobile app. The app shows real-time data of the plant growth and the system automatically adjust the environment (temperature, humidity, lighting, and air) to be optimal for cannabis growth at every stage. The company was a part of the TechCrunch Disrupt SF 2015.</t>
  </si>
  <si>
    <t>Jonathan Ofir; Co-Founder &amp; CEO; jofir@getleaf.co; http://linkedin.com/in/jonathan-yoni-ofir-86696b43; Co-Founder, Alcohoot</t>
  </si>
  <si>
    <t>jofir@getleaf.co</t>
  </si>
  <si>
    <t>http://linkedin.com/in/jonathan-yoni-ofir-86696b43</t>
  </si>
  <si>
    <t>http://www.linkedin.com/vsearch/p?f_CC=9400362</t>
  </si>
  <si>
    <t>https://www.getleaf.co</t>
  </si>
  <si>
    <t>http://linkedin.com/company/leaf---the-smart-grow-system</t>
  </si>
  <si>
    <t>http://twitter.com/leafgrowhq</t>
  </si>
  <si>
    <t>http://facebook.com/leafgrow</t>
  </si>
  <si>
    <t>https://tracxn.com/companies/uGEJW85KPCEJ2M_cpouWyf3uNWNoeLW-GLfPnUyL70w/getleaf.co</t>
  </si>
  <si>
    <t>Owerri</t>
  </si>
  <si>
    <t>Imo State</t>
  </si>
  <si>
    <t>Solar Energy &gt; Hardware Developer &gt; Balance of Systems &gt; Storage
Crop Tech &gt; Post Harvest Management &gt; Quality Control &gt; Fruits and Vegetables &gt; Solar Powered Cold Storage</t>
  </si>
  <si>
    <t>Fledge
Factor[e] Ventures</t>
  </si>
  <si>
    <t>ColdHubs, is a plug and play modular, solar-powered walk-in cold room, for 24/7 off-grid storage and preservation of perishable foods. It is installed in major food production and consumption centers in the reach of farmers. Farmers place their produce in clean plastic crates, these plastic crates are stacked inside the cold room. The solar powered walk-in cold room is made of 120mm insulating cold room panels to retain cold. Energy from solar panels mounted on the roof-top of the cold room are stored in high capacity batteries, these batteries feeds an inverter which in turn feeds the refrigerating unit. They offer flexible pay as you store model where farmers pay for  pay a daily flat fee for each crate of food they store. It is backed by Fledge Accelerator</t>
  </si>
  <si>
    <t>info@coldhubs.com</t>
  </si>
  <si>
    <t>Nnaemeka Ikegwuonu; Founder; +23408103912946; nnaemeka@coldhubs.com; http://linkedin.com/in/nnaemeka-ikegwuonu-78b7a222; The Smallholders Foundation. Imo State University 2002</t>
  </si>
  <si>
    <t>nnaemeka@coldhubs.com</t>
  </si>
  <si>
    <t>http://linkedin.com/in/nnaemeka-ikegwuonu-78b7a222</t>
  </si>
  <si>
    <t>https://www.coldhubs.com</t>
  </si>
  <si>
    <t>https://twitter.com/coldhubs</t>
  </si>
  <si>
    <t>https://tracxn.com/companies/izz5DG7_pRizy1xSqP36Ni5UxFq8sYaP_Qthjz-zOew/coldhubs.com</t>
  </si>
  <si>
    <t>Fall Line Capital
SP Ventures
Acre Venture Partners
Endeavor
Bunge
Draper Cygnus
Capria
Brasil Agro
Syngenta
NXTP Labs
Lartirigoyen
CRESUD</t>
  </si>
  <si>
    <t>Agrofy is developing an online marketplace for farmers and agribusinesses to buy farm inputs. Registered buyers would be able to see the listings of registered sellers and would be abe to perform the transaction on the platform. The company is currently in the process of launching the beta version of the software platform.</t>
  </si>
  <si>
    <t>info@agrofy.com</t>
  </si>
  <si>
    <t>Maximiliano Landrein; Co-Founder &amp; CEO; mlandrein@agrofy.com.ar; http://linkedin.com/in/maxilandrein; Ex-Co-Founder Espiria, FYO, Maria Rivolta, ROFEX. UNR School of Economics 2000, IAE Business School MBA
Alejandro Larosa; Co-Founder; alarosa@agrofy.com.ar; http://linkedin.com/in/alejandro-larosa-411a968; Co-Founder fyo, Amauta Agro. National University of Rosario, IAE Business School MBA</t>
  </si>
  <si>
    <t>mlandrein@agrofy.com.ar
mlandrein@agrofy.com
alarosa@agrofy.com.ar
alarosa@agrofy.com</t>
  </si>
  <si>
    <t>http://linkedin.com/in/maxilandrein
http://linkedin.com/in/alejandro-larosa-411a968</t>
  </si>
  <si>
    <t>http://www.linkedin.com/vsearch/p?f_CC=9476277</t>
  </si>
  <si>
    <t>https://www.agrofy.com</t>
  </si>
  <si>
    <t>https://www.linkedin.com/company/agrofy</t>
  </si>
  <si>
    <t>https://twitter.com/agrofynews</t>
  </si>
  <si>
    <t>https://facebook.com/agrofynews</t>
  </si>
  <si>
    <t>http://news.agrofy.com.ar/tema-foro/blog-try</t>
  </si>
  <si>
    <t>https://tracxn.com/companies/kcKaAOnErvwMulwCzFKFYy-JBiJjEec1z2N9QAff0Ko/agrofy.com</t>
  </si>
  <si>
    <t>Enterprise
Marketplace</t>
  </si>
  <si>
    <t>Consumer
SaaS
Tech</t>
  </si>
  <si>
    <t>Drones &gt; Services &gt; Precision Agriculture
Geographic Information Systems &gt; Image Processing &amp; Mapping &gt; Aerial Image Processing
Crop Tech &gt; Farm Analytics &gt; Drones Based</t>
  </si>
  <si>
    <t>Omnivore Partners
Beenext
Blume Ventures</t>
  </si>
  <si>
    <t>Akash Gupta
Samay Kohli
Dileep George</t>
  </si>
  <si>
    <t>TartanSense is a UAV based technology startup and provides image analytics based on ultra high resolution aerial and Near Infra Red (NIR) images acquired by UAVs. For the agriculture sector, NIR sensors enables the drones to distinguish between plants that exhibit stress versus plants that are healthy by analysing aerial images, with a coverage area of upto 700 hectares a day. This data enables farmers to make precise decisions on where to irrigate &amp;amp; fertilize. The analytical tools developed by the company are currently used for tree counting across large areas and assessing the health of plants. TartanSense is currently partnered with Agribotix , an agri drone company based in Boulder, USA. The company plans to develop prescriptive reports for irrigation recommendation, fertilizer and pesticide recommendation, optimal road and bridge building and land clearing recommendation for new plantations.</t>
  </si>
  <si>
    <t>Jayendra Gururaj Rao
Gururaj Rao Jaisimha Gururaj Rao; Founder; jrao@tartansense.com; http://linkedin.com/pub/jaisimha-rao/6b/a46/b37; Ex- VP Blackrock, Carnegie Mellon BS- Electrical and Computer Engineering 2007</t>
  </si>
  <si>
    <t>jrao@tartansense.com
jaisimha85@gmail.com</t>
  </si>
  <si>
    <t>http://linkedin.com/pub/jaisimha-rao/6b/a46/b37</t>
  </si>
  <si>
    <t>Gururaj Rao Jaisimha Gururaj Rao
Jayendra Gururaj Rao</t>
  </si>
  <si>
    <t>http://www.tartansense.com</t>
  </si>
  <si>
    <t>https://linkedin.com/company/tartansense</t>
  </si>
  <si>
    <t>https://twitter.com/tartansense</t>
  </si>
  <si>
    <t>https://tracxn.com/companies/4DQV6tTKfyzxaSlN3WIW5AA8ABEHXs3kwnd_NnaVUGY/tartansense.com</t>
  </si>
  <si>
    <t>Technology
Internet of Things
Agriculture
Environment Tech</t>
  </si>
  <si>
    <t>IoT Applications
Crop Tech
Water and Wastewater Management Tech</t>
  </si>
  <si>
    <t>IoT Applications &gt; Industry Specific &gt; Agriculture &gt; Farms
Crop Tech &gt; Farm Management Software &gt; Soil Management &gt; Soil Moisture Monitoring
Water and Wastewater Management Tech &gt; Smart Irrigation &gt; Farming &gt; Soil Moisture Monitoring</t>
  </si>
  <si>
    <t>Germin8 Ventures
Kreos Capital
ARMADA Capital
Finistere Ventures
Sumitomo
Innovation Endeavors
GreenSoil Investments
Flex Lab IX
Robert Bosch Venture Capital
Foodlab Capital
THRIVE
ICL
Ice Angels
Ireland Strategic Investment Fund
OurCrowd
New Zealand Growth Capital Partners</t>
  </si>
  <si>
    <t>CropX has developed a rechargeable wireless sensor solution for soil moisture monitoring. The sensors are deployed in irrigation fields and communicate real-time soil moisture level and temperature. Web platform and mobile application analyzes the sensor data &amp; automatically generates irrigation maps and water requirement. The product can be subscribed on a yearly basis. The products are offered with a 1-year warranty and can be bought online.</t>
  </si>
  <si>
    <t>Tomer Tzach; CEO; tomer@cropx.com; https://linkedin.com/in/tomertzach; Prime Mortgage and Finance Consulting, ex-CEO Clixie, Eurofund. Technion-Machon Technologi Le' Israel BSc 2000
Isaac Bentwich; Founder; http://linkedin.com/in/bentwich; ex-Auckland UniServices Limited, Ben Gurion University (1990)</t>
  </si>
  <si>
    <t>tomer@cropx.com</t>
  </si>
  <si>
    <t>https://linkedin.com/in/tomertzach
http://linkedin.com/in/bentwich</t>
  </si>
  <si>
    <t>cropmetrics.com
nzregen.co.nz</t>
  </si>
  <si>
    <t>https://www.cropx.com</t>
  </si>
  <si>
    <t>https://www.linkedin.com/company/10147582?trk=prof-exp-company-name</t>
  </si>
  <si>
    <t>http://twitter.com/crop_x</t>
  </si>
  <si>
    <t>http://facebook.com/cropxapp/</t>
  </si>
  <si>
    <t>https://tracxn.com/companies/D7zICunVPceZWdzDRxGbTF50ZQifn4c0XpaRNhWwHxc/cropx.com</t>
  </si>
  <si>
    <t>Enterprise
SaaS
Tech
Tech Hardware
Software</t>
  </si>
  <si>
    <t>Consumer
Marketplace
Artificial Intelligence
Social Impact</t>
  </si>
  <si>
    <t>$219K</t>
  </si>
  <si>
    <t>Genomics
Crop Tech</t>
  </si>
  <si>
    <t>Genomics &gt; Applied Genomics &gt; Agrigenomics
Crop Tech &gt; Farm Inputs &gt; Biologicals &gt; Crop Nutrition &gt; BioChar</t>
  </si>
  <si>
    <t>BIRAC
AJ Ventures and Investments
Kubos
IITM Incubation Cell
Upaya Social Ventures
IITM Bioincubator
C-CAMP
HITA
Future Food Asia</t>
  </si>
  <si>
    <t>Sriram Subramanya
Narayanan Balakrishnan
Ramachandran Vishwanath
Seetharaman Sreedhar
Rajshree Natarajan
Gopal Srinivasan
Arihant Gothi
K Sivaraman
VijayaLakshmi Rao
Mahesh Ramachandran
Ravichandran Srinivasan
Ananthanarayanan Kumar
Anil Jain
Sairam Jayaraman
Prakash Katama
Arun Jain
S V Krishnamurthy</t>
  </si>
  <si>
    <t>Fibsol develops eco-friendly products for agriculture and healthcare. It currently has two products on the market: N-Sol-20 and N-Fib-20 which are both formulations aimed at organic farmers. The company uses nanofibers and advance nanofiber technology. In addition, the company also provides services for compost, beverage, and food analysis.</t>
  </si>
  <si>
    <t>Kavitha Sairam; Co-Founder &amp; Director; kavithafibsol@gmail.com; http://linkedin.com/in/kavitha-sairam-2bb9051a; IIM Madras PhD  2012
Anant Raheja; Co-Founder &amp; Director; ajsr01987@gmail.com; http://linkedin.com/in/rahejaanant; University of Pune 2009, IIM Madras PhD</t>
  </si>
  <si>
    <t>kavithafibsol@gmail.com
ajsr01987@gmail.com</t>
  </si>
  <si>
    <t>http://linkedin.com/in/kavitha-sairam-2bb9051a
http://linkedin.com/in/rahejaanant</t>
  </si>
  <si>
    <t>Anant Raheja
Kavitha Sairam</t>
  </si>
  <si>
    <t>https://www.fibsol.com</t>
  </si>
  <si>
    <t>http://facebook.com/fibsol</t>
  </si>
  <si>
    <t>https://tracxn.com/companies/x0SndVF0rKEKsrDbdf9ZqpGiNFtCET4zRbm4ORaNONc/fibsol.com</t>
  </si>
  <si>
    <t>B2B E-Commerce &gt; Agriculture &gt; Marketplace
Crop Tech &gt; ECommerce &gt; Farm Inputs &gt; Multi Category &gt; Retailer</t>
  </si>
  <si>
    <t>Ankur Capital
Beyond Next Ventures
SEP Ventures
Rockstud Capital</t>
  </si>
  <si>
    <t>BigHaat is an online marketplace offering farm inputs. Their product catalog includes seeds, pesticides, fertilizers, pumps, tractors, growth promoters, etc. Some of the brands associated with the company are Tata Rallis, UPL, Namdhari, Seminis, etc. The company claims that its clients include farmers, NGOs, nurseries, institutional growers, etc. Their app is available for android users.</t>
  </si>
  <si>
    <t>info@bighaat.com</t>
  </si>
  <si>
    <t>+91-8050797979</t>
  </si>
  <si>
    <t>Sateesh Nukala; Co-Founder &amp; CEO; sateeshnukala@gmail.com; http://linkedin.com/in/sateesh-nukala-003a958; Ex-Honeywell Technology Solutions. Jawaharlal Nehru Technological University 1998, NIT Calicut MTech 2000
Raj Kancham; Co-Founder; rajkancham@gmail.com; http://linkedin.com/pub/raj-kancham/1/479/514; CoFounder CARBON FARMING INDIA, ex-MD AGRIBUDDY, Emerio. Jawaharlal Nehru Technological University BTech 1998
Sachin Nandwana; Co-Founder &amp; Director; nandwana.s@gmail.com; http://linkedin.com/in/sachin-nandwana-91134633; Ex-Honeywell. Rajiv Gandhi Prodyogiki Vishwavidyalaya BE 2002</t>
  </si>
  <si>
    <t>sateeshnukala@gmail.com
rajkancham@gmail.com
nandwana.s@gmail.com</t>
  </si>
  <si>
    <t>http://linkedin.com/in/sateesh-nukala-003a958
http://linkedin.com/pub/raj-kancham/1/479/514
http://linkedin.com/in/sachin-nandwana-91134633</t>
  </si>
  <si>
    <t>Sachin Nandwana
Sateesh Nukala
Raj Kancham</t>
  </si>
  <si>
    <t>https://www.bighaat.com</t>
  </si>
  <si>
    <t>https://linkedin.com/company/bighaat-india</t>
  </si>
  <si>
    <t>https://twitter.com/bighaatindia</t>
  </si>
  <si>
    <t>http://facebook.com/mybighaat</t>
  </si>
  <si>
    <t>https://tracxn.com/companies/x9zmhuKaE9xULfTOpJtGd3u-2cy624Q0PulsrIZNX2A/bighaat.com</t>
  </si>
  <si>
    <t>SaaS
Software
Tech Hardware
Social Impact
Artificial Intelligence
Blockchain</t>
  </si>
  <si>
    <t>Unreasonable
Global Innovation Fund
Aspada Investments</t>
  </si>
  <si>
    <t>Saurabh Srivastava
Deepak Kapur
Padmaja Shailen Ruparel
Bhupendra Sharma
Jyoti Kumar</t>
  </si>
  <si>
    <t>EM3 Agri Services is a provider of farming services to the farming communities. The company has also established service centers under the brand name Samadhan Kendras which act as storefronts for the farming communities to avail tech-based services. IT claims to offer mechanization services on a pay-for user basis. Their services include sowing, crop management, harvesting, post-harvest farm management, and land preparation.</t>
  </si>
  <si>
    <t>info@em3agri.com</t>
  </si>
  <si>
    <t>+91-1206515726</t>
  </si>
  <si>
    <t>Adwitiya Mal; Co-Founder &amp; CEO; adwitiya.mal@em3agri.com; http://linkedin.com/in/adwitiya-mal-a7457b; Ex- AXA Asia. Delhi University BA 2003, University of Rochester MBA 2007
Rohtash Mal; Co-Founder &amp; Chairman; rohtash.mal@em3agri.com; http://linkedin.com/pub/rohtash-mal/8/585/2b8; Ex- CEO ESCORTS, Bharti Airtel, Maruti Suzuki, Ballarpur Industries. IIT Delhi Btech 1976, IIM Calcutta MBA 1979
Ritu Kumar Mal; Co-Founder; http://linkedin.com/in/ritu-kumar-mal-9b08096</t>
  </si>
  <si>
    <t>adwitiya.mal@em3agri.com
rohtash.mal@em3agri.com</t>
  </si>
  <si>
    <t>http://linkedin.com/in/adwitiya-mal-a7457b
http://linkedin.com/pub/rohtash-mal/8/585/2b8
http://linkedin.com/in/ritu-kumar-mal-9b08096</t>
  </si>
  <si>
    <t>Ritu Kumar Mal
Rohtash Mal</t>
  </si>
  <si>
    <t>http://www.em3agri.com</t>
  </si>
  <si>
    <t>http://linkedin.com/company/em3-agriservices-pvt.-ltd.</t>
  </si>
  <si>
    <t>http://twitter.com/em3agri</t>
  </si>
  <si>
    <t>http://facebook.com/em3agri</t>
  </si>
  <si>
    <t>http://em3agri.com/media.html</t>
  </si>
  <si>
    <t>https://tracxn.com/companies/TOA-wHp7KlUQhPIHnqTOppdOqQrTaUsmB7E3IrzoARI/em3agri.com</t>
  </si>
  <si>
    <t>$350K</t>
  </si>
  <si>
    <t>Copernicus Incubation
Glocal
NESsT
Wayra
NXTP Ventures</t>
  </si>
  <si>
    <t>Auravant is a farm data analytics company which processes farm imagery captured using UAVs and  / or satellites for soil analysis and NDVI analysis to give actionable data for fertilizer and seed deployment at variable rate. The company plans to provide on-demand UAV based farm image capturing as a value added service in future.</t>
  </si>
  <si>
    <t>hola@auravant.com</t>
  </si>
  <si>
    <t>Nicolás Larrandart; Co-Founder; nlarrandart@gmail.com; http://linkedin.com/in/nlarrandart; Masters, Telecom Business Management, Universidad de San Andres</t>
  </si>
  <si>
    <t>nlarrandart@gmail.com</t>
  </si>
  <si>
    <t>http://linkedin.com/in/nlarrandart</t>
  </si>
  <si>
    <t>http://www.linkedin.com/vsearch/p?f_CC=9382637</t>
  </si>
  <si>
    <t>https://www.auravant.com</t>
  </si>
  <si>
    <t>http://linkedin.com/company/auravant</t>
  </si>
  <si>
    <t>https://twitter.com/auravant</t>
  </si>
  <si>
    <t>https://tracxn.com/companies/4q5ls-UO5LY1G0CpNKZW1pQxIpL0eu3Xwp7HJHbAk1Y/auravant.com</t>
  </si>
  <si>
    <t>Consumer
Marketplace
Artificial Intelligence</t>
  </si>
  <si>
    <t>Ho Chi Minh City</t>
  </si>
  <si>
    <t>Entobel produces protein and fats by insect meat extrusion. The company breeds larval and rears full grown insects. The insects as well as early stage larvae are harvested and follow a separate value chain. While larvae is processed and supplied to the aquaculture industry as feed for fish and juveniles, the full grown insects are extruded to produce proteins, fats and oleresins which are then supplied to livestock agribusinesses as a substitute to animal feeds (traditionally made from soy or oceanic fish) and as organic fertilizers to organic farming companies. The company's operation base is in Vietnam. Primarily targets livestock businesses in Vietnam, as of Feb, 2017.</t>
  </si>
  <si>
    <t>info@entobel.com</t>
  </si>
  <si>
    <t>Gaetan Crielaard; Co-Founder; gaetan.crielaard@entobel.com; http://linkedin.com/in/gaetan-crielaard-ab223b62; Ex-Entologics, Mint Spa. Solvay Brussels School 2013
Alexandre de Caters; Co-Founder; http://linkedin.com/in/alexandre-de-caters-a9325043; Ex-Entologics, Bank Degroof, Redi &amp; Partners. Solvay Brussels School MSc 2013</t>
  </si>
  <si>
    <t>gaetan.crielaard@entobel.com</t>
  </si>
  <si>
    <t>http://linkedin.com/in/gaetan-crielaard-ab223b62
http://linkedin.com/in/alexandre-de-caters-a9325043</t>
  </si>
  <si>
    <t>http://www.linkedin.com/vsearch/p?f_CC=4837305</t>
  </si>
  <si>
    <t>https://www.entobel.com</t>
  </si>
  <si>
    <t>http://linkedin.com/company/entobel</t>
  </si>
  <si>
    <t>https://tracxn.com/companies/ZpYcPVpUeqNBmKSxWY2okUnVbx7r6cpshTBIyArwV-M/entobel.com</t>
  </si>
  <si>
    <t>Cerca Partners
THRIVE
Cisco Investments
Bessemer Venture Partners
Qualcomm Ventures
Israel Cleantech Ventures</t>
  </si>
  <si>
    <t>Prospera technologies provides computer vision technology solutions for farmers that continuously monitor and analyze plant health, plant development and stress in plants. Its technology captures visual and climatic data from the field and provides actionable insights to the farmers through mobile or web. It provides both hardware and software for the execution of technology for which it uses sensor based mechanism for capturing data and has many agronomists and experts of agriculture business for the interpretation of captured data. It has supply in USA, Spain and Mexico currently.</t>
  </si>
  <si>
    <t>info_hq@prospera.ag</t>
  </si>
  <si>
    <t>Daniel Koppel; Co-Founder &amp; CEO; koppel@gmail.com; http://linkedin.com/in/daniel-koppel-9264734a; Ex-Technology Consultant , Accenture, B.Sc, Hebrew University</t>
  </si>
  <si>
    <t>koppel@gmail.com</t>
  </si>
  <si>
    <t>http://linkedin.com/in/daniel-koppel-9264734a</t>
  </si>
  <si>
    <t>http://www.linkedin.com/vsearch/p?f_CC=4853667</t>
  </si>
  <si>
    <t>https://www.prospera.ag</t>
  </si>
  <si>
    <t>http://linkedin.com/company/prospera-technologies</t>
  </si>
  <si>
    <t>https://twitter.com/prospera_tech</t>
  </si>
  <si>
    <t>http://facebook.com/pages/prospera-technologies/565971516887814</t>
  </si>
  <si>
    <t>https://tracxn.com/companies/UJVGXHiD8aC9J0lNTBs0rPxtD6v1xyxwIdTCrMN3jHI/prospera.ag</t>
  </si>
  <si>
    <t>ICICI Venture
SIDBI Venture Capital</t>
  </si>
  <si>
    <t>Siddharth Bhavnani
Samir Saran
Oscar De Lima Pereira
Megha Chadha
Abhishek Sharman
Gaurav Sharma
Varun Ravindrakumar Arya
Jitendra Gupta
Gaurav Jain
Rohit Sharma
Mohammad Arif Khan
Bhanu Singhal
Sandeep Kumar
Amit Burman
Ashvin Chadha</t>
  </si>
  <si>
    <t>Developing an online platform offering fresh meat delivery service. Sells fresh meat procured from partnering farms in and around the city. Using hygienic packing depending upon the quality of meat. Starting operation from Gurgaon and also operates in South Delhi. Claims to have achieved the operational breakeven point in Feb 2016, delivering nearly 12,000 orders per month. Recently raised undisclosed funding in Aug 2016 from Ashvin Chadha (IAN) and another undisclosed investor.</t>
  </si>
  <si>
    <t>+91-9015553322</t>
  </si>
  <si>
    <t>Mohammad Arif Khan
Shruti Gochhwal; Co-Founder; gochhwal.mr@gmail.com; http://linkedin.com/pub/shruti-gochhwal/67/5a6/850; Associate at MobiKwik, Founded Curves &amp; Collars. Netaji Subhas Institute of Technology.
Deepanshu Manchanda; Co-Founder; deepanshu@zappfresh.com; http://linkedin.com/in/deepanshumanchanda; Founded Choc'o'Leaf, ex-MobiKwik, ChiHealth Wellness Solutions, American Express. MBA from Institute of Marketing and Management, Delhi.</t>
  </si>
  <si>
    <t>gochhwal.mr@gmail.com
shruti@zappfresh.com
deepanshu@zappfresh.com</t>
  </si>
  <si>
    <t>http://linkedin.com/pub/shruti-gochhwal/67/5a6/850
http://linkedin.com/in/deepanshumanchanda</t>
  </si>
  <si>
    <t>http://www.linkedin.com/vsearch/p?f_CC=9410547</t>
  </si>
  <si>
    <t>Deepanshu Manchanda
Shruti Gochhwal</t>
  </si>
  <si>
    <t>https://www.zappfresh.com</t>
  </si>
  <si>
    <t>https://www.linkedin.com/company/9410547</t>
  </si>
  <si>
    <t>http://twitter.com/zappfresh</t>
  </si>
  <si>
    <t>http://facebook.com/zappfresh</t>
  </si>
  <si>
    <t>https://tracxn.com/companies/0j-oEm465Taf9Dime4pJpqkeCvV84FY-9kRV-E79SNc/zappfresh.com</t>
  </si>
  <si>
    <t>$66K</t>
  </si>
  <si>
    <t>Drones &gt; Civilian Drones &gt; Pure Play Hardware
Geographic Information Systems &gt; Image Processing &amp; Mapping &gt; Aerial Image Processing
Crop Tech &gt; Farm Analytics &gt; Drones Based</t>
  </si>
  <si>
    <t>Indian Institute of Technology, Kanpur
GrowX Venture Management
The Phoenix Fund
3one4 Capital
A &amp; G
ANG Group
Bellwether Advisors LLP
Startupxseed Ventures
500 Durians</t>
  </si>
  <si>
    <t>Bharat Lohani
Ashok Atluri
Sanjay Jesrani</t>
  </si>
  <si>
    <t>Aarav Unmanned Systems (AUS) has developed and designed Nayan, a quadrotor for developers and researchers. It claims to be performing 3D mapping &amp;amp; Image Processing, precision agriculture, geographical mapping and survey, aerial photography, disaster/event management, and defense surveillance. Claims to have started in 2013 with a seed capital of INR 25 lakhs. Incubated by SIDBI Innovation and Incubation Centre, IIT Kanpur. Raised an undisclosed amount from StartupXseed Ventures, 3ONE4 Capital (a family fund of Mr. Mohandas Pai), The Phoenix Fund and HNIs including, Ashok Atluri and Sanjay Jesrani in Feb 2016.</t>
  </si>
  <si>
    <t>info@aus.co.in</t>
  </si>
  <si>
    <t>+91-8042112997</t>
  </si>
  <si>
    <t>Nikhil Upadhye; Co-Founder &amp; CEO; nikhil@aus.co.in; http://linkedin.com/in/nikhil-upadhye-6669bb13; Co-Founder &amp; CEO CDSpace Robotics. IIT Kanpur 2013
Suhas Banshiwala; Co-Founder; suhasbanshiwala@gmail.com; http://linkedin.com/in/suhas-banshiwala-5264ab60; Ex-Flipkart. IIT Kanpur 2013
Vipul Singh; Co-Founder; vipul@aus.co.in; http://linkedin.com/in/vipul-singh-aa38992a; Amity Institute Of Aerospace Engineering B.Tech 2012
Yeshwanth Reddy; Co-Founder; yeshwanth@aus.co.in; http://linkedin.com/in/yeshwanth-reddy-5b6b2998; IIT Bombay 2014</t>
  </si>
  <si>
    <t>nikhil@aus.co.in
suhasbanshiwala@gmail.com
suhas@aus.co.in
vipul@aus.co.in
vipul@aus.co.in
yeshwanth@aus.co.in</t>
  </si>
  <si>
    <t>http://linkedin.com/in/nikhil-upadhye-6669bb13
http://linkedin.com/in/suhas-banshiwala-5264ab60
http://linkedin.com/in/vipul-singh-aa38992a
http://linkedin.com/in/yeshwanth-reddy-5b6b2998</t>
  </si>
  <si>
    <t>Nikhil Upadhye
Suhas Banshiwala
Vipul Singh</t>
  </si>
  <si>
    <t>https://aus.co.in/</t>
  </si>
  <si>
    <t>https://linkedin.com/company/aus-aarav-unmanned-systems</t>
  </si>
  <si>
    <t>https://twitter.com/aaravsystems</t>
  </si>
  <si>
    <t>https://facebook.com/aaravunmannedsystems</t>
  </si>
  <si>
    <t>https://tracxn.com/companies/BaUrkCclf4IopTCtgcqO4_6ElPMDtBi_Cmyrm3CgsyA/aus.co.in</t>
  </si>
  <si>
    <t>Consumer
Marketplace
SaaS
Blockchain
Software
Social Impact
Artificial Intelligence</t>
  </si>
  <si>
    <t>$600M</t>
  </si>
  <si>
    <t>UNICORN</t>
  </si>
  <si>
    <t>GGV Capital
Genesis Capital
Blue Lake Capital
H Capital Advance
Zhen Fund
ACE
Hillhouse Capital Group
Shunwei Capital
XVC
Tiger Global Management
Meituan</t>
  </si>
  <si>
    <t>Meicai is an online B2B platform offering multi-category farm products. The product catalog includes vegetables, fruits, meat, seafood, etc. The platform also allows the users to make the payment through the app.</t>
  </si>
  <si>
    <t>Xu Xueyin; Co-Founder &amp; CTO; xuxueyin@meicai.cn; https://linkedin.com/in/xuxueyin; USTC Hefei 2008
Liu Chuanjun; Co-Founder &amp; CEO; https://linkedin.com/in/%E4%BC%A0%E5%86%9B-%E5%88%98-a8aba6167</t>
  </si>
  <si>
    <t>xuxueyin@meicai.cn</t>
  </si>
  <si>
    <t>https://linkedin.com/in/xuxueyin
https://linkedin.com/in/%E4%BC%A0%E5%86%9B-%E5%88%98-a8aba6167</t>
  </si>
  <si>
    <t>https://www.meicai.cn</t>
  </si>
  <si>
    <t>https://linkedin.com/company/%E7%BE%8E%E8%8F%9C%E7%BD%91/about</t>
  </si>
  <si>
    <t>https://tracxn.com/companies/uA3_sjRfnsGZFMZw8lDPgO_rsgRNi29QNeLHNAF_tl0/meicai.cn</t>
  </si>
  <si>
    <t>Enterprise Infrastructure
Technology
Agriculture</t>
  </si>
  <si>
    <t>Cognitive Computing
Crop Tech</t>
  </si>
  <si>
    <t>Cognitive Computing &gt; Applications &gt; Agriculture &gt; Farm Monitoring
Crop Tech &gt; Farm Management Software &gt; Diversified</t>
  </si>
  <si>
    <t>Chiratae Ventures
BSP Funds
Ankur Capital
FoodBytes
Alteria Capital
Bill &amp; Melinda Gates Foundation
THRIVE
Sophia Investment
Beenext
Millennium Alliance</t>
  </si>
  <si>
    <t>Abhishek Rungta
Pallav Nadhani
Anuj Bhargava
Mohan Reddy
Sashwat Shakti</t>
  </si>
  <si>
    <t>CropIn is a provider of saas-based farming solutions to agribusinesses. Its offerings are Smartfarm; a complete farm management solution, Smartrisk; risk mitigation and forecasting solutions, mwarehouse; traceability and compliance solution, and Smartsales; CRM and input channel management solutions. The company claims to offer its solutions for farming companies, agri-input companies, crop insurance providers, seed production companies, government, and advisories. It also claims to offer Acresquare solutions; a farmer application for companies to connect their farmers, educate them, and share content.</t>
  </si>
  <si>
    <t>marketing@cropin.com</t>
  </si>
  <si>
    <t>+91-7625098749</t>
  </si>
  <si>
    <t>Kunal Prasad; COO; kunal.prasad@cropin.com
Kunal Prasad; Co-Founder &amp; COO; kunal@cropin.in; https://linkedin.com/in/kunal-prasad-54ab4715; Ex-Tata Motors. Great Lakes Institute of Management MBA 2011
Krishna Kumar; Co-Founder &amp; CEO; +919986079552; krn2581@gmail.com; https://linkedin.com/in/krishna-kumar-cropin; Ex-GE. VTU Belgaum BE 2006
Chittaranjan Jena; Co-Founder; +919880012480; https://linkedin.com/in/chittaranjanjena; Ex-GE Aviation, GE Appliances, Cap Gemini Ernst &amp; Young. NIT Rourkela MCA 1998</t>
  </si>
  <si>
    <t>kunal.prasad@cropin.com
kunal@cropin.in
kunal@cropin.com
kunal.prasad@cropin.com
krn2581@gmail.com
krishna@cropin.in
krishna.kumar@cropin.in
krishna@cropin.com
krishna.kumar@cropin.com</t>
  </si>
  <si>
    <t>https://linkedin.com/in/kunal-prasad-54ab4715
https://linkedin.com/in/krishna-kumar-cropin
https://linkedin.com/in/chittaranjanjena</t>
  </si>
  <si>
    <t>Kunal Prasad
Krishna Kumar</t>
  </si>
  <si>
    <t>https://www.cropin.com</t>
  </si>
  <si>
    <t>https://linkedin.com/company/cropin-technology</t>
  </si>
  <si>
    <t>https://twitter.com/cropintech</t>
  </si>
  <si>
    <t>https://facebook.com/cropintech</t>
  </si>
  <si>
    <t>http://cropin.com/blogs</t>
  </si>
  <si>
    <t>https://tracxn.com/companies/Q237A5Pyg6ruRkYDB2wS-WZQ5cgaVfRghuhJt7Gmh0A/cropin.com</t>
  </si>
  <si>
    <t>Consumer
Logistics Tech
Retail
Food Tech
Agriculture</t>
  </si>
  <si>
    <t>Logistics Tech
B2B E-Commerce
Online Grocery
Crop Tech</t>
  </si>
  <si>
    <t>Logistics Tech &gt; Parcel &gt; Hyperlocal &gt; B2B &gt; Food
B2B E-Commerce &gt; Food &amp; Beverages &gt; Groceries &gt; Farm Products &gt; Marketplace
Online Grocery &gt; B2B Ecommerce &gt; Farm Produce &gt; Fruits and Vegetables &gt; Marketplace
Crop Tech &gt; ECommerce &gt; Farm Produce &gt; B2B &gt; Fruits and Vegetables &gt; Marketplace</t>
  </si>
  <si>
    <t>Larix
Accel
Walmart
Syngenta Ventures
Trifecta Capital
HR Capital
Steadview Capital
Mistletoe
Tanglin Venture Partners
Qualcomm Ventures
THRIVE
Neoplux
ZopSmart
M and S Capital Partners
Flipkart
ABG Capital
HR Capital Partners
NPX Capital
Tiger Global Management</t>
  </si>
  <si>
    <t>Joe Hirao
Rohini Nilekani
Nandan Mohan Nilekani
Minu Kataria
Clark Valberg</t>
  </si>
  <si>
    <t>Ninjacart is an app-based B2B platform offering vegetables and fruits. The company claims that retailers and restaurants can place their orders through their app after which the products will be delivered to them by their own logistic teams. It also claims to deliver within 12 hours. Their app can be downloaded for android.</t>
  </si>
  <si>
    <t>queries@ninjacart.com</t>
  </si>
  <si>
    <t>+91-8046800159</t>
  </si>
  <si>
    <t>Ashutosh Vikram; Co-Founder; ashutosh.iimk@gmail.com; https://linkedin.com/in/ashutoshvikram; Ex-Co-Founder Shout App, Olacabs.com, CommonFloor.com. B.I.E.T Jhansi BTech 2011, IIM Kozhikode MBA 2013
Kartheeswaran K K; Co-Founder &amp; COO; +919740037377; karthi1391@gmail.com; https://linkedin.com/in/kartheeswarankk; Ex-TaxiForSure.com, Microsoft, CEG Tech Forum. College of Engineering Guindy BE 2012, IIM Ahmedabad PGP 2014
Vasudevan Chinnathambi; Co-Founder; vasu@ninjacart.in; https://linkedin.com/in/vasuc; Ex-TaxiForSure.com, Firefly e-Ventures, Infosys Technologies. Shanmugha Arts, Science, Technology and Research Academy BE 2007,
Sharath Loganathan; Co-Founder; +918050064652; sharathbabu32@gmail.com; https://linkedin.com/in/sharathloganathan; Ex-CommonFloor.com, Co-Founder Shout App, EduRaft Solutions, Financial Inclusion Network and Operations. Anna University 2005, IIM Khazikode PGDM 2010
Sachin Jose; Co-Founder; https://linkedin.com/in/sachin-jose-13931b58; Ex-Think &amp; Learn, Verizon Labs, Co-Founder Shout, CommonFloor. Copenhagen institute of interaction design 2018
Thirukumaran Nagarajan; Co-Founder &amp; CEO; +919886448206; thirukumaran.nagarajan@gmail.com; https://linkedin.com/in/thirukumaran-nagarajan-51870242; Ex-TaxiForSure.com, Co-Founder Shout &amp; EduRaft, Axis Bank, ABB. College of Engineering Guindy BE 2006, IIM Khozikode MBA 2010</t>
  </si>
  <si>
    <t>ashutosh.iimk@gmail.com
karthi1391@gmail.com
kk@ninjacart.com
kk@ninjacart.in
vasu@ninjacart.in
sharathbabu32@gmail.com
sharath@ninjacart.com
s@ninjacart.com
sharath@ninjacart.in
thirukumaran.nagarajan@gmail.com
thirukumarannagarajan@gmail.com
ntk888@gmail.com
thiru@ninjacart.com
thiru@ninjacart.in</t>
  </si>
  <si>
    <t>https://linkedin.com/in/ashutoshvikram
https://linkedin.com/in/kartheeswarankk
https://linkedin.com/in/vasuc
https://linkedin.com/in/sharathloganathan
https://linkedin.com/in/sachin-jose-13931b58
https://linkedin.com/in/thirukumaran-nagarajan-51870242</t>
  </si>
  <si>
    <t>http://www.linkedin.com/vsearch/p?f_CC=9498451</t>
  </si>
  <si>
    <t>Ashutosh Vikram
Kartheeswaran K K
Sharath Loganathan
Thirukumaran Nagarajan
Vasudevan Chinnathambi</t>
  </si>
  <si>
    <t>https://www.ninjacart.in</t>
  </si>
  <si>
    <t>https://www.linkedin.com/company/9498451</t>
  </si>
  <si>
    <t>https://twitter.com/ninjacart</t>
  </si>
  <si>
    <t>https://facebook.com/ninjacart</t>
  </si>
  <si>
    <t>http://ninjacart.in/blog</t>
  </si>
  <si>
    <t>https://tracxn.com/companies/ngGwTiyLXqDE6QObaFfmQCLbVRjBT-Bp1GNe8f5J1cE/ninjacart.in</t>
  </si>
  <si>
    <t>Enterprise
Marketplace
Tech
Software</t>
  </si>
  <si>
    <t>Consumer
SaaS
Blockchain
Tech Hardware
Artificial Intelligence
Social Impact</t>
  </si>
  <si>
    <t>forteinsurance.com
Mistletoe
The Index Project
Smart Axiata Digital Innovation Fund
KLab Venture Partners</t>
  </si>
  <si>
    <t>Keisuke Honda
Masakuni Matsumura
Kazuma Ieiri</t>
  </si>
  <si>
    <t>AgriBuddy provides a cloud-based software solution for data recording, business intelligence, and agronomy information dissemination to the agriculture industries. The software comes in various version as per the use case. Separate modules for smallscale farmers, large scale farmers, supply chain player, agri input provider, and commodity traders are available in the software. For smallscale farmers, data recording and agronomy information regarding agri inputs along with suppliers and crop wise best practices along with visualization pictures are available. For large scale farmers, data recording and scouting data upload module is available on AgriBuddy platform.</t>
  </si>
  <si>
    <t>Kengo Kitaura; Co-Founder &amp; CEO; kengokitaura@gmail.com; http://linkedin.com/in/kengo-kitaura-477b47a1; CEO HUGS Agtech
Jun Haranaga; Co-Founder &amp; CTO; http://linkedin.com/in/jun-haranaga-15028925; Reapra, CEO Spark X Lab, ex-Piece of Cake, Bracket. Aoyama Gakuin University 2001</t>
  </si>
  <si>
    <t>kengokitaura@gmail.com
kengo@hugs-int.com</t>
  </si>
  <si>
    <t>http://linkedin.com/in/kengo-kitaura-477b47a1
http://linkedin.com/in/jun-haranaga-15028925</t>
  </si>
  <si>
    <t>https://www.agribuddy.com</t>
  </si>
  <si>
    <t>https://linkedin.com/company/agribuddy</t>
  </si>
  <si>
    <t>https://twitter.com/agribuddy</t>
  </si>
  <si>
    <t>http://facebook.com/agribuddy.kh/</t>
  </si>
  <si>
    <t>https://tracxn.com/companies/0SVUQVxIz4BwgmXT6pSkoTLGA7NI9FJTo-U6p1xJcIQ/agribuddy.com</t>
  </si>
  <si>
    <t>MeraKisan is an online digital tool that helps Indian consumers to connect with local farmers. Farmers can list on the platform, create a profile, add agro products, and build an online presence. Consumers can search farmers by location, by-products they like to purchase like apple, cotton, and by using keywords. Customers can then contact the farmer of their choice based on the information provided on the site and purchase the product directly from the farmer.</t>
  </si>
  <si>
    <t>contact@merakisan.com</t>
  </si>
  <si>
    <t>+91-7218318867</t>
  </si>
  <si>
    <t>Abhilasha Jadhav; Co-Founder; abhilasha@merakisan.com; https://linkedin.com/in/abhilasha-patil-b3a7b3150
Prashanth Patil; Founder &amp; CEO; prashanth@merakisan.com; http://linkedin.com/in/prashanth-patil-468212b9
Sudhakar</t>
  </si>
  <si>
    <t>abhilasha@merakisan.com
prashanth@merakisan.com</t>
  </si>
  <si>
    <t>https://linkedin.com/in/abhilasha-patil-b3a7b3150
http://linkedin.com/in/prashanth-patil-468212b9</t>
  </si>
  <si>
    <t>http://www.merakisan.com</t>
  </si>
  <si>
    <t>http://twitter.com/merakisan</t>
  </si>
  <si>
    <t>http://facebook.com/merakisanindia</t>
  </si>
  <si>
    <t>https://tracxn.com/companies/iPmfdUuU7oQEAGVeydXNpdaESieOiwdAMoHycWbO87Y/merakisan.com</t>
  </si>
  <si>
    <t>Enterprise
SaaS
Tech Hardware
Social Impact
Artificial Intelligence
Blockchain
Software</t>
  </si>
  <si>
    <t>Agriculture
Logistics</t>
  </si>
  <si>
    <t>Crop Tech
Cold Chain Logistics</t>
  </si>
  <si>
    <t>Crop Tech &gt; ECommerce &gt; Farm Produce &gt; B2C &gt; Fruits and Vegetables &gt; Retailer
Cold Chain Logistics &gt; Integrated &gt; Horizontal</t>
  </si>
  <si>
    <t>Chiratae Ventures
Aavishkaar Capital</t>
  </si>
  <si>
    <t>ERGOS provides tech-enabled warehousing and supply chain solutions for farmers. It provides a mobile-based platform for farmers to book warehouse space and know the status of their stock. Also, provides information on market trends, prices, etc. and helps them to set prices for their produce. It provides micro-warehousing services for farmers within a range of 3-4 km. It also provides transportation and quality check services while procuring the produce. It also helps the farmers in procuring the farm inputs including seeds, agriculture credit, and agrochemicals. It primarily focuses on paddy, wheat and maize crops.</t>
  </si>
  <si>
    <t>contact@ergos.in</t>
  </si>
  <si>
    <t>+91-8022684174</t>
  </si>
  <si>
    <t>Kishor Kumar Jha; Founder &amp; CEO; kishor@ergos.in; https://linkedin.com/in/kishorjha; Ex-Barclays, ICICI Bank, ACC. Magadh University BSc 2001, PUMBA MBA 2003</t>
  </si>
  <si>
    <t>kishor@ergos.in</t>
  </si>
  <si>
    <t>https://linkedin.com/in/kishorjha</t>
  </si>
  <si>
    <t>Indra Kumar Jha
Kishor Kumar Jha</t>
  </si>
  <si>
    <t>https://ergos.in/</t>
  </si>
  <si>
    <t>http://facebook.com/ergos.in</t>
  </si>
  <si>
    <t>https://tracxn.com/companies/VizJkjihG4Fdsqeay9sKeOpkf5xeBbVX9TzBeIGd_cE/ergos.in</t>
  </si>
  <si>
    <t>Consumer
Marketplace
SaaS
Software
Tech Hardware
Artificial Intelligence</t>
  </si>
  <si>
    <t>Cordoba</t>
  </si>
  <si>
    <t>Alaya Capital Partners
Start-Up Chile
Innova Memphis
AgLaunch
Yield Lab
Xpand Ventures</t>
  </si>
  <si>
    <t>Kilimo provides the irrigation advises through web or mobile application to the farmers. It takes 4 soil samples and other crop related information from the farmers and runs the sample through the propriety water balance algorithm. It integrates the result of the water balance algorithms with the climatic data obtained from the satellite weather stations and provide the irrigation advises to the farmers on everyday basis.</t>
  </si>
  <si>
    <t>hola@kilimo.com.ar</t>
  </si>
  <si>
    <t>Jairo Trad; Co-Founder &amp; CEO; jtrad@kilimo.com.ar; http://linkedin.com/in/ingjairotrad; Ex-Freelance Python Developer at Toptal
Rodrigo Tissera; Co-Founder; http://linkedin.com/in/rodrigo-tissera-6144a739; Senior Analyst at Banco Supervielle
Juan Carlos Abdala; Co-Founder &amp; CTO; jcabdala@kilimo.com.ar; http://linkedin.com/in/ingjcabdala; Ex-Partner at INSUS</t>
  </si>
  <si>
    <t>jtrad@kilimo.com.ar
jcabdala@kilimo.com.ar</t>
  </si>
  <si>
    <t>http://linkedin.com/in/ingjairotrad
http://linkedin.com/in/rodrigo-tissera-6144a739
http://linkedin.com/in/ingjcabdala</t>
  </si>
  <si>
    <t>https://www.kilimo.com.ar</t>
  </si>
  <si>
    <t>https://www.linkedin.com/company/8856119</t>
  </si>
  <si>
    <t>http://twitter.com/agrokilimo</t>
  </si>
  <si>
    <t>http://facebook.com/agrokilimo/</t>
  </si>
  <si>
    <t>https://tracxn.com/companies/es4-iegA9izxRxZ1b3Ngu90E2kl-zKShicXuTiCnW2o/kilimo.com.ar</t>
  </si>
  <si>
    <t>FinTech
FinTech
Agriculture</t>
  </si>
  <si>
    <t>Alternative Lending
Banking Tech
Crop Tech</t>
  </si>
  <si>
    <t>Alternative Lending &gt; Enablers &gt; Alternative Credit Score &gt; Individuals
Banking Tech &gt; Loan Life Cycle Management &gt; Credit Assessment &gt; Alternative Credit Score
Crop Tech &gt; Finance &gt; Credit Scoring</t>
  </si>
  <si>
    <t>Safaricom
Africa Tech Ventures
SUNU Capital
lakefamilyfoundation.org
EWB Canada
ADAP
1to4</t>
  </si>
  <si>
    <t>FarmDrive is a company that connects unbanked smallholder farmers to financial institutions. Using simple mobile phone technology, alternative data sets, and sophisticated data analytics, the company does credit assessment for the farmers. Thus it gives detailed risk profiles on smallholder farmers to financial institutions.</t>
  </si>
  <si>
    <t>info@farmdrive.co.ke</t>
  </si>
  <si>
    <t>+254-795518442</t>
  </si>
  <si>
    <t>Rita Kimani; Co-Founder; rita@farmdrive.co.ke; http://linkedin.com/in/ritakimani; ex-Founder Creatix Enterprise Systems, Nokia Lab, Batian Global. University of Nairobi BS 2014
Peris Bosire; Co-Founder &amp; MD; peris@farmdrive.co.ke; http://linkedin.com/in/perisbosire; ex-AIG. University of Nairobi BSc 2014</t>
  </si>
  <si>
    <t>rita@farmdrive.co.ke
peris@farmdrive.co.ke</t>
  </si>
  <si>
    <t>http://linkedin.com/in/ritakimani
http://linkedin.com/in/perisbosire</t>
  </si>
  <si>
    <t>http://www.linkedin.com/vsearch/p?f_CC=9381643</t>
  </si>
  <si>
    <t>https://farmdrive.co.ke</t>
  </si>
  <si>
    <t>http://linkedin.com/company/farmdrive</t>
  </si>
  <si>
    <t>http://twitter.com/farmdriveke</t>
  </si>
  <si>
    <t>http://facebook.com/farmdriveke</t>
  </si>
  <si>
    <t>https://tracxn.com/companies/a884p3pDpAGTZ4tfYcbuy9A6N73tjVoQMC6I55ZFx64/farmdrive.co.ke</t>
  </si>
  <si>
    <t>Consumer
Enterprise
Tech
Social Impact</t>
  </si>
  <si>
    <t>Bogota</t>
  </si>
  <si>
    <t>Bogota D.c.</t>
  </si>
  <si>
    <t>B2B E-Commerce &gt; Food &amp; Beverages &gt; Groceries &gt; Farm Products &gt; Marketplace
Crop Tech &gt; ECommerce &gt; Farm Produce &gt; B2B &gt; Fruits and Vegetables &gt; Marketplace</t>
  </si>
  <si>
    <t>Thought For Food
The Good Kitchen</t>
  </si>
  <si>
    <t>Cultivando Futuro provides an online marketplace for farmers to sell their field crop produce directly to wholesalers and retailers. Subscribed farmers can list their products along with prices, key attributes, and photographs. Registered retailers and wholesalers can scroll through the listed products and choose products according to their requirements and likings. Transactions can be made on the platform. The platform also provides agronomic information for farmers to help them in the management of the farming process throughout the growing cycle. The platform is targeted towards the smallholder farmers of Colombia.</t>
  </si>
  <si>
    <t>agro@cultivandofuturo.com</t>
  </si>
  <si>
    <t>Edisson Ballesteros Aguilar; Co-Founder; http://linkedin.com/in/edissonaguilar; Pan American University Foundation 2022
Carlos Castellanos; Co-Founder; http://linkedin.com/in/carlos-castellanos-711778100; Singularity University 2015
Dario Gonzalez; Co-Founder &amp; CEO; http://linkedin.com/in/dariogb; UTAEO 2005</t>
  </si>
  <si>
    <t>http://linkedin.com/in/edissonaguilar
http://linkedin.com/in/carlos-castellanos-711778100
http://linkedin.com/in/dariogb</t>
  </si>
  <si>
    <t>http://www.linkedin.com/vsearch/p?f_CC=3844298</t>
  </si>
  <si>
    <t>https://www.cultivandofuturo.com</t>
  </si>
  <si>
    <t>http://linkedin.com/company/cultivando-futuro-s-a-s-</t>
  </si>
  <si>
    <t>http://twitter.com/cultivandof</t>
  </si>
  <si>
    <t>http://facebook.com/cultivandofuturo</t>
  </si>
  <si>
    <t>https://tracxn.com/companies/Sn_o0y8SL0g9vR3KTpktLIxS3BRdCTjlaL0WMbDUJ0Q/cultivandofuturo.com</t>
  </si>
  <si>
    <t>Enterprise
Tech
Marketplace</t>
  </si>
  <si>
    <t>Campinas</t>
  </si>
  <si>
    <t>Positivo Tecnologia
SP Ventures
inovabra
Start-Up Brasil
Launchpad Accelerator
MasterMinds
Hacker Unit
THRIVE
Baita
Good Company Ventures</t>
  </si>
  <si>
    <t>Agrosmart provides connected solutions for analyzing farm data. Offers a cloud-based platform that monitors crops, capture and integrates data while taking inputs on various environmental and geographical data points through channels like on-field sensors, weather data (from weather stations), satellite imagery. It is then processed for giving inputs that help in providing smart irrigation solutions and tracking of weather, rain, soil moisture, and more that help in farm operations like the deployment of irrigation, agrochemicals, at a variable rate. The data can be accessed on multiple platforms including mobile, tablets and PC.</t>
  </si>
  <si>
    <t>contato@agrosmart.com.br</t>
  </si>
  <si>
    <t>+55-1940421231</t>
  </si>
  <si>
    <t>Thales Nicoleti; Co-Founder; thales@agrosmart.com.br; http://linkedin.com/in/thales-nicoleti-77a6b7b4; UNIFEI 2015
Raphael Garcez; Co-Founder; raphael@agrosmart.com.br; http://linkedin.com/in/raphaelgarcez; Ex-Smartapps Brasil, Co-Founder Voa Host. Luiz de Queiroz College of Agriculture 2018
Mariana Vasconcelos; Co-Founder &amp; CEO; mariana@agrosmart.com.br; http://linkedin.com/in/vasconcelosmariana; UNIFEI 2014</t>
  </si>
  <si>
    <t>thales@agrosmart.com.br
raphael@agrosmart.com.br
mariana@agrosmart.com.br</t>
  </si>
  <si>
    <t>http://linkedin.com/in/thales-nicoleti-77a6b7b4
http://linkedin.com/in/raphaelgarcez
http://linkedin.com/in/vasconcelosmariana</t>
  </si>
  <si>
    <t>http://www.linkedin.com/vsearch/p?f_CC=4802625</t>
  </si>
  <si>
    <t>https://agrosmart.com.br/</t>
  </si>
  <si>
    <t>http://linkedin.com/company/agrosmart</t>
  </si>
  <si>
    <t>http://twitter.com/agrosmartbr</t>
  </si>
  <si>
    <t>http://facebook.com/agrosmart1</t>
  </si>
  <si>
    <t>http://agrosmart.com.br/blog</t>
  </si>
  <si>
    <t>https://tracxn.com/companies/FrFptHR2twOk1qHrvEvvXmuZ4oJ0gfMXHaMzDjM9jtk/agrosmart.com.br</t>
  </si>
  <si>
    <t>Enterprise
SaaS
Tech
Software
Artificial Intelligence</t>
  </si>
  <si>
    <t>Jalna</t>
  </si>
  <si>
    <t>$26M</t>
  </si>
  <si>
    <t>Genomics &gt; Applied Genomics &gt; Agrigenomics
Crop Tech &gt; Farm Inputs &gt; Seeds &gt; Horticulture</t>
  </si>
  <si>
    <t>International Finance Corporation
BIRAC</t>
  </si>
  <si>
    <t>Maharashtra Hybrid Seeds Company Limited (Mahyco) is focused on research and development, production, processing, and marketing of seeds for India’s farming fraternity. Founded in 1964, Mahyco is the pioneer of hybrid and open-pollinated seeds. Through the use of technology and intensive research activities, Mahyco has revolutionized the agrarian face of the country.</t>
  </si>
  <si>
    <t>webmaster@mahyco.co</t>
  </si>
  <si>
    <t>+91-2482262471</t>
  </si>
  <si>
    <t>Usha Zehr; usha.zehr@mahyco.com
Rajendra Barwale; Co-Founder; Founder &amp; MD Mahyco.
Shirish Barwale; shirish.barwale@mahyco.com
Sushama Barwale
Badrinarayan R Barwale; Co-Founder; badrinarayan.barwale@mahyco.com
Sandeep Harsh; CEO; sandeep.harsh@mahyco.com; http://linkedin.com/in/sandeep-harsh-7a920569; Ex- Zeppelin Mobile Systems India, Everest Industries. University of Lucknow 1985, BKD University MBA 1988
Aashish Barwale; aashish.barwale@mahyco.com</t>
  </si>
  <si>
    <t>usha.zehr@mahyco.com
shirish.barwale@mahyco.com
badrinarayan.barwale@mahyco.com
sandeep.harsh@mahyco.com
aashish.barwale@mahyco.com</t>
  </si>
  <si>
    <t>http://linkedin.com/in/sandeep-harsh-7a920569</t>
  </si>
  <si>
    <t>http://www.linkedin.com/vsearch/p?f_CC=93200</t>
  </si>
  <si>
    <t>https://mahyco.com/</t>
  </si>
  <si>
    <t>https://linkedin.com/company/mahyco/about</t>
  </si>
  <si>
    <t>http://twitter.com/mahycoindia</t>
  </si>
  <si>
    <t>http://facebook.com/mahycoseeds</t>
  </si>
  <si>
    <t>https://tracxn.com/companies/gg4c66i_ij5AVcsDvIw7sFB31ck1OzEh_TTLdVgu3P8/mahyco.com</t>
  </si>
  <si>
    <t>Yunfeng Capital
GX Capital
yiguogroup.com.cn
China Growth Capital
Zhen Fund
Sequoia Capital
Source Code Capital
cbiholdings.com</t>
  </si>
  <si>
    <t>Ymt.com is an online B2B agro products marketplace. Suppliers, agro product brokers and farmers can directly sell the farm produce over the platform to restaurants, wholesale businesses and supermarkets. Product portfolio includes fruits, vegetables, nuts, oils, sea food etc. The company laid off 2000 employees in Aug 2015 after the investors in C round had backed off because of the reported allegations of fraud happening in the company.</t>
  </si>
  <si>
    <t>https://www.ymt.com</t>
  </si>
  <si>
    <t>https://tracxn.com/companies/WlOrS5vp4Q5KfG3PAktRnuiYGVTmb27p9Rc_5-LQ-lA/ymt.com</t>
  </si>
  <si>
    <t>B2B E-Commerce &gt; Agriculture &gt; E-Distributor
Crop Tech &gt; ECommerce &gt; Farm Inputs &gt; Multi Category &gt; Retailer &gt; Content Driven</t>
  </si>
  <si>
    <t>Aavishkaar Capital
Bertelsmann India Investments
Chiratae Ventures
Accel
Rabo Frontier Ventures
Intellecap Impact Investment Network
IDG ventures
Titan Capital</t>
  </si>
  <si>
    <t>Agrostar is an online platform offering agri-inputs, content, and advice. The company claims to offer products like seeds, fertilizers, tractors, pumps, pesticides, etc. It also claims to offer expert advice, agricultural data, agronomy knowledge, weather forecast, etc. to farmers through its platform. Their app is available for Android users.</t>
  </si>
  <si>
    <t>info@agrostar.in
partnership@agrostar.in</t>
  </si>
  <si>
    <t>+91-2041504242</t>
  </si>
  <si>
    <t>Shardul Sheth; Co-Founder &amp; CEO; +919820434146; shardul.sheth@gmail.com; http://linkedin.com/pub/shardul-sheth/59/aa6/aa1; Ex-Best Buy, PwC India. University of Mumbai BCom, Rochester Institute of Technology MBA 2003
Sitanshu Sheth; Co-Founder &amp; COO; sitanshu.sheth@agrostar.in; https://linkedin.com/in/sitanshu-sheth-4599bb11; Ex-ULink BioEnergy, KPMG India. University of Mumbai BE 2004, S P Jain School of Global Management MBA 2006</t>
  </si>
  <si>
    <t>shardul.sheth@gmail.com
shardulsheth@gmail.com
shardul.sheth@agrostar.in
sitanshu.sheth@agrostar.in</t>
  </si>
  <si>
    <t>http://linkedin.com/pub/shardul-sheth/59/aa6/aa1
https://linkedin.com/in/sitanshu-sheth-4599bb11</t>
  </si>
  <si>
    <t>Sitanshu Sheth</t>
  </si>
  <si>
    <t>https://agrostar.in/amp/hi/maharashtra/shop</t>
  </si>
  <si>
    <t>https://linkedin.com/company/agrostar-in/about</t>
  </si>
  <si>
    <t>https://twitter.com/agrostar_in</t>
  </si>
  <si>
    <t>http://corporate.agrostar.in/blog/?_gl=1*uajjuj*_ga*yw1wlwrat3rkqjr1stvstfi4dgpmcfa1q3c.</t>
  </si>
  <si>
    <t>https://tracxn.com/companies/o1xAEZBBfJnSUSkIKEavtcw-X8X2WUwIyEQT1XP0in8/agrostar.in</t>
  </si>
  <si>
    <t>Consumer
Tech
Social Impact</t>
  </si>
  <si>
    <t>Mistletoe
Enabling Future
unreasonableimpact.com
Hacker Unit
Bedayat
THRIVE
Bits x Bites</t>
  </si>
  <si>
    <t>Alesca Life is a developer of infrastructure for indoor farming which is based inside a freight container and is modular targeted at commercial indoor growers like big restaurants, food companies, urban farmers, etc. The product is named EDN. Its other product is EDN fresh which is a smaller version of EDN and targeted at household growers for cultivation of microgreens. The infrastructure is bundled with sensor based monitoring, grow lighting, environment control system, a software that uses algorithms to control the entire system making it autonomous.</t>
  </si>
  <si>
    <t>Kazuho Komoda; Co-Founder; kazuhokomoda@gmail.com; http://linkedin.com/in/kazuho-komoda-89269520; CEO, ASK Partners
Young Ha; Co-Founder &amp; CEO; http://linkedin.com/in/youngha; ex-Commercial Strategy (China), Dell
Stuart Oda; Co-Founder; stuart@alescalife.com; http://linkedin.com/in/stuartoda; ex-Corp Dev Advisor, Dell</t>
  </si>
  <si>
    <t>kazuhokomoda@gmail.com
kazuho.komoda@gmail.com
stuart@alescalife.com</t>
  </si>
  <si>
    <t>http://linkedin.com/in/kazuho-komoda-89269520
http://linkedin.com/in/youngha
http://linkedin.com/in/stuartoda</t>
  </si>
  <si>
    <t>http://www.linkedin.com/vsearch/p?f_CC=3718294</t>
  </si>
  <si>
    <t>https://www.alescalife.com</t>
  </si>
  <si>
    <t>http://linkedin.com/company/alesca-life-technologies</t>
  </si>
  <si>
    <t>http://twitter.com/alescalife</t>
  </si>
  <si>
    <t>https://tracxn.com/companies/Znmsfe54-tdL6A2IvDtVsBkiBnE0cBlzjUQy0nqHyuw/alescalife.com</t>
  </si>
  <si>
    <t>Consumer
Enterprise
Tech Hardware</t>
  </si>
  <si>
    <t>Marketplace
SaaS
Tech
Social Impact
Artificial Intelligence</t>
  </si>
  <si>
    <t>IoT Applications
Aquaculture Tech
Water and Wastewater Management Tech</t>
  </si>
  <si>
    <t>IoT Applications &gt; Industry Specific &gt; Agriculture &gt; Aquaculture
Aquaculture Tech &gt; Farm Monitoring &gt; Fishes &gt; Water Quality
Water and Wastewater Management Tech &gt; Smart Irrigation &gt; Farming &gt; Aquaculture Water Monitoring</t>
  </si>
  <si>
    <t>UNICEF Innovation Fund
Flat6Labs Cairo
Orange
Technology Innovation and Entrepreneurship Center</t>
  </si>
  <si>
    <t>Nilebot is an IoT-based aquaculture water quality monitoring system. The system has embedded sensors which monitors water parameters such as pH level, dissolved oxygen, total dissolved solids, temperature, salinity &amp; oxygen saturation level. The collected data is transmitted to a web platform which can be monitored 24/7 and corrective measures can be initiated for any change in water characteristics. Notifies the operator when to add fish feed based on water parameters which claim to reduce feed cost by up to 30%. Alerts through color codes/SMS measures farm productivity and calculates the time to run aeration equipment.</t>
  </si>
  <si>
    <t>info@Nilebot.com</t>
  </si>
  <si>
    <t>Abd Mohammed; Co-Founder &amp; CMO
Mohamed Fahim; Founder &amp; CMO; http://linkedin.com/in/mohamed-el-sayed-fahim-8aa68985; Ex-TIEC, Flat6labs bootcamp, Helwan University. Helwan University Cairo 2014
Ahmed Khalid; Co-Founder &amp; CEO; mido_el_magic@hotmail.com; http://linkedin.com/in/ahmed-khalid-8b335932
Kareem Gamal; Co-Founder &amp; Supply Chain Manager; +201116536567; eng.kareemgalal@gmail.com; http://linkedin.com/in/kareem-m-galal; Avelabs, ex-Conative Labs, Information Technology Institute, Fugineers Student Organization, ResalaHE, TE Data. Helwan University 2013</t>
  </si>
  <si>
    <t>mido_el_magic@hotmail.com
eng.kareemgalal@gmail.com
Kareem.m.galal@gmail.com</t>
  </si>
  <si>
    <t>http://linkedin.com/in/mohamed-el-sayed-fahim-8aa68985
http://linkedin.com/in/ahmed-khalid-8b335932
http://linkedin.com/in/kareem-m-galal</t>
  </si>
  <si>
    <t>https://www.nilebot.com</t>
  </si>
  <si>
    <t>http://twitter.com/nilebot15</t>
  </si>
  <si>
    <t>http://facebook.com/nilebot</t>
  </si>
  <si>
    <t>https://tracxn.com/companies/wagsBF5a4v9N7VsaSJiYBIkbCQXjppHODJD5FQ8nYLw/nilebot.com</t>
  </si>
  <si>
    <t>Enterprise
Tech
Tech Hardware
Software</t>
  </si>
  <si>
    <t>Enterprise Applications
Agriculture
Accelerator Batches</t>
  </si>
  <si>
    <t>ERP
Livestock Tech
MassChallenge Batches</t>
  </si>
  <si>
    <t>ERP &gt; Agriculture &gt; Farm Management &gt; LiveStock &gt; Poultry
Livestock Tech &gt; Livestock Management Software
MassChallenge Batches &gt; Switzerland &gt; 2019 &gt; Platinum</t>
  </si>
  <si>
    <t>MassChallenge
GIST Network</t>
  </si>
  <si>
    <t>Abu Erdan is a cloud-based poultry management software. The software has modules for operation planning &amp;amp; management, tracking of daily farm parameters such as temperature, humidity etc. The platform can be used for the collaboration in the production team. The platform provides notifications to the production team for their respective tasks and tracks the progress of the same. The performance analytics for the historical data can be done on the platform. Data can be recorded in the offline mode and can be synced once users get access to internet.</t>
  </si>
  <si>
    <t>info@abuerdan.com</t>
  </si>
  <si>
    <t>Islam Khalil; CEO; +20227354077; ikhalil@abuerdan.com; http://linkedin.com/in/theikhalil; Chairman &amp; MD Sand, GM Centrivision, ex- ITWorx. AUC Cairo BSc 1997 &amp; 2010</t>
  </si>
  <si>
    <t>ikhalil@abuerdan.com</t>
  </si>
  <si>
    <t>http://linkedin.com/in/theikhalil</t>
  </si>
  <si>
    <t>https://abuerdan.com/</t>
  </si>
  <si>
    <t>http://linkedin.com/company/10486534</t>
  </si>
  <si>
    <t>http://facebook.com/abuerdan</t>
  </si>
  <si>
    <t>https://tracxn.com/companies/v9fO_QnN-CMQOSbq5E33hMVVJbatRo9Y7v_A0mn7YKU/abuerdan.com</t>
  </si>
  <si>
    <t>Tech Hardware
Social Impact
Innovative
High IP
Goods
Service
Looks Scalable
Chain
Not for Profit
Blockchain</t>
  </si>
  <si>
    <t>Bandung</t>
  </si>
  <si>
    <t>IoT Applications &gt; Industry Specific &gt; Agriculture &gt; Aquaculture
Aquaculture Tech &gt; Feeding &gt; Automated Feeding Systems</t>
  </si>
  <si>
    <t>GO Venture Capital
Wavemaker Partners
Social Capital
nsgroup-inc.com
Aqua Spark
Triputra Group
Unreasonable Capital
Ideosource
Maloekoe Ventures
Seedstars
500 Durians
Launchpad Accelerator</t>
  </si>
  <si>
    <t>eFishery is an Indonesia-based company offering a smart fish feeding solution for commercial aquaculture. It comprises of a feeder that can sense the fish’s appetite through motion sensors, and if the fishes feel agitated or hungry, the machine feeds them automatically. Also provides a data platform that allows fish farmers to monitor and schedule feeding times in real-time on their phones, and control the system if needed.</t>
  </si>
  <si>
    <t>Gibran Huzaifah; Co-Founder &amp; CEO; gibran@efishery.com; http://linkedin.com/pub/gibran-huzaifah/4a/8a0/635; Business Owner Dorri Foods Indonesia
Muhammad Ihsan Akhirulsyah; Co-Founder &amp; CFO; ihsan@efishery.com; http://linkedin.com/in/akhirulsyah; Co-Founder PT Tiga Perkasa Indonesia,</t>
  </si>
  <si>
    <t>gibran@efishery.com
ihsan@efishery.com</t>
  </si>
  <si>
    <t>http://linkedin.com/pub/gibran-huzaifah/4a/8a0/635
http://linkedin.com/in/akhirulsyah</t>
  </si>
  <si>
    <t>http://www.linkedin.com/vsearch/p?f_CC=3823004</t>
  </si>
  <si>
    <t>cybreed.co.id</t>
  </si>
  <si>
    <t>https://www.efishery.com</t>
  </si>
  <si>
    <t>https://linkedin.com/company/efisheryid/about</t>
  </si>
  <si>
    <t>http://twitter.com/efisherycom</t>
  </si>
  <si>
    <t>http://facebook.com/efishery</t>
  </si>
  <si>
    <t>http://efishery.com/blog/?p=1</t>
  </si>
  <si>
    <t>https://tracxn.com/companies/GV8lcp9hEClumc_PXkcL34O1TN_Hr6f1YhECZXM4c7w/efishery.com</t>
  </si>
  <si>
    <t>Marketplace
SaaS
Consumer
Social Impact
Artificial Intelligence
Blockchain</t>
  </si>
  <si>
    <t>Patna</t>
  </si>
  <si>
    <t>Sequoia Capital
eCubed Ventures
IIM Calcutta Innovation Park
Trifecta Capital
AgFunder
Pi Ventures
FMO
Omnivore Partners
Redwood Trust</t>
  </si>
  <si>
    <t>Agrevolution is a provider of end-to-end farming services to the farming communities. The company claims to offer services for farmers; which includes crop consultation, crop reminder, local voice calls, market to sell and buy inputs and produce, advisory services, etc, for micro-entrepreneurs; which includes market linkages, technical advisory, etc, for institutional buyers; which includes AI-based analysis and forecasting. The company claims to offer 2 apps named Dehaat business and Dehaat Kisan which are available for android users.</t>
  </si>
  <si>
    <t>Shashank Kumar; Co-Founder &amp; CEO; shashank@agrevolution.in; https://linkedin.com/in/shashank-kumar-798b258; Ex-Founder Farms and Farmers Foundation, Beacon Advisory Services. IIT Delhi BTech 2008
Manish Kumar; Co-Founder; manish@backtovillage.org; https://linkedin.com/in/manish1309; CEO Utopia Ville, Founder Back to Village, ex-Co-founder Farms &amp; Farmers. IIT Kharagpur MSc 2010
Sonu Kumar Adarsh; adarsh@agrevolution.in; https://linkedin.com/in/adarsh-srivastava-902008b1; IIM Dhanbad BTech 2011
Adarsh Srivastava; Co-Founder &amp; Director; adarsh@agrevolution.in; https://linkedin.com/in/adarsh-srivastava-902008b1; IIT Dhanbad BTech 2011
Amrendra Singh; Co-Founder &amp; Director; amrendra@agrevolution.in; https://linkedin.com/in/amrendra-singh-64922436; Ex-Founder Agri Gow. NIT Jamshedpur 2011</t>
  </si>
  <si>
    <t>shashank@agrevolution.in
manish@backtovillage.org
adarsh@agrevolution.in
adarsh@agrevolution.in
amrendra@agrevolution.in</t>
  </si>
  <si>
    <t>https://linkedin.com/in/shashank-kumar-798b258
https://linkedin.com/in/manish1309
https://linkedin.com/in/adarsh-srivastava-902008b1
https://linkedin.com/in/adarsh-srivastava-902008b1
https://linkedin.com/in/amrendra-singh-64922436</t>
  </si>
  <si>
    <t>Manish Kumar
Shashank Kumar</t>
  </si>
  <si>
    <t>vezamart.com</t>
  </si>
  <si>
    <t>https://www.agrevolution.in</t>
  </si>
  <si>
    <t>http://linkedin.com/company/green-agrevolution-private-limited</t>
  </si>
  <si>
    <t>http://twitter.com/agrevolutiongr</t>
  </si>
  <si>
    <t>https://tracxn.com/companies/TG4egV1bWCA54CKo0q00_jEnsNS2xidAFYe8KL_Lxyw/agrevolution.in</t>
  </si>
  <si>
    <t>Tech
Enterprise
Consumer
Artificial Intelligence
Social Impact</t>
  </si>
  <si>
    <t>Marketplace
SaaS
Software
Tech Hardware
Blockchain</t>
  </si>
  <si>
    <t>The Trendlines Group
OurCrowd</t>
  </si>
  <si>
    <t>Eden Shield produces agrochemicals useful for crop protection and also as fertilizers from extracts obtained by processing Judean Desert crops. Its product EdenShield NET is applied on the greenhouse screens and not on the crops and claims that the system is effective against crops such as peppers, tomatoes, basil and cabbage. Its product EdenShield DIRECT is to be applied directly on the crops and claims that the product is effective for ornamental crops and marijuana/cannabis. EdenShield is a portfolio company of The Trendline Group.</t>
  </si>
  <si>
    <t>Yaniv Kitron; Founder &amp; CEO; yaniv.kitron@eden-shield.com; http://linkedin.com/in/yaniv-kitron-9298b468</t>
  </si>
  <si>
    <t>yaniv.kitron@eden-shield.com
yaniv@botanohealth.com</t>
  </si>
  <si>
    <t>http://linkedin.com/in/yaniv-kitron-9298b468</t>
  </si>
  <si>
    <t>https://www.eden-shield.com/cgi-sys/suspendedpage.cgi</t>
  </si>
  <si>
    <t>https://linkedin.com/company/edenshield</t>
  </si>
  <si>
    <t>https://tracxn.com/companies/CBgA4OgK4kZs9S7ESBD_uCtr5XJkXLiSWGh0pXS6nYg/eden-shield.com</t>
  </si>
  <si>
    <t>$394K</t>
  </si>
  <si>
    <t>Enterprise Applications
Industrial Goods and Manufacturing
Agriculture</t>
  </si>
  <si>
    <t>Manufacturing Tech
Crop Tech</t>
  </si>
  <si>
    <t>Manufacturing Tech &gt; Process Control &gt; Analytics &gt; Equipment Monitoring &amp; Analysis &gt; IoT-Based
Crop Tech &gt; Post Harvest Management &gt; Quality Testing &gt; Fruits and Vegetables &gt; Sensors</t>
  </si>
  <si>
    <t>BESST-HORT
Zoho
Global Incubation Services</t>
  </si>
  <si>
    <t>Technology solutions provider to automate visual checking in manufacturing, food and agriculture industries. Its solution, AppleTron is a post-harvest solution that assists in visual checking of apples ready to be packaged and sold, using high-speed Infrared technology and machine-learning algorithms. LabelTron, vTryOn, AutoTron, CodeTron, G-Tron are few other solutions offered. Has clients such as ITC Foods and several others across pharmaceuticals, horticulture and automotive sectors. It is targeting a revenue of INR 1 crore in FY15. Zoho Corporation has picked up a minority stake in the company in November 2014.</t>
  </si>
  <si>
    <t>info@zentronlabs.com</t>
  </si>
  <si>
    <t>+91-8025253535</t>
  </si>
  <si>
    <t>Ramgopal Vallath; Co-Founder
Krishnan Ramabadran; Co-Founder &amp; CEO; krishnanr@zentronlabs.com; http://linkedin.com/pub/krishnan-r/0/b6b/447; ex-Director vTitan, Co-Founder Cosmic Circuits, Texas Instruments. IIT Madras BTech 1989 &amp; MS 1995</t>
  </si>
  <si>
    <t>krishnanr@zentronlabs.com</t>
  </si>
  <si>
    <t>http://linkedin.com/pub/krishnan-r/0/b6b/447</t>
  </si>
  <si>
    <t>http://www.linkedin.com/vsearch/p?f_CC=2957399</t>
  </si>
  <si>
    <t>Krishnan Ramabadran</t>
  </si>
  <si>
    <t>https://zentronlabs.com/</t>
  </si>
  <si>
    <t>https://www.linkedin.com/company/zentron-labs-pvt-ltd</t>
  </si>
  <si>
    <t>https://tracxn.com/companies/v1EC0_KUjrcAnER7VStTm8HdvKdDu0quGax_3LdFrT8/zentronlabs.com</t>
  </si>
  <si>
    <t>Indore</t>
  </si>
  <si>
    <t>Madhya Pradesh</t>
  </si>
  <si>
    <t>Crop Tech &gt; ECommerce &gt; Farm Inputs &gt; Multi Category &gt; Retailer &gt; Content Driven</t>
  </si>
  <si>
    <t>WhatsApp
Asha Impact
Multiply ventures
Invest India
Better Capital
Info Edge Ventures</t>
  </si>
  <si>
    <t>Shazia Imran Khan
Raveen Sastry
Nitin Agarwal
Ashutosh Saxena
Ravi Garikipati
Sanjay Ramkrishnan
Pradeep Kumar Mishra
Bhushan Patil</t>
  </si>
  <si>
    <t>Gramophone is an app-based platform providing farm input products and information to the farmers. It enables farmers to purchase crop protection, crop nutrition, seeds, implements, and agricultural hardware products. It also provides agronomic information such as weather information, latest market prices, expense calculator and advice, and best cropping practices. Its application is available on the android platform.</t>
  </si>
  <si>
    <t>info@gramophone.co.in</t>
  </si>
  <si>
    <t>+91-7314794488</t>
  </si>
  <si>
    <t>Harshit Gupta; Co-Founder; +919974185448; harshit@gramophone.in; https://linkedin.com/in/harshit-gupta-ab186454; Ex-OYO Rooms, TAFE.  HBTI BTech 2012,  IIM Ahmedabad MBA 2014
Tauseef Khan; Co-Founder &amp; CEO; +919901632086; tsf.786@gmail.com; https://linkedin.com/in/tauseef-khan-58531515; Ex-CropIn Technology, Aspada Investments, Omnivore Partners.  IIT Kharagpur BTech 2009, IIM Ahmedabad 2014
Nishant Mahatre; Co-Founder; +919769155364; nishant@gramophone.in; https://linkedin.com/in/nishant-mahatre-4a5158a; Ex-Clinton Giustra, John Deere. IIT Kharagpur BTech 2009, IIM Ahmedabad PGDM 2014</t>
  </si>
  <si>
    <t>harshit@gramophone.in
harshitgupta@gramophone.in
harshit@gramophone.co.in
tsf.786@gmail.com
tauseef@gramophone.in
tauseefkhan@gramophone.in
tauseef@gramophone.co.in
nishant@gramophone.in
nishantmahatre@gramophone.in
vats.nishant@gmail.com
nishant@gramophone.co.in</t>
  </si>
  <si>
    <t>https://linkedin.com/in/harshit-gupta-ab186454
https://linkedin.com/in/tauseef-khan-58531515
https://linkedin.com/in/nishant-mahatre-4a5158a</t>
  </si>
  <si>
    <t>Nishant Mahatre
Tauseef Khan</t>
  </si>
  <si>
    <t>https://www.gramophone.in</t>
  </si>
  <si>
    <t>https://linkedin.com/company/gramophone.co.in</t>
  </si>
  <si>
    <t>https://twitter.com/gramophone_ag</t>
  </si>
  <si>
    <t>https://facebook.com/gramophone.co.in</t>
  </si>
  <si>
    <t>https://tracxn.com/companies/VcEjFxn8gnO2L9QJYy-Kq5NwqMuHan4AhJt1QPR1XoM/gramophone.in</t>
  </si>
  <si>
    <t>Bangkok</t>
  </si>
  <si>
    <t>Aquaculture Tech &gt; Aquatic Plants &gt; Algae &gt; Bioreactors &gt; Business Focused</t>
  </si>
  <si>
    <t>500 TukTuks
Aqua Spark</t>
  </si>
  <si>
    <t>EnerGaia processes algae cultivated on un-utilized spaces in urban areas into spirulina based products for farm animal feed stocks.</t>
  </si>
  <si>
    <t>Saumil Shah; Founder &amp; CEO; saumil@energaia.com; https://linkedin.com/in/saumil-energaia; Ex-General Electric, Aero Engineer. Georgia Institute of Technology MS 1996</t>
  </si>
  <si>
    <t>saumil@energaia.com</t>
  </si>
  <si>
    <t>https://linkedin.com/in/saumil-energaia</t>
  </si>
  <si>
    <t>https://energaia.com/</t>
  </si>
  <si>
    <t>https://linkedin.com/company/energaia-spirulina/about</t>
  </si>
  <si>
    <t>https://tracxn.com/companies/ZwcYH-cfHJpD_iejaGBAFfpsdqc3zniTB9BN8OO0BjQ/energaia.com</t>
  </si>
  <si>
    <t>$461K</t>
  </si>
  <si>
    <t>Crop Tech &gt; Indoor Farming &gt; Hydroponics &gt; Cannabis</t>
  </si>
  <si>
    <t>Ginni International Limited
Singularity Ventures</t>
  </si>
  <si>
    <t>Srinivaas Sirigeri
Nikhil Velpanur
Ratan N Tata
Mukhtar Tejani
M A Tejani
Rajan Anandan
Sanvar Oberoi</t>
  </si>
  <si>
    <t>The Bombay Hemp Company is a producer and distributor of cannabis products. It offers hemp oils, hemp fabrics, handlooms, and hemp-infused food products. It is engaged in research, development, contractual farming, processing, and distribution of hemp products. It maintains a Public Private Partnership with Athulya Krishi Foundation to develop enhanced cannabis cultivars. Its products can be purchased online from its website.</t>
  </si>
  <si>
    <t>info@boheco.org</t>
  </si>
  <si>
    <t>+91-9920960333
+91-2224912554</t>
  </si>
  <si>
    <t>Delzaad Deolaliwala; Co-Founder &amp; Director; delzaad.d@boheco.org; http://linkedin.com/in/delzaaddeolaliwala; H.R. College of Commerce and Economics BCom 2011, KC Law College LLB 2014
Chirag Tekchandaney; Co-Founder &amp; Director; http://linkedin.com/in/chiragtekchandaney; EX-Directi
Avnish Pandya; Co-Founder &amp; Director; pandya.avnish@gmail.com; http://linkedin.com/in/avnish-pandya-b7016520; EX-Deloitte. H.R College of Commerce and Economics 2013
Yash P Kotak; Co-Founder &amp; Director; yash.kotak@boheco.org; http://linkedin.com/in/kotakyash; EX-GroupM. HR College 2017
Sumit Shah; Co-Founder &amp; Director; sumit.shah@boheco.org; http://linkedin.com/in/shahsumit; EX-Tedx HRC. University of Mumbai BCom 2012 &amp; MCom 2014
Jahan Peston Jamas; Co-Founder &amp; Director; +919833780624; jahanpj@gmail.com; http://linkedin.com/in/jahanpjamas; Co-Founder Nanobinoids, Raconteur Walks Tourism. H.R College Of Commerce and Economics 2011
Sanvar Oberoi; Co-Founder &amp; Director; sanvar.oberoi@boheco.org; https://linkedin.com/in/sanvaroberoi; World Economic Forum, Deloitte India, FoxyMoron. H.R. College of Commerce and Economics 2011, H.R. College of Commerce and Economics 2013, University of Mumbai PhD 2017</t>
  </si>
  <si>
    <t>delzaad.d@boheco.org
pandya.avnish@gmail.com
avnish.pandya@boheco.org
yash.kotak@boheco.org
sumit.shah@boheco.org
jahanpj@gmail.com
jahan.pj@boheco.org
sanvar.oberoi@boheco.org</t>
  </si>
  <si>
    <t>http://linkedin.com/in/delzaaddeolaliwala
http://linkedin.com/in/chiragtekchandaney
http://linkedin.com/in/avnish-pandya-b7016520
http://linkedin.com/in/kotakyash
http://linkedin.com/in/shahsumit
http://linkedin.com/in/jahanpjamas
https://linkedin.com/in/sanvaroberoi</t>
  </si>
  <si>
    <t>Chirag Tekchandaney
Delzaad Deolaliwala
Jahan Peston Jamas
Sumit Shah
Avnish Pandya
Sanvar Oberoi</t>
  </si>
  <si>
    <t>https://www.boheco.org</t>
  </si>
  <si>
    <t>http://linkedin.com/company/3855706</t>
  </si>
  <si>
    <t>http://twitter.com/bohecoindia</t>
  </si>
  <si>
    <t>http://facebook.com/boheco</t>
  </si>
  <si>
    <t>https://tracxn.com/companies/c05WTQk7r6riS6dfetE9eHiObo4yhKSw_NPAFkBl5tk/boheco.org</t>
  </si>
  <si>
    <t>Consumer
SaaS
Marketplace
Tech
Software
Tech Hardware
Social Impact
Artificial Intelligence</t>
  </si>
  <si>
    <t>$716K</t>
  </si>
  <si>
    <t>Online Grocery &gt; B2C Ecommerce &gt; Fruits and Vegetables
Crop Tech &gt; ECommerce &gt; Farm Produce &gt; B2C &gt; Fruits and Vegetables &gt; Retailer</t>
  </si>
  <si>
    <t>Ascent E Digit Solution
VentureFarmer
BDG Angels
Native Angels Network
Pragnya
ACS International Resources
Hiraco Ventures
Splice Capital
Jetty Ventures
Indian Angel Network</t>
  </si>
  <si>
    <t>Ananth Ravi
A M Sendhilraj
Sandeep Soni
Pramod Bhasin
Sanjay Puri
Anjan Rangraj
Vivek Chanana
Kurian Francis Manavalan
Mark Lazaro
Sudhir Mehta
Bikky Khosla
Vishal Pereira
Jayaram Govindarajan
Shihaj P A
Prasad Palisetty
Newton Alex
Raghupathy Dwarkanath Dixit
Ajay Kaul
Salil Gupta
Nagaraja Prakasam
Sivakumar Sadayappan
Kris Gopalakrishnan
Sanjay Sarvotham Rao
Nagaraja Prakasam
Gun Nidhi Dalmia
Shahnaz Menon
M Yuvarani
George Zacharia
Jagan Mohan Reddy
Sadeesh Raghavan
Nilesh Vani
Sujit Kumar Prabhakar
Faraz Ahmed
Finisia Shihaj
Madhulata Avisannagari
Shilpa Maheshwari
Bikram Dasgupta
Gaurav Joshua Vaz
K D Mandanna
Santosh Balakrishna
Rupesh Kakarai
Ankit Agarwal
Peron Roach
G Vanjinath
Pratik Agarwal
N Sugumar
Ritu Chakravarthy
Sarath Selvanathan
Sharad Junghare
Bunty Peerbhoy
Keshav Kumar
Harsh Vardhan Hada
Sean Lazaro
Anuraag Srivastava
Kavitkumar Dayabhai
Vimal Veereshwarayya
Supriya Ganpule
Deepak Gupta
Sarath Sura
Dhananjay Joshi
Prerna Kaul
P Mayilvel
Jijo Verghese
Vishweshwar Reddy Konda
Ebenezer Vidyasagar
Kanishka Agiwal
Ananda Kallugadde
Neeraj Kumar Singal
Devandra Muddala
Rajiv Krishan Luthra
Vijay Anand
Ramnath Rao
Shree Shivkumar
Nitin Singhal
M Unnamalai
Amar Babu Radhakrishnan
Ashoka G K
Austin Roach
Sundeep Goswami
G N Jayaram
S Vijayan
Vidya Omprakash
Aseem Chauhan
Rajiv Luthra
Vema Reddy
A S Prabhu
Srinivas Reddy Kalakoti
Bhakta Reddy
Boney Jose
Thiagarajan Aravamudan
Anoop Kuruvilla
Suryaprakash Vithal Kukyan
Sandeep Sahadevan
Srinivas Doreswamy
Vellayan Lakshmanan
Sanjay Gujral</t>
  </si>
  <si>
    <t>FreshWorld sells farm-fresh fruits and vegetables (FnV) with a street vending model using electric carts. Operates over 20 customised and battery operated vehicles which are equipped with tablet, printer and communication technologies to provide receipt, track inventory and analyse data to understand customer purchase behaviour. Aims to reduce costs by procuring directly from the farmers/aggregators and being the sole intermediary between farmer and consumer. Partnered with chat platform, Lookup, to enable customers to order FnV through the Lookup mobile app by sending a message. Operating in 12 regions in Bangalore and claims to be selling over 200 kgs of fruits and veggies per cart every day as of Feb 2015. Raised undisclosed amount of funding in Feb 2015 from Kris Gopalakrishnan, co-founder of Infosys, along with angel investor Nagaraja Prakasam who led the deal for Indian Angel Network. Plans to use the funds for scaling the retail network and tripling the number of electric carts to 60 by the end of 2015.</t>
  </si>
  <si>
    <t>Rajiv Rao; Founder &amp; CEO; +919538890010; rajiv.rao@freshworld.in; http://linkedin.com/in/raorajiv; Ex-CEO Moksha Yug Access, COO Spectranet, Tata Communications, Reliance Communications. Christ College BCom 1993, XLRI Jamshedpur PGCBM 2011</t>
  </si>
  <si>
    <t>rajiv.rao@freshworld.in</t>
  </si>
  <si>
    <t>http://linkedin.com/in/raorajiv</t>
  </si>
  <si>
    <t>http://www.linkedin.com/vsearch/p?f_CC=3603909</t>
  </si>
  <si>
    <t>https://www.freshworld.in</t>
  </si>
  <si>
    <t>https://www.linkedin.com/company/retailworx-india-private-limited</t>
  </si>
  <si>
    <t>http://facebook.com/freshworldin</t>
  </si>
  <si>
    <t>https://freshworldfnv.wordpress.com</t>
  </si>
  <si>
    <t>https://tracxn.com/companies/9vL_Ok9NSNyY4IzrXI4iSr182YWDDhJ_lsnZNdON3qo/freshworld.in</t>
  </si>
  <si>
    <t>Origin Agritech is an agriculture biotech company involved in the breeding technology research, hybrid variety seeds development, and supply of seeds for the agriculture industry. The product portfolio has hybrid seeds of corn, rice, and canola. As per the company website, till date it has 42 hybrid varieties of corn, 57 hybrid varieties of rice, and 11 hybrid varieties of canola in its portfolio. It has reorganized its business in two distinct segments: agri-biotech and product development under Origin State Harvest; and seed production and distribution under Beijing Origin Seed.</t>
  </si>
  <si>
    <t>William S. Niebur; President &amp; CEO; bill.niebur@originseed.com; http://linkedin.com/in/william-s-niebur-bill-niebur-700944; Ex - VP(Pioneer North Asia), DuPont</t>
  </si>
  <si>
    <t>bill.niebur@originseed.com</t>
  </si>
  <si>
    <t>http://linkedin.com/in/william-s-niebur-bill-niebur-700944</t>
  </si>
  <si>
    <t>http://www.linkedin.com/vsearch/p?f_CC=3995968</t>
  </si>
  <si>
    <t>NASDAQ:SEED</t>
  </si>
  <si>
    <t>http://www.originseed.com.cn</t>
  </si>
  <si>
    <t>http://linkedin.com/company/origin-agritech-ltd</t>
  </si>
  <si>
    <t>https://tracxn.com/companies/-urbu-ZYUxJUcTWGrhOycaB2R2LA4xLr9_QBQupaIdw/originseed.com.cn</t>
  </si>
  <si>
    <t>ERP
Crop Tech</t>
  </si>
  <si>
    <t>ERP &gt; Agriculture &gt; Farm Management &gt; Suite
Crop Tech &gt; Farm Management Software &gt; Diversified</t>
  </si>
  <si>
    <t>FarmERP is a software package developed by Shivrai Technologies Pvt. Ltd. It provides operations and resources management and is targeted at farm, supply chain management and agri-businesses. It has 2 versions, 1 each specialized for Biotech and Agri services and also has an online version.</t>
  </si>
  <si>
    <t>Sanjay Borkar; Co-Founder &amp; CEO; sanjay.borkar@shivrai.co.in; http://linkedin.com/in/sanjayborkar; BE, Bharti Vidyapeeth.
Santosh Shinde; Co-Founder &amp; COO; santosh.shinde@shivrai.co.in; http://linkedin.com/pub/santosh-shinde/10/a50/13a; BE, Bharti Vidyapeeth.</t>
  </si>
  <si>
    <t>sanjay.borkar@shivrai.co.in
santosh.shinde@shivrai.co.in</t>
  </si>
  <si>
    <t>http://linkedin.com/in/sanjayborkar
http://linkedin.com/pub/santosh-shinde/10/a50/13a</t>
  </si>
  <si>
    <t>shivrai.co.in</t>
  </si>
  <si>
    <t>https://www.farmerp.com</t>
  </si>
  <si>
    <t>http://twitter.com/growwithfarmerp</t>
  </si>
  <si>
    <t>http://facebook.com/farmerp-107551095984129/</t>
  </si>
  <si>
    <t>https://tracxn.com/companies/5yxLa_9PhQSSj9pAnRy9ka6l1NhS6oEl2APxiQweSbw/farmerp.com</t>
  </si>
  <si>
    <t>Pergamino</t>
  </si>
  <si>
    <t>Provincia De Buenos Aires</t>
  </si>
  <si>
    <t>Santander
Banco Hipotecario
MARIVA
Banco Galicia</t>
  </si>
  <si>
    <t>Rizobacter is a manufacturer and distributor of biological fertilizers. It offers biological fertilizers made of Pseudomonas fluorescens species which promotes plant growth by supplying soil phosphorous to plants. Also, offers micro-granulated fertilizers, seed treatment products, inoculants, adjuvants, etc. It also developed various technologies to improve biological nitrogen fixation in legumes.</t>
  </si>
  <si>
    <t>Marcelo Adolfo Carrique; CEO &amp; President</t>
  </si>
  <si>
    <t>bioceres.com.ar</t>
  </si>
  <si>
    <t>https://www.rizobacter.com</t>
  </si>
  <si>
    <t>https://linkedin.com/company/rizobacter-argentina</t>
  </si>
  <si>
    <t>https://twitter.com/rizobacterarg</t>
  </si>
  <si>
    <t>http://facebook.com/rizobacter</t>
  </si>
  <si>
    <t>https://tracxn.com/companies/Tj3yrhTrv9IRPzlYbHjvHZTNV1u41e1nfJSAOn1q8dA/rizobacter.com</t>
  </si>
  <si>
    <t>Renewable Energy Tech
Crop Tech</t>
  </si>
  <si>
    <t>Renewable Energy Tech &gt; Solar Energy &gt; Applications &gt; Agriculture and Food &gt; Smart Water Pumps
Crop Tech &gt; Farm Equipment &gt; Smart Solar Water Pumps</t>
  </si>
  <si>
    <t>Unreasonable
PG Impact Investments
Partners Group
Energy Access Ventures
Aster Capital
EDF</t>
  </si>
  <si>
    <t>SunCulture develops and offers solar-powered irrigation systems. Combines solar powered water pumping with low-pressure drip irrigation systems. Also, enables the user to fertigate through drip irrigation system. The system delivers water directly to crop roots. Claims to observe a yield gain of up to 300% and water savings of up to 90%. The company serves the farmers of Kenya.</t>
  </si>
  <si>
    <t>sales@sunculture.com</t>
  </si>
  <si>
    <t>+254-700327002</t>
  </si>
  <si>
    <t>Samir Ibrahim; Co-Founder &amp; CEO; samir@sunculture.com; http://linkedin.com/in/samiribrahim; EX-PwC, UBS Investment Bank. New York University - Leonard N. Stern School of Business 2011
Charles Nichols; Co-Founder &amp; CTO; charles@sunculture.com; http://linkedin.com/in/charlesdnichols; EX-IBuyMacBooks, IPPSolar Green Spaces. City University of New York-Baruch College 2012</t>
  </si>
  <si>
    <t>samir@sunculture.com
charles@sunculture.com</t>
  </si>
  <si>
    <t>http://linkedin.com/in/samiribrahim
http://linkedin.com/in/charlesdnichols</t>
  </si>
  <si>
    <t>http://www.sunculture.com</t>
  </si>
  <si>
    <t>http://linkedin.com/company/9236518</t>
  </si>
  <si>
    <t>http://twitter.com/sunculturekenya</t>
  </si>
  <si>
    <t>http://sunculture.com/page/2?afdt=zu0vi8gvzickewiu25nlwiycahuo5cckhbs5t0sqahgdiaa&amp;search</t>
  </si>
  <si>
    <t>https://tracxn.com/companies/RurK4MBH5168_X8nnkQErvr0CbVKQAE5J2abhLFMjvo/sunculture.com</t>
  </si>
  <si>
    <t>Enterprise
Tech
Social Impact
Tech Hardware</t>
  </si>
  <si>
    <t>Consumer
Marketplace
SaaS
Artificial Intelligence
Software</t>
  </si>
  <si>
    <t>$612K</t>
  </si>
  <si>
    <t>Crop Tech &gt; Farm Management Software &gt; Weather Forecasting</t>
  </si>
  <si>
    <t>UPL
SIDBI Innovation &amp; Incubation Centre
SIDBI Venture Capital</t>
  </si>
  <si>
    <t>Jayant Chattarjee
Vijay Mahajan</t>
  </si>
  <si>
    <t>Weather Risk Management Services Pvt Ltd. provides weather based risk management solutions. This includes using data analytics and technology to predict climate changes/weather data forecast and provide subsequent insurance, loss adjustment, risk assessment, etc. The company is also into energy audits, smart irrigation systems and smart grid applications. The clients include corporates like Pepsico, Bayer, etc., farmers and insurance companies. It has its own retail network and weather data stations.</t>
  </si>
  <si>
    <t>support@weather-risk.com</t>
  </si>
  <si>
    <t>Anuj Kumbhat; Co-Founder &amp; CEO; +919987020616; anuj.kumbhat@weather-risk.com; http://linkedin.com/pub/anuj-kumbhat/0/667/509; INGEN Technologies, ex-Innovative Embedded Systems, Nature Fund, ICICI Lombard. Jai Narain Vyas University BCom 1997, ICAI CA 1998
Sonu Agrawal; Co-Founder &amp; MD; sonu.agrawal@weather-risk.com; https://linkedin.com/in/sonuagrawal; Ingen Technologies, ex-ICICI Lombard. IIT Kanpur MS 1998, IIM Calcutta MBA 2000</t>
  </si>
  <si>
    <t>anuj.kumbhat@weather-risk.com
anuj.kumbhat@weather-risk.com
sonu.agrawal@weather-risk.com</t>
  </si>
  <si>
    <t>http://linkedin.com/pub/anuj-kumbhat/0/667/509
https://linkedin.com/in/sonuagrawal</t>
  </si>
  <si>
    <t>http://www.linkedin.com/vsearch/p?f_CC=2101713</t>
  </si>
  <si>
    <t>Anuj Kumbhat
Sonu Agrawal</t>
  </si>
  <si>
    <t>https://www.weather-risk.com</t>
  </si>
  <si>
    <t>http://linkedin.com/company/weather-risk</t>
  </si>
  <si>
    <t>https://twitter.com/wrmsltd</t>
  </si>
  <si>
    <t>http://facebook.com/wrlpage</t>
  </si>
  <si>
    <t>https://tracxn.com/companies/Rb65qShUX_JWSeodaf2z02IRoGSZK2jurXKpy7rPpho/weather-risk.com</t>
  </si>
  <si>
    <t>Lavras</t>
  </si>
  <si>
    <t>$317K</t>
  </si>
  <si>
    <t>Crop Tech &gt; Farm Analytics &gt; Satellite Image Based</t>
  </si>
  <si>
    <t>Tbit provides a image analysis system for phenotyping and content analysis of seedlings and seeds under the brand name "GroundEye". The product portfolio has 3 products: GroundEye L Series that uses seedling measurement for checking seed vigor and the company claims that L series is capable of analyzing 200 seedlings per minute; GroundEye S series has an integrated image capturing module, seed placement tray, and a software platform that characterizes 300 data points for each seed and the system can be used for purity analysis, batch differentiations, identification of defects, spotting identifications, calculation of germination &amp;amp; vigor, evaluation of seed treatment coverage etc; GroundEye SC series performs coverage analysis in seed treatment process.</t>
  </si>
  <si>
    <t>contato@tbit.com.br</t>
  </si>
  <si>
    <t>Joel Yutaka Sugano; Co-Founder; joel@tbit.com.br; http://linkedin.com/in/joel-yutaka-sugano-bb3a9515; Federal University of Lavras.    Wageningen University 2011
Igor Chalfoun; CEO; http://linkedin.com/in/ichalfoun; ex-Devex Mining, FAEPE, EPAMIG. University of Sao Paulo MBA</t>
  </si>
  <si>
    <t>joel@tbit.com.br</t>
  </si>
  <si>
    <t>http://linkedin.com/in/joel-yutaka-sugano-bb3a9515
http://linkedin.com/in/ichalfoun</t>
  </si>
  <si>
    <t>http://www.linkedin.com/vsearch/p?f_CC=430100</t>
  </si>
  <si>
    <t>https://www.tbit.com.br</t>
  </si>
  <si>
    <t>http://linkedin.com/company/tbit</t>
  </si>
  <si>
    <t>http://twitter.com/tbitsistemas</t>
  </si>
  <si>
    <t>http://facebook.com/tbitsistemas</t>
  </si>
  <si>
    <t>https://tracxn.com/companies/0TLjvrfHsE3tMwNXJNYCDfwNI0PRpIp6Egcf1Qr1ZLI/tbit.com.br</t>
  </si>
  <si>
    <t>Caspian
Villgro
InsuResilience Investment Fund
Omnivore Partners
Daily Mail &amp; General Trust</t>
  </si>
  <si>
    <t>Skymet is India's largest weather monitoring and Agri-risk solutions company. It's an expert in measuring, predicting and limiting climate risk to agriculture. Skymet provides an array of crop insurance services ranging from brokering agricultural insurance to a gamut of data and information services to support crop insurance. Skymet records and shares live weather observation from its automatic weather stations around the services to support crop insurance. It also offers crop insurers a unique knowledge tool to see and download historical weather information and calculate risk for specific areas. Skymet was earlier incubated by Villgro which helped it raise seed funding.</t>
  </si>
  <si>
    <t>+91-9899240429</t>
  </si>
  <si>
    <t>Jatin Singh; Founder &amp; Managing Director; jatin.singh@gramcover.com; https://linkedin.com/in/jatin-singh-83846216; Founder GramCover. Boston University 2001
Yogesh Patil; CEO; yogesh.patil@skymetweather.com; https://linkedin.com/in/yogeshaarya; Ex-NCMSL. Padmashree Dr D. Y. Patil Vidyapeeth BE 2002</t>
  </si>
  <si>
    <t>jatin.singh@gramcover.com
jatin.singh@skymetweather.com
yogesh.patil@skymetweather.com</t>
  </si>
  <si>
    <t>https://linkedin.com/in/jatin-singh-83846216
https://linkedin.com/in/yogeshaarya</t>
  </si>
  <si>
    <t>http://www.linkedin.com/vsearch/p?f_CC=2544428</t>
  </si>
  <si>
    <t>https://www.skymetweather.com</t>
  </si>
  <si>
    <t>http://linkedin.com/company/skymet-weather-services</t>
  </si>
  <si>
    <t>http://twitter.com/skymetweather</t>
  </si>
  <si>
    <t>http://facebook.com/pages/skymet-weather/472246906123174</t>
  </si>
  <si>
    <t>https://tracxn.com/companies/_TKaG51AHmWAYFPoYvuF9xN4Y499WLghf6JZwmBmhTw/skymetweather.com</t>
  </si>
  <si>
    <t>3D Printing
Crop Tech</t>
  </si>
  <si>
    <t>3D Printing &gt; Applications &gt; Agriculture &gt; Farming Equipment
Crop Tech &gt; Farming as a Service &gt; Tech Enabled Services</t>
  </si>
  <si>
    <t>Nordic Microfinance Initiative
Omidyar Network
Proparco
Jasmine Social Investments
Finnfund
Grameen Crédit Agricole Foundation
BIO-Invest</t>
  </si>
  <si>
    <t>Proximity Designs is a provider of 3D printing for agriculture. It is used to design parts for a sprinkler system and the internal mechanics for a solar pump. It has partnered with Alterfin, Autodesk, Chandler, DFID, FMO, Mulago, Symbiotics, and Yoma Bank.</t>
  </si>
  <si>
    <t>media@proximitydesigns.org</t>
  </si>
  <si>
    <t>+95-9964555270</t>
  </si>
  <si>
    <t>Debbie Aung Din; Co Founder; http://linkedin.com/in/debbie-aung-din-35587031; ex-International Development Enterprises Myanmar. Middlebury College BA, Harvard University Kennedy School of Government MPA.
Jim Taylor; Co Founder and CEO; jtaylor@proximitydesigns.org; http://linkedin.com/in/jim-taylor-1a0b6722; ex-MD IDE, FoodLink Holdings, Roll International, Tetratech Consulting Services. University of Washington BA, University of Southern California - Marshall School of Business MBA 1998, Harvard Kennedy School MPA 1990.</t>
  </si>
  <si>
    <t>jtaylor@proximitydesigns.org</t>
  </si>
  <si>
    <t>http://linkedin.com/in/debbie-aung-din-35587031
http://linkedin.com/in/jim-taylor-1a0b6722</t>
  </si>
  <si>
    <t>http://www.linkedin.com/vsearch/p?f_CC=1762087</t>
  </si>
  <si>
    <t>https://proximitydesigns.org/</t>
  </si>
  <si>
    <t>http://linkedin.com/company/proximity-designs</t>
  </si>
  <si>
    <t>http://twitter.com/proximitydesign</t>
  </si>
  <si>
    <t>https://www.facebook.com/proximitydesigns/</t>
  </si>
  <si>
    <t>https://tracxn.com/companies/1FDSk2Yjp-MWIpbOj7-PtefZm3oAsmIaR3SxzQmdAFI/proximitydesigns.org</t>
  </si>
  <si>
    <t>Consumer
Enterprise
Tech
Tech Hardware</t>
  </si>
  <si>
    <t>Marketplace
SaaS
Artificial Intelligence
Social Impact
Software
Blockchain</t>
  </si>
  <si>
    <t>$24M</t>
  </si>
  <si>
    <t>Thomas H Lee Partners
Syngenta Ventures
Mitsui &amp; Co
THRIVE
Yellow Brick Group
XT Hi-Tech
Tencent</t>
  </si>
  <si>
    <t>Phytechs patented technology, based on plant sensors enables user to receive and share a constant, real time stream of data, to monitor crops and develop insights into plant conditions. Data received is analyzed at Phytech servers and actionable insight is delivered to grower.</t>
  </si>
  <si>
    <t>info@phytech.com</t>
  </si>
  <si>
    <t>Sarig Duek; CEO; sarigd@phytech.com; http://linkedin.com/in/sarig-duek-28713b55</t>
  </si>
  <si>
    <t>sarigd@phytech.com</t>
  </si>
  <si>
    <t>http://linkedin.com/in/sarig-duek-28713b55</t>
  </si>
  <si>
    <t>http://www.linkedin.com/vsearch/p?f_CC=476356</t>
  </si>
  <si>
    <t>https://www.phytech.com</t>
  </si>
  <si>
    <t>http://linkedin.com/company/phytech-ltd</t>
  </si>
  <si>
    <t>https://twitter.com/phytechusa</t>
  </si>
  <si>
    <t>https://tracxn.com/companies/1y2f0dhN_GOrFU5u_j9uO_I3YAxc0bw35OPZfpEUml0/phytech.com</t>
  </si>
  <si>
    <t>$493K</t>
  </si>
  <si>
    <t>Crop Tech &gt; ECommerce &gt; Farm Inputs &gt; Multi Category &gt; Retailer &gt; Garden Supplies</t>
  </si>
  <si>
    <t>NurseryLive is an online seller of plants and all garden related products. It also sells seeds and bulbs, pots, pebbles, and fertilizers. It also sells accessories such as bird house and sticks. It claims to deliver all over India.</t>
  </si>
  <si>
    <t>care@nurserylive.com</t>
  </si>
  <si>
    <t>+91-7410037722</t>
  </si>
  <si>
    <t>Nidhi Singh; Co-Founder &amp; COO; nidhi@nurserylive.com; https://linkedin.com/in/nidhi-singh-a0807740; Ex-Tata Consultancy Services. Banasthali Vidyapith MCA
Nandu Singh; Co-Founder &amp; CEO; nandu@nurserylive.com; http://linkedin.com/in/nandu-singh-38785022; ex-Amdocs, Infosys.  ed- MBA from Symbiosis Institute of Business Management 2015, Army Institute of Technology.
Satender Kumar; Co-Founder &amp; Director; satender@nurserylive.com; https://linkedin.com/in/satender-kumar-5637b022; Ex-Goldman Sachs, SunGard. Army institute of technology BE 2005</t>
  </si>
  <si>
    <t>nidhi@nurserylive.com
nandu@nurserylive.com
nandu.singh@nurserylive.com
satender@nurserylive.com
satender@nurserylive.in</t>
  </si>
  <si>
    <t>https://linkedin.com/in/nidhi-singh-a0807740
http://linkedin.com/in/nandu-singh-38785022
https://linkedin.com/in/satender-kumar-5637b022</t>
  </si>
  <si>
    <t>http://www.linkedin.com/vsearch/p?f_CC=9458287</t>
  </si>
  <si>
    <t>https://nurserylive.com/</t>
  </si>
  <si>
    <t>http://linkedin.com/company/nurserylive</t>
  </si>
  <si>
    <t>http://twitter.com/nurserylive</t>
  </si>
  <si>
    <t>http://facebook.com/nurserylive</t>
  </si>
  <si>
    <t>https://tracxn.com/companies/cDSGSZO2A-49qQVvGIWs3oduVA4a58AhkynM3bjAqGg/nurserylive.com</t>
  </si>
  <si>
    <t>Tene Investment Funds
Permira
calrecycle.ca.gov</t>
  </si>
  <si>
    <t>Netafim is a manufacturer of drip liners and other components for drip irrigation systems. It has also diversified into smart irrigation devices (for monitoring and remote controlling of irrigation valves) and IoT based digital platform for crop management. Claims around 30% share in the global drip irrigation market. As of Sep 2015, the company has 28 subsidiaries and 16 manufacturing plants worldwide.</t>
  </si>
  <si>
    <t>Ran Maidan; CEO &amp; President</t>
  </si>
  <si>
    <t>http://www.linkedin.com/vsearch/p?f_CC=20582</t>
  </si>
  <si>
    <t>mexichem.com</t>
  </si>
  <si>
    <t>https://www.netafim.com/en/</t>
  </si>
  <si>
    <t>http://linkedin.com/company/netafim</t>
  </si>
  <si>
    <t>https://twitter.com/netafimcorp</t>
  </si>
  <si>
    <t>http://facebook.com/netafim</t>
  </si>
  <si>
    <t>http://blog.netafim.com</t>
  </si>
  <si>
    <t>https://tracxn.com/companies/PUxPXKncDQhl-uXBPtKmK60LkW7mUychAPw4TK_6cfY/netafim.com</t>
  </si>
  <si>
    <t>Retail
Retail
Food Tech
Agriculture</t>
  </si>
  <si>
    <t>In Store Retail Tech
B2B E-Commerce
Online Grocery
Crop Tech</t>
  </si>
  <si>
    <t>In Store Retail Tech &gt; Informal Distribution &gt; Marketplace
B2B E-Commerce &gt; Food &amp; Beverages &gt; Groceries &gt; Processed Products &gt; Marketplace
Online Grocery &gt; B2B Ecommerce &gt; Packaged Food Products &gt; Marketplace
Crop Tech &gt; ECommerce &gt; Farm Produce &gt; B2B &gt; Fruits and Vegetables &gt; Marketplace</t>
  </si>
  <si>
    <t>Arkam Ventures
Siddhi Capital
Hedgewood
Schindler AM Ventures
Unitary Helion
Barrel Ventures
Nexus Venture Partners
Capria
Kalaari Capital
Heron Rock
Proton Enterprises</t>
  </si>
  <si>
    <t>Cristina Berta Jones
William Jarvis
William R Jarvis</t>
  </si>
  <si>
    <t>Jumbotail is an online platform for wholesale buyers/retailers to procure their groceries, fruits, and vegetables from producers/manufacturers. It offers its own tech-driven supply chain and logistics to provide warehousing and fulfilment solutions to the sellers and storefront delivery to the customers. It also provides payment solutions to customers and sellers via our fintech platform.</t>
  </si>
  <si>
    <t>mission@jumbotail.com</t>
  </si>
  <si>
    <t>Karthik Venkateswaran; Co-Founder &amp; CEO; karthik@jumbotail.com; https://linkedin.com/in/karthikvenkateswaran; Founder Chindits Foundation, ex-Flipkart, eBay. National Defence Academy BSc 1997, SGSB Stanford 2011
Ashish Jhina; Co-Founder &amp; COO; ashish.jhina@gmail.com; http://linkedin.com/in/ashishjhina; ex-Co-Founder NextDrop, Rainbow Apple Orchards, Mountain Hazelnuts. IIT Delhi 2005, SGSB Stanford 2011 MBA 2011</t>
  </si>
  <si>
    <t>karthik@jumbotail.com
ashish.jhina@gmail.com
ashish@jumbotail.com</t>
  </si>
  <si>
    <t>https://linkedin.com/in/karthikvenkateswaran
http://linkedin.com/in/ashishjhina</t>
  </si>
  <si>
    <t>http://www.linkedin.com/vsearch/p?f_CC=813400</t>
  </si>
  <si>
    <t>Ashish Jhina
Karthik Venkateswaran</t>
  </si>
  <si>
    <t>https://jumbotail.com/</t>
  </si>
  <si>
    <t>https://linkedin.com/company/jumbotail</t>
  </si>
  <si>
    <t>https://tracxn.com/companies/HaDSQtDS3vcZNjUxP7MoVfSFpz8WRcjrx38w9AcUnvE/jumbotail.com</t>
  </si>
  <si>
    <t>Fresno
Yokneam Illit</t>
  </si>
  <si>
    <t>California
Haifa</t>
  </si>
  <si>
    <t>Germin8 Ventures
THRIVE
AgFunder
Hacker Unit
Zeev Ventures
Cavallo Ventures
Terra Venture Partners
Mindset Ventures
Gal Ventures</t>
  </si>
  <si>
    <t>Fieldin is a solution provider to increase efficiency &amp; reduce losses in the harvesting of farm production. The company provides harvesting &amp; spraying solution for products including almonds, walnuts, grapes &amp; pistachios, etc.   Provides sensor installation, regular software updates, training programs &amp; custom reports for users to monitor &amp; manage the smart farming.</t>
  </si>
  <si>
    <t>info@fieldintech.com</t>
  </si>
  <si>
    <t>+1-5592461525</t>
  </si>
  <si>
    <t>Boaz Bachar; CEO; boaz@fieldin.com; https://linkedin.com/in/boazbachar; ex-Founder Kochavit Drink. Interdisciplinary Center 2011, IDC Herzliya</t>
  </si>
  <si>
    <t>boaz@fieldin.com</t>
  </si>
  <si>
    <t>https://linkedin.com/in/boazbachar</t>
  </si>
  <si>
    <t>http://www.linkedin.com/vsearch/p?f_CC=3008630</t>
  </si>
  <si>
    <t>https://www.fieldin.com</t>
  </si>
  <si>
    <t>https://linkedin.com/company/fieldin-powered-by-agromentum-ltd-/about</t>
  </si>
  <si>
    <t>https://twitter.com/fieldintech</t>
  </si>
  <si>
    <t>https://facebook.com/fieldintech</t>
  </si>
  <si>
    <t>http://fieldin.com/blog</t>
  </si>
  <si>
    <t>https://tracxn.com/companies/EpY-IVrGAvwiWO9ofZjRSGeS2CrRNKpV1IUo4Mlqsu4/fieldin.com</t>
  </si>
  <si>
    <t>Renewable Energy Tech &gt; Solar Energy &gt; Applications &gt; Agriculture and Food &gt; Smart Water Pumps &gt; Controllers
Crop Tech &gt; Farm Equipment &gt; Smart Solar Water Pumps &gt; Controllers</t>
  </si>
  <si>
    <t>Omnivore Partners
Unreasonable
Caspian
Hivos
Caspian Equity
Villgro</t>
  </si>
  <si>
    <t>Maneesh Bhandari</t>
  </si>
  <si>
    <t>Ecozen Solutions manufactures and supplies solar-powered irrigation solutions such as solar-powered pumps and pump hubs. Its flagship product Ecotron, a solar-powered pump controller equipped with a web-based analytics platform that enables to live-track frequency, power consumption, motor current, PV voltage, MPPT performance etc. and provide performance reports. It also offers Ecofrost, a portable solar micro cold storage device for farmers to store fresh fruits, vegetables, flowers and other perishable commodities. The product is manufactured by Ecofrost Technologies, a subsidiary of Ecozen.</t>
  </si>
  <si>
    <t>contact@ecozensolutions.com</t>
  </si>
  <si>
    <t>+91-18001217515</t>
  </si>
  <si>
    <t>Prateek Singhal; Co-Founder &amp; COO; psinghal@ecozensolutions.com; http://linkedin.com/in/prateek-singhal-04a5b834; IITK 2011
Vivek Pandey; Co-Founder &amp; CTO; vivek@ecozensolutions.com; http://linkedin.com/in/vivpandey; Ex-Nova Global, Spirit Continues. IITK BTech &amp; MTech 2012
Devendra Gupta; Co-Founder &amp; CEO; devendragupta@ecozensolutions.com; http://linkedin.com/in/devendragupta001; Ex-GreenHat Ventures, Tata Steel. IITK BTech 2010</t>
  </si>
  <si>
    <t>psinghal@ecozensolutions.com
vivek@ecozensolutions.com
devendragupta@ecozensolutions.com
devendragupta001@gmail.com</t>
  </si>
  <si>
    <t>http://linkedin.com/in/prateek-singhal-04a5b834
http://linkedin.com/in/vivpandey
http://linkedin.com/in/devendragupta001</t>
  </si>
  <si>
    <t>http://www.linkedin.com/vsearch/p?f_CC=623144</t>
  </si>
  <si>
    <t>Devendra Gupta
Prateek Singhal
Sumeet Gattewar</t>
  </si>
  <si>
    <t>https://www.ecozensolutions.com</t>
  </si>
  <si>
    <t>http://linkedin.com/company/ecozen-solutions</t>
  </si>
  <si>
    <t>http://twitter.com/ecozensolutions</t>
  </si>
  <si>
    <t>http://facebook.com/ecozensolutions</t>
  </si>
  <si>
    <t>https://tracxn.com/companies/zmUxWIKyT4z6iSJP8bEHfaD9G5vAnXsk4rASCwcNs3I/ecozensolutions.com</t>
  </si>
  <si>
    <t>Consumer
Marketplace
SaaS
Social Impact
Artificial Intelligence
Software
Blockchain</t>
  </si>
  <si>
    <t>Florianopolis</t>
  </si>
  <si>
    <t>Agriness develops and offers a swine farm management system. It offers Agriness S2 of different versions with various specifications. S2 commercial enables the user to manage the swine farm operations by providing performance reports. S2 Multiplier provides an additional feature that enables the user to manage the selection of pigs based on its genetic characteristics. S2 CIA is targeted for enhanced male production and S2 Room Room for female production management. S2 Partnership enables the partnered firms for an integrated swine management. S2 Animal Food Factory enables the user for an efficient feed mill management.</t>
  </si>
  <si>
    <t>atendimento@agriness.com</t>
  </si>
  <si>
    <t>+55-4830280015</t>
  </si>
  <si>
    <t>Everton Gubert; Founder &amp; CEO; everton@agriness.com; http://linkedin.com/in/everton-gubert-b4050233; ex-ACATE - Catarinense Association of Technology Companies, ACIF Commercial and Industrial Association of Florianopolis. UFSC 1999</t>
  </si>
  <si>
    <t>everton@agriness.com</t>
  </si>
  <si>
    <t>http://linkedin.com/in/everton-gubert-b4050233</t>
  </si>
  <si>
    <t>http://www.linkedin.com/vsearch/p?f_CC=2479605</t>
  </si>
  <si>
    <t>https://www.agriness.com/en/</t>
  </si>
  <si>
    <t>http://linkedin.com/company/agriness</t>
  </si>
  <si>
    <t>http://twitter.com/agriness</t>
  </si>
  <si>
    <t>http://facebook.com/agriness</t>
  </si>
  <si>
    <t>http://agriness.com/pt/blog</t>
  </si>
  <si>
    <t>https://tracxn.com/companies/ar9KF4yo9CGLsX3hbdV8cEnSMXJ6Y8_aYS2Q4fg1Gzo/agriness.com</t>
  </si>
  <si>
    <t>$69K</t>
  </si>
  <si>
    <t>John Thomas Clinton
Dharmendra Singh
Rajiv Singh
Prabhakar Mishra
Ashwin Kelkar
Santosh Raghu shetty
Aruna URS
Sarwesh Saurabh
Anumolu Sridhar Babu
Rajiv Motwani
Tapas Ray
Akshay Ranjan Chaurasia
Saurabh Chandra
Sakshi Singh</t>
  </si>
  <si>
    <t>Yuktix provides solutions to view and control remote devices deployed over a large area through its sensors and devices. Yuktix cloud aids to collect and analyze data from a large number of devices deployed in field. Its product, data logger is an electronic device that records data over time with inbuilt sensors or via external instruments which can be stored on a secure digital card or sent immediately over the network to a central server. It can send commands to remote devices via SMS, Ethernet, WiFi or GPRS. The commands are delivered as a bencode dictionary making it user friendly to add new commands. Its remote monitoring finds applications in vendor inventory management, food quality monitoring, agricultural management and industrial equipment monitoring.</t>
  </si>
  <si>
    <t>Rajeev Jha; Founder; +918884315300; rjha94@gmail.com; http://linkedin.com/in/rjha94; ex-Favsales, Citrix Systems, AOL. IIT Kanpur.</t>
  </si>
  <si>
    <t>rjha94@gmail.com</t>
  </si>
  <si>
    <t>http://linkedin.com/in/rjha94</t>
  </si>
  <si>
    <t>Rajeev Jha</t>
  </si>
  <si>
    <t>https://www.yuktix.com</t>
  </si>
  <si>
    <t>http://linkedin.com/company/yuktiz-technologies-pvt-ltd</t>
  </si>
  <si>
    <t>http://twitter.com/yuktix</t>
  </si>
  <si>
    <t>http://facebook.com/yuktix</t>
  </si>
  <si>
    <t>https://tracxn.com/companies/WWFnrSYFDDTvCuTresv-jNutXxvk86bwXiIbY5NEDLA/yuktix.com</t>
  </si>
  <si>
    <t>Vijayawada</t>
  </si>
  <si>
    <t>IoT Applications &gt; Industry Specific &gt; Agriculture &gt; Aquaculture
Aquaculture Tech &gt; Farm Monitoring &gt; Diversified</t>
  </si>
  <si>
    <t>Omnivore Partners
Future Food Asia
Nutreco</t>
  </si>
  <si>
    <t>Eruvaka Technologies provides IoT-based on-farm diagnostic equipment for aquaculture farmers. Offerings include integrated sensors, mobile connectivity and decision tools for affordable aquaculture monitoring and automation. Its product, Floating Buoy measures in real time the water parameters that are crucial for shrimp growth and survival and uploaded onto the cloud. Provides real-time alerts for quality drops, aerator control for energy efficiency and cloud based analytics to adjust feed based on water quality data are few of the offerings.</t>
  </si>
  <si>
    <t>Sreeram Raavi; Founder &amp; MD &amp; CEO; sreeram@eruvaka.com; http://linkedin.com/pub/sreeram-raavi/2/908/799; ex-Transwitch (Centillium)</t>
  </si>
  <si>
    <t>sreeram@eruvaka.com
sreeramraavi@gmail.com
sreeram.raavi@eruvaka.com</t>
  </si>
  <si>
    <t>http://linkedin.com/pub/sreeram-raavi/2/908/799</t>
  </si>
  <si>
    <t>http://www.linkedin.com/vsearch/p?f_CC=3519620</t>
  </si>
  <si>
    <t>Sreeram Raavi</t>
  </si>
  <si>
    <t>https://www.eruvaka.com</t>
  </si>
  <si>
    <t>http://linkedin.com/company/eruvaka-technologies</t>
  </si>
  <si>
    <t>http://twitter.com/eruvakatech</t>
  </si>
  <si>
    <t>http://facebook.com/eruvakatechnologies</t>
  </si>
  <si>
    <t>https://tracxn.com/companies/_I-wLf1p8oMLMy7SO1r2bKi29Vs3G5N0p77ZCB6pV3E/eruvaka.com</t>
  </si>
  <si>
    <t>Consumer
Marketplace
Social Impact
Artificial Intelligence
Blockchain</t>
  </si>
  <si>
    <t>$42K</t>
  </si>
  <si>
    <t>Agriculture
Chemicals and Materials
Accelerator Batches</t>
  </si>
  <si>
    <t>Crop Tech
Chemicals Tech
CIIE Batches</t>
  </si>
  <si>
    <t>Crop Tech &gt; Farm Inputs &gt; Biologicals &gt; Crop Protection &gt; Pheromones
Chemicals Tech &gt; Green Chemicals &gt; Crop Protection &gt; Pheromones
CIIE Batches &gt; 2013</t>
  </si>
  <si>
    <t>Omnivore Partners
CIIE
Retigence</t>
  </si>
  <si>
    <t>Barrix Agro Sciences Pvt. Ltd. develops species specific, Pheromone and Visually alluring based pest management products which adhere to IPM (Integrated Pest Management) Non-Pesticide protocols. It markets its indigenous pheromone based traps under the brand name Barrix Catch, which are essentially fruit fly traps.</t>
  </si>
  <si>
    <t>customercare@barrix.in</t>
  </si>
  <si>
    <t>+91-8060120222</t>
  </si>
  <si>
    <t>Mayil Vaganan Dorai; Co-Founder
Manasa Swetha Lokesh Makam; Co-Founder
Lokesh Makam; Co-Founder &amp; CEO; +919945087008; makamlokesh@gmail.com; http://linkedin.com/in/lokeshmakam; ex-Hovid Life Science, Biovel Life sciences, Dabur Pharma, The Himalaya Drug Company. Oxford College B.Pharma 1999, &amp; MBA 2007</t>
  </si>
  <si>
    <t>makamlokesh@gmail.com
makam.lokesh@gmail.com</t>
  </si>
  <si>
    <t>http://linkedin.com/in/lokeshmakam</t>
  </si>
  <si>
    <t>http://www.linkedin.com/vsearch/p?f_CC=3842792</t>
  </si>
  <si>
    <t>Lokesh Makam</t>
  </si>
  <si>
    <t>http://www.barrix.in</t>
  </si>
  <si>
    <t>http://linkedin.com/company/barrix-agro-sciences-pvt-ltd-</t>
  </si>
  <si>
    <t>http://twitter.com/barrixagrosci</t>
  </si>
  <si>
    <t>http://facebook.com/barrixagrosciences</t>
  </si>
  <si>
    <t>https://tracxn.com/companies/zgmJ8W_8Q0opRAhO4WvMcMFUiMYkcEotP0y0ugTN2t4/barrix.in</t>
  </si>
  <si>
    <t>Consumer
Marketplace
SaaS
Tech
Software
Tech Hardware
Social Impact
Artificial Intelligence</t>
  </si>
  <si>
    <t>IoT Applications &gt; Industry Specific &gt; Agriculture &gt; Livestock
Livestock Tech &gt; Livestock Management Software &gt; Cattle</t>
  </si>
  <si>
    <t>Venture Highway
IndusAge Partners
Arun Seed
IITM Incubation Cell
THRIVE
Omnivore Partners
RTBI
Qualcomm Ventures
WRVI
Blume Ventures
Bill &amp; Melinda Gates Foundation
500 Startups
Beenext
Le Village by CA
Stride Ventures
ABB</t>
  </si>
  <si>
    <t>Raghavendra Joshi
Harish Ananthamurthy
Sheba Domnica Rasquinha
Binny Bansal
Lakshmanan Perichiappan
Gangadharaiah C P
Raghavendra Chary
Srinivas Rao Palakodeti
Srishanthi Gurunathan
Ambica Seshasayee
Amit Pandey
Rekha Mangalpally
Ramakrishnan P R
Lavanya Subramanian
Ajay Nambi</t>
  </si>
  <si>
    <t>Stellapps Technologies provides end to end farm optimization and monitoring solutions for farmers. For this technology used in IoT, mobility, and data analytics in order to improve Agri- supply chain parameters including milk production, milk procurement, cold chain, animal insurance, and farmer payments. They provide platform SmartMoo, which gathers data via sensors that are embedded in milking systems, animal wearable, milk chilling equipment, and provides management of cattle, organization of dairy farms, and for logistics management.</t>
  </si>
  <si>
    <t>info@stellapps.com</t>
  </si>
  <si>
    <t>+91-8022230084</t>
  </si>
  <si>
    <t>Ravishankar Shiroor; Co-Founder; ravi.shiroor@stellapps.com; http://linkedin.com/in/shiroor; Ex-Wipro, Sasken, Aplion Networks. University of Mysore BE 1993, IIT Madras MTech 1996
Ramakrishna Adukuri; Co-Founder; ramakrishna.adukuri@stellapps.com; http://linkedin.com/in/ramakrishna-adukuri-6a21a010; Ex-Wipro. IIT Kharagpur
Venkatesh Seshasayee; Co-Founder; venkatesh.seshasayee@stellapps.com; http://linkedin.com/in/venkatesh-seshasayee-052ba22; Ex-Wipro. University Visvesvaraya College of Engineering BE 1998
Praveen Nale; Co-Founder &amp; CTO; praveen.nale@stellapps.com
Ranjith Mukundan; Co-Founder &amp; CEO; ranjith.mukundan@stellapps.com; http://linkedin.com/in/ranjithmukundan; Ex-Wipro. BIT BE 1996, Illinois Institute of Technology 2001</t>
  </si>
  <si>
    <t>ravi.shiroor@stellapps.com
ramakrishna.adukuri@stellapps.com
venkatesh.seshasayee@stellapps.com
praveen.nale@stellapps.com
ranjith.mukundan@stellapps.com</t>
  </si>
  <si>
    <t>http://linkedin.com/in/shiroor
http://linkedin.com/in/ramakrishna-adukuri-6a21a010
http://linkedin.com/in/venkatesh-seshasayee-052ba22
http://linkedin.com/in/ranjithmukundan</t>
  </si>
  <si>
    <t>http://www.linkedin.com/vsearch/p?f_CC=2346675</t>
  </si>
  <si>
    <t>Ramakrishna Adukuri
Ranjith Mukundan
Ravishankar Shiroor
Venkatesh Seshasayee
Praveen Nale</t>
  </si>
  <si>
    <t>https://www.stellapps.com</t>
  </si>
  <si>
    <t>https://linkedin.com/company/stellapps-technologies-private-limited/about</t>
  </si>
  <si>
    <t>https://twitter.com/stellapps</t>
  </si>
  <si>
    <t>https://facebook.com/stellapps</t>
  </si>
  <si>
    <t>http://stellapps.com/blogs</t>
  </si>
  <si>
    <t>https://tracxn.com/companies/pmev_q6l96CRUePU67YJMgdn07cP1edKnSHkkpuYI_A/stellapps.com</t>
  </si>
  <si>
    <t>Unilazer Ventures
Samridhi Fund
Aspada Investments
Aavishkaar</t>
  </si>
  <si>
    <t>Ashish Gupta
Aaron Solomon
Ajit Bhanot
Achal Agarwal
Ashok Tawre
Sudhir Kamath
Pavan Vaish
Rahul Chowdhari</t>
  </si>
  <si>
    <t>INI Farms is a provider of farming services to horticulture industries. IT claims to offer services like technical guidance, access to inputs and markets, orchard management, contract farming, etc. It claims to offer its services to farmers, investors, growers, etc and claims to use Global Food Agricultural Practises.</t>
  </si>
  <si>
    <t>Pankaj Khandelwal; Co-Founder &amp; Chairman; pankaj.khandelwal@inifarms.com; http://linkedin.com/pub/pankaj-khandelwal/0/601/3a8; Ex-Desai Fruits and Vegetables,  Mckinsey, VeriFone India. IIM 2000
Purnima Khandelwal; Co-Founder &amp; CEO; purnima.khandelwal@inifarms.com; http://linkedin.com/pub/purnima-khandelwal/26/385/50; Ex-Rawatsons Engineers. St. Xavier's College 1995, TAPMI 1998</t>
  </si>
  <si>
    <t>pankaj.khandelwal@inifarms.com
purnima.khandelwal@inifarms.com</t>
  </si>
  <si>
    <t>http://linkedin.com/pub/pankaj-khandelwal/0/601/3a8
http://linkedin.com/pub/purnima-khandelwal/26/385/50</t>
  </si>
  <si>
    <t>http://www.linkedin.com/vsearch/p?f_CC=2212947</t>
  </si>
  <si>
    <t>Pankaj Khandelwal
Purnima Khandelwal</t>
  </si>
  <si>
    <t>http://www.inifarms.com</t>
  </si>
  <si>
    <t>https://linkedin.com/company/ini-farms/about</t>
  </si>
  <si>
    <t>http://facebook.com/pages/ini-farms-pvt-ltd/621133451299367</t>
  </si>
  <si>
    <t>https://tracxn.com/companies/tzkO54-o1cA2N7BT_94Iqji396ZYoW_m6-wTHbhTfVc/inifarms.com</t>
  </si>
  <si>
    <t>Coimbatore</t>
  </si>
  <si>
    <t>$575K</t>
  </si>
  <si>
    <t>CIIC</t>
  </si>
  <si>
    <t>Ramayee Chinnakaruppan
K Rajarathirnam
Shankara Arumugam Kulandaival
Maddulety V
MM Elango</t>
  </si>
  <si>
    <t>Farmgain develops and offers AI-powered precision agriculture solutions. It offers Groton, an IoT and AI-powered irrigation, fertigation, and climate data management solution. It offers IoT-powered sensors namely CropSense, WaterSense, NutriSense, and ClimateSense that collects farm data and enables users to remotely manage their farm activities. Also, provides an online marketplace for farm inputs and farm produce. Additionally, provides agronomy consulting services.</t>
  </si>
  <si>
    <t>+91-18001204143</t>
  </si>
  <si>
    <t>Benjamin Raja; Founder &amp; Managing Director; ben@farmagain.in; https://linkedin.com/in/benjaminraja; BNI, ex-Talisma, Honeywell, Trigent. University of Madras BSc, Manonmaniam Sundaranar University MSc
Edna Myrtle Rupavathi Benjamin; Co-Founder; edna@farmagain.in
Kamalies John Christopher; Co-Founder; kamalies@farmagain.in</t>
  </si>
  <si>
    <t>ben@farmagain.in
benjamin.raja@gmail.com
edna@farmagain.in
kamalies@farmagain.in</t>
  </si>
  <si>
    <t>https://linkedin.com/in/benjaminraja</t>
  </si>
  <si>
    <t>http://www.linkedin.com/vsearch/p?f_CC=3158610</t>
  </si>
  <si>
    <t>https://www.farmagain.in</t>
  </si>
  <si>
    <t>https://linkedin.com/company/farmagain/about</t>
  </si>
  <si>
    <t>https://twitter.com/farm_again</t>
  </si>
  <si>
    <t>https://facebook.com/farmagainindia</t>
  </si>
  <si>
    <t>https://tracxn.com/companies/Fw4W2PhqT6KEqQea5swEEeUnRvrwZtxTu2JOpuunm7s/farmagain.in</t>
  </si>
  <si>
    <t>Software
SaaS
Consumer
Marketplace
Social Impact</t>
  </si>
  <si>
    <t>B2B E-Commerce &gt; Food &amp; Beverages &gt; Groceries &gt; Farm Products &gt; Marketplace
Online Grocery &gt; B2B Ecommerce &gt; Farm Produce &gt; Multi-Category &gt; E-Distributor
Crop Tech &gt; ECommerce &gt; Farm Produce &gt; B2B &gt; Fruits and Vegetables &gt; E Distributor</t>
  </si>
  <si>
    <t>LivLush offers a B2B platform to procure fresh fruits and vegetables. It enables the farmers to sell their produce directly to businesses and thus creating a farm to the plate ecosystem that is economically viable for all the stakeholders from producer to consumer. It also has its own cold storage, warehouse, distribution centers and logistics units. It claims to be serving to restaurants and food factories in Bangalore region and is planning to expand to other parts of India also.</t>
  </si>
  <si>
    <t>Amol Patil; Co-Founder; amol.patil@kamatan.in; http://linkedin.com/in/link2amolpatil; Ex-Co-Founder LivLush &amp; RedCooker, TaxiForSure,Myntra Designs, Iron Mountain Information Management, Myzus. IIT Bombay BTech 1999
Rohan Patnaik; Co-Founder &amp; CEO; rohan_patnaik@yahoo.com; http://linkedin.com/in/rohan-patnaik; Co-Founder LivLush ,RedCooker, redBus, CEO  IVFA,IIT Bombay BTech 1999, IIM Lucknow MBA 2003
Rohan Patnaik; Co-Founder &amp; CEO; rohan.patnaik@livlush.in; http://linkedin.com/in/rohan-patnaik; Ex- redBus, Diageo, ColorPlus Fashions, Hindustan Unilever. IIM Lucknow MBA 2003
Raghunandan B; Co-Founder; http://linkedin.com/in/raghunandan-b-609183102; Co-Founder redcooker, ex- Co-Founder Linkwide logistics,  Founder Liquormart</t>
  </si>
  <si>
    <t>amol.patil@kamatan.in
rohan_patnaik@yahoo.com
rohan.patnaik@kamatan.in
rohan.patnaik@livlush.in</t>
  </si>
  <si>
    <t>http://linkedin.com/in/link2amolpatil
http://linkedin.com/in/rohan-patnaik
http://linkedin.com/in/rohan-patnaik
http://linkedin.com/in/raghunandan-b-609183102</t>
  </si>
  <si>
    <t>http://livlush.in</t>
  </si>
  <si>
    <t>http://linkedin.com/company/aggreen-tech-private-limited</t>
  </si>
  <si>
    <t>http://facebook.com/livlushindia</t>
  </si>
  <si>
    <t>https://tracxn.com/companies/zkeef4RHUdYXTUtFQ33RQFWSwYE8_DeT9BTAOj3E-pc/livlush.in</t>
  </si>
  <si>
    <t>$91K</t>
  </si>
  <si>
    <t>Crop Tech &gt; Farm Inputs &gt; Biologicals &gt; Crop Nutrition &gt; BioChar</t>
  </si>
  <si>
    <t>Wanda Organic is a manufacturer and distributor of bio-fertilizers. It offers Plantmate, an organic bio-fertilizer and Prime EC, a non-toxic plant fertilizer. The products are distributed across the East African region through its distribution network.</t>
  </si>
  <si>
    <t>+254-800721750</t>
  </si>
  <si>
    <t>Marion Atieno Moon; Founder &amp; Managing Director; http://linkedin.com/in/marion-atieno-moon-aaa83720; Ex- Aon Uganda, TBWA. Macquarie University 2006</t>
  </si>
  <si>
    <t>http://linkedin.com/in/marion-atieno-moon-aaa83720</t>
  </si>
  <si>
    <t>https://www.wandaorganic.org</t>
  </si>
  <si>
    <t>http://facebook.com/wandaorganic</t>
  </si>
  <si>
    <t>https://tracxn.com/companies/PP6dhcHut6B_sSDyPqn-WUdqr8b3YNxK1tGfNakVilw/wandaorganic.org</t>
  </si>
  <si>
    <t>B2B E-Commerce &gt; Agriculture &gt; Marketplace
Online Grocery &gt; B2B Ecommerce &gt; Farm Produce &gt; Multi-Category &gt; Marketplace
Crop Tech &gt; ECommerce &gt; Farm Produce &gt; B2B &gt; Fruits and Vegetables &gt; Marketplace
MassChallenge Batches &gt; Israel &gt; 2017</t>
  </si>
  <si>
    <t>Farmster (formerly FarmZee) is a digital marketplace primarily for the small-scale farms in the emerging markets. It enables farmers to post their produce for sale on the platform which is accessed by a wider range of buyers.  Buyers can also search online for produce according to location, harvest date, and quantity. As of August 2017, the company has pre-released the beta application in 2 countries.</t>
  </si>
  <si>
    <t>adam@farmster.co</t>
  </si>
  <si>
    <t>Adam Abramson; Founder &amp; CEO; adam@farmster.co; http://linkedin.com/in/dradamabramson; The Hebrew University, ex-UC, Innovation, Ben Gurion. Harvard College 2004</t>
  </si>
  <si>
    <t>adam@farmster.co
dradamabramson@gmail.com</t>
  </si>
  <si>
    <t>http://linkedin.com/in/dradamabramson</t>
  </si>
  <si>
    <t>https://www.farmster.co</t>
  </si>
  <si>
    <t>http://mx.linkedin.com/company/farmzee</t>
  </si>
  <si>
    <t>https://twitter.com/farmsterapp</t>
  </si>
  <si>
    <t>http://farmzee.com/blog</t>
  </si>
  <si>
    <t>https://tracxn.com/companies/sUMMS9NuT7XcfqHIK4nGzLb0rtOrdYe8AF82XjmfcUk/farmster.co</t>
  </si>
  <si>
    <t>Kuala Lumpur</t>
  </si>
  <si>
    <t>Crop Tech &gt; Autonomous Farming &gt; Growing Systems &gt; Aquaponics</t>
  </si>
  <si>
    <t>Qeerad
Mountain Partners Southeast Asia</t>
  </si>
  <si>
    <t>Poptani Asia is a company offering an online store for infrastructure for indoor farming. It offers products to help in setting up soil based gardens to soil-less gardens using technology such as hydroponics and aquaponics. The company offers products for small scale indoor farms to big urban setups.</t>
  </si>
  <si>
    <t>askpop@poptani.asia</t>
  </si>
  <si>
    <t>Aishah Sinclair; Co-Founder
Shahnaz Karim; Co-Founder; +600133637880; shahnaz@poptani.asia; http://linkedin.com/in/shahnaz-karim-4369b04; Founder The Ripple Effect, ex- BULB Communique. Universiti Tenaga Nasional BSc 2003
Yasmin Rasyid; Co-Founder; yasmin.rasyid@ecoknights.com; http://linkedin.com/in/yasminrasyid; Founder EcoKnights, ex- Malaysian Environmental NGOs, WWF-Malaysia. Duke University 1998, University of Malaya MSc 2003</t>
  </si>
  <si>
    <t>shahnaz@poptani.asia
yasmin.rasyid@ecoknights.com
yasmin@poptani.asia
yasminrasyid@gmail.com</t>
  </si>
  <si>
    <t>http://linkedin.com/in/shahnaz-karim-4369b04
http://linkedin.com/in/yasminrasyid</t>
  </si>
  <si>
    <t>https://www.poptani.asia</t>
  </si>
  <si>
    <t>http://facebook.com/poptaniasia</t>
  </si>
  <si>
    <t>https://tracxn.com/companies/xsjXzL4QQ2udvfKpnaaalabM04h72KWUKO7QmDxO-ck/poptani.asia</t>
  </si>
  <si>
    <t>Clinical Genomics
Genomics
Livestock Tech</t>
  </si>
  <si>
    <t>Clinical Genomics &gt; Sequencing Based &gt; Microbial Testing &gt; Infectious Diseases
Genomics &gt; Applied Genomics &gt; Clinical Genomics &gt; Diagnostics &gt; Sequencing-based &gt; Microbial Testing &gt; Infectious Diseases
Livestock Tech &gt; Health Management &gt; Diagnostics &gt; Diversified</t>
  </si>
  <si>
    <t>ActivaQ provides biotherapeutic solutions for the livestock and aquaculture industry. It offers ImmuneTrack, a technical platform to evaluate animal adaptive immunity and recommend required vaccines, diets, and supplements. It also offers ISAV viral load kit to detect viral RNA copies and IPNV diagnostic kit to detect the presence of other virulence strains in animals.</t>
  </si>
  <si>
    <t>contacto@activaq.cl</t>
  </si>
  <si>
    <t>+56-22363022</t>
  </si>
  <si>
    <t>Geraldine Mlynarz; Co-Founder &amp; CEO; https://linkedin.com/in/geraldine-mlynarz-8894ab1; Co-Founder IctioBiotic, Ex- Co-Founder &amp; CEO Diagnotec. Pontifical Catholic University of Chile 1996, PhD Faculty of Sciences of the University of Chile 1998</t>
  </si>
  <si>
    <t>https://linkedin.com/in/geraldine-mlynarz-8894ab1</t>
  </si>
  <si>
    <t>https://www.activaq.cl</t>
  </si>
  <si>
    <t>https://linkedin.com/company/activaq</t>
  </si>
  <si>
    <t>https://tracxn.com/companies/2DxHZRoHqeDalPgotIFeR96925kLN_gixoibltlP6iQ/activaq.cl</t>
  </si>
  <si>
    <t>Beijing Baoxin Traceability Technology is a Chinese company engaged in the development and supply of livestock farm and slaughterhouse management solution. The company offers a platform for animal farms and slaughterhouse management, information management systems for cattle farms &amp; pig farms, slaughterhouse traceability management solution, etc. The company also offers electronic barcode ear tags for animal identification, handheld reader and scanner gun for traceability of animals.</t>
  </si>
  <si>
    <t>info@agridata.org</t>
  </si>
  <si>
    <t>http://www.synqe.cn</t>
  </si>
  <si>
    <t>http://twitter.com/synqe</t>
  </si>
  <si>
    <t>https://tracxn.com/companies/qoUe2svGUL-Oxd47ylml4d4QgmyrkO05EzA0iHqmXsc/synqe.cn</t>
  </si>
  <si>
    <t>Chifeng</t>
  </si>
  <si>
    <t>Inner Mongolia</t>
  </si>
  <si>
    <t>Chifeng Toyota Science &amp; Technology Seed Industry is a producer and supplier of hybrid seeds. It offers hybrid seeds of corn, beet, sunflower, sorghum, millets etc. Also, offers fertilizers and pesticides.</t>
  </si>
  <si>
    <t>nmftzwc@163.com</t>
  </si>
  <si>
    <t>http://www.cfftzy.com</t>
  </si>
  <si>
    <t>https://tracxn.com/companies/wPYLTj3VCwckObsnkMCqan7cEsQVZd3MYLBEnrb6vk0/cfftzy.com</t>
  </si>
  <si>
    <t>Startups @ Venture Center
a-IDEA
Amrita TBI
BIRAC</t>
  </si>
  <si>
    <t>Swasti Agro is involved in development, manufacturing, and marketing of a range of biological agrochemical products for farmers. The product portfolio has a formulation for soil drenching of vegetables marketed under the name "Swasti Root Guard", an intermediate molecular weight formulation for disease resistance marketed under the name "Swasti Leaf Guard", a high molecular weight formulation for early prevention of disease marketed under the name "Xansil", an intermediate molecular weight plant growth promoter marketed under the name "groNSil", and a microbial fermentation formulation marketed under the name "Olisil".</t>
  </si>
  <si>
    <t>enquire@swastiagro.com</t>
  </si>
  <si>
    <t>+91-2024454265</t>
  </si>
  <si>
    <t>Abhay Shendye; Founder; swasti.agro@gmail.com; http://linkedin.com/in/abhay-shendye-99349a2; Camlin Fine Chemicals. University of Pune 1995
Shobha Shendye; Co-Founder
Tejaswinee Shendye; Co-Founder</t>
  </si>
  <si>
    <t>swasti.agro@gmail.com</t>
  </si>
  <si>
    <t>http://linkedin.com/in/abhay-shendye-99349a2</t>
  </si>
  <si>
    <t>Abhay Shendye</t>
  </si>
  <si>
    <t>http://www.swastiagro.com</t>
  </si>
  <si>
    <t>https://linkedin.com/company/swasti-agro/about</t>
  </si>
  <si>
    <t>http://twitter.com/swasti_agro</t>
  </si>
  <si>
    <t>http://facebook.com/swasti-agro-bioproducts-pvt-ltd-194326977327632</t>
  </si>
  <si>
    <t>https://tracxn.com/companies/uc-o7TzpUR4Q_DrjK0K8YQYsyQmDA_OVqMLI_VGS0X8/swastiagro.com</t>
  </si>
  <si>
    <t>Sensors &gt; Industry Applications &gt; Agriculture
Crop Tech &gt; Farm Analytics &gt; Multispectral Sensing</t>
  </si>
  <si>
    <t>AgrHub provides farmers in Vietnam with devices to collect farm data on their mobile devices for monitoring and automation purpose. Farmers can purchase the devices and the app based on their requirement. The package ranges from $49 to $99. The company also runs a Youtube channel for farmers called AgrTV.</t>
  </si>
  <si>
    <t>dmtan@agrhub.com</t>
  </si>
  <si>
    <t>+84-1233236933</t>
  </si>
  <si>
    <t>Tan Do; Co-Founder; http://linkedin.com/in/dmtan90; TMA. CTU Vietnam 2012
Truc Nguyen; Co-Founder; http://linkedin.com/in/truc-h-nguyen-103b891b; Quintessentially Lifestyle, ex-PwC, Co-Founder Frogsleap Foundation. U Lancaster BBA 2011</t>
  </si>
  <si>
    <t>http://linkedin.com/in/dmtan90
http://linkedin.com/in/truc-h-nguyen-103b891b</t>
  </si>
  <si>
    <t>https://www.agrhub.com</t>
  </si>
  <si>
    <t>http://facebook.com/agrhub</t>
  </si>
  <si>
    <t>http://shop.agrhub.com/blog</t>
  </si>
  <si>
    <t>https://tracxn.com/companies/Tlgj6s1Lw05hlh0ecj_C4IG5Ep3aw4gOC19v2VOv55c/agrhub.com</t>
  </si>
  <si>
    <t>Telstra Ventures
Grains Valley Venture Capital
DCM Ventures</t>
  </si>
  <si>
    <t>Jiage provides a cloud-based software solution for aggregating data from various sources such as satellites, meteorological weather stations, ground sensors etc and data analytics for precision agriculture decision support and farm business management. Farmers can map their farms, manage field management data, get the hyper-local weather forecasts, create pest management schedule, manage farm vehicle fleet, and perform financial analysis on the platform. The platform provides graphical representation of the data in various graphical and tabular forms.</t>
  </si>
  <si>
    <t>business@gagogroup.com</t>
  </si>
  <si>
    <t>+86-1058440097</t>
  </si>
  <si>
    <t>Zhang Gong; Founder &amp; CEO; San Francisco Institute of Environmental Studies</t>
  </si>
  <si>
    <t>https://www.gagogroup.cn</t>
  </si>
  <si>
    <t>https://tracxn.com/companies/rjcFhAlqXjvvVodvt-zkyTD3VLCtRnv3F9yeTo3dlRY/gagogroup.cn</t>
  </si>
  <si>
    <t>Beijing Agriculture Hatch Network Technology provides an online platform for farmers to achieve small period finance for liquidity requirements. Lenders register themselves on the platform and submit the money with the custodian bank which creates a special account dedicated towards the agriculture hatch. Lenders scroll through the platform to select the farmers they want to lend their money to and once a match is made money is transferred from that special account to farmers. As the repayment of principal and interest is received from farmers, the amount is paid back to lenders.</t>
  </si>
  <si>
    <t>Cheng YANG; Co-Founder; http://linkedin.com/in/cheng-yang-8474a230</t>
  </si>
  <si>
    <t>http://linkedin.com/in/cheng-yang-8474a230</t>
  </si>
  <si>
    <t>http://nfu99.com</t>
  </si>
  <si>
    <t>https://tracxn.com/companies/mXNo_XAZTWpjhIuqX1xJ4gnWeKFTXCX_Cbog48ewJ20/nfu99.com</t>
  </si>
  <si>
    <t>Insect Farming Tech
MassChallenge Batches</t>
  </si>
  <si>
    <t>Insect Farming Tech &gt; Insects &gt; Insect based Products &gt; Animal Feed &gt; Aquaculture
MassChallenge Batches &gt; Boston &gt; 2017</t>
  </si>
  <si>
    <t>Kulisha is an integrated business involved in the insect cultivation and processing to supply aqua feed products. It claims to use organic food waste as the feed for insect nutrition. It claims that its products are low cost and sustainable as compared to aqua feeds developed from fishes. It has its operations based in Kenya. It cultivates black soldier fly which is a non-buzzing and non-biting insect, consumes organic food waste, and is native to Kenya.</t>
  </si>
  <si>
    <t>info@kulishafeed.com</t>
  </si>
  <si>
    <t>Viraj Sikand; Co-Founder; viraj@kulishafeed.com; http://linkedin.com/in/viraj-sikand-9b746471; Brown University 2017
Eric Katz; Co-Founder; eric@kulishafeed.com; http://linkedin.com/in/katz2eric; NextBillion.net.University of Michigan - Stephen M. Ross School of Business 2017</t>
  </si>
  <si>
    <t>viraj@kulishafeed.com
eric@kulishafeed.com</t>
  </si>
  <si>
    <t>http://linkedin.com/in/viraj-sikand-9b746471
http://linkedin.com/in/katz2eric</t>
  </si>
  <si>
    <t>http://www.kulishafeed.com</t>
  </si>
  <si>
    <t>https://linkedin.com/company/kulisha/about</t>
  </si>
  <si>
    <t>https://twitter.com/kulishafeed</t>
  </si>
  <si>
    <t>http://facebook.com/kulishafeed</t>
  </si>
  <si>
    <t>https://tracxn.com/companies/enQ9lRBFzdGjcGYUHeM2GIUA_9EvcV-W_INkyHKaV6c/kulishafeed.com</t>
  </si>
  <si>
    <t>Harsh Kundra
Anupam Tyagi
Nandkumar Rane
Vish Bajaj
LN Raju Buddharaju</t>
  </si>
  <si>
    <t>Paalak is an online retail store for groceries offering fresh fruits and vegetables at doorstep withing 12-24 hours of being produced. It runs on a farm-to-table model and does not have any middle man in their supply chain.  Procures the fresh produce directly from farmers through their collection centers. Claims to launch a mobile app soon for farmers. Available in Delhi as of Oct'16. Raised an undisclosed amount in seed round of funding from Vishwadeep Bajaj, Harsh Kundra, Nandkumar Rane and Anupam Tyagi in Mar'17</t>
  </si>
  <si>
    <t>care@paalak.in</t>
  </si>
  <si>
    <t>Swapnil Tripathi; Co-Founder; tripathi.swapnil@gmail.com; http://linkedin.com/in/swapniltripathi; ex-Co-Founder &amp; CEO at India Art Village, COO Buildzar.com, Nextricks Consultants, VP Naukri.com. MIT Sloan School of Management 2015
Vishal Salgotra; Co-Founder &amp; Director; +919810023434; vishal@paalak.in; http://linkedin.com/in/vishal-salgotra-0750425; Co-Founder Alpere Technologies, Ex- Director Contentra Technologies India, VP Planman Technologies, VP Planman HR.MIT Sloan School of Management 2016</t>
  </si>
  <si>
    <t>tripathi.swapnil@gmail.com
swapnil@paalak.in
vishal@paalak.in
vishalsalgotra@gmail.com</t>
  </si>
  <si>
    <t>http://linkedin.com/in/swapniltripathi
http://linkedin.com/in/vishal-salgotra-0750425</t>
  </si>
  <si>
    <t>http://ww38.paalak.in/</t>
  </si>
  <si>
    <t>https://www.linkedin.com/company/paalak</t>
  </si>
  <si>
    <t>http://twitter.com/farmfreshgreens</t>
  </si>
  <si>
    <t>http://facebook.com/paalak.in</t>
  </si>
  <si>
    <t>https://tracxn.com/companies/Rt1wNAxkBVoTbu3Z76Su6FfH5NELxhl4GkrK0tWVYoE/paalak.in</t>
  </si>
  <si>
    <t>Star Angel is an online B2B platform where users can order fruits and vegetables. Is operational in Shanghai, Guangzhou, Shenzhen, and Tianjin as of Dec 2016. Produces its fruits and vegetables without using any pesticides and fertilizers. Users can order the products only through its mobile app.</t>
  </si>
  <si>
    <t>http://starangel.cc</t>
  </si>
  <si>
    <t>https://tracxn.com/companies/7qMlk6e3XlldQRvDa7WJjz0-kaOcyu_nt0oQhSuhuuk/starangel.cc</t>
  </si>
  <si>
    <t>Technology
Retail
Agriculture</t>
  </si>
  <si>
    <t>Blockchain
B2B E-Commerce
Crop Tech</t>
  </si>
  <si>
    <t>Blockchain &gt; Agriculture
B2B E-Commerce &gt; Agriculture &gt; Marketplace
Crop Tech &gt; ECommerce &gt; Farm Produce &gt; B2B &gt; Fruits and Vegetables &gt; Marketplace</t>
  </si>
  <si>
    <t>Avenews GT is a digital platform for connecting farmers &amp;amp; agribusinesses with bulk buyers. Farmers have to create their own profile and mention products along with prices and delivery options. Verified registered buyers receive notifications automatically once their requirement matches products of a producer. Buyers can submit their quotes to producers and producers can accept among the submitted quotes. The platform uses shared ledger of block chain and has partnered with Vecron-Exim for payment liquidity. Producers receive payments after the deal is struck through the platform and a contract has been signed. Buyers have an option for paying within 90 days of making a purchase. The company provides logistical support for the orders. Based in Tel Aviv, the company has US office in Fresno, California.</t>
  </si>
  <si>
    <t>office@avenews-gt.com</t>
  </si>
  <si>
    <t>Shalom Ben Or; Co-Founder &amp; CEO; shalom@avenews-gt.com; http://linkedin.com/in/shalombenor; The College of Management Academic Studies 2015
Ismail Kharoub; Co-Founder &amp; CTO; ismail@avenews-gt.com; http://linkedin.com/in/ismail-kharoub-a71384124; ex-Adstract, ArarKharoub. Minshar 2014
Ishai Ben Or; Co-Founder &amp; COO; ishai@avenews-gt.com; http://linkedin.com/in/ishaibenor; ex-Haela raisin &amp; grapes farms, Pastel restaurant, Rafael restaurant. Shenkar 2016
Nimrod Dahan; Co-Founder &amp; Business Development; nimrod@avenews-gt.com; http://linkedin.com/in/nimrodahan; ex-Good Vision Consulting, IDC Student Union, Israel Defense Forces. The Interdisciplinary Center 2016</t>
  </si>
  <si>
    <t>shalom@avenews-gt.com
ismail@avenews-gt.com
ishai@avenews-gt.com
nimrod@avenews-gt.com</t>
  </si>
  <si>
    <t>http://linkedin.com/in/shalombenor
http://linkedin.com/in/ismail-kharoub-a71384124
http://linkedin.com/in/ishaibenor
http://linkedin.com/in/nimrodahan</t>
  </si>
  <si>
    <t>https://www.avenews-gt.com</t>
  </si>
  <si>
    <t>http://linkedin.com/company/avenews-gt</t>
  </si>
  <si>
    <t>https://tracxn.com/companies/qez0Nam58yWYvwui-8ZON3duCgTDoXyU8IXeWMiL2mI/avenews-gt.com</t>
  </si>
  <si>
    <t>Enterprise
Marketplace
Tech
Blockchain</t>
  </si>
  <si>
    <t>Software
Tech Hardware
Social Impact
Innovative
Artificial Intelligence
High IP
Goods
Service
Looks Scalable
Chain
Not for Profit</t>
  </si>
  <si>
    <t>Livestock Tech &gt; ECommerce &gt; Farm Input &gt; Retailer</t>
  </si>
  <si>
    <t>Liuxuxing is an online platform where users can order animal food, veterinary medicines etc. It also provides the latest information, trends related to animal husbandry industry, online diagnosis, treatment, warehousing, and logistics services. Has raised $1.5 million in angel round of funding in 2015.</t>
  </si>
  <si>
    <t>http://liuxuxing.com</t>
  </si>
  <si>
    <t>https://tracxn.com/companies/n_7vabGKs6f_buK_Wj36tGkDSAm48yX5Qaz9-T4Midc/liuxuxing.com</t>
  </si>
  <si>
    <t>B2B E-Commerce
Crop Tech
Y Combinator Batches</t>
  </si>
  <si>
    <t>B2B E-Commerce &gt; Agriculture &gt; Listing Platform
Crop Tech &gt; ECommerce &gt; Farm Produce &gt; B2B &gt; Grains
Y Combinator Batches &gt; 2017 &gt; Winter</t>
  </si>
  <si>
    <t>Trade Ghana does matchmaking for agri produce buyers / sellers and those providing transportation. Farmers have to request for transportation of their produce by texting the quantity and crop and time of harvest availability. Similarly, buyer has to text its requirement. The company aggregates and provides the data to transportation companies which bid for and the lowest bid is locked in.</t>
  </si>
  <si>
    <t>hello@tradeghana.co</t>
  </si>
  <si>
    <t>Wilson Cusack; CEO; wilson@tradeghana.co; http://linkedin.com/in/wilsoncusack; ex-Cargill, FarmLogs, eleni. Brown University, BA 2016
Larry Antwi; Co-Founder; http://linkedin.com/in/larry-antwi-a28677a4; ex-Capital TV Ghana, GHANA BROADCASTING. University for Professional Studies BBA 2018</t>
  </si>
  <si>
    <t>wilson@tradeghana.co
cusackw@gmail.com</t>
  </si>
  <si>
    <t>http://linkedin.com/in/wilsoncusack
http://linkedin.com/in/larry-antwi-a28677a4</t>
  </si>
  <si>
    <t>https://www.tradeghana.co</t>
  </si>
  <si>
    <t>https://linkedin.com/company/tradeghana/about</t>
  </si>
  <si>
    <t>https://twitter.com/tradeghana</t>
  </si>
  <si>
    <t>http://tradeghana.co/landing/blog.html</t>
  </si>
  <si>
    <t>https://tracxn.com/companies/l2pi4hAeB6AIjivfqWx73jxfF1e4KQ2tppjt7mPAhyQ/tradeghana.co</t>
  </si>
  <si>
    <t>$640K</t>
  </si>
  <si>
    <t>ScanTask has developed a software platform named "AgriTask" for precision agronomy support and field management. Farmers can assess the condition of pest by entering the crop scouting details and the hyper-local pest management model predicts the pest condition of the field. The platform also has a field management module through which data can be recorded for the subsequent data processing.</t>
  </si>
  <si>
    <t>Yuri Magrisso; Co-Founder &amp; CTO; yuri@scantask.com; http://linkedin.com/in/yuri-magrisso-266304; Ex-Project Manager, Teledive Ltd.
Israel Faier; Co-Founder &amp; CEO; israel@scantask.com; http://linkedin.com/in/israel-fraier-15666; Founder, Omind, Ex-Founder, CelluTag</t>
  </si>
  <si>
    <t>yuri@scantask.com
israel@scantask.com</t>
  </si>
  <si>
    <t>http://www.scantask.com</t>
  </si>
  <si>
    <t>https://tracxn.com/companies/8OgFfrTcE3HK3E7ZG0Op7CPK5xcCftFnFTB48gmovv8/scantask.com</t>
  </si>
  <si>
    <t>$435K</t>
  </si>
  <si>
    <t>ERP
Livestock Tech</t>
  </si>
  <si>
    <t>ERP &gt; Agriculture &gt; Farm Management &gt; Suite
Livestock Tech &gt; Livestock Management Software &gt; Poultry</t>
  </si>
  <si>
    <t>State-ming, Beijing Science and Technology is a Chinese company offering a web-based software for the monitoring and management of chicken farms. The company has developed the software for farmers to provide video surveillance, practical statistics, high-quality information services, more cost-effective feed, laying hens breeding, etc. The company markets its software as 360 House Keeper and has developed an application for iOS and android devices. In addition, the comapny also offers the disease prevention and control, remote management, laying hens insurance and financial services to the farmers.</t>
  </si>
  <si>
    <t>http://www.yangjiguanjia.com</t>
  </si>
  <si>
    <t>https://tracxn.com/companies/3vF40AkQY7LwuVMUeahPFzo5fUn2SqiRHDP95BzF7tE/yangjiguanjia.com</t>
  </si>
  <si>
    <t>$530K</t>
  </si>
  <si>
    <t>Agrimanu is an online B2B platform where users can trade different types of groceries like onions, tomatoes, ginger, garlic, mustard, coriander, mushroom, fruits and nuts like pumpkin, watermelon, walnut, medicinal value products like honey, clove, cassia etc. Provides freight services and financial help to users if needed. Is operational in Gansu, Xinjiang, Inner Mongolia, Shanxi, Ningxia, Shandong, Jiangsu as of Dec 2015.</t>
  </si>
  <si>
    <t>http://www.agrimanu.com</t>
  </si>
  <si>
    <t>https://tracxn.com/companies/7OXVBl_wtGFaAd19lT_xm5o5Sbt4ZnC032FyYT-H1w4/agrimanu.com</t>
  </si>
  <si>
    <t>Crowdfunding</t>
  </si>
  <si>
    <t>Crowdfunding &gt; Rewards &gt; Agriculture</t>
  </si>
  <si>
    <t>Sanfeng is a reward-based crowdfunding platform which lets its users fund agricultural produce projects through its platform. Some of the projects listed on the platform include production of Kiwi, tea and several other fruits. Raised angel round of funding</t>
  </si>
  <si>
    <t>http://www.sanfeng.net</t>
  </si>
  <si>
    <t>https://tracxn.com/companies/c5S5N46MN6zDkLsyCKB3h1IV-4f75sNGl7kkIvfAQe0/sanfeng.net</t>
  </si>
  <si>
    <t>Petaling Jaya</t>
  </si>
  <si>
    <t>Selangor</t>
  </si>
  <si>
    <t>B2B E-Commerce &gt; Food &amp; Beverages &gt; Groceries &gt; Farm Products &gt; Marketplace
Online Grocery &gt; B2B Ecommerce &gt; Multi-Category &gt; Marketplace
Crop Tech &gt; ECommerce &gt; Farm Produce &gt; B2B &gt; Fruits and Vegetables &gt; Marketplace</t>
  </si>
  <si>
    <t>Gobi Partners
Mavcap</t>
  </si>
  <si>
    <t>SupplyBunny is an online B2B marketplace of grocery and supplies for restaurants and retailers. The platform enables restaurant and cafes owners to source and order supplies from verified suppliers. Users can browse and find products/ingredients from different categories, add them to cart, and check-out by requesting a quotation. The suppliers sell at wholesale pricing, each order has a minimum order quantity for delivery.</t>
  </si>
  <si>
    <t>info@supplybunny.com</t>
  </si>
  <si>
    <t>Ognjen Regoje; Co-Founder; me@ognjen.io; https://linkedin.com/in/ognjenregoje; Ex-Consoci8, SocialWalk. Multimedia University 2010
Kengyew Tham; Co-Founder; thamkengyew@supplybunny.com; http://linkedin.com/in/thamkengyew; Ex-Founder Socialwalk, Business Matching System for Exhibitions &amp; Ticketing System for Events. Michigan State University 2003</t>
  </si>
  <si>
    <t>me@ognjen.io
thamkengyew@supplybunny.com</t>
  </si>
  <si>
    <t>https://linkedin.com/in/ognjenregoje
http://linkedin.com/in/thamkengyew</t>
  </si>
  <si>
    <t>https://www.supplybunny.com</t>
  </si>
  <si>
    <t>https://www.linkedin.com/company/13188724?trk=prof-exp-company-name</t>
  </si>
  <si>
    <t>https://twitter.com/supplybunny</t>
  </si>
  <si>
    <t>http://facebook.com/supplybunny/</t>
  </si>
  <si>
    <t>http://blog.supplybunny.com</t>
  </si>
  <si>
    <t>https://tracxn.com/companies/w1liUjJ4f4vUnjk3zmp1vPWzythr7d3gEidiRDJyUdw/supplybunny.com</t>
  </si>
  <si>
    <t>Kosmos Innovation Center
MEST</t>
  </si>
  <si>
    <t>Ghalani provides a mobile and web-based farm management software for the farmers, farming contractors, and agribusinesses. The software has modules for crop &amp;amp; farmer management, inventory management, and financial management. It claims to have developed the product for the farming contractors and agribusinesses who form partnerships with many farmers for managing farming operations for which suitable products are not available in the African continent. It charges an annual license fee from its customer.</t>
  </si>
  <si>
    <t>info@ghalani.com</t>
  </si>
  <si>
    <t>Ogbonna Amanze; Co-Founder &amp; CTO; http://linkedin.com/in/amanze; MEST, Amanzed, ex-Co-Founder Theliftedng, Foofans, Challydoff. Free Code Camp 2016
Mary Dzifa Mensah; Co-Founder &amp; CMO; msdzifamensah@gmail.com; http://linkedin.com/in/marydzifamensah123; Tress, Founder WedDresser, ex-Co-Founder Sway Up, University of Cape Coast. MEST 2016
Tabby Nanzala; Co-Founder &amp; CEO; http://linkedin.com/in/tabbynanzala; ex-MEST, Cofounder Aushi, Naz Pretties. Strathmore University 2009, KEMU 2013</t>
  </si>
  <si>
    <t>msdzifamensah@gmail.com</t>
  </si>
  <si>
    <t>http://linkedin.com/in/amanze
http://linkedin.com/in/marydzifamensah123
http://linkedin.com/in/tabbynanzala</t>
  </si>
  <si>
    <t>https://ghalani.com/</t>
  </si>
  <si>
    <t>https://twitter.com/ghalaniapp</t>
  </si>
  <si>
    <t>http://facebook.com/ghalaniapp</t>
  </si>
  <si>
    <t>https://tracxn.com/companies/I0QQKjctn-XfJFT5vlEc6CQ3aPXeTVhN15JEDgHoPjg/ghalani.com</t>
  </si>
  <si>
    <t>B2B E-Commerce &gt; Food &amp; Beverages &gt; Groceries &gt; Farm Products &gt; E-Distributor
Online Grocery &gt; B2B Ecommerce &gt; Multi-Category &gt; E-Distributor
Crop Tech &gt; ECommerce &gt; Farm Produce &gt; B2B &gt; Fruits and Vegetables &gt; E Distributor</t>
  </si>
  <si>
    <t>Beijing Zhonghai Investment Management
Unity Ventures
Sinovation Ventures</t>
  </si>
  <si>
    <t>Yiweinet is an online B2B platform to order groceries. Targets restaurant chains, supermarkets and other food catering enterprises. Has its own supply chain system which takes care of storage and distribution systems. Has raised an angel funding of 5 million yuan and an undisclosed series A funding. Founder has prior experience of working in Alibaba and retail chains.</t>
  </si>
  <si>
    <t>Liu Great Wall; Co-Founder
Jin Jianhua; Co-Founder</t>
  </si>
  <si>
    <t>http://yiweinet.com</t>
  </si>
  <si>
    <t>https://linkedin.com/company/%E5%8C%97%E4%BA%AC%E4%B9%99%E6%9C%AA%E7%A7%91%E6%8A%80%E6%9C%89%E9%99%90%E5%85%AC%E5%8F%B8</t>
  </si>
  <si>
    <t>https://tracxn.com/companies/3Eg-RioNBbtzu-TwoVX6M2VlvdiXONz75zUEy-5NlXQ/yiweinet.com</t>
  </si>
  <si>
    <t>Consumer
SaaS
Artificial Intelligence
Software
Tech Hardware
Social Impact</t>
  </si>
  <si>
    <t>Climate in Agricultural Science and Technology Co. Ltd. (aka. AIRAG) is a developer of integrated platform consisting of hardware such as on-field sensors, weather stations, etc. to collect farm data and push it to the cloud through cellular network where its analytics software crunches, analyses and provides visual insights to the user through a web based dashboard.</t>
  </si>
  <si>
    <t>http://www.airag.cn</t>
  </si>
  <si>
    <t>https://tracxn.com/companies/_0_DsbHcX8RSwyAl7D3I5eDrYBfmus_0-H4u3GoaOxA/airag.cn</t>
  </si>
  <si>
    <t>Okguo is a B2B retailer for high-quality fruits and vegetables. partners with smalls shops and business to provide vegetables directly. Has a monthly turnover of more than 10 million, covering about 1000 SKUs as of Nov 2015. Raised 10 million yuan angel round of funding from Lei Jun.</t>
  </si>
  <si>
    <t>http://www.okguo.com</t>
  </si>
  <si>
    <t>https://tracxn.com/companies/VcCDv4H-StHurgIHpcGBAlHqAndNeyVsuw8v3-yLR7w/okguo.com</t>
  </si>
  <si>
    <t>Aquaculture Tech &gt; Fisheries &gt; Acoustic Monitoring Sensors</t>
  </si>
  <si>
    <t>Aqua App has developed a mobile application for the dissemination of agronomic information related to aquaculture. AquaApp provides information related to best practices of aquaculture, weather information, and real-time market prices of fishes &amp;amp; other farmed aquatic animals. The app also provides details of aquaculture farm input products manufacturers for direct trade engagements and farmers can place online orders on the app. The app is currently free and is available on IoS and Android platforms.</t>
  </si>
  <si>
    <t>+91-9848033333</t>
  </si>
  <si>
    <t>Venu Dantuluri; Co-Founder; venu@aquaapp.in; http://linkedin.com/in/venudantuluri; Founder &amp; CEO, The Village by Dharani village</t>
  </si>
  <si>
    <t>venu@aquaapp.in
venu.deevee@gmail.com</t>
  </si>
  <si>
    <t>http://linkedin.com/in/venudantuluri</t>
  </si>
  <si>
    <t>https://www.aquaapp.in</t>
  </si>
  <si>
    <t>https://tracxn.com/companies/jNrl9lg4KQIumwJVWtSOMg1o0U_OlFYXeabLSaDwlCc/aquaapp.in</t>
  </si>
  <si>
    <t>Mishmar Dawid</t>
  </si>
  <si>
    <t>Danziger Innovations has developed a patented technology named "MemoGene" which is precise plant genomic modification technology and is applicable to all plants with no traditional genetic engineering. MemoGene delivers endonucleases to specific compartments in the plant cell via uniquely-designed viral vectors. Upon selection of target DNA, biological DNA scissor is created and introduced into MemoGene viral vector. Plant organs or tissues are inoculated with the vector and plantlets are recovered. Viruses are removed either through the natural life cycle of plants or meristem culture or seed production. The company is a spinoff of the Danzier "Dan" Flower company.</t>
  </si>
  <si>
    <t>Hanne Volpin; CEO; hvolpin@gmail.com; http://linkedin.com/in/hannevolpin; Ex-Breeding Director Fruited Vegetables and Local Crops, Hazera Genetics</t>
  </si>
  <si>
    <t>hvolpin@gmail.com</t>
  </si>
  <si>
    <t>http://linkedin.com/in/hannevolpin</t>
  </si>
  <si>
    <t>http://www.danziger-innovations.com</t>
  </si>
  <si>
    <t>https://tracxn.com/companies/cY5npBUswIBNmgpv1vBga447mAVwcqSuKlCilo8vHDk/danziger-innovations.com</t>
  </si>
  <si>
    <t>Crop Tech &gt; Autonomous Farming &gt; Growing Systems</t>
  </si>
  <si>
    <t>Living Green develops, manufactures, and supplies a range of mini hydroponic and aquaponic farming systems for urban agriculture in Israel. The systems named "LivingBox", come in different sizes and shapes &amp;amp; can accommodate different numbers of plants for cultivation. Currently, 16 types of hydroponic farming systems and 16 types of aquaponic farming systems are there in the product portfolio. It also supplies the supplementary products such as spares and nutrient solution for farming systems. Moreover, it also provides guidance for making hydroponic and aquaponic systems at one's home through its website. Facility of ordering online is available on the website.</t>
  </si>
  <si>
    <t>livingreen.info@gmail.com</t>
  </si>
  <si>
    <t>Nitzan Solan; Co-Founder &amp; CEO; nitzansolan@gmail.com; http://linkedin.com/in/nitzan-solan-84410a18; Livinggreen, ex-TAP, Aquaponics. Shenkar College of Engineering and Design BSc 2009</t>
  </si>
  <si>
    <t>nitzansolan@gmail.com</t>
  </si>
  <si>
    <t>http://linkedin.com/in/nitzan-solan-84410a18</t>
  </si>
  <si>
    <t>https://livingreen.co.il/</t>
  </si>
  <si>
    <t>https://www.linkedin.com/company/9233459</t>
  </si>
  <si>
    <t>http://facebook.com/livingreen-אקוופוניקה-והידרופוניקה-159847367407960/</t>
  </si>
  <si>
    <t>https://tracxn.com/companies/9lEPFFqPunHKkmAsr_LmU4pos4PUwbG4XM-CVmW28O8/livingreen.co.il</t>
  </si>
  <si>
    <t>B2B E-Commerce &gt; Food &amp; Beverages &gt; Groceries &gt; Farm Products &gt; Marketplace
Online Grocery &gt; B2B Ecommerce &gt; Farm Produce &gt; Multi-Category &gt; Marketplace
Crop Tech &gt; ECommerce &gt; Farm Produce &gt; B2B</t>
  </si>
  <si>
    <t>ZhenShun Fund
Qiming Venture Partners</t>
  </si>
  <si>
    <t>Zhaonongzi is an online B2B marketplace for agro products. Provides tools for the agricultural industry for an integrated B2B sales and supply management. Some of the features are online payments, supply and produce management, order management, logistics management etc. It has raised Series A round of funding from Qiming Ventures and ZhenShun Fund.</t>
  </si>
  <si>
    <t>http://zhaonongzi.com</t>
  </si>
  <si>
    <t>https://tracxn.com/companies/bcWdon3RePrtdJos1ix0odOGADR5xMP1cAiPsXR5Y9Q/zhaonongzi.com</t>
  </si>
  <si>
    <t>Consumer
Agriculture</t>
  </si>
  <si>
    <t>Online Rental
Crop Tech</t>
  </si>
  <si>
    <t>Online Rental &gt; Commercial Goods &gt; Heavy Equipment &gt; Farming
Crop Tech &gt; ECommerce &gt; Farm Inputs &gt; Farm Equipment &gt; Tractors</t>
  </si>
  <si>
    <t>Trotro Tractor has developed an online platform for connecting smallholder farmers and tractor operators or owners. Through the platform, farmers can request a specific tractor service such as ploughing and tractor operators are provided with the request. The tractors rented through the platform are equipped with IoT devices through which tractor owners can track the performance of their equipment on the platform itself. It claims to have partnered with many large machinery OEMs such as John Deere, Yara, Dizengoff Ghana etc.</t>
  </si>
  <si>
    <t>team@trotrotractor.com</t>
  </si>
  <si>
    <t>+233-501583979</t>
  </si>
  <si>
    <t>Kamal Yakub; Co-Founder &amp; CEO; kamal@farmable.me; http://linkedin.com/in/kamal-yakub-3623b88; Co-Founder Farmable World Group of Companies, ex-Dreamscreative, Bin Mansour Group. ACCA 2008
Emmanuel Ansah Amprofi; Co-Founder &amp; COO; http://linkedin.com/in/emmanuel-ansah-amprofi-02503951/trotro%20tractor,; NameAshesi University, Africa Youth Network, CEO Stages Multimedia &amp; Tours, ex-Gate Consultancy. Ghana National College 1999
Nana Kwame Darko; Co-Founder; darkonana2011@gmail.com; https://linkedin.com/in/nana-kwame-darko-81314742; KLLOYDS, ECOREST 360 Africa, BEET Consult, COO GOONA, ex-CABE Consult, JEAN - COM Enterprise. Walden University MBA 2015
Adam Muhammed Muhideen; Co-Founder &amp; CTO; adam@trotrotractor.com; http://linkedin.com/in/adam-muhammed-muhideen-b7452042; CEO FarmWallet, ex-Savanna Diamond Company, Airtel Ghana. BlueCrest UniversityBS 2017</t>
  </si>
  <si>
    <t>kamal@farmable.me
kamal@trotrotractor.com
darkonana2011@gmail.com
adam@trotrotractor.com</t>
  </si>
  <si>
    <t>http://linkedin.com/in/kamal-yakub-3623b88
http://linkedin.com/in/emmanuel-ansah-amprofi-02503951/trotro%20tractor,
https://linkedin.com/in/nana-kwame-darko-81314742
http://linkedin.com/in/adam-muhammed-muhideen-b7452042</t>
  </si>
  <si>
    <t>https://www.trotrotractor.com</t>
  </si>
  <si>
    <t>https://twitter.com/trotrotractor</t>
  </si>
  <si>
    <t>https://facebook.com/trotrotractor</t>
  </si>
  <si>
    <t>https://tracxn.com/companies/5CBpnGh5RiFoAWyjWZL9gqxr8Tu8DCQVxo3e-o-ZX6M/trotrotractor.com</t>
  </si>
  <si>
    <t>$550K</t>
  </si>
  <si>
    <t>O2Waterator manufactures and supplies an aerated system operated through the water pressure for aquaculture farmers. The device comprises of a patented motor powered by water pressure, combined with an aeration wheel. The system is made of plastic and the company claims that it is much lighter than the traditional electrical aeration systems used in aquaculture as well as provides a faster rate of oxygen enrichment. It also claims that it can be submerged at any depth hence provides more oxygen enrichment in the deeper layers of water. The system generates about 500 watts of power.</t>
  </si>
  <si>
    <t>Ehud Nagler; Founder &amp; CEO; ehud@o2waterator.com; http://linkedin.com/in/ehudnagler; Founder O2 Waterator,ex-Iscar, Beit She'an Engines, Founder IMD, Hydro Industries Tynat,</t>
  </si>
  <si>
    <t>ehud@o2waterator.com</t>
  </si>
  <si>
    <t>http://linkedin.com/in/ehudnagler</t>
  </si>
  <si>
    <t>http://o2waterator.com</t>
  </si>
  <si>
    <t>https://www.linkedin.com/company/o2waterator</t>
  </si>
  <si>
    <t>http://facebook.com/o2waterator/</t>
  </si>
  <si>
    <t>https://tracxn.com/companies/jII-Wrxls6suo4thAxbaC6xK2r2xmvhKwXKqHdiacPY/o2waterator.com</t>
  </si>
  <si>
    <t>RML Agtech offers an online portal for agriculture information sharing to farmers, traders and agribusiness companies. It enables farmers in decision making regarding crop selection, production, and sale by providing agricultural information through timely SMS and analytics tools. Also, offers a mobile application, myRML. Other applications include Crop pic,  So Doc, Farm Nutri, Crop Doc, and Digi Mandi for farmers. RML Trader app offers information regarding dispersed farmers, fellow traders and agribusiness companies to traders along with commodity prices in various agriculture markets. In addition, it also offers a web-based solution (marketed as R-Edge) to agribusiness companies and banks to provide real-time data about market prices, demand, and supply of various agriculture commodities across the country.</t>
  </si>
  <si>
    <t>contactus@rmlagtech.com</t>
  </si>
  <si>
    <t>+91-02267602000</t>
  </si>
  <si>
    <t>Rajiv Tevtiya; CEO; rajiv.tevtiya@rmlagtech.com; http://linkedin.com/in/rajiv-tevtiya-a57a898; Ex-Co-founder &amp; CEO greencart.in, National Manager Tata AIG General. Jamnalal Bajaj Institute of Management Studies
Sunil Jain; Co-Founder; sunil.jain@farmbee.in; http://linkedin.com/in/sunijain; Co-Founder FarmBee, ex-Amazon, eGain Communincations, AmberPoint Technologies. IIT Kanpur BTech 1999
Amit Mehra; Co-Founder &amp; ex-CEO; http://linkedin.com/in/amitmehraccsa; MD Accenture, ex-Founder Thomson Reuters. Shri Ram College of Commerce B.Com 1994, London Business School MBA 2001</t>
  </si>
  <si>
    <t>rajiv.tevtiya@rmlagtech.com
sunil.jain@farmbee.in
sunil@sproutcapital.in</t>
  </si>
  <si>
    <t>http://linkedin.com/in/rajiv-tevtiya-a57a898
http://linkedin.com/in/sunijain
http://linkedin.com/in/amitmehraccsa</t>
  </si>
  <si>
    <t>https://rmlagtech.com/</t>
  </si>
  <si>
    <t>http://twitter.com/rmlagtech</t>
  </si>
  <si>
    <t>http://facebook.com/rmlagtech</t>
  </si>
  <si>
    <t>https://tracxn.com/companies/MxsTb1wrdimWSXqekEuJvjJME01TwiQCssKxR9i4dHU/rmlagtech.com</t>
  </si>
  <si>
    <t>Jinxiushengxian is an online B2B marketplace which helps small and medium enterprises procure vegetables for low costs. Claims to have a partnership with more than 5,000 farm houses and 400 enterprises as of Dec 2015.</t>
  </si>
  <si>
    <t>http://www.jinxiushengxian.com</t>
  </si>
  <si>
    <t>https://tracxn.com/companies/-sDNqCO7TkVCzW8kZSNjHjr3yqqVbLtq7SuGj1fuDBo/jinxiushengxian.com</t>
  </si>
  <si>
    <t>B2B E-Commerce &gt; Food &amp; Beverages &gt; Groceries &gt; Farm Products &gt; E-Distributor
Online Grocery &gt; B2B Ecommerce &gt; Farm Produce &gt; Fruits and Vegetables &gt; E-Distributor
Crop Tech &gt; ECommerce &gt; Farm Produce &gt; B2B</t>
  </si>
  <si>
    <t>Maoshucishen is an online B2B platform which supplies ingredients like imported seafood, imported meat, spices for food preparation etc to small and medium sized enterprises. Follows subscription model for enterprises with a package of 500 yuan/ month for small restaurants and 1000 yuan/ month for medium-sized restaurants.</t>
  </si>
  <si>
    <t>http://maoshucishen.com</t>
  </si>
  <si>
    <t>https://tracxn.com/companies/PNrRlxMFkk9LB9ZOU3LEFfiVSmuNOK3w67U2wdkGwdE/maoshucishen.com</t>
  </si>
  <si>
    <t>Yzyy365 is an online platform which helps farmers by solving their problems related to farming, pests, diseases, harvesting, branding, and marketing. Has in-house experts to answer queries. Claims to provide a solution within 5 minutes of posting a question. Users can include images and voice in the question. Has launched an app for Android platform.</t>
  </si>
  <si>
    <t>http://yzyy365.com</t>
  </si>
  <si>
    <t>https://linkedin.com/company/yzyy365/about</t>
  </si>
  <si>
    <t>https://tracxn.com/companies/2Ya_HPISAkKL5mTsd4khzPQ1goQiqNH-RWnWCJXLSkQ/yzyy365.com</t>
  </si>
  <si>
    <t>Surat</t>
  </si>
  <si>
    <t>Agriculture
Healthcare</t>
  </si>
  <si>
    <t>Livestock Tech
Diversified Medical Devices</t>
  </si>
  <si>
    <t>Livestock Tech &gt; Health Management &gt; Nutrition Supplements &gt; Microbes Based
Diversified Medical Devices &gt; Devices</t>
  </si>
  <si>
    <t>Department of Biotechnology
BIRAC</t>
  </si>
  <si>
    <t>Wobble Base Bioresearch is engaged in the development of the biological product for livestock animal gut health and mitigation against the risk of decreased productivity. Its product is a fungal bio-control agent that is developed using protoplast fusion technology to target drug-resistant gastrointestinal cattle worms responsible for reducing productivity. It also offers cytogenetic tests, karyotyping, chromosome identification, analytical and molecular biology among others in humans.</t>
  </si>
  <si>
    <t>support@wobblebase.in</t>
  </si>
  <si>
    <t>https://www.wobblebase.in</t>
  </si>
  <si>
    <t>http://wobblebase.in/blog</t>
  </si>
  <si>
    <t>https://tracxn.com/companies/FjkD1R-75Bhyfth0eKhmIDXv92nWboQSvkFp2NZcG1E/wobblebase.in</t>
  </si>
  <si>
    <t>Wuxi</t>
  </si>
  <si>
    <t>Aquaculture Tech &gt; ECommerce &gt; Farm Inputs</t>
  </si>
  <si>
    <t>Yuyuyu is an online platform which provides users products like fish food, equipment for growing fish, sterilization products etc. Users can also get information about fisheries market trends and prices, information and tips regarding growing fish. Claims to have raised an undisclosed amount in series A round of funding from NewComer Group.</t>
  </si>
  <si>
    <t>http://www.yuyuyu.com.cn</t>
  </si>
  <si>
    <t>https://tracxn.com/companies/d-whOVlnf7o0zjbLn2_xt7h1w1QTlr2oWPqYhOHOKk8/yuyuyu.com.cn</t>
  </si>
  <si>
    <t>Technology
Internet of Things
Technology
Internet of Things
Retail
Agriculture</t>
  </si>
  <si>
    <t>Wearable Technology
IoT Applications
Pet Tech
Livestock Tech</t>
  </si>
  <si>
    <t>Wearable Technology &gt; Pet Wearables &gt; Swine Monitoring
IoT Applications &gt; Industry Specific &gt; Agriculture &gt; Livestock
Pet Tech &gt; Pet Care Management &gt; Tracking &gt; Cats and Dogs
Livestock Tech &gt; End-to-End Livestock Farm Automation</t>
  </si>
  <si>
    <t>Imagine Latam
gob.cl</t>
  </si>
  <si>
    <t>Swinesmart provides RFID sensors for swine farms. RFID tags are fitted into the ear of swines and capture data related to all the parameters of swine farming. The farmers can plan husbandry on the basis of data. Real time monitored data is pushed into the cloud and is accessible for the farm owners through their smartphones or computer.</t>
  </si>
  <si>
    <t>Sylvana Cardenas; Co-Founder &amp; CTO; sylcardenas@gmail.com; http://linkedin.com/in/sylcardenas; Corfo, ex- Swinesmart, Korta, Entel. Austral University of Chile 2008, University of British Columbia MBA 2017.
Manuel Antonio Ríos Gutierrez; Co-Founder &amp; Project Director; manuel.rios.gutirrez@gmail.com; http://linkedin.com/in/manuelriosg; Ex-Head of Project at Chilean Ministry of Education</t>
  </si>
  <si>
    <t>sylcardenas@gmail.com
manuel.rios.gutirrez@gmail.com</t>
  </si>
  <si>
    <t>http://linkedin.com/in/sylcardenas
http://linkedin.com/in/manuelriosg</t>
  </si>
  <si>
    <t>http://www.swinesmart.com</t>
  </si>
  <si>
    <t>https://twitter.com/swine_smart</t>
  </si>
  <si>
    <t>https://tracxn.com/companies/aZwS2df5coxuetCqfMBd8rZKTJ7VAJgC8qit_6XHq0I/swinesmart.com</t>
  </si>
  <si>
    <t>Wuabi has developed an online platform for the crowdfunding the farming projects for crops and livestock farming across Argentina. Investors can choose their project of liking on the platform. The project is executed under the technical assistance of the experts hired by Wuabi. The investors receive progress report, yield reports as the project is executed. Once the produce is sold the money is shared between the farmer, investors and Wuabi.</t>
  </si>
  <si>
    <t>info@Wuabi.com.ar</t>
  </si>
  <si>
    <t>Matais Shulz; Co-Founder &amp; CMO; http://linkedin.com/in/matias-shulz-26373361; Product Analyst at Pulpo Media
Alan Boryszansky; Co-Founder &amp; CEO; alan@wuabi.com.ar; http://linkedin.com/in/alanboryszanski/en; Ex- Shell and Thomson Reuters executive
Adrian Mawas; Co-Founder &amp; COO; National University of Cordoba 2010
Leonel Badi; Co-Founder &amp; CTO; leonel@wuabi.com.ar; http://linkedin.com/in/lbadi; Software engineer at ITBA</t>
  </si>
  <si>
    <t>alan@wuabi.com.ar
leonel@wuabi.com.ar</t>
  </si>
  <si>
    <t>http://linkedin.com/in/matias-shulz-26373361
http://linkedin.com/in/alanboryszanski/en
http://linkedin.com/in/lbadi</t>
  </si>
  <si>
    <t>http://www.wuabi.com.ar</t>
  </si>
  <si>
    <t>https://twitter.com/wuabiargentina</t>
  </si>
  <si>
    <t>https://tracxn.com/companies/f5Kzq9Cm30r-e1_If5zpkZNC67ykfeCWho6-4t1DKGQ/wuabi.com.ar</t>
  </si>
  <si>
    <t>$920K</t>
  </si>
  <si>
    <t>B2B E-Commerce &gt; Agriculture &gt; Marketplace
Online Grocery &gt; B2B Ecommerce &gt; Farm Produce &gt; Multi-Category &gt; Marketplace
Crop Tech &gt; ECommerce &gt; Farm Produce &gt; B2B &gt; Fruits and Vegetables &gt; Marketplace</t>
  </si>
  <si>
    <t>Buylfun is an online platform headquartered in Chengdu. It connects farmers and buyers of agro products. Has raised $ 1 million in angel round of funding in 2016.</t>
  </si>
  <si>
    <t>http://buylfun.com</t>
  </si>
  <si>
    <t>https://tracxn.com/companies/Z-hjss2bVSLogxs2mqRk4XKQfEz6WaKqirADUBXs3fQ/buylfun.com</t>
  </si>
  <si>
    <t>Nongguanjia is an online B2B platform which connects farmers and buyers of agricultural products. Headquartered in Beijing, it is now operational in Inner Mongolia, Hebei, Shandong, Anhui, Shanxi, Gansu, Yunnan and other provinces and cities. The app has four modules: loan provision for farmers, buying and selling agricultural products, content on agricultural technologies. It also allows farmers to connect with agricultural experts for queries related to farming.  Nongguanjia operates in 69 counties of Hubei, central China, and includes around 2,500 “upstream merchants” (e.g. buyers) and 50,000 “downstream merchants” (e.g. farmers/producers).</t>
  </si>
  <si>
    <t>Wang Lei; CEO</t>
  </si>
  <si>
    <t>http://www.nongguanjia.com</t>
  </si>
  <si>
    <t>https://tracxn.com/companies/6rl4G0UsiKMIJEi3WwxiQbt-LdfqOMgGYP_p9WBjnj4/nongguanjia.com</t>
  </si>
  <si>
    <t>B2B E-Commerce &gt; Agriculture &gt; Listing Platform
Crop Tech &gt; ECommerce &gt; Diversified &gt; Marketplace</t>
  </si>
  <si>
    <t>The Agri Hub is a listing platform for suppliers of various farming inputs such as seeds, agrochemicals, farm machinery, hi-tech farm technology and others. Any farmer can see the details of various suppliers for a specific inputs and can get the contact information of suppliers through email and SMS. The platform does not list the prices and only the list &amp;amp; contact details of suppliers. Farmers can contact suppliers directly for price related information and negotiations.</t>
  </si>
  <si>
    <t>Abhishek Bhatt; Co-Founder; abhishek@theagrihub.com; http://linkedin.com/pub/abhishek-bhatt/b3/976/625; Director Agriplast Protected Cultivation, ex-Co-Founder Bykr. Gla Institute of Technology &amp; Management BTech 2011
Sidharth Kumar; Co-Founder; sidharthknras@gmail.com; https://linkedin.com/in/sidharthkumar18; Careem, ex-Rocket Internet, BIC, Schneider Electric, Standard Chartered Bank. Manipal Academy of Higher Education BBA 2008
Rajeeb Kumar Roy; Co-Founder &amp; CEO; rajeeb@agriplast.co.in; http://linkedin.com/pub/rajeeb-kumar-roy/16/b54/450; MD Agriplast Tech India, ex-Mecord farms, Pasumai Irrigations, Jain Irrigation Systems. Mahatma Phule Krishi Vidyapeeth BTech 1991, IIT Kharagpur MTech 1992, IIM Bangalore 2012</t>
  </si>
  <si>
    <t>abhishek@theagrihub.com
sidharthknras@gmail.com
rajeeb@agriplast.co.in
rajeeb@theagrihub.com</t>
  </si>
  <si>
    <t>http://linkedin.com/pub/abhishek-bhatt/b3/976/625
https://linkedin.com/in/sidharthkumar18
http://linkedin.com/pub/rajeeb-kumar-roy/16/b54/450</t>
  </si>
  <si>
    <t>http://theagrihub.com</t>
  </si>
  <si>
    <t>https://linkedin.com/company/theagrihub</t>
  </si>
  <si>
    <t>https://twitter.com/theagrihub</t>
  </si>
  <si>
    <t>https://tracxn.com/companies/a06udMOc6dp_sKi_pO3oBHTYQO9aBHDF6wLXkb7uarg/theagrihub.com</t>
  </si>
  <si>
    <t>Tehran</t>
  </si>
  <si>
    <t>Ostan-e Tehran</t>
  </si>
  <si>
    <t>Iran</t>
  </si>
  <si>
    <t>Smartbeen provides the monitoring tool for the greenhouses owners to control the greenhouses from anywhere. Sensor along with a control panel is installed in the greenhouse and monitoring data can be accessed by the owners through mobile application. Application provides notification to owners or nearest service staff regarding any pending activity in greenhouse. Smartbeen won the Avatech seedstart competition in 2015.</t>
  </si>
  <si>
    <t>Edwin Baboomian; Founder &amp; CEO; edwinbaboomian@gmail.com; http://linkedin.com/in/edwinbaboomian</t>
  </si>
  <si>
    <t>edwinbaboomian@gmail.com</t>
  </si>
  <si>
    <t>http://linkedin.com/in/edwinbaboomian</t>
  </si>
  <si>
    <t>http://smartbeen.com/</t>
  </si>
  <si>
    <t>https://www.linkedin.com/company/smartbeen</t>
  </si>
  <si>
    <t>https://twitter.com/smartbeen</t>
  </si>
  <si>
    <t>http://facebook.com/sb.smartbeen/</t>
  </si>
  <si>
    <t>https://tracxn.com/companies/3dvEPnEsctZSXC_I81xW6U361fwJxrkDrTV-NRoutt4/smartbeen.com</t>
  </si>
  <si>
    <t>Crop Tech &gt; Farm Management Software &gt; Vineyard Management</t>
  </si>
  <si>
    <t>Enolog Technologies has developed an autonomous system that helps in monitoring the fermentation progress of grape used in making wine. The system involves deployment of sensors in the fermentation tank; these sensors stream the data related to temperature, color, density, sugar concentration, etc. The data is analyzed and the system autonomously controls the process in the tank (including temperature, mixing, etc.) and provides enologist with real time updates.</t>
  </si>
  <si>
    <t>hello@enowisetech.com</t>
  </si>
  <si>
    <t>Shay Marcus; Founder; shay.marcus@enowisetech.com; http://linkedin.com/in/shaymarcus</t>
  </si>
  <si>
    <t>shay.marcus@enowisetech.com</t>
  </si>
  <si>
    <t>http://linkedin.com/in/shaymarcus</t>
  </si>
  <si>
    <t>http://enowisetech.com</t>
  </si>
  <si>
    <t>https://tracxn.com/companies/vF5wqX-dKlJreS6gW5PGFmOiQgyIzCVvYnGcvY9q2ig/enowisetech.com</t>
  </si>
  <si>
    <t>B2B E-Commerce &gt; Agriculture &gt; E-Distributor
Online Grocery &gt; B2C Ecommerce &gt; Multi Category &gt; Marketplace &gt; Own Delivery Fleet
Crop Tech &gt; ECommerce &gt; Farm Produce &gt; B2C &gt; Fruits and Vegetables &gt; Marketplace</t>
  </si>
  <si>
    <t>FoodStock is an online marketplace for connecting farmers and food producers with consumers and wholesale buyers. Products sold on the platform include fresh farm produce, Sea Food , Frozen Food , Household and Industrial Food Ingredients, and Groceries. Orders can also be placed through telephones, emails, facebook, and messenger groups. The company delivers orders placed around Lagos within 3 days of ordering.</t>
  </si>
  <si>
    <t>order@foodstock.com.ng</t>
  </si>
  <si>
    <t>Omotayo Omolere; Founder &amp; CEO; http://linkedin.com/in/tayoomolere; ex-UGC Technology, Ritz Expression, OMG. UNILAG</t>
  </si>
  <si>
    <t>http://linkedin.com/in/tayoomolere</t>
  </si>
  <si>
    <t>http://foodstock.com.ng</t>
  </si>
  <si>
    <t>https://www.linkedin.com/company/foodstock-farmers-market</t>
  </si>
  <si>
    <t>http://twitter.com/foodstockmarket</t>
  </si>
  <si>
    <t>http://facebook.com/foodstockmarket</t>
  </si>
  <si>
    <t>https://tracxn.com/companies/3QzbXSM_NP_bhcb7Cvg0yCsNu80sEo4G_xFg92DWHk8/foodstock.com.ng</t>
  </si>
  <si>
    <t>$3K</t>
  </si>
  <si>
    <t>Ukulima Tech designs, fabricates, and supply hydroponic farming systems to the urban population. The product portfolio has vertical farming systems, kitchen gardens, tower gardens, planting bins etc. It also provides LED lighting and farm inputs such as hydroponic nutrient and seeds for the farming. Moreover, it also develops garden automation products such as integrated hardware and software solution for irrigation scheduling.</t>
  </si>
  <si>
    <t>info@ukulimatech.co.ke</t>
  </si>
  <si>
    <t>Elizabeth Achieng; Founder &amp; CEO; eliz@ukulimatech.co.ke</t>
  </si>
  <si>
    <t>eliz@ukulimatech.co.ke</t>
  </si>
  <si>
    <t>http://ukulimatech.co.ke</t>
  </si>
  <si>
    <t>http://twitter.com/ukulimatech</t>
  </si>
  <si>
    <t>http://facebook.com/ukulimatech</t>
  </si>
  <si>
    <t>https://tracxn.com/companies/fIGjjbGra0HcFYkfc7s6iNgZUR1ILFdgJhhkRwaZr6Q/ukulimatech.co.ke</t>
  </si>
  <si>
    <t>Nongfadai is a P2P platform for agricultural loans. Platform connects lenders with borrowers seeking agricultural loans. Offers loans for harvesting, agricultural credit, auto loans for farming, winter storage credit, dealers, and other agricultural supply chain financing.</t>
  </si>
  <si>
    <t>media@nongfadai.com
service@nongfadai.com</t>
  </si>
  <si>
    <t>+86-4008528500</t>
  </si>
  <si>
    <t>Zheng Weibo; Co-Founder; zhengweibo@nongfadai.com
Yang Shihua; Co-Founder
Chen Junwang; Co-Founder; chenjunwang@nongfadai.com</t>
  </si>
  <si>
    <t>zhengweibo@nongfadai.com
chenjunwang@nongfadai.com</t>
  </si>
  <si>
    <t>https://www.nongfadai.com/index.htm</t>
  </si>
  <si>
    <t>https://linkedin.com/company/%E6%B7%B1%E5%9C%B3%E5%86%9C%E9%87%91%E5%9C%88%E9%87%91%E8%9E%8D%E6%9C%8D%E5%8A%A1%E6%9C%89%E9%99%90%E5%85%AC%E5%8F%B8</t>
  </si>
  <si>
    <t>https://tracxn.com/companies/zGssERe8j37hJM6pNTLK_Kl5aY5JcrurYcivcZ7EgCk/nongfadai.com</t>
  </si>
  <si>
    <t>Nazareth</t>
  </si>
  <si>
    <t>AquAgro Fund</t>
  </si>
  <si>
    <t>Pimi Agro develops eco-friendly solutions for pre and post harvest treatments of fruits and vegetables. The company develops STHP products (Stabilized Hydrogen Peroxide) to extend shelf life of fresh products. STHP products suppress the sprouting activity in stored vegetables and eliminates diseases caused by fungi, yeasts, molds, viruses and bacteria, thus extending the shelf-life of fruits and vegetables.</t>
  </si>
  <si>
    <t>info@pimiagro.com</t>
  </si>
  <si>
    <t>Nimrod Ben Yehuda; Founder &amp; CEO; nimrod@pimiagro.com; https://linkedin.com/in/nimrod-ben-yehuda-2aba90a8; Ex CEO of NitroJet, Nir Ecology, Swissteril Water Purifications.</t>
  </si>
  <si>
    <t>nimrod@pimiagro.com
nimrod@savefoods.co</t>
  </si>
  <si>
    <t>https://linkedin.com/in/nimrod-ben-yehuda-2aba90a8</t>
  </si>
  <si>
    <t>https://www.pimiagro.com</t>
  </si>
  <si>
    <t>https://www.linkedin.com/company/6991823?trk=prof-exp-company-name</t>
  </si>
  <si>
    <t>https://tracxn.com/companies/zELf0wWgjZnZMK6B5nIn1saaOhurl7pDdKw8AlSSUjY/pimiagro.com</t>
  </si>
  <si>
    <t>Ventures Lab
Morningside Ventures</t>
  </si>
  <si>
    <t>Xiangongshe is a B2B online trading platform for groceries. Connects traders and suppliers with small and medium restaurants, and facilitates trade between them. Helps restaurants with real-time price comparison, supply chain finance and quality assurance. For suppliers, it helps in inventory management and financial management. Claims to have 5,000+ restaurants on the platform.</t>
  </si>
  <si>
    <t>http://xiangongshe.com</t>
  </si>
  <si>
    <t>https://tracxn.com/companies/UEKOZyfY46_BD9mPFqufmPgZ0xr9ki5krT5lQ9SxCVQ/xiangongshe.com</t>
  </si>
  <si>
    <t>Consumer
SaaS
Artificial Intelligence
Tech Hardware
Social Impact
Software</t>
  </si>
  <si>
    <t>Caigouxiongdi is an online B2B trading platform for groceries. Sells a range of categories on the platform: vegetables, meat, fish, frozen foods, spices, grains, disposable supplies, drinks, fruits, etc. Suppliers sell primarily to restaurants and caterers. Raised angel investment from Gang Wang, co-founder of Didi Dache in Oct 2014</t>
  </si>
  <si>
    <t>Huang LiJun; CEO; http://linkedin.com/in/%E7%A4%BC%E5%90%9B-%E9%BB%84-3753b3a7; ex-Ampang. Perking University</t>
  </si>
  <si>
    <t>http://linkedin.com/in/%E7%A4%BC%E5%90%9B-%E9%BB%84-3753b3a7</t>
  </si>
  <si>
    <t>http://caigouxiongdi.com</t>
  </si>
  <si>
    <t>https://www.linkedin.com/company/%E5%8C%97%E4%BA%AC%E5%85%84%E5%BC%9F%E4%B9%8B%E6%81%92%E7%A7%91%E6%8A%80%E6%9C%89%E9%99%90%E5%85%AC%E5%8F%B8</t>
  </si>
  <si>
    <t>https://tracxn.com/companies/o5HEkGsxU0iVNbI-W6QdGfQnh9yDNx-dIkuTdWcEtY0/caigouxiongdi.com</t>
  </si>
  <si>
    <t>Enterprise Applications
FinTech
FinTech
FinTech
Agriculture</t>
  </si>
  <si>
    <t>Nonprofit Tech
Alternative Lending
Crowdfunding
Islamic FinTech
Crop Tech</t>
  </si>
  <si>
    <t>Nonprofit Tech &gt; Fundraising &gt; Crowdfunding &gt; Horizontal
Alternative Lending &gt; Online Lenders &gt; Consumer Loans &gt; Farm Loans &gt; Marketplace
Crowdfunding &gt; Revenue Sharing &gt; Agriculture
Islamic FinTech &gt; Crowdfunding &gt; Diversified
Crop Tech &gt; Finance &gt; Crowdfunding</t>
  </si>
  <si>
    <t>K-Startup Grand Challenge
Rekanext
East Ventures
500 Durians
Launchpad Accelerator</t>
  </si>
  <si>
    <t>iGrow partners with farmers and agribusinesses and allows users to invest in and take ownership (Productive farm ownership) of farms by allowing them to buy seeds. The proceeds are utilized by farmers to carry out the entire farming operation and the farmers share the revenue generated by selling the harvest in proportion to the seed investment with the users.</t>
  </si>
  <si>
    <t>info@igrow.asia</t>
  </si>
  <si>
    <t>Muhaimin Iqbal; Co-Founder; muhaimin.iqbal@igrow.asia; http://linkedin.com/in/iqbalmuhaimin; Founder 101 Salads &amp; Natural Resources Indonesia, Chairman Biomass Energy, Gerai Dinar, PT. Badr Interactive. Chartered Insurance Institute  2000
Jim Oklahoma; Co-Founder; jim@igrow.asia; http://linkedin.com/in/jimoklahoma; ex-Pama. UGM 2009
Andreas Senjaya; Co-Founder &amp; CEO; +622177840082; andreas@igrow.asia; http://linkedin.com/in/andreassenjaya; Co-Founder Nalacity Foundation, ex- Badr Interactive. UI Indonesia 2011</t>
  </si>
  <si>
    <t>muhaimin.iqbal@igrow.asia
jim@igrow.asia
andreas@igrow.asia</t>
  </si>
  <si>
    <t>http://linkedin.com/in/iqbalmuhaimin
http://linkedin.com/in/jimoklahoma
http://linkedin.com/in/andreassenjaya</t>
  </si>
  <si>
    <t>https://igrow.asia/</t>
  </si>
  <si>
    <t>https://www.linkedin.com/company/igrow-resources-indonesia</t>
  </si>
  <si>
    <t>https://twitter.com/igrowasia</t>
  </si>
  <si>
    <t>http://facebook.com/igrowclub</t>
  </si>
  <si>
    <t>https://blog.igrow.asia</t>
  </si>
  <si>
    <t>https://tracxn.com/companies/eKeq_QjCk2MRsxP37Hr8fJB4umv2fYlUlqdA0M_Po7g/igrow.asia</t>
  </si>
  <si>
    <t>$152K</t>
  </si>
  <si>
    <t>Zdongpin operates an online platform for trading of sea food. It connects large-scale traders directly with restaurants and stores. It takes care of warehousing and logistics to ensure a smooth supply. Provides transparent pricing information. By cutting various middlemen, it eliminates the additional overheads associated in procuring sea food. Raised seed funding in Jan 2016</t>
  </si>
  <si>
    <t>Wang Chun; CEO</t>
  </si>
  <si>
    <t>http://www.zdongpin.com</t>
  </si>
  <si>
    <t>https://tracxn.com/companies/dpR0-Gec-QdE8A9xgSixOTS7BPDMWzr2IXY1iVYW11g/zdongpin.com</t>
  </si>
  <si>
    <t>$751K</t>
  </si>
  <si>
    <t>Alternative Lending
Crowdfunding
Crop Tech</t>
  </si>
  <si>
    <t>Alternative Lending &gt; Online Lenders &gt; Business Loans &gt; Term Loans &gt; Marketplace &gt; P2P
Crowdfunding &gt; Revenue Sharing &gt; Agriculture
Crop Tech &gt; Finance &gt; Loans</t>
  </si>
  <si>
    <t>Yingzhongtou is an online P2P based agricultural loans platform. It provides an online platform for lenders to invest in different loans and gives them a minimum 6% annual rate of return.  It has raised $750K in angel round of funding.</t>
  </si>
  <si>
    <t>Crown; Founder &amp; CEO</t>
  </si>
  <si>
    <t>http://www.yingzhongtou.com</t>
  </si>
  <si>
    <t>https://tracxn.com/companies/dy6dZJrkpm3aMIYggVMJGBCu6UgHjaD-MCDY5mJrfaE/yingzhongtou.com</t>
  </si>
  <si>
    <t>Davao City</t>
  </si>
  <si>
    <t>Davao</t>
  </si>
  <si>
    <t>Philippines</t>
  </si>
  <si>
    <t>Heat Stress Analyzer is an IoT based electronic device system which consists of sensors that can detect vital parameters like temperature, light intensity, soil moisture, relative humidity, pH, etc. and sends this info to its cloud based analytics engine where the data is analyzed and the farmer is enabled to automatically control these parameters. The product is developed by CloudFarm Innovations.</t>
  </si>
  <si>
    <t>Rexon Lacaba; Co-Founder &amp; CTO; rexonlacaba@gmail.com; http://linkedin.com/in/rexon-lacaba-a8263b100
Jan Rey Altivo; Co-Founder &amp; CEO; janaltivo@gmail.com; http://linkedin.com/in/jan-rey-altivo-679173b6; ex-Ideaspace Foundation, Hytec Power, Smart Communications. USEP Philippines BS 2015
Franch Maverick Lorilla; Co-Founder &amp; COO; franchlorilla@gmail.com; http://linkedin.com/in/franchmaverick; ex-Hytec Power, Smart Communications. AIM Makati 2015</t>
  </si>
  <si>
    <t>rexonlacaba@gmail.com
janaltivo@gmail.com
franchlorilla@gmail.com</t>
  </si>
  <si>
    <t>http://linkedin.com/in/rexon-lacaba-a8263b100
http://linkedin.com/in/jan-rey-altivo-679173b6
http://linkedin.com/in/franchmaverick</t>
  </si>
  <si>
    <t>cloudfarm.cf</t>
  </si>
  <si>
    <t>https://heatstressanalyzer.weebly.com</t>
  </si>
  <si>
    <t>https://tracxn.com/companies/UcC60TL4rl9OfpAFPYFK2-uRwzq_hgMldxWykz2oERQ/heatstressanalyzer.weebly.com</t>
  </si>
  <si>
    <t>B2B E-Commerce &gt; Agriculture &gt; Marketplace
Crop Tech &gt; ECommerce &gt; Farm Inputs &gt; Multi Category &gt; Marketplace</t>
  </si>
  <si>
    <t>DW Fund
K2VC</t>
  </si>
  <si>
    <t>Fsx123 is a B2B mobile app with focus on farmers. It provides different types and grades of fertilizers and pesticides. Charges 500 yuan/person as fees for registration on their platform. Has raised an undisclosed amount in Angel round of funding from K2VC and DW Fund in 2015.</t>
  </si>
  <si>
    <t>http://www.fsx123.com</t>
  </si>
  <si>
    <t>https://tracxn.com/companies/TshAr54W8ilj0l9bIttfhWuop_R6mrZSc4Uuw3lobb0/fsx123.com</t>
  </si>
  <si>
    <t>Marketplace
Tech
Enterprise</t>
  </si>
  <si>
    <t>Crowdfunding
Livestock Tech</t>
  </si>
  <si>
    <t>Crowdfunding &gt; Revenue Sharing &gt; Agriculture
Livestock Tech &gt; Financing Platforms &gt; Investment</t>
  </si>
  <si>
    <t>Yunfarm operates an online platform that connects pastures and farms where sheep are reared with users who want to invest in sheep husbandry. Claims to have partnered with 6 farms in China. The partnered farms use a pasture management system developed by Yunfarm to enable effective monitoring of sheep rearing. Raised $500k in seed funding from UnityVC in Jan 2015.</t>
  </si>
  <si>
    <t>http://www.yunfarm.cn</t>
  </si>
  <si>
    <t>https://tracxn.com/companies/YbP0wutIuupbhZIsgTJ8PBQwRU3uxzIFHSycb5qvuU8/yunfarm.cn</t>
  </si>
  <si>
    <t>17dfs is an online trading platform that connects farmers with businesses looking to purchase agricultural produce in bulk. It also helps farmers by providing them information on markets, agriculture trend and farming practices. Further helps them in selling their produce. Claims to have presence across 30 provinces of China</t>
  </si>
  <si>
    <t>http://17dfs.com</t>
  </si>
  <si>
    <t>https://tracxn.com/companies/tH0E76HnjtUc3AsVlFxij4fb-sWRQ4EROClocujNHTg/17dfs.com</t>
  </si>
  <si>
    <t>Mandiri Capital Indonesia
East Ventures</t>
  </si>
  <si>
    <t>Indonesia based Limakilo is an online marketplace that helps farmers to sell their products directly to customer both in B2B and B2C with delivery option. The platform for now is focused on selling Brebes to Shallot and service is available in Jakarta, Depok, Tangerang, Bekasi and Bandung. Delivery of goods are conducted on every Saturday or Sunday, the cut-off order is carried out every Thursday. User can also go for subscription and choose from Discount Hobby Cooking (2 months subscription) and Diligent Cooking Package (1 months subscription).</t>
  </si>
  <si>
    <t>Walesa Danto; Co-Founder; http://id.linkedin.com/in/walesadanto/en; Project Manager at Mivo, Ex-Dosen, Ex-Telkomsigma
Arif Setiawan; Co-Founder &amp; CTO; arif@limakilo.id; http://linkedin.com/in/ariffsetiawan; Co-Founder at Futsalholic.com, Web Developer at Rakki Studio, Ex-iOS Developer at Myabuy</t>
  </si>
  <si>
    <t>arif@limakilo.id</t>
  </si>
  <si>
    <t>http://id.linkedin.com/in/walesadanto/en
http://linkedin.com/in/ariffsetiawan</t>
  </si>
  <si>
    <t>warungpintar.co.id</t>
  </si>
  <si>
    <t>http://limakilo.id</t>
  </si>
  <si>
    <t>http://twitter.com/limakilo_id</t>
  </si>
  <si>
    <t>https://tracxn.com/companies/WHFR9DEXsqizOqwF98tV-gdgZ7vQbGCfLNU3Al7Wl1Y/limakilo.id</t>
  </si>
  <si>
    <t>SaaS
Tech Hardware
Social Impact
Artificial Intelligence</t>
  </si>
  <si>
    <t>$447K</t>
  </si>
  <si>
    <t>Home Improvements
Crop Tech</t>
  </si>
  <si>
    <t>Home Improvements &gt; B2C Commerce &gt; Decor &gt; Retailer &gt; Ornamental Plants and Accessories
Crop Tech &gt; ECommerce &gt; Farm Inputs &gt; Multi Category &gt; Retailer &gt; Garden Supplies</t>
  </si>
  <si>
    <t>Ugaoo (Part of Namdeo Umaji Agritech Pvt. Ltd) is an online retail store selling different seeds, fertilizers, gardening tools, and accessories,  manures, insecticides,  pesticide. Also sells books and gardening and plant care.</t>
  </si>
  <si>
    <t>support@ugaoo.com</t>
  </si>
  <si>
    <t>+91-2248934222</t>
  </si>
  <si>
    <t>Siddhant Bhalinge; Founder &amp; CEO; siddhant@ugaoo.com; http://linkedin.com/in/siddhant-bhalinge-0a4898a1; Pyramid Seeds. Fergusson College 2009, California State Polytechnic University BS 2014</t>
  </si>
  <si>
    <t>siddhant@ugaoo.com</t>
  </si>
  <si>
    <t>http://linkedin.com/in/siddhant-bhalinge-0a4898a1</t>
  </si>
  <si>
    <t>pyramidseeds.net</t>
  </si>
  <si>
    <t>https://www.ugaoo.com</t>
  </si>
  <si>
    <t>https://www.linkedin.com/company/ugaoo</t>
  </si>
  <si>
    <t>https://twitter.com/ugaooindia</t>
  </si>
  <si>
    <t>https://facebook.com/ugaooindia</t>
  </si>
  <si>
    <t>http://ugaoo.com/knowledge-center</t>
  </si>
  <si>
    <t>https://tracxn.com/companies/nHkazzrLPeSfRsxeCDI4h1A4rtbMbgFNYnkOx8WlMkQ/ugaoo.com</t>
  </si>
  <si>
    <t>Enterprise
Marketplace
SaaS
Blockchain
Software
Tech Hardware
Social Impact
Artificial Intelligence</t>
  </si>
  <si>
    <t>B2B E-Commerce &gt; Food &amp; Beverages &gt; Groceries &gt; Farm Products &gt; Marketplace
Online Grocery &gt; B2B Ecommerce &gt; Farm Produce &gt; Grains
Crop Tech &gt; ECommerce &gt; Farm Produce &gt; B2B &gt; Grains</t>
  </si>
  <si>
    <t>Lightspeed China Partners
Sky9 Capital</t>
  </si>
  <si>
    <t>Mailiangwang is a B2B trading platform for agri products. Facilitates bulk grain trading, market information and other financial services to merchants.</t>
  </si>
  <si>
    <t>http://www.mailiangwang.com</t>
  </si>
  <si>
    <t>https://tracxn.com/companies/olJViMLGi-KM6SrVTLuQINTG5KG5JWw5Jfb7w3EcGnU/mailiangwang.com</t>
  </si>
  <si>
    <t>Dongpinhui is a B2B marketplace for meat and sea food. Operates only with a very limited number and fast moving SKUs. Has its own delivery fleet and promises a delivery in 24 hrs. Caters to only small restaurants and businesses. Raised 1M RMB from Dvorak ventures and Series A from undisclosed investors.</t>
  </si>
  <si>
    <t>http://dongpinhui.cn</t>
  </si>
  <si>
    <t>https://www.linkedin.com/company/%E5%86%BB%E5%93%81%E4%BA%92%E8%81%94%EF%BC%88%E5%8C%97%E4%BA%AC%EF%BC%89%E7%BD%91%E7%BB%9C%E7%A7%91%E6%8A%80%E6%9C%89%E9%99%90%E5%85%AC%E5%8F%B8</t>
  </si>
  <si>
    <t>https://tracxn.com/companies/0zestrwnly0NK9l4Rg3MsXPfzyZ3ICYMM2SDHflQy6M/dongpinhui.cn</t>
  </si>
  <si>
    <t>B2B E-Commerce &gt; Agriculture &gt; Marketplace
Online Grocery &gt; B2B Ecommerce &gt; Farm Produce &gt; Multi-Category &gt; Marketplace
Crop Tech &gt; ECommerce &gt; Farm Produce &gt; B2B</t>
  </si>
  <si>
    <t>Zhongke China Merchants Investment Management Group
Shenzhen Zhonghai Capital Management
Chang Ce Investment</t>
  </si>
  <si>
    <t>Jigouwang (16988.com) is a vertical B2B marketplace for agri products. Can trade Sugar, edible oil, soya, corn etc. Let buyers bid for agri produce across various grades of agri produce. Raised Series B round of funding from CSC group.</t>
  </si>
  <si>
    <t>https://www.16988.com</t>
  </si>
  <si>
    <t>https://tracxn.com/companies/OqZ-b0FKFSbqUZSN177RdCK4KcLH9lx1-VI50N0niZo/16988.com</t>
  </si>
  <si>
    <t>Eragano is a mobile application for smallholder farmers for effective farming. The application's features include AI generated farm schedule, integrated with e-commerce farm supply and crop protection program. The application is available on Google Play Store. Notable customers include PISAgro, Agrina, Paskomnas, and others.</t>
  </si>
  <si>
    <t>Arish ID; Co-Founder &amp; COO; arish@eragano.com; http://id.linkedin.com/in/arishid; Ex- COO at Antar id, Ex- Co- Founder of CV Benda
Stephanie Jesselyn; Co-Founder &amp; CEO; stephanie@eragano.com; http://linkedin.com/in/stephanie-jesselyn-35372632</t>
  </si>
  <si>
    <t>arish@eragano.com
stephanie@eragano.com</t>
  </si>
  <si>
    <t>http://id.linkedin.com/in/arishid
http://linkedin.com/in/stephanie-jesselyn-35372632</t>
  </si>
  <si>
    <t>http://www.eragano.com/index.php/login/index</t>
  </si>
  <si>
    <t>https://twitter.com/eragano_id</t>
  </si>
  <si>
    <t>http://facebook.com/pg/eragano.id/</t>
  </si>
  <si>
    <t>https://tracxn.com/companies/QgCxKraIto9RJc2Kyb7kXT3V2uAbzQ5IEyNlCUOQ8DM/eragano.com</t>
  </si>
  <si>
    <t>SIG China
01VC</t>
  </si>
  <si>
    <t>Bicaijia is a B2B platform for vegetables. Raised 7.2M in Series A round of financing from SIG-China and 01Venture capital. Serving only in Shanghai as of Sept 2015 and planning to expand to east china market with the new capital. Also plans to tie up with 3P logistics firms to ship goods.</t>
  </si>
  <si>
    <t>http://bicaijia.com</t>
  </si>
  <si>
    <t>https://tracxn.com/companies/p94zwJAGJu7wYhEpgYvUDlsKTVeIMawrDPk1cuLFLME/bicaijia.com</t>
  </si>
  <si>
    <t>Manila</t>
  </si>
  <si>
    <t>National Capital Region</t>
  </si>
  <si>
    <t>Fresh2Ket is a B2B grocery supplier such as restaurants via their web platform, cutting the middle-men in between. As of Jan 2016, only delivering to businesses that have signed a contract with them.</t>
  </si>
  <si>
    <t>Robin Moisson; Founder; robinmoisson@gmail.com; http://fr.linkedin.com/in/robin-moisson-4159508b/en; Lycee Saint Louis 2010, Ecole Centrale Paris M.Eng 2015
Paul Go; Co-Founder; http://linkedin.com/in/paul-go-83606b55</t>
  </si>
  <si>
    <t>robinmoisson@gmail.com</t>
  </si>
  <si>
    <t>http://fr.linkedin.com/in/robin-moisson-4159508b/en
http://linkedin.com/in/paul-go-83606b55</t>
  </si>
  <si>
    <t>http://www.fresh2ket.co</t>
  </si>
  <si>
    <t>http://facebook.com/fresh2ket</t>
  </si>
  <si>
    <t>https://tracxn.com/companies/kkClRdnMvh96XJ-vATrjq_IyDazVm-Onqv0GgzAl2uU/fresh2ket.co</t>
  </si>
  <si>
    <t>Marketplace
SaaS
Consumer</t>
  </si>
  <si>
    <t>Emubao is a sheep husbandry venture which partners with sheep farms allowing users to buy a sheep with 1000 yuan and monitor the state of the sheep any time as it grows and is then sold. Users can obtain ~15% profit in one cycle of 120 days while the sheep farm gets more funds to scale up.</t>
  </si>
  <si>
    <t>https://www.emubao.com</t>
  </si>
  <si>
    <t>https://tracxn.com/companies/AdfS4u3CL4mfsY_v2ULSeNMahXk-BiqADS-PPchS8To/emubao.com</t>
  </si>
  <si>
    <t>$33K</t>
  </si>
  <si>
    <t>Busc Agro provides an online platform for procuring farm inputs such as seeds, agrochemicals, fertilizer, tools, machinery etc. Farmers need to signup on the platform and perform a geolocation search of suppliers and deals for the object they wish to procure. Upon selection of supplier and acceptance of terms for delivery transaction is performed through the platform. The company was selected in the Startup Chile program in 2015.</t>
  </si>
  <si>
    <t>contacto@buscagro.cl</t>
  </si>
  <si>
    <t>Alexis Salvo; Founder &amp; CEO; alexis.salvo@buscagro.cl; http://linkedin.com/in/alexis-salvo-114a2735/en; Ex-Founder Compragro, Agropaine.</t>
  </si>
  <si>
    <t>alexis.salvo@buscagro.cl</t>
  </si>
  <si>
    <t>http://linkedin.com/in/alexis-salvo-114a2735/en</t>
  </si>
  <si>
    <t>http://buscagro.cl</t>
  </si>
  <si>
    <t>https://www.linkedin.com/company/buscagro</t>
  </si>
  <si>
    <t>http://twitter.com/buscagrochile</t>
  </si>
  <si>
    <t>http://facebook.com/buscagrochile/</t>
  </si>
  <si>
    <t>https://buscagro.cl/blog</t>
  </si>
  <si>
    <t>https://tracxn.com/companies/-3QXH061Vl3JOsEGOX4bps8kkQjgnVmuuU4Nzh21hW4/buscagro.cl</t>
  </si>
  <si>
    <t>Consumer
Retail
Retail
Agriculture</t>
  </si>
  <si>
    <t>Online Gifting
B2B E-Commerce
Crop Tech</t>
  </si>
  <si>
    <t>Online Gifting &gt; Ecommerce &gt; Florists &gt; B2B &gt; Marketplace
B2B E-Commerce &gt; Agriculture &gt; Marketplace
Crop Tech &gt; ECommerce &gt; Farm Produce &gt; B2B &gt; Flowers</t>
  </si>
  <si>
    <t>Shunwei Capital
Dark Horse Fund
Zhen Fund
Iheima
CDIB Capital Group
SIG China
Yuan Jing Capital
ZhenShun Fund</t>
  </si>
  <si>
    <t>Easy Flower is a mobile app based platform that connects flower growers with florists. Controls the entire supply chain of procurement and delivery to ensure quality and freshness of flowers. Helps the florist in simplifying the supply chain to get flowers from supplier. Claims that it delivers to florists in Beijing, Shanghai, Guangzhou among other cities, and partners with 20,000 growers in China's major flower growing regions with average daily shipments of 1.2 million. Other than B2B, it offers bouquet subscription to end consumers. Also provides wedding flower decoration by connecting end consumers with florists.</t>
  </si>
  <si>
    <t>http://easyflower.com</t>
  </si>
  <si>
    <t>https://tracxn.com/companies/ODYMWYSZAcJeSxYTOjal-9wU5ZvTAfmFNi9GwnuQDlY/easyflower.com</t>
  </si>
  <si>
    <t>Topica
Seedstars World
Samsung
Captii Ventures
IDG Ventures Vietnam</t>
  </si>
  <si>
    <t>Mimosatek is a technology which offers to optimize agriculture and cut down the costs through IoT. Their cloud computing platform links with a system of sensors on farm which helps monitor the environment and health condition of plants and animals, and sends data to farmers on real time basis via mobile apps. Revenue model is through subscription based from the customers or farmers.</t>
  </si>
  <si>
    <t>info@mimosatek.com</t>
  </si>
  <si>
    <t>Nguyen Khac Minh Tri; CEO; tri.nguyen@mimosatek.com; http://vn.linkedin.com/in/nkmtri; Ex-CEO Saigon</t>
  </si>
  <si>
    <t>tri.nguyen@mimosatek.com
nkmtri@gmail.com</t>
  </si>
  <si>
    <t>http://vn.linkedin.com/in/nkmtri</t>
  </si>
  <si>
    <t>https://mimosatek.com</t>
  </si>
  <si>
    <t>http://facebook.com/mimosatechnology/</t>
  </si>
  <si>
    <t>https://tracxn.com/companies/s8HhTgBbv6U26UG4ZKPlGg0WlfeCX4crIc7oi_8_5UQ/mimosatek.com</t>
  </si>
  <si>
    <t>Gfresh is an online global marketplace platform for seafood, helping sellers sell in China. The users can create their own online stores. It provides logistics, customs clearance and quality inspection services. As of November 2016, it has about 400 seafood sellers, 4500 seafood buyers and has sales of more than $150M.</t>
  </si>
  <si>
    <t>http://www.gfresh.com</t>
  </si>
  <si>
    <t>https://www.linkedin.com/company/gfresh</t>
  </si>
  <si>
    <t>http://twitter.com/gfreshdotcom</t>
  </si>
  <si>
    <t>http://facebook.com/gfreshinternational</t>
  </si>
  <si>
    <t>https://tracxn.com/companies/32gN56QyVcj8zzlNzd_4QRsH2o3VsF1edKe9DaPLLDI/gfresh.com</t>
  </si>
  <si>
    <t>$21K</t>
  </si>
  <si>
    <t>Cropital is a crowdfunding online platform where users can invest on agriculture and get rewards based on the harvest. Based in Philippines, Cropital allows investors to select from the local farmers who need funding and when the harvest is complete, they can take the capital back along with some returns based on the harvest. It is affiliated with Malaysian Global Innovation and Creativity Center as of Oct 2015.</t>
  </si>
  <si>
    <t>support@cropital.com</t>
  </si>
  <si>
    <t>Rachel de Villa; Founder &amp; CTO; rachel@cropital.com; http://linkedin.com/in/racheldevilla; Ex-SE at Voyager, Ex-MaGIC, BS Computer Science from University of the Philippines
Ruel Amparo; Co-Founder &amp; CEO; ruelamparo@gmail.com; http://ph.linkedin.com/in/ruelamparo; Ex-Fledge LLC, Ex-MaGIC, Ex-research assistant at BCG, Ex-Finance Intern at Shell, Ex- Petron Corporation</t>
  </si>
  <si>
    <t>rachel@cropital.com
ruelamparo@gmail.com
ruel@cropital.com</t>
  </si>
  <si>
    <t>http://linkedin.com/in/racheldevilla
http://ph.linkedin.com/in/ruelamparo</t>
  </si>
  <si>
    <t>https://www.cropital.com</t>
  </si>
  <si>
    <t>http://facebook.com/cropital</t>
  </si>
  <si>
    <t>https://tracxn.com/companies/2Gprw9Coc_wmQoNakDIZdPnumqZyWJAq44d9nhLV55I/cropital.com</t>
  </si>
  <si>
    <t>Genomics &gt; Enabling Technologies &gt; Technology Platforms &gt; RNA interference
Crop Tech &gt; Autonomous Farming &gt; Pest Control</t>
  </si>
  <si>
    <t>Ocean Azul Partners
BIRD Foundation
Missouri Technology</t>
  </si>
  <si>
    <t>Forrest Innovations is working on two offerings: mosquito risk mitigation and citrus greening. Its mosquito risk mitigation offering includes two products: a non-GM sterile male mosquito breed and breed of mosquitoes with increased susceptibility to Pyrethroids. Its citrus greening solution involves ribonucleic acid interference technology to do targeted management of citrus greening HLB disease in citrus orchards.</t>
  </si>
  <si>
    <t>Nitzan Paldi; Co-Founder &amp; CEO; nitzan@nestech.co.il; http://linkedin.com/in/nitzan-paldi-72936a10; CEO Forrest Innovations, ex-Monsanto
Ayelet Arav; Co-Founder &amp; COO; ayelet@nestech.co.il; http://linkedin.com/in/ayelet-ben-arav-03728317</t>
  </si>
  <si>
    <t>nitzan@nestech.co.il
ayelet@nestech.co.il</t>
  </si>
  <si>
    <t>http://linkedin.com/in/nitzan-paldi-72936a10
http://linkedin.com/in/ayelet-ben-arav-03728317</t>
  </si>
  <si>
    <t>https://www.forrestinnovations.com/en/</t>
  </si>
  <si>
    <t>https://twitter.com/forrestinnov</t>
  </si>
  <si>
    <t>https://tracxn.com/companies/3xZNN_7YMc8Ax-mUQmuXQzfr-n--m-MzHBKHFMTY6D0/forrestinnovations.com</t>
  </si>
  <si>
    <t>Consumer
Marketplace
SaaS
Tech
Social Impact
Artificial Intelligence</t>
  </si>
  <si>
    <t>BioGenerator
Syngenta Ventures
Draper Cygnus
Cultivation Capital
SixThirty
Yield Lab
E Bricks Ventures
NXTP Labs
Cygnus Capital
Arch Grants
NXTP Ventures</t>
  </si>
  <si>
    <t>S4 (earlier, Solapa4) is a developer of data analytics and decision-making tools for agribusinesses to improve agricultural yield and risk mitigation. It started as an advisory to agronomists in Argentina and later on pivoted to AgTech. It sells its data analytics to financial service providers, agri-input providers, large food companies and other agribusinesses. Selected by The Yield Lab for its AgTech accelerator program in 2015.</t>
  </si>
  <si>
    <t>Laura Lukasik; Co-Founder &amp; CEO; http://linkedin.com/in/laura-lukasik-8986142</t>
  </si>
  <si>
    <t>http://linkedin.com/in/laura-lukasik-8986142</t>
  </si>
  <si>
    <t>http://www.linkedin.com/vsearch/p?f_CC=1291167</t>
  </si>
  <si>
    <t>https://s4agtech.com/en/?lang=en</t>
  </si>
  <si>
    <t>http://twitter.com/s4agtech</t>
  </si>
  <si>
    <t>https://tracxn.com/companies/-3T6iz8HXJArqwt3yydPT8uwkWaXut2cBj9kJiD8IHc/s4agtech.com</t>
  </si>
  <si>
    <t>Livestock Tech &gt; ECommerce &gt; Livestock Trading</t>
  </si>
  <si>
    <t>Mifugo Trade is a web and mobile-based online platform connecting livestock farmers and buyers. Farmers can register themselves on the platform through contacting platform agents and enlist their livestock produce along with properties on the platform. Farmers are also provided the market prices of livestock animals to enable them in determining the time of selling. The company charges a flat 4.5% of the selling price.</t>
  </si>
  <si>
    <t>Taylor Tully; ex-Founder &amp; CEO; tgtully@gmail.com; https://linkedin.com/in/tgtully; ex- World Wildlife Fund, Rangeland Solutions, Ewaso Lions. Colby College BA 2010, Duke University 2014</t>
  </si>
  <si>
    <t>tgtully@gmail.com
tgtully@yahoo.com</t>
  </si>
  <si>
    <t>https://linkedin.com/in/tgtully</t>
  </si>
  <si>
    <t>http://mifugo.trade</t>
  </si>
  <si>
    <t>http://twitter.com/mifugotrade</t>
  </si>
  <si>
    <t>https://tracxn.com/companies/Gmej1iMdEqhY2Hy9vCdqeyEsU9nyqUrdWhYve-7sCu8/mifugo.trade</t>
  </si>
  <si>
    <t>Enterprise
Marketplace
Tech
Social Impact</t>
  </si>
  <si>
    <t>Biotech R&amp;D
Aquaculture Tech</t>
  </si>
  <si>
    <t>Biotech R&amp;D &gt; Research Applications &gt; Microbial Technology &gt; Suite
Aquaculture Tech &gt; Aquatic Plants &gt; Seaweed &gt; Diversified</t>
  </si>
  <si>
    <t>C-CAMP
Department of Biotechnology
Tata Capital
BIRAC</t>
  </si>
  <si>
    <t>G K Suraishkumar
Dilip Kumar Panicker
Shivram Sankarag
Kiran Mazumdar Shaw
Nitish Kati
V Parathasarathy
K B Ramachandran</t>
  </si>
  <si>
    <t>Sea6 Energy grows sea plants by ocean farming (by which sea plants can be cultivated and harvested on a large scale) and converts them into biofuels, plant growth stimulants, and other bio-renewable products. 'Jingo' is the first product of the company which is used to enhance soil productivity. The company is incubated by the 'Centre for Cellular and Molecular Platforms'. As of May 2015, the company looks to raise $10m. The company has partnered with Mahindra to market and distribute its product Jingo through the latter's distribution network for its crop care products.</t>
  </si>
  <si>
    <t>contact@sea6energy.com</t>
  </si>
  <si>
    <t>+91-8023623400</t>
  </si>
  <si>
    <t>Shrikumar Suryanarayan; Co-Founder; shri.sury@gmail.com; http://linkedin.com/in/shrikumar-suryanarayan-1221162; Ex-Biocon. Indian Institute of Technology, Madras BTech , MTech 1984
Sayash Kumar; ex-Co-Founder; http://linkedin.com/in/sayashkumar; Adobe, ex- Imperva, MetricStream, LearnStreet. University of California, Indian Institute of Technology, Madras.
Nelson Vadassery; Co-Founder; nelson@sea6energy.com; http://linkedin.com/pub/nelson-vadassery/3a/803/648; IIT-Madras 2010.
Sowmya Balendiran; Co-Founder &amp; Director of Business Development; sowmya@sea6energy.com; http://linkedin.com/pub/sowmya-balendiran/b/ab8/735; BTech from Anna University, EPYP from IIM Calcutta 2013.
Sri Sailaja Nori; Co-Founder &amp; Director; sailaja@sea6energy.com; http://linkedin.com/in/sri-sailaja-nori-b3486b62; IIT Madras 2010.</t>
  </si>
  <si>
    <t>shri.sury@gmail.com
nelson@sea6energy.com
nelson.iitm@gmail.com
sowmya@sea6energy.com
sowmyabalendran@gmail.com
sailaja@sea6energy.com
shailaja.2588@gmail.com</t>
  </si>
  <si>
    <t>http://linkedin.com/in/shrikumar-suryanarayan-1221162
http://linkedin.com/in/sayashkumar
http://linkedin.com/pub/nelson-vadassery/3a/803/648
http://linkedin.com/pub/sowmya-balendiran/b/ab8/735
http://linkedin.com/in/sri-sailaja-nori-b3486b62</t>
  </si>
  <si>
    <t>Nelson Vadassery
Sayash Kumar
Sowmya Balendiran
Sri Sailaja Nori</t>
  </si>
  <si>
    <t>https://www.sea6energy.com</t>
  </si>
  <si>
    <t>https://twitter.com/sea6energy</t>
  </si>
  <si>
    <t>https://tracxn.com/companies/4FnBjC0WxOZRY_akiO6E9PTHFGnQb5Eq7DtGWvEn008/sea6energy.com</t>
  </si>
  <si>
    <t>Tbilisi</t>
  </si>
  <si>
    <t>Kalaki Tbilisi</t>
  </si>
  <si>
    <t>Georgia</t>
  </si>
  <si>
    <t>Mosavali has developed an online portal for small scale farmers on which farmers can get information about the good practices for farming of specific crops through uploaded videos. Farmers can see the videos and apply the practices in their respective fields to obtain favorable results.</t>
  </si>
  <si>
    <t>Jonne Catshoek; Co-Founder; jonne@elva.org; http://linkedin.com/in/jonnecatshoek; CEO Traktor, ex-European Partnership for Democracy, The Caucasus Research Resource Centers. KCL MA 2008
Hans Gutbrod; Co-Founder; http://linkedin.com/in/hansgutbrod; Founder of Findpolicy</t>
  </si>
  <si>
    <t>jonne@elva.org
jonne@traktor.co</t>
  </si>
  <si>
    <t>http://linkedin.com/in/jonnecatshoek
http://linkedin.com/in/hansgutbrod</t>
  </si>
  <si>
    <t>http://www.linkedin.com/vsearch/p?f_CC=10112263</t>
  </si>
  <si>
    <t>http://mosavali.org</t>
  </si>
  <si>
    <t>http://linkedin.com/company/mosavali</t>
  </si>
  <si>
    <t>http://twitter.com/mosavali</t>
  </si>
  <si>
    <t>http://facebook.com/mosavali</t>
  </si>
  <si>
    <t>https://tracxn.com/companies/rngYGOhCkvLAH_IBHh4sxcnNeIY991nHfyvNdqY2o-A/mosavali.org</t>
  </si>
  <si>
    <t>Rio De Janeiro</t>
  </si>
  <si>
    <t>Biotech R&amp;D
Crop Tech</t>
  </si>
  <si>
    <t>Biotech R&amp;D &gt; Research Applications &gt; Industrial Biotechnology &gt; Bioprocessing
Crop Tech &gt; Farm Inputs &gt; Biologicals &gt; Diversified &gt; Microbes</t>
  </si>
  <si>
    <t>GlobalYeast produces and supplies yeast-based fermentation additives. It provides industrial yeast strains and industrial fermentation services for first-generation bioethanol, second-generation bioethanol and biobased chemicals from renewable resources. The company has developed a solution called biocal for monitoring of sugar conversion to ethanol and also helps in designing strategies for process optimization and also offers tailored yeast strains for optimization of E1G production or for converting C5 sugar streams.</t>
  </si>
  <si>
    <t>Belgium</t>
  </si>
  <si>
    <t>Marcelo do Amaral; CEO; marcelo.amaral@globalyeast.com; http://linkedin.com/in/marcelo-do-amaral-26275224; Ex- Raizen, Accenture, IQT, Nitriflex. Yale University 1983</t>
  </si>
  <si>
    <t>marcelo.amaral@globalyeast.com</t>
  </si>
  <si>
    <t>http://linkedin.com/in/marcelo-do-amaral-26275224</t>
  </si>
  <si>
    <t>https://www.globalyeast.com</t>
  </si>
  <si>
    <t>https://linkedin.com/company/globalyeast</t>
  </si>
  <si>
    <t>https://twitter.com/globalyeast</t>
  </si>
  <si>
    <t>https://tracxn.com/companies/qsaHe8y4F7bxnFKyiZM5RODKR7L7XrkRVoW3y6Zi354/globalyeast.com</t>
  </si>
  <si>
    <t>Consumer
Marketplace
SaaS
Social Impact
Artificial Intelligence
Tech Hardware
Blockchain</t>
  </si>
  <si>
    <t>Kingston</t>
  </si>
  <si>
    <t>Parish Of Saint Andrew</t>
  </si>
  <si>
    <t>B2B E-Commerce &gt; Agriculture &gt; Listing Platform
Crop Tech &gt; ECommerce &gt; Farm Produce &gt; B2B &gt; Fruits and Vegetables &gt; E Distributor</t>
  </si>
  <si>
    <t>Revofarm is a company offering an online listing platform for buying and selling of farm produce. The company offers the farmer a platform to list their produce along with the expected prices just by sending a message. It also offers weather and agronomy information to farmers to help them make an informed decision while farming. It also offers a platform for buyers to search for the farm fresh produce available nearby and connect with the farmers.</t>
  </si>
  <si>
    <t>info@revofarm.com</t>
  </si>
  <si>
    <t>+1-8766569071</t>
  </si>
  <si>
    <t>Warren Robinson; Co-Founder; wrobinson@revofarm.com; http://linkedin.com/in/warren-robinson-5a214624; JN Group, Warren Robinson. Northern Caribbean University 2013
Ricardo Gowdie; Founder &amp; CEO; rgowdie@revofarm.com; http://linkedin.com/in/ricardogowdie; Intown Supersave Supermarket, Futech Digital Solutions. STVET Institute Derrick Rochester Campus 2010</t>
  </si>
  <si>
    <t>wrobinson@revofarm.com
rgowdie@revofarm.com</t>
  </si>
  <si>
    <t>http://linkedin.com/in/warren-robinson-5a214624
http://linkedin.com/in/ricardogowdie</t>
  </si>
  <si>
    <t>http://www.revofarm.com</t>
  </si>
  <si>
    <t>http://twitter.com/revofarmltd</t>
  </si>
  <si>
    <t>http://facebook.com/revofarmltd</t>
  </si>
  <si>
    <t>http://revofarm.com/blog</t>
  </si>
  <si>
    <t>https://tracxn.com/companies/IaZ8WINeIbdlzWkTOepRJ782YRNdB17NaYZ65etCBEo/revofarm.com</t>
  </si>
  <si>
    <t>Agribots is a cloud-based agricultural management software suite that syncs to in-ground sensors and other private and public sources to amass information relevant to agricultural practices of a specific crop and area. Customers have option to keep their private or public and based upon that have option to access the data shared by the other users. Anonymity of customer data is maintained by Agribots. Customers then can manage their fields, with information shared by the other and analytic provided by the platform. More the data available on the platform, more analytic and trends can be given by the platform.</t>
  </si>
  <si>
    <t>Carlos Vadillo; Co-Founder; carlos@agribots.com; http://linkedin.com/in/carlosvadillo; Founder of V&amp;R Brewing
Juan Abraham Massman; Co-Founder; juan@agribots.com; http://linkedin.com/in/juanabraham; Wharton Business School alumni
Raul Acuna; Co-Founder; http://linkedin.com/in/reacuna; Professor at Los Andes University</t>
  </si>
  <si>
    <t>carlos@agribots.com
juan@agribots.com</t>
  </si>
  <si>
    <t>http://linkedin.com/in/carlosvadillo
http://linkedin.com/in/juanabraham
http://linkedin.com/in/reacuna</t>
  </si>
  <si>
    <t>http://www.linkedin.com/vsearch/p?f_CC=9484300</t>
  </si>
  <si>
    <t>http://www.agribots.com</t>
  </si>
  <si>
    <t>http://linkedin.com/company/agribots</t>
  </si>
  <si>
    <t>http://twitter.com/agribots</t>
  </si>
  <si>
    <t>http://facebook.com/pages/agribots</t>
  </si>
  <si>
    <t>https://tracxn.com/companies/dE_4mGe62rAi-onURq7UhBVP-n8n6Gr-Dt2M5Ps7EZg/agribots.com</t>
  </si>
  <si>
    <t>SAP
SP Ventures
WOW</t>
  </si>
  <si>
    <t>Aegro is a developer of farm management software which enables farmers to macro manage farm worker's activity by creating their individual profiles and maintaining crop data records apart from farm input resource management. The software is web based and can be accessed through multiple platforms including PC and mobile.</t>
  </si>
  <si>
    <t>Pedro Dusso; Co-Founder; pedro@aegro.com.br; http://linkedin.com/in/pmdusso; MS, Computer Science, Technische Universität Kaiserslautern, 2014
Thomas Rodrigues; Co-Founder; thomas@aegro.com.br; http://linkedin.com/in/thomas-rodrigues-42a80813; ex-Software Developer/Analyst, Maxiprod Informática Industrial Ltda, MS, Computer Science, Universidade Federal do Rio Grande do Sul, 2016
Paulo Silvestrin; Co-Founder; paulo@aegro.com.br; http://linkedin.com/in/paulo-silvestrin-04775b22; MS, Computer Science, Universidade Federal do Rio Grande do Sul, 2015</t>
  </si>
  <si>
    <t>pedro@aegro.com.br
thomas@aegro.com.br
paulo@aegro.com.br</t>
  </si>
  <si>
    <t>http://linkedin.com/in/pmdusso
http://linkedin.com/in/thomas-rodrigues-42a80813
http://linkedin.com/in/paulo-silvestrin-04775b22</t>
  </si>
  <si>
    <t>http://www.linkedin.com/vsearch/p?f_CC=10011262</t>
  </si>
  <si>
    <t>https://aegro.com.br/</t>
  </si>
  <si>
    <t>http://linkedin.com/company/aegro</t>
  </si>
  <si>
    <t>http://twitter.com/aegrofarming</t>
  </si>
  <si>
    <t>https://tracxn.com/companies/UNb6wDEjwOmj6B8rH-ah_A2OaNH4pgZgr7R5-i1cCqI/aegro.com.br</t>
  </si>
  <si>
    <t>$419K</t>
  </si>
  <si>
    <t>B2B E-Commerce &gt; Food &amp; Beverages &gt; Groceries &gt; Farm Products &gt; E-Distributor
Online Grocery &gt; B2B Ecommerce &gt; Farm Produce &gt; Fruits and Vegetables &gt; Marketplace
Crop Tech &gt; ECommerce &gt; Farm Produce &gt; B2B &gt; Fruits and Vegetables &gt; E Distributor</t>
  </si>
  <si>
    <t>Beenext
3one4 Capital
Tracxn Labs</t>
  </si>
  <si>
    <t>Sandeep Tandon
Abhishek Jain
Abhinav Daga
Pallav Singh
Sameer Nagpal
Anand Chandrasekaran
Karan Singh Shekhawat
Ashish Goenka
Amit Gupta
Geet Bhanawat
Viraj Shah
Gagan Goyal
Anupam Mittal
R Ramakrishnan
Rohit Bansal
Harpreet Singh
Neeraj Goenka
Kunal Shah
Srikanth Velamakanni
Kunal Bahl
Utsav Somani
Pranay Jivrajka
Farooq Adam Mukadam
Pallaw Sharma
Mohandas Pai
Edul Patel</t>
  </si>
  <si>
    <t>Truce is an online B2B retail store for farm vegetables and fruits. Procures fruits and vegetables from farmers and sells them to mid-large sized F&amp;B and hospitality players in Mumbai. Raised $370k in angel funding led by TracxnLabs, with participation from Snapdeal co-founders Kunal Bahl and Rohit Bansal, Shaadi.com founder Anupam Mittal, InMobi co-founder Amit Gupta, Utsav Somani and Neeraj Goenka of Mumbai Angels besides Farooq Adam Mukadam of Shopsense Retail Technologies.</t>
  </si>
  <si>
    <t>Kedar Gokhale; Co-Founder; kedar@truce.in; http://linkedin.com/in/kedar-gokhale-8b634833; Aasaanjobs, Pratham Education, BCG. IIT Bombay, 2010
Saurabh Jain; Co-Founder; SaurabhJain1099@gmail.com; http://linkedin.com/pub/saurabh-jain/9/192/48a; Tinyowl, Fractal Analytics, JayPee Capital services Ltd., Edgewayz Co. IIT Bombay, 2010</t>
  </si>
  <si>
    <t>kedar@truce.in
SaurabhJain1099@gmail.com
saurabh@truce.in</t>
  </si>
  <si>
    <t>http://linkedin.com/in/kedar-gokhale-8b634833
http://linkedin.com/pub/saurabh-jain/9/192/48a</t>
  </si>
  <si>
    <t>http://www.linkedin.com/vsearch/p?f_CC=10130035</t>
  </si>
  <si>
    <t>Kedar Gokhale
Saurabh Jain</t>
  </si>
  <si>
    <t>http://truce.in</t>
  </si>
  <si>
    <t>http://linkedin.com/company/truce---truce-price</t>
  </si>
  <si>
    <t>https://tracxn.com/companies/HeW-YCL7zn6nkbdNUm4YpMN72ZvpOICRK9oNy45NdYY/truce.in</t>
  </si>
  <si>
    <t>Babban Gona provides customized farming services. The company offers farm inputs, credit, marketing, and training services to the franchised farmer groups. The company claims to train the farmers to enhance their yields and increase their net incomes 2.8 to 3.5 times greater than the average farmer with a 99.9% loan repayment rate. The company is operational in Lagos.</t>
  </si>
  <si>
    <t>info-lagos@doreopartners.com</t>
  </si>
  <si>
    <t>Kola Masha; CEO &amp; MD; http://linkedin.com/in/kola-masha-b13837; MD Doreo Partners, Notore Foods, ex-African Enterprise Challenge Fund, Abiomed, GE Healthcare. University of Minnesota-Twin Cities BS 2000, Massachusetts Institute of Technology MS 2002, Harvard Business School MBA 2006</t>
  </si>
  <si>
    <t>http://linkedin.com/in/kola-masha-b13837</t>
  </si>
  <si>
    <t>https://babbangona.com/</t>
  </si>
  <si>
    <t>http://linkedin.com/company/babban-gona</t>
  </si>
  <si>
    <t>http://twitter.com/babbangona</t>
  </si>
  <si>
    <t>https://tracxn.com/companies/Sp9QanggGlOce_dzkfe_ig1DAIOc_5lu-L63DciASFI/babbangona.com</t>
  </si>
  <si>
    <t>Consumer
Tech
Marketplace
SaaS
Tech Hardware
Artificial Intelligence</t>
  </si>
  <si>
    <t>$113K</t>
  </si>
  <si>
    <t>Cisco LaunchPad
DLabs
IncubeOdia
FasterCapital</t>
  </si>
  <si>
    <t>Shardul Shivaji Kashirsagar
Tapan Kumar Das
Sunil Kumar Sahoo
Naresh Kanal
Aditya Kumar Maharana
Ashish Pattjoshi
Mrutyunjaya Das
Chiranjibi Kar
Ashutosh Kumar Sinha
Srikanth Sai Anumula
Kaksha Kuntal Mehta
Swaminathan Balasubramanian
Santanu Kumar Panda
Shubranshu Sekhar Pani
Saibalini Sahoo
Abhijit Das
Anita Das Choudhury
Mahalingam Srinivaasan
Rajib Patra
Premananda Acharya
Arumugam Selvakumar
Satya Ranjan Mohanty
Sugata Sircar
Rajaram Tripathy
Sidharth Gupta</t>
  </si>
  <si>
    <t>Exabit has developed a farming activity automation and a data analytic platform for farmers in India. First product is Robotix, a farming activity automation platform to perform the activities as per the schedule and keep records for future references. Other product is Tactix, a data intelligence platform which generates business intelligence reports on the basis of gathered data. Robotix platform can be integrated into Tactix platform for the analysis and report generation purposes.</t>
  </si>
  <si>
    <t>Satyajeet Mahapatra; Co-Founder &amp; CEO; satyajeet@exabit.in; http://linkedin.com/in/satyajeet-mahapatra-3261963b; ex-J.P. Morgan, Yahoo!, Sapient, Mahindra British Telecom.ITER CSE 2004.
Prashant Sahoo; Co-Founder &amp; COO; +919916394900; Prashant@exabit.in; http://linkedin.com/in/prashantsahoo; ex-Cisco, Oracle Financial Services Software, Infosys, Satyam Computer Services. ITER BE 2004.</t>
  </si>
  <si>
    <t>satyajeet@exabit.in
satyajeet.mahapatra@gmail.com
Prashant@exabit.in
pks.iter@gmail.com</t>
  </si>
  <si>
    <t>http://linkedin.com/in/satyajeet-mahapatra-3261963b
http://linkedin.com/in/prashantsahoo</t>
  </si>
  <si>
    <t>http://www.linkedin.com/vsearch/p?f_CC=9396038</t>
  </si>
  <si>
    <t>Prashant Sahoo
Avinash Agrawal</t>
  </si>
  <si>
    <t>https://www.exabit.in</t>
  </si>
  <si>
    <t>http://linkedin.com/company/exact-systems-private-limited</t>
  </si>
  <si>
    <t>http://facebook.com/exabitsystems</t>
  </si>
  <si>
    <t>https://tracxn.com/companies/6bkLhyf5fijQTsy-5NutBSaYnsFStHcMH89LbBw_Qj0/exabit.in</t>
  </si>
  <si>
    <t>LivingBox is a modular and sustainable system that enables urban households to grow fresh vegetables at low costs and with minimal effort in any location. Developed by LivinGreen, the system is based on hydroponics which can be shipped and assembled easily and can be fed with different organic substances depending on availability and place. The project has won a grant from the Ministry of the Economy for development and design of the product and as of Apr 2017, it is finalizing their prototype for piloting. It is also in discussions with potential partners in Israel and Uganda for beta testing the product.</t>
  </si>
  <si>
    <t>http://www.linkedin.com/vsearch/p?f_CC=9233459</t>
  </si>
  <si>
    <t>http://livingboxproject.com</t>
  </si>
  <si>
    <t>http://linkedin.com/company/living-box-project</t>
  </si>
  <si>
    <t>http://twitter.com/livingboxproj</t>
  </si>
  <si>
    <t>https://tracxn.com/companies/84vhZOGT0u37BXXaEeiEYe-sHM9EAlCWooJzhndiudE/livingboxproject.com</t>
  </si>
  <si>
    <t>$708K</t>
  </si>
  <si>
    <t>InCeres is a cloud based software for mapping of farm. It enables farmers or users to upload farm mapping images. The software automatically generates grids and enables the user to create various profiles and maintain records for soil data, crop data and manage the field force. The company also provides software tweaked for the need of professional agronomy consultants. It updates the agronomy data in real time for bench marking and analysis.</t>
  </si>
  <si>
    <t>Leonardo Menegatti; CEO; leonardo@inceres.com.br; http://linkedin.com/in/leonardo-menegatti-38863119; Master, Precision Agriculture, Universidade de São Paulo</t>
  </si>
  <si>
    <t>leonardo@inceres.com.br</t>
  </si>
  <si>
    <t>http://linkedin.com/in/leonardo-menegatti-38863119</t>
  </si>
  <si>
    <t>http://www.linkedin.com/vsearch/p?f_CC=9266729</t>
  </si>
  <si>
    <t>https://inceres.com.br</t>
  </si>
  <si>
    <t>http://linkedin.com/company/inceres-agsystem</t>
  </si>
  <si>
    <t>http://facebook.com/inceres/</t>
  </si>
  <si>
    <t>https://tracxn.com/companies/g-393D82EVuqZV6zEtwGNGtH2twY_v6tOT_C1MCkN1Q/inceres.com.br</t>
  </si>
  <si>
    <t>Alternative Lending &gt; Online Lenders &gt; Business Loans &gt; Working Capital Loans &gt; Marketplace
Crop Tech &gt; Finance &gt; Crowdfunding</t>
  </si>
  <si>
    <t>Jiuchuang Capital
Tuandaiwang</t>
  </si>
  <si>
    <t>Mujinnong is an online crowdfunding platform for the agriculture sector. The company operates models such as P2P and P2B lending for asset-backed loans, crowdfunding, investment, factoring etc. It connects  The company is operational in China.</t>
  </si>
  <si>
    <t>+86-4009199981</t>
  </si>
  <si>
    <t>Wang Zeng; Founder &amp; CEO</t>
  </si>
  <si>
    <t>http://www.linkedin.com/vsearch/p?f_CC=6405551</t>
  </si>
  <si>
    <t>https://www.mujinnong.com</t>
  </si>
  <si>
    <t>http://linkedin.com/company/mujinnong-com</t>
  </si>
  <si>
    <t>https://tracxn.com/companies/j5ParQ1sg4LmGlFhkCO54KjtFMb6bbeQXFq7wgmPDlI/mujinnong.com</t>
  </si>
  <si>
    <t>Consumer
SaaS
Artificial Intelligence
Social Impact
Software
Tech Hardware
Blockchain</t>
  </si>
  <si>
    <t>B2B E-Commerce &gt; Food &amp; Beverages &gt; Groceries &gt; Farm Products &gt; E-Distributor
Online Grocery &gt; B2B Ecommerce &gt; Multi-Category &gt; E-Distributor
Crop Tech &gt; ECommerce &gt; Farm Produce &gt; B2B</t>
  </si>
  <si>
    <t>Fdlm is a B2B online retailer of groceries. The company takes care of logistics and warehousing. Sells fresh fruits, vegetables, meat, frozen foods, cooked food, spices, beverages, etc. Claims that it sells groceries at an average discount of 20-30% over its competitors.</t>
  </si>
  <si>
    <t>Li Dequan; Co-Founder &amp; CEO; lidequan@fdlm.cn</t>
  </si>
  <si>
    <t>lidequan@fdlm.cn</t>
  </si>
  <si>
    <t>http://fdlm.cn</t>
  </si>
  <si>
    <t>https://tracxn.com/companies/gDqXh6V2lzgjgpIUtCkBsj5PFs578qagF2it80olFk8/fdlm.cn</t>
  </si>
  <si>
    <t>Marketplace
Consumer
SaaS
Artificial Intelligence</t>
  </si>
  <si>
    <t>Alternative Lending &gt; Online Lenders &gt; Business Loans &gt; Term Loans &gt; Marketplace &gt; P2P
Crowdfunding &gt; Revenue Sharing &gt; Agriculture
Crop Tech &gt; Finance &gt; Crowdfunding</t>
  </si>
  <si>
    <t>Zhen Fund
Renren</t>
  </si>
  <si>
    <t>Anxindeli is an online P2P lending platform for agriculture businesses. It is primarily aimed at animal husbandry business and enables them by providing financing. It has developed a risk management tool to identify the potential risk investments in businesses. It has raised $10M in Series B round from ZhenFund and RenRen Inc.</t>
  </si>
  <si>
    <t>http://anxindeli.com</t>
  </si>
  <si>
    <t>https://tracxn.com/companies/XrQIX5JDEY8kKQGKKn031mp0uvLb4JzisgG2dmdiM-c/anxindeli.com</t>
  </si>
  <si>
    <t>$16M</t>
  </si>
  <si>
    <t>YNC365 (CloudFarm) operates an online trading platform that sells fertilizers, seeds, pesticides, and agricultural machinery. Raised $16M in Jul 2015 from Chunxiao Capital. It has a network of 300+ centers and reaches 25,000 village service stations across 13 provinces, including core agricultural sites in the provinces of Shandong, Henan, Jiangsu and Anhui.</t>
  </si>
  <si>
    <t>Shu Ping Wang; Founder</t>
  </si>
  <si>
    <t>http://ync365.com</t>
  </si>
  <si>
    <t>https://linkedin.com/company/%E5%8C%97%E4%BA%AC%E5%A4%A9%E8%BE%B0%E4%BA%91%E5%86%9C%E5%9C%BA%E6%9C%89%E9%99%90%E5%85%AC%E5%8F%B8/about</t>
  </si>
  <si>
    <t>https://tracxn.com/companies/jR6Z-DxSlaWnhUYPmhcihIHDBtbpoxetZPfAHUxwg8I/ync365.com</t>
  </si>
  <si>
    <t>Dachuwang is a B2B online retailer for agricultural produce. Sells directly to small and medium sized restaurants. Has set up its own logistics and warehousing network. Raised $15M in Series A funding from undisclosed investors in Feb 2015.</t>
  </si>
  <si>
    <t>Dennis Yuan; Founder; http://linkedin.com/in/yuantaotao; YiMuTian, ex-Dangdang ,Monolithic Power System. UESTC 2007</t>
  </si>
  <si>
    <t>http://linkedin.com/in/yuantaotao</t>
  </si>
  <si>
    <t>http://dachuwang.com</t>
  </si>
  <si>
    <t>https://www.linkedin.com/company/%E5%8C%97%E4%BA%AC%E5%A4%A7%E5%8E%A8%E7%BD%91%E7%BB%9C%E7%A7%91%E6%8A%80%E6%9C%89%E9%99%90%E5%85%AC%E5%8F%B8</t>
  </si>
  <si>
    <t>https://tracxn.com/companies/QX68dqmtJH97jRVLujlRo-Sh8AC_jjEo1NGrzmZTjqI/dachuwang.com</t>
  </si>
  <si>
    <t>$400K</t>
  </si>
  <si>
    <t>Siembraviva is an online platform for the Colombian farmers to sell their organic produce to the urban consumers in Colombia. Registered farmers have their produce categorized as per the benchmarks set by the company and listing happens as per that. Moreover, the platform allows the consumers to build a basket of commodities they want to consume and Siembraviva then makes arrangement for the cultivation of the basket through its producers. Delivery option for the time and place of choice is available on the platform.</t>
  </si>
  <si>
    <t>info@quierosiembraviva.com
soporte@mercaviva.com</t>
  </si>
  <si>
    <t>Diego Benitez; Founder; diego@siembraviva.com; http://linkedin.com/in/dbenitez; Ex-Discovercast, MBA,Grenoble Grduate School of Business</t>
  </si>
  <si>
    <t>diego@siembraviva.com</t>
  </si>
  <si>
    <t>http://linkedin.com/in/dbenitez</t>
  </si>
  <si>
    <t>http://siembraviva.com/</t>
  </si>
  <si>
    <t>https://www.linkedin.com/company/3265031</t>
  </si>
  <si>
    <t>http://twitter.com/siembraviva</t>
  </si>
  <si>
    <t>http://facebook.com/siembraviva</t>
  </si>
  <si>
    <t>https://tracxn.com/companies/9MijD2FJa6uFA7ZC_eL7Lf5wsgz2lNucgWN1_Npvwas/siembraviva.com</t>
  </si>
  <si>
    <t>Foodlab Capital
THRIVE</t>
  </si>
  <si>
    <t>Green Onyx is a fully integrated product for indoor automated cultivation of khai-nam (a type of vegetable consumed predominantly in Thailand, Burma and Laos). It grows and processes the same to produce ready to drink juice from the cultivated khai-nam. The product is available in varieties for consumer, restaurants and for industrial scale production. The company claims to have filed for 5 patents based on the technologies it has developed for cultivation and processing.</t>
  </si>
  <si>
    <t>future@greenonyx.biz</t>
  </si>
  <si>
    <t>Ron Guttmann; Co-Founder &amp; Chairman; http://linkedin.com/in/ron-guttmann-1155667; ex-Leket Israel, Tempo Beer Industries, Dorot Foods.
Benny Shoham; CEO &amp; Co-Founder; benny@greenonyx.biz; http://linkedin.com/in/benny-shoham-814196; ex- AgriTech Mass Scale, BrightView Systems, KLA. Technion - Israel Institute of Technology  Bsc 1988, University of Bradford MBA 1998</t>
  </si>
  <si>
    <t>benny@greenonyx.biz</t>
  </si>
  <si>
    <t>http://linkedin.com/in/ron-guttmann-1155667
http://linkedin.com/in/benny-shoham-814196</t>
  </si>
  <si>
    <t>https://www.greenonyx.biz</t>
  </si>
  <si>
    <t>https://twitter.com/fertilityonyx</t>
  </si>
  <si>
    <t>https://tracxn.com/companies/j-afcG2WTkp23TPPf5gbRRyKH28u3HCwtl83JS_3q6A/greenonyx.biz</t>
  </si>
  <si>
    <t>Marketplace
SaaS
Tech</t>
  </si>
  <si>
    <t>Enterprise
Software
Tech Hardware
Social Impact
Innovative
Artificial Intelligence
High IP
Goods
Service
Looks Scalable
Chain
Not for Profit
Blockchain</t>
  </si>
  <si>
    <t>$23M</t>
  </si>
  <si>
    <t>Alternative Lending &gt; Online Lenders &gt; Business Loans &gt; Term Loans &gt; Marketplace &gt; P2P
Crop Tech &gt; Finance &gt; Loans</t>
  </si>
  <si>
    <t>KesuCorp operates three different businesses P2P agricultural loans, e-commerce platform for farm products and farm products logistic solution. The P2P agri loan platform helps borrowers to finance various needs related to agriculture production. The e-commerce platform enables distribution to the end user and businesses and this is achieved by its logistics solution.</t>
  </si>
  <si>
    <t>http://kesucorp.com</t>
  </si>
  <si>
    <t>https://tracxn.com/companies/Peiz9RjlLp4F-se5--o_YVEyjvoukjWYE0xAnNYxUks/kesucorp.com</t>
  </si>
  <si>
    <t>Genomics &gt; Applied Genomics &gt; Agrigenomics
Crop Tech &gt; Farm Inputs &gt; Seeds &gt; Field Crops &gt; Hybrid</t>
  </si>
  <si>
    <t>Wand Partners</t>
  </si>
  <si>
    <t>Seedworks is an Indian seeds company involved in the development and supply of hybrid seeds. It has its operations in India and Philippines. The product portfolio includes hybrid seeds of cotton, rice, maize, and pearl millet in India and eggplant, tomato, carrot, squash, cucumber, hot pepper, sweet corn, rice, and watermelon in the Philippines. Technology is focused towards development of stress-resistant traits in seeds and commercializing the production of seeds. Trial sites are situated in Hyderabad, India and in the Philippines. It operates through its subsidiaries in India and in the Philippines. It sells its seeds under the brand name "US Agriseeds". In May, 2015, Bayer CropScience acquired its India subsidiary SeedWorks India Pvt. Ltd. and merged it with Bayer's Nunhems brand.</t>
  </si>
  <si>
    <t>info@seedworks.com</t>
  </si>
  <si>
    <t>Srikrishna Venkatanarasimha Dwaram; Executive Director; 9821542928; https://linkedin.com/in/srikrishna-dwaram-37682a1
Venkatram Vasantavada; Executive Director; 9949673295; v.venkatram@gmail.com; https://linkedin.com/in/venkatram-vasantavada-8bba6a
Anil Kumar Choudhary; Executive Director; 9320387009
Balaji Nukal; Executive Director; 9849453435; bnukal@prodigy.net
Taracaud Narayanan Rajan; Executive Director; rajan.narayanan@seedworks.com
Ravi Kiran Dutt Vogeti; Executive Director; 9849572206; kirandutt@seedworks.com</t>
  </si>
  <si>
    <t>v.venkatram@gmail.com
bnukal@prodigy.net
rajan.narayanan@seedworks.com
rajan@seedworks.com
kirandutt@seedworks.com</t>
  </si>
  <si>
    <t>https://linkedin.com/in/srikrishna-dwaram-37682a1
https://linkedin.com/in/venkatram-vasantavada-8bba6a</t>
  </si>
  <si>
    <t>truenorth.co.in</t>
  </si>
  <si>
    <t>https://www.seedworks.com</t>
  </si>
  <si>
    <t>https://www.linkedin.com/company/seedworks-international-pvt.-ltd.</t>
  </si>
  <si>
    <t>https://tracxn.com/companies/jSpJiFZw7YAb10fHfU50TCxmXCPCF2yUsNzs4EAAmDE/seedworks.com</t>
  </si>
  <si>
    <t>Genomics &gt; Applied Genomics &gt; Agrigenomics
Crop Tech &gt; Farm Inputs &gt; Biologicals &gt; Diversified</t>
  </si>
  <si>
    <t>Department of Biotechnology
Rabo Equity Advisors
BIRAC</t>
  </si>
  <si>
    <t>Sri Biotech Laboratories is focussed on doing research for improving the crop yield by improving the crop nutrition and better crop protection. The research is based on both organic and inorganic nutrients and fertilizers as well as pesticides and other crop protection products. Apart from R&amp;D it also manufactures and sells crop nutrients and crop protection chemicals. It has a 100 acres Research farm located at Nandigama. It has 2 manufacturing facilities at Hyderabad and Guntur and claims to be catering to 10M farmers in 13 states in India. In Nov 2015, Rabo Equity which had invested $9M, exited selling its stake to Italy based Valagro SpA, which now owns a controlling stake in the company.</t>
  </si>
  <si>
    <t>KRK Reddy; Founder; krk@sribio.com; http://linkedin.com/in/krk-reddy-a140ba5; SVV High School 1977</t>
  </si>
  <si>
    <t>krk@sribio.com</t>
  </si>
  <si>
    <t>http://linkedin.com/in/krk-reddy-a140ba5</t>
  </si>
  <si>
    <t>valagro.com</t>
  </si>
  <si>
    <t>http://www.sribio.com</t>
  </si>
  <si>
    <t>https://tracxn.com/companies/fcljhRWNWAy5YZtr8E_U3vAXn-0XMJAQE6rRc8Nt6FI/sribio.com</t>
  </si>
  <si>
    <t>Crop Tech &gt; Farm Inputs &gt; Seeds &gt; Field Crops &gt; GMO</t>
  </si>
  <si>
    <t>MABPL is a Research-driven enterprise committed to evolving superior products (Seeds) which have improved characteristics such as better yield, greater uniformity, improved luster, disease resistance etc. The company has a special focus on hybrids of Paddy (Rice) which has huge potential in the market.</t>
  </si>
  <si>
    <t>contact@manishaseeds.com</t>
  </si>
  <si>
    <t>Sabir Mohammed; CEO; Sungene India Enterprises.</t>
  </si>
  <si>
    <t>http://manishaseeds.com</t>
  </si>
  <si>
    <t>http://linkedin.com/company/7081540</t>
  </si>
  <si>
    <t>https://tracxn.com/companies/3dLB1KfhibP8awUJbnqEV5p5-DMdQ6bphIO_oxnUWX4/manishaseeds.com</t>
  </si>
  <si>
    <t>Consumer
Marketplace
SaaS
Tech
Tech Hardware
Software
Social Impact
Artificial Intelligence</t>
  </si>
  <si>
    <t>$149K</t>
  </si>
  <si>
    <t>Crop Tech &gt; Autonomous Farming &gt; Irrigation
CIIE Batches &gt; 2017</t>
  </si>
  <si>
    <t>Artha
Centre for Incubation &amp; Business Acceleration
CIIE
Mahindra Finance
Artha Impact
a-IDEA
Villgro
Millennium Alliance</t>
  </si>
  <si>
    <t>Fly Bird Innovations makes simple and affordable irrigation controllers so that irrigation is done efficiently. They target the small and marginal farmers who cannot afford costly irrigation ecosystem. Its products include sensor (soil moisture) based controller, volume based controller (volume of water to be irrigated has to be pre-defined), timer based controller and mobile based remote controller for on-demand irrigation system switching.</t>
  </si>
  <si>
    <t>contact@flybirdinnovaitons.com</t>
  </si>
  <si>
    <t>+91-8041215712</t>
  </si>
  <si>
    <t>Satish KS; Co-Founder &amp; CEO; satish@flybirdinnovations.com; http://linkedin.com/pub/satish-ks/22/685/44a
Shwetha Rangaswamy; Co-Founder</t>
  </si>
  <si>
    <t>satish@flybirdinnovations.com
satish.ks22@gmail.com</t>
  </si>
  <si>
    <t>http://linkedin.com/pub/satish-ks/22/685/44a</t>
  </si>
  <si>
    <t>Satish KS
Shwetha Rangaswamy</t>
  </si>
  <si>
    <t>http://www.flybirdinnovations.com</t>
  </si>
  <si>
    <t>https://linkedin.com/company/flybird-innovations/about</t>
  </si>
  <si>
    <t>http://facebook.com/pages/flybird-innovations-pvt-ltd/1570844579814500</t>
  </si>
  <si>
    <t>https://tracxn.com/companies/2FGAVIuAAGN_hVhYSzKGTH62FuU3QBW_k65oMu0zEug/flybirdinnovations.com</t>
  </si>
  <si>
    <t>ULink Organics is a leading manufacturer of organic fertilizers and organic foods based in Mumbai, India. The fertilizers specifically address the serious modern day concerns about soil and environmental degradation and the threat posed to human health as a result of excessive use of chemical inputs. They are bio-degradable, environment friendly and have the ability to enhance yields and improve produce quality.</t>
  </si>
  <si>
    <t>info@ulinkbioenergy.com</t>
  </si>
  <si>
    <t>+91-2222163956</t>
  </si>
  <si>
    <t>Shardul Sheth; Founder &amp; CEO; +919820434146; shardul.sheth@gmail.com; http://linkedin.com/pub/shardul-sheth/59/aa6/aa1; Ex-Best Buy, PwC India. University of Mumbai BCom, Rochester Institute of Technology MBA 2003</t>
  </si>
  <si>
    <t>shardul.sheth@gmail.com
shardulsheth@gmail.com
shardul.sheth@agrostar.in</t>
  </si>
  <si>
    <t>http://linkedin.com/pub/shardul-sheth/59/aa6/aa1</t>
  </si>
  <si>
    <t>http://www.ulinkorganics.com</t>
  </si>
  <si>
    <t>https://linkedin.com/company/ulink-bioenergy-pvt.-ltd./about</t>
  </si>
  <si>
    <t>https://tracxn.com/companies/sJEw-u8hrxI_Am1-_uN-jzmjkZTlvJsGaS0qQ3I5eXE/ulinkorganics.com</t>
  </si>
  <si>
    <t>$55K</t>
  </si>
  <si>
    <t>Crop Tech &gt; Farm Inputs &gt; Plant Breeding &gt; Technology Providers</t>
  </si>
  <si>
    <t>IbreedIt has developed an online platform for data recording and analysis for the plant breeders and researchers. The platform named "Intelligent Decision Support System(IDSS)" is a decision support system which provides modules for recording data as per the available information on breeding technologies and on-field trials on the platform. On the basis of that data, the platform analyzes the result and provides conclusion regarding the specific trials as well as provides insight on the due course. The platform also has modules for phenotyping, phytopathology, plant biology, and field planning assistant tool.</t>
  </si>
  <si>
    <t>office@iBreedIt.com</t>
  </si>
  <si>
    <t>Oded Sagee; Founder &amp; CEO; oded@ibreedit.com; http://linkedin.com/in/dr-oded-sagee-27550741; Ex- Founder, Sensoil Limited, Ex- Founder,  GreenInnovation Investments, Exx-CEO, Aqua Labs</t>
  </si>
  <si>
    <t>oded@ibreedit.com</t>
  </si>
  <si>
    <t>http://linkedin.com/in/dr-oded-sagee-27550741</t>
  </si>
  <si>
    <t>http://www.ibreedit.com</t>
  </si>
  <si>
    <t>https://linkedin.com/company/breedit/about</t>
  </si>
  <si>
    <t>http://twitter.com/breeditir</t>
  </si>
  <si>
    <t>http://facebook.com/pages/breedit/383501408452689</t>
  </si>
  <si>
    <t>https://tracxn.com/companies/99kSGDQVIc-wMSG3ArfS-cPRXSxstEYd05xpBLrw5TM/ibreedit.com</t>
  </si>
  <si>
    <t>Artha Impact
Menterra Venture Advisors
Villgro
Artha</t>
  </si>
  <si>
    <t>Jayansh Singh
Sunil Govindan</t>
  </si>
  <si>
    <t>Nubesol provides a variety of technology solutions such as sensor based soil sensing and moisture measurement, geo mapping through sensors, prediction of acreage. The farmer can get information regarding the soil moisture level through mobile application. The application also provides advise for the crop management, yield management and give notifications for parameters threatening yield of crop. The application also has modules for post cultivation phases such as harvesting, transport of sugarcane crop, disposal of sugarcane etc. The platform sends regular notifications through SMS to the farmers for the activities of the crop management cycle. There are many report formats for analysis based on different metrics available on the platform and a farmer can generate his own report. Moreover, Nubesol has a dedicated call center to resolve the queries of the growers at any point in the growing cycle.</t>
  </si>
  <si>
    <t>sales@nubesol.co.in</t>
  </si>
  <si>
    <t>+91-7022035000</t>
  </si>
  <si>
    <t>Suraj Dixit; Founder &amp; MD; +919945212000; surajdixit@gmail.com; http://linkedin.com/in/suraj-dixit-9a0b0140; Ex-Senior Program Manager in British Telecom
Seetha Atmaram Dixit; Co-Founder; http://linkedin.com/in/paul-basil-73736a12
Shruti Suraj Dixit; Co-Founder</t>
  </si>
  <si>
    <t>surajdixit@gmail.com</t>
  </si>
  <si>
    <t>http://linkedin.com/in/suraj-dixit-9a0b0140
http://linkedin.com/in/paul-basil-73736a12</t>
  </si>
  <si>
    <t>Seetha Atmaram Dixit
Shruti Suraj Dixit</t>
  </si>
  <si>
    <t>http://nubesol.co.in/</t>
  </si>
  <si>
    <t>https://www.linkedin.com/in/nubesol-technologies-ba5020120</t>
  </si>
  <si>
    <t>http://facebook.com/nubesol.technologies/</t>
  </si>
  <si>
    <t>http://nubesol.co.in/index.php/blog</t>
  </si>
  <si>
    <t>https://tracxn.com/companies/f2pVj0v-9LoazcTZO7SY3aER4MT_t4cer7pSRncRqEE/nubesol.co.in</t>
  </si>
  <si>
    <t>Crop Tech &gt; Content Platforms &gt; Data as a Service &gt; Farm Data Platform
CIIE Batches &gt; 2016</t>
  </si>
  <si>
    <t>CIIE
Millennium Alliance</t>
  </si>
  <si>
    <t>Jayalaxmi Agro Tech is an information technology company which has created mobile based applications to provide farmers with information on crops and related inputs, scale, and timing of input dispensation, time management and reminders set up for irrigation/fertigation. The info is textual as well as audio-visual so that illiterate farmers can use it. As of Nov 2015, the apps have content in the Kannada language. Claims over 50k farmers using these apps.</t>
  </si>
  <si>
    <t>+91-9741344661</t>
  </si>
  <si>
    <t>Anand Babu; Founder; anand@jayalaxmiagrotech.com; http://linkedin.com/in/anand-babu-a475298; ex-Sr Domain Consultant, Wipro, BAI - IIM B 2012</t>
  </si>
  <si>
    <t>anand@jayalaxmiagrotech.com</t>
  </si>
  <si>
    <t>http://linkedin.com/in/anand-babu-a475298</t>
  </si>
  <si>
    <t>https://www.jayalaxmiagrotech.com</t>
  </si>
  <si>
    <t>http://twitter.com/jayalaxmiagro</t>
  </si>
  <si>
    <t>https://tracxn.com/companies/sBnaRzbBSeadrMz08EPxHaUIroQu3O_CHPGRrvF67O8/jayalaxmiagrotech.com</t>
  </si>
  <si>
    <t>Start-Up Chile
Wayra
Artesian
SproutX</t>
  </si>
  <si>
    <t>Farmapp is a mobile application that provides modules for early detection of pests, weather reports and fumigation process for farmers. Upon registration in platform the farmer has to enter details about farm land such as crop, location and through the satellite images it maps the farm land. The pest control utility is focused towards the early detection of pests in crops and reduction of pesticides cost in farm fields. The platform provides real time effect of pesticides on the farmers' field. The weather report utility called "Meteo" provides weather report based on the data from the weather stations installed at various points around the globe. It was awarded as the third best application in Colombia in 2014.</t>
  </si>
  <si>
    <t>Luis Eduardo Ortiz Forero; Co-Founder &amp; CEO; http://linkedin.com/in/luis-eduardo-ortiz-forero-20812137; University of Los Andes alumni
Carlos Gonzalez; Co-Founder; carlos@farmappweb.com; http://linkedin.com/in/carloshoraciog; Software Engineer at Conduct HQ</t>
  </si>
  <si>
    <t>carlos@farmappweb.com</t>
  </si>
  <si>
    <t>http://linkedin.com/in/luis-eduardo-ortiz-forero-20812137
http://linkedin.com/in/carloshoraciog</t>
  </si>
  <si>
    <t>https://www.farmappweb.com</t>
  </si>
  <si>
    <t>https://linkedin.com/company/farmappweb/about</t>
  </si>
  <si>
    <t>http://twitter.com/farmappweb</t>
  </si>
  <si>
    <t>http://facebook.com/farmappweb</t>
  </si>
  <si>
    <t>https://tracxn.com/companies/loMXCv1IAOgD27SJZsA2SsPtXNl2Qpbp7IOfFfDuBpE/farmappweb.com</t>
  </si>
  <si>
    <t>$180M</t>
  </si>
  <si>
    <t>Crop Tech &gt; Autonomous Farming &gt; Irrigation
MassChallenge Batches &gt; Boston &gt; 2014 &gt; Silver</t>
  </si>
  <si>
    <t>Yuanda China Holdings
MassChallenge
THRIVE</t>
  </si>
  <si>
    <t>AutoAgronom develops precision agriculture solution for irrigation and fertilizers. Claims to save up to 50% of water, 70% of fertilizer and an increased yield of up to 30%. The solution is based on an agronomic method and tools - by measuring chemical and physical changes in the root zone. Using various sensors (tensiometers, oxygen, pH and conductivity, and Nitrate calculations) each system collects data from the soil; performs computerized analysis; and, by utilizing fuzzy-control algorithms, automatically activates irrigation and fertilization. Services to partner growers include optimizing hydraulic designs; turn-key project management; on-site and on-line agronomic monitoring capabilities; and 24/7 technical support. Chinese company Yuanda has invested $180 million in AutoAgronom in Oct 2015. With the latest investment, AutoAgronom will set up a factory in China to manufacture its autonomous irrigation systems and distribute them throughout China. In 2014, Yuanda purchased 54% of the Israeli company, which was founded in Israel in 1988 and has since relocated to Boston.</t>
  </si>
  <si>
    <t>Nissim Daniely; CEO; nissimdaniely@gmail.com; http://linkedin.com/in/%D7%93%D7%A0%D7%99%D7%90%D7%9C%D7%99-%D7%A0%D7%99%D7%A1%D7%99%D7%9D-6056262b; Ex- CEO, Rotem Dan 88</t>
  </si>
  <si>
    <t>nissimdaniely@gmail.com</t>
  </si>
  <si>
    <t>http://linkedin.com/in/%D7%93%D7%A0%D7%99%D7%90%D7%9C%D7%99-%D7%A0%D7%99%D7%A1%D7%99%D7%9D-6056262b</t>
  </si>
  <si>
    <t>http://www.linkedin.com/vsearch/p?f_CC=5344406</t>
  </si>
  <si>
    <t>https://www.autoagronom.com</t>
  </si>
  <si>
    <t>http://linkedin.com/company/autoagronom</t>
  </si>
  <si>
    <t>https://tracxn.com/companies/YpNvDr-fuT2ud5-go5uiZdHgqf19XF1g_0dIdfMgcAA/autoagronom.com</t>
  </si>
  <si>
    <t>Village Capital
Growth Africa</t>
  </si>
  <si>
    <t>M-Shamba provides various technology solutions providing linkages for smallholder farmers in Africa. The product portfolio has a B2B marketplace for selling farm produce including livestock animals, an online platform to connect the farmers to various transport agencies for supply chain management, and a farm management software solution for data recording and business intelligence. Farmers can also post their listings using mobile SMS in case they don't have a smartphone.</t>
  </si>
  <si>
    <t>info@mshamba.net</t>
  </si>
  <si>
    <t>Calvince Okello; CEO; calvince@mshamba.net; http://linkedin.com/in/calvince-okello-8b360253; Fellow, Acumen Fund, B.Sc(Agriculture Engineering),Jomo Kenyatta University of Agriculture and Technology</t>
  </si>
  <si>
    <t>calvince@mshamba.net</t>
  </si>
  <si>
    <t>http://linkedin.com/in/calvince-okello-8b360253</t>
  </si>
  <si>
    <t>http://www.mshamba.net</t>
  </si>
  <si>
    <t>http://twitter.com/mshambake</t>
  </si>
  <si>
    <t>https://tracxn.com/companies/h4Ac1xGKvhv5xr-zEIQoflZMKD2sOA9lUy-5sNAClvQ/mshamba.net</t>
  </si>
  <si>
    <t>Abuja</t>
  </si>
  <si>
    <t>Federal Capital Territory</t>
  </si>
  <si>
    <t>Crop Tech &gt; ECommerce &gt; Farm Inputs &gt; Farm Equipment &gt; Rentals</t>
  </si>
  <si>
    <t>Points of Light
The Polsky Center
Civic Accelerator</t>
  </si>
  <si>
    <t>Hello Tractor developed "Smart Tractor" services to cater the needs of poor farmers in Africa.Farmers rent services of "Smart Tractor" for their farmland as pay per the usage. Equipped with various attachments, owners can tailor its use for a variety of crops and stages of the production cycle, allowing them to serve their customers throughout the year. The GPS antenna allows Hello Tractor to track its usage and gather data on location, market trends, and uptake. Hello Tractor platform allows these farmers to connect with the owners of these "Smart Tractors" through their booking system rs to conveniently request and schedule tractor services, from nearby Smart Tractor owners, through SMS messaging. It won USD 30000 in Chicago booth new social venture challenge and won USD 50000 in Point of civic lights accelerator competition.</t>
  </si>
  <si>
    <t>Jehiel Oliver; Founder &amp; CEO; jehiel@hellotractor.com; http://linkedin.com/in/jehiel; Board member and treasurer of Shared Interest Impact fund</t>
  </si>
  <si>
    <t>jehiel@hellotractor.com</t>
  </si>
  <si>
    <t>http://linkedin.com/in/jehiel</t>
  </si>
  <si>
    <t>https://hellotractor.com/</t>
  </si>
  <si>
    <t>https://www.linkedin.com/company/10503091</t>
  </si>
  <si>
    <t>http://twitter.com/hellotractor</t>
  </si>
  <si>
    <t>http://facebook.com/hellotractor</t>
  </si>
  <si>
    <t>http://hellotractor.com/?page_id=1089</t>
  </si>
  <si>
    <t>https://tracxn.com/companies/gG8xYGj-xc4QQUpmP3E7hHjYl7PjXyfK6_EVqEVpR4M/hellotractor.com</t>
  </si>
  <si>
    <t>Consumer
Marketplace
Tech
Artificial Intelligence</t>
  </si>
  <si>
    <t>Drones &gt; Services &gt; Horizontal
Crop Tech &gt; Farm Analytics &gt; Drones Based</t>
  </si>
  <si>
    <t>3IE
Start-Up Chile</t>
  </si>
  <si>
    <t>HardDrones is a provider of drone mapping services. The company claims that its drones can detect troubled areas, provides topography survey service, determine health status of the crops, and also provides counting service. The company claims that its mapping service can help farmers optimize time, based on data and measurements and improve the conditions of the field.</t>
  </si>
  <si>
    <t>Humberto Lobos Sucarrat; Co-Founder; humberto@harddrones.com; http://linkedin.com/in/hloboss; Founder RedCalidad, Ex- founder  SmartboxTV &amp; Movidreams, Grupo Santander Chile, Santander Bank. UAI MBA 1998
Cecil Acevedo; Co-Founder; cecil@harddrones.com; http://linkedin.com/in/cecilacevedo; Ex-GPS Chile. Federico Santa María Technical University 2013</t>
  </si>
  <si>
    <t>humberto@harddrones.com
cecil@harddrones.com</t>
  </si>
  <si>
    <t>http://linkedin.com/in/hloboss
http://linkedin.com/in/cecilacevedo</t>
  </si>
  <si>
    <t>http://www.linkedin.com/vsearch/p?f_CC=3863851</t>
  </si>
  <si>
    <t>https://harddrones.com/</t>
  </si>
  <si>
    <t>http://linkedin.com/company/harddrones-com</t>
  </si>
  <si>
    <t>https://twitter.com/harddrones</t>
  </si>
  <si>
    <t>http://facebook.com/harddrones</t>
  </si>
  <si>
    <t>https://tracxn.com/companies/6GfVeT-tYYf5IJ6H7IXuSDaBtZrj1NaHJxOy0fpe_ik/harddrones.com</t>
  </si>
  <si>
    <t>IoT Applications &gt; Industry Specific &gt; Agriculture &gt; Farms
Crop Tech &gt; Farm Management Software &gt; Pest Monitoring</t>
  </si>
  <si>
    <t>Barn Invest
THRIVE
Qualcomm Ventures
Monashees</t>
  </si>
  <si>
    <t>Cuts down on pesticide use by helping farmers monitor pests, diseases and weeds and determine when, where and how much to spray for maximum efficiency. Its application enables to monitor pests, diseases, and weeds; view areas affected by pests and weeds, find blind areas and routes, and control scouting; monitor the effectiveness of sprayings over pest population, and control tank mixture, as well as maintain tack/record date, time, site, crop protectants used, and climate conditions. It enables technicians to record their activities in the field, as well as interprets and then displays the data in the report and on the maps</t>
  </si>
  <si>
    <t>Luiz C. Tangari Pereira; Co-Founder; luiz@strider.ag; http://br.linkedin.com/in/luiztangari; partner and board member at Confrapar, ex- partner of IEC Partners, ex- Founder of Meritia
Gabi Mendes; Co-Founder &amp; CEO; gabi@strider.ag; http://br.linkedin.com/in/gabyupi/en; Ex-UI/UX Designer, UAIZO
Carlos Neto; Co-Founder &amp; CTO; carlos@strider.ag; http://br.linkedin.com/in/carlosgpn; ex- Founder and CTO of Havop</t>
  </si>
  <si>
    <t>luiz@strider.ag
gabi@strider.ag
carlos@strider.ag</t>
  </si>
  <si>
    <t>http://br.linkedin.com/in/luiztangari
http://br.linkedin.com/in/gabyupi/en
http://br.linkedin.com/in/carlosgpn</t>
  </si>
  <si>
    <t>http://www.linkedin.com/vsearch/p?f_CC=5057303</t>
  </si>
  <si>
    <t>https://www.strider.ag</t>
  </si>
  <si>
    <t>http://linkedin.com/company/strider</t>
  </si>
  <si>
    <t>https://tracxn.com/companies/Abhvkf0mWZcq57flMEmaBops6P7qBztVLxaEy2VEFhY/strider.ag</t>
  </si>
  <si>
    <t>$89K</t>
  </si>
  <si>
    <t>Ankur Capital
Village Capital</t>
  </si>
  <si>
    <t>Suma Agro is a manufacturer of soil nutrients and conditioners. Their product catalog includes Humicas, Jeevan, and Flower valley. The company claims to use active carbon technology to manufacture their products and claims its products to be eco-friendly, organic, and 100% water-soluble. It also claims that its products offer benefits like soil fertility restoration process, increase crop yield and nutrition density, and supports regenerative agriculture.</t>
  </si>
  <si>
    <t>info@sumaagro.com</t>
  </si>
  <si>
    <t>+91-4428152898</t>
  </si>
  <si>
    <t>Krishnamoorthy Karthikeyan; Co-Founder; +919698827777; lakshglobal@gmail.com; http://linkedin.com/in/karthik-krishnamoorthy-a0633394
Balamurukan Sumathy; Co-Founder</t>
  </si>
  <si>
    <t>lakshglobal@gmail.com</t>
  </si>
  <si>
    <t>http://linkedin.com/in/karthik-krishnamoorthy-a0633394</t>
  </si>
  <si>
    <t>https://www.sumaagro.com</t>
  </si>
  <si>
    <t>https://linkedin.com/company/sumaagroindiapvtltd</t>
  </si>
  <si>
    <t>http://twitter.com/sumaagro</t>
  </si>
  <si>
    <t>http://facebook.com/sumaagro</t>
  </si>
  <si>
    <t>https://tracxn.com/companies/GuCUJry4nQXIDAZfbr68fXN3CrKyP3iIOfxh2trZq80/sumaagro.com</t>
  </si>
  <si>
    <t>Patamar Capital
Celebes Artha Ventura
DBS Bank</t>
  </si>
  <si>
    <t>Vasham is a for-profit social organization that provides end-to-end financial services solutions to the small hold farmers in Indonesia. It provides collateral free credit solutions for land, machinery and other infrastructure under a program name "KONCO" which means friend in Indonesian language. Vasham has formed partnership with big organizations functional in the field of agriculture such as Syngenta and Monsanto to deliver its endeavor in Indonesia. Apart from credit services, it also provides service support for day-to-day operation, crop price surety services to the farmers signed up with "KONCO". Currently its operation is based in Jakarta and Lampung, but plans to move to pan Indonesia operation in next four year.</t>
  </si>
  <si>
    <t>Irvan Kolonas; CEO; irvan.kolonas@vasham.co.id; http://linkedin.com/in/irvan-kolonas-b6a77750; Ex- Chief Investment Officer at Celebes Artha Ventures.  University of Southern California Alumni.</t>
  </si>
  <si>
    <t>irvan.kolonas@vasham.co.id</t>
  </si>
  <si>
    <t>http://linkedin.com/in/irvan-kolonas-b6a77750</t>
  </si>
  <si>
    <t>http://www.linkedin.com/vsearch/p?f_CC=3624762</t>
  </si>
  <si>
    <t>https://vasham.co.id/</t>
  </si>
  <si>
    <t>http://linkedin.com/company/vasham</t>
  </si>
  <si>
    <t>http://twitter.com/vasham_id</t>
  </si>
  <si>
    <t>http://facebook.com/vasham-614114268696615/</t>
  </si>
  <si>
    <t>https://tracxn.com/companies/XQqIFF5gJ4izxt1SaaXUcxXG7cSyU5rELdMLcg-4EDk/vasham.co.id</t>
  </si>
  <si>
    <t>Crop Tech &gt; Farm Inputs &gt; Biologicals &gt; Diversified &gt; Microbes</t>
  </si>
  <si>
    <t>WuXi Healthcare Ventures
6 Dimensions Capital</t>
  </si>
  <si>
    <t>Phagelux develops, manufactures and markets phage products for agriculture and health industries. Agriculture division is focused on the development of genetically modified organisms and particles for crop yield and animal health solutions. It has its own labs in Nanjing, China and Montreal, Canada for research and Development purposes. It has production facilities in Shuzou, China for GMP and Non-GM &amp;amp; in Montreal for Non-GMP. It sells its products under the brand name "Phagelux" in China and partners with local partners for international operations.</t>
  </si>
  <si>
    <t>Mark Engel; Founder &amp; CEO; engel@phagelux.com; http://linkedin.com/in/mark-engel-36934b; Managing Director at Tianshi Capital, Went to Notre Dam Law School</t>
  </si>
  <si>
    <t>engel@phagelux.com</t>
  </si>
  <si>
    <t>http://linkedin.com/in/mark-engel-36934b</t>
  </si>
  <si>
    <t>omnilytics.com</t>
  </si>
  <si>
    <t>http://www.phagelux.com</t>
  </si>
  <si>
    <t>https://tracxn.com/companies/FlxyaQlTg6M8vZwL_JoNkE0x1Kz7uutzlHJfaVLP8PE/phagelux.com</t>
  </si>
  <si>
    <t>Mazor</t>
  </si>
  <si>
    <t>Middleland Capital
SRK Realty
BMO Global Asset Management
AgriNation
Israel Cleantech Ventures</t>
  </si>
  <si>
    <t>Groundwork BioAg is a developer of mycorrhizal fungi which it claims forms a symbiotic relationship with plants and helps them extend their root system for better absorption of water and nutrients from soil.</t>
  </si>
  <si>
    <t>Yossi Kofman; CEO; yossi@groundworkbioag.com; ex-Co-founder Modem-Art &amp; bSolar &amp; Siklu. Technion, Israel Institute of Technology DSc</t>
  </si>
  <si>
    <t>yossi@groundworkbioag.com</t>
  </si>
  <si>
    <t>http://www.linkedin.com/vsearch/p?f_CC=5022013</t>
  </si>
  <si>
    <t>https://groundworkbioag.com/</t>
  </si>
  <si>
    <t>http://linkedin.com/company/groundwork-bioagriculture</t>
  </si>
  <si>
    <t>http://facebook.com/groundworkbioag</t>
  </si>
  <si>
    <t>https://tracxn.com/companies/tVqIF95ARLUEIhHTfcgck-_EHVLC-_gNOcnY_oPkeD8/groundworkbioag.com</t>
  </si>
  <si>
    <t>Consumer
Enterprise
Marketplace
SaaS
Tech</t>
  </si>
  <si>
    <t>Antan Investment Group
European Union</t>
  </si>
  <si>
    <t>Drygair develops, manufactures, and supplies dehumidification solutions for greenhouses. The product portfolio has various types of dehumidifiers such as standard unit, small unit, warm climate unit, split unit, and dehumidifier &amp;amp; heater. Each product suitable for various climatic conditions and sizes of greenhouses. It claims that its products can condense up to 45 Litres of water every hour. The products are applicable for horticulture, cannabis industries, floriculture, and organic cultivation in greenhouses. Drygair is a joint venture of</t>
  </si>
  <si>
    <t>info@drygair.com</t>
  </si>
  <si>
    <t>Rona Orlicky; CEO; rona@drygair.com; http://linkedin.com/in/rona-orlicky-0b727445; Ex-CEO, B.Gaon Properties Ltd, Ex-Partner, Metcer low firm</t>
  </si>
  <si>
    <t>rona@drygair.com</t>
  </si>
  <si>
    <t>http://linkedin.com/in/rona-orlicky-0b727445</t>
  </si>
  <si>
    <t>http://www.linkedin.com/vsearch/p?f_CC=5121264</t>
  </si>
  <si>
    <t>https://drygair.com/</t>
  </si>
  <si>
    <t>http://linkedin.com/company/drygair-energies-ltd-</t>
  </si>
  <si>
    <t>http://facebook.com/drygair</t>
  </si>
  <si>
    <t>https://tracxn.com/companies/Znmsfe54-tdL6A2IvDtVsPNVd7O19zXAESncGnuFO8g/drygair.com</t>
  </si>
  <si>
    <t>Biotech R&amp;D &gt; Services and Enablers &gt; Analytical Testing
Crop Tech &gt; Post Harvest Management &gt; Quality Testing &gt; Fruits and Vegetables &gt; Sensors</t>
  </si>
  <si>
    <t>Startups @ Venture Center
IKP Knowledge Park
Venture Center
BIRAC</t>
  </si>
  <si>
    <t>Barefeet Analytics is a food analysis service provider. It utilizes mass spectrometry to analyze contents including peptide and protein mass content, pesticide and antibiotics content, enzyme activity (especially in honey), material categorization and cell studies in agricultural products like fruits and vegetables, honey and other processed food products. The company claims to be working closely with National Chemical Laboratory and Center For Applications of Mass Spectrometry.</t>
  </si>
  <si>
    <t>info@barefeet.co.in</t>
  </si>
  <si>
    <t>Vishal Mahale; Co-Founder; https://linkedin.com/in/vishal-mahale-b6560973; University of Pune MTech 2015
Venkat Panchagnula; Co-Founder; vpanchagnula@gmail.com; http://linkedin.com/in/venkateswarlu-panchagnula-a412738; National Chemical Laboratory, ex-PerkinElmer, CSIRO. Osmania University BSc 1996, University of Hyderabad MSc 1998, University of Connecticut PhD 2005
Ashish Bohora; Co-Founder; abohora@gmail.com; https://linkedin.com/in/ashish-b-0a928630; Ex-GEMS Education, Sokrati, Teach For India. Savitribai Phule Pune University MSc 2009, Delhi University LLB 2019
Magesh Nandagopal; Co-Founder; https://linkedin.com/in/magesh-nandagopal-2a410bb; National Chemical Laboratory, ex-edgelab. University of Madras MSc 2000, University of Connecticut MBA 2008
Avinash Ghanate; Co-Founder; avi156@gmail.com; http://linkedin.com/in/avinash-ghanate-42a090a; The Francis Crick Institute. University of Pune MTech 2010, AcSIR  PhD 2018</t>
  </si>
  <si>
    <t>vpanchagnula@gmail.com
abohora@gmail.com
avi156@gmail.com</t>
  </si>
  <si>
    <t>https://linkedin.com/in/vishal-mahale-b6560973
http://linkedin.com/in/venkateswarlu-panchagnula-a412738
https://linkedin.com/in/ashish-b-0a928630
https://linkedin.com/in/magesh-nandagopal-2a410bb
http://linkedin.com/in/avinash-ghanate-42a090a</t>
  </si>
  <si>
    <t>http://www.linkedin.com/vsearch/p?f_CC=3364332</t>
  </si>
  <si>
    <t>http://www.barefeet.co.in</t>
  </si>
  <si>
    <t>http://linkedin.com/company/barefeet-analytics</t>
  </si>
  <si>
    <t>https://sites.google.com/a/barefeet.co.in/barefeet-co-in/barefeet-blog</t>
  </si>
  <si>
    <t>https://tracxn.com/companies/OZ9tiHDWpZ5tnud_syJ2Ne5j4PSJvXD6NYPXOtZ0IMI/barefeet.co.in</t>
  </si>
  <si>
    <t>Gaborone</t>
  </si>
  <si>
    <t>South East District</t>
  </si>
  <si>
    <t>Botswana</t>
  </si>
  <si>
    <t>VC4A
startup orange</t>
  </si>
  <si>
    <t>Modisar is a mobile application for livestock management developed by Modisar Net providing a multi-level subscription based services to individual and commercial livestock farms for automated monitoring of animals.On basis of subscribed service application provides notification through emails and SMS. Modisar application allows collaboration among the users registered on the platform. Modisar application also provides financial reports for a farm on the basis of captured data.</t>
  </si>
  <si>
    <t>Thuto P Gaotingwe; CEO &amp; Managing Director; thuto@modisar.com; http://linkedin.com/in/thutopaul; Founder of Ratedworks</t>
  </si>
  <si>
    <t>thuto@modisar.com</t>
  </si>
  <si>
    <t>http://linkedin.com/in/thutopaul</t>
  </si>
  <si>
    <t>http://www.linkedin.com/vsearch/p?f_CC=9266933</t>
  </si>
  <si>
    <t>https://www.modisar.com</t>
  </si>
  <si>
    <t>http://linkedin.com/company/modisar-net-pty-ltd</t>
  </si>
  <si>
    <t>http://twitter.com/modisar</t>
  </si>
  <si>
    <t>http://facebook.com/modisarapp</t>
  </si>
  <si>
    <t>https://tracxn.com/companies/4VoSNmAo7ZTHONtfuxUS42gJDlNONZlxUfv09zay3gU/modisar.com</t>
  </si>
  <si>
    <t>Limeira</t>
  </si>
  <si>
    <t>PROMIP is a manufacturer and distributor of biological pest control products. Its product offerings include biological pesticides to mitigate the infestation of mites, thrips, Lepidopterans, and fungi. It is also engaged in the research &amp; development on GMOs, pest resistance traits, and non-target organisms to develop integrated pest management solutions.</t>
  </si>
  <si>
    <t>promip@promip.agr.br</t>
  </si>
  <si>
    <t>+55-1940404112</t>
  </si>
  <si>
    <t>Marcelo Poletti; Founder &amp; CEO; mpoletti@promip.agr.br; https://linkedin.com/in/marcelo-poletti-27522823; Ex-ABC Bio.Luiz de Queiroz College of Agriculture MSc 2002,Phd 2007</t>
  </si>
  <si>
    <t>mpoletti@promip.agr.br</t>
  </si>
  <si>
    <t>https://linkedin.com/in/marcelo-poletti-27522823</t>
  </si>
  <si>
    <t>http://www.linkedin.com/vsearch/p?f_CC=5190235</t>
  </si>
  <si>
    <t>https://www.promip.agr.br</t>
  </si>
  <si>
    <t>http://linkedin.com/company/promip</t>
  </si>
  <si>
    <t>https://twitter.com/promip</t>
  </si>
  <si>
    <t>https://facebook.com/pages/promip/155794327790798</t>
  </si>
  <si>
    <t>http://promip.agr.br/blog-promip</t>
  </si>
  <si>
    <t>https://tracxn.com/companies/dQpkEp-SM8Yll98R62ZRleDeotV4uRiuOVcbXuzMt60/promip.agr.br</t>
  </si>
  <si>
    <t>Infuse Ventures
Intellecap Impact Investment Network</t>
  </si>
  <si>
    <t>Surya Power Magic provides solar panel arrays used to run irrigation motor pumps of varying power (3HP - 7.5HP). Also provides complimentary products like 3 phase water pumps, modules like drips and sprinklers to provide complete green, solar irrigation system to farmers and agro-industries. It also provides tracking solutions and irrigation controllers.</t>
  </si>
  <si>
    <t>Abhilash Thirupathy; Co-Founder; +919488804411; abeyaby@gmail.com; http://linkedin.com/in/abhilashthirupathy; Ex-Co-Founder Rx HealthcareMagic, Johnson and Johnson. Meenakshi Ammal Dental College BDS 2002, IIM Lucknow 2006Johnson &amp; Johnson, Profile Dental Clinic. IIM Lucknow PGDM 2006
Karthic Ravindranath; Co-Founder; karthic@goldfarm.in; http://linkedin.com/in/karthicedrc; Suyati, ex-Co-Founder Sakthi Aerospace, CSM Software, EDS Technologies, Pentasoft Technologies. PSG College of Technology 1999</t>
  </si>
  <si>
    <t>abeyaby@gmail.com
abhilash@goldfarm.in
abhilash@suryapowermagic.com
karthic@goldfarm.in
karthic@suryapowermagic.com</t>
  </si>
  <si>
    <t>http://linkedin.com/in/abhilashthirupathy
http://linkedin.com/in/karthicedrc</t>
  </si>
  <si>
    <t>http://www.suryapowermagic.com</t>
  </si>
  <si>
    <t>http://linkedin.com/company/a-k-surya-power-magic-com</t>
  </si>
  <si>
    <t>http://twitter.com/suryapowermagic</t>
  </si>
  <si>
    <t>https://tracxn.com/companies/U9jGNTr-_C8Pt5o3gYbYvTSdSfqNqghbqIjGCexOWrU/suryapowermagic.com</t>
  </si>
  <si>
    <t>Livestock Tech &gt; Health Management &gt; Nutrition Supplements &gt; Enzymes Based</t>
  </si>
  <si>
    <t>Shenzhen Lvwei Kang Bioengineering is a Chinese company engaged in the manufacturing and supply of enzymes and bio-based ingredients for animal nutrition products catering to the domestic as well as international markets. Its feed additives product portfolio includes Lenerzyme - heat-resistance alkaline lipase, Phytase - to maximise nutrient absorption, and Levenase - a superior bio-efficiency xylanase. In addition, the company also manufactures enzymes for baking and dairy industry.</t>
  </si>
  <si>
    <t>+86-7552601010</t>
  </si>
  <si>
    <t>http://www.leveking.com</t>
  </si>
  <si>
    <t>https://tracxn.com/companies/wfgv0FwuHNCoEUBVCOPCEJ7DTeRbW0WNq173aqOk32M/leveking.com</t>
  </si>
  <si>
    <t>$158K</t>
  </si>
  <si>
    <t>Biotech R&amp;D &gt; Research Applications &gt; Synthetic Biology &gt; Biofuels and Petroleum Replacements
Crop Tech &gt; Farm Inputs &gt; Biologicals &gt; Crop Nutrition &gt; BioChar &gt; From Carbon</t>
  </si>
  <si>
    <t>Banyan Environmental processes agricultural waste to produce biomass and customized biofuels which are used in cement, power, and co-generation plants. Using the technology the company replaces coal as raw-material by crop residues (like red gram, arhar etc) A total of 2300 tons of biomass produced has been used by cement makers till date.</t>
  </si>
  <si>
    <t>enquiry@efuels.co.in</t>
  </si>
  <si>
    <t>+91-4066631974
+91-9989820777</t>
  </si>
  <si>
    <t>Nityanand Agrawal; CEO &amp; Founder; nityanand@eCarbon.co.in; http://linkedin.com/in/nityanand-agrawal-13076312; Ex-Tecumseh India, Kirloskar Copeland, Eicher Motors. IIT BHU B.Tech, IIT Kanpur M.Tech</t>
  </si>
  <si>
    <t>nityanand@eCarbon.co.in
nityanand@efuels.co.in
agrawalnj@gmail.com</t>
  </si>
  <si>
    <t>http://linkedin.com/in/nityanand-agrawal-13076312</t>
  </si>
  <si>
    <t>http://www.efuels.co.in</t>
  </si>
  <si>
    <t>http://twitter.com/banyan_green</t>
  </si>
  <si>
    <t>https://tracxn.com/companies/3wy7IYp9dnGKs8Pw9ic5C01NUTBdgp0TGAIOa87AAc0/efuels.co.in</t>
  </si>
  <si>
    <t>Jiangyin</t>
  </si>
  <si>
    <t>ESW Manage</t>
  </si>
  <si>
    <t>Renew Fibre uses technology to produce pallets, blocks, assemble packing systems etc from waste which is made of up to 95% agricultural wastes such as rice stalks, wheat stalks and bamboo wastes and are free from any formaldehyde additives.</t>
  </si>
  <si>
    <t>Teck Tin Wong; CEO, Founder; http://sg.linkedin.com/in/teck-tin-wong-23a6149b; The University of Glasgow</t>
  </si>
  <si>
    <t>http://sg.linkedin.com/in/teck-tin-wong-23a6149b</t>
  </si>
  <si>
    <t>https://www.renewmaterial.com</t>
  </si>
  <si>
    <t>https://linkedin.com/company/renewmaterial</t>
  </si>
  <si>
    <t>http://twitter.com/renewmaterial</t>
  </si>
  <si>
    <t>https://tracxn.com/companies/AwKxFk3PPD1lY8Y5eykcj-gdLIQBZnr12o29rhyYJz0/renewmaterial.com</t>
  </si>
  <si>
    <t>Start-Up Chile
Wayra</t>
  </si>
  <si>
    <t>VisualNAcert is a developer of farm management tools and cloud base agribusiness management software. The tools focus on farm mapping with aggregated data points and planning the pre harvest operations, purchase planning and harvest management, financial risk mitigation, managing third party service orders, etc. The tools are accessible on multiple platforms including mobile (on android and iOS platforms).</t>
  </si>
  <si>
    <t>Lucia Iborra; CEO; liborra@visualnacert.com; http://linkedin.com/in/luciaiborra</t>
  </si>
  <si>
    <t>liborra@visualnacert.com</t>
  </si>
  <si>
    <t>http://linkedin.com/in/luciaiborra</t>
  </si>
  <si>
    <t>http://www.linkedin.com/vsearch/p?f_CC=5213357</t>
  </si>
  <si>
    <t>https://www.visualnacert.com</t>
  </si>
  <si>
    <t>http://linkedin.com/company/visualnacert</t>
  </si>
  <si>
    <t>http://twitter.com/visualnacert</t>
  </si>
  <si>
    <t>http://facebook.com/visualnacert</t>
  </si>
  <si>
    <t>https://tracxn.com/companies/cnUf7CYVaJbBXEjouEULnT7clRdMrZcvbz0Xh3IR8zw/visualnacert.com</t>
  </si>
  <si>
    <t>Aquaculture Tech &gt; Fisheries &gt; Fishing Intelligence</t>
  </si>
  <si>
    <t>Shellcatch provides an integrated solution for traceability of seafood produce. The hardware is an electrically or solar powered device that collects data using photographs, videos, and telecommunication tools on boats, docks, and processing plants. Data of location, images of catch, weight information related to sea catch, and radio frequency codes along the supply chain is used for the traceability purposes. Analytics related to catch per unit, by-products of the catch can be used to ensure the authenticity of catch.</t>
  </si>
  <si>
    <t>info@shellcatch.com</t>
  </si>
  <si>
    <t>Alfredo Sfeir; Founder and CEO; alfredo.sfeir@shellcatch.com; http://linkedin.com/in/alfredo-sfeir-1b26; Ex-Transdata, Emajix, Endeavor, Organization of American States. University of Essex 1998, Queen's University 1996, Washington International School 1992</t>
  </si>
  <si>
    <t>alfredo.sfeir@shellcatch.com</t>
  </si>
  <si>
    <t>http://linkedin.com/in/alfredo-sfeir-1b26</t>
  </si>
  <si>
    <t>https://shellcatch.com/welcome/</t>
  </si>
  <si>
    <t>https://www.linkedin.com/company/shellcatch-inc-</t>
  </si>
  <si>
    <t>http://facebook.com/shellcatch-269336623147153</t>
  </si>
  <si>
    <t>https://tracxn.com/companies/Dd5lmaGfv3jVbzmia3z4uNvcjnyhFjya7-_vrkHg4p4/shellcatch.com</t>
  </si>
  <si>
    <t>Consumer
Logistics Tech
Agriculture</t>
  </si>
  <si>
    <t>Logistics Tech
Crop Tech</t>
  </si>
  <si>
    <t>Logistics Tech &gt; Freight &gt; Software Solutions &gt; Fleet Management &gt; Tracking &gt; Cargo &gt; Cold Chain Monitoring
Crop Tech &gt; Post Harvest Management &gt; Quality Control &gt; Fruits and Vegetables &gt; Solar Powered Cold Storage</t>
  </si>
  <si>
    <t>CTrax provides technology to track vital parameters of agri produce during cold storage/transportation and post harvest supply chain to notify of deviations from ideal conditions to maintain and prolong the shelf life of agri commodities.</t>
  </si>
  <si>
    <t>Juan Hasfura; Co-Founder &amp; CEO; jhasfura@ctrax.info; http://linkedin.com/in/juan-hasfura-b0783745</t>
  </si>
  <si>
    <t>jhasfura@ctrax.info</t>
  </si>
  <si>
    <t>http://linkedin.com/in/juan-hasfura-b0783745</t>
  </si>
  <si>
    <t>http://ctrax.info/?lang=en</t>
  </si>
  <si>
    <t>https://tracxn.com/companies/xuf2C9R051VaWFyDh2zuSSUIrlaj-nHydn0hY2t9yfQ/ctrax.info</t>
  </si>
  <si>
    <t>Biotech R&amp;D &gt; Services and Enablers &gt; Genomics
Genomics &gt; Applied Genomics &gt; Agrigenomics
Crop Tech &gt; Farm Inputs &gt; Seeds &gt; Field Crops &gt; Hybrid</t>
  </si>
  <si>
    <t>VijayaLakshmi Rao
Sanjeev Kamte
Tan Kok Leong
Chellappa Gopalkrishnan
Radha Madhavan Ananthakumar
John Ramesh
Kalaiselvi Thangavel</t>
  </si>
  <si>
    <t>QTLomics is a developer of agri-genomics based research and development. The company that helps breeders develop better hybrids - QTLomics combines the power of traditional and marker-assisted breeding programs with contemporary Cutting edge genomic tools to catalyze the hybridization of desirable traits in the crop and bring out the magic of heterosis to help breeders develop the hybrids of the future. Beyond the plants, QTLomics also aims to apply siRNA and metagenomes to control pests, reduce the use of fertilizers and pesticides.</t>
  </si>
  <si>
    <t>Sanjeev Kamte; Founder; http://linkedin.com/in/sanjeev-kamte-32659a74
Kannan Ramesh; http://linkedin.com/in/ramesh-kannan-80627aa
Krishnaprasad Subbarao; krishnaprasadsubbarao@gmail.com; http://linkedin.com/pub/krishnaprasad-subbarao/7/a1/305; PhD, Weizmann Institute of Science, Rehovot, ISRAEL.
Raja Mugasimangalam; Founder &amp; Chairman; raja_mugasimangalam@yahoo.com; http://linkedin.com/in/mcraja/en; Founder &amp; CEO Genotypic Technology, ABLE, ex-Argonne National Lab. PSG CAS BSc 1986, Madurai Kamaraj University MSc 1988, Weizmann Institute of Science 1996</t>
  </si>
  <si>
    <t>krishnaprasadsubbarao@gmail.com
raja_mugasimangalam@yahoo.com
raja@qtlomics.com
raja@genotypic.co.in</t>
  </si>
  <si>
    <t>http://linkedin.com/in/sanjeev-kamte-32659a74
http://linkedin.com/in/ramesh-kannan-80627aa
http://linkedin.com/pub/krishnaprasad-subbarao/7/a1/305
http://linkedin.com/in/mcraja/en</t>
  </si>
  <si>
    <t>http://www.linkedin.com/vsearch/p?f_CC=3563769</t>
  </si>
  <si>
    <t>Kannan Ramesh
Raja Mugasimangalam</t>
  </si>
  <si>
    <t>http://www.qtlomics.com</t>
  </si>
  <si>
    <t>http://linkedin.com/company/qtlomics</t>
  </si>
  <si>
    <t>http://twitter.com/qtlomics</t>
  </si>
  <si>
    <t>http://facebook.com/qtlomics</t>
  </si>
  <si>
    <t>https://tracxn.com/companies/PX1KwiBSilt9aSNDa9l41tebVI8pijYZnMPzw8ZnE_I/qtlomics.com</t>
  </si>
  <si>
    <t>Mumbai Angels
Tempus Capital
Kae Capital
Singularity Ventures</t>
  </si>
  <si>
    <t>Karthik V
Manish Mahendra Choksi
Krishnaraj V
Ramesh Kumar Shah
Sasha Gulu Mirchandani
N Gautam
Ballabh Modani
Karthik Chidambaram
Ruchika Gupta
Vishwa Chandra
Rupesh G</t>
  </si>
  <si>
    <t>eFarm, based in Chennai is an end-to-end agri supply chain platform , providing a combination of technology solutions and on-ground distribution mechanism to enable farmers reach end markets in an effective manner. eFarm ties in farmers, intermediaries, logistics providers, distributors,small time retailers, all the way upto local road side vendor into a single chain backed up by information systems to deliver fresh farm produce.</t>
  </si>
  <si>
    <t>info@efarm.in</t>
  </si>
  <si>
    <t>+91-4424450613</t>
  </si>
  <si>
    <t>Srivalli Krishnan; Co-Founder; http://linkedin.com/in/entrepreneurshipthoughtleader; Startup Shrink, ex- LabourNet Services India, Wadhwani Foundation, Accenture. Bangalore University B.Com 1997, Northeastern University 2017
Venkata Subramanian; Co-Founder &amp; Managing Director; +919884761354; efarm.venky@gmail.com; http://linkedin.com/in/venkyefarm; ex- Founder Matchbox solutions, Sapney Adventure Farms, Wipro. Indian Institute of Technology Kharagpur 1995, University at Albany MS 2003</t>
  </si>
  <si>
    <t>efarm.venky@gmail.com</t>
  </si>
  <si>
    <t>http://linkedin.com/in/entrepreneurshipthoughtleader
http://linkedin.com/in/venkyefarm</t>
  </si>
  <si>
    <t>http://www.linkedin.com/vsearch/p?f_CC=8190273</t>
  </si>
  <si>
    <t>http://www.efarm.in</t>
  </si>
  <si>
    <t>http://linkedin.com/company/mvs-efarm-pvt-ltd-</t>
  </si>
  <si>
    <t>http://twitter.com/efarmvenky</t>
  </si>
  <si>
    <t>http://facebook.com/myefarm</t>
  </si>
  <si>
    <t>https://tracxn.com/companies/fz9-wmC01icGw8p9qzgQiSB62ldG3QNoOcGPNIw-dTI/efarm.in</t>
  </si>
  <si>
    <t>Less Industries is developing a cloud based data processing platform for decision making for agriculture. It collects field data through distributed on-field sensors (developed in house), analyses and presents reports in real time to agri decision makers. The solution can also be used in urban planning and other industry verticals.</t>
  </si>
  <si>
    <t>Elvio Toccalino; Co-Founder; etoccalino@lessindustries.com; http://linkedin.com/in/elviotoccalino
Sebastian Cerone; Co-Founder; http://linkedin.com/in/sebastiancerone</t>
  </si>
  <si>
    <t>etoccalino@lessindustries.com</t>
  </si>
  <si>
    <t>http://linkedin.com/in/elviotoccalino
http://linkedin.com/in/sebastiancerone</t>
  </si>
  <si>
    <t>http://www.linkedin.com/vsearch/p?f_CC=4790187</t>
  </si>
  <si>
    <t>https://www.lessindustries.com</t>
  </si>
  <si>
    <t>http://linkedin.com/company/less-industries</t>
  </si>
  <si>
    <t>http://twitter.com/lessiot</t>
  </si>
  <si>
    <t>http://blog.lessindustries.com</t>
  </si>
  <si>
    <t>https://tracxn.com/companies/Lm_h5AAcN_RQHpFv9tf_X2eTLzoeXebBlnMKtWVH1c0/lessindustries.com</t>
  </si>
  <si>
    <t>Biotech R&amp;D &gt; Research Applications &gt; Translational Research &gt; Biomarkers &gt; Agriculture
Genomics &gt; Applied Genomics &gt; Agrigenomics
Crop Tech &gt; Farm Inputs &gt; Seeds &gt; Field Crops &gt; GMO</t>
  </si>
  <si>
    <t>BIRAC
Department of Biotechnology
Nadathur Estates</t>
  </si>
  <si>
    <t>Gurudev S Khush
M Nandakumar
Vibhakar Bhushan
Ashish Mehta
Sathya Prakash Yoganna
Manish Gupta
P S Meherhomji
Tomal Dattaroy
Raja Sengupta
V R Srinivasan
Marthi Subramanyam
Rajesh B Nair
K R Venkatadri
Devdas Shetty</t>
  </si>
  <si>
    <t>Meta Helix Life Sciences is a Research &amp;amp; Development company that is engaged in the production of advanced Bt. Cotton and Bt. Rice which is resistant to Bollworm and Spodoptera for cotton and yellow stem borer for rice. Also offers molecular marker services to seed companies.</t>
  </si>
  <si>
    <t>info@meta-helix.com</t>
  </si>
  <si>
    <t>+91-8110420500</t>
  </si>
  <si>
    <t>Gautham Nadig; Co-Founder &amp; Director; gnadig@meta-helix.com; https://linkedin.com/in/gautham-nadig-9bb55a; PhD @IISc
Ganesh M Kishore
Pramod Kumar Rai; pramod.rai@meta-helix.com; https://linkedin.com/in/pramod-rai-74784221
Girish Kumar Pandey; General Manager; girish.pandey@meta-helix.com; https://linkedin.com/in/girish-pandey-833725173
Ravinder Kumar; General Manager; ravinder.kumar@meta-helix.com; https://linkedin.com/in/ravinder-kumar-35019026
Nagarajan S; snagarajan@meta-helix.com; https://linkedin.com/in/nagarajan-s-5722804
Himadri Pakrasi; Co-Founder
Anand Kumar Venkataraju; junior scientist; https://linkedin.com/in/anandkumar-venkataraju-87547317</t>
  </si>
  <si>
    <t>gnadig@meta-helix.com
pramod.rai@meta-helix.com
girish.pandey@meta-helix.com
ravinder.kumar@meta-helix.com
snagarajan@meta-helix.com</t>
  </si>
  <si>
    <t>https://linkedin.com/in/gautham-nadig-9bb55a
https://linkedin.com/in/pramod-rai-74784221
https://linkedin.com/in/girish-pandey-833725173
https://linkedin.com/in/ravinder-kumar-35019026
https://linkedin.com/in/nagarajan-s-5722804
https://linkedin.com/in/anandkumar-venkataraju-87547317</t>
  </si>
  <si>
    <t>http://www.linkedin.com/vsearch/p?f_CC=479589</t>
  </si>
  <si>
    <t>rallis.co.in</t>
  </si>
  <si>
    <t>http://www.meta-helix.com</t>
  </si>
  <si>
    <t>http://linkedin.com/company/meta-helix-life-sciences-private-limited</t>
  </si>
  <si>
    <t>https://tracxn.com/companies/MH84vhE_rb5YC72jvd7I5RcxqxJb4I7WQ4ro8HxmjFQ/meta-helix.com</t>
  </si>
  <si>
    <t>Agronometrics provides a digital platform for the dissemination of information related to international market prices and sales volume for various fruits. Users can visualize trends and comparative sales volume &amp;amp; price charts for various geographies and can also perform the mentioned actions for various data sets. The technology is focused on devising a sales strategy and geographical distribution strategy for fruit producers. The platform charges $50/year for single fruit and $250/year for all fruits. The company also provides personalized offline services such as personalized research, data management, and consulting to fruit producer companies.</t>
  </si>
  <si>
    <t>info@agronometrics.com</t>
  </si>
  <si>
    <t>Colin Fain; Founder &amp; CEO; colin@agronometrics.com; http://linkedin.com/in/colin-fain-7175623a; Colorado State University</t>
  </si>
  <si>
    <t>colin@agronometrics.com</t>
  </si>
  <si>
    <t>http://linkedin.com/in/colin-fain-7175623a</t>
  </si>
  <si>
    <t>http://www.linkedin.com/vsearch/p?f_CC=3811788</t>
  </si>
  <si>
    <t>http://www.agronometrics.com</t>
  </si>
  <si>
    <t>http://linkedin.com/company/agronometrics</t>
  </si>
  <si>
    <t>http://twitter.com/agronometrics</t>
  </si>
  <si>
    <t>https://facebook.com/agronometrics</t>
  </si>
  <si>
    <t>http://blog.agronometrics.com</t>
  </si>
  <si>
    <t>https://tracxn.com/companies/h62q5n2V7_8-__3LfH-34FyYhmlXDNrkGepLxV39a4c/agronometrics.com</t>
  </si>
  <si>
    <t>Acumen
Nokia</t>
  </si>
  <si>
    <t>Virtual City offers Agrimanagr, an affordable mobile data management service marketed to agricultural cooperatives and processors that tracks agricultural output from farmer to processor, coordinates mobile payment to farmers, and facilitates extension services such as veterinary visits and agricultural input management.  Also, AgriManagr, automates purchases and strengthens relationships between varios supply chain stakeholders.</t>
  </si>
  <si>
    <t>media@acumen.org</t>
  </si>
  <si>
    <t>John Waibochi; Co-Founder; jwaibochi@virtualcity.co.ke; http://linkedin.com/in/john-waibochi-63788; ex- LANTech Africa Ltd, Michigan University</t>
  </si>
  <si>
    <t>jwaibochi@virtualcity.co.ke</t>
  </si>
  <si>
    <t>http://linkedin.com/in/john-waibochi-63788</t>
  </si>
  <si>
    <t>http://www.linkedin.com/vsearch/p?f_CC=108675</t>
  </si>
  <si>
    <t>https://www.virtualcity.co.ke</t>
  </si>
  <si>
    <t>http://linkedin.com/company/virtual-city</t>
  </si>
  <si>
    <t>http://twitter.com/virtualcityltd</t>
  </si>
  <si>
    <t>https://tracxn.com/companies/L7gY71ryiTHZCOXfErY0RjEEp0xCnyr5Vt6pqKqJlBM/virtualcity.co.ke</t>
  </si>
  <si>
    <t>$315K</t>
  </si>
  <si>
    <t>VegFru is a platform connecting the Indian farmers and traders (who act as suppliers) to importers from around the world, food service operators including restaurants, caterers, etc. Also, a B2B marketplace platform for consultancies, technical and financial advisory to the farmer, post-harvest services, distribution and logistics services and production facilitation to the producers, for export/import, freight forwarding and clearing, quality control and certification, packaging, machinery supplies and cold storage spaces. Raised undisclosed seed funding from wingify in Apr'16</t>
  </si>
  <si>
    <t>Anil Chopra; Founder; anil.chopra@vegfru.com; http://linkedin.com/in/anil-chopra-8797594; CFO - Wingify Software, ex- Reliance retail, Mother dairy
Paras Chopra; Co-Founder</t>
  </si>
  <si>
    <t>anil.chopra@vegfru.com</t>
  </si>
  <si>
    <t>http://linkedin.com/in/anil-chopra-8797594</t>
  </si>
  <si>
    <t>http://www.linkedin.com/vsearch/p?f_CC=419740</t>
  </si>
  <si>
    <t>Anil Chopra</t>
  </si>
  <si>
    <t>https://www.vegfru.com</t>
  </si>
  <si>
    <t>http://linkedin.com/company/field-fresh-vegfru-pvt-limited</t>
  </si>
  <si>
    <t>http://twitter.com/vegfru</t>
  </si>
  <si>
    <t>http://facebook.com/vegfrucom-106552599388979/</t>
  </si>
  <si>
    <t>https://tracxn.com/companies/Vju6Bla_g0UIsWUdr8onXvLyUmqnuXTsfIyFneR1jyU/vegfru.com</t>
  </si>
  <si>
    <t>Online Grocery &gt; B2C Ecommerce &gt; Fruits and Vegetables &gt; Retailer &gt; Organic
Crop Tech &gt; ECommerce &gt; Farm Produce &gt; B2C &gt; Fruits and Vegetables &gt; Retailer</t>
  </si>
  <si>
    <t>DT Capital Partners
Tsing Capital
Delta Capital
KPCB
jinchangcapital.com
Ping An Ventures
New Access Capital
Kleiner Perkins
TDF Capital</t>
  </si>
  <si>
    <t>Tony's farm is an organic vegetable online marketplace for service providers, under the Agricultural Development Company Limited. Since 2009, its customer base has grown 20-50% a year. Raised $40 million from investors and claims to have raised millions more in government subsidies. Generates revenue of $18-24 million a year. Claims to run one of China’s largest organic farming and retailing operations, spanning Asset heavy thousands of acres across eight provinces</t>
  </si>
  <si>
    <t>Aaron Mao; CEO; aaron.mao@tonysfarm.com; http://linkedin.com/in/aaron-mao-48639913; Ex YOFC. CEIBS 2010</t>
  </si>
  <si>
    <t>aaron.mao@tonysfarm.com</t>
  </si>
  <si>
    <t>http://linkedin.com/in/aaron-mao-48639913</t>
  </si>
  <si>
    <t>http://www.linkedin.com/vsearch/p?f_CC=2164244</t>
  </si>
  <si>
    <t>http://www.tonysfarm.com</t>
  </si>
  <si>
    <t>https://www.linkedin.com/company/tony's-farm</t>
  </si>
  <si>
    <t>https://tracxn.com/companies/GdlWVRAvdHz5wtVP8LrZsyoR4Tas81RqPJZWS6ro3PU/tonysfarm.com</t>
  </si>
  <si>
    <t>Crop Tech &gt; Content Platforms &gt; Data as a Service &gt; Market Data &gt; Pricing Information</t>
  </si>
  <si>
    <t>tech4farmers is a digital platform providing real time market prices of crops. It also enables the user to develop and maintain a ledger for managing financial contracts across the agri supply chain. It also enables digital warehouse management. The platform is targeting farmers, produce buyers / traders and agribusinesses. Pricing is for single account / corporate account on an yearly basis.</t>
  </si>
  <si>
    <t>hello@tech4farmers.com</t>
  </si>
  <si>
    <t>Deogratious Afimani; Founder &amp; CEO; deo@tech4farmers.com; http://linkedin.com/in/deoafema; Makerere University 2013</t>
  </si>
  <si>
    <t>deo@tech4farmers.com</t>
  </si>
  <si>
    <t>http://linkedin.com/in/deoafema</t>
  </si>
  <si>
    <t>http://www.linkedin.com/vsearch/p?f_CC=3170084</t>
  </si>
  <si>
    <t>http://tech4farmers.com</t>
  </si>
  <si>
    <t>http://linkedin.com/company/tech4farmers</t>
  </si>
  <si>
    <t>http://twitter.com/tech4farmers</t>
  </si>
  <si>
    <t>http://facebook.com/tech4farmers</t>
  </si>
  <si>
    <t>http://blog.tech4farmers.com</t>
  </si>
  <si>
    <t>https://tracxn.com/companies/1KvGVA9UatFckU_SgyhamfFN7YP4T_QSre_umGCB7mM/tech4farmers.com</t>
  </si>
  <si>
    <t>Pardes Hanna Karkur</t>
  </si>
  <si>
    <t>Hi Center Ventures
European Union
Compass Ventures Group</t>
  </si>
  <si>
    <t>Subflex designs, supplies, and installs offshore open sea cages. The system is based on the submersible single point mooring technology in which all cages are lined up in a single array. It claims that by being able to submerge the whole system; hence the cages and the fishes are not affected by the harsh weather conditions and the single point mooring allows it to rotate 360 degrees; hence the system is unaffected by the external pollution. the company is owned by Gili Ocean Technologies.</t>
  </si>
  <si>
    <t>Josef Melchner; CEO; josef@subflex.org; http://linkedin.com/in/josef-melchner-80268574
Ychiel Swimir; Founder &amp; Chairman; ychiel@subflex.org; http://linkedin.com/in/hilik-subflex-640063111</t>
  </si>
  <si>
    <t>josef@subflex.org
ychiel@subflex.org</t>
  </si>
  <si>
    <t>http://linkedin.com/in/josef-melchner-80268574
http://linkedin.com/in/hilik-subflex-640063111</t>
  </si>
  <si>
    <t>http://www.linkedin.com/vsearch/p?f_CC=681490</t>
  </si>
  <si>
    <t>http://subflex.org</t>
  </si>
  <si>
    <t>http://linkedin.com/company/subflex-ltd</t>
  </si>
  <si>
    <t>http://facebook.com/subflex</t>
  </si>
  <si>
    <t>https://tracxn.com/companies/wTFTdytcdncgM8P16HetBeDSmfR5FfksgZXa-A_Of4w/subflex.org</t>
  </si>
  <si>
    <t>Crop Tech &gt; Farm Inputs &gt; Plant Breeding &gt; Management Solutions &gt; Analytics</t>
  </si>
  <si>
    <t>Phenome Networks develops cloud based software platform for phenotyping and genomic research. Its Phenome One platform aggregates and organizes plant phenotyping data and its cloud based analytics engine creates visual data for university researchers and agri biotech companies to understand and manage yields. Its Phenomapp app (Android) enables breeders to capture phenotyping data on ground and push it to the Phenome One platform where it is analysed and a decision support is provided to the breeder through its web dashboard. Its clients include Pinnacle Seed, Advanta, Kaiima,  UC Davis, etc.</t>
  </si>
  <si>
    <t>Yaniv Semel; Founder &amp; CEO; yaniv@phenome-networks.com; http://linkedin.com/in/yaniv-semel-781b331a; PhD, Plant Sciences, The Hebrew University</t>
  </si>
  <si>
    <t>yaniv@phenome-networks.com</t>
  </si>
  <si>
    <t>http://linkedin.com/in/yaniv-semel-781b331a</t>
  </si>
  <si>
    <t>http://www.linkedin.com/vsearch/p?f_CC=593482</t>
  </si>
  <si>
    <t>https://phenome-networks.com/</t>
  </si>
  <si>
    <t>https://linkedin.com/company/phenom-networks-inc.</t>
  </si>
  <si>
    <t>https://tracxn.com/companies/dC7Qb6ug3y0VHdl2e81LZIznmy2zikNNOGzrqWGTQcE/phenome-networks.com</t>
  </si>
  <si>
    <t>Origene Seeds develops the hybrid crop seeds for variety of crops with technology focused on the development of crop traits for crop yields, chemical resistance etc. Its Research and Development is focused specially on Cucurbits family i.e. Watermelon, Melon, Cucumber, Squash and Pumpkin. The seeds of Origene Seeds are for outdoor commercial as well as planting purposes. It markets its products in more than  countries.</t>
  </si>
  <si>
    <t>Eyal Vardi; Founder &amp; CEO; eyal@origeneseeds.com; http://linkedin.com/in/eyal-vardi-71a0111b; Ex-Head of R&amp;D at Hazera Genetics</t>
  </si>
  <si>
    <t>eyal@origeneseeds.com</t>
  </si>
  <si>
    <t>http://linkedin.com/in/eyal-vardi-71a0111b</t>
  </si>
  <si>
    <t>http://www.linkedin.com/vsearch/p?f_CC=847800</t>
  </si>
  <si>
    <t>https://www.origeneseeds.com</t>
  </si>
  <si>
    <t>http://linkedin.com/company/origene-seeds</t>
  </si>
  <si>
    <t>https://twitter.com/origeneseeds</t>
  </si>
  <si>
    <t>http://facebook.com/origene-seeds-175084312511532</t>
  </si>
  <si>
    <t>https://tracxn.com/companies/Yc0dGHqRitIcvmb70rpRHQzO8XFE4kQSHdi4doG8M3c/origeneseeds.com</t>
  </si>
  <si>
    <t>Biotech R&amp;D &gt; Research Applications &gt; Genomics &gt; Suite
Genomics &gt; Genome Informatics &gt; Integrative Bioinformatics Platforms
Crop Tech &gt; Farm Inputs &gt; Plant Breeding &gt; Management Solutions &gt; Analytics</t>
  </si>
  <si>
    <t>ScaleUp inBrazil
Adama</t>
  </si>
  <si>
    <t>NRGene provides services for the predictive computational technology to the agriculture and livestock breeding researchers. The propriety algorithms of NRGene provide the differences individuals to mark the underlying traits for improvement such as yield improvement and resistance in the harsh environments. The product portfolio has DeNovoMagic, available as a service, which provides very long (million building units) and short (100-250 building units) genome DNA sequence pieces produced by Illumina DNA sequencing machines. Other products include GenoMagic which is a solution for analyzing genomic big data of broad populations for diversity mapping and mining. The platform integrates all the genomic big data within an organization on a given organism (e.g. maize, wheat, salmon) combined with publicly available information for better analysis and increased data mining power to reach more accurate breeding decisions. The platform is used to analyze, synchronize, and share genomic data among molecular breeders, bioinformaticians and breeding teams. It has India and the USA as the target market for its software platform and services.</t>
  </si>
  <si>
    <t>Gil Ronen; Co- Founder &amp; CEO; Ex- Chief Scientist, Evogen, Ex- Project Lead, Compugen
David Lieber; Co-Founder &amp; Chairman; david@nrgene.com; http://linkedin.com/in/david-lieber-80065a6; Managing Partner, Roadmap RD Partners LP
Guy Kol; Co-Founder &amp; VP R&amp;D; guy@nrgene.com; http://linkedin.com/in/guy-kol-662a551; Ex- Senior Field Applications Scientist, Genome Quest</t>
  </si>
  <si>
    <t>david@nrgene.com
guy@nrgene.com</t>
  </si>
  <si>
    <t>http://linkedin.com/in/david-lieber-80065a6
http://linkedin.com/in/guy-kol-662a551</t>
  </si>
  <si>
    <t>http://www.linkedin.com/vsearch/p?f_CC=1704972</t>
  </si>
  <si>
    <t>https://www.nrgene.com</t>
  </si>
  <si>
    <t>http://linkedin.com/company/nrgene-ltd</t>
  </si>
  <si>
    <t>https://twitter.com/denovomagic</t>
  </si>
  <si>
    <t>http://facebook.com/nrgene-technologies-1003279819696574/</t>
  </si>
  <si>
    <t>https://tracxn.com/companies/tS56eUwZdN6kihoJSwMDO9M5dNXMU8X6GCd7DsvlC-Q/nrgene.com</t>
  </si>
  <si>
    <t>Bamako</t>
  </si>
  <si>
    <t>Bamako Region</t>
  </si>
  <si>
    <t>Mali</t>
  </si>
  <si>
    <t>$11K</t>
  </si>
  <si>
    <t>Crop Tech &gt; ECommerce &gt; Farm Inputs &gt; Multi Category &gt; Retailer</t>
  </si>
  <si>
    <t>Draper Richards Kaplan Foundation
Global Innovation Fund
Ceniarth
startup orange
Jasmine Social Investments</t>
  </si>
  <si>
    <t>MyAgro provides a mobile platform for smallholder farmers in West Africa to procure agriculture input.  Farmers can pay on layaway for fertilizers, seeds, and training packages and top-up their mobile layaway account by USD1 to USD50. The company has partnered with vendor stores of West African countries who sell company's scratch cards to farmers and accepts the layaway payments for selling agriculture input products.</t>
  </si>
  <si>
    <t>admin@myagro.org</t>
  </si>
  <si>
    <t>Anushka Ratnayake; Founder &amp; CEO; anushka@myagro.org; http://linkedin.com/in/anushka-ratnayake-28240931; ex-Kiva, Director One Acre Fund. UC Santa Cruz BA 2004</t>
  </si>
  <si>
    <t>anushka@myagro.org</t>
  </si>
  <si>
    <t>http://linkedin.com/in/anushka-ratnayake-28240931</t>
  </si>
  <si>
    <t>http://www.linkedin.com/vsearch/p?f_CC=3198408</t>
  </si>
  <si>
    <t>https://www.myagro.org</t>
  </si>
  <si>
    <t>http://linkedin.com/company/myagro</t>
  </si>
  <si>
    <t>http://twitter.com/myagro_</t>
  </si>
  <si>
    <t>http://facebook.com/myagro.org</t>
  </si>
  <si>
    <t>http://myagro.org/blog</t>
  </si>
  <si>
    <t>https://tracxn.com/companies/aKquOQXApZfmpSehdV8zYU-rptGADCtGQCQLOC8vFnc/myagro.org</t>
  </si>
  <si>
    <t>B2B E-Commerce &gt; Food &amp; Beverages &gt; Groceries &gt; Farm Products &gt; Marketplace
Crop Tech &gt; Content Platforms &gt; Data as a Service &gt; Market Data</t>
  </si>
  <si>
    <t>Safaricom Foundation
Novastar Ventures
88mph</t>
  </si>
  <si>
    <t>MFarm is a digital platform offering market price information for various agri commodities, weather data and also provides a listing platform for farmers to sell their agri produce and connect with other farmers and agribusinesses. The information service is available on a subscription basis.</t>
  </si>
  <si>
    <t>info@mfarm.co.ke</t>
  </si>
  <si>
    <t>+254-110095865</t>
  </si>
  <si>
    <t>Susan Eve; Co-Founder &amp; COO; http://linkedin.com/in/susanoguya
Linda Kwamboka; Co-Founder; linda@mfarm.co.ke; http://linkedin.com/in/lindakwamboka
Jamila Abass; Co-Founder &amp; CEO; jamila@mfarm.co.ke; https://linkedin.com/in/jamilaabass; Ex- iHub, AkiraChix. Strathmore University</t>
  </si>
  <si>
    <t>linda@mfarm.co.ke
jamila@mfarm.co.ke</t>
  </si>
  <si>
    <t>http://linkedin.com/in/susanoguya
http://linkedin.com/in/lindakwamboka
https://linkedin.com/in/jamilaabass</t>
  </si>
  <si>
    <t>http://www.linkedin.com/vsearch/p?f_CC=2116123</t>
  </si>
  <si>
    <t>https://www.mfarm.co.ke</t>
  </si>
  <si>
    <t>http://linkedin.com/company/mfarm-ltd-k-</t>
  </si>
  <si>
    <t>http://twitter.com/mfarm_ke</t>
  </si>
  <si>
    <t>https://tracxn.com/companies/L4oYC6Gp_WG9VORWn5d2RsbODxPnClnDqUOcoiYTmzM/mfarm.co.ke</t>
  </si>
  <si>
    <t>Summit Partners
BIRAC</t>
  </si>
  <si>
    <t>Sharda Toshniwal
Sharda Toshniwal
Jyoti Naresh Biyani</t>
  </si>
  <si>
    <t>Krishidhan is a producer and supplier of hybrid seeds. It offers hybrid seeds of cotton, cereals, pulses, oilseeds, and vegetables. It claims to develop varieties with antiviral, antibacterial, quality improvement, and multi-stress resistance traits.</t>
  </si>
  <si>
    <t>info@krishidhanseeds.com</t>
  </si>
  <si>
    <t>+91-2482222600</t>
  </si>
  <si>
    <t>Jainarayan Karwa; Co-Founder
Subhash Karwa; Co-Founder</t>
  </si>
  <si>
    <t>http://www.linkedin.com/vsearch/p?f_CC=245724</t>
  </si>
  <si>
    <t>http://krishidhanseeds.com</t>
  </si>
  <si>
    <t>https://linkedin.com/company/krishidhan-seeds-ltd</t>
  </si>
  <si>
    <t>https://twitter.com/krishidhan</t>
  </si>
  <si>
    <t>https://tracxn.com/companies/cBnl0uSqxhM1Xrs3et-zD8FG5mY2Cj4g9KIeKJZ_ryI/krishidhanseeds.com</t>
  </si>
  <si>
    <t>Tiberias</t>
  </si>
  <si>
    <t>$65M</t>
  </si>
  <si>
    <t>Genomics &gt; Applied Genomics &gt; Agrigenomics
Crop Tech &gt; Farm Inputs &gt; Plant Breeding &gt; Technology Providers</t>
  </si>
  <si>
    <t>International Finance Corporation
Musea Ventures
Kreos Capital
TriplePoint Capital
DFJ Tamir Fishman
Mitsui Global
Tamir Fishman
DFJ TelAviv Venture Partners
Dragon Ventures
Infinity Group
Kleiner Perkins
DFJ</t>
  </si>
  <si>
    <t>Kaiima has developed plant genetics and breeding technology. The company offers its flagship technology platform called EP that enables the plant breeders to enhance the inherent productivity and resource usage efficiency of food and feed crops. The company's clients are the non-GMO seed companies that leverage its platform to breed new varieties of seeds. It has a subsidiary Top Seeds which is mostly breeding varieties of castor seeds.</t>
  </si>
  <si>
    <t>Doron Gal; ex-CEO; http://il.linkedin.com/pub/doron-gal/22/661/773
Mark Chess; CEO; mark@kaiima.com; https://linkedin.com/in/mark-chess-7a68809; Partner FinTLV Ventures, ex-Director Partners 500, Managing Director Infinity Equity Group. The University of Texas at Austin BBA 2000</t>
  </si>
  <si>
    <t>mark@kaiima.com</t>
  </si>
  <si>
    <t>http://il.linkedin.com/pub/doron-gal/22/661/773
https://linkedin.com/in/mark-chess-7a68809</t>
  </si>
  <si>
    <t>http://www.linkedin.com/vsearch/p?f_CC=5093963</t>
  </si>
  <si>
    <t>https://www.kaiima.com</t>
  </si>
  <si>
    <t>https://linkedin.com/company/kaiima-bio-agritech-ltd-</t>
  </si>
  <si>
    <t>https://twitter.com/kaiimabioagtech</t>
  </si>
  <si>
    <t>https://tracxn.com/companies/GWOodn0QLOmFIJUIEexUqb5u0_lDJRfHhPnm_l4wIVQ/kaiima.com</t>
  </si>
  <si>
    <t>Jalgaon</t>
  </si>
  <si>
    <t>$120M</t>
  </si>
  <si>
    <t>Proparco
FMO
International Finance Corporation
Mount Kellett Capital Management
Norwest Venture Partners
Mandala Capital
Department of Biotechnology</t>
  </si>
  <si>
    <t>Jain irrigation systems is a manufacturer and distributor of irrigation equipment. Its product offerings include drip irrigation system, sprinkler irrigation systems, PVC pipes, irrigation fittings, and other accessories. Also, offers greenhouse equipment, lighting equipment, environment controllers, etc. It predominantly targets large-scale commercial farms. It serves customers across India, middle east, Europe, Australia, and the USA. Its subsidiary is Jain Farm Fresh Foods, which is a food processing company and has a private label for dehydrated onion and packaged veggies, aseptic fruit purees and concentrates, and other frozen foods.</t>
  </si>
  <si>
    <t>jisl@jains.com</t>
  </si>
  <si>
    <t>+91-2572258011</t>
  </si>
  <si>
    <t>Anil Jain; CEO; +912222621177; anil@jains.com; http://linkedin.com/in/anil-jain-5b21a717</t>
  </si>
  <si>
    <t>anil@jains.com</t>
  </si>
  <si>
    <t>http://linkedin.com/in/anil-jain-5b21a717</t>
  </si>
  <si>
    <t>naandanjain.com
aquariusbrands.com
sleafordqf.com</t>
  </si>
  <si>
    <t>BOM:500219</t>
  </si>
  <si>
    <t>http://www.jains.com/</t>
  </si>
  <si>
    <t>http://linkedin.com/company/jain-irrigation-systems-ltd-</t>
  </si>
  <si>
    <t>http://twitter.com/jainirrigation</t>
  </si>
  <si>
    <t>http://facebook.com/jainirrigationsystems</t>
  </si>
  <si>
    <t>https://tracxn.com/companies/_bXNlUetDy05mbtyZHI9pgEjbefIlMkjx5Asm339rGE/jains.com</t>
  </si>
  <si>
    <t>Jaboticabal</t>
  </si>
  <si>
    <t>Livestock Tech &gt; Feeding &gt; Sustainable Feeds &gt; Plant Based</t>
  </si>
  <si>
    <t>SP Ventures
Fundo Criatec
Inseed Investimentos</t>
  </si>
  <si>
    <t>ImeveBiotecnologia is a developer of animal health supplements, bioactive feed additives and other nutrition products for the livestock industry. The company has a development lab and a production facility in Sao Paulo. The company has a separate consumer division, Petmax, which markets the health, nutrition and care products for pets.</t>
  </si>
  <si>
    <t>http://www.linkedin.com/vsearch/p?f_CC=2445208</t>
  </si>
  <si>
    <t>http://www.imeve.com.br/</t>
  </si>
  <si>
    <t>http://linkedin.com/company/imeve-s-a</t>
  </si>
  <si>
    <t>http://twitter.com/imevebiotec</t>
  </si>
  <si>
    <t>https://tracxn.com/companies/_Z_YrJkwTQGt3rI4WKj1wpIlphP-t81lLI-1EFdJQXc/imeve.com.br</t>
  </si>
  <si>
    <t>Marketplace
SaaS
Tech
Software
Tech Hardware
Social Impact
Artificial Intelligence</t>
  </si>
  <si>
    <t>$437K</t>
  </si>
  <si>
    <t>Livestock Tech &gt; Identification</t>
  </si>
  <si>
    <t>Hyderabad Angels
iLabs</t>
  </si>
  <si>
    <t>Identis is a manufacturer and provider of RFID tags for animal identification and tracking. The company provides LF, HF and UHF passive tags for livestock animals such as cattle, sheep, goats, etc. It also provides glass tags, ear tags and bolus tags for animal identification. In addition, the company also manufactures and sells handheld, fixed, integrated &amp; USB RFID tags readers.</t>
  </si>
  <si>
    <t>info@identis.in
sales@identis.in</t>
  </si>
  <si>
    <t>Sanjay Panda; Co-Founder &amp; Director; +919989502279; skpanda@identis.in; http://linkedin.com/in/sanjay-panda-832b9621</t>
  </si>
  <si>
    <t>skpanda@identis.in</t>
  </si>
  <si>
    <t>http://linkedin.com/in/sanjay-panda-832b9621</t>
  </si>
  <si>
    <t>http://www.linkedin.com/vsearch/p?f_CC=2156695</t>
  </si>
  <si>
    <t>http://www.identis.in</t>
  </si>
  <si>
    <t>http://linkedin.com/company/identis-tech-solutions-pvt-ltd-</t>
  </si>
  <si>
    <t>https://tracxn.com/companies/t_4LsYioCfREUr_sXXUI_EZ1WJrfmjCY2IYels_ojy4/identis.in</t>
  </si>
  <si>
    <t>Kadima</t>
  </si>
  <si>
    <t>Grow Fish Anywhere (GFA) has developed aquaculture system which have artificial ecosystem monitoring and control preventing it from external environmental intervention. The company claims that the system is self sufficient and is zero discharge intensive. It has plans to establish such fish farms which will produce fish fit for human consumption beyond the Israeli geo.</t>
  </si>
  <si>
    <t>Dotan Bar Noy; Founder &amp; Managing Director; dotan@gfa-sys.com; http://il.linkedin.com/pub/dotan-bar-noy/4/7b6/ba4</t>
  </si>
  <si>
    <t>dotan@gfa-sys.com</t>
  </si>
  <si>
    <t>http://il.linkedin.com/pub/dotan-bar-noy/4/7b6/ba4</t>
  </si>
  <si>
    <t>http://www.linkedin.com/vsearch/p?f_CC=2431148</t>
  </si>
  <si>
    <t>https://www.growfishanywhere.com</t>
  </si>
  <si>
    <t>http://linkedin.com/company/grow-fish-anywhere-gfa-ltd-</t>
  </si>
  <si>
    <t>https://facebook.com/pages/gfa-growfishanywhere-advanced-systems/190164074378057</t>
  </si>
  <si>
    <t>https://tracxn.com/companies/naeW7ayPTkhrF2OhD4eRrtbS8QU_FEXyVIbDVK1nSuM/growfishanywhere.com</t>
  </si>
  <si>
    <t>Futuragene is a technology focused company that develops genetic solutions that address plant yield enhancement and yield protection.The company is focussed on developing solutions for plants that are used for biomass, biofuel or biopower production. Its leading crop for these sectors is eucalyptus for the plantation-based pulp and paper industry and short rotation energy poplar and eucalyptus for biopower and biofuel. It has obtained regulatory approval to commercially deploy a yield enhanced genetically modified eucalyptus variety. The company has made a discovery in the protein modulation of cell wall biosynthesis, which allows growing plants with increased biomass. It is exploring to increase the potential of woody desert species yellow horn (xanthoceras sorbifolia) to provide elite seedlings of this species for oil production and to be an integrated oil producer.</t>
  </si>
  <si>
    <t>Stanley Hirsch; CEO; stanley@futuragene.com; http://linkedin.com/in/stanley-hirsch-88945010; Chairman @Foamix Pharmaceuticals, CEO @ CBD Technologies</t>
  </si>
  <si>
    <t>stanley@futuragene.com</t>
  </si>
  <si>
    <t>http://linkedin.com/in/stanley-hirsch-88945010</t>
  </si>
  <si>
    <t>http://www.linkedin.com/vsearch/p?f_CC=1698388</t>
  </si>
  <si>
    <t>suzano.com.br</t>
  </si>
  <si>
    <t>https://www.futuragene.com</t>
  </si>
  <si>
    <t>http://linkedin.com/company/futuragene-ltd.</t>
  </si>
  <si>
    <t>http://twitter.com/futuragene</t>
  </si>
  <si>
    <t>http://facebook.com/pages/futuragene/173608519338440</t>
  </si>
  <si>
    <t>https://tracxn.com/companies/aW-jk5Mq4lkl8IwXR4GWJRasxn8IxyzJq407qQ_pV-A/futuragene.com</t>
  </si>
  <si>
    <t>SIG China
ClearVue Partners
JD.com
SPSP Venture Capital
Shanghai Zhangjiang
Chenhui Ventures</t>
  </si>
  <si>
    <t>Fruitday is an online B2C platform that focuses on selling imported fresh fruits and products.  Fruitday's main products are mid and high end fruits, including imported fresh fruits and domestic fresh fruits. Fruitday has built a direct platform between suppliers and consumers with self-built cold storage and cold-chain logistics. It has multiple ordering channels, such as website ordering, telephone ordering, TV ordering, direct supply to company, and physical store service.</t>
  </si>
  <si>
    <t>Loren Zhao; Founder; http://linkedin.com/in/loren-zhao-8b3a056a</t>
  </si>
  <si>
    <t>http://linkedin.com/in/loren-zhao-8b3a056a</t>
  </si>
  <si>
    <t>https://www.fruitday.com</t>
  </si>
  <si>
    <t>https://tracxn.com/companies/Kkk2hwdExFPE9T5KntbzVP3xpiFg4QaJWx3hsz-a9z0/fruitday.com</t>
  </si>
  <si>
    <t>Online Grocery &gt; Technology Enablers &gt; Grocery Retailers &gt; Suite
Crop Tech &gt; Farm Management Software</t>
  </si>
  <si>
    <t>Benchmark
Formation 8
Sherbrooke Capital
RSF Social Finance</t>
  </si>
  <si>
    <t>Farmigo provides a cloud-based software for managing community supported agriculture(CSA) subscriptions and sales. The company started as an online farmer’s marketplace connecting local farms to food consuming communities like workplaces, schools, apartment complexes etc. for local, fresh-from-harvest food. In it's marketplace model, members of each food community could pick and choose their preferred items, and then receive their orders weekly to their food community site within 48 hours of harvest. Farmigo is a certified B corporation. The company has pivoted to a SaaS model as of July 2016. Company now offers software dashboard for agriculture operators to help them manage customers directly (CRM and order management software for farms).</t>
  </si>
  <si>
    <t>Benzi Ronen; Founder &amp; CEO; benzi@farmigo.com; http://linkedin.com/in/benzironen
Yossi Pik; Co-Founder; yossi@farmigo.com; http://linkedin.com/in/yossipik</t>
  </si>
  <si>
    <t>benzi@farmigo.com
yossi@farmigo.com</t>
  </si>
  <si>
    <t>http://linkedin.com/in/benzironen
http://linkedin.com/in/yossipik</t>
  </si>
  <si>
    <t>http://www.linkedin.com/vsearch/p?f_CC=2892050</t>
  </si>
  <si>
    <t>https://www.farmigo.com</t>
  </si>
  <si>
    <t>https://www.linkedin.com/company/farmigo-inc-</t>
  </si>
  <si>
    <t>http://twitter.com/farmigo</t>
  </si>
  <si>
    <t>http://facebook.com/farmigo</t>
  </si>
  <si>
    <t>http://benzironen.wordpress.com</t>
  </si>
  <si>
    <t>https://tracxn.com/companies/GSfN5LHGw3wUmkD8sWmsTCKaknQ3_kS_a9ZQHR9o9u0/farmigo.com</t>
  </si>
  <si>
    <t>$868K</t>
  </si>
  <si>
    <t>Field Force Automation &gt; Agricultural industry
Crop Tech &gt; Content Platforms &gt; Farming Advice &gt; Expert Advisors</t>
  </si>
  <si>
    <t>International Finance Corporation
Unreasonable
Lundin Foundation
Acumen
Connovo
AGRA
International Network Investments
AHL Venture Partners</t>
  </si>
  <si>
    <t>Esoko offers a platform for businesses, projects, NGOs and governments to reach farmers. Provides web and mobile apps, original agricultural content, and on-the-ground deployment services, monitoring and advisory services. The platforms include marketing apps for sending bulk SMS and surveys and conducting polls, monitoring solutions for sourcing Goods, marketing products, monitoring activities, tracking inventory and advisory solutions. Claims to have worked with Vodafone, MTN Ghana, and Nova International.</t>
  </si>
  <si>
    <t>help@esoko.com</t>
  </si>
  <si>
    <t>Dan Asare Kyei; CEO; kyei@esoko.com; https://linkedin.com/in/dasarekyeiprofile; Unreasonable. University of Twente MSc 2009
Chetan Seth; Co-Founder; chetanseth5@gmail.com; http://linkedin.com/in/sethchetan; Ex- Fidelity Bank Gh, 3i Infotech, EDS
Mark Davies; Co-Founder; mark@esoko.com; https://linkedin.com/in/markgdavies; Founder Busyworks, ex-CoFounder West Africa Data Centres. University of Cambridge BA 1986</t>
  </si>
  <si>
    <t>kyei@esoko.com
chetanseth5@gmail.com
chetanseth@hotmail.com
mark@esoko.com</t>
  </si>
  <si>
    <t>https://linkedin.com/in/dasarekyeiprofile
http://linkedin.com/in/sethchetan
https://linkedin.com/in/markgdavies</t>
  </si>
  <si>
    <t>http://www.linkedin.com/vsearch/p?f_CC=1402657</t>
  </si>
  <si>
    <t>http://www.esoko.com</t>
  </si>
  <si>
    <t>http://linkedin.com/company/esoko</t>
  </si>
  <si>
    <t>http://twitter.com/esoko</t>
  </si>
  <si>
    <t>http://facebook.com/esokonews</t>
  </si>
  <si>
    <t>https://tracxn.com/companies/bW2DXuDtapDKNhN6XYX9haXKTvSTafHlODEN5JhstLU/esoko.com</t>
  </si>
  <si>
    <t>Sao Carlos</t>
  </si>
  <si>
    <t>Performa Investimentos
SP Ventures
Antera Resource Management
Fundo Criatec
Inseed Investimentos</t>
  </si>
  <si>
    <t>Enalta develops integrated hardware and software solutions for industrial agriculture and agribusinesses. Hardware includes actuators, controllers, sensors, regulators, etc. and software includes management modules, analytics, and other interfaces. Solutions offered are useful in farm operations like spraying, fertigation, fleet management, and agribusiness operations like logistics management, inventory, finance, etc.</t>
  </si>
  <si>
    <t>Guillaume Sagez; CEO &amp; Director; http://linkedin.com/in/guillaume-sagez-73a6b; Ex-UNICOBA, Mandae, GlobalYeast, Performa Investimentos. University Paris Dauphine 1995, INSEAD MBA 2006</t>
  </si>
  <si>
    <t>http://linkedin.com/in/guillaume-sagez-73a6b</t>
  </si>
  <si>
    <t>http://www.linkedin.com/vsearch/p?f_CC=9261394</t>
  </si>
  <si>
    <t>http://enalta.com</t>
  </si>
  <si>
    <t>http://linkedin.com/company/enalta</t>
  </si>
  <si>
    <t>https://twitter.com/enaltabrasil</t>
  </si>
  <si>
    <t>https://tracxn.com/companies/SPAdYmHLMyj6fIhFpdBT_VK-qYJNQVqJjqi_dOQZdDQ/enalta.com</t>
  </si>
  <si>
    <t>Wenzhou</t>
  </si>
  <si>
    <t>eLoan is an online lending platform where members can borrow and lend money among themselves at better interest rates than banks. It is specifically focused on agriculture, farming and rural areas. Majority of business comes from farmers personal loans which are used for agricultural production.</t>
  </si>
  <si>
    <t>Wang Sicong; CEO &amp; President; wsicong@eloancn.com</t>
  </si>
  <si>
    <t>wsicong@eloancn.com</t>
  </si>
  <si>
    <t>https://www.eloancn.com</t>
  </si>
  <si>
    <t>https://tracxn.com/companies/Qlog1nBRnQtCC1LW9Um21B1Ks_kVCS0uWYk0kRY5AG4/eloancn.com</t>
  </si>
  <si>
    <t>Khosla Impact
LGT Venture Philanthropy
Westlake Chemical</t>
  </si>
  <si>
    <t>Driptech designs and manufactures affordable drip irrigation for small-plot farmers in developing countries, and is an award-winning, revenue-generating, venture-backed social enterprise with offices in India and Silicon Valley.  Through proprietary manufacturing and novel distribution, Driptech is working to reach millions of small-plot farmers who have previously been unable to benefit from productivity-enhancing drip irrigation.  Driptech is a 2012 World Economic Forum Technology Pioneer, a recipient of the Social Venture Network Innovation Award, and a 2009 Tech Award Laureate for Technology Benefiting Humanity.</t>
  </si>
  <si>
    <t>info@driptech.com</t>
  </si>
  <si>
    <t>+91-8007978080</t>
  </si>
  <si>
    <t>Goutam Das; CEO; goutam@driptech.com; https://linkedin.com/in/goutam-k-das-a27a9410; Ex-John Deere India, Netafim Irrigation India, SAS Motors. IIT Kharagpur BTech 1980, IIM Ahmedabad 1982
Peter Frykman; Founder; pfrykman@gmail.com; http://linkedin.com/in/pfrykman; Pure Watercraft. Stanford University BS &amp; MS 2008</t>
  </si>
  <si>
    <t>goutam@driptech.com
pfrykman@gmail.com</t>
  </si>
  <si>
    <t>https://linkedin.com/in/goutam-k-das-a27a9410
http://linkedin.com/in/pfrykman</t>
  </si>
  <si>
    <t>http://www.linkedin.com/vsearch/p?f_CC=531728</t>
  </si>
  <si>
    <t>http://www.driptech.com</t>
  </si>
  <si>
    <t>http://linkedin.com/company/driptech</t>
  </si>
  <si>
    <t>http://twitter.com/driptech</t>
  </si>
  <si>
    <t>http://facebook.com/pg/driptech</t>
  </si>
  <si>
    <t>https://tracxn.com/companies/XN0WuYS1RAOW9fJjk5X47dWNNQY9LsVGVhzebicbryM/driptech.com</t>
  </si>
  <si>
    <t>DonMario produces and supplies hybrid seeds. Its product offerings include various varieties of seeds of corn, wheat, and soybeans. The company delivers its products in Argentina, Brazil, Uruguay, Paraguay, and Bolivia. Its mobile application is available for Android, iOS, and Windows users.</t>
  </si>
  <si>
    <t>+54-8102223521</t>
  </si>
  <si>
    <t>Alejandro Bartolome; Co-Founder
Gerardo Bartolome; Founder &amp; CEO</t>
  </si>
  <si>
    <t>https://www.donmario.com</t>
  </si>
  <si>
    <t>http://linkedin.com/company/asociados-don-mario-s-a-</t>
  </si>
  <si>
    <t>http://twitter.com/donmariooficial</t>
  </si>
  <si>
    <t>https://tracxn.com/companies/vL9s-2RJdMckaCZ-f5sRU_bpqu_rTdYgx6JU4IeY7pA/donmario.com</t>
  </si>
  <si>
    <t>Tech
Consumer
Marketplace
SaaS
Tech Hardware
Social Impact
Artificial Intelligence</t>
  </si>
  <si>
    <t>Santa Maria</t>
  </si>
  <si>
    <t>$638K</t>
  </si>
  <si>
    <t>Wearable Technology &gt; Pet Wearables
IoT Applications &gt; Industry Specific &gt; Agriculture &gt; Livestock
Pet Tech &gt; Pet Care Management &gt; Health Monitoring &gt; Cats and Dogs &gt; Wearable
Livestock Tech &gt; Health Management &gt; Health Monitoring &gt; Diversified</t>
  </si>
  <si>
    <t>Chip Inside offers a precision animal husbandry &amp; livestock management technology. Its product C-Tech is a collar used to monitor rumination, health and enables heat detection in dairy cattle to proactively prevent diseases in herds. The product can be bought or rented at R$ 20,00 per animal/month which includes C-Tech Health Cow for equipment and software updates on loan, CowMedAssistant, and other technical support. Clients include TechVetJr, Sebrae, Agittec, CNPq, etc.</t>
  </si>
  <si>
    <t>Chipinside@chipinside.com.br</t>
  </si>
  <si>
    <t>+55-5532264825</t>
  </si>
  <si>
    <t>Thiago Martins; CEO; CowMed</t>
  </si>
  <si>
    <t>http://www.linkedin.com/vsearch/p?f_CC=3200128</t>
  </si>
  <si>
    <t>http://www.chipinside.com.br</t>
  </si>
  <si>
    <t>http://linkedin.com/company/chip-inside</t>
  </si>
  <si>
    <t>http://twitter.com/chipinside</t>
  </si>
  <si>
    <t>http://facebook.com/chipinside</t>
  </si>
  <si>
    <t>https://tracxn.com/companies/rSNVOAMihQqgNtV0of-KhE8W_yt-7BMw0f08SY9ThYo/chipinside.com.br</t>
  </si>
  <si>
    <t>CLSA Capital Partners
Nair</t>
  </si>
  <si>
    <t>Camson Bio is an agricultural biotechnology company. Camson delivers products to maximize agricultural productivity and sustainability while reducing the environmental impact. Its proprietary technology platform consists of microorganism database, proprietary seeds germplasm, screening technology, biocides, bio-fertilizers and hybrid seeds. Camson has developed many unique biocides for plant protection and hybrid seeds for improved productivity.</t>
  </si>
  <si>
    <t>info@camsonbiotechnologies.com</t>
  </si>
  <si>
    <t>+91-8040768900</t>
  </si>
  <si>
    <t>Santosh Nair; CEO &amp; Director; sparsh0069@gmail.com; http://linkedin.com/in/santosh-nair-4a630a10; Ex-CEO CAMSON Bio Technologies, Director Merrill Lynch, HDFC Bank. NMIMS  1998</t>
  </si>
  <si>
    <t>sparsh0069@gmail.com
santosh@miklensbio.com</t>
  </si>
  <si>
    <t>http://linkedin.com/in/santosh-nair-4a630a10</t>
  </si>
  <si>
    <t>http://www.linkedin.com/vsearch/p?f_CC=739713</t>
  </si>
  <si>
    <t>BOM:538858</t>
  </si>
  <si>
    <t>http://camsonbiotechnologies.com</t>
  </si>
  <si>
    <t>http://linkedin.com/company/camson-bio-technologies-pvt-ltd</t>
  </si>
  <si>
    <t>https://tracxn.com/companies/zzzfDk6oUYvhG8PUqYBHNhcqAE4olNZtZiuKbS7JeNA/camsonbiotechnologies.com</t>
  </si>
  <si>
    <t>Botanocap develops pesticides for crop protection based of micro-encapsulation and slow release of essential oils. It also manufactures bio-fungicides, bio-insecticides and bio-nematicides for soil treatment, field crop protection, and post-harvest treatment using its proprietary technology platform for the slow release of volatile compounds, such as essential oils.</t>
  </si>
  <si>
    <t>Yigal Gezundhait; CEO; yigal@botanocap.com; http://linkedin.com/in/yigal-gezundhait-64aa86a; BDM, Rafa Laboratories, University of Edinburgh (MBA - 1998)</t>
  </si>
  <si>
    <t>yigal@botanocap.com</t>
  </si>
  <si>
    <t>http://linkedin.com/in/yigal-gezundhait-64aa86a</t>
  </si>
  <si>
    <t>http://www.linkedin.com/vsearch/p?f_CC=893834</t>
  </si>
  <si>
    <t>http://botanocap.com</t>
  </si>
  <si>
    <t>https://www.linkedin.com/company/botanocap</t>
  </si>
  <si>
    <t>https://tracxn.com/companies/XwEKz0kkmQa_QSEfa120vudmZXpIzNvn6KyJzEaZuxM/botanocap.com</t>
  </si>
  <si>
    <t>Eilat</t>
  </si>
  <si>
    <t>$50M</t>
  </si>
  <si>
    <t>Aquaculture Tech &gt; Aquatic Plants &gt; Algae &gt; Bioreactors &gt; Business Focused &gt; Portable</t>
  </si>
  <si>
    <t>Grovepoint
Arba Finance Company</t>
  </si>
  <si>
    <t>Algatechologies is a biotechnology company, specializing in the commercial cultivation of microalgae. Founded in 1998, Algatechnologies is involved in the production and supply of AstaPure - a natural astaxanthin - an antioxidant sourced from the microalga Haematococcus pluvialis.</t>
  </si>
  <si>
    <t>Hagai Stadler; CEO; http://linkedin.com/in/stadlerhagai; Ex-Grovepoint Capital,Mekorot, The Hebrew University. The Hebrew University of Jerusalem LLB 2006</t>
  </si>
  <si>
    <t>http://linkedin.com/in/stadlerhagai</t>
  </si>
  <si>
    <t>http://www.linkedin.com/vsearch/p?f_CC=2447089</t>
  </si>
  <si>
    <t>supremehealth.co.nz</t>
  </si>
  <si>
    <t>solabia.com</t>
  </si>
  <si>
    <t>https://www.algatech.com</t>
  </si>
  <si>
    <t>http://linkedin.com/company/algatechnologies</t>
  </si>
  <si>
    <t>https://twitter.com/algatech98</t>
  </si>
  <si>
    <t>http://facebook.com/pages/algatech/1396097397309941</t>
  </si>
  <si>
    <t>https://tracxn.com/companies/4z4plNhXeSikLeD8XbAaHglsukcQTTzq5y4MPM9M_Tk/algatech.com</t>
  </si>
  <si>
    <t>LIC
Fortissimo Capital</t>
  </si>
  <si>
    <t>Kibbutz Afikim</t>
  </si>
  <si>
    <t>Afimilk has developed multiple products to address problems across various planning and operations activity of dairy farms. The products include dairy farm management software that collects data across parameters from onfield sensors, analyzes and offers pre-created solution sets, milking parlor automation systems (including machines for cow identification, weighing, milk meters and analyzer, etc.), cow monitoring systems (including neck collars monitoring for cow's health), etc. The company claims to be targeting the dairy markets in more than 50 countries.</t>
  </si>
  <si>
    <t>Kibbutz Afikim
Yuval Rachmilevitz; CEO; Ex-Riverhead Networks, Olive  software</t>
  </si>
  <si>
    <t>http://www.linkedin.com/vsearch/p?f_CC=85260</t>
  </si>
  <si>
    <t>silentherdsman.com</t>
  </si>
  <si>
    <t>https://www.afimilk.com</t>
  </si>
  <si>
    <t>http://linkedin.com/company/afimilk-ltd</t>
  </si>
  <si>
    <t>http://twitter.com/afimilkltd</t>
  </si>
  <si>
    <t>http://facebook.com/afimilk</t>
  </si>
  <si>
    <t>https://tracxn.com/companies/s_PheTA_yO8-v0elUZjiQH6rSzdaFE0bIQKH9smOOTU/afimilk.com</t>
  </si>
  <si>
    <t>Crop Tech &gt; Farm Inputs &gt; Seeds &gt; Horticulture &gt; Hybrid</t>
  </si>
  <si>
    <t>Nair</t>
  </si>
  <si>
    <t>Advanta develops and supplies hybrid seeds. Offers hybrid seed varieties of sunflower, corn, mustard, rice, tomato, chilies, eggplant, okra, melons, and gourds. The company is involved in research and development, production, and marketing of high yielding hybrid seed varieties. Claims to utilize biotechnological tools such as marker-aided selection, dihaploids, molecular marker technology etc. to develop hybrid seeds.</t>
  </si>
  <si>
    <t>+91-04066746651</t>
  </si>
  <si>
    <t>Vikram Shroff; CEO &amp; Director; shroffvr@uniphos.com; http://linkedin.com/in/vikram-shroff-9a61a61; UPL. University of Mumbai BSc</t>
  </si>
  <si>
    <t>shroffvr@uniphos.com</t>
  </si>
  <si>
    <t>http://linkedin.com/in/vikram-shroff-9a61a61</t>
  </si>
  <si>
    <t>http://www.linkedin.com/vsearch/p?f_CC=555424</t>
  </si>
  <si>
    <t>BSE:ADVANTA</t>
  </si>
  <si>
    <t>http://www.advantaindia.com</t>
  </si>
  <si>
    <t>http://linkedin.com/company/advanta-india-ltd</t>
  </si>
  <si>
    <t>https://tracxn.com/companies/rem1W5o0MR7SU_xDkDpagaFaklo3OTCutyZQsIxOHi8/advantaindia.com</t>
  </si>
  <si>
    <t>Tech
Consumer
Marketplace
SaaS
Artificial Intelligence
Social Impact</t>
  </si>
  <si>
    <t>Jakarta
Bekasi</t>
  </si>
  <si>
    <t>Jakarta
West Java</t>
  </si>
  <si>
    <t>Indonesia
Indonesia</t>
  </si>
  <si>
    <t>MarketingTech &gt; Suite &gt; SMB
Crop Tech &gt; Content Platforms &gt; Farming Advice &gt; Expert Advisors</t>
  </si>
  <si>
    <t>Spiral Ventures</t>
  </si>
  <si>
    <t>8villages product comes in the form of a mobile phone subscription service called LISA (Farmers’ Information Service). By subscribing to LISA, users will be put into corresponding community groups based on their crops and location. It connects the farmers directly with the companies engaged in agribusiness. These companies can push through targeted marketing and advertising messages to farmers via 8village's platform.</t>
  </si>
  <si>
    <t>Singapore</t>
  </si>
  <si>
    <t>info@8villages.com</t>
  </si>
  <si>
    <t>Sanny Gaddafi; Co-Founder &amp; CEO; +6262218853808; sanny@8villages.com; http://id.linkedin.com/in/sagad; EX-Founder Institute, FUPEI. University of Bina Nusantara 2005
Mathieu Le Bras; ex-Co-Founder; http://linkedin.com/pub/mathieu-le-bras/10/811/b6; MD Madison Du Plain , EX-The Bread Factory, Syngenta. INSEAD MBA 2009</t>
  </si>
  <si>
    <t>sanny@8villages.com
s.gaddafi@8villages.com
gaddafi@gmail.com</t>
  </si>
  <si>
    <t>http://id.linkedin.com/in/sagad
http://linkedin.com/pub/mathieu-le-bras/10/811/b6</t>
  </si>
  <si>
    <t>http://www.linkedin.com/vsearch/p?f_CC=2857207</t>
  </si>
  <si>
    <t>https://8villages.com/</t>
  </si>
  <si>
    <t>http://linkedin.com/company/8villages</t>
  </si>
  <si>
    <t>https://twitter.com/8villages</t>
  </si>
  <si>
    <t>http://facebook.com/8villages</t>
  </si>
  <si>
    <t>http://lisa.co.id</t>
  </si>
  <si>
    <t>https://tracxn.com/companies/P0FM7I_gHxO-ca7k4m-HmSD0DGzUAzlcE4tSPoyeb1U/8villages.com</t>
  </si>
  <si>
    <t>Online Grocery &gt; B2C Ecommerce &gt; Fruits and Vegetables
Crop Tech &gt; ECommerce &gt; Farm Produce &gt; B2C &gt; Fruits and Vegetables &gt; Farm to Home &gt; Organic</t>
  </si>
  <si>
    <t>Greencart is a Mumbai-based online fresh fruits &amp;amp; vegetable shop. Claims to currently offer more than 1,500 products across more than 30 categories like farm-fresh and exotic fruits and vegetables, groceries, household essentials. Its service is currently operational in Mumbai, Navi Mumbai and Thane. Angel funded by Techno Group.</t>
  </si>
  <si>
    <t>Rajiv Tevtiya; ex-Co-Founder; rajiv.tevtiya@greencart.co.in; http://linkedin.com/pub/rajiv-tevtiya/8/a89/a57; Delhi University. MBA, University of Mumbai.
Kiran Tevtiya; Co-Founder; ait_Kiran@rediffmail.com; http://linkedin.com/pub/kiran-tevtiya/19/23a/728; Ex – Bank of America, Oracle Financial Services Software Ltd, Infosys Technologies Ltd. MA from Indira Gandhi National Open University 2016, BE from Army Institute of Technology, pune.</t>
  </si>
  <si>
    <t>rajiv.tevtiya@greencart.co.in
ait_Kiran@rediffmail.com</t>
  </si>
  <si>
    <t>http://linkedin.com/pub/rajiv-tevtiya/8/a89/a57
http://linkedin.com/pub/kiran-tevtiya/19/23a/728</t>
  </si>
  <si>
    <t>http://www.linkedin.com/vsearch/p?f_CC=3146270</t>
  </si>
  <si>
    <t>http://www.greencart.in</t>
  </si>
  <si>
    <t>https://www.linkedin.com/company/3146270?trk=prof-0-ovw-curr_pos</t>
  </si>
  <si>
    <t>http://twitter.com/greencartin</t>
  </si>
  <si>
    <t>http://facebook.com/greencartin</t>
  </si>
  <si>
    <t>https://tracxn.com/companies/tNXUuogfJ4NeXA0RI_EftFq5EUQXuUaNbm5qQ0gBsAo/greencart.in</t>
  </si>
  <si>
    <t>Petah Tikva</t>
  </si>
  <si>
    <t>Smart Homes
Crop Tech
Water and Wastewater Management Tech</t>
  </si>
  <si>
    <t>Smart Homes &gt; Gardening &gt; Sprinkler Controllers
Crop Tech &gt; Autonomous Farming &gt; Gardening &gt; Sprinkler Controllers
Water and Wastewater Management Tech &gt; Smart Irrigation &gt; Gardening &gt; Smart Sprinkler Controllers</t>
  </si>
  <si>
    <t>STIHL
Entree Capital</t>
  </si>
  <si>
    <t>GreenIQ is a developer of a smart sprinkler system called Smart Garden Hub which controls irrigation scheduling based on weather forecast. Claims to save up to 50% on the outdoor water consumption. Connects with internet and is used along with an app through which the device can be controlled from anywhere, at any time.The app is available for Android and iPhone users. The Hub connects to soil moisture sensors, Netatmo weather station, and a flow meter.</t>
  </si>
  <si>
    <t>info@greeniq.com</t>
  </si>
  <si>
    <t>Odi Dahan; Founder &amp; CEO; odi@greeniq.com; http://linkedin.com/in/odidahan; Ex-CEO CloudWave, Freescale, Motorola Semiconductor. Tel Aviv University BSc 1990, IDC Herzliya MBA 2011</t>
  </si>
  <si>
    <t>odi@greeniq.com</t>
  </si>
  <si>
    <t>http://linkedin.com/in/odidahan</t>
  </si>
  <si>
    <t>http://www.linkedin.com/vsearch/p?f_CC=3090927</t>
  </si>
  <si>
    <t>http://www.greeniq.com</t>
  </si>
  <si>
    <t>http://linkedin.com/company/greeniq</t>
  </si>
  <si>
    <t>http://twitter.com/green_iq</t>
  </si>
  <si>
    <t>http://facebook.com/greeniq.systems</t>
  </si>
  <si>
    <t>http://greeniq.com/blogs</t>
  </si>
  <si>
    <t>https://tracxn.com/companies/ITXfotWYrzbub5X3B8EScXSKsAH9nIxJP2GQphW1oC8/greeniq.com</t>
  </si>
  <si>
    <t>$785K</t>
  </si>
  <si>
    <t>FrontalRain Technologies offers a supply chain software solution for agribusiness and food processing companies. Products include Rain+ Glow, a grower management software to manage large supplier base and to ensure seed-to-truck trace-ability; Rain+ Make, a process manufacturing solution for food processing plants; Rain+ Movie, a retail sales management system; Rain+ Trade, a collaborative Trading Platform for commodity traders and exporters  and Rain+ Serve, a solution for non-profit organizations. Provides apps with collaboration, e-commerce, social networking and mobile capabilities to enable customers to interact with suppliers and customers. Key clients include SAIFCO Group, Phalada Agro Research Foundation, Growl Feeds, Triton Consultants etc.</t>
  </si>
  <si>
    <t>info@frontalrain.com</t>
  </si>
  <si>
    <t>+91-7760076789
+91-08022355444</t>
  </si>
  <si>
    <t>Sravanth Boyapati; CEO; http://linkedin.com/in/sravanthboyapati
Sreeram Pranatharthiharan; Founder &amp; Director; +919886722005; p.sreeram@frontalrain.com; http://linkedin.com/in/psreeram; Founder &amp; Director-FrontalRain Technologies, ex-Director &amp; VP-SAP Labs India, ex-IBM Global Services. IIT, Bombay 1995
Ravi Mandayam; Co-Founder &amp; Director; ravi@frontalrain.com; http://linkedin.com/pub/ravi-mandayam/4/155/bb0; ex-SAP Labs, CGN &amp; Associates.
Jayaram Srinivasan; Co-Founder &amp; MD; jayaram@frontalrain.com; http://linkedin.com/pub/jayaram-srinivasan/14/5b7/265; ex-SAP, Murugappa Group. IIM Calcutta.
Shyam Mohan; Founder</t>
  </si>
  <si>
    <t>p.sreeram@frontalrain.com
psreeram@gmail.com
ravi@frontalrain.com
jayaram@frontalrain.com</t>
  </si>
  <si>
    <t>http://linkedin.com/in/sravanthboyapati
http://linkedin.com/in/psreeram
http://linkedin.com/pub/ravi-mandayam/4/155/bb0
http://linkedin.com/pub/jayaram-srinivasan/14/5b7/265</t>
  </si>
  <si>
    <t>http://www.linkedin.com/vsearch/p?f_CC=1595062</t>
  </si>
  <si>
    <t>Sreeram Pranatharthiharan
Jayaram Srinivasan
Ravi Mandayam</t>
  </si>
  <si>
    <t>http://www.frontalrain.com</t>
  </si>
  <si>
    <t>http://linkedin.com/company/frontalrain-technologies-pvt-ltd</t>
  </si>
  <si>
    <t>http://twitter.com/frontalrain</t>
  </si>
  <si>
    <t>http://facebook.com/pages/frontalrain-technologies/107119692688905</t>
  </si>
  <si>
    <t>https://tracxn.com/companies/2AOzYn9YaUhbJWUx2IvItid46lXlmuxtD9WSu4eYce4/frontalrain.com</t>
  </si>
  <si>
    <t>Consumer
Enterprise
SaaS
Tech</t>
  </si>
  <si>
    <t>$56M</t>
  </si>
  <si>
    <t>Blackstone
BIRAC</t>
  </si>
  <si>
    <t>MVR Chowdary</t>
  </si>
  <si>
    <t>Nuziveedu seeds is a seed producer which focuses on hybrid cotton and paddy seeds. Apart from that, it also offers maize, jowar, mustard, bajra, wheat, and sunflower seeds. The company has its presence in 17 states and markets approximately 350 varieties of seed products to more than 5.5 million farmers across the country. The company has filed for an IPO with 10% of the paid-up equity in April 2015.</t>
  </si>
  <si>
    <t>info@nuziveeduseeds.com</t>
  </si>
  <si>
    <t>+91-8418308888</t>
  </si>
  <si>
    <t>Mandava Venkat Ramaiah; Founder
Mandava Prabhakara Rao; Managing Director; Banaras Hindu University BSc, MSc</t>
  </si>
  <si>
    <t>http://www.linkedin.com/vsearch/p?f_CC=3214832</t>
  </si>
  <si>
    <t>prabhatseeds.com
yaagantiseeds.com</t>
  </si>
  <si>
    <t>http://www.nuziveeduseeds.com</t>
  </si>
  <si>
    <t>https://www.linkedin.com/company/nuziveedu-seeds-limited</t>
  </si>
  <si>
    <t>https://twitter.com/nuziveeduseed</t>
  </si>
  <si>
    <t>https://facebook.com/nuziveeduseedsltd</t>
  </si>
  <si>
    <t>http://nuziveeduseeds.com/blog</t>
  </si>
  <si>
    <t>https://tracxn.com/companies/vgeFMFb6-PErhxuLg3fzri1PSo1qLoPiJrKj1hkgEhE/nuziveeduseeds.com</t>
  </si>
  <si>
    <t>Marketplace
SaaS
Tech
Consumer
Software
Tech Hardware
Social Impact
Artificial Intelligence</t>
  </si>
  <si>
    <t>Harare</t>
  </si>
  <si>
    <t>Zimbabwe</t>
  </si>
  <si>
    <t>Vilmorin &amp; Cie</t>
  </si>
  <si>
    <t>Prime Seed is involved in the breeding technology research and development for a variety of crops and manufacturing of seeds for subsequent distribution. The product portfolio has seeds of hybrid varieties of maize, wheat, sorghum, soya, cowpeas, groundnuts, sugar beans, and others.</t>
  </si>
  <si>
    <t>Morgan Nzwere; Group Chief Executive; morgan@seedcogroup.com; http://linkedin.com/in/morgan-nzwere-36b3252; University of Zimbabwe 1989</t>
  </si>
  <si>
    <t>morgan@seedcogroup.com</t>
  </si>
  <si>
    <t>http://linkedin.com/in/morgan-nzwere-36b3252</t>
  </si>
  <si>
    <t>http://www.linkedin.com/vsearch/p?f_CC=1372561</t>
  </si>
  <si>
    <t>http://www.seedcogroup.com</t>
  </si>
  <si>
    <t>https://linkedin.com/company/seedco-group</t>
  </si>
  <si>
    <t>https://twitter.com/seedcogroup</t>
  </si>
  <si>
    <t>http://facebook.com/seedcozimbabwe</t>
  </si>
  <si>
    <t>http://seedcogroup.com/media/blog</t>
  </si>
  <si>
    <t>https://tracxn.com/companies/dyh962nJBPTiZ7bIJrMV9lWlIIrbUUP7PggHUv39jXM/seedcogroup.com</t>
  </si>
  <si>
    <t>Online Grocery &gt; B2B Ecommerce &gt; Surplus Products</t>
  </si>
  <si>
    <t>Crop Tech &gt; ECommerce &gt; Farm Produce &gt; B2B &gt; Fruits and Vegetables &gt; E Distributor &gt; Ugly Produce</t>
  </si>
  <si>
    <t>Y Combinator Batches &gt; 2020 &gt; Winter</t>
  </si>
  <si>
    <t>First Business Models</t>
  </si>
  <si>
    <t>Second Business Model</t>
  </si>
  <si>
    <t>Third Business Model</t>
  </si>
  <si>
    <t>Funding Year</t>
  </si>
  <si>
    <t>Line Item</t>
  </si>
  <si>
    <t>Unit</t>
  </si>
  <si>
    <t>USD</t>
  </si>
  <si>
    <t>Investment Amount</t>
  </si>
  <si>
    <t>Confidence Level</t>
  </si>
  <si>
    <t>Level of Innovation</t>
  </si>
  <si>
    <t>% of budget spend on innovation</t>
  </si>
  <si>
    <t>% of budget spend on agricultural production</t>
  </si>
  <si>
    <t>Innovation layer (1st level)</t>
  </si>
  <si>
    <t>Innovation layer (2nd level)</t>
  </si>
  <si>
    <t>Innovation layer (3rd level)</t>
  </si>
  <si>
    <t>Value-chain</t>
  </si>
  <si>
    <t>Funding Source (Org)</t>
  </si>
  <si>
    <t>Funding Recipient (org)</t>
  </si>
  <si>
    <t>Funding instrument</t>
  </si>
  <si>
    <t>#Debt(100)</t>
  </si>
  <si>
    <t>#Grants(100)</t>
  </si>
  <si>
    <t>#Equity(100)</t>
  </si>
  <si>
    <t>Innovation Stage</t>
  </si>
  <si>
    <t>Innovation Area</t>
  </si>
  <si>
    <t>Spatial Scale</t>
  </si>
  <si>
    <t>Holding Size</t>
  </si>
  <si>
    <t>USAID Main domain</t>
  </si>
  <si>
    <t>USAID sub-domain</t>
  </si>
  <si>
    <t>Gliessman's categorization</t>
  </si>
  <si>
    <t xml:space="preserve">High (actual data point) </t>
  </si>
  <si>
    <t xml:space="preserve">LIST OF TAGS TO BE ASSIGNED TO EACH INVESTMENT </t>
  </si>
  <si>
    <t>Take only the third level. Other two levels mentioned for reference</t>
  </si>
  <si>
    <t>UN Regions</t>
  </si>
  <si>
    <t>Countries (impact focus)</t>
  </si>
  <si>
    <t xml:space="preserve">Countries (funding source) </t>
  </si>
  <si>
    <t>Innovation type (granular)</t>
  </si>
  <si>
    <t xml:space="preserve">Innovation type (sub-category) </t>
  </si>
  <si>
    <t xml:space="preserve">Innovation type (3 layers) </t>
  </si>
  <si>
    <t>Funding source (org)</t>
  </si>
  <si>
    <t>Innovation stage</t>
  </si>
  <si>
    <t>Impact Intention</t>
  </si>
  <si>
    <t xml:space="preserve">Impact Intention (sub-domain) </t>
  </si>
  <si>
    <t>Spatial scale</t>
  </si>
  <si>
    <t>Adoption curve stage</t>
  </si>
  <si>
    <t>Year</t>
  </si>
  <si>
    <t>Holding size</t>
  </si>
  <si>
    <t>Level of innovation  relevance in govt budget</t>
  </si>
  <si>
    <t xml:space="preserve">Percentage of value assigned to "innovation </t>
  </si>
  <si>
    <t xml:space="preserve">Level of investment allocated towards sustainabliity domains </t>
  </si>
  <si>
    <t>Percentage</t>
  </si>
  <si>
    <t>Macro layer</t>
  </si>
  <si>
    <t xml:space="preserve">Total spend (confidence level) </t>
  </si>
  <si>
    <t>Northern Africa</t>
  </si>
  <si>
    <t>Afghanistan</t>
  </si>
  <si>
    <t>Crops &amp; plants</t>
  </si>
  <si>
    <t>Level 1: The macro agriculture system</t>
  </si>
  <si>
    <t>Agriculture governance systems &amp; policy support</t>
  </si>
  <si>
    <t>Private company</t>
  </si>
  <si>
    <t>Grants</t>
  </si>
  <si>
    <t>Research &amp; development</t>
  </si>
  <si>
    <t>Science &amp; Tech</t>
  </si>
  <si>
    <t>Other economic</t>
  </si>
  <si>
    <t>Field/Animal Herd</t>
  </si>
  <si>
    <t>Product introduction</t>
  </si>
  <si>
    <t>Level 1: Increasing efficiency of current practices</t>
  </si>
  <si>
    <t>Small</t>
  </si>
  <si>
    <t>None</t>
  </si>
  <si>
    <t>S</t>
  </si>
  <si>
    <t>Research centres &amp; institutes</t>
  </si>
  <si>
    <t>Sub-Saharan Africa</t>
  </si>
  <si>
    <t>Albania</t>
  </si>
  <si>
    <t>Cereals</t>
  </si>
  <si>
    <t xml:space="preserve">Agriculture financing systems </t>
  </si>
  <si>
    <t>Level 2: Agriculture production systems</t>
  </si>
  <si>
    <t>Private funds</t>
  </si>
  <si>
    <t>University/Research institute</t>
  </si>
  <si>
    <t>Pilot/Launch</t>
  </si>
  <si>
    <t>Product Development</t>
  </si>
  <si>
    <t>Productivity</t>
  </si>
  <si>
    <t>Increasing output per unit input</t>
  </si>
  <si>
    <t>Farm/Household</t>
  </si>
  <si>
    <t>Operational excellence</t>
  </si>
  <si>
    <t>Level 2: Substituting with alternate practices</t>
  </si>
  <si>
    <t>Large</t>
  </si>
  <si>
    <t>L</t>
  </si>
  <si>
    <t>P</t>
  </si>
  <si>
    <t>Agricultural education institutes and programs</t>
  </si>
  <si>
    <t xml:space="preserve">M (modelled) </t>
  </si>
  <si>
    <t>Eastern Africa</t>
  </si>
  <si>
    <t>Algeria</t>
  </si>
  <si>
    <t>Pulses</t>
  </si>
  <si>
    <t xml:space="preserve">Rural infrastructure policies </t>
  </si>
  <si>
    <t>Research, knowledge &amp; education systems</t>
  </si>
  <si>
    <t>Level 3: Ecosystem services and land rights and use management</t>
  </si>
  <si>
    <t>Government</t>
  </si>
  <si>
    <t>NGO/NPO</t>
  </si>
  <si>
    <t>Equity</t>
  </si>
  <si>
    <t>Growth/Adoption</t>
  </si>
  <si>
    <t>Marketing extension / Behavior Change</t>
  </si>
  <si>
    <t>Environmental</t>
  </si>
  <si>
    <t>Reducing variability of profits</t>
  </si>
  <si>
    <t>Landscape</t>
  </si>
  <si>
    <t>Customer extension</t>
  </si>
  <si>
    <t>Level 3: Developing new set of ecological practices</t>
  </si>
  <si>
    <t>Both</t>
  </si>
  <si>
    <t>M</t>
  </si>
  <si>
    <t>Ag extention programs</t>
  </si>
  <si>
    <t xml:space="preserve">L (assumption/judgmenet) </t>
  </si>
  <si>
    <t>Middle Africa</t>
  </si>
  <si>
    <t>Andorra</t>
  </si>
  <si>
    <t>Oilseeds</t>
  </si>
  <si>
    <t xml:space="preserve">Human capital development </t>
  </si>
  <si>
    <t>Collaboration &amp; trade systems</t>
  </si>
  <si>
    <t>N/A</t>
  </si>
  <si>
    <t>Foundations/Philanthropy</t>
  </si>
  <si>
    <t>Bi-lateral/Multi-lateral</t>
  </si>
  <si>
    <t>TA</t>
  </si>
  <si>
    <t>Institutional / Infra</t>
  </si>
  <si>
    <t>Social</t>
  </si>
  <si>
    <t>Reduce cost of inputs</t>
  </si>
  <si>
    <t>Innovation renewal</t>
  </si>
  <si>
    <t>Level 4: Re-establishing a connect between growers and consumers</t>
  </si>
  <si>
    <t>H</t>
  </si>
  <si>
    <t>Knowledge platforms</t>
  </si>
  <si>
    <t>Southern Africa</t>
  </si>
  <si>
    <t>Angola</t>
  </si>
  <si>
    <t>Tubers</t>
  </si>
  <si>
    <t xml:space="preserve">Agricultural pricing policies </t>
  </si>
  <si>
    <t>Inputs</t>
  </si>
  <si>
    <t>Bi-laterals</t>
  </si>
  <si>
    <t>Development Agency</t>
  </si>
  <si>
    <t>Hedging</t>
  </si>
  <si>
    <t>Policies</t>
  </si>
  <si>
    <t>Human Condition</t>
  </si>
  <si>
    <t>Improve price realization</t>
  </si>
  <si>
    <t>Ecosystem support</t>
  </si>
  <si>
    <t>Level 5: Building a new global food system</t>
  </si>
  <si>
    <t>Incubation &amp; Accelerators</t>
  </si>
  <si>
    <t>Western Africa</t>
  </si>
  <si>
    <t>Anguilla</t>
  </si>
  <si>
    <t>Fruits</t>
  </si>
  <si>
    <t>Minimum support price programs</t>
  </si>
  <si>
    <t xml:space="preserve">Novel foods </t>
  </si>
  <si>
    <t>Multi-laterals</t>
  </si>
  <si>
    <t>End-consumer</t>
  </si>
  <si>
    <t>Tax incentives</t>
  </si>
  <si>
    <t>Business Model</t>
  </si>
  <si>
    <t>Waste reduction</t>
  </si>
  <si>
    <t>E-learning</t>
  </si>
  <si>
    <t>Latin America and the Caribbean</t>
  </si>
  <si>
    <t>Antigua and Barbuda</t>
  </si>
  <si>
    <t>Vegetables</t>
  </si>
  <si>
    <t xml:space="preserve">Stabilization and risk in agriculture </t>
  </si>
  <si>
    <t>Production</t>
  </si>
  <si>
    <t xml:space="preserve">PSU </t>
  </si>
  <si>
    <t>Guarantees/Insurance</t>
  </si>
  <si>
    <t>Policy research and advocacy</t>
  </si>
  <si>
    <t>Caribbean</t>
  </si>
  <si>
    <t>Other crops</t>
  </si>
  <si>
    <t>Food &amp; nutrition policy</t>
  </si>
  <si>
    <t xml:space="preserve">Post-production </t>
  </si>
  <si>
    <t>Blended instruments</t>
  </si>
  <si>
    <t>Increasing crop or animal yield</t>
  </si>
  <si>
    <t xml:space="preserve">Agriculture farmer income support programs </t>
  </si>
  <si>
    <t>Central America</t>
  </si>
  <si>
    <t>Armenia</t>
  </si>
  <si>
    <t>Livestock, dairy, &amp; poultry</t>
  </si>
  <si>
    <t xml:space="preserve">Natural resource rights </t>
  </si>
  <si>
    <t>Core-processing</t>
  </si>
  <si>
    <t>ODA loans</t>
  </si>
  <si>
    <t xml:space="preserve">Increasing cropping intensity </t>
  </si>
  <si>
    <t>Minimum support price program</t>
  </si>
  <si>
    <t>South America</t>
  </si>
  <si>
    <t>Aruba</t>
  </si>
  <si>
    <t>Dairy</t>
  </si>
  <si>
    <t xml:space="preserve">Certification systems </t>
  </si>
  <si>
    <t>Cross-cutting</t>
  </si>
  <si>
    <t>Reducing production variability</t>
  </si>
  <si>
    <t>Management fees and set up costs for agriculture innovation funds</t>
  </si>
  <si>
    <t>Northern America</t>
  </si>
  <si>
    <t xml:space="preserve">Poultry </t>
  </si>
  <si>
    <t>Soil &amp; water management</t>
  </si>
  <si>
    <t>Retained Earnings</t>
  </si>
  <si>
    <t>Reducing human effort</t>
  </si>
  <si>
    <t>Innovative financing instruments such as climate credits and trading</t>
  </si>
  <si>
    <t>Central Asia</t>
  </si>
  <si>
    <t>Austria</t>
  </si>
  <si>
    <t xml:space="preserve">Livestock  </t>
  </si>
  <si>
    <t xml:space="preserve">Agriculture income support programs </t>
  </si>
  <si>
    <t>Biodiversity management</t>
  </si>
  <si>
    <t>Subsidies for agriculture innovations and their adoption</t>
  </si>
  <si>
    <t>Eastern Asia</t>
  </si>
  <si>
    <t>Azerbaijan</t>
  </si>
  <si>
    <t>Fisheries &amp; aquaculture</t>
  </si>
  <si>
    <t>Land rights, and use management</t>
  </si>
  <si>
    <t>Improved soil quality</t>
  </si>
  <si>
    <t>International collaboration programs</t>
  </si>
  <si>
    <t>South-eastern Asia</t>
  </si>
  <si>
    <t>Bahamas</t>
  </si>
  <si>
    <t>Novel foods</t>
  </si>
  <si>
    <t>Innovative instruments such as climate credits and trading</t>
  </si>
  <si>
    <t>Improved biodiversity</t>
  </si>
  <si>
    <t>Sustainable agri-trade policy</t>
  </si>
  <si>
    <t>Southern Asia</t>
  </si>
  <si>
    <t>Bahrain</t>
  </si>
  <si>
    <t xml:space="preserve">Subsidies for agriculture innovations and their adoption </t>
  </si>
  <si>
    <t>Improved water availability</t>
  </si>
  <si>
    <t>Western Asia</t>
  </si>
  <si>
    <t>Improved water quality</t>
  </si>
  <si>
    <t>Institutes for trade/tech transfer</t>
  </si>
  <si>
    <t>Eastern Europe (including Northern Asia)</t>
  </si>
  <si>
    <t>Barbados</t>
  </si>
  <si>
    <t>Research centers and institutes (private &amp; public)</t>
  </si>
  <si>
    <t>Climate Change mitigation</t>
  </si>
  <si>
    <t>Free trade zones</t>
  </si>
  <si>
    <t>Northern Europe</t>
  </si>
  <si>
    <t>Belarus</t>
  </si>
  <si>
    <t>Agriculture education institutes and programs</t>
  </si>
  <si>
    <t>Ocean Acidification reduction</t>
  </si>
  <si>
    <t>International trade fairs</t>
  </si>
  <si>
    <t>Southern Europe</t>
  </si>
  <si>
    <t>Extension programs</t>
  </si>
  <si>
    <t>Reduced fuel consumption</t>
  </si>
  <si>
    <t>Production systems layer</t>
  </si>
  <si>
    <t>Western Europe</t>
  </si>
  <si>
    <t>Belize</t>
  </si>
  <si>
    <t>Biogeochemical flows (including nitrogen, phosphorous, carbon, and sulphur cycles)</t>
  </si>
  <si>
    <t xml:space="preserve">Inputs </t>
  </si>
  <si>
    <t>Australia and New Zealand</t>
  </si>
  <si>
    <t>Benin</t>
  </si>
  <si>
    <t>Incubation and acceleration centers for agriculture innovation</t>
  </si>
  <si>
    <t>Increasing forest cover</t>
  </si>
  <si>
    <t xml:space="preserve">Production   </t>
  </si>
  <si>
    <t>Melanesia</t>
  </si>
  <si>
    <t>Bermuda</t>
  </si>
  <si>
    <t xml:space="preserve">E-learning </t>
  </si>
  <si>
    <t>Improved air quality</t>
  </si>
  <si>
    <t>Post-production</t>
  </si>
  <si>
    <t>Micronesia</t>
  </si>
  <si>
    <t>Bhutan</t>
  </si>
  <si>
    <t>Polynesia</t>
  </si>
  <si>
    <t>Bolivia (Plurinational State of)</t>
  </si>
  <si>
    <t>Increase social equity</t>
  </si>
  <si>
    <t xml:space="preserve">Farm-level cross cutting systems </t>
  </si>
  <si>
    <t>Bosnia and Herzegovina</t>
  </si>
  <si>
    <t>Increase gender equity</t>
  </si>
  <si>
    <t xml:space="preserve">Production factors &amp; NRM </t>
  </si>
  <si>
    <t>Reduced conflict</t>
  </si>
  <si>
    <t>Water &amp; Soil Management</t>
  </si>
  <si>
    <t xml:space="preserve">Free trade zones </t>
  </si>
  <si>
    <t>Promote collective action</t>
  </si>
  <si>
    <t>Forestry &amp; biodiversity Management</t>
  </si>
  <si>
    <t>British Virgin Islands</t>
  </si>
  <si>
    <t xml:space="preserve">International trade fairs </t>
  </si>
  <si>
    <t>Human condition</t>
  </si>
  <si>
    <t>Land use, and rights management</t>
  </si>
  <si>
    <t>Brunei Darussalam</t>
  </si>
  <si>
    <t>Improved nutrition</t>
  </si>
  <si>
    <t>Bulgaria</t>
  </si>
  <si>
    <t xml:space="preserve">Health </t>
  </si>
  <si>
    <t>Burkina Faso</t>
  </si>
  <si>
    <t>Plant breeding &amp; biofortification</t>
  </si>
  <si>
    <t>Food safety</t>
  </si>
  <si>
    <t>Burundi</t>
  </si>
  <si>
    <t xml:space="preserve">Fertilizers/manure </t>
  </si>
  <si>
    <t>Food security</t>
  </si>
  <si>
    <t>Cabo Verde</t>
  </si>
  <si>
    <t>Biologicals</t>
  </si>
  <si>
    <t>Improved knowledge/skills</t>
  </si>
  <si>
    <t>Cambodia</t>
  </si>
  <si>
    <t xml:space="preserve">Pesticides </t>
  </si>
  <si>
    <t>Cameroon</t>
  </si>
  <si>
    <t>Canada</t>
  </si>
  <si>
    <t>Agri input e-commerce platforms</t>
  </si>
  <si>
    <t>Cayman Islands</t>
  </si>
  <si>
    <t>Bio fertilizers (inputs)</t>
  </si>
  <si>
    <t>Central African Republic</t>
  </si>
  <si>
    <t xml:space="preserve">Microbial applications </t>
  </si>
  <si>
    <t>Chad</t>
  </si>
  <si>
    <t>Seed banks</t>
  </si>
  <si>
    <t>Heirloom seeds</t>
  </si>
  <si>
    <t>Biocides</t>
  </si>
  <si>
    <t>China, Hong Kong SAR</t>
  </si>
  <si>
    <t xml:space="preserve">Animal feeding </t>
  </si>
  <si>
    <t>China, Macao SAR</t>
  </si>
  <si>
    <t>Animal Nutrition</t>
  </si>
  <si>
    <t>Animal genetics</t>
  </si>
  <si>
    <t>Comoros</t>
  </si>
  <si>
    <t>Animal reproduction</t>
  </si>
  <si>
    <t>Congo</t>
  </si>
  <si>
    <t>Breeding &amp; genetics</t>
  </si>
  <si>
    <t>Cook Islands</t>
  </si>
  <si>
    <t xml:space="preserve">Fish feed </t>
  </si>
  <si>
    <t>Costa Rica</t>
  </si>
  <si>
    <t>New species</t>
  </si>
  <si>
    <t>Côte d'Ivoire</t>
  </si>
  <si>
    <t>Fish disease management</t>
  </si>
  <si>
    <t>Croatia</t>
  </si>
  <si>
    <t>Cuba</t>
  </si>
  <si>
    <t>Plant meat</t>
  </si>
  <si>
    <t>Curaçao</t>
  </si>
  <si>
    <t>Lab grown meat</t>
  </si>
  <si>
    <t>Cyprus</t>
  </si>
  <si>
    <t>Insect-protein based feed</t>
  </si>
  <si>
    <t>Czechia</t>
  </si>
  <si>
    <t>Seaweed</t>
  </si>
  <si>
    <t>Czechoslovakia (Former)</t>
  </si>
  <si>
    <t>Wild foods</t>
  </si>
  <si>
    <t>D.P.R. of Korea</t>
  </si>
  <si>
    <t>New local sources</t>
  </si>
  <si>
    <t>D.R. of the Congo</t>
  </si>
  <si>
    <t xml:space="preserve">Novel food processing </t>
  </si>
  <si>
    <t>Denmark</t>
  </si>
  <si>
    <t>Djibouti</t>
  </si>
  <si>
    <t xml:space="preserve">Hydroponics </t>
  </si>
  <si>
    <t>Dominica</t>
  </si>
  <si>
    <t>Aeroponics</t>
  </si>
  <si>
    <t>Dominican Republic</t>
  </si>
  <si>
    <t xml:space="preserve">Integrated cropping </t>
  </si>
  <si>
    <t>Ecuador</t>
  </si>
  <si>
    <t>Farm mechanization</t>
  </si>
  <si>
    <t>Equipment automation</t>
  </si>
  <si>
    <t>El Salvador</t>
  </si>
  <si>
    <t>Irrigation systems</t>
  </si>
  <si>
    <t>Equatorial Guinea</t>
  </si>
  <si>
    <t>Precision agriculture</t>
  </si>
  <si>
    <t>Eritrea</t>
  </si>
  <si>
    <t>Borewell re-charging</t>
  </si>
  <si>
    <t>Estonia</t>
  </si>
  <si>
    <t>Drone technologies/robotics</t>
  </si>
  <si>
    <t>Eswatini</t>
  </si>
  <si>
    <t>Agroforestry</t>
  </si>
  <si>
    <t>Ethiopia</t>
  </si>
  <si>
    <t>High nature value farming</t>
  </si>
  <si>
    <t>Ethiopia (Former)</t>
  </si>
  <si>
    <t>Animal health</t>
  </si>
  <si>
    <t>Fiji</t>
  </si>
  <si>
    <t>Integrated livestock systems</t>
  </si>
  <si>
    <t>Finland</t>
  </si>
  <si>
    <t>Precision livestock farming</t>
  </si>
  <si>
    <t>Former Netherlands Antilles</t>
  </si>
  <si>
    <t>Integrated dairy farms</t>
  </si>
  <si>
    <t>France</t>
  </si>
  <si>
    <t>French Polynesia</t>
  </si>
  <si>
    <t>Aquaponic fisheries</t>
  </si>
  <si>
    <t>Gabon</t>
  </si>
  <si>
    <t>Vertical fishfarms (offshore)</t>
  </si>
  <si>
    <t>Gambia</t>
  </si>
  <si>
    <t xml:space="preserve">Smart ponds (IOT etc) </t>
  </si>
  <si>
    <t>Closed loop aquaculture</t>
  </si>
  <si>
    <t>Germany</t>
  </si>
  <si>
    <t>Aquaculture production</t>
  </si>
  <si>
    <t>Greece</t>
  </si>
  <si>
    <t>Decentralized farm-level storage systems</t>
  </si>
  <si>
    <t>Greenland</t>
  </si>
  <si>
    <t xml:space="preserve">Packaging technology </t>
  </si>
  <si>
    <t>Grenada</t>
  </si>
  <si>
    <t>Uberized transport services</t>
  </si>
  <si>
    <t>Guatemala</t>
  </si>
  <si>
    <t xml:space="preserve">Temperature sensitive storage </t>
  </si>
  <si>
    <t>Decentralized solar storage</t>
  </si>
  <si>
    <t>Guinea-Bissau</t>
  </si>
  <si>
    <t>Food waste management</t>
  </si>
  <si>
    <t>Guyana</t>
  </si>
  <si>
    <t>Packaging technology</t>
  </si>
  <si>
    <t>Haiti</t>
  </si>
  <si>
    <t>Cold storage</t>
  </si>
  <si>
    <t>Honduras</t>
  </si>
  <si>
    <t>Waste management</t>
  </si>
  <si>
    <t>Hungary</t>
  </si>
  <si>
    <t>Farmer cooperative business models</t>
  </si>
  <si>
    <t>Iceland</t>
  </si>
  <si>
    <t>Storage technologies</t>
  </si>
  <si>
    <t>Packaging technologies</t>
  </si>
  <si>
    <t>Supply chain technologies</t>
  </si>
  <si>
    <t>Iran (Islamic Republic of)</t>
  </si>
  <si>
    <t>Agri marketplaces</t>
  </si>
  <si>
    <t>Iraq</t>
  </si>
  <si>
    <t>Ireland</t>
  </si>
  <si>
    <t xml:space="preserve">Commodity specific processing operations (where core) </t>
  </si>
  <si>
    <t xml:space="preserve">Food fortification </t>
  </si>
  <si>
    <t>Italy</t>
  </si>
  <si>
    <t>Protein extraction systems</t>
  </si>
  <si>
    <t>Upcycling of food waste/byproducts</t>
  </si>
  <si>
    <t>Japan</t>
  </si>
  <si>
    <t>Dairy processing (incl pasteurization)</t>
  </si>
  <si>
    <t xml:space="preserve">Meat &amp; poultry processing </t>
  </si>
  <si>
    <t>Kazakhstan</t>
  </si>
  <si>
    <t>Food fortification</t>
  </si>
  <si>
    <t>Preservation techniques (meat curing)</t>
  </si>
  <si>
    <t>Kiribati</t>
  </si>
  <si>
    <t xml:space="preserve">Seafood processing </t>
  </si>
  <si>
    <t>Kosovo</t>
  </si>
  <si>
    <t>Kuwait</t>
  </si>
  <si>
    <t>Fish preservative techniques</t>
  </si>
  <si>
    <t>Kyrgyzstan</t>
  </si>
  <si>
    <t>Lao People's DR</t>
  </si>
  <si>
    <t>Farmer engagement platforms (including marketplaces and information platforms)</t>
  </si>
  <si>
    <t>Latvia</t>
  </si>
  <si>
    <t xml:space="preserve">Rural extension networks </t>
  </si>
  <si>
    <t>Lebanon</t>
  </si>
  <si>
    <t>AI/analytics based advisory algorithms (incl. weather)</t>
  </si>
  <si>
    <t>Lesotho</t>
  </si>
  <si>
    <t xml:space="preserve">Value-chain financing and risk management </t>
  </si>
  <si>
    <t>Liberia</t>
  </si>
  <si>
    <t xml:space="preserve">Agriculture traceability systems </t>
  </si>
  <si>
    <t>Libya</t>
  </si>
  <si>
    <t>Farmer financing services</t>
  </si>
  <si>
    <t>Liechtenstein</t>
  </si>
  <si>
    <t>Lithuania</t>
  </si>
  <si>
    <t>Soil &amp; water health management</t>
  </si>
  <si>
    <t>Luxembourg</t>
  </si>
  <si>
    <t>Soil regeneration and remediation</t>
  </si>
  <si>
    <t>Madagascar</t>
  </si>
  <si>
    <t xml:space="preserve">Crop rotation </t>
  </si>
  <si>
    <t>Malawi</t>
  </si>
  <si>
    <t>Soil and nutrient monitoring systems</t>
  </si>
  <si>
    <t>Carbon sequestration systems</t>
  </si>
  <si>
    <t>Maldives</t>
  </si>
  <si>
    <t>Watershed management</t>
  </si>
  <si>
    <t>Soil erosion prevention systems</t>
  </si>
  <si>
    <t>Malta</t>
  </si>
  <si>
    <t>Marshall Islands</t>
  </si>
  <si>
    <t>Habitat enhancement</t>
  </si>
  <si>
    <t>Mauritania</t>
  </si>
  <si>
    <t>Animal and fish monitoring systems</t>
  </si>
  <si>
    <t>Mauritius</t>
  </si>
  <si>
    <t>Forest management (incl Agroforestry)</t>
  </si>
  <si>
    <t>Micronesia (FS of)</t>
  </si>
  <si>
    <t>Land use and rights management systems</t>
  </si>
  <si>
    <t>Monaco</t>
  </si>
  <si>
    <t>Mongolia</t>
  </si>
  <si>
    <t>Montenegro</t>
  </si>
  <si>
    <t>Montserrat</t>
  </si>
  <si>
    <t>Morocco</t>
  </si>
  <si>
    <t>Mozambique</t>
  </si>
  <si>
    <t>Namibia</t>
  </si>
  <si>
    <t>Nauru</t>
  </si>
  <si>
    <t>Nepal</t>
  </si>
  <si>
    <t>New Caledonia</t>
  </si>
  <si>
    <t>New Zealand</t>
  </si>
  <si>
    <t>Nicaragua</t>
  </si>
  <si>
    <t>Niger</t>
  </si>
  <si>
    <t>North Macedonia</t>
  </si>
  <si>
    <t>Norway</t>
  </si>
  <si>
    <t>Oman</t>
  </si>
  <si>
    <t>Palau</t>
  </si>
  <si>
    <t>Panama</t>
  </si>
  <si>
    <t>Papua New Guinea</t>
  </si>
  <si>
    <t>Paraguay</t>
  </si>
  <si>
    <t>Poland</t>
  </si>
  <si>
    <t>Portugal</t>
  </si>
  <si>
    <t>Puerto Rico</t>
  </si>
  <si>
    <t>Qatar</t>
  </si>
  <si>
    <t>Republic of Korea</t>
  </si>
  <si>
    <t>Republic of Moldova</t>
  </si>
  <si>
    <t>Romania</t>
  </si>
  <si>
    <t>Russian Federation</t>
  </si>
  <si>
    <t>Rwanda</t>
  </si>
  <si>
    <t>Saint Kitts and Nevis</t>
  </si>
  <si>
    <t>Saint Lucia</t>
  </si>
  <si>
    <t>Samoa</t>
  </si>
  <si>
    <t>San Marino</t>
  </si>
  <si>
    <t>Sao Tome and Principe</t>
  </si>
  <si>
    <t>Serbia</t>
  </si>
  <si>
    <t>Seychelles</t>
  </si>
  <si>
    <t>Sierra Leone</t>
  </si>
  <si>
    <t>Sint Maarten (Dutch part)</t>
  </si>
  <si>
    <t>Slovakia</t>
  </si>
  <si>
    <t>Slovenia</t>
  </si>
  <si>
    <t>Solomon Islands</t>
  </si>
  <si>
    <t>Somalia</t>
  </si>
  <si>
    <t>South Sudan</t>
  </si>
  <si>
    <t>Spain</t>
  </si>
  <si>
    <t>Sri Lanka</t>
  </si>
  <si>
    <t>St. Vincent and the Grenadines</t>
  </si>
  <si>
    <t>State of Palestine</t>
  </si>
  <si>
    <t>Sudan</t>
  </si>
  <si>
    <t>Sudan (Former)</t>
  </si>
  <si>
    <t>Suriname</t>
  </si>
  <si>
    <t>Sweden</t>
  </si>
  <si>
    <t>Switzerland</t>
  </si>
  <si>
    <t>Syrian Arab Republic</t>
  </si>
  <si>
    <t>Tajikistan</t>
  </si>
  <si>
    <t>Timor-Leste</t>
  </si>
  <si>
    <t>Togo</t>
  </si>
  <si>
    <t>Tonga</t>
  </si>
  <si>
    <t>Trinidad and Tobago</t>
  </si>
  <si>
    <t>Tunisia</t>
  </si>
  <si>
    <t>Turkey</t>
  </si>
  <si>
    <t>Turkmenistan</t>
  </si>
  <si>
    <t>Turks and Caicos Islands</t>
  </si>
  <si>
    <t>Tuvalu</t>
  </si>
  <si>
    <t>U.R. of Tanzania: Mainland</t>
  </si>
  <si>
    <t>Ukraine</t>
  </si>
  <si>
    <t>Uruguay</t>
  </si>
  <si>
    <t>USSR (Former)</t>
  </si>
  <si>
    <t>Uzbekistan</t>
  </si>
  <si>
    <t>Vanuatu</t>
  </si>
  <si>
    <t>Venezuela (Bolivarian Republic of)</t>
  </si>
  <si>
    <t>Viet Nam</t>
  </si>
  <si>
    <t>Yemen</t>
  </si>
  <si>
    <t>Yemen Arab Republic (Former)</t>
  </si>
  <si>
    <t>Yemen Democratic (Former)</t>
  </si>
  <si>
    <t>Yugoslavia (Former)</t>
  </si>
  <si>
    <t>Zambia</t>
  </si>
  <si>
    <t>Zanzibar</t>
  </si>
  <si>
    <t>#Livestock(100)</t>
  </si>
  <si>
    <t>#Cross-cutting(100)</t>
  </si>
  <si>
    <t>#Fisheries and Aquaculture(100)</t>
  </si>
  <si>
    <t>#Crops(100)</t>
  </si>
  <si>
    <t>Value chain</t>
  </si>
  <si>
    <t>#Farm/Household(100)</t>
  </si>
  <si>
    <t>NA</t>
  </si>
  <si>
    <t>#Field/Animal Herd(100)</t>
  </si>
  <si>
    <t>#N/A(100)</t>
  </si>
  <si>
    <t>Farm Equipment</t>
  </si>
  <si>
    <t>#Novel Foods(100)</t>
  </si>
  <si>
    <t>Insect-protein based food</t>
  </si>
  <si>
    <t>Wolkus is creator of Fasal. Fasal develops an AI-powered IoT platform for precision agriculture. It offers a cloud platform that collects the microclimatic data captured by the on-field sensors. The real-time farm information such as temperature, humidity, rainfall, soil moisture, soil temperature etc. is incorporated in its proprietary AI-based microclimate forecasting algorithm to analyze and provide insights on microclimate, disease forecast, irrigation management, resource optimization, yield enhancement, fertilizer application etc. The user can access the insights from the mobile or PC and immediate actions can be made through the device.</t>
  </si>
  <si>
    <t>Quality testing technologies</t>
  </si>
  <si>
    <t>Transportation technologies</t>
  </si>
  <si>
    <t>#Landscape(100)</t>
  </si>
  <si>
    <t>#Small(100)</t>
  </si>
  <si>
    <t>Innovation Areas</t>
  </si>
  <si>
    <t>#Growth/Adoption(100)</t>
  </si>
  <si>
    <t>#Improve price realization(P)</t>
  </si>
  <si>
    <t>#Level 4(100)</t>
  </si>
  <si>
    <t>#Process Innovation(100)</t>
  </si>
  <si>
    <t>#Other Economic(P); #Productivity(S)</t>
  </si>
  <si>
    <t>#Improve price realization(P); #Increasing crop or animal yield(S)</t>
  </si>
  <si>
    <t>#Increasing output per unit input(P); #Increasing crop or animal yield(S)</t>
  </si>
  <si>
    <t>#Product Development(100)</t>
  </si>
  <si>
    <t>#Human Condition(P); #Environmental(S); #Productivity(S)</t>
  </si>
  <si>
    <t>#Food security(P); #Reducing production variability(S)</t>
  </si>
  <si>
    <t>#Level 2(100)</t>
  </si>
  <si>
    <t>#Science &amp; tech(100)</t>
  </si>
  <si>
    <t>#Level 1(100)</t>
  </si>
  <si>
    <t>#Reduce cost of inputs(P)</t>
  </si>
  <si>
    <t>#Improved nutrition(P)</t>
  </si>
  <si>
    <t>#Level 3(100)</t>
  </si>
  <si>
    <t>#Reducing human effort(P)</t>
  </si>
  <si>
    <t>#Improved soil quality(P)</t>
  </si>
  <si>
    <t>#Increasing forest cover(P)</t>
  </si>
  <si>
    <t>#Productivity(P); #Other Economic(S)</t>
  </si>
  <si>
    <t>#Reducing human effort(P); #Increasing output per unit input(S)</t>
  </si>
  <si>
    <t>#Waste reduction(P); #Improved biodiversity(S)</t>
  </si>
  <si>
    <t>#Other Economic(P); #Environmental(P)</t>
  </si>
  <si>
    <t>Seed development and biotech</t>
  </si>
  <si>
    <t>#Productivity(P); #Human Condition(S)</t>
  </si>
  <si>
    <t>#Increasing crop or animal yield(P); #Improved nutrition(S)</t>
  </si>
  <si>
    <t>#Waste reduction(P)</t>
  </si>
  <si>
    <t>#Human Condition(P); #Other Economic(S)</t>
  </si>
  <si>
    <t>#Health(P); #Reducing variability of profits(S)</t>
  </si>
  <si>
    <t>#Productivity(P); Other economic(S)</t>
  </si>
  <si>
    <t>#Increasing crop or animal yield(P)</t>
  </si>
  <si>
    <t>#Reducing variability of profits(P)</t>
  </si>
  <si>
    <t>#Environmental(P); #Other economic(S)</t>
  </si>
  <si>
    <t>#Start-up(100)</t>
  </si>
  <si>
    <t>Investor type</t>
  </si>
  <si>
    <t>CoSAI - Innovation Investment Study</t>
  </si>
  <si>
    <t>Version</t>
  </si>
  <si>
    <t>vDraft</t>
  </si>
  <si>
    <t>Last modified</t>
  </si>
  <si>
    <t xml:space="preserve">INTRODUCTION </t>
  </si>
  <si>
    <t xml:space="preserve">STRUCTURE OF THE FILE </t>
  </si>
  <si>
    <t>Tab category</t>
  </si>
  <si>
    <t xml:space="preserve">Description </t>
  </si>
  <si>
    <t>Consolidated output sheet (1)</t>
  </si>
  <si>
    <t xml:space="preserve">CONVENTION </t>
  </si>
  <si>
    <t>●</t>
  </si>
  <si>
    <r>
      <rPr>
        <b/>
        <sz val="11"/>
        <color theme="1"/>
        <rFont val="Calibri"/>
        <family val="2"/>
        <scheme val="minor"/>
      </rPr>
      <t>Layout</t>
    </r>
    <r>
      <rPr>
        <sz val="11"/>
        <color indexed="8"/>
        <rFont val="Calibri"/>
        <family val="2"/>
        <scheme val="minor"/>
      </rPr>
      <t>: There is a section at the top of each tabs providing an explanation of the structure/assumption used in tab in question.</t>
    </r>
  </si>
  <si>
    <r>
      <rPr>
        <b/>
        <sz val="11"/>
        <color theme="1"/>
        <rFont val="Calibri"/>
        <family val="2"/>
        <scheme val="minor"/>
      </rPr>
      <t>Units</t>
    </r>
    <r>
      <rPr>
        <sz val="11"/>
        <color indexed="8"/>
        <rFont val="Calibri"/>
        <family val="2"/>
        <scheme val="minor"/>
      </rPr>
      <t xml:space="preserve">: Currency for all figures has been highlighted in adjacent columns. All currency figures are nominal values. </t>
    </r>
  </si>
  <si>
    <r>
      <rPr>
        <b/>
        <sz val="11"/>
        <color theme="1"/>
        <rFont val="Calibri"/>
        <family val="2"/>
        <scheme val="minor"/>
      </rPr>
      <t>Change variables</t>
    </r>
    <r>
      <rPr>
        <sz val="11"/>
        <color indexed="8"/>
        <rFont val="Calibri"/>
        <family val="2"/>
        <scheme val="minor"/>
      </rPr>
      <t>: The model is set up so that users can modify and update variables as new information comes to light. The users can review the current assumptions in the variables sheets, which are placed towards the end of the model.</t>
    </r>
  </si>
  <si>
    <r>
      <rPr>
        <b/>
        <sz val="11"/>
        <color theme="1"/>
        <rFont val="Calibri"/>
        <family val="2"/>
        <scheme val="minor"/>
      </rPr>
      <t>Cells in the model are colour coded</t>
    </r>
    <r>
      <rPr>
        <sz val="11"/>
        <color indexed="8"/>
        <rFont val="Calibri"/>
        <family val="2"/>
        <scheme val="minor"/>
      </rPr>
      <t xml:space="preserve">
</t>
    </r>
  </si>
  <si>
    <r>
      <rPr>
        <b/>
        <sz val="11"/>
        <color theme="1"/>
        <rFont val="Calibri"/>
        <family val="2"/>
      </rPr>
      <t xml:space="preserve">Black Text: </t>
    </r>
    <r>
      <rPr>
        <sz val="11"/>
        <color theme="1"/>
        <rFont val="Calibri"/>
        <family val="2"/>
      </rPr>
      <t xml:space="preserve">Black coloured text are calculations. They pull data from other cells to make a calculations and should not be changed or modified. 
</t>
    </r>
  </si>
  <si>
    <r>
      <rPr>
        <b/>
        <sz val="11"/>
        <color rgb="FF00B050"/>
        <rFont val="Calibri"/>
        <family val="2"/>
      </rPr>
      <t>Green Text</t>
    </r>
    <r>
      <rPr>
        <sz val="11"/>
        <color theme="1"/>
        <rFont val="Calibri"/>
        <family val="2"/>
      </rPr>
      <t xml:space="preserve">: Green coloured text reference other cells in the model and is not the "first" cell in a chain of variables.  They should not be changed or modified to ensure consistency throughout the model. </t>
    </r>
  </si>
  <si>
    <r>
      <rPr>
        <b/>
        <sz val="11"/>
        <color rgb="FF0070C0"/>
        <rFont val="Calibri"/>
        <family val="2"/>
      </rPr>
      <t>Blue Text</t>
    </r>
    <r>
      <rPr>
        <sz val="11"/>
        <color theme="1"/>
        <rFont val="Calibri"/>
        <family val="2"/>
      </rPr>
      <t>: Blue coloured text are the variables inputted into the model based on actual data. These are likely to have higher validity and should not be directly updated unless contradictory information or more up-to-date information is available.</t>
    </r>
  </si>
  <si>
    <r>
      <rPr>
        <b/>
        <sz val="11"/>
        <color theme="7"/>
        <rFont val="Calibri"/>
        <family val="2"/>
      </rPr>
      <t>Yellow Text</t>
    </r>
    <r>
      <rPr>
        <sz val="11"/>
        <color theme="1"/>
        <rFont val="Calibri"/>
        <family val="2"/>
      </rPr>
      <t xml:space="preserve">: Yellow coloured text are the variables inputted into the model based on proxy data or team's understanding of the sector. These are likely to require greater level of verification and validation by experts. 
</t>
    </r>
    <r>
      <rPr>
        <b/>
        <sz val="11"/>
        <color rgb="FFFF0000"/>
        <rFont val="Calibri"/>
        <family val="2"/>
      </rPr>
      <t>Red Text</t>
    </r>
    <r>
      <rPr>
        <sz val="11"/>
        <color theme="1"/>
        <rFont val="Calibri"/>
        <family val="2"/>
      </rPr>
      <t xml:space="preserve">: Red coloured text are inputs to manually overwrite calculations, where calculations (or extrapolations) appear to be inaccurate. </t>
    </r>
  </si>
  <si>
    <t>METHODOLOGY</t>
  </si>
  <si>
    <t xml:space="preserve">Layout of tab (Expand for details) </t>
  </si>
  <si>
    <t xml:space="preserve">Structure: </t>
  </si>
  <si>
    <t xml:space="preserve">Notes: </t>
  </si>
  <si>
    <t xml:space="preserve">&lt;-- click to expand </t>
  </si>
  <si>
    <t>Row Labels</t>
  </si>
  <si>
    <t>Grand Total</t>
  </si>
  <si>
    <t>Company Description</t>
  </si>
  <si>
    <t>High priority company</t>
  </si>
  <si>
    <t>Total innovation Investment</t>
  </si>
  <si>
    <t>Conservative Scenario</t>
  </si>
  <si>
    <t>Moderate Scenario</t>
  </si>
  <si>
    <t>Aggressive Scenario</t>
  </si>
  <si>
    <t>Units</t>
  </si>
  <si>
    <t>USD millions</t>
  </si>
  <si>
    <t>Remarks</t>
  </si>
  <si>
    <t>%</t>
  </si>
  <si>
    <t>Source</t>
  </si>
  <si>
    <t>Total</t>
  </si>
  <si>
    <t>Mapping of Tags to innovation areas</t>
  </si>
  <si>
    <t>Consolidated view of model outputs into useful tables for review and analysis. The analysis sheet includes findings from top-down estimates as well as bottom-up tagging.</t>
  </si>
  <si>
    <t>Top-Down Estimates (1)</t>
  </si>
  <si>
    <t>● The current tab summarizes the top-down estimation and bottom-up tagging conducted in case of institutional investments.</t>
  </si>
  <si>
    <t>Innovation related institutional investments for global south</t>
  </si>
  <si>
    <t>Top-Down Estimation - Findings</t>
  </si>
  <si>
    <t>Placeholder assumption</t>
  </si>
  <si>
    <t>SAI-related investments</t>
  </si>
  <si>
    <t>Placeholder assumption. The updated assumptions are likely to come from the trends emerging from the bottom-up tagging exercise.</t>
  </si>
  <si>
    <t>Top-down estimation</t>
  </si>
  <si>
    <t>Total global south-focused Innovation investments under conservative scenario</t>
  </si>
  <si>
    <t>Total global south-focused Innovation investments under moderate scenario</t>
  </si>
  <si>
    <t>Total global south-focused Innovation investments under aggressive scenario</t>
  </si>
  <si>
    <t>SAI estimation using Scenario Analysis</t>
  </si>
  <si>
    <t>Extrapolation using Scenario Analysis</t>
  </si>
  <si>
    <t>Share of SAI-related investments as % of total</t>
  </si>
  <si>
    <t>Bottom-up tagging (1)</t>
  </si>
  <si>
    <t>Contains the list of investments from the Tracxn database as well as populated tags against these investment line items.</t>
  </si>
  <si>
    <t>Includes back-up sheet related to data validation lists.</t>
  </si>
  <si>
    <t>● The current tab includes all calculations regarding the top-down estimation.</t>
  </si>
  <si>
    <t>● The estimates are based on calculations made on actual data using assumptions. These assumptions have been copied over from the top-down assumptions sheet.</t>
  </si>
  <si>
    <t>● The current estimates are based on placeholder assumptions and will get updated as these assumptions are updated</t>
  </si>
  <si>
    <t>● The current tab includes list of all investments details as captured under the Tracxn database relevant to our scope.</t>
  </si>
  <si>
    <t>● Columns have been modified and added to enable the tagging process</t>
  </si>
  <si>
    <t>● The current list of investments also includes undisclosed investments, debt investments, post-IPO investments, and investments in some of the large private corporations (UPL, Jain Irrigiation). Some of these investment rows have been to deleted/excluded from the tab as final decisions regarding these rows are made.</t>
  </si>
  <si>
    <t>● Bottom-up tagging is currently under progress and will be completed in the next iteration.</t>
  </si>
  <si>
    <t>● The current tab contains all assumptions related to the top-down estimates.</t>
  </si>
  <si>
    <t>● Most of the current estimates are placeholders and will be updated in the next iteration</t>
  </si>
  <si>
    <t>● The current tab contains the mapping assumptions made with respect to relevant innovation areas</t>
  </si>
  <si>
    <t>● Investments are supposed to get populated for tags listed from column C onwards automatically based on the innovatino areas the investment  may be tagged to</t>
  </si>
  <si>
    <t>● Mapping yet to be manually verified for accuracy</t>
  </si>
  <si>
    <t>#Investment Fund(100)</t>
  </si>
  <si>
    <t>#Corporate(100)</t>
  </si>
  <si>
    <t>#Angel Investor(100)</t>
  </si>
  <si>
    <t>(Only productivity) +(env + (social/human))</t>
  </si>
  <si>
    <t>(Prod/Other economic) + (Env/social/human)</t>
  </si>
  <si>
    <t>Prod + Env</t>
  </si>
  <si>
    <t>SAI classification (strictest)</t>
  </si>
  <si>
    <t>SAI classification (broadest)</t>
  </si>
  <si>
    <t>SAI classification (moderate)</t>
  </si>
  <si>
    <t>SAI value (strictest)</t>
  </si>
  <si>
    <t>SAI value (broadest)</t>
  </si>
  <si>
    <t>SAI value (moderate)</t>
  </si>
  <si>
    <t>Sustainability domain</t>
  </si>
  <si>
    <t>#Productivity(P); #Other Economic(P)</t>
  </si>
  <si>
    <t>Global PE</t>
  </si>
  <si>
    <t>https://www.mckinsey.com/~/media/McKinsey/Industries/Private%20Equity%20and%20Principal%20Investors/Our%20Insights/Private%20markets%20come%20of%20age/Private-markets-come-of-age-McKinsey-Global-Private-Markets-Review-2019-vF.ashx</t>
  </si>
  <si>
    <t xml:space="preserve">~2% for India. Assumed a discounted 1% globally. </t>
  </si>
  <si>
    <t>https://economictimes.indiatimes.com/news/economy/finance/private-equity-vc-investments-hit-record-high-of-48-billion-in-2019-report/articleshow/74190932.cms?from=mdr</t>
  </si>
  <si>
    <t>Global PE investents in agricultulre</t>
  </si>
  <si>
    <t>https://www.statista.com/statistics/1095957/global-venture-capita-funding-value-by-region/</t>
  </si>
  <si>
    <t>Global VC investents in agriculture</t>
  </si>
  <si>
    <t>https://research.agfunder.com/2015/AgFunder-AgTech-Investing-Report-2015.pdf</t>
  </si>
  <si>
    <t>% towards global south</t>
  </si>
  <si>
    <t>USD mn</t>
  </si>
  <si>
    <t>Total Global PE/VC investments in agriculture</t>
  </si>
  <si>
    <t xml:space="preserve">As reportedin AgFunder global investment reports. 
Values for 2010 and 2011 extrapolated using grwth rates in the ag investor report </t>
  </si>
  <si>
    <t>% of PE investments towards agriculture</t>
  </si>
  <si>
    <t>#Large(100)</t>
  </si>
  <si>
    <t>#Both(100)</t>
  </si>
  <si>
    <t>#Dairy(100)</t>
  </si>
  <si>
    <t>irrigation systems</t>
  </si>
  <si>
    <t>Value-chain (pivot)</t>
  </si>
  <si>
    <t>#Crops(050); #Livestock(050)</t>
  </si>
  <si>
    <t>#Crops(020); #Livestock(080)</t>
  </si>
  <si>
    <t>Crops</t>
  </si>
  <si>
    <t>Fisheries and Aquaculture</t>
  </si>
  <si>
    <t>Livestock</t>
  </si>
  <si>
    <t>Novel Foods</t>
  </si>
  <si>
    <t>#Other Economic(P); #Environmental(S)</t>
  </si>
  <si>
    <t>#Environmental(P); #Other Economic(S)</t>
  </si>
  <si>
    <t>#Reduced fuel consumption(P); #Reduce cost of inputs(S)</t>
  </si>
  <si>
    <t>#Improved air quality(P); #Reduce cost of inputs(S)</t>
  </si>
  <si>
    <t>#Human Condition(P), #Environmental</t>
  </si>
  <si>
    <t>#Crops(080); #Livestock(020)</t>
  </si>
  <si>
    <t>#Crops(090); #Livestock(010)</t>
  </si>
  <si>
    <t>#Livestock(050); #Fisheries and Aquaculture(050)</t>
  </si>
  <si>
    <t>#Crops(080); #Fisheries and Aquaculture(020)</t>
  </si>
  <si>
    <t xml:space="preserve">Values from analysis of companies in tracxn database (USD) </t>
  </si>
  <si>
    <t>Percentage of total (used as assumptions to be extrapolated to top-line numbers)</t>
  </si>
  <si>
    <t>#Increase output per unit input(P)</t>
  </si>
  <si>
    <t>2019 value extrapolated using data for last 3 years</t>
  </si>
  <si>
    <t>The innovation investments in agriculture used for creation of the dashboard.</t>
  </si>
  <si>
    <t>`</t>
  </si>
  <si>
    <t>SAI</t>
  </si>
  <si>
    <t>SAI strictest</t>
  </si>
  <si>
    <t>SAI broadest</t>
  </si>
  <si>
    <t>SAI moderate</t>
  </si>
  <si>
    <t>USD Mn</t>
  </si>
  <si>
    <t>USD bn</t>
  </si>
  <si>
    <t>SAI broadest&lt;&gt; Value Chain</t>
  </si>
  <si>
    <t>SAI moderate &lt;&gt; Value Chain</t>
  </si>
  <si>
    <t>SAI strictest &lt;&gt; Value Chain</t>
  </si>
  <si>
    <t>SAI strictest &lt;&gt; Innovation Area</t>
  </si>
  <si>
    <t>SAI broadest &lt;&gt; Innovation Area</t>
  </si>
  <si>
    <t>SAI moderate &lt;&gt; Innovation Area</t>
  </si>
  <si>
    <t>SAI broadest &lt;&gt; Value Chain</t>
  </si>
  <si>
    <t>Conservative</t>
  </si>
  <si>
    <t>Current USD</t>
  </si>
  <si>
    <t>Moderate</t>
  </si>
  <si>
    <t>Constant USD(2010)</t>
  </si>
  <si>
    <t>Aggressive</t>
  </si>
  <si>
    <t>Constant USD multiplier</t>
  </si>
  <si>
    <t>GDP deflators</t>
  </si>
  <si>
    <t>Source: World Bank</t>
  </si>
  <si>
    <t>United States, Latin America etc.</t>
  </si>
  <si>
    <t>GDP deflator overall</t>
  </si>
  <si>
    <t xml:space="preserve">Total values per country in the bottom up tagging sheet (USD current) </t>
  </si>
  <si>
    <t>These values are used to calculate a weighted GDP deflator that is applied to the top down estimates</t>
  </si>
  <si>
    <t>This excel model has been developed to estimate investments in agirculture innovation and sustainable agriculture intensification by institutional investors between 2010-19 focused towards the global south. 
The estimation has been done using a combination of top-down estimation and bottom-up tagging.  The top-down estimation has been done using the AgFunder investment reports to estimate the total investment figure by institutional investors going towards global south between 2010-19. Top-down estimation also includes estimates regarding SAI investments. The bottom-tagging has been done using the Tracxn database to identify the investment trends that may be applicable to the top-down estimates. These trends have been superimposed on the top-down estimate to get an overall estimate and analysis of how PE/VC money is flowing in agriculture.
Further, a scenario-based approach has been taken to provide a range for the top-down investment estimate.</t>
  </si>
  <si>
    <t xml:space="preserve">Bottom-up data sheet (1) </t>
  </si>
  <si>
    <t>Includes raw data from for companeis sourced from tracxn</t>
  </si>
  <si>
    <t xml:space="preserve">The assumptions in column N to W have been taken from a bottom up analysis of data from tracxn </t>
  </si>
  <si>
    <t>Layer 1</t>
  </si>
  <si>
    <t>Layer 2</t>
  </si>
  <si>
    <t>Layer 3</t>
  </si>
  <si>
    <t>Innovation layer mapped</t>
  </si>
  <si>
    <t>● The top-down analysis provides estimates of innovation-related institutional investments in the global south.</t>
  </si>
  <si>
    <t xml:space="preserve">● The bottom-up tagging analysis provides the different trends applicable to institutional investments with regards to the identified tag including sustainability tags. </t>
  </si>
  <si>
    <t>Institutional Investments</t>
  </si>
  <si>
    <t>#Other Economic(P); Social(S)</t>
  </si>
  <si>
    <t>#Other Economic(P); Productivity(S)</t>
  </si>
  <si>
    <t>#Environmental(P); Productivity(S)</t>
  </si>
  <si>
    <t>#Human Condition(P); Productivity(S)</t>
  </si>
  <si>
    <t>#Other Economic(P); Environmental(S)</t>
  </si>
  <si>
    <t>#Other economic(P); #Productivity(S)</t>
  </si>
  <si>
    <t>#Productivity(P); #Other economic(S)</t>
  </si>
  <si>
    <t xml:space="preserve">Split by type and country (for slide) </t>
  </si>
  <si>
    <t>2020 values marked as 0</t>
  </si>
  <si>
    <t>Others</t>
  </si>
  <si>
    <t xml:space="preserve">Moderate </t>
  </si>
  <si>
    <t>Broad</t>
  </si>
  <si>
    <t>Strict</t>
  </si>
  <si>
    <t>SAI by Innovation Type</t>
  </si>
  <si>
    <t>Below are calculations to estimate split of SAI spends by innovation types/layers</t>
  </si>
  <si>
    <t xml:space="preserve">Scenarios&gt;&gt; </t>
  </si>
  <si>
    <t xml:space="preserve">Definitions&gt;&gt; </t>
  </si>
  <si>
    <t>Economic</t>
  </si>
  <si>
    <t xml:space="preserve">Human Condition </t>
  </si>
  <si>
    <t>Data Source</t>
  </si>
  <si>
    <t>World Development Indicators</t>
  </si>
  <si>
    <t>Last Updated Date</t>
  </si>
  <si>
    <t>Country Name</t>
  </si>
  <si>
    <t>Country Code</t>
  </si>
  <si>
    <t>Indicator Name</t>
  </si>
  <si>
    <t>Indicator Code</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</si>
  <si>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</si>
  <si>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</si>
  <si>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</si>
  <si>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</si>
  <si>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</si>
  <si>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</si>
  <si>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</si>
  <si>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</si>
  <si>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</si>
  <si>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</si>
  <si>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</si>
  <si>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</si>
  <si>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</si>
  <si>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</si>
  <si>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</si>
  <si>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</si>
  <si>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</si>
  <si>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</si>
  <si>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</si>
  <si>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</si>
  <si>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</si>
  <si>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</si>
  <si>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</si>
  <si>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</si>
  <si>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</si>
  <si>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</si>
  <si>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</si>
  <si>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</si>
  <si>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</si>
  <si>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</si>
  <si>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</si>
  <si>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</si>
  <si>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</si>
  <si>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</si>
  <si>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</si>
  <si>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</si>
  <si>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</si>
  <si>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</si>
  <si>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</si>
  <si>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</si>
  <si>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</si>
  <si>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</si>
  <si>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</si>
  <si>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</si>
  <si>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</si>
  <si>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</si>
  <si>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</si>
  <si>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</si>
  <si>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</si>
  <si>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</si>
  <si>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2020</t>
  </si>
  <si>
    <t>ABW</t>
  </si>
  <si>
    <t>Official exchange rate (LCU per US$, period average)</t>
  </si>
  <si>
    <t>PA.NUS.FCRF</t>
  </si>
  <si>
    <t>AFG</t>
  </si>
  <si>
    <t>AGO</t>
  </si>
  <si>
    <t>ALB</t>
  </si>
  <si>
    <t>AND</t>
  </si>
  <si>
    <t>Arab World</t>
  </si>
  <si>
    <t>ARB</t>
  </si>
  <si>
    <t>ARE</t>
  </si>
  <si>
    <t>ARG</t>
  </si>
  <si>
    <t>ARM</t>
  </si>
  <si>
    <t>American Samoa</t>
  </si>
  <si>
    <t>ASM</t>
  </si>
  <si>
    <t>ATG</t>
  </si>
  <si>
    <t>AUT</t>
  </si>
  <si>
    <t>AZE</t>
  </si>
  <si>
    <t>BDI</t>
  </si>
  <si>
    <t>BEL</t>
  </si>
  <si>
    <t>BEN</t>
  </si>
  <si>
    <t>BFA</t>
  </si>
  <si>
    <t>BGD</t>
  </si>
  <si>
    <t>BGR</t>
  </si>
  <si>
    <t>BHR</t>
  </si>
  <si>
    <t>Bahamas, The</t>
  </si>
  <si>
    <t>BHS</t>
  </si>
  <si>
    <t>BIH</t>
  </si>
  <si>
    <t>BLR</t>
  </si>
  <si>
    <t>BLZ</t>
  </si>
  <si>
    <t>BMU</t>
  </si>
  <si>
    <t>Bolivia</t>
  </si>
  <si>
    <t>BOL</t>
  </si>
  <si>
    <t>BRA</t>
  </si>
  <si>
    <t>BRB</t>
  </si>
  <si>
    <t>BRN</t>
  </si>
  <si>
    <t>BTN</t>
  </si>
  <si>
    <t>BWA</t>
  </si>
  <si>
    <t>CAF</t>
  </si>
  <si>
    <t>CAN</t>
  </si>
  <si>
    <t>Central Europe and the Baltics</t>
  </si>
  <si>
    <t>CEB</t>
  </si>
  <si>
    <t>CHE</t>
  </si>
  <si>
    <t>Channel Islands</t>
  </si>
  <si>
    <t>CHI</t>
  </si>
  <si>
    <t>CHL</t>
  </si>
  <si>
    <t>CHN</t>
  </si>
  <si>
    <t>Cote d'Ivoire</t>
  </si>
  <si>
    <t>CIV</t>
  </si>
  <si>
    <t>CMR</t>
  </si>
  <si>
    <t>Congo, Dem. Rep.</t>
  </si>
  <si>
    <t>COD</t>
  </si>
  <si>
    <t>Congo, Rep.</t>
  </si>
  <si>
    <t>COG</t>
  </si>
  <si>
    <t>COL</t>
  </si>
  <si>
    <t>COM</t>
  </si>
  <si>
    <t>CPV</t>
  </si>
  <si>
    <t>CRI</t>
  </si>
  <si>
    <t>Caribbean small states</t>
  </si>
  <si>
    <t>CSS</t>
  </si>
  <si>
    <t>CUB</t>
  </si>
  <si>
    <t>Curacao</t>
  </si>
  <si>
    <t>CUW</t>
  </si>
  <si>
    <t>CYM</t>
  </si>
  <si>
    <t>CYP</t>
  </si>
  <si>
    <t>Czech Republic</t>
  </si>
  <si>
    <t>CZE</t>
  </si>
  <si>
    <t>DEU</t>
  </si>
  <si>
    <t>DJI</t>
  </si>
  <si>
    <t>DMA</t>
  </si>
  <si>
    <t>DNK</t>
  </si>
  <si>
    <t>DOM</t>
  </si>
  <si>
    <t>DZA</t>
  </si>
  <si>
    <t>East Asia &amp; Pacific (excluding high income)</t>
  </si>
  <si>
    <t>EAP</t>
  </si>
  <si>
    <t>Early-demographic dividend</t>
  </si>
  <si>
    <t>EAR</t>
  </si>
  <si>
    <t>East Asia &amp; Pacific</t>
  </si>
  <si>
    <t>EAS</t>
  </si>
  <si>
    <t>Europe &amp; Central Asia (excluding high income)</t>
  </si>
  <si>
    <t>ECA</t>
  </si>
  <si>
    <t>Europe &amp; Central Asia</t>
  </si>
  <si>
    <t>ECS</t>
  </si>
  <si>
    <t>ECU</t>
  </si>
  <si>
    <t>Egypt, Arab Rep.</t>
  </si>
  <si>
    <t>EGY</t>
  </si>
  <si>
    <t>Euro area</t>
  </si>
  <si>
    <t>EMU</t>
  </si>
  <si>
    <t>ERI</t>
  </si>
  <si>
    <t>ESP</t>
  </si>
  <si>
    <t>EST</t>
  </si>
  <si>
    <t>ETH</t>
  </si>
  <si>
    <t>EUU</t>
  </si>
  <si>
    <t>Fragile and conflict affected situations</t>
  </si>
  <si>
    <t>FCS</t>
  </si>
  <si>
    <t>FIN</t>
  </si>
  <si>
    <t>FJI</t>
  </si>
  <si>
    <t>FRA</t>
  </si>
  <si>
    <t>Faroe Islands</t>
  </si>
  <si>
    <t>FRO</t>
  </si>
  <si>
    <t>Micronesia, Fed. Sts.</t>
  </si>
  <si>
    <t>FSM</t>
  </si>
  <si>
    <t>GAB</t>
  </si>
  <si>
    <t>GBR</t>
  </si>
  <si>
    <t>GEO</t>
  </si>
  <si>
    <t>GHA</t>
  </si>
  <si>
    <t>Gibraltar</t>
  </si>
  <si>
    <t>GIB</t>
  </si>
  <si>
    <t>GIN</t>
  </si>
  <si>
    <t>Gambia, The</t>
  </si>
  <si>
    <t>GMB</t>
  </si>
  <si>
    <t>GNB</t>
  </si>
  <si>
    <t>GNQ</t>
  </si>
  <si>
    <t>GRC</t>
  </si>
  <si>
    <t>GRD</t>
  </si>
  <si>
    <t>GRL</t>
  </si>
  <si>
    <t>GTM</t>
  </si>
  <si>
    <t>Guam</t>
  </si>
  <si>
    <t>GUM</t>
  </si>
  <si>
    <t>GUY</t>
  </si>
  <si>
    <t>High income</t>
  </si>
  <si>
    <t>HIC</t>
  </si>
  <si>
    <t>Hong Kong SAR, China</t>
  </si>
  <si>
    <t>HKG</t>
  </si>
  <si>
    <t>HND</t>
  </si>
  <si>
    <t>Heavily indebted poor countries (HIPC)</t>
  </si>
  <si>
    <t>HPC</t>
  </si>
  <si>
    <t>HRV</t>
  </si>
  <si>
    <t>HTI</t>
  </si>
  <si>
    <t>HUN</t>
  </si>
  <si>
    <t>IBRD only</t>
  </si>
  <si>
    <t>IBD</t>
  </si>
  <si>
    <t>IDA &amp; IBRD total</t>
  </si>
  <si>
    <t>IBT</t>
  </si>
  <si>
    <t>IDA total</t>
  </si>
  <si>
    <t>IDA</t>
  </si>
  <si>
    <t>IDA blend</t>
  </si>
  <si>
    <t>IDB</t>
  </si>
  <si>
    <t>IDN</t>
  </si>
  <si>
    <t>IDA only</t>
  </si>
  <si>
    <t>IDX</t>
  </si>
  <si>
    <t>Isle of Man</t>
  </si>
  <si>
    <t>IMN</t>
  </si>
  <si>
    <t>IND</t>
  </si>
  <si>
    <t>Not classified</t>
  </si>
  <si>
    <t>INX</t>
  </si>
  <si>
    <t>IRL</t>
  </si>
  <si>
    <t>Iran, Islamic Rep.</t>
  </si>
  <si>
    <t>IRN</t>
  </si>
  <si>
    <t>IRQ</t>
  </si>
  <si>
    <t>ISL</t>
  </si>
  <si>
    <t>ISR</t>
  </si>
  <si>
    <t>ITA</t>
  </si>
  <si>
    <t>JAM</t>
  </si>
  <si>
    <t>JOR</t>
  </si>
  <si>
    <t>JPN</t>
  </si>
  <si>
    <t>KAZ</t>
  </si>
  <si>
    <t>KEN</t>
  </si>
  <si>
    <t>Kyrgyz Republic</t>
  </si>
  <si>
    <t>KGZ</t>
  </si>
  <si>
    <t>KHM</t>
  </si>
  <si>
    <t>KIR</t>
  </si>
  <si>
    <t>St. Kitts and Nevis</t>
  </si>
  <si>
    <t>KNA</t>
  </si>
  <si>
    <t>Korea, Rep.</t>
  </si>
  <si>
    <t>KOR</t>
  </si>
  <si>
    <t>KWT</t>
  </si>
  <si>
    <t>Latin America &amp; Caribbean (excluding high income)</t>
  </si>
  <si>
    <t>LAC</t>
  </si>
  <si>
    <t>Lao PDR</t>
  </si>
  <si>
    <t>LAO</t>
  </si>
  <si>
    <t>LBN</t>
  </si>
  <si>
    <t>LBR</t>
  </si>
  <si>
    <t>LBY</t>
  </si>
  <si>
    <t>St. Lucia</t>
  </si>
  <si>
    <t>LCA</t>
  </si>
  <si>
    <t>Latin America &amp; Caribbean</t>
  </si>
  <si>
    <t>LCN</t>
  </si>
  <si>
    <t>Least developed countries: UN classification</t>
  </si>
  <si>
    <t>LDC</t>
  </si>
  <si>
    <t>Low income</t>
  </si>
  <si>
    <t>LIC</t>
  </si>
  <si>
    <t>LIE</t>
  </si>
  <si>
    <t>LKA</t>
  </si>
  <si>
    <t>Lower middle income</t>
  </si>
  <si>
    <t>LMC</t>
  </si>
  <si>
    <t>Low &amp; middle income</t>
  </si>
  <si>
    <t>LMY</t>
  </si>
  <si>
    <t>LSO</t>
  </si>
  <si>
    <t>Late-demographic dividend</t>
  </si>
  <si>
    <t>LTE</t>
  </si>
  <si>
    <t>LTU</t>
  </si>
  <si>
    <t>LUX</t>
  </si>
  <si>
    <t>LVA</t>
  </si>
  <si>
    <t>Macao SAR, China</t>
  </si>
  <si>
    <t>MAC</t>
  </si>
  <si>
    <t>St. Martin (French part)</t>
  </si>
  <si>
    <t>MAF</t>
  </si>
  <si>
    <t>MAR</t>
  </si>
  <si>
    <t>MCO</t>
  </si>
  <si>
    <t>Moldova</t>
  </si>
  <si>
    <t>MDA</t>
  </si>
  <si>
    <t>MDG</t>
  </si>
  <si>
    <t>MDV</t>
  </si>
  <si>
    <t>Middle East &amp; North Africa</t>
  </si>
  <si>
    <t>MEA</t>
  </si>
  <si>
    <t>MEX</t>
  </si>
  <si>
    <t>MHL</t>
  </si>
  <si>
    <t>Middle income</t>
  </si>
  <si>
    <t>MIC</t>
  </si>
  <si>
    <t>MKD</t>
  </si>
  <si>
    <t>MLI</t>
  </si>
  <si>
    <t>MLT</t>
  </si>
  <si>
    <t>MMR</t>
  </si>
  <si>
    <t>Middle East &amp; North Africa (excluding high income)</t>
  </si>
  <si>
    <t>MNA</t>
  </si>
  <si>
    <t>MNE</t>
  </si>
  <si>
    <t>MNG</t>
  </si>
  <si>
    <t>Northern Mariana Islands</t>
  </si>
  <si>
    <t>MNP</t>
  </si>
  <si>
    <t>MOZ</t>
  </si>
  <si>
    <t>MRT</t>
  </si>
  <si>
    <t>MUS</t>
  </si>
  <si>
    <t>MWI</t>
  </si>
  <si>
    <t>MYS</t>
  </si>
  <si>
    <t>North America</t>
  </si>
  <si>
    <t>NAC</t>
  </si>
  <si>
    <t>NAM</t>
  </si>
  <si>
    <t>NCL</t>
  </si>
  <si>
    <t>NER</t>
  </si>
  <si>
    <t>NGA</t>
  </si>
  <si>
    <t>NIC</t>
  </si>
  <si>
    <t>NLD</t>
  </si>
  <si>
    <t>NOR</t>
  </si>
  <si>
    <t>NPL</t>
  </si>
  <si>
    <t>NRU</t>
  </si>
  <si>
    <t>NZL</t>
  </si>
  <si>
    <t>OECD members</t>
  </si>
  <si>
    <t>OED</t>
  </si>
  <si>
    <t>OMN</t>
  </si>
  <si>
    <t>Other small states</t>
  </si>
  <si>
    <t>OSS</t>
  </si>
  <si>
    <t>PAK</t>
  </si>
  <si>
    <t>PAN</t>
  </si>
  <si>
    <t>PER</t>
  </si>
  <si>
    <t>PHL</t>
  </si>
  <si>
    <t>PLW</t>
  </si>
  <si>
    <t>PNG</t>
  </si>
  <si>
    <t>POL</t>
  </si>
  <si>
    <t>Pre-demographic dividend</t>
  </si>
  <si>
    <t>PRE</t>
  </si>
  <si>
    <t>PRI</t>
  </si>
  <si>
    <t>Korea, Dem. People’s Rep.</t>
  </si>
  <si>
    <t>PRK</t>
  </si>
  <si>
    <t>PRT</t>
  </si>
  <si>
    <t>PRY</t>
  </si>
  <si>
    <t>West Bank and Gaza</t>
  </si>
  <si>
    <t>PSE</t>
  </si>
  <si>
    <t>Pacific island small states</t>
  </si>
  <si>
    <t>PSS</t>
  </si>
  <si>
    <t>Post-demographic dividend</t>
  </si>
  <si>
    <t>PST</t>
  </si>
  <si>
    <t>PYF</t>
  </si>
  <si>
    <t>QAT</t>
  </si>
  <si>
    <t>ROU</t>
  </si>
  <si>
    <t>RUS</t>
  </si>
  <si>
    <t>RWA</t>
  </si>
  <si>
    <t>South Asia</t>
  </si>
  <si>
    <t>SAS</t>
  </si>
  <si>
    <t>SAU</t>
  </si>
  <si>
    <t>SDN</t>
  </si>
  <si>
    <t>SEN</t>
  </si>
  <si>
    <t>SGP</t>
  </si>
  <si>
    <t>SLB</t>
  </si>
  <si>
    <t>SLE</t>
  </si>
  <si>
    <t>SLV</t>
  </si>
  <si>
    <t>SMR</t>
  </si>
  <si>
    <t>SOM</t>
  </si>
  <si>
    <t>SRB</t>
  </si>
  <si>
    <t>Sub-Saharan Africa (excluding high income)</t>
  </si>
  <si>
    <t>SSA</t>
  </si>
  <si>
    <t>SSD</t>
  </si>
  <si>
    <t>SSF</t>
  </si>
  <si>
    <t>Small states</t>
  </si>
  <si>
    <t>SST</t>
  </si>
  <si>
    <t>STP</t>
  </si>
  <si>
    <t>SUR</t>
  </si>
  <si>
    <t>Slovak Republic</t>
  </si>
  <si>
    <t>SVK</t>
  </si>
  <si>
    <t>SVN</t>
  </si>
  <si>
    <t>SWE</t>
  </si>
  <si>
    <t>SWZ</t>
  </si>
  <si>
    <t>SXM</t>
  </si>
  <si>
    <t>SYC</t>
  </si>
  <si>
    <t>SYR</t>
  </si>
  <si>
    <t>TCA</t>
  </si>
  <si>
    <t>TCD</t>
  </si>
  <si>
    <t>East Asia &amp; Pacific (IDA &amp; IBRD countries)</t>
  </si>
  <si>
    <t>TEA</t>
  </si>
  <si>
    <t>Europe &amp; Central Asia (IDA &amp; IBRD countries)</t>
  </si>
  <si>
    <t>TEC</t>
  </si>
  <si>
    <t>TGO</t>
  </si>
  <si>
    <t>THA</t>
  </si>
  <si>
    <t>TJK</t>
  </si>
  <si>
    <t>TKM</t>
  </si>
  <si>
    <t>Latin America &amp; the Caribbean (IDA &amp; IBRD countries)</t>
  </si>
  <si>
    <t>TLA</t>
  </si>
  <si>
    <t>TLS</t>
  </si>
  <si>
    <t>Middle East &amp; North Africa (IDA &amp; IBRD countries)</t>
  </si>
  <si>
    <t>TMN</t>
  </si>
  <si>
    <t>TON</t>
  </si>
  <si>
    <t>South Asia (IDA &amp; IBRD)</t>
  </si>
  <si>
    <t>TSA</t>
  </si>
  <si>
    <t>Sub-Saharan Africa (IDA &amp; IBRD countries)</t>
  </si>
  <si>
    <t>TSS</t>
  </si>
  <si>
    <t>TTO</t>
  </si>
  <si>
    <t>TUN</t>
  </si>
  <si>
    <t>TUR</t>
  </si>
  <si>
    <t>TUV</t>
  </si>
  <si>
    <t>Tanzania</t>
  </si>
  <si>
    <t>TZA</t>
  </si>
  <si>
    <t>UGA</t>
  </si>
  <si>
    <t>UKR</t>
  </si>
  <si>
    <t>Upper middle income</t>
  </si>
  <si>
    <t>UMC</t>
  </si>
  <si>
    <t>URY</t>
  </si>
  <si>
    <t>USA</t>
  </si>
  <si>
    <t>UZB</t>
  </si>
  <si>
    <t>VCT</t>
  </si>
  <si>
    <t>Venezuela, RB</t>
  </si>
  <si>
    <t>VEN</t>
  </si>
  <si>
    <t>VGB</t>
  </si>
  <si>
    <t>Virgin Islands (U.S.)</t>
  </si>
  <si>
    <t>VIR</t>
  </si>
  <si>
    <t>VNM</t>
  </si>
  <si>
    <t>VUT</t>
  </si>
  <si>
    <t>World</t>
  </si>
  <si>
    <t>WLD</t>
  </si>
  <si>
    <t>WSM</t>
  </si>
  <si>
    <t>XKX</t>
  </si>
  <si>
    <t>Yemen, Rep.</t>
  </si>
  <si>
    <t>YEM</t>
  </si>
  <si>
    <t>ZAF</t>
  </si>
  <si>
    <t>ZMB</t>
  </si>
  <si>
    <t>ZWE</t>
  </si>
  <si>
    <t xml:space="preserve">Exh rate (overall) </t>
  </si>
  <si>
    <t>2010 base year</t>
  </si>
  <si>
    <t>2019 base year</t>
  </si>
  <si>
    <t>Likely to lie within the range of 5-15%; statista calculated it to be around 17 %</t>
  </si>
  <si>
    <t>Assumptions included in sheet Top-down estimations</t>
  </si>
  <si>
    <t>In the cell above, please read '2010' as '2019' since the model was later updated to show values in 2019 prices and based on 2019 constant exchange rates.</t>
  </si>
  <si>
    <t xml:space="preserve">Units drop-down (linked to consoidated sheet - don't change here) </t>
  </si>
  <si>
    <t>SAI Moderate</t>
  </si>
  <si>
    <r>
      <t xml:space="preserve">Overall methodology: </t>
    </r>
    <r>
      <rPr>
        <sz val="11"/>
        <rFont val="Calibri"/>
        <family val="2"/>
        <scheme val="minor"/>
      </rPr>
      <t>The estimation for institutional investments involves a mixed approach of top-down estimation and bottom-up tagging. The top-down estimates provide the high-level investment numbers, whereas the bottom-up tagging provides the trends applicable to institutional investments made. Both the top-down estimation and bottom-up tagging have been discssed in detail below.</t>
    </r>
    <r>
      <rPr>
        <b/>
        <sz val="11"/>
        <color theme="4"/>
        <rFont val="Calibri"/>
        <family val="2"/>
        <scheme val="minor"/>
      </rPr>
      <t xml:space="preserve">
</t>
    </r>
    <r>
      <rPr>
        <sz val="11"/>
        <rFont val="Calibri"/>
        <family val="2"/>
        <scheme val="minor"/>
      </rPr>
      <t xml:space="preserve">
</t>
    </r>
    <r>
      <rPr>
        <b/>
        <sz val="11"/>
        <rFont val="Calibri"/>
        <family val="2"/>
        <scheme val="minor"/>
      </rPr>
      <t xml:space="preserve">Top-down estimation </t>
    </r>
    <r>
      <rPr>
        <sz val="11"/>
        <rFont val="Calibri"/>
        <family val="2"/>
        <scheme val="minor"/>
      </rPr>
      <t xml:space="preserve">
1. Top-down estimation involves using the AgFunder reported investment data and other research reports as the starting point. The investments details  from Tracxn database (used for bottom-up tagging) remains the other alternative but has been de-prioritized as coverage of deals by the platform appears to be limited (specially in case of China). Further, significant percentage of deals have undisclosed investment amounts and therefore the platform may not be able to offer comprehensive investment estimates. 
2. AgFunder reports annual investments into agriculture by venture capitalists segregated by upstream and downstream investments. Only upstream investment figures have been leveraged for the estimation as they directly align with the study's definition for agriculture innovation. Global PE investments have been estimated using overall PE investment estimates from a McKinsey research report "Mckinsey Global Private Markets Review, 2019" and an assumption around the percentage of this going towards agiculture has been made through further secondary research. 
3. Further, the global upstream investment numbers have been discounted to estimate for investments going towards the global south and exclude global north investments. The assumed discount factor has been included in the assumptions sheet.
4. Post the estimation of total upstream investments for the global south, an adjustment factor has also been provided to account for only the share of investment considered as innovation investment. The adjustment factor has currently been assumed to be 100% as most startups remain early stage and most of the investments are likely to count towards innovation. 
5. Further, investment estimation scenarios have been developed to provide ranges for the estimates. These scenarios include varying assumptions regarding the comprehensiveness of the estimates mentioned in the AgFunder report and involve extrapolations to estimate the universe of total institutional investments . 
6. Estimation of SAI-focused investments (as part of the total estimated innovation investments) will be conducted using the bottom-up tagging trends. The proportion of total investments identified as SAI in the bottom-up tagging process (by value) will be considered to be the proportion of top-down estimates which can be classified as SAI. The bottom-up classification of SAI will be based on the agreed-upon definition of SAI. 
</t>
    </r>
    <r>
      <rPr>
        <b/>
        <sz val="11"/>
        <rFont val="Calibri"/>
        <family val="2"/>
        <scheme val="minor"/>
      </rPr>
      <t>Bottom-up tagging</t>
    </r>
    <r>
      <rPr>
        <sz val="11"/>
        <rFont val="Calibri"/>
        <family val="2"/>
        <scheme val="minor"/>
      </rPr>
      <t xml:space="preserve">
1. Investments database by Tracxn platform has been used for bottom-up tagging. Only agriculture related investments made during 2010-19 in startups from the global south countries have been leveraged for this excercise.
2. Tagging has been conducted for all identified investments for the pre-specified tags mentioned in the inception report.</t>
    </r>
    <r>
      <rPr>
        <sz val="11"/>
        <color rgb="FFFF0000"/>
        <rFont val="Calibri"/>
        <family val="2"/>
        <scheme val="minor"/>
      </rPr>
      <t xml:space="preserve">
</t>
    </r>
    <r>
      <rPr>
        <sz val="11"/>
        <rFont val="Calibri"/>
        <family val="2"/>
        <scheme val="minor"/>
      </rPr>
      <t xml:space="preserve">3. As part of the bottom-up tagging, certain tags have been auto-populated using the innovation areas as the key . This has been done for tags which seem directly correlated to the innovation area (USAID impact intention, Gliessman's categorization). The objective has been to expedite the tagging process while ensuring reasonable level of accuracy. The tagging for such tags will get completed as the tagging of innovation areas is completed. 
Note: The model currently uses 3 different definitions of SAI - broad, moderate, and strict. However, due to changes in the report terminology, the IIS report uses the terminology Broad (Moderate Definition in this excel) and Narrow (Strict definition in this excel) </t>
    </r>
  </si>
  <si>
    <t>Calculations for slides</t>
  </si>
  <si>
    <t>Contains calculations regarding top-line estimates of total institutional investments. This sheet also includes details the scenarios and includes assumptions made for top-down estimations</t>
  </si>
  <si>
    <t>Variables sheets (2)</t>
  </si>
  <si>
    <t xml:space="preserve">Houses all the assumptions that influence the bottom up analysis. Bottom-up tagging assumptions are assumptions made to auto-populate certain tags to expedite the tagging process. Bottom up assumptions also included assumptions/percentage values that have been derived from the bottom up analysis and then applied to the top-down estimates (calculated in the consolidated output sheet) </t>
  </si>
  <si>
    <t>Miscellaneous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</si>
</sst>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 #,##0.00_ ;_ * \-#,##0.00_ ;_ * &quot;-&quot;??_ ;_ @_ "/>
    <numFmt numFmtId="164" formatCode="mmm\ dd\,\ yyyy"/>
    <numFmt numFmtId="165" formatCode="[$-F800]dddd\,\ mmmm\ dd\,\ yyyy"/>
    <numFmt numFmtId="166" formatCode="_(* #,##0.00_);_(* \(#,##0.00\);_(* &quot;-&quot;??_);_(@_)"/>
    <numFmt numFmtId="167" formatCode="_ * #,##0.0_ ;_ * \-#,##0.0_ ;_ * &quot;-&quot;??_ ;_ @_ "/>
    <numFmt numFmtId="168" formatCode="_ * #,##0_ ;_ * \-#,##0_ ;_ * &quot;-&quot;??_ ;_ @_ "/>
    <numFmt numFmtId="169" formatCode="0.0"/>
    <numFmt numFmtId="170" formatCode="0.000"/>
  </numFmts>
  <fonts count="75">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rgb="FFFFFFFF"/>
      <name val="Cambria"/>
      <family val="1"/>
    </font>
    <font>
      <sz val="10"/>
      <name val="Cambria"/>
      <family val="1"/>
    </font>
    <font>
      <sz val="10"/>
      <name val="Cambria"/>
      <family val="1"/>
    </font>
    <font>
      <sz val="10"/>
      <name val="Cambria"/>
      <family val="1"/>
    </font>
    <font>
      <sz val="10"/>
      <name val="Cambria"/>
      <family val="1"/>
    </font>
    <font>
      <b/>
      <sz val="14"/>
      <color rgb="FFFFFFFF"/>
      <name val="Cambria"/>
      <family val="1"/>
    </font>
    <font>
      <i/>
      <sz val="9"/>
      <name val="Cambria"/>
      <family val="1"/>
    </font>
    <font>
      <sz val="8"/>
      <name val="Cambria"/>
      <family val="1"/>
    </font>
    <font>
      <b/>
      <sz val="10"/>
      <color rgb="FFFFFFFF"/>
      <name val="Cambria"/>
      <family val="1"/>
    </font>
    <font>
      <sz val="10"/>
      <name val="Cambria"/>
      <family val="1"/>
    </font>
    <font>
      <sz val="10"/>
      <name val="Cambria"/>
      <family val="1"/>
    </font>
    <font>
      <sz val="10"/>
      <name val="Cambria"/>
      <family val="1"/>
    </font>
    <font>
      <sz val="10"/>
      <name val="Cambria"/>
      <family val="1"/>
    </font>
    <font>
      <sz val="10"/>
      <name val="Cambria"/>
      <family val="1"/>
    </font>
    <font>
      <b/>
      <sz val="14"/>
      <color rgb="FFFFFFFF"/>
      <name val="Cambria"/>
      <family val="1"/>
    </font>
    <font>
      <i/>
      <sz val="9"/>
      <name val="Cambria"/>
      <family val="1"/>
    </font>
    <font>
      <sz val="8"/>
      <name val="Cambria"/>
      <family val="1"/>
    </font>
    <font>
      <b/>
      <sz val="10"/>
      <color rgb="FFFFFFFF"/>
      <name val="Cambria"/>
      <family val="1"/>
    </font>
    <font>
      <sz val="10"/>
      <name val="Cambria"/>
      <family val="1"/>
    </font>
    <font>
      <sz val="10"/>
      <name val="Cambria"/>
      <family val="1"/>
    </font>
    <font>
      <sz val="10"/>
      <name val="Cambria"/>
      <family val="1"/>
    </font>
    <font>
      <sz val="10"/>
      <name val="Cambria"/>
      <family val="1"/>
    </font>
    <font>
      <sz val="10"/>
      <name val="Cambria"/>
      <family val="1"/>
    </font>
    <font>
      <u/>
      <sz val="10"/>
      <color rgb="FF0000EE"/>
      <name val="Cambria"/>
      <family val="1"/>
    </font>
    <font>
      <sz val="10"/>
      <name val="Cambria"/>
      <family val="1"/>
    </font>
    <font>
      <sz val="11"/>
      <color rgb="FFFF0000"/>
      <name val="Calibri"/>
      <family val="2"/>
      <scheme val="minor"/>
    </font>
    <font>
      <b/>
      <sz val="11"/>
      <color theme="1"/>
      <name val="Calibri"/>
      <family val="2"/>
      <scheme val="minor"/>
    </font>
    <font>
      <sz val="10"/>
      <color indexed="8"/>
      <name val="Cambria"/>
      <family val="1"/>
    </font>
    <font>
      <b/>
      <sz val="15"/>
      <color theme="1"/>
      <name val="Calibri"/>
      <family val="2"/>
      <scheme val="minor"/>
    </font>
    <font>
      <i/>
      <sz val="11"/>
      <color theme="1"/>
      <name val="Calibri"/>
      <family val="2"/>
      <scheme val="minor"/>
    </font>
    <font>
      <i/>
      <sz val="11"/>
      <color rgb="FFFF0000"/>
      <name val="Calibri"/>
      <family val="2"/>
      <scheme val="minor"/>
    </font>
    <font>
      <sz val="10"/>
      <color theme="1"/>
      <name val="Arial"/>
      <family val="2"/>
    </font>
    <font>
      <sz val="11"/>
      <name val="Calibri"/>
      <family val="2"/>
      <scheme val="minor"/>
    </font>
    <font>
      <u/>
      <sz val="11"/>
      <color theme="10"/>
      <name val="Calibri"/>
      <family val="2"/>
      <scheme val="minor"/>
    </font>
    <font>
      <sz val="11"/>
      <color indexed="8"/>
      <name val="Calibri"/>
      <family val="2"/>
      <scheme val="minor"/>
    </font>
    <font>
      <sz val="11"/>
      <color theme="1"/>
      <name val="Calibri"/>
      <family val="2"/>
    </font>
    <font>
      <b/>
      <sz val="11"/>
      <color indexed="8"/>
      <name val="Calibri"/>
      <family val="2"/>
      <scheme val="minor"/>
    </font>
    <font>
      <b/>
      <sz val="16"/>
      <color rgb="FF67103F"/>
      <name val="Calibri"/>
      <family val="2"/>
      <scheme val="minor"/>
    </font>
    <font>
      <b/>
      <sz val="14"/>
      <color theme="1"/>
      <name val="Calibri"/>
      <family val="2"/>
      <scheme val="minor"/>
    </font>
    <font>
      <b/>
      <sz val="12"/>
      <color rgb="FF88194B"/>
      <name val="Calibri"/>
      <family val="2"/>
      <scheme val="minor"/>
    </font>
    <font>
      <b/>
      <sz val="11"/>
      <color rgb="FF88194B"/>
      <name val="Calibri"/>
      <family val="2"/>
      <scheme val="minor"/>
    </font>
    <font>
      <sz val="8"/>
      <color theme="1"/>
      <name val="Calibri"/>
      <family val="2"/>
    </font>
    <font>
      <b/>
      <sz val="11"/>
      <color theme="1"/>
      <name val="Calibri"/>
      <family val="2"/>
    </font>
    <font>
      <b/>
      <sz val="11"/>
      <color rgb="FF00B050"/>
      <name val="Calibri"/>
      <family val="2"/>
    </font>
    <font>
      <b/>
      <sz val="11"/>
      <color rgb="FF0070C0"/>
      <name val="Calibri"/>
      <family val="2"/>
    </font>
    <font>
      <b/>
      <sz val="11"/>
      <color theme="7"/>
      <name val="Calibri"/>
      <family val="2"/>
    </font>
    <font>
      <b/>
      <sz val="11"/>
      <color rgb="FFFF0000"/>
      <name val="Calibri"/>
      <family val="2"/>
    </font>
    <font>
      <b/>
      <sz val="11"/>
      <color theme="4"/>
      <name val="Calibri"/>
      <family val="2"/>
      <scheme val="minor"/>
    </font>
    <font>
      <sz val="10"/>
      <color theme="1"/>
      <name val="Calibri"/>
      <family val="2"/>
      <scheme val="minor"/>
    </font>
    <font>
      <sz val="11"/>
      <color theme="7"/>
      <name val="Calibri"/>
      <family val="2"/>
      <scheme val="minor"/>
    </font>
    <font>
      <sz val="11"/>
      <color theme="9"/>
      <name val="Calibri"/>
      <family val="2"/>
      <scheme val="minor"/>
    </font>
    <font>
      <b/>
      <sz val="11"/>
      <name val="Calibri"/>
      <family val="2"/>
      <scheme val="minor"/>
    </font>
    <font>
      <sz val="10"/>
      <color indexed="8"/>
      <name val="Calibri"/>
      <family val="2"/>
      <scheme val="minor"/>
    </font>
    <font>
      <b/>
      <sz val="10"/>
      <color theme="1"/>
      <name val="Calibri"/>
      <family val="2"/>
      <scheme val="minor"/>
    </font>
    <font>
      <sz val="10"/>
      <name val="Calibri"/>
      <family val="2"/>
      <scheme val="minor"/>
    </font>
    <font>
      <b/>
      <sz val="11"/>
      <name val="Lato"/>
    </font>
    <font>
      <b/>
      <sz val="11"/>
      <color rgb="FFFF0000"/>
      <name val="Lato"/>
    </font>
    <font>
      <sz val="11"/>
      <color theme="1"/>
      <name val="Lato"/>
    </font>
    <font>
      <i/>
      <sz val="11"/>
      <color indexed="8"/>
      <name val="Calibri"/>
      <family val="2"/>
      <scheme val="minor"/>
    </font>
    <font>
      <sz val="10"/>
      <color rgb="FFFF0000"/>
      <name val="Cambria"/>
      <family val="1"/>
    </font>
    <font>
      <b/>
      <sz val="15"/>
      <name val="Calibri"/>
      <family val="2"/>
      <scheme val="minor"/>
    </font>
    <font>
      <b/>
      <i/>
      <sz val="11"/>
      <color theme="1"/>
      <name val="Calibri"/>
      <family val="2"/>
      <scheme val="minor"/>
    </font>
    <font>
      <sz val="10"/>
      <color rgb="FFFF0000"/>
      <name val="Calibri"/>
      <family val="2"/>
      <scheme val="minor"/>
    </font>
    <font>
      <b/>
      <u/>
      <sz val="11"/>
      <color indexed="8"/>
      <name val="Calibri"/>
      <family val="2"/>
      <scheme val="minor"/>
    </font>
    <font>
      <b/>
      <sz val="11"/>
      <color theme="0" tint="-0.14999847407452621"/>
      <name val="Calibri"/>
      <family val="2"/>
      <scheme val="minor"/>
    </font>
    <font>
      <sz val="11"/>
      <color theme="0" tint="-0.14999847407452621"/>
      <name val="Calibri"/>
      <family val="2"/>
      <scheme val="minor"/>
    </font>
  </fonts>
  <fills count="25">
    <fill>
      <patternFill patternType="none"/>
    </fill>
    <fill>
      <patternFill patternType="gray125"/>
    </fill>
    <fill>
      <patternFill patternType="solid">
        <fgColor rgb="FFFFFFFF"/>
      </patternFill>
    </fill>
    <fill>
      <patternFill patternType="solid">
        <fgColor rgb="FF293348"/>
      </patternFill>
    </fill>
    <fill>
      <patternFill patternType="solid">
        <fgColor theme="3" tint="0.79998168889431442"/>
        <bgColor indexed="64"/>
      </patternFill>
    </fill>
    <fill>
      <patternFill patternType="solid">
        <fgColor rgb="FFFFFF00"/>
        <bgColor indexed="64"/>
      </patternFill>
    </fill>
    <fill>
      <patternFill patternType="solid">
        <fgColor theme="8"/>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FFEA81"/>
        <bgColor indexed="64"/>
      </patternFill>
    </fill>
    <fill>
      <patternFill patternType="solid">
        <fgColor theme="5" tint="0.79998168889431442"/>
        <bgColor indexed="64"/>
      </patternFill>
    </fill>
    <fill>
      <patternFill patternType="solid">
        <fgColor theme="7"/>
        <bgColor indexed="64"/>
      </patternFill>
    </fill>
    <fill>
      <patternFill patternType="solid">
        <fgColor theme="4" tint="0.79998168889431442"/>
        <bgColor theme="4" tint="0.79998168889431442"/>
      </patternFill>
    </fill>
    <fill>
      <patternFill patternType="solid">
        <fgColor theme="4" tint="0.39997558519241921"/>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rgb="FFFF0000"/>
        <bgColor indexed="64"/>
      </patternFill>
    </fill>
    <fill>
      <patternFill patternType="solid">
        <fgColor theme="5" tint="0.59999389629810485"/>
        <bgColor indexed="64"/>
      </patternFill>
    </fill>
    <fill>
      <patternFill patternType="solid">
        <fgColor theme="2"/>
        <bgColor indexed="64"/>
      </patternFill>
    </fill>
    <fill>
      <patternFill patternType="solid">
        <fgColor theme="9" tint="-0.249977111117893"/>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tint="-4.9989318521683403E-2"/>
        <bgColor indexed="64"/>
      </patternFill>
    </fill>
  </fills>
  <borders count="16">
    <border>
      <left/>
      <right/>
      <top/>
      <bottom/>
      <diagonal/>
    </border>
    <border>
      <left/>
      <right/>
      <top/>
      <bottom style="thin">
        <color rgb="FF000000"/>
      </bottom>
      <diagonal/>
    </border>
    <border>
      <left/>
      <right/>
      <top/>
      <bottom style="thin">
        <color rgb="FFF2F2F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ck">
        <color indexed="64"/>
      </bottom>
      <diagonal/>
    </border>
    <border>
      <left/>
      <right/>
      <top style="thick">
        <color indexed="64"/>
      </top>
      <bottom/>
      <diagonal/>
    </border>
    <border>
      <left/>
      <right/>
      <top/>
      <bottom style="thin">
        <color indexed="64"/>
      </bottom>
      <diagonal/>
    </border>
    <border>
      <left/>
      <right/>
      <top/>
      <bottom style="thin">
        <color theme="4" tint="0.39997558519241921"/>
      </bottom>
      <diagonal/>
    </border>
    <border>
      <left/>
      <right/>
      <top style="thin">
        <color indexed="64"/>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7">
    <xf numFmtId="0" fontId="0" fillId="0" borderId="0"/>
    <xf numFmtId="0" fontId="8" fillId="0" borderId="0"/>
    <xf numFmtId="0" fontId="42" fillId="0" borderId="0" applyNumberFormat="0" applyFill="0" applyBorder="0" applyAlignment="0" applyProtection="0"/>
    <xf numFmtId="43" fontId="43" fillId="0" borderId="0" applyFont="0" applyFill="0" applyBorder="0" applyAlignment="0" applyProtection="0"/>
    <xf numFmtId="9" fontId="43" fillId="0" borderId="0" applyFont="0" applyFill="0" applyBorder="0" applyAlignment="0" applyProtection="0"/>
    <xf numFmtId="0" fontId="7" fillId="0" borderId="0"/>
    <xf numFmtId="166" fontId="7" fillId="0" borderId="0" applyFont="0" applyFill="0" applyBorder="0" applyAlignment="0" applyProtection="0"/>
  </cellStyleXfs>
  <cellXfs count="260">
    <xf numFmtId="0" fontId="0" fillId="0" borderId="0" xfId="0"/>
    <xf numFmtId="0" fontId="9" fillId="3" borderId="1" xfId="0" applyFont="1" applyFill="1" applyBorder="1" applyAlignment="1">
      <alignment horizontal="left" vertical="center" wrapText="1"/>
    </xf>
    <xf numFmtId="0" fontId="10" fillId="2" borderId="2" xfId="0" applyFont="1" applyFill="1" applyBorder="1" applyAlignment="1">
      <alignment horizontal="right" vertical="center" wrapText="1"/>
    </xf>
    <xf numFmtId="164" fontId="11" fillId="2" borderId="2" xfId="0" applyNumberFormat="1" applyFont="1" applyFill="1" applyBorder="1" applyAlignment="1">
      <alignment horizontal="right" vertical="center" wrapText="1"/>
    </xf>
    <xf numFmtId="0" fontId="12" fillId="2" borderId="2" xfId="0" applyFont="1" applyFill="1" applyBorder="1" applyAlignment="1">
      <alignment horizontal="left" vertical="center" wrapText="1"/>
    </xf>
    <xf numFmtId="3" fontId="13" fillId="2" borderId="2" xfId="0" applyNumberFormat="1" applyFont="1" applyFill="1" applyBorder="1" applyAlignment="1">
      <alignment horizontal="right" vertical="center" wrapText="1"/>
    </xf>
    <xf numFmtId="0" fontId="17" fillId="3" borderId="1" xfId="0" applyFont="1" applyFill="1" applyBorder="1" applyAlignment="1">
      <alignment horizontal="left" vertical="center" wrapText="1"/>
    </xf>
    <xf numFmtId="0" fontId="18" fillId="2" borderId="2" xfId="0" applyFont="1" applyFill="1" applyBorder="1" applyAlignment="1">
      <alignment horizontal="right" vertical="center" wrapText="1"/>
    </xf>
    <xf numFmtId="0" fontId="19" fillId="2" borderId="2" xfId="0" applyFont="1" applyFill="1" applyBorder="1" applyAlignment="1">
      <alignment horizontal="left" vertical="center" wrapText="1"/>
    </xf>
    <xf numFmtId="0" fontId="20" fillId="2" borderId="2" xfId="0" applyFont="1" applyFill="1" applyBorder="1" applyAlignment="1">
      <alignment horizontal="center" vertical="center" wrapText="1"/>
    </xf>
    <xf numFmtId="164" fontId="21" fillId="2" borderId="2" xfId="0" applyNumberFormat="1" applyFont="1" applyFill="1" applyBorder="1" applyAlignment="1">
      <alignment horizontal="right" vertical="center" wrapText="1"/>
    </xf>
    <xf numFmtId="3" fontId="22" fillId="2" borderId="2" xfId="0" applyNumberFormat="1" applyFont="1" applyFill="1" applyBorder="1" applyAlignment="1">
      <alignment horizontal="right" vertical="center" wrapText="1"/>
    </xf>
    <xf numFmtId="0" fontId="26" fillId="3" borderId="1" xfId="0" applyFont="1" applyFill="1" applyBorder="1" applyAlignment="1">
      <alignment horizontal="left" vertical="center" wrapText="1"/>
    </xf>
    <xf numFmtId="0" fontId="27" fillId="2" borderId="2" xfId="0" applyFont="1" applyFill="1" applyBorder="1" applyAlignment="1">
      <alignment horizontal="right" vertical="center" wrapText="1"/>
    </xf>
    <xf numFmtId="0" fontId="28" fillId="2" borderId="2" xfId="0" applyFont="1" applyFill="1" applyBorder="1" applyAlignment="1">
      <alignment horizontal="left" vertical="center" wrapText="1"/>
    </xf>
    <xf numFmtId="0" fontId="29" fillId="2" borderId="2" xfId="0" applyFont="1" applyFill="1" applyBorder="1" applyAlignment="1">
      <alignment horizontal="center" vertical="center" wrapText="1"/>
    </xf>
    <xf numFmtId="3" fontId="30" fillId="2" borderId="2" xfId="0" applyNumberFormat="1" applyFont="1" applyFill="1" applyBorder="1" applyAlignment="1">
      <alignment horizontal="right" vertical="center" wrapText="1"/>
    </xf>
    <xf numFmtId="164" fontId="31" fillId="2" borderId="2" xfId="0" applyNumberFormat="1" applyFont="1" applyFill="1" applyBorder="1" applyAlignment="1">
      <alignment horizontal="right" vertical="center" wrapText="1"/>
    </xf>
    <xf numFmtId="0" fontId="32" fillId="2" borderId="2" xfId="0" applyFont="1" applyFill="1" applyBorder="1" applyAlignment="1">
      <alignment horizontal="left" vertical="center" wrapText="1"/>
    </xf>
    <xf numFmtId="4" fontId="33" fillId="2" borderId="2" xfId="0" applyNumberFormat="1" applyFont="1" applyFill="1" applyBorder="1" applyAlignment="1">
      <alignment horizontal="right" vertical="center" wrapText="1"/>
    </xf>
    <xf numFmtId="0" fontId="0" fillId="0" borderId="0" xfId="0"/>
    <xf numFmtId="0" fontId="28" fillId="2" borderId="0" xfId="0" applyFont="1" applyFill="1" applyBorder="1" applyAlignment="1">
      <alignment horizontal="left" vertical="center" wrapText="1"/>
    </xf>
    <xf numFmtId="0" fontId="0" fillId="0" borderId="0" xfId="0"/>
    <xf numFmtId="0" fontId="0" fillId="0" borderId="0" xfId="0" applyAlignment="1">
      <alignment wrapText="1"/>
    </xf>
    <xf numFmtId="0" fontId="0" fillId="0" borderId="0" xfId="0" applyFill="1"/>
    <xf numFmtId="0" fontId="10" fillId="2" borderId="2" xfId="0" applyFont="1" applyFill="1" applyBorder="1" applyAlignment="1">
      <alignment horizontal="left" vertical="center" wrapText="1"/>
    </xf>
    <xf numFmtId="0" fontId="36" fillId="0" borderId="0" xfId="0" applyFont="1" applyAlignment="1">
      <alignment wrapText="1"/>
    </xf>
    <xf numFmtId="0" fontId="37" fillId="0" borderId="0" xfId="1" applyFont="1"/>
    <xf numFmtId="0" fontId="8" fillId="0" borderId="0" xfId="1"/>
    <xf numFmtId="0" fontId="38" fillId="0" borderId="0" xfId="1" applyFont="1" applyAlignment="1">
      <alignment wrapText="1"/>
    </xf>
    <xf numFmtId="0" fontId="39" fillId="0" borderId="0" xfId="1" applyFont="1"/>
    <xf numFmtId="0" fontId="8" fillId="0" borderId="3" xfId="1" applyBorder="1"/>
    <xf numFmtId="0" fontId="8" fillId="0" borderId="4" xfId="1" applyBorder="1" applyAlignment="1">
      <alignment horizontal="left" indent="1"/>
    </xf>
    <xf numFmtId="9" fontId="8" fillId="0" borderId="3" xfId="1" applyNumberFormat="1" applyBorder="1"/>
    <xf numFmtId="0" fontId="8" fillId="0" borderId="5" xfId="1" applyBorder="1" applyAlignment="1">
      <alignment horizontal="left" indent="2"/>
    </xf>
    <xf numFmtId="0" fontId="8" fillId="0" borderId="0" xfId="1" applyAlignment="1">
      <alignment horizontal="left" indent="1"/>
    </xf>
    <xf numFmtId="0" fontId="8" fillId="4" borderId="3" xfId="1" applyFill="1" applyBorder="1"/>
    <xf numFmtId="9" fontId="8" fillId="4" borderId="3" xfId="1" applyNumberFormat="1" applyFill="1" applyBorder="1"/>
    <xf numFmtId="0" fontId="40" fillId="0" borderId="0" xfId="1" applyFont="1" applyAlignment="1">
      <alignment horizontal="left" vertical="center" indent="2"/>
    </xf>
    <xf numFmtId="0" fontId="41" fillId="0" borderId="0" xfId="1" applyFont="1"/>
    <xf numFmtId="0" fontId="40" fillId="0" borderId="0" xfId="1" applyFont="1" applyAlignment="1">
      <alignment horizontal="left" indent="2"/>
    </xf>
    <xf numFmtId="0" fontId="40" fillId="0" borderId="0" xfId="1" applyFont="1" applyAlignment="1">
      <alignment horizontal="left" indent="1"/>
    </xf>
    <xf numFmtId="0" fontId="8" fillId="0" borderId="0" xfId="1" applyAlignment="1">
      <alignment horizontal="left"/>
    </xf>
    <xf numFmtId="0" fontId="8" fillId="0" borderId="5" xfId="1" applyBorder="1" applyAlignment="1">
      <alignment horizontal="left" indent="1"/>
    </xf>
    <xf numFmtId="0" fontId="8" fillId="0" borderId="6" xfId="1" applyBorder="1" applyAlignment="1">
      <alignment horizontal="left" indent="2"/>
    </xf>
    <xf numFmtId="0" fontId="40" fillId="0" borderId="0" xfId="1" applyFont="1" applyAlignment="1">
      <alignment horizontal="left" vertical="center" indent="1"/>
    </xf>
    <xf numFmtId="0" fontId="8" fillId="0" borderId="0" xfId="1" applyAlignment="1">
      <alignment horizontal="left" indent="2"/>
    </xf>
    <xf numFmtId="0" fontId="34" fillId="0" borderId="0" xfId="1" applyFont="1"/>
    <xf numFmtId="0" fontId="23" fillId="3" borderId="0" xfId="0" applyFont="1" applyFill="1" applyAlignment="1">
      <alignment vertical="center"/>
    </xf>
    <xf numFmtId="0" fontId="24" fillId="2" borderId="0" xfId="0" applyFont="1" applyFill="1" applyAlignment="1">
      <alignment vertical="center"/>
    </xf>
    <xf numFmtId="0" fontId="25" fillId="2" borderId="0" xfId="0" applyFont="1" applyFill="1" applyAlignment="1">
      <alignment vertical="center"/>
    </xf>
    <xf numFmtId="0" fontId="10" fillId="5" borderId="2" xfId="0" applyFont="1" applyFill="1" applyBorder="1" applyAlignment="1">
      <alignment horizontal="left" vertical="center" wrapText="1"/>
    </xf>
    <xf numFmtId="0" fontId="36" fillId="5" borderId="0" xfId="0" applyFont="1" applyFill="1" applyAlignment="1">
      <alignment wrapText="1"/>
    </xf>
    <xf numFmtId="0" fontId="0" fillId="5" borderId="0" xfId="0" applyFill="1"/>
    <xf numFmtId="0" fontId="10" fillId="5" borderId="2" xfId="0" applyFont="1" applyFill="1" applyBorder="1" applyAlignment="1">
      <alignment horizontal="right" vertical="center" wrapText="1"/>
    </xf>
    <xf numFmtId="0" fontId="12" fillId="5" borderId="2" xfId="0" applyFont="1" applyFill="1" applyBorder="1" applyAlignment="1">
      <alignment horizontal="left" vertical="center" wrapText="1"/>
    </xf>
    <xf numFmtId="0" fontId="28" fillId="5" borderId="2" xfId="0" applyFont="1" applyFill="1" applyBorder="1" applyAlignment="1">
      <alignment horizontal="left" vertical="center" wrapText="1"/>
    </xf>
    <xf numFmtId="0" fontId="27" fillId="5" borderId="2" xfId="0" applyFont="1" applyFill="1" applyBorder="1" applyAlignment="1">
      <alignment horizontal="right" vertical="center" wrapText="1"/>
    </xf>
    <xf numFmtId="0" fontId="29" fillId="5" borderId="2" xfId="0" applyFont="1" applyFill="1" applyBorder="1" applyAlignment="1">
      <alignment horizontal="center" vertical="center" wrapText="1"/>
    </xf>
    <xf numFmtId="3" fontId="30" fillId="5" borderId="2" xfId="0" applyNumberFormat="1" applyFont="1" applyFill="1" applyBorder="1" applyAlignment="1">
      <alignment horizontal="right" vertical="center" wrapText="1"/>
    </xf>
    <xf numFmtId="164" fontId="31" fillId="5" borderId="2" xfId="0" applyNumberFormat="1" applyFont="1" applyFill="1" applyBorder="1" applyAlignment="1">
      <alignment horizontal="right" vertical="center" wrapText="1"/>
    </xf>
    <xf numFmtId="0" fontId="32" fillId="5" borderId="2" xfId="0" applyFont="1" applyFill="1" applyBorder="1" applyAlignment="1">
      <alignment horizontal="left" vertical="center" wrapText="1"/>
    </xf>
    <xf numFmtId="4" fontId="33" fillId="5" borderId="2" xfId="0" applyNumberFormat="1" applyFont="1" applyFill="1" applyBorder="1" applyAlignment="1">
      <alignment horizontal="right" vertical="center" wrapText="1"/>
    </xf>
    <xf numFmtId="0" fontId="45" fillId="0" borderId="0" xfId="0" applyFont="1"/>
    <xf numFmtId="0" fontId="0" fillId="0" borderId="0" xfId="0" applyAlignment="1">
      <alignment horizontal="left" indent="1"/>
    </xf>
    <xf numFmtId="0" fontId="15" fillId="2" borderId="0" xfId="0" applyFont="1" applyFill="1" applyAlignment="1">
      <alignment vertical="center"/>
    </xf>
    <xf numFmtId="0" fontId="0" fillId="0" borderId="0" xfId="0" applyAlignment="1"/>
    <xf numFmtId="0" fontId="16" fillId="2" borderId="0" xfId="0" applyFont="1" applyFill="1" applyAlignment="1">
      <alignment vertical="center"/>
    </xf>
    <xf numFmtId="0" fontId="14" fillId="3" borderId="0" xfId="0" applyFont="1" applyFill="1" applyAlignment="1">
      <alignment vertical="center"/>
    </xf>
    <xf numFmtId="0" fontId="7" fillId="0" borderId="0" xfId="5"/>
    <xf numFmtId="0" fontId="46" fillId="0" borderId="0" xfId="5" applyFont="1"/>
    <xf numFmtId="0" fontId="47" fillId="0" borderId="0" xfId="5" applyFont="1"/>
    <xf numFmtId="0" fontId="7" fillId="0" borderId="0" xfId="5" applyAlignment="1">
      <alignment horizontal="left"/>
    </xf>
    <xf numFmtId="165" fontId="7" fillId="0" borderId="0" xfId="5" applyNumberFormat="1" applyAlignment="1">
      <alignment horizontal="left"/>
    </xf>
    <xf numFmtId="0" fontId="48" fillId="0" borderId="7" xfId="5" applyFont="1" applyBorder="1"/>
    <xf numFmtId="0" fontId="49" fillId="0" borderId="7" xfId="5" applyFont="1" applyBorder="1"/>
    <xf numFmtId="0" fontId="7" fillId="0" borderId="7" xfId="5" applyBorder="1"/>
    <xf numFmtId="0" fontId="7" fillId="0" borderId="8" xfId="5" applyBorder="1" applyAlignment="1">
      <alignment horizontal="left" wrapText="1" indent="2"/>
    </xf>
    <xf numFmtId="0" fontId="7" fillId="0" borderId="7" xfId="5" applyBorder="1" applyAlignment="1">
      <alignment wrapText="1"/>
    </xf>
    <xf numFmtId="0" fontId="50" fillId="0" borderId="0" xfId="5" applyFont="1" applyAlignment="1">
      <alignment horizontal="center" wrapText="1"/>
    </xf>
    <xf numFmtId="0" fontId="51" fillId="0" borderId="9" xfId="5" applyFont="1" applyBorder="1" applyAlignment="1">
      <alignment horizontal="center" wrapText="1"/>
    </xf>
    <xf numFmtId="0" fontId="50" fillId="0" borderId="0" xfId="5" applyFont="1" applyAlignment="1">
      <alignment horizontal="center" vertical="top" wrapText="1"/>
    </xf>
    <xf numFmtId="0" fontId="51" fillId="6" borderId="0" xfId="5" applyFont="1" applyFill="1" applyAlignment="1">
      <alignment horizontal="left" vertical="top" wrapText="1"/>
    </xf>
    <xf numFmtId="0" fontId="7" fillId="0" borderId="0" xfId="5" applyAlignment="1">
      <alignment horizontal="left" vertical="top" wrapText="1" indent="2"/>
    </xf>
    <xf numFmtId="0" fontId="51" fillId="0" borderId="0" xfId="5" applyFont="1" applyAlignment="1">
      <alignment horizontal="left" vertical="top" wrapText="1"/>
    </xf>
    <xf numFmtId="0" fontId="51" fillId="7" borderId="0" xfId="5" applyFont="1" applyFill="1" applyAlignment="1">
      <alignment horizontal="left" vertical="top" wrapText="1"/>
    </xf>
    <xf numFmtId="0" fontId="51" fillId="8" borderId="0" xfId="5" applyFont="1" applyFill="1" applyAlignment="1">
      <alignment horizontal="left" vertical="top" wrapText="1"/>
    </xf>
    <xf numFmtId="0" fontId="51" fillId="9" borderId="0" xfId="5" applyFont="1" applyFill="1" applyAlignment="1">
      <alignment horizontal="left" vertical="top" wrapText="1"/>
    </xf>
    <xf numFmtId="0" fontId="51" fillId="10" borderId="0" xfId="5" applyFont="1" applyFill="1" applyAlignment="1">
      <alignment horizontal="left" vertical="top" wrapText="1"/>
    </xf>
    <xf numFmtId="0" fontId="7" fillId="0" borderId="7" xfId="5" applyBorder="1" applyAlignment="1">
      <alignment vertical="top" wrapText="1"/>
    </xf>
    <xf numFmtId="0" fontId="49" fillId="0" borderId="0" xfId="5" applyFont="1"/>
    <xf numFmtId="0" fontId="7" fillId="0" borderId="0" xfId="5" applyAlignment="1">
      <alignment wrapText="1"/>
    </xf>
    <xf numFmtId="0" fontId="44" fillId="0" borderId="0" xfId="5" applyFont="1" applyAlignment="1">
      <alignment horizontal="left" vertical="top"/>
    </xf>
    <xf numFmtId="0" fontId="44" fillId="0" borderId="0" xfId="5" applyFont="1" applyAlignment="1">
      <alignment horizontal="left" vertical="top" wrapText="1"/>
    </xf>
    <xf numFmtId="0" fontId="57" fillId="0" borderId="0" xfId="5" applyFont="1" applyAlignment="1">
      <alignment wrapText="1"/>
    </xf>
    <xf numFmtId="0" fontId="35" fillId="8" borderId="11" xfId="0" applyFont="1" applyFill="1" applyBorder="1" applyAlignment="1">
      <alignment wrapText="1"/>
    </xf>
    <xf numFmtId="0" fontId="35" fillId="8" borderId="11" xfId="0" applyFont="1" applyFill="1" applyBorder="1" applyAlignment="1">
      <alignment vertical="center" wrapText="1"/>
    </xf>
    <xf numFmtId="0" fontId="0" fillId="11" borderId="0" xfId="0" applyFill="1"/>
    <xf numFmtId="0" fontId="45" fillId="11" borderId="0" xfId="0" applyFont="1" applyFill="1"/>
    <xf numFmtId="168" fontId="0" fillId="0" borderId="0" xfId="3" applyNumberFormat="1" applyFont="1"/>
    <xf numFmtId="9" fontId="58" fillId="0" borderId="0" xfId="0" applyNumberFormat="1" applyFont="1"/>
    <xf numFmtId="9" fontId="0" fillId="0" borderId="0" xfId="4" applyFont="1"/>
    <xf numFmtId="0" fontId="60" fillId="8" borderId="0" xfId="0" applyFont="1" applyFill="1"/>
    <xf numFmtId="0" fontId="0" fillId="0" borderId="0" xfId="0" applyFont="1"/>
    <xf numFmtId="0" fontId="0" fillId="0" borderId="0" xfId="0" applyFont="1" applyAlignment="1">
      <alignment horizontal="left"/>
    </xf>
    <xf numFmtId="0" fontId="0" fillId="0" borderId="0" xfId="0" applyFont="1" applyAlignment="1">
      <alignment wrapText="1"/>
    </xf>
    <xf numFmtId="0" fontId="0" fillId="0" borderId="0" xfId="0" applyFont="1" applyAlignment="1">
      <alignment horizontal="left" wrapText="1"/>
    </xf>
    <xf numFmtId="0" fontId="61" fillId="0" borderId="0" xfId="0" applyFont="1"/>
    <xf numFmtId="0" fontId="61" fillId="0" borderId="0" xfId="0" applyFont="1" applyAlignment="1">
      <alignment wrapText="1"/>
    </xf>
    <xf numFmtId="0" fontId="60" fillId="8" borderId="1" xfId="0" applyFont="1" applyFill="1" applyBorder="1" applyAlignment="1">
      <alignment horizontal="left" vertical="center" wrapText="1"/>
    </xf>
    <xf numFmtId="0" fontId="63" fillId="2" borderId="2" xfId="0" applyFont="1" applyFill="1" applyBorder="1" applyAlignment="1">
      <alignment horizontal="left" vertical="center" wrapText="1"/>
    </xf>
    <xf numFmtId="0" fontId="63" fillId="0" borderId="2" xfId="0" applyFont="1" applyFill="1" applyBorder="1" applyAlignment="1">
      <alignment horizontal="left" vertical="center" wrapText="1"/>
    </xf>
    <xf numFmtId="3" fontId="63" fillId="2" borderId="2" xfId="0" applyNumberFormat="1" applyFont="1" applyFill="1" applyBorder="1" applyAlignment="1">
      <alignment horizontal="right" vertical="center" wrapText="1"/>
    </xf>
    <xf numFmtId="3" fontId="63" fillId="2" borderId="0" xfId="0" applyNumberFormat="1" applyFont="1" applyFill="1" applyBorder="1" applyAlignment="1">
      <alignment horizontal="right" vertical="center" wrapText="1"/>
    </xf>
    <xf numFmtId="0" fontId="63" fillId="5" borderId="2" xfId="0" applyFont="1" applyFill="1" applyBorder="1" applyAlignment="1">
      <alignment horizontal="left" vertical="center" wrapText="1"/>
    </xf>
    <xf numFmtId="3" fontId="63" fillId="5" borderId="2" xfId="0" applyNumberFormat="1" applyFont="1" applyFill="1" applyBorder="1" applyAlignment="1">
      <alignment horizontal="right" vertical="center" wrapText="1"/>
    </xf>
    <xf numFmtId="0" fontId="0" fillId="0" borderId="2" xfId="0" applyFont="1" applyBorder="1"/>
    <xf numFmtId="0" fontId="0" fillId="0" borderId="2" xfId="0" applyFont="1" applyBorder="1" applyAlignment="1">
      <alignment wrapText="1"/>
    </xf>
    <xf numFmtId="0" fontId="0" fillId="0" borderId="0" xfId="0" applyFont="1" applyBorder="1" applyAlignment="1">
      <alignment wrapText="1"/>
    </xf>
    <xf numFmtId="0" fontId="64" fillId="4" borderId="0" xfId="0" applyFont="1" applyFill="1" applyAlignment="1">
      <alignment wrapText="1"/>
    </xf>
    <xf numFmtId="0" fontId="65" fillId="0" borderId="0" xfId="0" applyFont="1" applyAlignment="1">
      <alignment wrapText="1"/>
    </xf>
    <xf numFmtId="0" fontId="66" fillId="0" borderId="0" xfId="0" applyFont="1" applyAlignment="1">
      <alignment wrapText="1"/>
    </xf>
    <xf numFmtId="0" fontId="42" fillId="0" borderId="0" xfId="2"/>
    <xf numFmtId="43" fontId="0" fillId="0" borderId="0" xfId="3" applyFont="1"/>
    <xf numFmtId="0" fontId="0" fillId="0" borderId="12" xfId="0" applyBorder="1"/>
    <xf numFmtId="168" fontId="38" fillId="0" borderId="0" xfId="3" applyNumberFormat="1" applyFont="1"/>
    <xf numFmtId="9" fontId="59" fillId="0" borderId="0" xfId="4" applyFont="1"/>
    <xf numFmtId="0" fontId="6" fillId="0" borderId="0" xfId="1" applyFont="1"/>
    <xf numFmtId="0" fontId="36" fillId="0" borderId="0" xfId="0" applyFont="1" applyFill="1" applyAlignment="1">
      <alignment wrapText="1"/>
    </xf>
    <xf numFmtId="0" fontId="64" fillId="4" borderId="9" xfId="0" applyFont="1" applyFill="1" applyBorder="1" applyAlignment="1">
      <alignment wrapText="1"/>
    </xf>
    <xf numFmtId="2" fontId="66" fillId="0" borderId="0" xfId="0" applyNumberFormat="1" applyFont="1" applyAlignment="1">
      <alignment wrapText="1"/>
    </xf>
    <xf numFmtId="0" fontId="64" fillId="14" borderId="9" xfId="0" applyFont="1" applyFill="1" applyBorder="1" applyAlignment="1">
      <alignment wrapText="1"/>
    </xf>
    <xf numFmtId="0" fontId="67" fillId="0" borderId="0" xfId="0" applyFont="1"/>
    <xf numFmtId="0" fontId="6" fillId="0" borderId="0" xfId="1" applyFont="1" applyAlignment="1">
      <alignment horizontal="left" indent="1"/>
    </xf>
    <xf numFmtId="0" fontId="68" fillId="2" borderId="2" xfId="0" applyFont="1" applyFill="1" applyBorder="1" applyAlignment="1">
      <alignment horizontal="left" vertical="center" wrapText="1"/>
    </xf>
    <xf numFmtId="9" fontId="63" fillId="2" borderId="2" xfId="4" applyFont="1" applyFill="1" applyBorder="1" applyAlignment="1">
      <alignment horizontal="right" vertical="center" wrapText="1"/>
    </xf>
    <xf numFmtId="9" fontId="7" fillId="0" borderId="0" xfId="4" applyFont="1"/>
    <xf numFmtId="9" fontId="44" fillId="0" borderId="0" xfId="4" applyFont="1" applyAlignment="1">
      <alignment horizontal="left" vertical="top" wrapText="1"/>
    </xf>
    <xf numFmtId="9" fontId="35" fillId="8" borderId="11" xfId="4" applyFont="1" applyFill="1" applyBorder="1" applyAlignment="1">
      <alignment vertical="center" wrapText="1"/>
    </xf>
    <xf numFmtId="0" fontId="35" fillId="17" borderId="11" xfId="0" applyFont="1" applyFill="1" applyBorder="1" applyAlignment="1">
      <alignment vertical="center" wrapText="1"/>
    </xf>
    <xf numFmtId="0" fontId="0" fillId="18" borderId="0" xfId="0" applyFill="1"/>
    <xf numFmtId="0" fontId="5" fillId="0" borderId="0" xfId="0" applyFont="1" applyAlignment="1">
      <alignment horizontal="left" indent="1"/>
    </xf>
    <xf numFmtId="0" fontId="5" fillId="0" borderId="0" xfId="0" applyFont="1"/>
    <xf numFmtId="9" fontId="5" fillId="0" borderId="0" xfId="4" applyFont="1"/>
    <xf numFmtId="0" fontId="41" fillId="0" borderId="0" xfId="0" applyFont="1"/>
    <xf numFmtId="9" fontId="41" fillId="0" borderId="0" xfId="4" applyFont="1"/>
    <xf numFmtId="0" fontId="0" fillId="15" borderId="0" xfId="0" applyFill="1" applyAlignment="1">
      <alignment wrapText="1"/>
    </xf>
    <xf numFmtId="0" fontId="0" fillId="15" borderId="0" xfId="0" applyFill="1"/>
    <xf numFmtId="167" fontId="0" fillId="15" borderId="0" xfId="3" applyNumberFormat="1" applyFont="1" applyFill="1"/>
    <xf numFmtId="167" fontId="41" fillId="15" borderId="0" xfId="3" applyNumberFormat="1" applyFont="1" applyFill="1"/>
    <xf numFmtId="169" fontId="59" fillId="0" borderId="0" xfId="0" applyNumberFormat="1" applyFont="1"/>
    <xf numFmtId="169" fontId="0" fillId="0" borderId="0" xfId="0" applyNumberFormat="1"/>
    <xf numFmtId="169" fontId="7" fillId="0" borderId="0" xfId="5" applyNumberFormat="1"/>
    <xf numFmtId="169" fontId="49" fillId="0" borderId="0" xfId="5" applyNumberFormat="1" applyFont="1"/>
    <xf numFmtId="169" fontId="7" fillId="0" borderId="0" xfId="5" applyNumberFormat="1" applyAlignment="1">
      <alignment wrapText="1"/>
    </xf>
    <xf numFmtId="169" fontId="44" fillId="0" borderId="0" xfId="5" applyNumberFormat="1" applyFont="1" applyAlignment="1">
      <alignment horizontal="left" vertical="top"/>
    </xf>
    <xf numFmtId="169" fontId="44" fillId="0" borderId="0" xfId="5" applyNumberFormat="1" applyFont="1" applyAlignment="1">
      <alignment vertical="top"/>
    </xf>
    <xf numFmtId="169" fontId="44" fillId="0" borderId="0" xfId="5" applyNumberFormat="1" applyFont="1" applyAlignment="1">
      <alignment horizontal="left" vertical="top" wrapText="1"/>
    </xf>
    <xf numFmtId="169" fontId="57" fillId="0" borderId="0" xfId="5" applyNumberFormat="1" applyFont="1" applyAlignment="1">
      <alignment wrapText="1"/>
    </xf>
    <xf numFmtId="169" fontId="62" fillId="13" borderId="0" xfId="5" applyNumberFormat="1" applyFont="1" applyFill="1" applyAlignment="1">
      <alignment horizontal="left" wrapText="1"/>
    </xf>
    <xf numFmtId="169" fontId="35" fillId="13" borderId="0" xfId="5" applyNumberFormat="1" applyFont="1" applyFill="1" applyAlignment="1">
      <alignment horizontal="left"/>
    </xf>
    <xf numFmtId="169" fontId="35" fillId="13" borderId="0" xfId="5" applyNumberFormat="1" applyFont="1" applyFill="1" applyAlignment="1">
      <alignment wrapText="1"/>
    </xf>
    <xf numFmtId="169" fontId="35" fillId="13" borderId="0" xfId="5" applyNumberFormat="1" applyFont="1" applyFill="1"/>
    <xf numFmtId="169" fontId="45" fillId="11" borderId="0" xfId="0" applyNumberFormat="1" applyFont="1" applyFill="1"/>
    <xf numFmtId="169" fontId="35" fillId="12" borderId="10" xfId="0" applyNumberFormat="1" applyFont="1" applyFill="1" applyBorder="1"/>
    <xf numFmtId="169" fontId="45" fillId="0" borderId="0" xfId="0" applyNumberFormat="1" applyFont="1"/>
    <xf numFmtId="169" fontId="0" fillId="10" borderId="0" xfId="0" applyNumberFormat="1" applyFill="1"/>
    <xf numFmtId="169" fontId="0" fillId="0" borderId="0" xfId="0" applyNumberFormat="1" applyAlignment="1">
      <alignment horizontal="left"/>
    </xf>
    <xf numFmtId="169" fontId="0" fillId="10" borderId="0" xfId="0" applyNumberFormat="1" applyFill="1" applyAlignment="1">
      <alignment horizontal="left"/>
    </xf>
    <xf numFmtId="0" fontId="59" fillId="0" borderId="0" xfId="5" applyFont="1" applyAlignment="1">
      <alignment wrapText="1"/>
    </xf>
    <xf numFmtId="0" fontId="45" fillId="18" borderId="0" xfId="0" applyFont="1" applyFill="1"/>
    <xf numFmtId="9" fontId="45" fillId="18" borderId="0" xfId="0" applyNumberFormat="1" applyFont="1" applyFill="1"/>
    <xf numFmtId="3" fontId="63" fillId="2" borderId="2" xfId="0" applyNumberFormat="1" applyFont="1" applyFill="1" applyBorder="1" applyAlignment="1">
      <alignment horizontal="left" vertical="center" wrapText="1" indent="1"/>
    </xf>
    <xf numFmtId="9" fontId="45" fillId="18" borderId="0" xfId="4" applyFont="1" applyFill="1"/>
    <xf numFmtId="0" fontId="41" fillId="0" borderId="0" xfId="0" applyFont="1" applyAlignment="1">
      <alignment horizontal="left" indent="1"/>
    </xf>
    <xf numFmtId="0" fontId="0" fillId="0" borderId="0" xfId="0" applyFill="1" applyAlignment="1">
      <alignment horizontal="left" indent="1"/>
    </xf>
    <xf numFmtId="169" fontId="0" fillId="0" borderId="0" xfId="0" applyNumberFormat="1" applyFill="1"/>
    <xf numFmtId="0" fontId="61" fillId="0" borderId="0" xfId="0" applyFont="1" applyFill="1"/>
    <xf numFmtId="0" fontId="0" fillId="0" borderId="0" xfId="0" applyFont="1" applyFill="1" applyAlignment="1">
      <alignment wrapText="1"/>
    </xf>
    <xf numFmtId="0" fontId="6" fillId="0" borderId="0" xfId="1" applyFont="1" applyFill="1" applyAlignment="1">
      <alignment horizontal="left" indent="1"/>
    </xf>
    <xf numFmtId="0" fontId="0" fillId="0" borderId="0" xfId="0" applyFont="1" applyFill="1"/>
    <xf numFmtId="0" fontId="0" fillId="0" borderId="0" xfId="0" applyFont="1" applyFill="1" applyAlignment="1">
      <alignment horizontal="left" wrapText="1"/>
    </xf>
    <xf numFmtId="0" fontId="0" fillId="0" borderId="0" xfId="0" applyFont="1" applyFill="1" applyAlignment="1">
      <alignment horizontal="left"/>
    </xf>
    <xf numFmtId="0" fontId="5" fillId="0" borderId="0" xfId="5" applyFont="1" applyFill="1"/>
    <xf numFmtId="0" fontId="35" fillId="15" borderId="0" xfId="1" applyFont="1" applyFill="1"/>
    <xf numFmtId="10" fontId="0" fillId="0" borderId="0" xfId="4" applyNumberFormat="1" applyFont="1"/>
    <xf numFmtId="1" fontId="35" fillId="12" borderId="10" xfId="0" applyNumberFormat="1" applyFont="1" applyFill="1" applyBorder="1"/>
    <xf numFmtId="169" fontId="0" fillId="19" borderId="0" xfId="0" applyNumberFormat="1" applyFill="1"/>
    <xf numFmtId="0" fontId="65" fillId="8" borderId="0" xfId="0" applyFont="1" applyFill="1" applyAlignment="1">
      <alignment wrapText="1"/>
    </xf>
    <xf numFmtId="0" fontId="65" fillId="7" borderId="0" xfId="0" applyFont="1" applyFill="1" applyAlignment="1">
      <alignment wrapText="1"/>
    </xf>
    <xf numFmtId="0" fontId="65" fillId="20" borderId="0" xfId="0" applyFont="1" applyFill="1" applyAlignment="1">
      <alignment wrapText="1"/>
    </xf>
    <xf numFmtId="0" fontId="0" fillId="21" borderId="0" xfId="0" applyFill="1" applyAlignment="1">
      <alignment horizontal="left" indent="1"/>
    </xf>
    <xf numFmtId="0" fontId="0" fillId="21" borderId="0" xfId="0" applyFill="1"/>
    <xf numFmtId="9" fontId="0" fillId="21" borderId="0" xfId="4" applyFont="1" applyFill="1"/>
    <xf numFmtId="0" fontId="7" fillId="0" borderId="0" xfId="5" applyAlignment="1">
      <alignment vertical="top" wrapText="1"/>
    </xf>
    <xf numFmtId="170" fontId="0" fillId="0" borderId="0" xfId="0" applyNumberFormat="1"/>
    <xf numFmtId="170" fontId="45" fillId="11" borderId="0" xfId="0" applyNumberFormat="1" applyFont="1" applyFill="1"/>
    <xf numFmtId="169" fontId="0" fillId="21" borderId="0" xfId="0" applyNumberFormat="1" applyFill="1"/>
    <xf numFmtId="0" fontId="64" fillId="5" borderId="0" xfId="0" applyFont="1" applyFill="1" applyAlignment="1">
      <alignment wrapText="1"/>
    </xf>
    <xf numFmtId="0" fontId="66" fillId="0" borderId="0" xfId="0" applyFont="1" applyFill="1" applyAlignment="1">
      <alignment wrapText="1"/>
    </xf>
    <xf numFmtId="0" fontId="35" fillId="0" borderId="0" xfId="0" applyFont="1"/>
    <xf numFmtId="0" fontId="4" fillId="0" borderId="0" xfId="5" applyFont="1"/>
    <xf numFmtId="0" fontId="51" fillId="22" borderId="0" xfId="5" applyFont="1" applyFill="1" applyAlignment="1">
      <alignment horizontal="left" vertical="top" wrapText="1"/>
    </xf>
    <xf numFmtId="0" fontId="39" fillId="0" borderId="0" xfId="0" applyFont="1"/>
    <xf numFmtId="0" fontId="60" fillId="8" borderId="9" xfId="0" applyFont="1" applyFill="1" applyBorder="1" applyAlignment="1">
      <alignment horizontal="left" vertical="center" wrapText="1"/>
    </xf>
    <xf numFmtId="0" fontId="8" fillId="0" borderId="0" xfId="1" applyFill="1"/>
    <xf numFmtId="0" fontId="3" fillId="0" borderId="0" xfId="1" applyFont="1" applyAlignment="1">
      <alignment horizontal="left" indent="2"/>
    </xf>
    <xf numFmtId="169" fontId="34" fillId="0" borderId="0" xfId="0" applyNumberFormat="1" applyFont="1"/>
    <xf numFmtId="0" fontId="70" fillId="0" borderId="0" xfId="0" applyFont="1"/>
    <xf numFmtId="169" fontId="57" fillId="5" borderId="0" xfId="5" applyNumberFormat="1" applyFont="1" applyFill="1" applyAlignment="1">
      <alignment wrapText="1"/>
    </xf>
    <xf numFmtId="0" fontId="41" fillId="0" borderId="0" xfId="0" applyFont="1" applyAlignment="1">
      <alignment wrapText="1"/>
    </xf>
    <xf numFmtId="3" fontId="57" fillId="2" borderId="2" xfId="0" applyNumberFormat="1" applyFont="1" applyFill="1" applyBorder="1" applyAlignment="1">
      <alignment horizontal="right" vertical="center" wrapText="1"/>
    </xf>
    <xf numFmtId="3" fontId="71" fillId="2" borderId="2" xfId="0" applyNumberFormat="1" applyFont="1" applyFill="1" applyBorder="1" applyAlignment="1">
      <alignment horizontal="right" vertical="center" wrapText="1"/>
    </xf>
    <xf numFmtId="0" fontId="0" fillId="0" borderId="0" xfId="0" applyFont="1" applyBorder="1"/>
    <xf numFmtId="0" fontId="0" fillId="23" borderId="0" xfId="0" applyFill="1"/>
    <xf numFmtId="0" fontId="45" fillId="23" borderId="0" xfId="0" applyFont="1" applyFill="1"/>
    <xf numFmtId="0" fontId="2" fillId="0" borderId="0" xfId="5" applyFont="1"/>
    <xf numFmtId="169" fontId="67" fillId="0" borderId="0" xfId="0" applyNumberFormat="1" applyFont="1"/>
    <xf numFmtId="0" fontId="0" fillId="4" borderId="0" xfId="0" applyFill="1"/>
    <xf numFmtId="14" fontId="0" fillId="0" borderId="0" xfId="0" applyNumberFormat="1"/>
    <xf numFmtId="0" fontId="34" fillId="0" borderId="0" xfId="0" applyFont="1"/>
    <xf numFmtId="0" fontId="74" fillId="0" borderId="0" xfId="0" applyFont="1"/>
    <xf numFmtId="0" fontId="73" fillId="0" borderId="0" xfId="0" applyFont="1"/>
    <xf numFmtId="0" fontId="74" fillId="0" borderId="0" xfId="0" applyFont="1" applyAlignment="1">
      <alignment wrapText="1"/>
    </xf>
    <xf numFmtId="9" fontId="74" fillId="0" borderId="0" xfId="0" applyNumberFormat="1" applyFont="1"/>
    <xf numFmtId="168" fontId="74" fillId="0" borderId="0" xfId="3" applyNumberFormat="1" applyFont="1"/>
    <xf numFmtId="0" fontId="74" fillId="0" borderId="0" xfId="0" applyNumberFormat="1" applyFont="1"/>
    <xf numFmtId="0" fontId="73" fillId="24" borderId="0" xfId="0" applyFont="1" applyFill="1"/>
    <xf numFmtId="0" fontId="74" fillId="24" borderId="0" xfId="0" applyFont="1" applyFill="1"/>
    <xf numFmtId="10" fontId="0" fillId="0" borderId="0" xfId="0" applyNumberFormat="1"/>
    <xf numFmtId="0" fontId="0" fillId="0" borderId="0" xfId="0" applyAlignment="1">
      <alignment horizontal="left" indent="2"/>
    </xf>
    <xf numFmtId="0" fontId="0" fillId="0" borderId="0" xfId="0" applyAlignment="1">
      <alignment horizontal="left" wrapText="1" indent="2"/>
    </xf>
    <xf numFmtId="43" fontId="0" fillId="0" borderId="0" xfId="0" applyNumberFormat="1"/>
    <xf numFmtId="168" fontId="0" fillId="0" borderId="0" xfId="0" applyNumberFormat="1"/>
    <xf numFmtId="0" fontId="0" fillId="0" borderId="0" xfId="0" applyBorder="1"/>
    <xf numFmtId="43" fontId="0" fillId="0" borderId="0" xfId="3" applyFont="1" applyBorder="1"/>
    <xf numFmtId="0" fontId="0" fillId="0" borderId="9" xfId="0" applyBorder="1"/>
    <xf numFmtId="43" fontId="0" fillId="0" borderId="9" xfId="3" applyFont="1" applyBorder="1"/>
    <xf numFmtId="0" fontId="1" fillId="0" borderId="0" xfId="5" applyFont="1" applyAlignment="1">
      <alignment horizontal="left" vertical="top" wrapText="1" indent="2"/>
    </xf>
    <xf numFmtId="0" fontId="56" fillId="0" borderId="8" xfId="5" applyFont="1" applyBorder="1" applyAlignment="1">
      <alignment horizontal="left" vertical="top" wrapText="1"/>
    </xf>
    <xf numFmtId="0" fontId="35" fillId="0" borderId="8" xfId="5" applyFont="1" applyBorder="1" applyAlignment="1">
      <alignment horizontal="left" vertical="top" wrapText="1"/>
    </xf>
    <xf numFmtId="0" fontId="7" fillId="0" borderId="0" xfId="5" applyAlignment="1">
      <alignment vertical="top" wrapText="1"/>
    </xf>
    <xf numFmtId="0" fontId="44" fillId="0" borderId="0" xfId="5" applyFont="1" applyAlignment="1">
      <alignment horizontal="left" vertical="top" wrapText="1" indent="1"/>
    </xf>
    <xf numFmtId="0" fontId="7" fillId="0" borderId="0" xfId="5" applyAlignment="1">
      <alignment horizontal="left" wrapText="1" indent="1"/>
    </xf>
    <xf numFmtId="0" fontId="44" fillId="0" borderId="0" xfId="5" quotePrefix="1" applyFont="1" applyAlignment="1">
      <alignment horizontal="left" vertical="top" wrapText="1" indent="1"/>
    </xf>
    <xf numFmtId="0" fontId="3" fillId="0" borderId="8" xfId="5" applyFont="1" applyBorder="1" applyAlignment="1">
      <alignment horizontal="left" vertical="top" wrapText="1"/>
    </xf>
    <xf numFmtId="0" fontId="7" fillId="0" borderId="8" xfId="5" applyBorder="1" applyAlignment="1">
      <alignment horizontal="left" vertical="top" wrapText="1"/>
    </xf>
    <xf numFmtId="169" fontId="72" fillId="0" borderId="0" xfId="0" applyNumberFormat="1" applyFont="1" applyAlignment="1">
      <alignment horizontal="center"/>
    </xf>
    <xf numFmtId="169" fontId="69" fillId="0" borderId="13" xfId="0" applyNumberFormat="1" applyFont="1" applyFill="1" applyBorder="1" applyAlignment="1">
      <alignment horizontal="center"/>
    </xf>
    <xf numFmtId="169" fontId="69" fillId="0" borderId="14" xfId="0" applyNumberFormat="1" applyFont="1" applyFill="1" applyBorder="1" applyAlignment="1">
      <alignment horizontal="center"/>
    </xf>
    <xf numFmtId="169" fontId="69" fillId="0" borderId="15" xfId="0" applyNumberFormat="1" applyFont="1" applyFill="1" applyBorder="1" applyAlignment="1">
      <alignment horizontal="center"/>
    </xf>
    <xf numFmtId="169" fontId="44" fillId="0" borderId="0" xfId="5" applyNumberFormat="1" applyFont="1" applyAlignment="1">
      <alignment horizontal="left" vertical="top" wrapText="1"/>
    </xf>
    <xf numFmtId="169" fontId="38" fillId="15" borderId="0" xfId="5" applyNumberFormat="1" applyFont="1" applyFill="1" applyAlignment="1">
      <alignment horizontal="center" wrapText="1"/>
    </xf>
    <xf numFmtId="0" fontId="44" fillId="0" borderId="0" xfId="5" applyFont="1" applyAlignment="1">
      <alignment horizontal="left" vertical="top" wrapText="1"/>
    </xf>
    <xf numFmtId="0" fontId="45" fillId="16" borderId="0" xfId="0" applyFont="1" applyFill="1" applyAlignment="1">
      <alignment horizontal="center"/>
    </xf>
    <xf numFmtId="0" fontId="45" fillId="0" borderId="0" xfId="0" applyFont="1" applyAlignment="1">
      <alignment horizontal="center"/>
    </xf>
    <xf numFmtId="0" fontId="23" fillId="13" borderId="0" xfId="0" applyFont="1" applyFill="1" applyAlignment="1">
      <alignment horizontal="center" vertical="center"/>
    </xf>
    <xf numFmtId="0" fontId="23" fillId="3" borderId="0" xfId="0" applyFont="1" applyFill="1" applyAlignment="1">
      <alignment horizontal="left" vertical="center"/>
    </xf>
    <xf numFmtId="0" fontId="24" fillId="2" borderId="0" xfId="0" applyFont="1" applyFill="1" applyAlignment="1">
      <alignment horizontal="left" vertical="center"/>
    </xf>
    <xf numFmtId="0" fontId="25" fillId="2" borderId="0" xfId="0" applyFont="1" applyFill="1" applyAlignment="1">
      <alignment horizontal="left" vertical="center"/>
    </xf>
  </cellXfs>
  <cellStyles count="7">
    <cellStyle name="Comma" xfId="3" builtinId="3"/>
    <cellStyle name="Comma 2" xfId="6" xr:uid="{C91706FA-7E89-4C1E-BD7E-BF5E13282113}"/>
    <cellStyle name="Hyperlink" xfId="2" builtinId="8"/>
    <cellStyle name="Normal" xfId="0" builtinId="0"/>
    <cellStyle name="Normal 2" xfId="1" xr:uid="{E6D7E7FB-6DBF-461E-9E6A-DAE47B702A9A}"/>
    <cellStyle name="Normal 3" xfId="5" xr:uid="{00E1F1B7-F91A-4938-91A4-0267D6584FF2}"/>
    <cellStyle name="Percent" xfId="4" builtinId="5"/>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5</xdr:col>
      <xdr:colOff>337609</xdr:colOff>
      <xdr:row>11</xdr:row>
      <xdr:rowOff>7409</xdr:rowOff>
    </xdr:from>
    <xdr:to>
      <xdr:col>8</xdr:col>
      <xdr:colOff>413809</xdr:colOff>
      <xdr:row>21</xdr:row>
      <xdr:rowOff>7409</xdr:rowOff>
    </xdr:to>
    <xdr:pic>
      <xdr:nvPicPr>
        <xdr:cNvPr id="3" name="Picture 2" descr="Dalberg | LinkedIn">
          <a:extLst>
            <a:ext uri="{FF2B5EF4-FFF2-40B4-BE49-F238E27FC236}">
              <a16:creationId xmlns:a16="http://schemas.microsoft.com/office/drawing/2014/main" id="{6D8CF8D5-F1DE-4BC2-8F42-72CB8169DC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3251" y="3083727"/>
          <a:ext cx="1891099" cy="1930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8</xdr:row>
      <xdr:rowOff>180976</xdr:rowOff>
    </xdr:from>
    <xdr:to>
      <xdr:col>2</xdr:col>
      <xdr:colOff>821267</xdr:colOff>
      <xdr:row>15</xdr:row>
      <xdr:rowOff>112644</xdr:rowOff>
    </xdr:to>
    <xdr:pic>
      <xdr:nvPicPr>
        <xdr:cNvPr id="4" name="Picture 3" descr="About | CoSAI">
          <a:extLst>
            <a:ext uri="{FF2B5EF4-FFF2-40B4-BE49-F238E27FC236}">
              <a16:creationId xmlns:a16="http://schemas.microsoft.com/office/drawing/2014/main" id="{7FC98958-5036-4999-B608-168450E89E7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3850" y="2568576"/>
          <a:ext cx="1843617" cy="12207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337609</xdr:colOff>
      <xdr:row>8</xdr:row>
      <xdr:rowOff>0</xdr:rowOff>
    </xdr:from>
    <xdr:to>
      <xdr:col>8</xdr:col>
      <xdr:colOff>413809</xdr:colOff>
      <xdr:row>18</xdr:row>
      <xdr:rowOff>0</xdr:rowOff>
    </xdr:to>
    <xdr:pic>
      <xdr:nvPicPr>
        <xdr:cNvPr id="5" name="Picture 4" descr="Dalberg | LinkedIn">
          <a:extLst>
            <a:ext uri="{FF2B5EF4-FFF2-40B4-BE49-F238E27FC236}">
              <a16:creationId xmlns:a16="http://schemas.microsoft.com/office/drawing/2014/main" id="{2A84FA0F-51C4-4607-9884-788606BD92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4609" y="2387600"/>
          <a:ext cx="2000250" cy="184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0</xdr:colOff>
      <xdr:row>0</xdr:row>
      <xdr:rowOff>0</xdr:rowOff>
    </xdr:from>
    <xdr:to>
      <xdr:col>6</xdr:col>
      <xdr:colOff>217725</xdr:colOff>
      <xdr:row>1</xdr:row>
      <xdr:rowOff>152400</xdr:rowOff>
    </xdr:to>
    <xdr:pic>
      <xdr:nvPicPr>
        <xdr:cNvPr id="2" name="Picture 1" descr="Picture">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1638300" cy="342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476250</xdr:colOff>
      <xdr:row>0</xdr:row>
      <xdr:rowOff>100071</xdr:rowOff>
    </xdr:from>
    <xdr:to>
      <xdr:col>6</xdr:col>
      <xdr:colOff>205040</xdr:colOff>
      <xdr:row>3</xdr:row>
      <xdr:rowOff>173961</xdr:rowOff>
    </xdr:to>
    <xdr:pic>
      <xdr:nvPicPr>
        <xdr:cNvPr id="2" name="Picture 1" descr="About | CoSAI">
          <a:extLst>
            <a:ext uri="{FF2B5EF4-FFF2-40B4-BE49-F238E27FC236}">
              <a16:creationId xmlns:a16="http://schemas.microsoft.com/office/drawing/2014/main" id="{73A32910-9018-42F4-840B-C5ADC13EA3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5575" y="100071"/>
          <a:ext cx="947989" cy="664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512267</xdr:colOff>
      <xdr:row>0</xdr:row>
      <xdr:rowOff>0</xdr:rowOff>
    </xdr:from>
    <xdr:to>
      <xdr:col>8</xdr:col>
      <xdr:colOff>241054</xdr:colOff>
      <xdr:row>3</xdr:row>
      <xdr:rowOff>350921</xdr:rowOff>
    </xdr:to>
    <xdr:pic>
      <xdr:nvPicPr>
        <xdr:cNvPr id="3" name="Picture 2" descr="Dalberg | LinkedIn">
          <a:extLst>
            <a:ext uri="{FF2B5EF4-FFF2-40B4-BE49-F238E27FC236}">
              <a16:creationId xmlns:a16="http://schemas.microsoft.com/office/drawing/2014/main" id="{704A9BD3-6392-47E1-96FB-C3E53EA800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70792" y="0"/>
          <a:ext cx="947988" cy="9414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476250</xdr:colOff>
      <xdr:row>0</xdr:row>
      <xdr:rowOff>100071</xdr:rowOff>
    </xdr:from>
    <xdr:to>
      <xdr:col>6</xdr:col>
      <xdr:colOff>205040</xdr:colOff>
      <xdr:row>3</xdr:row>
      <xdr:rowOff>173961</xdr:rowOff>
    </xdr:to>
    <xdr:pic>
      <xdr:nvPicPr>
        <xdr:cNvPr id="4" name="Picture 3" descr="About | CoSAI">
          <a:extLst>
            <a:ext uri="{FF2B5EF4-FFF2-40B4-BE49-F238E27FC236}">
              <a16:creationId xmlns:a16="http://schemas.microsoft.com/office/drawing/2014/main" id="{23AF8D9C-5192-498A-9ECB-1AE8E046CF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211550" y="100071"/>
          <a:ext cx="1011490" cy="6453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512267</xdr:colOff>
      <xdr:row>0</xdr:row>
      <xdr:rowOff>0</xdr:rowOff>
    </xdr:from>
    <xdr:to>
      <xdr:col>8</xdr:col>
      <xdr:colOff>241054</xdr:colOff>
      <xdr:row>3</xdr:row>
      <xdr:rowOff>350921</xdr:rowOff>
    </xdr:to>
    <xdr:pic>
      <xdr:nvPicPr>
        <xdr:cNvPr id="5" name="Picture 4" descr="Dalberg | LinkedIn">
          <a:extLst>
            <a:ext uri="{FF2B5EF4-FFF2-40B4-BE49-F238E27FC236}">
              <a16:creationId xmlns:a16="http://schemas.microsoft.com/office/drawing/2014/main" id="{03F5673C-F565-4759-8E9F-2C2DE5F9CD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30267" y="0"/>
          <a:ext cx="1011487" cy="9224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8</xdr:col>
      <xdr:colOff>1036152</xdr:colOff>
      <xdr:row>1</xdr:row>
      <xdr:rowOff>127000</xdr:rowOff>
    </xdr:from>
    <xdr:ext cx="704756" cy="480640"/>
    <xdr:pic>
      <xdr:nvPicPr>
        <xdr:cNvPr id="2" name="Picture 1" descr="About | CoSAI">
          <a:extLst>
            <a:ext uri="{FF2B5EF4-FFF2-40B4-BE49-F238E27FC236}">
              <a16:creationId xmlns:a16="http://schemas.microsoft.com/office/drawing/2014/main" id="{36D09C5E-7AB7-4E74-958B-AFAF85E6C7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27485" y="306917"/>
          <a:ext cx="704756" cy="4806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1062356</xdr:colOff>
      <xdr:row>0</xdr:row>
      <xdr:rowOff>169334</xdr:rowOff>
    </xdr:from>
    <xdr:ext cx="706761" cy="678756"/>
    <xdr:pic>
      <xdr:nvPicPr>
        <xdr:cNvPr id="3" name="Picture 2" descr="Dalberg | LinkedIn">
          <a:extLst>
            <a:ext uri="{FF2B5EF4-FFF2-40B4-BE49-F238E27FC236}">
              <a16:creationId xmlns:a16="http://schemas.microsoft.com/office/drawing/2014/main" id="{D64C02A6-617F-41C9-B21A-088FC9BCDB4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222606" y="169334"/>
          <a:ext cx="706761" cy="6787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17</xdr:col>
      <xdr:colOff>432901</xdr:colOff>
      <xdr:row>0</xdr:row>
      <xdr:rowOff>0</xdr:rowOff>
    </xdr:from>
    <xdr:to>
      <xdr:col>18</xdr:col>
      <xdr:colOff>529871</xdr:colOff>
      <xdr:row>2</xdr:row>
      <xdr:rowOff>0</xdr:rowOff>
    </xdr:to>
    <xdr:pic>
      <xdr:nvPicPr>
        <xdr:cNvPr id="2" name="Picture 1" descr="About | CoSAI">
          <a:extLst>
            <a:ext uri="{FF2B5EF4-FFF2-40B4-BE49-F238E27FC236}">
              <a16:creationId xmlns:a16="http://schemas.microsoft.com/office/drawing/2014/main" id="{642B64E6-611D-4E76-A469-0662E34043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76951" y="0"/>
          <a:ext cx="706570" cy="4987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480273</xdr:colOff>
      <xdr:row>0</xdr:row>
      <xdr:rowOff>0</xdr:rowOff>
    </xdr:from>
    <xdr:to>
      <xdr:col>20</xdr:col>
      <xdr:colOff>579248</xdr:colOff>
      <xdr:row>2</xdr:row>
      <xdr:rowOff>0</xdr:rowOff>
    </xdr:to>
    <xdr:pic>
      <xdr:nvPicPr>
        <xdr:cNvPr id="3" name="Picture 2" descr="Dalberg | LinkedIn">
          <a:extLst>
            <a:ext uri="{FF2B5EF4-FFF2-40B4-BE49-F238E27FC236}">
              <a16:creationId xmlns:a16="http://schemas.microsoft.com/office/drawing/2014/main" id="{CB2CFCE2-6D4D-4CF6-90E5-5B272962384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243523" y="0"/>
          <a:ext cx="708575" cy="7059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17</xdr:col>
      <xdr:colOff>432901</xdr:colOff>
      <xdr:row>0</xdr:row>
      <xdr:rowOff>0</xdr:rowOff>
    </xdr:from>
    <xdr:to>
      <xdr:col>17</xdr:col>
      <xdr:colOff>1139471</xdr:colOff>
      <xdr:row>2</xdr:row>
      <xdr:rowOff>0</xdr:rowOff>
    </xdr:to>
    <xdr:pic>
      <xdr:nvPicPr>
        <xdr:cNvPr id="2" name="Picture 1" descr="About | CoSAI">
          <a:extLst>
            <a:ext uri="{FF2B5EF4-FFF2-40B4-BE49-F238E27FC236}">
              <a16:creationId xmlns:a16="http://schemas.microsoft.com/office/drawing/2014/main" id="{98D5F628-0BE1-4286-AFD9-B8DFE2A3D6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768401" y="0"/>
          <a:ext cx="706570"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480273</xdr:colOff>
      <xdr:row>0</xdr:row>
      <xdr:rowOff>0</xdr:rowOff>
    </xdr:from>
    <xdr:to>
      <xdr:col>19</xdr:col>
      <xdr:colOff>1188848</xdr:colOff>
      <xdr:row>2</xdr:row>
      <xdr:rowOff>0</xdr:rowOff>
    </xdr:to>
    <xdr:pic>
      <xdr:nvPicPr>
        <xdr:cNvPr id="3" name="Picture 2" descr="Dalberg | LinkedIn">
          <a:extLst>
            <a:ext uri="{FF2B5EF4-FFF2-40B4-BE49-F238E27FC236}">
              <a16:creationId xmlns:a16="http://schemas.microsoft.com/office/drawing/2014/main" id="{0EAD2C63-C46E-4D41-BE4F-66C7EA3D64D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34973" y="0"/>
          <a:ext cx="708575"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17</xdr:col>
      <xdr:colOff>432901</xdr:colOff>
      <xdr:row>1</xdr:row>
      <xdr:rowOff>0</xdr:rowOff>
    </xdr:from>
    <xdr:to>
      <xdr:col>18</xdr:col>
      <xdr:colOff>529871</xdr:colOff>
      <xdr:row>2</xdr:row>
      <xdr:rowOff>0</xdr:rowOff>
    </xdr:to>
    <xdr:pic>
      <xdr:nvPicPr>
        <xdr:cNvPr id="2" name="Picture 1" descr="About | CoSAI">
          <a:extLst>
            <a:ext uri="{FF2B5EF4-FFF2-40B4-BE49-F238E27FC236}">
              <a16:creationId xmlns:a16="http://schemas.microsoft.com/office/drawing/2014/main" id="{32D4BB17-BD90-4ACA-A353-B8BD9937B9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98426" y="0"/>
          <a:ext cx="706570"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480273</xdr:colOff>
      <xdr:row>1</xdr:row>
      <xdr:rowOff>0</xdr:rowOff>
    </xdr:from>
    <xdr:to>
      <xdr:col>20</xdr:col>
      <xdr:colOff>579247</xdr:colOff>
      <xdr:row>2</xdr:row>
      <xdr:rowOff>0</xdr:rowOff>
    </xdr:to>
    <xdr:pic>
      <xdr:nvPicPr>
        <xdr:cNvPr id="3" name="Picture 2" descr="Dalberg | LinkedIn">
          <a:extLst>
            <a:ext uri="{FF2B5EF4-FFF2-40B4-BE49-F238E27FC236}">
              <a16:creationId xmlns:a16="http://schemas.microsoft.com/office/drawing/2014/main" id="{4450C0D1-5ADD-42E9-B621-EBB7C530D43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169948" y="0"/>
          <a:ext cx="708575"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5</xdr:col>
      <xdr:colOff>0</xdr:colOff>
      <xdr:row>0</xdr:row>
      <xdr:rowOff>0</xdr:rowOff>
    </xdr:from>
    <xdr:to>
      <xdr:col>6</xdr:col>
      <xdr:colOff>551181</xdr:colOff>
      <xdr:row>1</xdr:row>
      <xdr:rowOff>152400</xdr:rowOff>
    </xdr:to>
    <xdr:pic>
      <xdr:nvPicPr>
        <xdr:cNvPr id="2" name="Picture 1" descr="Pictur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1638300" cy="3429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17</xdr:col>
      <xdr:colOff>432901</xdr:colOff>
      <xdr:row>1</xdr:row>
      <xdr:rowOff>0</xdr:rowOff>
    </xdr:from>
    <xdr:to>
      <xdr:col>18</xdr:col>
      <xdr:colOff>529871</xdr:colOff>
      <xdr:row>6</xdr:row>
      <xdr:rowOff>28575</xdr:rowOff>
    </xdr:to>
    <xdr:pic>
      <xdr:nvPicPr>
        <xdr:cNvPr id="2" name="Picture 1" descr="About | CoSAI">
          <a:extLst>
            <a:ext uri="{FF2B5EF4-FFF2-40B4-BE49-F238E27FC236}">
              <a16:creationId xmlns:a16="http://schemas.microsoft.com/office/drawing/2014/main" id="{56A25942-38FE-4CF9-B1AB-878321B0CC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30101" y="190500"/>
          <a:ext cx="70657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480273</xdr:colOff>
      <xdr:row>1</xdr:row>
      <xdr:rowOff>0</xdr:rowOff>
    </xdr:from>
    <xdr:to>
      <xdr:col>20</xdr:col>
      <xdr:colOff>579247</xdr:colOff>
      <xdr:row>6</xdr:row>
      <xdr:rowOff>28575</xdr:rowOff>
    </xdr:to>
    <xdr:pic>
      <xdr:nvPicPr>
        <xdr:cNvPr id="3" name="Picture 2" descr="Dalberg | LinkedIn">
          <a:extLst>
            <a:ext uri="{FF2B5EF4-FFF2-40B4-BE49-F238E27FC236}">
              <a16:creationId xmlns:a16="http://schemas.microsoft.com/office/drawing/2014/main" id="{1EA84D7D-55F5-4AF8-A9D5-43661D23A18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396673" y="190500"/>
          <a:ext cx="708574"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12</xdr:col>
      <xdr:colOff>0</xdr:colOff>
      <xdr:row>0</xdr:row>
      <xdr:rowOff>0</xdr:rowOff>
    </xdr:from>
    <xdr:to>
      <xdr:col>13</xdr:col>
      <xdr:colOff>217725</xdr:colOff>
      <xdr:row>1</xdr:row>
      <xdr:rowOff>152400</xdr:rowOff>
    </xdr:to>
    <xdr:pic>
      <xdr:nvPicPr>
        <xdr:cNvPr id="2" name="Picture 1" descr="Picture">
          <a:extLst>
            <a:ext uri="{FF2B5EF4-FFF2-40B4-BE49-F238E27FC236}">
              <a16:creationId xmlns:a16="http://schemas.microsoft.com/office/drawing/2014/main" id="{C73B9303-2DDA-46FD-BF37-258B8950E727}"/>
            </a:ext>
          </a:extLst>
        </xdr:cNvPr>
        <xdr:cNvPicPr>
          <a:picLocks noChangeAspect="1"/>
        </xdr:cNvPicPr>
      </xdr:nvPicPr>
      <xdr:blipFill>
        <a:blip xmlns:r="http://schemas.openxmlformats.org/officeDocument/2006/relationships" r:embed="rId1"/>
        <a:stretch>
          <a:fillRect/>
        </a:stretch>
      </xdr:blipFill>
      <xdr:spPr>
        <a:xfrm>
          <a:off x="6229350" y="0"/>
          <a:ext cx="1636950" cy="4000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1.%20Consolidated%20sheet%20vDraft%20v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AppData/Local/Microsoft/Windows/INetCache/Content.Outlook/N59Y7YLR/2b.%20Institutional%20Investors%20Estimates_Linked_BS_V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ashboard"/>
      <sheetName val="Region-wise"/>
      <sheetName val="Slides"/>
      <sheetName val="Conservative"/>
      <sheetName val="Moderate"/>
      <sheetName val="Aggressive"/>
      <sheetName val="Govt domestic"/>
      <sheetName val="Private philanthropy"/>
      <sheetName val="Bilateral and multilateral"/>
      <sheetName val="Institutional"/>
      <sheetName val="Private"/>
      <sheetName val="Master_1"/>
      <sheetName val="Master_2"/>
      <sheetName val="dropdowns"/>
      <sheetName val="SAI master"/>
      <sheetName val="Dashboard_link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7">
          <cell r="C7" t="str">
            <v>Constant USD (2010), fixed exch rate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tro"/>
      <sheetName val="Dashboard"/>
      <sheetName val="Bottom-up tagging"/>
      <sheetName val="Top-Down estimates"/>
      <sheetName val="Analysis of bottom-up tags"/>
      <sheetName val="Top-Down Assumptions"/>
      <sheetName val="1.2"/>
      <sheetName val="Bottom-up Tagging Assumptions"/>
      <sheetName val="Investments 1.1"/>
      <sheetName val="Companies covered restructured"/>
      <sheetName val="Sheet6"/>
      <sheetName val="Companies Covered 2.1"/>
      <sheetName val="Split Formula"/>
      <sheetName val="Formulae"/>
      <sheetName val="Lists"/>
      <sheetName val="Framework"/>
      <sheetName val="GDP defla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2">
          <cell r="B12" t="str">
            <v>Farmer engagement platforms (including marketplaces and information platforms)</v>
          </cell>
          <cell r="C12" t="str">
            <v>#Other Economic(P); #Productivity(S)</v>
          </cell>
          <cell r="D12" t="str">
            <v>#Improve price realization(P); #Increasing crop or animal yield(S)</v>
          </cell>
          <cell r="E12" t="str">
            <v>#Level 4(100)</v>
          </cell>
          <cell r="F12" t="str">
            <v>#Process Innovation(100)</v>
          </cell>
        </row>
        <row r="13">
          <cell r="B13" t="str">
            <v>AI/analytics based advisory algorithms (incl. weather)</v>
          </cell>
          <cell r="C13" t="str">
            <v>#Other Economic(P); #Productivity(S)</v>
          </cell>
          <cell r="D13" t="str">
            <v>#Increasing output per unit input(P); #Increasing crop or animal yield(S)</v>
          </cell>
          <cell r="E13" t="str">
            <v>#Level 1(100)</v>
          </cell>
          <cell r="F13" t="str">
            <v>#Science &amp; tech(100)</v>
          </cell>
        </row>
        <row r="14">
          <cell r="B14" t="str">
            <v>Agri marketplaces</v>
          </cell>
          <cell r="C14" t="str">
            <v>#Other Economic(P); Social(S)</v>
          </cell>
          <cell r="D14" t="str">
            <v>#Improve price realization(P)</v>
          </cell>
          <cell r="E14" t="str">
            <v>#Level 4(100)</v>
          </cell>
          <cell r="F14" t="str">
            <v>#Process Innovation(100)</v>
          </cell>
        </row>
        <row r="15">
          <cell r="B15" t="str">
            <v xml:space="preserve">Hydroponics </v>
          </cell>
          <cell r="C15" t="str">
            <v>#Human Condition(P); #Environmental(S); #Productivity(S)</v>
          </cell>
          <cell r="D15" t="str">
            <v>#Food security(P); #Reducing production variability(S)</v>
          </cell>
          <cell r="E15" t="str">
            <v>#Level 2(100)</v>
          </cell>
          <cell r="F15" t="str">
            <v>#Science &amp; tech(100)</v>
          </cell>
        </row>
        <row r="16">
          <cell r="B16" t="str">
            <v>Soil and nutrient monitoring systems</v>
          </cell>
          <cell r="C16" t="str">
            <v>#Environmental(P); #Other economic(S)</v>
          </cell>
          <cell r="D16" t="str">
            <v>#Improved soil quality(P)</v>
          </cell>
          <cell r="E16" t="str">
            <v>#Level 2(100)</v>
          </cell>
          <cell r="F16" t="str">
            <v>#Science &amp; tech(100)</v>
          </cell>
        </row>
        <row r="17">
          <cell r="B17" t="str">
            <v>Agri input e-commerce platforms</v>
          </cell>
          <cell r="C17" t="str">
            <v>#Other Economic(P); Productivity(S)</v>
          </cell>
          <cell r="D17" t="str">
            <v>#Reduce cost of inputs(P)</v>
          </cell>
          <cell r="E17" t="str">
            <v>#Level 1(100)</v>
          </cell>
          <cell r="F17" t="str">
            <v>#Process Innovation(100)</v>
          </cell>
        </row>
        <row r="18">
          <cell r="B18" t="str">
            <v>Insect-protein based food</v>
          </cell>
          <cell r="C18" t="str">
            <v>#Human Condition(P), #Environmental</v>
          </cell>
          <cell r="D18" t="str">
            <v>#Improved nutrition(P)</v>
          </cell>
          <cell r="E18" t="str">
            <v>#Level 3(100)</v>
          </cell>
          <cell r="F18" t="str">
            <v>#Product Development(100)</v>
          </cell>
        </row>
        <row r="19">
          <cell r="B19" t="str">
            <v>Supply chain technologies</v>
          </cell>
          <cell r="C19" t="str">
            <v>#Other Economic(P); Social(S)</v>
          </cell>
          <cell r="D19" t="str">
            <v>#Improve price realization(P)</v>
          </cell>
          <cell r="E19" t="str">
            <v>#Level 3(100)</v>
          </cell>
          <cell r="F19" t="str">
            <v>#Process Innovation(100)</v>
          </cell>
        </row>
        <row r="20">
          <cell r="B20" t="str">
            <v>Drone technologies/robotics</v>
          </cell>
          <cell r="C20" t="str">
            <v>#Productivity(P); #Other Economic(P)</v>
          </cell>
          <cell r="D20" t="str">
            <v>#Reducing human effort(P)</v>
          </cell>
          <cell r="E20" t="str">
            <v>#Level 1(100)</v>
          </cell>
          <cell r="F20" t="str">
            <v>#Process Innovation(100)</v>
          </cell>
        </row>
        <row r="21">
          <cell r="B21" t="str">
            <v>Agroforestry</v>
          </cell>
          <cell r="C21" t="str">
            <v>#Environmental(P); Productivity(S)</v>
          </cell>
          <cell r="D21" t="str">
            <v>#Increasing forest cover(P)</v>
          </cell>
          <cell r="E21" t="str">
            <v>#Level 3(100)</v>
          </cell>
          <cell r="F21" t="str">
            <v>NA</v>
          </cell>
        </row>
        <row r="22">
          <cell r="B22" t="str">
            <v>Precision agriculture</v>
          </cell>
          <cell r="C22" t="str">
            <v>#Other Economic(P); #Productivity(S)</v>
          </cell>
          <cell r="D22" t="str">
            <v>#Increasing output per unit input(P); #Increasing crop or animal yield(S)</v>
          </cell>
          <cell r="E22" t="str">
            <v>#Level 1(100)</v>
          </cell>
          <cell r="F22" t="str">
            <v>#Science &amp; tech(100)</v>
          </cell>
        </row>
        <row r="23">
          <cell r="B23" t="str">
            <v>Farmer financing services</v>
          </cell>
          <cell r="C23" t="str">
            <v>#Other Economic(P); Social(S)</v>
          </cell>
          <cell r="D23" t="str">
            <v>NA</v>
          </cell>
          <cell r="E23" t="str">
            <v>#Level 1(100)</v>
          </cell>
          <cell r="F23" t="str">
            <v>#Process Innovation(100)</v>
          </cell>
        </row>
        <row r="24">
          <cell r="B24" t="str">
            <v>Precision livestock farming</v>
          </cell>
          <cell r="C24" t="str">
            <v>#Other Economic(P); #Productivity(S)</v>
          </cell>
          <cell r="D24" t="str">
            <v>#Increasing output per unit input(P); #Increasing crop or animal yield(S)</v>
          </cell>
          <cell r="E24" t="str">
            <v>#Level 1(100)</v>
          </cell>
          <cell r="F24" t="str">
            <v>#Science &amp; tech(100)</v>
          </cell>
        </row>
        <row r="25">
          <cell r="B25" t="str">
            <v>Equipment automation</v>
          </cell>
          <cell r="C25" t="str">
            <v>#Productivity(P); #Other Economic(S)</v>
          </cell>
          <cell r="D25" t="str">
            <v>#Reducing human effort(P); #Increasing output per unit input(S)</v>
          </cell>
          <cell r="E25" t="str">
            <v>#Level 1(100)</v>
          </cell>
          <cell r="F25" t="str">
            <v>#Science &amp; tech(100)</v>
          </cell>
        </row>
        <row r="26">
          <cell r="B26" t="str">
            <v>Biologicals</v>
          </cell>
          <cell r="C26" t="str">
            <v>#Other Economic(P); #Environmental(P)</v>
          </cell>
          <cell r="D26" t="str">
            <v>#Waste reduction(P); #Improved biodiversity(S)</v>
          </cell>
          <cell r="E26" t="str">
            <v>#Level 2(100)</v>
          </cell>
          <cell r="F26" t="str">
            <v>#Product Development(100)</v>
          </cell>
        </row>
        <row r="27">
          <cell r="B27" t="str">
            <v>Seed development and biotech</v>
          </cell>
          <cell r="C27" t="str">
            <v>#Productivity(P); #Human Condition(S)</v>
          </cell>
          <cell r="D27" t="str">
            <v>#Increasing crop or animal yield(P); #Improved nutrition(S)</v>
          </cell>
          <cell r="E27" t="str">
            <v>#Level 1(100)</v>
          </cell>
          <cell r="F27" t="str">
            <v>#Product Development(100)</v>
          </cell>
        </row>
        <row r="28">
          <cell r="B28" t="str">
            <v xml:space="preserve">Pesticides </v>
          </cell>
          <cell r="C28" t="str">
            <v>#Other economic(P); #Productivity(S)</v>
          </cell>
          <cell r="D28" t="str">
            <v>#Waste reduction(P)</v>
          </cell>
          <cell r="E28" t="str">
            <v>#Level 1(100)</v>
          </cell>
          <cell r="F28" t="str">
            <v>#Product Development(100)</v>
          </cell>
        </row>
        <row r="29">
          <cell r="B29" t="str">
            <v>Farm mechanization</v>
          </cell>
          <cell r="C29" t="str">
            <v>#Productivity(P); #Other economic(S)</v>
          </cell>
          <cell r="D29" t="str">
            <v>#Reducing human effort(P)</v>
          </cell>
          <cell r="E29" t="str">
            <v>#Level 1(100)</v>
          </cell>
          <cell r="F29" t="str">
            <v>#Product Development(100)</v>
          </cell>
        </row>
        <row r="30">
          <cell r="B30" t="str">
            <v xml:space="preserve">Agriculture financing systems </v>
          </cell>
          <cell r="C30" t="str">
            <v>#Other Economic(P); Social(S)</v>
          </cell>
          <cell r="D30" t="str">
            <v>NA</v>
          </cell>
          <cell r="E30" t="str">
            <v>#Level 1(100)</v>
          </cell>
          <cell r="F30" t="str">
            <v>#Process Innovation(100)</v>
          </cell>
        </row>
        <row r="31">
          <cell r="B31" t="str">
            <v>Plant breeding &amp; biofortification</v>
          </cell>
          <cell r="C31" t="str">
            <v>#Human Condition(P); Productivity(S)</v>
          </cell>
          <cell r="D31" t="str">
            <v>#Improved nutrition(P)</v>
          </cell>
          <cell r="E31" t="str">
            <v>#Level 1(100)</v>
          </cell>
          <cell r="F31" t="str">
            <v>#Process Innovation(100)</v>
          </cell>
        </row>
        <row r="32">
          <cell r="B32" t="str">
            <v>Biocides</v>
          </cell>
          <cell r="C32" t="str">
            <v>#Other Economic(P); #Environmental(P)</v>
          </cell>
          <cell r="D32" t="str">
            <v>#Waste reduction(P); #Improved biodiversity(S)</v>
          </cell>
          <cell r="E32" t="str">
            <v>#Level 2(100)</v>
          </cell>
          <cell r="F32" t="str">
            <v>#Product Development(100)</v>
          </cell>
        </row>
        <row r="33">
          <cell r="B33" t="str">
            <v>Farm Equipment</v>
          </cell>
          <cell r="C33" t="str">
            <v>#Productivity(P); #Other economic(S)</v>
          </cell>
          <cell r="D33" t="str">
            <v>#Reducing human effort(P)</v>
          </cell>
          <cell r="E33" t="str">
            <v>#Level 1(100)</v>
          </cell>
          <cell r="F33" t="str">
            <v>#Product Development(100)</v>
          </cell>
        </row>
        <row r="34">
          <cell r="B34" t="str">
            <v>Quality testing technologies</v>
          </cell>
          <cell r="C34" t="str">
            <v>#Human Condition(P); #Other Economic(S)</v>
          </cell>
          <cell r="D34" t="str">
            <v>#Health(P); #Reducing variability of profits(S)</v>
          </cell>
          <cell r="E34" t="str">
            <v>#Level 1(100)</v>
          </cell>
          <cell r="F34" t="str">
            <v>#Science &amp; tech(100)</v>
          </cell>
        </row>
        <row r="35">
          <cell r="B35" t="str">
            <v>Transportation technologies</v>
          </cell>
          <cell r="C35" t="str">
            <v>#Other Economic(P); Environmental(S)</v>
          </cell>
          <cell r="D35" t="str">
            <v>#Increase output per unit input(P)</v>
          </cell>
          <cell r="E35" t="str">
            <v>#Level 1(100)</v>
          </cell>
          <cell r="F35" t="str">
            <v>#Product Development(100)</v>
          </cell>
        </row>
        <row r="36">
          <cell r="B36" t="str">
            <v>Animal health</v>
          </cell>
          <cell r="C36" t="str">
            <v>#Productivity(P); Other economic(S)</v>
          </cell>
          <cell r="D36" t="str">
            <v>#Increasing crop or animal yield(P)</v>
          </cell>
          <cell r="E36" t="str">
            <v>#Level 2(100)</v>
          </cell>
          <cell r="F36" t="str">
            <v>#Product Development(100)</v>
          </cell>
        </row>
        <row r="37">
          <cell r="B37" t="str">
            <v xml:space="preserve">Value-chain financing and risk management </v>
          </cell>
          <cell r="C37" t="str">
            <v>#Other Economic(P); Social(S)</v>
          </cell>
          <cell r="D37" t="str">
            <v>#Reducing variability of profits(P)</v>
          </cell>
          <cell r="E37" t="str">
            <v>#Level 3(100)</v>
          </cell>
          <cell r="F37" t="str">
            <v>#Product Development(100)</v>
          </cell>
        </row>
        <row r="38">
          <cell r="B38" t="str">
            <v>Animal and fish monitoring systems</v>
          </cell>
          <cell r="C38" t="str">
            <v>#Productivity(P); Other economic(S)</v>
          </cell>
          <cell r="D38" t="str">
            <v>#Increasing crop or animal yield(P)</v>
          </cell>
          <cell r="E38" t="str">
            <v>#Level 2(100)</v>
          </cell>
          <cell r="F38" t="str">
            <v>#Product Development(100)</v>
          </cell>
        </row>
        <row r="39">
          <cell r="B39" t="str">
            <v>Waste management</v>
          </cell>
          <cell r="C39" t="str">
            <v>#Environmental(P); #Other economic(S)</v>
          </cell>
          <cell r="D39" t="str">
            <v>#Waste reduction(P)</v>
          </cell>
          <cell r="E39" t="str">
            <v>#Level 2(100)</v>
          </cell>
          <cell r="F39" t="str">
            <v>#Product Development(100)</v>
          </cell>
        </row>
        <row r="40">
          <cell r="B40" t="str">
            <v>Bio fertilizers (inputs)</v>
          </cell>
          <cell r="C40" t="str">
            <v>#Environmental(P); #Other economic(S)</v>
          </cell>
          <cell r="D40" t="str">
            <v>#Improved soil quality(P)</v>
          </cell>
          <cell r="E40" t="str">
            <v>#Level 2(100)</v>
          </cell>
          <cell r="F40" t="str">
            <v>#Science &amp; tech(100)</v>
          </cell>
        </row>
        <row r="41">
          <cell r="B41" t="str">
            <v>Irrigation systems</v>
          </cell>
          <cell r="C41" t="str">
            <v>#Other Economic(P); Environmental(S)</v>
          </cell>
          <cell r="D41" t="str">
            <v>#Waste reduction(P)</v>
          </cell>
          <cell r="E41" t="str">
            <v>#Level 1(100)</v>
          </cell>
          <cell r="F41" t="str">
            <v>#Product Development(100)</v>
          </cell>
        </row>
        <row r="42">
          <cell r="B42" t="str">
            <v>Breeding &amp; genetics</v>
          </cell>
          <cell r="C42" t="str">
            <v>#Productivity(P); #Other Economic(S)</v>
          </cell>
          <cell r="D42" t="str">
            <v>#Increasing crop or animal yield(P)</v>
          </cell>
          <cell r="E42" t="str">
            <v>#Level 2(100)</v>
          </cell>
          <cell r="F42" t="str">
            <v>#Science &amp; tech(100)</v>
          </cell>
        </row>
        <row r="43">
          <cell r="B43" t="str">
            <v xml:space="preserve">Fertilizers/manure </v>
          </cell>
          <cell r="C43" t="str">
            <v>#Other Economic(P); #Environmental(S)</v>
          </cell>
          <cell r="D43" t="str">
            <v>#Waste reduction(P); #Improved biodiversity(S)</v>
          </cell>
          <cell r="E43" t="str">
            <v>#Level 2(100)</v>
          </cell>
          <cell r="F43" t="str">
            <v>#Product Development(100)</v>
          </cell>
        </row>
        <row r="44">
          <cell r="B44" t="str">
            <v>Insect-protein based feed</v>
          </cell>
          <cell r="C44" t="str">
            <v>#Human Condition(P), #Environmental</v>
          </cell>
          <cell r="D44" t="str">
            <v>#Improved nutrition(P)</v>
          </cell>
          <cell r="E44" t="str">
            <v>#Level 3(100)</v>
          </cell>
          <cell r="F44" t="str">
            <v>#Product Development(100)</v>
          </cell>
        </row>
        <row r="45">
          <cell r="B45" t="str">
            <v>Closed loop aquaculture</v>
          </cell>
          <cell r="C45" t="str">
            <v>#Other Economic(P); Environmental(S)</v>
          </cell>
          <cell r="D45" t="str">
            <v>#Waste reduction(P)</v>
          </cell>
          <cell r="E45" t="str">
            <v>#Level 1(100)</v>
          </cell>
          <cell r="F45" t="str">
            <v>#Product Development(100)</v>
          </cell>
        </row>
        <row r="46">
          <cell r="B46" t="str">
            <v xml:space="preserve">Smart ponds (IOT etc) </v>
          </cell>
          <cell r="C46" t="str">
            <v>#Other Economic(P); Productivity(S)</v>
          </cell>
          <cell r="D46" t="str">
            <v>#Waste reduction(P)</v>
          </cell>
          <cell r="E46" t="str">
            <v>#Level 1(100)</v>
          </cell>
          <cell r="F46" t="str">
            <v>#Product Development(100)</v>
          </cell>
        </row>
        <row r="47">
          <cell r="B47" t="str">
            <v xml:space="preserve">Animal feeding </v>
          </cell>
          <cell r="C47" t="str">
            <v>#Environmental(P); #Other economic(S)</v>
          </cell>
          <cell r="D47" t="str">
            <v>#Improved air quality(P); #Reduce cost of inputs(S)</v>
          </cell>
          <cell r="E47" t="str">
            <v>#Level 2(100)</v>
          </cell>
          <cell r="F47" t="str">
            <v>#Science &amp; tech(100)</v>
          </cell>
        </row>
        <row r="48">
          <cell r="B48" t="str">
            <v xml:space="preserve">Agriculture traceability systems </v>
          </cell>
          <cell r="C48" t="str">
            <v>#Other Economic(P); Productivity(S)</v>
          </cell>
          <cell r="D48" t="str">
            <v>#Waste reduction(P)</v>
          </cell>
          <cell r="E48" t="str">
            <v>#Level 1(100)</v>
          </cell>
          <cell r="F48" t="str">
            <v>#Product Development(100)</v>
          </cell>
        </row>
        <row r="49">
          <cell r="B49" t="str">
            <v>Soil regeneration and remediation</v>
          </cell>
          <cell r="C49" t="str">
            <v>#Environmental(P); Productivity(S)</v>
          </cell>
          <cell r="D49" t="str">
            <v>#Improved soil quality(P)</v>
          </cell>
          <cell r="E49" t="str">
            <v>#Level 2(100)</v>
          </cell>
          <cell r="F49" t="str">
            <v>#Science &amp; tech(100)</v>
          </cell>
        </row>
        <row r="50">
          <cell r="B50" t="str">
            <v>Cold storage</v>
          </cell>
          <cell r="C50" t="str">
            <v>#Environmental(P); #Other Economic(S)</v>
          </cell>
          <cell r="D50" t="str">
            <v>#Reduced fuel consumption(P); #Reduce cost of inputs(S)</v>
          </cell>
          <cell r="E50" t="str">
            <v>#Level 2(100)</v>
          </cell>
          <cell r="F50" t="str">
            <v>#Product Development(100)</v>
          </cell>
        </row>
        <row r="51">
          <cell r="B51" t="str">
            <v xml:space="preserve">Fish feed </v>
          </cell>
          <cell r="C51" t="str">
            <v>#Environmental(P); #Other economic(S)</v>
          </cell>
          <cell r="D51" t="str">
            <v>#Improved air quality(P); #Reduce cost of inputs(S)</v>
          </cell>
          <cell r="E51" t="str">
            <v>#Level 2(100)</v>
          </cell>
          <cell r="F51" t="str">
            <v>#Science &amp; tech(100)</v>
          </cell>
        </row>
        <row r="52">
          <cell r="B52" t="str">
            <v>Animal reproduction</v>
          </cell>
          <cell r="C52" t="str">
            <v>#Productivity(P); Other economic(S)</v>
          </cell>
          <cell r="D52" t="str">
            <v>#Increasing crop or animal yield(P)</v>
          </cell>
          <cell r="E52" t="str">
            <v>#Level 2(100)</v>
          </cell>
          <cell r="F52" t="str">
            <v>#Science &amp; tech(100)</v>
          </cell>
        </row>
        <row r="53">
          <cell r="B53" t="str">
            <v xml:space="preserve">Integrated cropping </v>
          </cell>
          <cell r="C53" t="str">
            <v>#Other Economic(P); #Productivity(S)</v>
          </cell>
          <cell r="D53" t="str">
            <v>#Increasing output per unit input(P); #Increasing crop or animal yield(S)</v>
          </cell>
          <cell r="E53" t="str">
            <v>#Level 1(100)</v>
          </cell>
          <cell r="F53" t="str">
            <v>#Science &amp; tech(100)</v>
          </cell>
        </row>
        <row r="54">
          <cell r="B54" t="str">
            <v xml:space="preserve">Microbial applications </v>
          </cell>
          <cell r="C54" t="str">
            <v>#Environmental(P); #Other economic(S)</v>
          </cell>
          <cell r="D54" t="str">
            <v>#Improved soil quality(P)</v>
          </cell>
          <cell r="E54" t="str">
            <v>#Level 2(100)</v>
          </cell>
          <cell r="F54" t="str">
            <v>#Science &amp; tech(100)</v>
          </cell>
        </row>
        <row r="55">
          <cell r="B55" t="str">
            <v>Animal genetics</v>
          </cell>
          <cell r="C55" t="str">
            <v>#Productivity(P); Other economic(S)</v>
          </cell>
          <cell r="D55" t="str">
            <v>#Increasing crop or animal yield(P)</v>
          </cell>
          <cell r="E55" t="str">
            <v>#Level 2(100)</v>
          </cell>
          <cell r="F55" t="str">
            <v>#Science &amp; tech(100)</v>
          </cell>
        </row>
        <row r="56">
          <cell r="B56" t="str">
            <v>Innovative instruments such as climate credits and trading</v>
          </cell>
          <cell r="C56" t="str">
            <v>#Other Economic(P); Social(S)</v>
          </cell>
          <cell r="D56" t="str">
            <v>NA</v>
          </cell>
          <cell r="E56" t="str">
            <v>#Level 1(100)</v>
          </cell>
          <cell r="F56" t="str">
            <v>#Process Innovation(100)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522" Type="http://schemas.openxmlformats.org/officeDocument/2006/relationships/hyperlink" Target="https://agrosmart.com.br/" TargetMode="External"/><Relationship Id="rId1827" Type="http://schemas.openxmlformats.org/officeDocument/2006/relationships/hyperlink" Target="http://linkedin.com/company/chip-inside" TargetMode="External"/><Relationship Id="rId21" Type="http://schemas.openxmlformats.org/officeDocument/2006/relationships/hyperlink" Target="https://tracxn.com/companies/mMlxGs1FI22xZvVWMXOBMaGvBG6mDnRiOmL8RX4zlFA/agverse.in" TargetMode="External"/><Relationship Id="rId170" Type="http://schemas.openxmlformats.org/officeDocument/2006/relationships/hyperlink" Target="http://twitter.com/fasalofficial" TargetMode="External"/><Relationship Id="rId268" Type="http://schemas.openxmlformats.org/officeDocument/2006/relationships/hyperlink" Target="http://facebook.com/cprgira" TargetMode="External"/><Relationship Id="rId475" Type="http://schemas.openxmlformats.org/officeDocument/2006/relationships/hyperlink" Target="https://www.impactterra.com/" TargetMode="External"/><Relationship Id="rId682" Type="http://schemas.openxmlformats.org/officeDocument/2006/relationships/hyperlink" Target="https://tracxn.com/companies/TBUDky27nkOp1l4PG6epXNCh19CZppc4ZnJA7uZ3UKk/mercarancho.com" TargetMode="External"/><Relationship Id="rId128" Type="http://schemas.openxmlformats.org/officeDocument/2006/relationships/hyperlink" Target="https://twitter.com/freshvnf" TargetMode="External"/><Relationship Id="rId335" Type="http://schemas.openxmlformats.org/officeDocument/2006/relationships/hyperlink" Target="https://www.krimanshi.com/" TargetMode="External"/><Relationship Id="rId542" Type="http://schemas.openxmlformats.org/officeDocument/2006/relationships/hyperlink" Target="https://www.linkedin.com/company/cowlar" TargetMode="External"/><Relationship Id="rId987" Type="http://schemas.openxmlformats.org/officeDocument/2006/relationships/hyperlink" Target="https://tracxn.com/companies/yG1tnFials3y40o39p-TR3y2dQRktHYyDMhbe7d7ciY/twiga.ke" TargetMode="External"/><Relationship Id="rId1172" Type="http://schemas.openxmlformats.org/officeDocument/2006/relationships/hyperlink" Target="https://tracxn.com/companies/FjkD1R-75Bhyfth0eKhmIDXv92nWboQSvkFp2NZcG1E/wobblebase.in" TargetMode="External"/><Relationship Id="rId402" Type="http://schemas.openxmlformats.org/officeDocument/2006/relationships/hyperlink" Target="http://linkedin.com/company/luxelare" TargetMode="External"/><Relationship Id="rId847" Type="http://schemas.openxmlformats.org/officeDocument/2006/relationships/hyperlink" Target="https://linkedin.com/company/edenshield" TargetMode="External"/><Relationship Id="rId1032" Type="http://schemas.openxmlformats.org/officeDocument/2006/relationships/hyperlink" Target="https://tracxn.com/companies/uc-o7TzpUR4Q_DrjK0K8YQYsyQmDA_OVqMLI_VGS0X8/swastiagro.com" TargetMode="External"/><Relationship Id="rId1477" Type="http://schemas.openxmlformats.org/officeDocument/2006/relationships/hyperlink" Target="https://tracxn.com/companies/3dLB1KfhibP8awUJbnqEV5p5-DMdQ6bphIO_oxnUWX4/manishaseeds.com" TargetMode="External"/><Relationship Id="rId1684" Type="http://schemas.openxmlformats.org/officeDocument/2006/relationships/hyperlink" Target="http://linkedin.com/company/virtual-city" TargetMode="External"/><Relationship Id="rId1891" Type="http://schemas.openxmlformats.org/officeDocument/2006/relationships/hyperlink" Target="http://facebook.com/pages/frontalrain-technologies/107119692688905" TargetMode="External"/><Relationship Id="rId707" Type="http://schemas.openxmlformats.org/officeDocument/2006/relationships/hyperlink" Target="https://www.grobomac.com/" TargetMode="External"/><Relationship Id="rId914" Type="http://schemas.openxmlformats.org/officeDocument/2006/relationships/hyperlink" Target="http://www.linkedin.com/vsearch/p?f_CC=9458287" TargetMode="External"/><Relationship Id="rId1337" Type="http://schemas.openxmlformats.org/officeDocument/2006/relationships/hyperlink" Target="http://www.farmtaaza.com/" TargetMode="External"/><Relationship Id="rId1544" Type="http://schemas.openxmlformats.org/officeDocument/2006/relationships/hyperlink" Target="http://www.linkedin.com/vsearch/p?f_CC=3863851" TargetMode="External"/><Relationship Id="rId1751" Type="http://schemas.openxmlformats.org/officeDocument/2006/relationships/hyperlink" Target="https://www.mfarm.co.ke/" TargetMode="External"/><Relationship Id="rId43" Type="http://schemas.openxmlformats.org/officeDocument/2006/relationships/hyperlink" Target="https://www.eggxiaoer.com/" TargetMode="External"/><Relationship Id="rId1404" Type="http://schemas.openxmlformats.org/officeDocument/2006/relationships/hyperlink" Target="http://twitter.com/em3agri" TargetMode="External"/><Relationship Id="rId1611" Type="http://schemas.openxmlformats.org/officeDocument/2006/relationships/hyperlink" Target="https://tracxn.com/companies/v1EC0_KUjrcAnER7VStTm8HdvKdDu0quGax_3LdFrT8/zentronlabs.com" TargetMode="External"/><Relationship Id="rId1849" Type="http://schemas.openxmlformats.org/officeDocument/2006/relationships/hyperlink" Target="http://www.linkedin.com/vsearch/p?f_CC=2857207" TargetMode="External"/><Relationship Id="rId192" Type="http://schemas.openxmlformats.org/officeDocument/2006/relationships/hyperlink" Target="http://facebook.com/annona.co" TargetMode="External"/><Relationship Id="rId1709" Type="http://schemas.openxmlformats.org/officeDocument/2006/relationships/hyperlink" Target="http://www.linkedin.com/vsearch/p?f_CC=2544428" TargetMode="External"/><Relationship Id="rId497" Type="http://schemas.openxmlformats.org/officeDocument/2006/relationships/hyperlink" Target="https://metomotion.com/" TargetMode="External"/><Relationship Id="rId357" Type="http://schemas.openxmlformats.org/officeDocument/2006/relationships/hyperlink" Target="https://www.agri-intel.com/" TargetMode="External"/><Relationship Id="rId1194" Type="http://schemas.openxmlformats.org/officeDocument/2006/relationships/hyperlink" Target="http://www.nongguanjia.com/" TargetMode="External"/><Relationship Id="rId217" Type="http://schemas.openxmlformats.org/officeDocument/2006/relationships/hyperlink" Target="https://tracxn.com/companies/uAGOzWMtn7V2gfE0Ukt3JIweghqwOaBfHPBWZQyWP-c/ynxbst.com" TargetMode="External"/><Relationship Id="rId564" Type="http://schemas.openxmlformats.org/officeDocument/2006/relationships/hyperlink" Target="https://linkedin.com/company/tevel-aerobotics-technologies-ltd/about" TargetMode="External"/><Relationship Id="rId771" Type="http://schemas.openxmlformats.org/officeDocument/2006/relationships/hyperlink" Target="http://www.linkedin.com/vsearch/p?f_CC=9410547" TargetMode="External"/><Relationship Id="rId869" Type="http://schemas.openxmlformats.org/officeDocument/2006/relationships/hyperlink" Target="http://linkedin.com/company/origin-agritech-ltd" TargetMode="External"/><Relationship Id="rId1499" Type="http://schemas.openxmlformats.org/officeDocument/2006/relationships/hyperlink" Target="https://tracxn.com/companies/VizJkjihG4Fdsqeay9sKeOpkf5xeBbVX9TzBeIGd_cE/ergos.in" TargetMode="External"/><Relationship Id="rId424" Type="http://schemas.openxmlformats.org/officeDocument/2006/relationships/hyperlink" Target="https://twitter.com/krishihub" TargetMode="External"/><Relationship Id="rId631" Type="http://schemas.openxmlformats.org/officeDocument/2006/relationships/hyperlink" Target="https://tracxn.com/companies/nZOSeMQ6ID-6k1Wg9o6LeSPhY44yekzjoGOSeqwlJmk/kisannetwork.com" TargetMode="External"/><Relationship Id="rId729" Type="http://schemas.openxmlformats.org/officeDocument/2006/relationships/hyperlink" Target="https://tracxn.com/companies/izz5DG7_pRizy1xSqP36Ni5UxFq8sYaP_Qthjz-zOew/coldhubs.com" TargetMode="External"/><Relationship Id="rId1054" Type="http://schemas.openxmlformats.org/officeDocument/2006/relationships/hyperlink" Target="http://nfu99.com/" TargetMode="External"/><Relationship Id="rId1261" Type="http://schemas.openxmlformats.org/officeDocument/2006/relationships/hyperlink" Target="https://tracxn.com/companies/dpR0-Gec-QdE8A9xgSixOTS7BPDMWzr2IXY1iVYW11g/zdongpin.com" TargetMode="External"/><Relationship Id="rId1359" Type="http://schemas.openxmlformats.org/officeDocument/2006/relationships/hyperlink" Target="http://linkedin.com/company/mosavali" TargetMode="External"/><Relationship Id="rId936" Type="http://schemas.openxmlformats.org/officeDocument/2006/relationships/hyperlink" Target="http://linkedin.com/company/ecozen-solutions" TargetMode="External"/><Relationship Id="rId1121" Type="http://schemas.openxmlformats.org/officeDocument/2006/relationships/hyperlink" Target="http://yiweinet.com/" TargetMode="External"/><Relationship Id="rId1219" Type="http://schemas.openxmlformats.org/officeDocument/2006/relationships/hyperlink" Target="https://tracxn.com/companies/8Wnpn8EUiMlphPPgrmzPsH-UCDvJxszcde_5Rx3tzNs/haishangxian.cn" TargetMode="External"/><Relationship Id="rId1566" Type="http://schemas.openxmlformats.org/officeDocument/2006/relationships/hyperlink" Target="https://tracxn.com/companies/FlxyaQlTg6M8vZwL_JoNkE0x1Kz7uutzlHJfaVLP8PE/phagelux.com" TargetMode="External"/><Relationship Id="rId1773" Type="http://schemas.openxmlformats.org/officeDocument/2006/relationships/hyperlink" Target="https://tracxn.com/companies/_bXNlUetDy05mbtyZHI9pgEjbefIlMkjx5Asm339rGE/jains.com" TargetMode="External"/><Relationship Id="rId65" Type="http://schemas.openxmlformats.org/officeDocument/2006/relationships/hyperlink" Target="http://www.eliannc.com/" TargetMode="External"/><Relationship Id="rId1426" Type="http://schemas.openxmlformats.org/officeDocument/2006/relationships/hyperlink" Target="http://livingboxproject.com/" TargetMode="External"/><Relationship Id="rId1633" Type="http://schemas.openxmlformats.org/officeDocument/2006/relationships/hyperlink" Target="https://www.linkedin.com/company/shellcatch-inc-" TargetMode="External"/><Relationship Id="rId1840" Type="http://schemas.openxmlformats.org/officeDocument/2006/relationships/hyperlink" Target="https://www.afimilk.com/" TargetMode="External"/><Relationship Id="rId1700" Type="http://schemas.openxmlformats.org/officeDocument/2006/relationships/hyperlink" Target="http://twitter.com/tech4farmers" TargetMode="External"/><Relationship Id="rId281" Type="http://schemas.openxmlformats.org/officeDocument/2006/relationships/hyperlink" Target="https://tracxn.com/companies/6X8zPpb5nv-oOveMUUeZ9YOXfy9QyYZj_HBtLVMAf5A/bayseddo.com" TargetMode="External"/><Relationship Id="rId141" Type="http://schemas.openxmlformats.org/officeDocument/2006/relationships/hyperlink" Target="https://tracxn.com/companies/H6JabMbj-HX0YCMvFZs_RGcEAjwpljQ04JUtdJVgQZ8/woolly.io" TargetMode="External"/><Relationship Id="rId379" Type="http://schemas.openxmlformats.org/officeDocument/2006/relationships/hyperlink" Target="http://www.4008268365.com/" TargetMode="External"/><Relationship Id="rId586" Type="http://schemas.openxmlformats.org/officeDocument/2006/relationships/hyperlink" Target="https://linkedin.com/company/agronow/about" TargetMode="External"/><Relationship Id="rId793" Type="http://schemas.openxmlformats.org/officeDocument/2006/relationships/hyperlink" Target="https://www.agribuddy.com/" TargetMode="External"/><Relationship Id="rId7" Type="http://schemas.openxmlformats.org/officeDocument/2006/relationships/hyperlink" Target="https://tracxn.com/companies/n25ZtxfPwWTRi3hsVISTMDxSKZQVuvOkRgdetS8uJNI/agrixagro.com" TargetMode="External"/><Relationship Id="rId239" Type="http://schemas.openxmlformats.org/officeDocument/2006/relationships/hyperlink" Target="https://facebook.com/agroprobrasil" TargetMode="External"/><Relationship Id="rId446" Type="http://schemas.openxmlformats.org/officeDocument/2006/relationships/hyperlink" Target="https://www.linkedin.com/company/eiwa-s.a" TargetMode="External"/><Relationship Id="rId653" Type="http://schemas.openxmlformats.org/officeDocument/2006/relationships/hyperlink" Target="http://taranis.ag/category/blog" TargetMode="External"/><Relationship Id="rId1076" Type="http://schemas.openxmlformats.org/officeDocument/2006/relationships/hyperlink" Target="https://tracxn.com/companies/PF1TeULEbBzxmmaZihY1l_FTnXS3Pihhh0cpmE2aEcI/crowde.co" TargetMode="External"/><Relationship Id="rId1283" Type="http://schemas.openxmlformats.org/officeDocument/2006/relationships/hyperlink" Target="http://ugaoo.com/knowledge-center" TargetMode="External"/><Relationship Id="rId1490" Type="http://schemas.openxmlformats.org/officeDocument/2006/relationships/hyperlink" Target="https://www.jayalaxmiagrotech.com/" TargetMode="External"/><Relationship Id="rId306" Type="http://schemas.openxmlformats.org/officeDocument/2006/relationships/hyperlink" Target="https://www.cowtribe.com/" TargetMode="External"/><Relationship Id="rId860" Type="http://schemas.openxmlformats.org/officeDocument/2006/relationships/hyperlink" Target="https://tracxn.com/companies/ZwcYH-cfHJpD_iejaGBAFfpsdqc3zniTB9BN8OO0BjQ/energaia.com" TargetMode="External"/><Relationship Id="rId958" Type="http://schemas.openxmlformats.org/officeDocument/2006/relationships/hyperlink" Target="http://www.linkedin.com/vsearch/p?f_CC=3842792" TargetMode="External"/><Relationship Id="rId1143" Type="http://schemas.openxmlformats.org/officeDocument/2006/relationships/hyperlink" Target="https://www.trotrotractor.com/" TargetMode="External"/><Relationship Id="rId1588" Type="http://schemas.openxmlformats.org/officeDocument/2006/relationships/hyperlink" Target="https://www.promip.agr.br/" TargetMode="External"/><Relationship Id="rId1795" Type="http://schemas.openxmlformats.org/officeDocument/2006/relationships/hyperlink" Target="https://tracxn.com/companies/Kkk2hwdExFPE9T5KntbzVP3xpiFg4QaJWx3hsz-a9z0/fruitday.com" TargetMode="External"/><Relationship Id="rId87" Type="http://schemas.openxmlformats.org/officeDocument/2006/relationships/hyperlink" Target="http://atlak.net/" TargetMode="External"/><Relationship Id="rId513" Type="http://schemas.openxmlformats.org/officeDocument/2006/relationships/hyperlink" Target="https://tracxn.com/companies/rc6E5AUce4ZZ5SUdImrWF14jWpy1-3K2F6P32YuMLt0/iprocu.re" TargetMode="External"/><Relationship Id="rId720" Type="http://schemas.openxmlformats.org/officeDocument/2006/relationships/hyperlink" Target="https://tracxn.com/companies/eXjSBoupJFRwtXUX7TBCdVKg3WkI2oTzP3n3UK8GF3Y/jetbov.com" TargetMode="External"/><Relationship Id="rId818" Type="http://schemas.openxmlformats.org/officeDocument/2006/relationships/hyperlink" Target="https://agrosmart.com.br/" TargetMode="External"/><Relationship Id="rId1350" Type="http://schemas.openxmlformats.org/officeDocument/2006/relationships/hyperlink" Target="http://blog.licious.in/" TargetMode="External"/><Relationship Id="rId1448" Type="http://schemas.openxmlformats.org/officeDocument/2006/relationships/hyperlink" Target="https://linkedin.com/company/%E7%BE%8E%E8%8F%9C%E7%BD%91/about" TargetMode="External"/><Relationship Id="rId1655" Type="http://schemas.openxmlformats.org/officeDocument/2006/relationships/hyperlink" Target="https://tracxn.com/companies/fz9-wmC01icGw8p9qzgQiSB62ldG3QNoOcGPNIw-dTI/efarm.in" TargetMode="External"/><Relationship Id="rId1003" Type="http://schemas.openxmlformats.org/officeDocument/2006/relationships/hyperlink" Target="http://mx.linkedin.com/company/farmzee" TargetMode="External"/><Relationship Id="rId1210" Type="http://schemas.openxmlformats.org/officeDocument/2006/relationships/hyperlink" Target="http://facebook.com/sb.smartbeen/" TargetMode="External"/><Relationship Id="rId1308" Type="http://schemas.openxmlformats.org/officeDocument/2006/relationships/hyperlink" Target="https://mimosatek.com/" TargetMode="External"/><Relationship Id="rId1862" Type="http://schemas.openxmlformats.org/officeDocument/2006/relationships/hyperlink" Target="http://www.linkedin.com/vsearch/p?f_CC=3090927" TargetMode="External"/><Relationship Id="rId1515" Type="http://schemas.openxmlformats.org/officeDocument/2006/relationships/hyperlink" Target="http://facebook.com/cultivandofuturo" TargetMode="External"/><Relationship Id="rId1722" Type="http://schemas.openxmlformats.org/officeDocument/2006/relationships/hyperlink" Target="https://linkedin.com/company/phenom-networks-inc." TargetMode="External"/><Relationship Id="rId14" Type="http://schemas.openxmlformats.org/officeDocument/2006/relationships/hyperlink" Target="https://tracxn.com/companies/iz1LEFsjxnZbTGobRMcsnIEM8Pt67kYr470OXoi68Uk/lifysignals.in" TargetMode="External"/><Relationship Id="rId163" Type="http://schemas.openxmlformats.org/officeDocument/2006/relationships/hyperlink" Target="https://linkedin.com/company/agro2o/about" TargetMode="External"/><Relationship Id="rId370" Type="http://schemas.openxmlformats.org/officeDocument/2006/relationships/hyperlink" Target="http://facebook.com/solinftec.brasil" TargetMode="External"/><Relationship Id="rId230" Type="http://schemas.openxmlformats.org/officeDocument/2006/relationships/hyperlink" Target="https://www.credible-india.com/" TargetMode="External"/><Relationship Id="rId468" Type="http://schemas.openxmlformats.org/officeDocument/2006/relationships/hyperlink" Target="https://www.sheyuan.com/" TargetMode="External"/><Relationship Id="rId675" Type="http://schemas.openxmlformats.org/officeDocument/2006/relationships/hyperlink" Target="https://tracxn.com/companies/ABbqJjog6MGNBufmaYOfkImw28K07WHTkQ8gHpzf1RQ/tanihub.com" TargetMode="External"/><Relationship Id="rId882" Type="http://schemas.openxmlformats.org/officeDocument/2006/relationships/hyperlink" Target="http://twitter.com/sunculturekenya" TargetMode="External"/><Relationship Id="rId1098" Type="http://schemas.openxmlformats.org/officeDocument/2006/relationships/hyperlink" Target="http://www.sanfeng.net/" TargetMode="External"/><Relationship Id="rId328" Type="http://schemas.openxmlformats.org/officeDocument/2006/relationships/hyperlink" Target="https://tracxn.com/companies/Po7J9lqhMhEkpF2DQtY6PUq2EjJWwuwW7HzyUlWQZMs/farmizen.com" TargetMode="External"/><Relationship Id="rId535" Type="http://schemas.openxmlformats.org/officeDocument/2006/relationships/hyperlink" Target="https://farmersprideafrica.com/" TargetMode="External"/><Relationship Id="rId742" Type="http://schemas.openxmlformats.org/officeDocument/2006/relationships/hyperlink" Target="https://www.fibsol.com/" TargetMode="External"/><Relationship Id="rId1165" Type="http://schemas.openxmlformats.org/officeDocument/2006/relationships/hyperlink" Target="http://www.jinxiushengxian.com/" TargetMode="External"/><Relationship Id="rId1372" Type="http://schemas.openxmlformats.org/officeDocument/2006/relationships/hyperlink" Target="http://facebook.com/revofarmltd" TargetMode="External"/><Relationship Id="rId602" Type="http://schemas.openxmlformats.org/officeDocument/2006/relationships/hyperlink" Target="http://linkedin.com/company/agreeta-solutions-private-limited" TargetMode="External"/><Relationship Id="rId1025" Type="http://schemas.openxmlformats.org/officeDocument/2006/relationships/hyperlink" Target="https://tracxn.com/companies/L7BrYzT7rf3zA_0ARWNqbF6Fwt4AYTqU72z0t1IpHzM/waycool.in" TargetMode="External"/><Relationship Id="rId1232" Type="http://schemas.openxmlformats.org/officeDocument/2006/relationships/hyperlink" Target="https://facebook.com/farmart.agritech" TargetMode="External"/><Relationship Id="rId1677" Type="http://schemas.openxmlformats.org/officeDocument/2006/relationships/hyperlink" Target="https://www.weather-risk.com/" TargetMode="External"/><Relationship Id="rId1884" Type="http://schemas.openxmlformats.org/officeDocument/2006/relationships/hyperlink" Target="https://facebook.com/stellapps" TargetMode="External"/><Relationship Id="rId907" Type="http://schemas.openxmlformats.org/officeDocument/2006/relationships/hyperlink" Target="https://www.facebook.com/proximitydesigns/" TargetMode="External"/><Relationship Id="rId1537" Type="http://schemas.openxmlformats.org/officeDocument/2006/relationships/hyperlink" Target="http://hellotractor.com/?page_id=1089" TargetMode="External"/><Relationship Id="rId1744" Type="http://schemas.openxmlformats.org/officeDocument/2006/relationships/hyperlink" Target="https://www.myagro.org/" TargetMode="External"/><Relationship Id="rId36" Type="http://schemas.openxmlformats.org/officeDocument/2006/relationships/hyperlink" Target="http://atomicagro.com.br/blog" TargetMode="External"/><Relationship Id="rId1604" Type="http://schemas.openxmlformats.org/officeDocument/2006/relationships/hyperlink" Target="https://tracxn.com/companies/TG4egV1bWCA54CKo0q00_jEnsNS2xidAFYe8KL_Lxyw/agrevolution.in" TargetMode="External"/><Relationship Id="rId185" Type="http://schemas.openxmlformats.org/officeDocument/2006/relationships/hyperlink" Target="http://facebook.com/wolkushq" TargetMode="External"/><Relationship Id="rId1811" Type="http://schemas.openxmlformats.org/officeDocument/2006/relationships/hyperlink" Target="http://linkedin.com/company/ecozen-solutions" TargetMode="External"/><Relationship Id="rId1909" Type="http://schemas.openxmlformats.org/officeDocument/2006/relationships/hyperlink" Target="https://tracxn.com/companies/jSpJiFZw7YAb10fHfU50TCxmXCPCF2yUsNzs4EAAmDE/seedworks.com" TargetMode="External"/><Relationship Id="rId392" Type="http://schemas.openxmlformats.org/officeDocument/2006/relationships/hyperlink" Target="http://www.5fengshou.com/" TargetMode="External"/><Relationship Id="rId697" Type="http://schemas.openxmlformats.org/officeDocument/2006/relationships/hyperlink" Target="http://twitter.com/infobrownapron" TargetMode="External"/><Relationship Id="rId252" Type="http://schemas.openxmlformats.org/officeDocument/2006/relationships/hyperlink" Target="https://jaguzafarm.com/" TargetMode="External"/><Relationship Id="rId1187" Type="http://schemas.openxmlformats.org/officeDocument/2006/relationships/hyperlink" Target="https://twitter.com/swine_smart" TargetMode="External"/><Relationship Id="rId112" Type="http://schemas.openxmlformats.org/officeDocument/2006/relationships/hyperlink" Target="https://tracxn.com/companies/D4-qxvWsX8rSP47kfv8giC8eOiZ2NthdcKSFYwI6wms/eggoz.in" TargetMode="External"/><Relationship Id="rId557" Type="http://schemas.openxmlformats.org/officeDocument/2006/relationships/hyperlink" Target="https://hargol.com/" TargetMode="External"/><Relationship Id="rId764" Type="http://schemas.openxmlformats.org/officeDocument/2006/relationships/hyperlink" Target="https://tracxn.com/companies/ZpYcPVpUeqNBmKSxWY2okUnVbx7r6cpshTBIyArwV-M/entobel.com" TargetMode="External"/><Relationship Id="rId971" Type="http://schemas.openxmlformats.org/officeDocument/2006/relationships/hyperlink" Target="http://www.linkedin.com/vsearch/p?f_CC=3158610" TargetMode="External"/><Relationship Id="rId1394" Type="http://schemas.openxmlformats.org/officeDocument/2006/relationships/hyperlink" Target="https://tracxn.com/companies/D7zICunVPceZWdzDRxGbTF50ZQifn4c0XpaRNhWwHxc/cropx.com" TargetMode="External"/><Relationship Id="rId1699" Type="http://schemas.openxmlformats.org/officeDocument/2006/relationships/hyperlink" Target="http://linkedin.com/company/tech4farmers" TargetMode="External"/><Relationship Id="rId417" Type="http://schemas.openxmlformats.org/officeDocument/2006/relationships/hyperlink" Target="https://tracxn.com/companies/ecUdkSqKsL6IZ3Ndims7j4fcHYZ_DbnXfVvwGFVGeaQ/aerobotics.com" TargetMode="External"/><Relationship Id="rId624" Type="http://schemas.openxmlformats.org/officeDocument/2006/relationships/hyperlink" Target="http://linkedin.com/company/12893933" TargetMode="External"/><Relationship Id="rId831" Type="http://schemas.openxmlformats.org/officeDocument/2006/relationships/hyperlink" Target="https://www.nilebot.com/" TargetMode="External"/><Relationship Id="rId1047" Type="http://schemas.openxmlformats.org/officeDocument/2006/relationships/hyperlink" Target="https://linkedin.com/company/apollo-agriculture/about" TargetMode="External"/><Relationship Id="rId1254" Type="http://schemas.openxmlformats.org/officeDocument/2006/relationships/hyperlink" Target="https://igrow.asia/" TargetMode="External"/><Relationship Id="rId1461" Type="http://schemas.openxmlformats.org/officeDocument/2006/relationships/hyperlink" Target="https://facebook.com/cropintech" TargetMode="External"/><Relationship Id="rId929" Type="http://schemas.openxmlformats.org/officeDocument/2006/relationships/hyperlink" Target="https://linkedin.com/company/fieldin-powered-by-agromentum-ltd-/about" TargetMode="External"/><Relationship Id="rId1114" Type="http://schemas.openxmlformats.org/officeDocument/2006/relationships/hyperlink" Target="https://tracxn.com/companies/I0QQKjctn-XfJFT5vlEc6CQ3aPXeTVhN15JEDgHoPjg/ghalani.com" TargetMode="External"/><Relationship Id="rId1321" Type="http://schemas.openxmlformats.org/officeDocument/2006/relationships/hyperlink" Target="https://tracxn.com/companies/3xZNN_7YMc8Ax-mUQmuXQzfr-n--m-MzHBKHFMTY6D0/forrestinnovations.com" TargetMode="External"/><Relationship Id="rId1559" Type="http://schemas.openxmlformats.org/officeDocument/2006/relationships/hyperlink" Target="http://www.linkedin.com/vsearch/p?f_CC=3624762" TargetMode="External"/><Relationship Id="rId1766" Type="http://schemas.openxmlformats.org/officeDocument/2006/relationships/hyperlink" Target="https://jumbotail.com/" TargetMode="External"/><Relationship Id="rId58" Type="http://schemas.openxmlformats.org/officeDocument/2006/relationships/hyperlink" Target="https://tracxn.com/companies/mMCihgosFJJtAvW3wtF4w94_ObxNflunAyWB2k0-u6s/upl-ltd.com" TargetMode="External"/><Relationship Id="rId1419" Type="http://schemas.openxmlformats.org/officeDocument/2006/relationships/hyperlink" Target="http://www.linkedin.com/vsearch/p?f_CC=9410547" TargetMode="External"/><Relationship Id="rId1626" Type="http://schemas.openxmlformats.org/officeDocument/2006/relationships/hyperlink" Target="http://www.linkedin.com/vsearch/p?f_CC=5213357" TargetMode="External"/><Relationship Id="rId1833" Type="http://schemas.openxmlformats.org/officeDocument/2006/relationships/hyperlink" Target="http://linkedin.com/company/camson-bio-technologies-pvt-ltd" TargetMode="External"/><Relationship Id="rId1900" Type="http://schemas.openxmlformats.org/officeDocument/2006/relationships/hyperlink" Target="https://linkedin.com/company/seedco-group" TargetMode="External"/><Relationship Id="rId274" Type="http://schemas.openxmlformats.org/officeDocument/2006/relationships/hyperlink" Target="https://facebook.com/infishta-1973256992896923" TargetMode="External"/><Relationship Id="rId481" Type="http://schemas.openxmlformats.org/officeDocument/2006/relationships/hyperlink" Target="https://www.linkedin.com/company/nestrom" TargetMode="External"/><Relationship Id="rId134" Type="http://schemas.openxmlformats.org/officeDocument/2006/relationships/hyperlink" Target="https://facebook.com/farmpaltechlogipvtltd" TargetMode="External"/><Relationship Id="rId579" Type="http://schemas.openxmlformats.org/officeDocument/2006/relationships/hyperlink" Target="http://www.linkedin.com/vsearch/p?f_CC=239650" TargetMode="External"/><Relationship Id="rId786" Type="http://schemas.openxmlformats.org/officeDocument/2006/relationships/hyperlink" Target="http://www.linkedin.com/vsearch/p?f_CC=9498451" TargetMode="External"/><Relationship Id="rId993" Type="http://schemas.openxmlformats.org/officeDocument/2006/relationships/hyperlink" Target="http://linkedin.com/company/allerguard-" TargetMode="External"/><Relationship Id="rId341" Type="http://schemas.openxmlformats.org/officeDocument/2006/relationships/hyperlink" Target="https://linkedin.com/company/n-drip-gravity-micro-irrigation/a" TargetMode="External"/><Relationship Id="rId439" Type="http://schemas.openxmlformats.org/officeDocument/2006/relationships/hyperlink" Target="https://tracxn.com/companies/6m_7bPi-dnBbryHcbwL0pv2UIiahIjtHhqgNbcHf2B8/eggxyt.com" TargetMode="External"/><Relationship Id="rId646" Type="http://schemas.openxmlformats.org/officeDocument/2006/relationships/hyperlink" Target="https://linkedin.com/company/dechetsalor/about" TargetMode="External"/><Relationship Id="rId1069" Type="http://schemas.openxmlformats.org/officeDocument/2006/relationships/hyperlink" Target="http://facebook.com/paalak.in" TargetMode="External"/><Relationship Id="rId1276" Type="http://schemas.openxmlformats.org/officeDocument/2006/relationships/hyperlink" Target="http://limakilo.id/" TargetMode="External"/><Relationship Id="rId1483" Type="http://schemas.openxmlformats.org/officeDocument/2006/relationships/hyperlink" Target="https://linkedin.com/company/ulink-bioenergy-pvt.-ltd./about" TargetMode="External"/><Relationship Id="rId201" Type="http://schemas.openxmlformats.org/officeDocument/2006/relationships/hyperlink" Target="http://tulaa.io/" TargetMode="External"/><Relationship Id="rId506" Type="http://schemas.openxmlformats.org/officeDocument/2006/relationships/hyperlink" Target="https://tracxn.com/companies/xK7HwqYRh2UsJ7alt3Ofoh_puJqiuHN_2rlTu1_oF_4/autonxt.in" TargetMode="External"/><Relationship Id="rId853" Type="http://schemas.openxmlformats.org/officeDocument/2006/relationships/hyperlink" Target="https://www.gramophone.in/" TargetMode="External"/><Relationship Id="rId1136" Type="http://schemas.openxmlformats.org/officeDocument/2006/relationships/hyperlink" Target="http://www.crofarm.com/" TargetMode="External"/><Relationship Id="rId1690" Type="http://schemas.openxmlformats.org/officeDocument/2006/relationships/hyperlink" Target="http://twitter.com/vegfru" TargetMode="External"/><Relationship Id="rId1788" Type="http://schemas.openxmlformats.org/officeDocument/2006/relationships/hyperlink" Target="http://www.linkedin.com/vsearch/p?f_CC=1698388" TargetMode="External"/><Relationship Id="rId713" Type="http://schemas.openxmlformats.org/officeDocument/2006/relationships/hyperlink" Target="http://linkedin.com/company/foidn-technology-group" TargetMode="External"/><Relationship Id="rId920" Type="http://schemas.openxmlformats.org/officeDocument/2006/relationships/hyperlink" Target="http://www.linkedin.com/vsearch/p?f_CC=20582" TargetMode="External"/><Relationship Id="rId1343" Type="http://schemas.openxmlformats.org/officeDocument/2006/relationships/hyperlink" Target="http://twitter.com/infobrownapron" TargetMode="External"/><Relationship Id="rId1550" Type="http://schemas.openxmlformats.org/officeDocument/2006/relationships/hyperlink" Target="http://www.linkedin.com/vsearch/p?f_CC=5057303" TargetMode="External"/><Relationship Id="rId1648" Type="http://schemas.openxmlformats.org/officeDocument/2006/relationships/hyperlink" Target="http://facebook.com/qtlomics" TargetMode="External"/><Relationship Id="rId1203" Type="http://schemas.openxmlformats.org/officeDocument/2006/relationships/hyperlink" Target="https://tracxn.com/companies/nZOSeMQ6ID-6k1Wg9o6LeSPhY44yekzjoGOSeqwlJmk/kisannetwork.com" TargetMode="External"/><Relationship Id="rId1410" Type="http://schemas.openxmlformats.org/officeDocument/2006/relationships/hyperlink" Target="http://linkedin.com/company/exact-systems-private-limited" TargetMode="External"/><Relationship Id="rId1508" Type="http://schemas.openxmlformats.org/officeDocument/2006/relationships/hyperlink" Target="http://twitter.com/farmappweb" TargetMode="External"/><Relationship Id="rId1855" Type="http://schemas.openxmlformats.org/officeDocument/2006/relationships/hyperlink" Target="https://tracxn.com/companies/P0FM7I_gHxO-ca7k4m-HmSD0DGzUAzlcE4tSPoyeb1U/8villages.com" TargetMode="External"/><Relationship Id="rId1715" Type="http://schemas.openxmlformats.org/officeDocument/2006/relationships/hyperlink" Target="http://www.linkedin.com/vsearch/p?f_CC=476356" TargetMode="External"/><Relationship Id="rId296" Type="http://schemas.openxmlformats.org/officeDocument/2006/relationships/hyperlink" Target="http://www.kebaiiot.com/" TargetMode="External"/><Relationship Id="rId156" Type="http://schemas.openxmlformats.org/officeDocument/2006/relationships/hyperlink" Target="https://www.zimmerglobal.com/" TargetMode="External"/><Relationship Id="rId363" Type="http://schemas.openxmlformats.org/officeDocument/2006/relationships/hyperlink" Target="https://tracxn.com/companies/6Su4N-b_mPwMrufWa6pQLDah37evkLwiwQ4Hooi6oDE/91haorou.com" TargetMode="External"/><Relationship Id="rId570" Type="http://schemas.openxmlformats.org/officeDocument/2006/relationships/hyperlink" Target="https://tracxn.com/companies/oBUwyHEdeQZA8kA-QwkbojopfGNcpoPAfaOk0uzj2xA/rootssat.com" TargetMode="External"/><Relationship Id="rId223" Type="http://schemas.openxmlformats.org/officeDocument/2006/relationships/hyperlink" Target="https://terramagna.com.br/" TargetMode="External"/><Relationship Id="rId430" Type="http://schemas.openxmlformats.org/officeDocument/2006/relationships/hyperlink" Target="https://tracxn.com/companies/3CxD-RHGN05G_YiczmlVb9NLzLjXsySYwHmA3UKR2sw/thriveagric.com" TargetMode="External"/><Relationship Id="rId668" Type="http://schemas.openxmlformats.org/officeDocument/2006/relationships/hyperlink" Target="https://facebook.com/tierrademonteagriculturalibre" TargetMode="External"/><Relationship Id="rId875" Type="http://schemas.openxmlformats.org/officeDocument/2006/relationships/hyperlink" Target="https://www.rizobacter.com/" TargetMode="External"/><Relationship Id="rId1060" Type="http://schemas.openxmlformats.org/officeDocument/2006/relationships/hyperlink" Target="https://tracxn.com/companies/dUbhAV1TZPY6wYJFDF7Qx-YlsMX601HZz7Gq3uzH56U/intellolabs.com" TargetMode="External"/><Relationship Id="rId1298" Type="http://schemas.openxmlformats.org/officeDocument/2006/relationships/hyperlink" Target="https://www.emubao.com/" TargetMode="External"/><Relationship Id="rId528" Type="http://schemas.openxmlformats.org/officeDocument/2006/relationships/hyperlink" Target="https://www.linkedin.com/company/&#24191;&#35199;&#24935;&#20113;&#20449;&#24687;&#25216;&#26415;&#26377;&#38480;&#20844;&#21496;" TargetMode="External"/><Relationship Id="rId735" Type="http://schemas.openxmlformats.org/officeDocument/2006/relationships/hyperlink" Target="http://news.agrofy.com.ar/tema-foro/blog-try" TargetMode="External"/><Relationship Id="rId942" Type="http://schemas.openxmlformats.org/officeDocument/2006/relationships/hyperlink" Target="http://linkedin.com/company/agriness" TargetMode="External"/><Relationship Id="rId1158" Type="http://schemas.openxmlformats.org/officeDocument/2006/relationships/hyperlink" Target="https://www.linkedin.com/company/o2waterator" TargetMode="External"/><Relationship Id="rId1365" Type="http://schemas.openxmlformats.org/officeDocument/2006/relationships/hyperlink" Target="https://twitter.com/globalyeast" TargetMode="External"/><Relationship Id="rId1572" Type="http://schemas.openxmlformats.org/officeDocument/2006/relationships/hyperlink" Target="http://www.linkedin.com/vsearch/p?f_CC=5121264" TargetMode="External"/><Relationship Id="rId1018" Type="http://schemas.openxmlformats.org/officeDocument/2006/relationships/hyperlink" Target="http://www.synqe.cn/" TargetMode="External"/><Relationship Id="rId1225" Type="http://schemas.openxmlformats.org/officeDocument/2006/relationships/hyperlink" Target="http://ukulimatech.co.ke/" TargetMode="External"/><Relationship Id="rId1432" Type="http://schemas.openxmlformats.org/officeDocument/2006/relationships/hyperlink" Target="https://twitter.com/aaravsystems" TargetMode="External"/><Relationship Id="rId1877" Type="http://schemas.openxmlformats.org/officeDocument/2006/relationships/hyperlink" Target="http://twitter.com/eruvakatech" TargetMode="External"/><Relationship Id="rId71" Type="http://schemas.openxmlformats.org/officeDocument/2006/relationships/hyperlink" Target="https://linkedin.com/company/absolutefoods" TargetMode="External"/><Relationship Id="rId802" Type="http://schemas.openxmlformats.org/officeDocument/2006/relationships/hyperlink" Target="https://ergos.in/" TargetMode="External"/><Relationship Id="rId1737" Type="http://schemas.openxmlformats.org/officeDocument/2006/relationships/hyperlink" Target="https://www.netafim.com/en/" TargetMode="External"/><Relationship Id="rId29" Type="http://schemas.openxmlformats.org/officeDocument/2006/relationships/hyperlink" Target="http://www.ailinkiot.com/" TargetMode="External"/><Relationship Id="rId178" Type="http://schemas.openxmlformats.org/officeDocument/2006/relationships/hyperlink" Target="https://tracxn.com/companies/0N0840SOoVmCazPHBTmweY-i5sHKdbFMUlkStoV89AE/nocofio.com" TargetMode="External"/><Relationship Id="rId1804" Type="http://schemas.openxmlformats.org/officeDocument/2006/relationships/hyperlink" Target="http://linkedin.com/company/enalta" TargetMode="External"/><Relationship Id="rId385" Type="http://schemas.openxmlformats.org/officeDocument/2006/relationships/hyperlink" Target="http://greenfingersmobile.com/blog" TargetMode="External"/><Relationship Id="rId592" Type="http://schemas.openxmlformats.org/officeDocument/2006/relationships/hyperlink" Target="http://facebook.com/zulufilmfestival/" TargetMode="External"/><Relationship Id="rId245" Type="http://schemas.openxmlformats.org/officeDocument/2006/relationships/hyperlink" Target="http://facebook.com/tradebuza" TargetMode="External"/><Relationship Id="rId452" Type="http://schemas.openxmlformats.org/officeDocument/2006/relationships/hyperlink" Target="https://www.satsure.co/" TargetMode="External"/><Relationship Id="rId897" Type="http://schemas.openxmlformats.org/officeDocument/2006/relationships/hyperlink" Target="http://www.linkedin.com/vsearch/p?f_CC=2544428" TargetMode="External"/><Relationship Id="rId1082" Type="http://schemas.openxmlformats.org/officeDocument/2006/relationships/hyperlink" Target="http://www.zzb518.com/" TargetMode="External"/><Relationship Id="rId105" Type="http://schemas.openxmlformats.org/officeDocument/2006/relationships/hyperlink" Target="https://facebook.com/otipy-107094460873162" TargetMode="External"/><Relationship Id="rId312" Type="http://schemas.openxmlformats.org/officeDocument/2006/relationships/hyperlink" Target="https://www.ricult.com/" TargetMode="External"/><Relationship Id="rId757" Type="http://schemas.openxmlformats.org/officeDocument/2006/relationships/hyperlink" Target="https://www.auravant.com/" TargetMode="External"/><Relationship Id="rId964" Type="http://schemas.openxmlformats.org/officeDocument/2006/relationships/hyperlink" Target="http://www.linkedin.com/vsearch/p?f_CC=2346675" TargetMode="External"/><Relationship Id="rId1387" Type="http://schemas.openxmlformats.org/officeDocument/2006/relationships/hyperlink" Target="http://truce.in/" TargetMode="External"/><Relationship Id="rId1594" Type="http://schemas.openxmlformats.org/officeDocument/2006/relationships/hyperlink" Target="http://www.linkedin.com/vsearch/p?f_CC=3823004" TargetMode="External"/><Relationship Id="rId93" Type="http://schemas.openxmlformats.org/officeDocument/2006/relationships/hyperlink" Target="https://tracxn.com/companies/5_dihid38PA0nDJG4-nlSPOKhwsUURoNLKmc7E_lEnk/freshsourceglobal.com" TargetMode="External"/><Relationship Id="rId617" Type="http://schemas.openxmlformats.org/officeDocument/2006/relationships/hyperlink" Target="https://farmerline.co/" TargetMode="External"/><Relationship Id="rId824" Type="http://schemas.openxmlformats.org/officeDocument/2006/relationships/hyperlink" Target="https://www.ymt.com/" TargetMode="External"/><Relationship Id="rId1247" Type="http://schemas.openxmlformats.org/officeDocument/2006/relationships/hyperlink" Target="https://tracxn.com/companies/o5HEkGsxU0iVNbI-W6QdGfQnh9yDNx-dIkuTdWcEtY0/caigouxiongdi.com" TargetMode="External"/><Relationship Id="rId1454" Type="http://schemas.openxmlformats.org/officeDocument/2006/relationships/hyperlink" Target="https://www.linkedin.com/company/3265031" TargetMode="External"/><Relationship Id="rId1661" Type="http://schemas.openxmlformats.org/officeDocument/2006/relationships/hyperlink" Target="https://tracxn.com/companies/Lm_h5AAcN_RQHpFv9tf_X2eTLzoeXebBlnMKtWVH1c0/lessindustries.com" TargetMode="External"/><Relationship Id="rId1899" Type="http://schemas.openxmlformats.org/officeDocument/2006/relationships/hyperlink" Target="http://www.seedcogroup.com/" TargetMode="External"/><Relationship Id="rId1107" Type="http://schemas.openxmlformats.org/officeDocument/2006/relationships/hyperlink" Target="https://www.linkedin.com/company/cowlar" TargetMode="External"/><Relationship Id="rId1314" Type="http://schemas.openxmlformats.org/officeDocument/2006/relationships/hyperlink" Target="http://facebook.com/gfreshinternational" TargetMode="External"/><Relationship Id="rId1521" Type="http://schemas.openxmlformats.org/officeDocument/2006/relationships/hyperlink" Target="http://www.linkedin.com/vsearch/p?f_CC=4802625" TargetMode="External"/><Relationship Id="rId1759" Type="http://schemas.openxmlformats.org/officeDocument/2006/relationships/hyperlink" Target="https://tracxn.com/companies/cBnl0uSqxhM1Xrs3et-zD8FG5mY2Cj4g9KIeKJZ_ryI/krishidhanseeds.com" TargetMode="External"/><Relationship Id="rId1619" Type="http://schemas.openxmlformats.org/officeDocument/2006/relationships/hyperlink" Target="http://www.efuels.co.in/" TargetMode="External"/><Relationship Id="rId1826" Type="http://schemas.openxmlformats.org/officeDocument/2006/relationships/hyperlink" Target="http://www.chipinside.com.br/" TargetMode="External"/><Relationship Id="rId20" Type="http://schemas.openxmlformats.org/officeDocument/2006/relationships/hyperlink" Target="http://habr.com/en/company/alconost" TargetMode="External"/><Relationship Id="rId267" Type="http://schemas.openxmlformats.org/officeDocument/2006/relationships/hyperlink" Target="https://linkedin.com/company/gira---gest%C3%A3o-integrada-de-receb%C3%ADveis-do-agroneg%C3%B3cio" TargetMode="External"/><Relationship Id="rId474" Type="http://schemas.openxmlformats.org/officeDocument/2006/relationships/hyperlink" Target="https://tracxn.com/companies/oqUSrPr7a9bok0-ZymP62vN6kJhWhf_Aec7VzW_qwFs/unnati.world" TargetMode="External"/><Relationship Id="rId127" Type="http://schemas.openxmlformats.org/officeDocument/2006/relationships/hyperlink" Target="https://linkedin.com/company/freshvnf/about" TargetMode="External"/><Relationship Id="rId681" Type="http://schemas.openxmlformats.org/officeDocument/2006/relationships/hyperlink" Target="http://twitter.com/mercarancho" TargetMode="External"/><Relationship Id="rId779" Type="http://schemas.openxmlformats.org/officeDocument/2006/relationships/hyperlink" Target="https://tracxn.com/companies/uA3_sjRfnsGZFMZw8lDPgO_rsgRNi29QNeLHNAF_tl0/meicai.cn" TargetMode="External"/><Relationship Id="rId986" Type="http://schemas.openxmlformats.org/officeDocument/2006/relationships/hyperlink" Target="http://facebook.com/1653593188194276" TargetMode="External"/><Relationship Id="rId334" Type="http://schemas.openxmlformats.org/officeDocument/2006/relationships/hyperlink" Target="https://tracxn.com/companies/SCSdPh2zeI0EWHcfBQr9hdCGPjz3PkOg5zcs3Yl0aoE/cultyvate.com" TargetMode="External"/><Relationship Id="rId541" Type="http://schemas.openxmlformats.org/officeDocument/2006/relationships/hyperlink" Target="https://www.cowlar.com/" TargetMode="External"/><Relationship Id="rId639" Type="http://schemas.openxmlformats.org/officeDocument/2006/relationships/hyperlink" Target="https://tracxn.com/companies/k-xiJGK6xfob4w4f2te3gxGMKye7HTcPf01XprYV6aA/equi-nom.com" TargetMode="External"/><Relationship Id="rId1171" Type="http://schemas.openxmlformats.org/officeDocument/2006/relationships/hyperlink" Target="http://wobblebase.in/blog" TargetMode="External"/><Relationship Id="rId1269" Type="http://schemas.openxmlformats.org/officeDocument/2006/relationships/hyperlink" Target="https://tracxn.com/companies/UcC60TL4rl9OfpAFPYFK2-uRwzq_hgMldxWykz2oERQ/heatstressanalyzer.weebly.com" TargetMode="External"/><Relationship Id="rId1476" Type="http://schemas.openxmlformats.org/officeDocument/2006/relationships/hyperlink" Target="http://linkedin.com/company/7081540" TargetMode="External"/><Relationship Id="rId401" Type="http://schemas.openxmlformats.org/officeDocument/2006/relationships/hyperlink" Target="https://www.luxelare.com/" TargetMode="External"/><Relationship Id="rId846" Type="http://schemas.openxmlformats.org/officeDocument/2006/relationships/hyperlink" Target="https://www.eden-shield.com/cgi-sys/suspendedpage.cgi" TargetMode="External"/><Relationship Id="rId1031" Type="http://schemas.openxmlformats.org/officeDocument/2006/relationships/hyperlink" Target="http://facebook.com/swasti-agro-bioproducts-pvt-ltd-194326977327632" TargetMode="External"/><Relationship Id="rId1129" Type="http://schemas.openxmlformats.org/officeDocument/2006/relationships/hyperlink" Target="https://tracxn.com/companies/jNrl9lg4KQIumwJVWtSOMg1o0U_OlFYXeabLSaDwlCc/aquaapp.in" TargetMode="External"/><Relationship Id="rId1683" Type="http://schemas.openxmlformats.org/officeDocument/2006/relationships/hyperlink" Target="https://www.virtualcity.co.ke/" TargetMode="External"/><Relationship Id="rId1890" Type="http://schemas.openxmlformats.org/officeDocument/2006/relationships/hyperlink" Target="http://twitter.com/frontalrain" TargetMode="External"/><Relationship Id="rId706" Type="http://schemas.openxmlformats.org/officeDocument/2006/relationships/hyperlink" Target="http://www.linkedin.com/vsearch/p?f_CC=10034415" TargetMode="External"/><Relationship Id="rId913" Type="http://schemas.openxmlformats.org/officeDocument/2006/relationships/hyperlink" Target="https://tracxn.com/companies/1y2f0dhN_GOrFU5u_j9uO_I3YAxc0bw35OPZfpEUml0/phytech.com" TargetMode="External"/><Relationship Id="rId1336" Type="http://schemas.openxmlformats.org/officeDocument/2006/relationships/hyperlink" Target="http://www.linkedin.com/vsearch/p?f_CC=10141015" TargetMode="External"/><Relationship Id="rId1543" Type="http://schemas.openxmlformats.org/officeDocument/2006/relationships/hyperlink" Target="https://tracxn.com/companies/o1xAEZBBfJnSUSkIKEavtcw-X8X2WUwIyEQT1XP0in8/agrostar.in" TargetMode="External"/><Relationship Id="rId1750" Type="http://schemas.openxmlformats.org/officeDocument/2006/relationships/hyperlink" Target="http://www.linkedin.com/vsearch/p?f_CC=2116123" TargetMode="External"/><Relationship Id="rId42" Type="http://schemas.openxmlformats.org/officeDocument/2006/relationships/hyperlink" Target="https://tracxn.com/companies/niXBc1ve_neNvsZnDd3huSZHlbbGdfHvr6XbBINvu-s/marutdrones.com" TargetMode="External"/><Relationship Id="rId1403" Type="http://schemas.openxmlformats.org/officeDocument/2006/relationships/hyperlink" Target="http://linkedin.com/company/em3-agriservices-pvt.-ltd." TargetMode="External"/><Relationship Id="rId1610" Type="http://schemas.openxmlformats.org/officeDocument/2006/relationships/hyperlink" Target="https://www.linkedin.com/company/zentron-labs-pvt-ltd" TargetMode="External"/><Relationship Id="rId1848" Type="http://schemas.openxmlformats.org/officeDocument/2006/relationships/hyperlink" Target="https://tracxn.com/companies/rem1W5o0MR7SU_xDkDpagaFaklo3OTCutyZQsIxOHi8/advantaindia.com" TargetMode="External"/><Relationship Id="rId191" Type="http://schemas.openxmlformats.org/officeDocument/2006/relationships/hyperlink" Target="http://twitter.com/annona_co" TargetMode="External"/><Relationship Id="rId1708" Type="http://schemas.openxmlformats.org/officeDocument/2006/relationships/hyperlink" Target="https://tracxn.com/companies/wTFTdytcdncgM8P16HetBeDSmfR5FfksgZXa-A_Of4w/subflex.org" TargetMode="External"/><Relationship Id="rId289" Type="http://schemas.openxmlformats.org/officeDocument/2006/relationships/hyperlink" Target="https://www.waycool.in/" TargetMode="External"/><Relationship Id="rId496" Type="http://schemas.openxmlformats.org/officeDocument/2006/relationships/hyperlink" Target="https://tracxn.com/companies/xm6agTPHJTsy5TLoJUl2hGYlQ_MHN966ONWvP5vg6hU/tritonfoodworks.com" TargetMode="External"/><Relationship Id="rId149" Type="http://schemas.openxmlformats.org/officeDocument/2006/relationships/hyperlink" Target="https://tracxn.com/companies/UXGAVxZHcAY7DtAcrFRTA7TkEBzrHcL7i88hgMTr8TY/seetree.ai" TargetMode="External"/><Relationship Id="rId356" Type="http://schemas.openxmlformats.org/officeDocument/2006/relationships/hyperlink" Target="https://tracxn.com/companies/n9gUhKg8Sr2V4eLw5Y-pOd1uX9PZEdlEa671Z9zniZ4/bharatagri.com" TargetMode="External"/><Relationship Id="rId563" Type="http://schemas.openxmlformats.org/officeDocument/2006/relationships/hyperlink" Target="https://www.tevel-tech.com/" TargetMode="External"/><Relationship Id="rId770" Type="http://schemas.openxmlformats.org/officeDocument/2006/relationships/hyperlink" Target="https://tracxn.com/companies/UJVGXHiD8aC9J0lNTBs0rPxtD6v1xyxwIdTCrMN3jHI/prospera.ag" TargetMode="External"/><Relationship Id="rId1193" Type="http://schemas.openxmlformats.org/officeDocument/2006/relationships/hyperlink" Target="https://tracxn.com/companies/Z-hjss2bVSLogxs2mqRk4XKQfEz6WaKqirADUBXs3fQ/buylfun.com" TargetMode="External"/><Relationship Id="rId216" Type="http://schemas.openxmlformats.org/officeDocument/2006/relationships/hyperlink" Target="http://www.ynxbst.com/" TargetMode="External"/><Relationship Id="rId423" Type="http://schemas.openxmlformats.org/officeDocument/2006/relationships/hyperlink" Target="https://linkedin.com/company/krishihub/about" TargetMode="External"/><Relationship Id="rId868" Type="http://schemas.openxmlformats.org/officeDocument/2006/relationships/hyperlink" Target="http://www.originseed.com.cn/" TargetMode="External"/><Relationship Id="rId1053" Type="http://schemas.openxmlformats.org/officeDocument/2006/relationships/hyperlink" Target="https://tracxn.com/companies/E0NVTqmuY33JQJV7gdxhKv-qAT4ZJB9D21Ehym1VSKw/pureharvest.ae" TargetMode="External"/><Relationship Id="rId1260" Type="http://schemas.openxmlformats.org/officeDocument/2006/relationships/hyperlink" Target="http://www.zdongpin.com/" TargetMode="External"/><Relationship Id="rId1498" Type="http://schemas.openxmlformats.org/officeDocument/2006/relationships/hyperlink" Target="http://facebook.com/ergos.in" TargetMode="External"/><Relationship Id="rId630" Type="http://schemas.openxmlformats.org/officeDocument/2006/relationships/hyperlink" Target="http://twitter.com/kisannetwork" TargetMode="External"/><Relationship Id="rId728" Type="http://schemas.openxmlformats.org/officeDocument/2006/relationships/hyperlink" Target="https://twitter.com/coldhubs" TargetMode="External"/><Relationship Id="rId935" Type="http://schemas.openxmlformats.org/officeDocument/2006/relationships/hyperlink" Target="https://www.ecozensolutions.com/" TargetMode="External"/><Relationship Id="rId1358" Type="http://schemas.openxmlformats.org/officeDocument/2006/relationships/hyperlink" Target="http://mosavali.org/" TargetMode="External"/><Relationship Id="rId1565" Type="http://schemas.openxmlformats.org/officeDocument/2006/relationships/hyperlink" Target="http://www.phagelux.com/" TargetMode="External"/><Relationship Id="rId1772" Type="http://schemas.openxmlformats.org/officeDocument/2006/relationships/hyperlink" Target="http://facebook.com/jainirrigationsystems" TargetMode="External"/><Relationship Id="rId64" Type="http://schemas.openxmlformats.org/officeDocument/2006/relationships/hyperlink" Target="https://tracxn.com/companies/TPwOJ82BMomX4rvbVUXm8bgYjPCYE6DYbLdeCQionPs/pinkfarms.com.br" TargetMode="External"/><Relationship Id="rId1120" Type="http://schemas.openxmlformats.org/officeDocument/2006/relationships/hyperlink" Target="https://tracxn.com/companies/ljD2_vlr72Jw-cIR2TJ64exDKeQTby1iCaqVizKa8dw/aibono.com" TargetMode="External"/><Relationship Id="rId1218" Type="http://schemas.openxmlformats.org/officeDocument/2006/relationships/hyperlink" Target="https://www.haishangxian.cn/" TargetMode="External"/><Relationship Id="rId1425" Type="http://schemas.openxmlformats.org/officeDocument/2006/relationships/hyperlink" Target="http://www.linkedin.com/vsearch/p?f_CC=9233459" TargetMode="External"/><Relationship Id="rId1632" Type="http://schemas.openxmlformats.org/officeDocument/2006/relationships/hyperlink" Target="https://shellcatch.com/welcome/" TargetMode="External"/><Relationship Id="rId280" Type="http://schemas.openxmlformats.org/officeDocument/2006/relationships/hyperlink" Target="https://facebook.com/bayseddo" TargetMode="External"/><Relationship Id="rId140" Type="http://schemas.openxmlformats.org/officeDocument/2006/relationships/hyperlink" Target="http://woolly.io/category/blog-classic" TargetMode="External"/><Relationship Id="rId378" Type="http://schemas.openxmlformats.org/officeDocument/2006/relationships/hyperlink" Target="https://tracxn.com/companies/SwWQjIQvpBgcgJBP6yWS7d4MqBUxDG8peiJacmbTHuA/agreemarket.com" TargetMode="External"/><Relationship Id="rId585" Type="http://schemas.openxmlformats.org/officeDocument/2006/relationships/hyperlink" Target="https://www.agronow.com.br/" TargetMode="External"/><Relationship Id="rId792" Type="http://schemas.openxmlformats.org/officeDocument/2006/relationships/hyperlink" Target="https://tracxn.com/companies/ngGwTiyLXqDE6QObaFfmQCLbVRjBT-Bp1GNe8f5J1cE/ninjacart.in" TargetMode="External"/><Relationship Id="rId6" Type="http://schemas.openxmlformats.org/officeDocument/2006/relationships/hyperlink" Target="https://facebook.com/agrixindia" TargetMode="External"/><Relationship Id="rId238" Type="http://schemas.openxmlformats.org/officeDocument/2006/relationships/hyperlink" Target="https://linkedin.com/company/agropro-brasil" TargetMode="External"/><Relationship Id="rId445" Type="http://schemas.openxmlformats.org/officeDocument/2006/relationships/hyperlink" Target="https://www.eiwa.ag/" TargetMode="External"/><Relationship Id="rId652" Type="http://schemas.openxmlformats.org/officeDocument/2006/relationships/hyperlink" Target="https://facebook.com/taranisvisual" TargetMode="External"/><Relationship Id="rId1075" Type="http://schemas.openxmlformats.org/officeDocument/2006/relationships/hyperlink" Target="https://twitter.com/temancrowde" TargetMode="External"/><Relationship Id="rId1282" Type="http://schemas.openxmlformats.org/officeDocument/2006/relationships/hyperlink" Target="https://facebook.com/ugaooindia" TargetMode="External"/><Relationship Id="rId305" Type="http://schemas.openxmlformats.org/officeDocument/2006/relationships/hyperlink" Target="https://tracxn.com/companies/gUtJUzNkGgVD98gWY5r3gwKNH9mBGazPuYO-CLWbuZs/theearthfood.com" TargetMode="External"/><Relationship Id="rId512" Type="http://schemas.openxmlformats.org/officeDocument/2006/relationships/hyperlink" Target="https://www.linkedin.com/company/4992253?trk=prof-exp-company-name" TargetMode="External"/><Relationship Id="rId957" Type="http://schemas.openxmlformats.org/officeDocument/2006/relationships/hyperlink" Target="https://tracxn.com/companies/_I-wLf1p8oMLMy7SO1r2bKi29Vs3G5N0p77ZCB6pV3E/eruvaka.com" TargetMode="External"/><Relationship Id="rId1142" Type="http://schemas.openxmlformats.org/officeDocument/2006/relationships/hyperlink" Target="https://tracxn.com/companies/bcWdon3RePrtdJos1ix0odOGADR5xMP1cAiPsXR5Y9Q/zhaonongzi.com" TargetMode="External"/><Relationship Id="rId1587" Type="http://schemas.openxmlformats.org/officeDocument/2006/relationships/hyperlink" Target="http://www.linkedin.com/vsearch/p?f_CC=5190235" TargetMode="External"/><Relationship Id="rId1794" Type="http://schemas.openxmlformats.org/officeDocument/2006/relationships/hyperlink" Target="https://www.fruitday.com/" TargetMode="External"/><Relationship Id="rId86" Type="http://schemas.openxmlformats.org/officeDocument/2006/relationships/hyperlink" Target="https://tracxn.com/companies/WTakOo4b3LThdX0oKbCxoQRbHlfRTQ0LMbfLhWS_Pfg/simbioticalabs.com" TargetMode="External"/><Relationship Id="rId817" Type="http://schemas.openxmlformats.org/officeDocument/2006/relationships/hyperlink" Target="http://www.linkedin.com/vsearch/p?f_CC=4802625" TargetMode="External"/><Relationship Id="rId1002" Type="http://schemas.openxmlformats.org/officeDocument/2006/relationships/hyperlink" Target="https://www.farmster.co/" TargetMode="External"/><Relationship Id="rId1447" Type="http://schemas.openxmlformats.org/officeDocument/2006/relationships/hyperlink" Target="https://www.meicai.cn/" TargetMode="External"/><Relationship Id="rId1654" Type="http://schemas.openxmlformats.org/officeDocument/2006/relationships/hyperlink" Target="http://facebook.com/myefarm" TargetMode="External"/><Relationship Id="rId1861" Type="http://schemas.openxmlformats.org/officeDocument/2006/relationships/hyperlink" Target="https://tracxn.com/companies/tNXUuogfJ4NeXA0RI_EftFq5EUQXuUaNbm5qQ0gBsAo/greencart.in" TargetMode="External"/><Relationship Id="rId1307" Type="http://schemas.openxmlformats.org/officeDocument/2006/relationships/hyperlink" Target="https://tracxn.com/companies/ODYMWYSZAcJeSxYTOjal-9wU5ZvTAfmFNi9GwnuQDlY/easyflower.com" TargetMode="External"/><Relationship Id="rId1514" Type="http://schemas.openxmlformats.org/officeDocument/2006/relationships/hyperlink" Target="http://twitter.com/cultivandof" TargetMode="External"/><Relationship Id="rId1721" Type="http://schemas.openxmlformats.org/officeDocument/2006/relationships/hyperlink" Target="https://phenome-networks.com/" TargetMode="External"/><Relationship Id="rId13" Type="http://schemas.openxmlformats.org/officeDocument/2006/relationships/hyperlink" Target="https://www.lifysignals.in/" TargetMode="External"/><Relationship Id="rId1819" Type="http://schemas.openxmlformats.org/officeDocument/2006/relationships/hyperlink" Target="http://facebook.com/pg/driptech" TargetMode="External"/><Relationship Id="rId162" Type="http://schemas.openxmlformats.org/officeDocument/2006/relationships/hyperlink" Target="https://www.agro2o.com/" TargetMode="External"/><Relationship Id="rId467" Type="http://schemas.openxmlformats.org/officeDocument/2006/relationships/hyperlink" Target="https://tracxn.com/companies/E0NVTqmuY33JQJV7gdxhKv-qAT4ZJB9D21Ehym1VSKw/pureharvest.ae" TargetMode="External"/><Relationship Id="rId1097" Type="http://schemas.openxmlformats.org/officeDocument/2006/relationships/hyperlink" Target="https://tracxn.com/companies/7OXVBl_wtGFaAd19lT_xm5o5Sbt4ZnC032FyYT-H1w4/agrimanu.com" TargetMode="External"/><Relationship Id="rId674" Type="http://schemas.openxmlformats.org/officeDocument/2006/relationships/hyperlink" Target="http://facebook.com/tanihub" TargetMode="External"/><Relationship Id="rId881" Type="http://schemas.openxmlformats.org/officeDocument/2006/relationships/hyperlink" Target="http://linkedin.com/company/9236518" TargetMode="External"/><Relationship Id="rId979" Type="http://schemas.openxmlformats.org/officeDocument/2006/relationships/hyperlink" Target="https://twitter.com/uplltd" TargetMode="External"/><Relationship Id="rId327" Type="http://schemas.openxmlformats.org/officeDocument/2006/relationships/hyperlink" Target="http://farmizen.com/blog" TargetMode="External"/><Relationship Id="rId534" Type="http://schemas.openxmlformats.org/officeDocument/2006/relationships/hyperlink" Target="https://tracxn.com/companies/Tf0s-LmsI9neD32vVhU9g5Z9bSpSWFCPahL7MyuNv9k/agritask.com" TargetMode="External"/><Relationship Id="rId741" Type="http://schemas.openxmlformats.org/officeDocument/2006/relationships/hyperlink" Target="https://tracxn.com/companies/D7zICunVPceZWdzDRxGbTF50ZQifn4c0XpaRNhWwHxc/cropx.com" TargetMode="External"/><Relationship Id="rId839" Type="http://schemas.openxmlformats.org/officeDocument/2006/relationships/hyperlink" Target="http://facebook.com/efishery" TargetMode="External"/><Relationship Id="rId1164" Type="http://schemas.openxmlformats.org/officeDocument/2006/relationships/hyperlink" Target="https://tracxn.com/companies/MxsTb1wrdimWSXqekEuJvjJME01TwiQCssKxR9i4dHU/rmlagtech.com" TargetMode="External"/><Relationship Id="rId1371" Type="http://schemas.openxmlformats.org/officeDocument/2006/relationships/hyperlink" Target="http://twitter.com/revofarmltd" TargetMode="External"/><Relationship Id="rId1469" Type="http://schemas.openxmlformats.org/officeDocument/2006/relationships/hyperlink" Target="http://ninjacart.in/blog" TargetMode="External"/><Relationship Id="rId601" Type="http://schemas.openxmlformats.org/officeDocument/2006/relationships/hyperlink" Target="https://agreeta.com/" TargetMode="External"/><Relationship Id="rId1024" Type="http://schemas.openxmlformats.org/officeDocument/2006/relationships/hyperlink" Target="https://facebook.com/waycoolfoods" TargetMode="External"/><Relationship Id="rId1231" Type="http://schemas.openxmlformats.org/officeDocument/2006/relationships/hyperlink" Target="https://twitter.com/farmart_" TargetMode="External"/><Relationship Id="rId1676" Type="http://schemas.openxmlformats.org/officeDocument/2006/relationships/hyperlink" Target="http://www.linkedin.com/vsearch/p?f_CC=2101713" TargetMode="External"/><Relationship Id="rId1883" Type="http://schemas.openxmlformats.org/officeDocument/2006/relationships/hyperlink" Target="https://twitter.com/stellapps" TargetMode="External"/><Relationship Id="rId906" Type="http://schemas.openxmlformats.org/officeDocument/2006/relationships/hyperlink" Target="http://twitter.com/proximitydesign" TargetMode="External"/><Relationship Id="rId1329" Type="http://schemas.openxmlformats.org/officeDocument/2006/relationships/hyperlink" Target="http://www.linkedin.com/vsearch/p?f_CC=1291167" TargetMode="External"/><Relationship Id="rId1536" Type="http://schemas.openxmlformats.org/officeDocument/2006/relationships/hyperlink" Target="http://facebook.com/hellotractor" TargetMode="External"/><Relationship Id="rId1743" Type="http://schemas.openxmlformats.org/officeDocument/2006/relationships/hyperlink" Target="http://www.linkedin.com/vsearch/p?f_CC=3198408" TargetMode="External"/><Relationship Id="rId35" Type="http://schemas.openxmlformats.org/officeDocument/2006/relationships/hyperlink" Target="https://facebook.com/atomicagro" TargetMode="External"/><Relationship Id="rId1603" Type="http://schemas.openxmlformats.org/officeDocument/2006/relationships/hyperlink" Target="http://twitter.com/agrevolutiongr" TargetMode="External"/><Relationship Id="rId1810" Type="http://schemas.openxmlformats.org/officeDocument/2006/relationships/hyperlink" Target="https://www.ecozensolutions.com/" TargetMode="External"/><Relationship Id="rId184" Type="http://schemas.openxmlformats.org/officeDocument/2006/relationships/hyperlink" Target="http://twitter.com/wolkushq" TargetMode="External"/><Relationship Id="rId391" Type="http://schemas.openxmlformats.org/officeDocument/2006/relationships/hyperlink" Target="https://tracxn.com/companies/bDiOR_j3DAqiWTJykR44gI1_oB91a9OKtN0kxz1KGc8/physiz.com" TargetMode="External"/><Relationship Id="rId1908" Type="http://schemas.openxmlformats.org/officeDocument/2006/relationships/hyperlink" Target="https://allerguardsystems.com/" TargetMode="External"/><Relationship Id="rId251" Type="http://schemas.openxmlformats.org/officeDocument/2006/relationships/hyperlink" Target="https://tracxn.com/companies/cYRk_oF8Yyfj1LntaNoT05xS-X-1SoHIb2yZrbNDBKg/agrotrac.cl" TargetMode="External"/><Relationship Id="rId489" Type="http://schemas.openxmlformats.org/officeDocument/2006/relationships/hyperlink" Target="http://linkedin.com/company/13262565" TargetMode="External"/><Relationship Id="rId696" Type="http://schemas.openxmlformats.org/officeDocument/2006/relationships/hyperlink" Target="https://www.brownapron.com/" TargetMode="External"/><Relationship Id="rId349" Type="http://schemas.openxmlformats.org/officeDocument/2006/relationships/hyperlink" Target="https://twitter.com/khethinext" TargetMode="External"/><Relationship Id="rId556" Type="http://schemas.openxmlformats.org/officeDocument/2006/relationships/hyperlink" Target="http://www.linkedin.com/vsearch/p?f_CC=10010653" TargetMode="External"/><Relationship Id="rId763" Type="http://schemas.openxmlformats.org/officeDocument/2006/relationships/hyperlink" Target="http://linkedin.com/company/entobel" TargetMode="External"/><Relationship Id="rId1186" Type="http://schemas.openxmlformats.org/officeDocument/2006/relationships/hyperlink" Target="http://www.swinesmart.com/" TargetMode="External"/><Relationship Id="rId1393" Type="http://schemas.openxmlformats.org/officeDocument/2006/relationships/hyperlink" Target="http://facebook.com/cropxapp/" TargetMode="External"/><Relationship Id="rId111" Type="http://schemas.openxmlformats.org/officeDocument/2006/relationships/hyperlink" Target="http://linkedin.com/company/eggoz" TargetMode="External"/><Relationship Id="rId209" Type="http://schemas.openxmlformats.org/officeDocument/2006/relationships/hyperlink" Target="https://twitter.com/digifarmz" TargetMode="External"/><Relationship Id="rId416" Type="http://schemas.openxmlformats.org/officeDocument/2006/relationships/hyperlink" Target="http://blog.aerobotics.co/" TargetMode="External"/><Relationship Id="rId970" Type="http://schemas.openxmlformats.org/officeDocument/2006/relationships/hyperlink" Target="https://tracxn.com/companies/pmev_q6l96CRUePU67YJMgdn07cP1edKnSHkkpuYI_A/stellapps.com" TargetMode="External"/><Relationship Id="rId1046" Type="http://schemas.openxmlformats.org/officeDocument/2006/relationships/hyperlink" Target="https://www.apolloagriculture.com/" TargetMode="External"/><Relationship Id="rId1253" Type="http://schemas.openxmlformats.org/officeDocument/2006/relationships/hyperlink" Target="https://tracxn.com/companies/CMWSBgPMw90KaL4G0COUGRmi7H3UQqDV85S0_l8AIQY/taranis.ag" TargetMode="External"/><Relationship Id="rId1698" Type="http://schemas.openxmlformats.org/officeDocument/2006/relationships/hyperlink" Target="http://tech4farmers.com/" TargetMode="External"/><Relationship Id="rId623" Type="http://schemas.openxmlformats.org/officeDocument/2006/relationships/hyperlink" Target="http://www.bharatrohan.in/" TargetMode="External"/><Relationship Id="rId830" Type="http://schemas.openxmlformats.org/officeDocument/2006/relationships/hyperlink" Target="https://tracxn.com/companies/Znmsfe54-tdL6A2IvDtVsBkiBnE0cBlzjUQy0nqHyuw/alescalife.com" TargetMode="External"/><Relationship Id="rId928" Type="http://schemas.openxmlformats.org/officeDocument/2006/relationships/hyperlink" Target="https://www.fieldin.com/" TargetMode="External"/><Relationship Id="rId1460" Type="http://schemas.openxmlformats.org/officeDocument/2006/relationships/hyperlink" Target="https://twitter.com/cropintech" TargetMode="External"/><Relationship Id="rId1558" Type="http://schemas.openxmlformats.org/officeDocument/2006/relationships/hyperlink" Target="https://tracxn.com/companies/GuCUJry4nQXIDAZfbr68fXN3CrKyP3iIOfxh2trZq80/sumaagro.com" TargetMode="External"/><Relationship Id="rId1765" Type="http://schemas.openxmlformats.org/officeDocument/2006/relationships/hyperlink" Target="http://www.linkedin.com/vsearch/p?f_CC=813400" TargetMode="External"/><Relationship Id="rId57" Type="http://schemas.openxmlformats.org/officeDocument/2006/relationships/hyperlink" Target="https://facebook.com/uplglobal" TargetMode="External"/><Relationship Id="rId1113" Type="http://schemas.openxmlformats.org/officeDocument/2006/relationships/hyperlink" Target="http://facebook.com/ghalaniapp" TargetMode="External"/><Relationship Id="rId1320" Type="http://schemas.openxmlformats.org/officeDocument/2006/relationships/hyperlink" Target="https://twitter.com/forrestinnov" TargetMode="External"/><Relationship Id="rId1418" Type="http://schemas.openxmlformats.org/officeDocument/2006/relationships/hyperlink" Target="https://tracxn.com/companies/UJVGXHiD8aC9J0lNTBs0rPxtD6v1xyxwIdTCrMN3jHI/prospera.ag" TargetMode="External"/><Relationship Id="rId1625" Type="http://schemas.openxmlformats.org/officeDocument/2006/relationships/hyperlink" Target="https://tracxn.com/companies/AwKxFk3PPD1lY8Y5eykcj-gdLIQBZnr12o29rhyYJz0/renewmaterial.com" TargetMode="External"/><Relationship Id="rId1832" Type="http://schemas.openxmlformats.org/officeDocument/2006/relationships/hyperlink" Target="http://camsonbiotechnologies.com/" TargetMode="External"/><Relationship Id="rId273" Type="http://schemas.openxmlformats.org/officeDocument/2006/relationships/hyperlink" Target="https://linkedin.com/company/infishta/about" TargetMode="External"/><Relationship Id="rId480" Type="http://schemas.openxmlformats.org/officeDocument/2006/relationships/hyperlink" Target="https://www.nestrom.com/" TargetMode="External"/><Relationship Id="rId133" Type="http://schemas.openxmlformats.org/officeDocument/2006/relationships/hyperlink" Target="https://linkedin.com/company/farmpal-techlogi" TargetMode="External"/><Relationship Id="rId340" Type="http://schemas.openxmlformats.org/officeDocument/2006/relationships/hyperlink" Target="https://ndrip.com/" TargetMode="External"/><Relationship Id="rId578" Type="http://schemas.openxmlformats.org/officeDocument/2006/relationships/hyperlink" Target="https://tracxn.com/companies/DPleF2IZlQsOEkz6mCdc-wRZiYc-ukNoM1Qf7vuPaY0/graodireto.com.br" TargetMode="External"/><Relationship Id="rId785" Type="http://schemas.openxmlformats.org/officeDocument/2006/relationships/hyperlink" Target="https://tracxn.com/companies/Q237A5Pyg6ruRkYDB2wS-WZQ5cgaVfRghuhJt7Gmh0A/cropin.com" TargetMode="External"/><Relationship Id="rId992" Type="http://schemas.openxmlformats.org/officeDocument/2006/relationships/hyperlink" Target="https://allerguardsystems.com/" TargetMode="External"/><Relationship Id="rId200" Type="http://schemas.openxmlformats.org/officeDocument/2006/relationships/hyperlink" Target="https://tracxn.com/companies/08JKg6djfFNjIA1RUHEgeKk1T8fR-4lV_RGgmLge6KE/viridix.com" TargetMode="External"/><Relationship Id="rId438" Type="http://schemas.openxmlformats.org/officeDocument/2006/relationships/hyperlink" Target="http://facebook.com/pages/eggxyt/1763030413963918" TargetMode="External"/><Relationship Id="rId645" Type="http://schemas.openxmlformats.org/officeDocument/2006/relationships/hyperlink" Target="http://www.dechetsalor.com/" TargetMode="External"/><Relationship Id="rId852" Type="http://schemas.openxmlformats.org/officeDocument/2006/relationships/hyperlink" Target="https://tracxn.com/companies/v1EC0_KUjrcAnER7VStTm8HdvKdDu0quGax_3LdFrT8/zentronlabs.com" TargetMode="External"/><Relationship Id="rId1068" Type="http://schemas.openxmlformats.org/officeDocument/2006/relationships/hyperlink" Target="http://twitter.com/farmfreshgreens" TargetMode="External"/><Relationship Id="rId1275" Type="http://schemas.openxmlformats.org/officeDocument/2006/relationships/hyperlink" Target="https://tracxn.com/companies/tH0E76HnjtUc3AsVlFxij4fb-sWRQ4EROClocujNHTg/17dfs.com" TargetMode="External"/><Relationship Id="rId1482" Type="http://schemas.openxmlformats.org/officeDocument/2006/relationships/hyperlink" Target="http://www.ulinkorganics.com/" TargetMode="External"/><Relationship Id="rId505" Type="http://schemas.openxmlformats.org/officeDocument/2006/relationships/hyperlink" Target="http://facebook.com/autonxtautomation" TargetMode="External"/><Relationship Id="rId712" Type="http://schemas.openxmlformats.org/officeDocument/2006/relationships/hyperlink" Target="http://www.foidn.com/" TargetMode="External"/><Relationship Id="rId1135" Type="http://schemas.openxmlformats.org/officeDocument/2006/relationships/hyperlink" Target="https://tracxn.com/companies/9lEPFFqPunHKkmAsr_LmU4pos4PUwbG4XM-CVmW28O8/livingreen.co.il" TargetMode="External"/><Relationship Id="rId1342" Type="http://schemas.openxmlformats.org/officeDocument/2006/relationships/hyperlink" Target="https://www.brownapron.com/" TargetMode="External"/><Relationship Id="rId1787" Type="http://schemas.openxmlformats.org/officeDocument/2006/relationships/hyperlink" Target="https://tracxn.com/companies/naeW7ayPTkhrF2OhD4eRrtbS8QU_FEXyVIbDVK1nSuM/growfishanywhere.com" TargetMode="External"/><Relationship Id="rId79" Type="http://schemas.openxmlformats.org/officeDocument/2006/relationships/hyperlink" Target="http://linkedin.com/company/plataforma-nuup" TargetMode="External"/><Relationship Id="rId1202" Type="http://schemas.openxmlformats.org/officeDocument/2006/relationships/hyperlink" Target="http://twitter.com/kisannetwork" TargetMode="External"/><Relationship Id="rId1647" Type="http://schemas.openxmlformats.org/officeDocument/2006/relationships/hyperlink" Target="http://twitter.com/qtlomics" TargetMode="External"/><Relationship Id="rId1854" Type="http://schemas.openxmlformats.org/officeDocument/2006/relationships/hyperlink" Target="http://lisa.co.id/" TargetMode="External"/><Relationship Id="rId1507" Type="http://schemas.openxmlformats.org/officeDocument/2006/relationships/hyperlink" Target="https://linkedin.com/company/farmappweb/about" TargetMode="External"/><Relationship Id="rId1714" Type="http://schemas.openxmlformats.org/officeDocument/2006/relationships/hyperlink" Target="https://tracxn.com/companies/_TKaG51AHmWAYFPoYvuF9xN4Y499WLghf6JZwmBmhTw/skymetweather.com" TargetMode="External"/><Relationship Id="rId295" Type="http://schemas.openxmlformats.org/officeDocument/2006/relationships/hyperlink" Target="https://tracxn.com/companies/wIb6GrKxqrMQkqDe4uvsXxePEOGu82KjW27wmjFn5YY/nugenes.net" TargetMode="External"/><Relationship Id="rId155" Type="http://schemas.openxmlformats.org/officeDocument/2006/relationships/hyperlink" Target="http://www.linkedin.com/vsearch/p?f_CC=6440" TargetMode="External"/><Relationship Id="rId362" Type="http://schemas.openxmlformats.org/officeDocument/2006/relationships/hyperlink" Target="http://www.91haorou.com/" TargetMode="External"/><Relationship Id="rId1297" Type="http://schemas.openxmlformats.org/officeDocument/2006/relationships/hyperlink" Target="https://tracxn.com/companies/p94zwJAGJu7wYhEpgYvUDlsKTVeIMawrDPk1cuLFLME/bicaijia.com" TargetMode="External"/><Relationship Id="rId222" Type="http://schemas.openxmlformats.org/officeDocument/2006/relationships/hyperlink" Target="https://tracxn.com/companies/0e031lxnzLCH4gmi50xzB1d5FOIJ3l6MthkAzjzIjR8/occipitaltech.com" TargetMode="External"/><Relationship Id="rId667" Type="http://schemas.openxmlformats.org/officeDocument/2006/relationships/hyperlink" Target="https://twitter.com/tierrademonte" TargetMode="External"/><Relationship Id="rId874" Type="http://schemas.openxmlformats.org/officeDocument/2006/relationships/hyperlink" Target="https://tracxn.com/companies/5yxLa_9PhQSSj9pAnRy9ka6l1NhS6oEl2APxiQweSbw/farmerp.com" TargetMode="External"/><Relationship Id="rId527" Type="http://schemas.openxmlformats.org/officeDocument/2006/relationships/hyperlink" Target="https://www.tcloudit.com/" TargetMode="External"/><Relationship Id="rId734" Type="http://schemas.openxmlformats.org/officeDocument/2006/relationships/hyperlink" Target="https://facebook.com/agrofynews" TargetMode="External"/><Relationship Id="rId941" Type="http://schemas.openxmlformats.org/officeDocument/2006/relationships/hyperlink" Target="https://www.agriness.com/en/" TargetMode="External"/><Relationship Id="rId1157" Type="http://schemas.openxmlformats.org/officeDocument/2006/relationships/hyperlink" Target="http://o2waterator.com/" TargetMode="External"/><Relationship Id="rId1364" Type="http://schemas.openxmlformats.org/officeDocument/2006/relationships/hyperlink" Target="https://linkedin.com/company/globalyeast" TargetMode="External"/><Relationship Id="rId1571" Type="http://schemas.openxmlformats.org/officeDocument/2006/relationships/hyperlink" Target="https://tracxn.com/companies/tVqIF95ARLUEIhHTfcgck-_EHVLC-_gNOcnY_oPkeD8/groundworkbioag.com" TargetMode="External"/><Relationship Id="rId70" Type="http://schemas.openxmlformats.org/officeDocument/2006/relationships/hyperlink" Target="https://www.absolutefoods.in/" TargetMode="External"/><Relationship Id="rId801" Type="http://schemas.openxmlformats.org/officeDocument/2006/relationships/hyperlink" Target="https://tracxn.com/companies/iPmfdUuU7oQEAGVeydXNpdaESieOiwdAMoHycWbO87Y/merakisan.com" TargetMode="External"/><Relationship Id="rId1017" Type="http://schemas.openxmlformats.org/officeDocument/2006/relationships/hyperlink" Target="https://tracxn.com/companies/2DxHZRoHqeDalPgotIFeR96925kLN_gixoibltlP6iQ/activaq.cl" TargetMode="External"/><Relationship Id="rId1224" Type="http://schemas.openxmlformats.org/officeDocument/2006/relationships/hyperlink" Target="https://tracxn.com/companies/3QzbXSM_NP_bhcb7Cvg0yCsNu80sEo4G_xFg92DWHk8/foodstock.com.ng" TargetMode="External"/><Relationship Id="rId1431" Type="http://schemas.openxmlformats.org/officeDocument/2006/relationships/hyperlink" Target="https://linkedin.com/company/aus-aarav-unmanned-systems" TargetMode="External"/><Relationship Id="rId1669" Type="http://schemas.openxmlformats.org/officeDocument/2006/relationships/hyperlink" Target="http://twitter.com/sunculturekenya" TargetMode="External"/><Relationship Id="rId1876" Type="http://schemas.openxmlformats.org/officeDocument/2006/relationships/hyperlink" Target="http://linkedin.com/company/eruvaka-technologies" TargetMode="External"/><Relationship Id="rId1529" Type="http://schemas.openxmlformats.org/officeDocument/2006/relationships/hyperlink" Target="https://tracxn.com/companies/WlOrS5vp4Q5KfG3PAktRnuiYGVTmb27p9Rc_5-LQ-lA/ymt.com" TargetMode="External"/><Relationship Id="rId1736" Type="http://schemas.openxmlformats.org/officeDocument/2006/relationships/hyperlink" Target="http://www.linkedin.com/vsearch/p?f_CC=20582" TargetMode="External"/><Relationship Id="rId28" Type="http://schemas.openxmlformats.org/officeDocument/2006/relationships/hyperlink" Target="https://tracxn.com/companies/fZOtY1PLNM0Gbn_p3bsEdctBHh-wngKntp7tPEaU4_E/aquaconnect.blue" TargetMode="External"/><Relationship Id="rId1803" Type="http://schemas.openxmlformats.org/officeDocument/2006/relationships/hyperlink" Target="http://enalta.com/" TargetMode="External"/><Relationship Id="rId177" Type="http://schemas.openxmlformats.org/officeDocument/2006/relationships/hyperlink" Target="http://blog.nocofio.com/" TargetMode="External"/><Relationship Id="rId384" Type="http://schemas.openxmlformats.org/officeDocument/2006/relationships/hyperlink" Target="http://facebook.com/greenfingersmobile" TargetMode="External"/><Relationship Id="rId591" Type="http://schemas.openxmlformats.org/officeDocument/2006/relationships/hyperlink" Target="http://twitter.com/livestockwealth" TargetMode="External"/><Relationship Id="rId244" Type="http://schemas.openxmlformats.org/officeDocument/2006/relationships/hyperlink" Target="https://twitter.com/tradebuza" TargetMode="External"/><Relationship Id="rId689" Type="http://schemas.openxmlformats.org/officeDocument/2006/relationships/hyperlink" Target="https://tracxn.com/companies/o9Zw-9VPjlw_D5IMzhOw0uCNiEU5y0-61Wt6JL-AhaY/farmdog.ag" TargetMode="External"/><Relationship Id="rId896" Type="http://schemas.openxmlformats.org/officeDocument/2006/relationships/hyperlink" Target="https://tracxn.com/companies/0TLjvrfHsE3tMwNXJNYCDfwNI0PRpIp6Egcf1Qr1ZLI/tbit.com.br" TargetMode="External"/><Relationship Id="rId1081" Type="http://schemas.openxmlformats.org/officeDocument/2006/relationships/hyperlink" Target="https://tracxn.com/companies/n_7vabGKs6f_buK_Wj36tGkDSAm48yX5Qaz9-T4Midc/liuxuxing.com" TargetMode="External"/><Relationship Id="rId451" Type="http://schemas.openxmlformats.org/officeDocument/2006/relationships/hyperlink" Target="https://tracxn.com/companies/05w8BOuTYaBLh9gGZ-teO9DbkgGM_3fbiYsWa-FYGGc/leanagri.com" TargetMode="External"/><Relationship Id="rId549" Type="http://schemas.openxmlformats.org/officeDocument/2006/relationships/hyperlink" Target="http://facebook.com/aibonoworld" TargetMode="External"/><Relationship Id="rId756" Type="http://schemas.openxmlformats.org/officeDocument/2006/relationships/hyperlink" Target="http://www.linkedin.com/vsearch/p?f_CC=9382637" TargetMode="External"/><Relationship Id="rId1179" Type="http://schemas.openxmlformats.org/officeDocument/2006/relationships/hyperlink" Target="https://twitter.com/agreetapvtltd" TargetMode="External"/><Relationship Id="rId1386" Type="http://schemas.openxmlformats.org/officeDocument/2006/relationships/hyperlink" Target="http://www.linkedin.com/vsearch/p?f_CC=10130035" TargetMode="External"/><Relationship Id="rId1593" Type="http://schemas.openxmlformats.org/officeDocument/2006/relationships/hyperlink" Target="https://tracxn.com/companies/dQpkEp-SM8Yll98R62ZRleDeotV4uRiuOVcbXuzMt60/promip.agr.br" TargetMode="External"/><Relationship Id="rId104" Type="http://schemas.openxmlformats.org/officeDocument/2006/relationships/hyperlink" Target="https://twitter.com/otipy_com" TargetMode="External"/><Relationship Id="rId311" Type="http://schemas.openxmlformats.org/officeDocument/2006/relationships/hyperlink" Target="https://tracxn.com/companies/Bdq31rnETAb5k1xJr_tLL6--vfWN8wwpEIsCKJ5KvYs/cowtribe.com" TargetMode="External"/><Relationship Id="rId409" Type="http://schemas.openxmlformats.org/officeDocument/2006/relationships/hyperlink" Target="http://twitter.com/gobasco1" TargetMode="External"/><Relationship Id="rId963" Type="http://schemas.openxmlformats.org/officeDocument/2006/relationships/hyperlink" Target="https://tracxn.com/companies/zgmJ8W_8Q0opRAhO4WvMcMFUiMYkcEotP0y0ugTN2t4/barrix.in" TargetMode="External"/><Relationship Id="rId1039" Type="http://schemas.openxmlformats.org/officeDocument/2006/relationships/hyperlink" Target="https://twitter.com/agnextworld" TargetMode="External"/><Relationship Id="rId1246" Type="http://schemas.openxmlformats.org/officeDocument/2006/relationships/hyperlink" Target="https://www.linkedin.com/company/%E5%8C%97%E4%BA%AC%E5%85%84%E5%BC%9F%E4%B9%8B%E6%81%92%E7%A7%91%E6%8A%80%E6%9C%89%E9%99%90%E5%85%AC%E5%8F%B8" TargetMode="External"/><Relationship Id="rId1898" Type="http://schemas.openxmlformats.org/officeDocument/2006/relationships/hyperlink" Target="http://www.linkedin.com/vsearch/p?f_CC=1372561" TargetMode="External"/><Relationship Id="rId92" Type="http://schemas.openxmlformats.org/officeDocument/2006/relationships/hyperlink" Target="http://freshsourceglobal.com/blog" TargetMode="External"/><Relationship Id="rId616" Type="http://schemas.openxmlformats.org/officeDocument/2006/relationships/hyperlink" Target="http://www.linkedin.com/vsearch/p?f_CC=3346451" TargetMode="External"/><Relationship Id="rId823" Type="http://schemas.openxmlformats.org/officeDocument/2006/relationships/hyperlink" Target="https://tracxn.com/companies/FrFptHR2twOk1qHrvEvvXmuZ4oJ0gfMXHaMzDjM9jtk/agrosmart.com.br" TargetMode="External"/><Relationship Id="rId1453" Type="http://schemas.openxmlformats.org/officeDocument/2006/relationships/hyperlink" Target="http://siembraviva.com/" TargetMode="External"/><Relationship Id="rId1660" Type="http://schemas.openxmlformats.org/officeDocument/2006/relationships/hyperlink" Target="http://blog.lessindustries.com/" TargetMode="External"/><Relationship Id="rId1758" Type="http://schemas.openxmlformats.org/officeDocument/2006/relationships/hyperlink" Target="https://twitter.com/krishidhan" TargetMode="External"/><Relationship Id="rId1106" Type="http://schemas.openxmlformats.org/officeDocument/2006/relationships/hyperlink" Target="https://www.cowlar.com/" TargetMode="External"/><Relationship Id="rId1313" Type="http://schemas.openxmlformats.org/officeDocument/2006/relationships/hyperlink" Target="http://twitter.com/gfreshdotcom" TargetMode="External"/><Relationship Id="rId1520" Type="http://schemas.openxmlformats.org/officeDocument/2006/relationships/hyperlink" Target="https://tracxn.com/companies/YpNvDr-fuT2ud5-go5uiZdHgqf19XF1g_0dIdfMgcAA/autoagronom.com" TargetMode="External"/><Relationship Id="rId1618" Type="http://schemas.openxmlformats.org/officeDocument/2006/relationships/hyperlink" Target="https://tracxn.com/companies/wfgv0FwuHNCoEUBVCOPCEJ7DTeRbW0WNq173aqOk32M/leveking.com" TargetMode="External"/><Relationship Id="rId1825" Type="http://schemas.openxmlformats.org/officeDocument/2006/relationships/hyperlink" Target="http://www.linkedin.com/vsearch/p?f_CC=3200128" TargetMode="External"/><Relationship Id="rId199" Type="http://schemas.openxmlformats.org/officeDocument/2006/relationships/hyperlink" Target="http://facebook.com/idripper" TargetMode="External"/><Relationship Id="rId266" Type="http://schemas.openxmlformats.org/officeDocument/2006/relationships/hyperlink" Target="https://www.gira.com.br/" TargetMode="External"/><Relationship Id="rId473" Type="http://schemas.openxmlformats.org/officeDocument/2006/relationships/hyperlink" Target="https://facebook.com/unnatifarms" TargetMode="External"/><Relationship Id="rId680" Type="http://schemas.openxmlformats.org/officeDocument/2006/relationships/hyperlink" Target="https://www.mercarancho.com/" TargetMode="External"/><Relationship Id="rId126" Type="http://schemas.openxmlformats.org/officeDocument/2006/relationships/hyperlink" Target="https://www.freshvnf.com/" TargetMode="External"/><Relationship Id="rId333" Type="http://schemas.openxmlformats.org/officeDocument/2006/relationships/hyperlink" Target="https://twitter.com/letscultyvate" TargetMode="External"/><Relationship Id="rId540" Type="http://schemas.openxmlformats.org/officeDocument/2006/relationships/hyperlink" Target="https://tracxn.com/companies/MAgZRBJMPw9mmXcWj50-xMxT3xG7rfk0ygsVKbJlTM4/farmersprideafrica.com" TargetMode="External"/><Relationship Id="rId778" Type="http://schemas.openxmlformats.org/officeDocument/2006/relationships/hyperlink" Target="https://linkedin.com/company/%E7%BE%8E%E8%8F%9C%E7%BD%91/about" TargetMode="External"/><Relationship Id="rId985" Type="http://schemas.openxmlformats.org/officeDocument/2006/relationships/hyperlink" Target="http://twitter.com/twigafoods" TargetMode="External"/><Relationship Id="rId1170" Type="http://schemas.openxmlformats.org/officeDocument/2006/relationships/hyperlink" Target="https://www.wobblebase.in/" TargetMode="External"/><Relationship Id="rId638" Type="http://schemas.openxmlformats.org/officeDocument/2006/relationships/hyperlink" Target="https://equi-nom.com/" TargetMode="External"/><Relationship Id="rId845" Type="http://schemas.openxmlformats.org/officeDocument/2006/relationships/hyperlink" Target="https://tracxn.com/companies/TG4egV1bWCA54CKo0q00_jEnsNS2xidAFYe8KL_Lxyw/agrevolution.in" TargetMode="External"/><Relationship Id="rId1030" Type="http://schemas.openxmlformats.org/officeDocument/2006/relationships/hyperlink" Target="http://twitter.com/swasti_agro" TargetMode="External"/><Relationship Id="rId1268" Type="http://schemas.openxmlformats.org/officeDocument/2006/relationships/hyperlink" Target="https://heatstressanalyzer.weebly.com/" TargetMode="External"/><Relationship Id="rId1475" Type="http://schemas.openxmlformats.org/officeDocument/2006/relationships/hyperlink" Target="http://manishaseeds.com/" TargetMode="External"/><Relationship Id="rId1682" Type="http://schemas.openxmlformats.org/officeDocument/2006/relationships/hyperlink" Target="http://www.linkedin.com/vsearch/p?f_CC=108675" TargetMode="External"/><Relationship Id="rId400" Type="http://schemas.openxmlformats.org/officeDocument/2006/relationships/hyperlink" Target="https://tracxn.com/companies/Q4GXM2n9km5rbwvx2jc1EdSajlNi56NZAtgoMhCo_CM/agnext.com" TargetMode="External"/><Relationship Id="rId705" Type="http://schemas.openxmlformats.org/officeDocument/2006/relationships/hyperlink" Target="https://tracxn.com/companies/C9Z6XZRsvnf6lLhuCIRle5KqFodIXYhY62QfQgWhxSU/instacrops.com" TargetMode="External"/><Relationship Id="rId1128" Type="http://schemas.openxmlformats.org/officeDocument/2006/relationships/hyperlink" Target="https://www.aquaapp.in/" TargetMode="External"/><Relationship Id="rId1335" Type="http://schemas.openxmlformats.org/officeDocument/2006/relationships/hyperlink" Target="https://tracxn.com/companies/Gmej1iMdEqhY2Hy9vCdqeyEsU9nyqUrdWhYve-7sCu8/mifugo.trade" TargetMode="External"/><Relationship Id="rId1542" Type="http://schemas.openxmlformats.org/officeDocument/2006/relationships/hyperlink" Target="http://corporate.agrostar.in/blog/?_gl=1*uajjuj*_ga*yw1wlwrat3rkqjr1stvstfi4dgpmcfa1q3c." TargetMode="External"/><Relationship Id="rId912" Type="http://schemas.openxmlformats.org/officeDocument/2006/relationships/hyperlink" Target="https://twitter.com/phytechusa" TargetMode="External"/><Relationship Id="rId1847" Type="http://schemas.openxmlformats.org/officeDocument/2006/relationships/hyperlink" Target="http://linkedin.com/company/advanta-india-ltd" TargetMode="External"/><Relationship Id="rId41" Type="http://schemas.openxmlformats.org/officeDocument/2006/relationships/hyperlink" Target="https://marutdrones.com/" TargetMode="External"/><Relationship Id="rId1402" Type="http://schemas.openxmlformats.org/officeDocument/2006/relationships/hyperlink" Target="http://www.em3agri.com/" TargetMode="External"/><Relationship Id="rId1707" Type="http://schemas.openxmlformats.org/officeDocument/2006/relationships/hyperlink" Target="http://facebook.com/subflex" TargetMode="External"/><Relationship Id="rId190" Type="http://schemas.openxmlformats.org/officeDocument/2006/relationships/hyperlink" Target="http://linkedin.com/company/markit-opportunity" TargetMode="External"/><Relationship Id="rId288" Type="http://schemas.openxmlformats.org/officeDocument/2006/relationships/hyperlink" Target="https://tracxn.com/companies/dTZRZf2xU7VSilgicsbYiDhVw4_Hsfdsod6g3pM1EBk/datall.cn" TargetMode="External"/><Relationship Id="rId495" Type="http://schemas.openxmlformats.org/officeDocument/2006/relationships/hyperlink" Target="http://facebook.com/tritonfoodworks" TargetMode="External"/><Relationship Id="rId148" Type="http://schemas.openxmlformats.org/officeDocument/2006/relationships/hyperlink" Target="https://twitter.com/seetree_ai" TargetMode="External"/><Relationship Id="rId355" Type="http://schemas.openxmlformats.org/officeDocument/2006/relationships/hyperlink" Target="http://blog.bharatagri.com/" TargetMode="External"/><Relationship Id="rId562" Type="http://schemas.openxmlformats.org/officeDocument/2006/relationships/hyperlink" Target="https://tracxn.com/companies/9-C8vyBtYHKt8b8CKhRTeDhtNFPxWZlpj6bGTiVqUAA/skyx.solutions" TargetMode="External"/><Relationship Id="rId1192" Type="http://schemas.openxmlformats.org/officeDocument/2006/relationships/hyperlink" Target="http://buylfun.com/" TargetMode="External"/><Relationship Id="rId215" Type="http://schemas.openxmlformats.org/officeDocument/2006/relationships/hyperlink" Target="https://tracxn.com/companies/5WakRilhEIVS2Vqd-iXLKKIzMZVW2-seaFvGzbuJ9x8/cari.org.in" TargetMode="External"/><Relationship Id="rId422" Type="http://schemas.openxmlformats.org/officeDocument/2006/relationships/hyperlink" Target="https://www.krishihub.com/" TargetMode="External"/><Relationship Id="rId867" Type="http://schemas.openxmlformats.org/officeDocument/2006/relationships/hyperlink" Target="http://www.linkedin.com/vsearch/p?f_CC=3995968" TargetMode="External"/><Relationship Id="rId1052" Type="http://schemas.openxmlformats.org/officeDocument/2006/relationships/hyperlink" Target="https://twitter.com/pureharvestsf" TargetMode="External"/><Relationship Id="rId1497" Type="http://schemas.openxmlformats.org/officeDocument/2006/relationships/hyperlink" Target="https://ergos.in/" TargetMode="External"/><Relationship Id="rId727" Type="http://schemas.openxmlformats.org/officeDocument/2006/relationships/hyperlink" Target="https://www.coldhubs.com/" TargetMode="External"/><Relationship Id="rId934" Type="http://schemas.openxmlformats.org/officeDocument/2006/relationships/hyperlink" Target="http://www.linkedin.com/vsearch/p?f_CC=623144" TargetMode="External"/><Relationship Id="rId1357" Type="http://schemas.openxmlformats.org/officeDocument/2006/relationships/hyperlink" Target="http://www.linkedin.com/vsearch/p?f_CC=10112263" TargetMode="External"/><Relationship Id="rId1564" Type="http://schemas.openxmlformats.org/officeDocument/2006/relationships/hyperlink" Target="https://tracxn.com/companies/XQqIFF5gJ4izxt1SaaXUcxXG7cSyU5rELdMLcg-4EDk/vasham.co.id" TargetMode="External"/><Relationship Id="rId1771" Type="http://schemas.openxmlformats.org/officeDocument/2006/relationships/hyperlink" Target="http://twitter.com/jainirrigation" TargetMode="External"/><Relationship Id="rId63" Type="http://schemas.openxmlformats.org/officeDocument/2006/relationships/hyperlink" Target="https://facebook.com/pink-farms-288687241804755" TargetMode="External"/><Relationship Id="rId1217" Type="http://schemas.openxmlformats.org/officeDocument/2006/relationships/hyperlink" Target="https://tracxn.com/companies/k-xiJGK6xfob4w4f2te3gxGMKye7HTcPf01XprYV6aA/equi-nom.com" TargetMode="External"/><Relationship Id="rId1424" Type="http://schemas.openxmlformats.org/officeDocument/2006/relationships/hyperlink" Target="https://tracxn.com/companies/0j-oEm465Taf9Dime4pJpqkeCvV84FY-9kRV-E79SNc/zappfresh.com" TargetMode="External"/><Relationship Id="rId1631" Type="http://schemas.openxmlformats.org/officeDocument/2006/relationships/hyperlink" Target="https://tracxn.com/companies/cnUf7CYVaJbBXEjouEULnT7clRdMrZcvbz0Xh3IR8zw/visualnacert.com" TargetMode="External"/><Relationship Id="rId1869" Type="http://schemas.openxmlformats.org/officeDocument/2006/relationships/hyperlink" Target="https://www.yuktix.com/" TargetMode="External"/><Relationship Id="rId1729" Type="http://schemas.openxmlformats.org/officeDocument/2006/relationships/hyperlink" Target="https://tracxn.com/companies/Yc0dGHqRitIcvmb70rpRHQzO8XFE4kQSHdi4doG8M3c/origeneseeds.com" TargetMode="External"/><Relationship Id="rId377" Type="http://schemas.openxmlformats.org/officeDocument/2006/relationships/hyperlink" Target="http://facebook.com/agreemarket.smart.trade" TargetMode="External"/><Relationship Id="rId584" Type="http://schemas.openxmlformats.org/officeDocument/2006/relationships/hyperlink" Target="https://tracxn.com/companies/CJvz_x6ltAIwFBKqXgkDqmO-Q9Xgrefn5ZMr7PQ6B00/komaza.com" TargetMode="External"/><Relationship Id="rId5" Type="http://schemas.openxmlformats.org/officeDocument/2006/relationships/hyperlink" Target="https://twitter.com/agrixindia" TargetMode="External"/><Relationship Id="rId237" Type="http://schemas.openxmlformats.org/officeDocument/2006/relationships/hyperlink" Target="http://www.agropromonitor.com.br/" TargetMode="External"/><Relationship Id="rId791" Type="http://schemas.openxmlformats.org/officeDocument/2006/relationships/hyperlink" Target="http://ninjacart.in/blog" TargetMode="External"/><Relationship Id="rId889" Type="http://schemas.openxmlformats.org/officeDocument/2006/relationships/hyperlink" Target="http://facebook.com/wrlpage" TargetMode="External"/><Relationship Id="rId1074" Type="http://schemas.openxmlformats.org/officeDocument/2006/relationships/hyperlink" Target="https://linkedin.com/company/crowdeco/about" TargetMode="External"/><Relationship Id="rId444" Type="http://schemas.openxmlformats.org/officeDocument/2006/relationships/hyperlink" Target="https://tracxn.com/companies/KMTxuEajWfKZVI91M-_m2t1dw1D4SOL1QsMuyphV-Ms/agricx.com" TargetMode="External"/><Relationship Id="rId651" Type="http://schemas.openxmlformats.org/officeDocument/2006/relationships/hyperlink" Target="https://twitter.com/taranisag" TargetMode="External"/><Relationship Id="rId749" Type="http://schemas.openxmlformats.org/officeDocument/2006/relationships/hyperlink" Target="https://tracxn.com/companies/x9zmhuKaE9xULfTOpJtGd3u-2cy624Q0PulsrIZNX2A/bighaat.com" TargetMode="External"/><Relationship Id="rId1281" Type="http://schemas.openxmlformats.org/officeDocument/2006/relationships/hyperlink" Target="https://twitter.com/ugaooindia" TargetMode="External"/><Relationship Id="rId1379" Type="http://schemas.openxmlformats.org/officeDocument/2006/relationships/hyperlink" Target="http://facebook.com/pages/agribots" TargetMode="External"/><Relationship Id="rId1586" Type="http://schemas.openxmlformats.org/officeDocument/2006/relationships/hyperlink" Target="https://tracxn.com/companies/4VoSNmAo7ZTHONtfuxUS42gJDlNONZlxUfv09zay3gU/modisar.com" TargetMode="External"/><Relationship Id="rId304" Type="http://schemas.openxmlformats.org/officeDocument/2006/relationships/hyperlink" Target="http://facebook.com/theearthfood" TargetMode="External"/><Relationship Id="rId511" Type="http://schemas.openxmlformats.org/officeDocument/2006/relationships/hyperlink" Target="https://www.iprocu.re/" TargetMode="External"/><Relationship Id="rId609" Type="http://schemas.openxmlformats.org/officeDocument/2006/relationships/hyperlink" Target="https://tracxn.com/companies/HP8BX0KkOIDPwGcQqw0LJmWuX1rIHhQPKEwJUoZ5Q9s/rootility.com" TargetMode="External"/><Relationship Id="rId956" Type="http://schemas.openxmlformats.org/officeDocument/2006/relationships/hyperlink" Target="http://facebook.com/eruvakatechnologies" TargetMode="External"/><Relationship Id="rId1141" Type="http://schemas.openxmlformats.org/officeDocument/2006/relationships/hyperlink" Target="http://zhaonongzi.com/" TargetMode="External"/><Relationship Id="rId1239" Type="http://schemas.openxmlformats.org/officeDocument/2006/relationships/hyperlink" Target="https://tracxn.com/companies/zELf0wWgjZnZMK6B5nIn1saaOhurl7pDdKw8AlSSUjY/pimiagro.com" TargetMode="External"/><Relationship Id="rId1793" Type="http://schemas.openxmlformats.org/officeDocument/2006/relationships/hyperlink" Target="https://tracxn.com/companies/aW-jk5Mq4lkl8IwXR4GWJRasxn8IxyzJq407qQ_pV-A/futuragene.com" TargetMode="External"/><Relationship Id="rId85" Type="http://schemas.openxmlformats.org/officeDocument/2006/relationships/hyperlink" Target="http://simbioticalabs.com/blog" TargetMode="External"/><Relationship Id="rId816" Type="http://schemas.openxmlformats.org/officeDocument/2006/relationships/hyperlink" Target="https://tracxn.com/companies/Sn_o0y8SL0g9vR3KTpktLIxS3BRdCTjlaL0WMbDUJ0Q/cultivandofuturo.com" TargetMode="External"/><Relationship Id="rId1001" Type="http://schemas.openxmlformats.org/officeDocument/2006/relationships/hyperlink" Target="https://tracxn.com/companies/PP6dhcHut6B_sSDyPqn-WUdqr8b3YNxK1tGfNakVilw/wandaorganic.org" TargetMode="External"/><Relationship Id="rId1446" Type="http://schemas.openxmlformats.org/officeDocument/2006/relationships/hyperlink" Target="https://tracxn.com/companies/jR6Z-DxSlaWnhUYPmhcihIHDBtbpoxetZPfAHUxwg8I/ync365.com" TargetMode="External"/><Relationship Id="rId1653" Type="http://schemas.openxmlformats.org/officeDocument/2006/relationships/hyperlink" Target="http://twitter.com/efarmvenky" TargetMode="External"/><Relationship Id="rId1860" Type="http://schemas.openxmlformats.org/officeDocument/2006/relationships/hyperlink" Target="http://facebook.com/greencartin" TargetMode="External"/><Relationship Id="rId1306" Type="http://schemas.openxmlformats.org/officeDocument/2006/relationships/hyperlink" Target="http://easyflower.com/" TargetMode="External"/><Relationship Id="rId1513" Type="http://schemas.openxmlformats.org/officeDocument/2006/relationships/hyperlink" Target="http://linkedin.com/company/cultivando-futuro-s-a-s-" TargetMode="External"/><Relationship Id="rId1720" Type="http://schemas.openxmlformats.org/officeDocument/2006/relationships/hyperlink" Target="http://www.linkedin.com/vsearch/p?f_CC=593482" TargetMode="External"/><Relationship Id="rId12" Type="http://schemas.openxmlformats.org/officeDocument/2006/relationships/hyperlink" Target="https://tracxn.com/companies/utZq6xqBG_v0xmcl_Sn7M0nV79vNEBrZ9X3-Uhe1Yhg/unnatiagri.com" TargetMode="External"/><Relationship Id="rId1818" Type="http://schemas.openxmlformats.org/officeDocument/2006/relationships/hyperlink" Target="http://twitter.com/driptech" TargetMode="External"/><Relationship Id="rId161" Type="http://schemas.openxmlformats.org/officeDocument/2006/relationships/hyperlink" Target="https://tracxn.com/companies/CJlEIi9j-FB6zpEGbyWTxjyVLc8YT3VOLE_riaIIYO8/cricketone.asia" TargetMode="External"/><Relationship Id="rId399" Type="http://schemas.openxmlformats.org/officeDocument/2006/relationships/hyperlink" Target="https://facebook.com/agnextworld" TargetMode="External"/><Relationship Id="rId259" Type="http://schemas.openxmlformats.org/officeDocument/2006/relationships/hyperlink" Target="http://twitter.com/khulaapp" TargetMode="External"/><Relationship Id="rId466" Type="http://schemas.openxmlformats.org/officeDocument/2006/relationships/hyperlink" Target="https://twitter.com/pureharvestsf" TargetMode="External"/><Relationship Id="rId673" Type="http://schemas.openxmlformats.org/officeDocument/2006/relationships/hyperlink" Target="http://twitter.com/tanihubid" TargetMode="External"/><Relationship Id="rId880" Type="http://schemas.openxmlformats.org/officeDocument/2006/relationships/hyperlink" Target="http://www.sunculture.com/" TargetMode="External"/><Relationship Id="rId1096" Type="http://schemas.openxmlformats.org/officeDocument/2006/relationships/hyperlink" Target="http://www.agrimanu.com/" TargetMode="External"/><Relationship Id="rId119" Type="http://schemas.openxmlformats.org/officeDocument/2006/relationships/hyperlink" Target="https://linkedin.com/company/imagoai" TargetMode="External"/><Relationship Id="rId326" Type="http://schemas.openxmlformats.org/officeDocument/2006/relationships/hyperlink" Target="http://facebook.com/farmizen" TargetMode="External"/><Relationship Id="rId533" Type="http://schemas.openxmlformats.org/officeDocument/2006/relationships/hyperlink" Target="https://www.linkedin.com/company/agritask" TargetMode="External"/><Relationship Id="rId978" Type="http://schemas.openxmlformats.org/officeDocument/2006/relationships/hyperlink" Target="https://linkedin.com/company/upl-ltd" TargetMode="External"/><Relationship Id="rId1163" Type="http://schemas.openxmlformats.org/officeDocument/2006/relationships/hyperlink" Target="http://facebook.com/rmlagtech" TargetMode="External"/><Relationship Id="rId1370" Type="http://schemas.openxmlformats.org/officeDocument/2006/relationships/hyperlink" Target="http://www.revofarm.com/" TargetMode="External"/><Relationship Id="rId740" Type="http://schemas.openxmlformats.org/officeDocument/2006/relationships/hyperlink" Target="http://facebook.com/cropxapp/" TargetMode="External"/><Relationship Id="rId838" Type="http://schemas.openxmlformats.org/officeDocument/2006/relationships/hyperlink" Target="http://twitter.com/efisherycom" TargetMode="External"/><Relationship Id="rId1023" Type="http://schemas.openxmlformats.org/officeDocument/2006/relationships/hyperlink" Target="https://twitter.com/waycoolfoods" TargetMode="External"/><Relationship Id="rId1468" Type="http://schemas.openxmlformats.org/officeDocument/2006/relationships/hyperlink" Target="https://facebook.com/ninjacart" TargetMode="External"/><Relationship Id="rId1675" Type="http://schemas.openxmlformats.org/officeDocument/2006/relationships/hyperlink" Target="https://tracxn.com/companies/MH84vhE_rb5YC72jvd7I5RcxqxJb4I7WQ4ro8HxmjFQ/meta-helix.com" TargetMode="External"/><Relationship Id="rId1882" Type="http://schemas.openxmlformats.org/officeDocument/2006/relationships/hyperlink" Target="https://linkedin.com/company/stellapps-technologies-private-limited/about" TargetMode="External"/><Relationship Id="rId600" Type="http://schemas.openxmlformats.org/officeDocument/2006/relationships/hyperlink" Target="https://tracxn.com/companies/2MtgQGfD34euwbgK_SxgaPjZrPzwo91TsHssz0HPv0Y/7gongli.com.cn" TargetMode="External"/><Relationship Id="rId1230" Type="http://schemas.openxmlformats.org/officeDocument/2006/relationships/hyperlink" Target="https://www.linkedin.com/company/7956882?trk=prof-exp-company-name" TargetMode="External"/><Relationship Id="rId1328" Type="http://schemas.openxmlformats.org/officeDocument/2006/relationships/hyperlink" Target="https://tracxn.com/companies/o9Zw-9VPjlw_D5IMzhOw0uCNiEU5y0-61Wt6JL-AhaY/farmdog.ag" TargetMode="External"/><Relationship Id="rId1535" Type="http://schemas.openxmlformats.org/officeDocument/2006/relationships/hyperlink" Target="http://twitter.com/hellotractor" TargetMode="External"/><Relationship Id="rId905" Type="http://schemas.openxmlformats.org/officeDocument/2006/relationships/hyperlink" Target="http://linkedin.com/company/proximity-designs" TargetMode="External"/><Relationship Id="rId1742" Type="http://schemas.openxmlformats.org/officeDocument/2006/relationships/hyperlink" Target="https://tracxn.com/companies/PUxPXKncDQhl-uXBPtKmK60LkW7mUychAPw4TK_6cfY/netafim.com" TargetMode="External"/><Relationship Id="rId34" Type="http://schemas.openxmlformats.org/officeDocument/2006/relationships/hyperlink" Target="https://linkedin.com/company/atomic-mobi" TargetMode="External"/><Relationship Id="rId1602" Type="http://schemas.openxmlformats.org/officeDocument/2006/relationships/hyperlink" Target="http://linkedin.com/company/green-agrevolution-private-limited" TargetMode="External"/><Relationship Id="rId183" Type="http://schemas.openxmlformats.org/officeDocument/2006/relationships/hyperlink" Target="http://linkedin.com/company/wolkus" TargetMode="External"/><Relationship Id="rId390" Type="http://schemas.openxmlformats.org/officeDocument/2006/relationships/hyperlink" Target="http://facebook.com/physizag" TargetMode="External"/><Relationship Id="rId1907" Type="http://schemas.openxmlformats.org/officeDocument/2006/relationships/hyperlink" Target="http://linkedin.com/company/allerguard-" TargetMode="External"/><Relationship Id="rId250" Type="http://schemas.openxmlformats.org/officeDocument/2006/relationships/hyperlink" Target="https://agrotrac.cl/" TargetMode="External"/><Relationship Id="rId488" Type="http://schemas.openxmlformats.org/officeDocument/2006/relationships/hyperlink" Target="https://www.payagri.com/" TargetMode="External"/><Relationship Id="rId695" Type="http://schemas.openxmlformats.org/officeDocument/2006/relationships/hyperlink" Target="https://tracxn.com/companies/1Ee12jtaNyO5W-sJh2lHfPYzlzOMC9Rw353QbnTLauA/farmtaaza.com" TargetMode="External"/><Relationship Id="rId110" Type="http://schemas.openxmlformats.org/officeDocument/2006/relationships/hyperlink" Target="https://eggoz.in/" TargetMode="External"/><Relationship Id="rId348" Type="http://schemas.openxmlformats.org/officeDocument/2006/relationships/hyperlink" Target="http://www.khethinext.com/" TargetMode="External"/><Relationship Id="rId555" Type="http://schemas.openxmlformats.org/officeDocument/2006/relationships/hyperlink" Target="https://tracxn.com/companies/ky9PSUyhkS1AceyJyXQd7YXLZ-bM6Cyedlhr_UxU5O0/tomatiki.com" TargetMode="External"/><Relationship Id="rId762" Type="http://schemas.openxmlformats.org/officeDocument/2006/relationships/hyperlink" Target="https://www.entobel.com/" TargetMode="External"/><Relationship Id="rId1185" Type="http://schemas.openxmlformats.org/officeDocument/2006/relationships/hyperlink" Target="https://tracxn.com/companies/HP8BX0KkOIDPwGcQqw0LJmWuX1rIHhQPKEwJUoZ5Q9s/rootility.com" TargetMode="External"/><Relationship Id="rId1392" Type="http://schemas.openxmlformats.org/officeDocument/2006/relationships/hyperlink" Target="http://twitter.com/crop_x" TargetMode="External"/><Relationship Id="rId208" Type="http://schemas.openxmlformats.org/officeDocument/2006/relationships/hyperlink" Target="https://linkedin.com/company/digifarmz/about" TargetMode="External"/><Relationship Id="rId415" Type="http://schemas.openxmlformats.org/officeDocument/2006/relationships/hyperlink" Target="https://facebook.com/aeroboticsintl" TargetMode="External"/><Relationship Id="rId622" Type="http://schemas.openxmlformats.org/officeDocument/2006/relationships/hyperlink" Target="https://tracxn.com/companies/fzFYQgk-38Mgv0qjs7oLf0TFXRJSDPmExDaYCWM0AX4/farmerline.co" TargetMode="External"/><Relationship Id="rId1045" Type="http://schemas.openxmlformats.org/officeDocument/2006/relationships/hyperlink" Target="https://tracxn.com/companies/6m_7bPi-dnBbryHcbwL0pv2UIiahIjtHhqgNbcHf2B8/eggxyt.com" TargetMode="External"/><Relationship Id="rId1252" Type="http://schemas.openxmlformats.org/officeDocument/2006/relationships/hyperlink" Target="http://taranis.ag/category/blog" TargetMode="External"/><Relationship Id="rId1697" Type="http://schemas.openxmlformats.org/officeDocument/2006/relationships/hyperlink" Target="http://www.linkedin.com/vsearch/p?f_CC=3170084" TargetMode="External"/><Relationship Id="rId927" Type="http://schemas.openxmlformats.org/officeDocument/2006/relationships/hyperlink" Target="http://www.linkedin.com/vsearch/p?f_CC=3008630" TargetMode="External"/><Relationship Id="rId1112" Type="http://schemas.openxmlformats.org/officeDocument/2006/relationships/hyperlink" Target="https://twitter.com/ghalaniapp" TargetMode="External"/><Relationship Id="rId1557" Type="http://schemas.openxmlformats.org/officeDocument/2006/relationships/hyperlink" Target="http://facebook.com/sumaagro" TargetMode="External"/><Relationship Id="rId1764" Type="http://schemas.openxmlformats.org/officeDocument/2006/relationships/hyperlink" Target="https://tracxn.com/companies/GWOodn0QLOmFIJUIEexUqb5u0_lDJRfHhPnm_l4wIVQ/kaiima.com" TargetMode="External"/><Relationship Id="rId56" Type="http://schemas.openxmlformats.org/officeDocument/2006/relationships/hyperlink" Target="https://twitter.com/uplltd" TargetMode="External"/><Relationship Id="rId1417" Type="http://schemas.openxmlformats.org/officeDocument/2006/relationships/hyperlink" Target="http://facebook.com/pages/prospera-technologies/565971516887814" TargetMode="External"/><Relationship Id="rId1624" Type="http://schemas.openxmlformats.org/officeDocument/2006/relationships/hyperlink" Target="http://twitter.com/renewmaterial" TargetMode="External"/><Relationship Id="rId1831" Type="http://schemas.openxmlformats.org/officeDocument/2006/relationships/hyperlink" Target="http://www.linkedin.com/vsearch/p?f_CC=739713" TargetMode="External"/><Relationship Id="rId272" Type="http://schemas.openxmlformats.org/officeDocument/2006/relationships/hyperlink" Target="https://www.infishta.com/" TargetMode="External"/><Relationship Id="rId577" Type="http://schemas.openxmlformats.org/officeDocument/2006/relationships/hyperlink" Target="http://facebook.com/graodireto" TargetMode="External"/><Relationship Id="rId132" Type="http://schemas.openxmlformats.org/officeDocument/2006/relationships/hyperlink" Target="https://www.farmpal.co.in/" TargetMode="External"/><Relationship Id="rId784" Type="http://schemas.openxmlformats.org/officeDocument/2006/relationships/hyperlink" Target="http://cropin.com/blogs" TargetMode="External"/><Relationship Id="rId991" Type="http://schemas.openxmlformats.org/officeDocument/2006/relationships/hyperlink" Target="https://tracxn.com/companies/zkeef4RHUdYXTUtFQ33RQFWSwYE8_DeT9BTAOj3E-pc/livlush.in" TargetMode="External"/><Relationship Id="rId1067" Type="http://schemas.openxmlformats.org/officeDocument/2006/relationships/hyperlink" Target="https://www.linkedin.com/company/paalak" TargetMode="External"/><Relationship Id="rId437" Type="http://schemas.openxmlformats.org/officeDocument/2006/relationships/hyperlink" Target="https://linkedin.com/company/eggxyt" TargetMode="External"/><Relationship Id="rId644" Type="http://schemas.openxmlformats.org/officeDocument/2006/relationships/hyperlink" Target="https://tracxn.com/companies/tmO8WbdJ51h6YPDqAQaSvBMjOBw6QBfo1cGhgtmHK4U/farmart.co" TargetMode="External"/><Relationship Id="rId851" Type="http://schemas.openxmlformats.org/officeDocument/2006/relationships/hyperlink" Target="https://www.linkedin.com/company/zentron-labs-pvt-ltd" TargetMode="External"/><Relationship Id="rId1274" Type="http://schemas.openxmlformats.org/officeDocument/2006/relationships/hyperlink" Target="http://17dfs.com/" TargetMode="External"/><Relationship Id="rId1481" Type="http://schemas.openxmlformats.org/officeDocument/2006/relationships/hyperlink" Target="https://tracxn.com/companies/2FGAVIuAAGN_hVhYSzKGTH62FuU3QBW_k65oMu0zEug/flybirdinnovations.com" TargetMode="External"/><Relationship Id="rId1579" Type="http://schemas.openxmlformats.org/officeDocument/2006/relationships/hyperlink" Target="http://facebook.com/nilebot" TargetMode="External"/><Relationship Id="rId504" Type="http://schemas.openxmlformats.org/officeDocument/2006/relationships/hyperlink" Target="https://www.autonxt.in/" TargetMode="External"/><Relationship Id="rId711" Type="http://schemas.openxmlformats.org/officeDocument/2006/relationships/hyperlink" Target="http://www.linkedin.com/vsearch/p?f_CC=10099144" TargetMode="External"/><Relationship Id="rId949" Type="http://schemas.openxmlformats.org/officeDocument/2006/relationships/hyperlink" Target="http://twitter.com/yuktix" TargetMode="External"/><Relationship Id="rId1134" Type="http://schemas.openxmlformats.org/officeDocument/2006/relationships/hyperlink" Target="http://facebook.com/livingreen-&#1488;&#1511;&#1493;&#1493;&#1508;&#1493;&#1504;&#1497;&#1511;&#1492;-&#1493;&#1492;&#1497;&#1491;&#1512;&#1493;&#1508;&#1493;&#1504;&#1497;&#1511;&#1492;-159847367407960/" TargetMode="External"/><Relationship Id="rId1341" Type="http://schemas.openxmlformats.org/officeDocument/2006/relationships/hyperlink" Target="https://tracxn.com/companies/4FnBjC0WxOZRY_akiO6E9PTHFGnQb5Eq7DtGWvEn008/sea6energy.com" TargetMode="External"/><Relationship Id="rId1786" Type="http://schemas.openxmlformats.org/officeDocument/2006/relationships/hyperlink" Target="https://facebook.com/pages/gfa-growfishanywhere-advanced-systems/190164074378057" TargetMode="External"/><Relationship Id="rId78" Type="http://schemas.openxmlformats.org/officeDocument/2006/relationships/hyperlink" Target="https://nuup.co/" TargetMode="External"/><Relationship Id="rId809" Type="http://schemas.openxmlformats.org/officeDocument/2006/relationships/hyperlink" Target="http://facebook.com/farmdriveke" TargetMode="External"/><Relationship Id="rId1201" Type="http://schemas.openxmlformats.org/officeDocument/2006/relationships/hyperlink" Target="https://linkedin.com/company/kisan-network" TargetMode="External"/><Relationship Id="rId1439" Type="http://schemas.openxmlformats.org/officeDocument/2006/relationships/hyperlink" Target="https://tracxn.com/companies/g-393D82EVuqZV6zEtwGNGtH2twY_v6tOT_C1MCkN1Q/inceres.com.br" TargetMode="External"/><Relationship Id="rId1646" Type="http://schemas.openxmlformats.org/officeDocument/2006/relationships/hyperlink" Target="http://linkedin.com/company/qtlomics" TargetMode="External"/><Relationship Id="rId1853" Type="http://schemas.openxmlformats.org/officeDocument/2006/relationships/hyperlink" Target="http://facebook.com/8villages" TargetMode="External"/><Relationship Id="rId1506" Type="http://schemas.openxmlformats.org/officeDocument/2006/relationships/hyperlink" Target="https://www.farmappweb.com/" TargetMode="External"/><Relationship Id="rId1713" Type="http://schemas.openxmlformats.org/officeDocument/2006/relationships/hyperlink" Target="http://facebook.com/pages/skymet-weather/472246906123174" TargetMode="External"/><Relationship Id="rId294" Type="http://schemas.openxmlformats.org/officeDocument/2006/relationships/hyperlink" Target="http://www.nugenes.net/" TargetMode="External"/><Relationship Id="rId154" Type="http://schemas.openxmlformats.org/officeDocument/2006/relationships/hyperlink" Target="https://tracxn.com/companies/koly1YDORacHFg2Vh7l60imVdCrZea7GKBF0fHmBw8U/genica.com.br" TargetMode="External"/><Relationship Id="rId361" Type="http://schemas.openxmlformats.org/officeDocument/2006/relationships/hyperlink" Target="https://tracxn.com/companies/c2FSAQI0mhWthe453XMeCxc0mhQwju2LQaDD-BCoe-8/easykrishi.com" TargetMode="External"/><Relationship Id="rId599" Type="http://schemas.openxmlformats.org/officeDocument/2006/relationships/hyperlink" Target="http://7gongli.com.cn/" TargetMode="External"/><Relationship Id="rId459" Type="http://schemas.openxmlformats.org/officeDocument/2006/relationships/hyperlink" Target="http://twitter.com/farmersfz" TargetMode="External"/><Relationship Id="rId666" Type="http://schemas.openxmlformats.org/officeDocument/2006/relationships/hyperlink" Target="https://linkedin.com/company/tierra-de-monte" TargetMode="External"/><Relationship Id="rId873" Type="http://schemas.openxmlformats.org/officeDocument/2006/relationships/hyperlink" Target="http://facebook.com/farmerp-107551095984129/" TargetMode="External"/><Relationship Id="rId1089" Type="http://schemas.openxmlformats.org/officeDocument/2006/relationships/hyperlink" Target="https://www.tcloudit.com/" TargetMode="External"/><Relationship Id="rId1296" Type="http://schemas.openxmlformats.org/officeDocument/2006/relationships/hyperlink" Target="http://bicaijia.com/" TargetMode="External"/><Relationship Id="rId221" Type="http://schemas.openxmlformats.org/officeDocument/2006/relationships/hyperlink" Target="http://occipitaltech.com/blog" TargetMode="External"/><Relationship Id="rId319" Type="http://schemas.openxmlformats.org/officeDocument/2006/relationships/hyperlink" Target="https://twitter.com/naturacropcare" TargetMode="External"/><Relationship Id="rId526" Type="http://schemas.openxmlformats.org/officeDocument/2006/relationships/hyperlink" Target="https://tracxn.com/companies/7sy0mtuvYQiqVH0hpzjwmif9RuZqdBBKNecqksTZLC8/freshboxx.in" TargetMode="External"/><Relationship Id="rId1156" Type="http://schemas.openxmlformats.org/officeDocument/2006/relationships/hyperlink" Target="https://tracxn.com/companies/Kth4cli12CIgDjWKxPQi2ijT-Bb3IUtiM9MsTvKBgd8/agronow.com.br" TargetMode="External"/><Relationship Id="rId1363" Type="http://schemas.openxmlformats.org/officeDocument/2006/relationships/hyperlink" Target="https://www.globalyeast.com/" TargetMode="External"/><Relationship Id="rId733" Type="http://schemas.openxmlformats.org/officeDocument/2006/relationships/hyperlink" Target="https://twitter.com/agrofynews" TargetMode="External"/><Relationship Id="rId940" Type="http://schemas.openxmlformats.org/officeDocument/2006/relationships/hyperlink" Target="http://www.linkedin.com/vsearch/p?f_CC=2479605" TargetMode="External"/><Relationship Id="rId1016" Type="http://schemas.openxmlformats.org/officeDocument/2006/relationships/hyperlink" Target="https://linkedin.com/company/activaq" TargetMode="External"/><Relationship Id="rId1570" Type="http://schemas.openxmlformats.org/officeDocument/2006/relationships/hyperlink" Target="http://facebook.com/groundworkbioag" TargetMode="External"/><Relationship Id="rId1668" Type="http://schemas.openxmlformats.org/officeDocument/2006/relationships/hyperlink" Target="http://linkedin.com/company/9236518" TargetMode="External"/><Relationship Id="rId1875" Type="http://schemas.openxmlformats.org/officeDocument/2006/relationships/hyperlink" Target="https://www.eruvaka.com/" TargetMode="External"/><Relationship Id="rId800" Type="http://schemas.openxmlformats.org/officeDocument/2006/relationships/hyperlink" Target="http://facebook.com/merakisanindia" TargetMode="External"/><Relationship Id="rId1223" Type="http://schemas.openxmlformats.org/officeDocument/2006/relationships/hyperlink" Target="http://facebook.com/foodstockmarket" TargetMode="External"/><Relationship Id="rId1430" Type="http://schemas.openxmlformats.org/officeDocument/2006/relationships/hyperlink" Target="https://aus.co.in/" TargetMode="External"/><Relationship Id="rId1528" Type="http://schemas.openxmlformats.org/officeDocument/2006/relationships/hyperlink" Target="https://www.ymt.com/" TargetMode="External"/><Relationship Id="rId1735" Type="http://schemas.openxmlformats.org/officeDocument/2006/relationships/hyperlink" Target="https://tracxn.com/companies/tS56eUwZdN6kihoJSwMDO9M5dNXMU8X6GCd7DsvlC-Q/nrgene.com" TargetMode="External"/><Relationship Id="rId27" Type="http://schemas.openxmlformats.org/officeDocument/2006/relationships/hyperlink" Target="https://facebook.com/aquaconnect.org.in" TargetMode="External"/><Relationship Id="rId1802" Type="http://schemas.openxmlformats.org/officeDocument/2006/relationships/hyperlink" Target="http://www.linkedin.com/vsearch/p?f_CC=9261394" TargetMode="External"/><Relationship Id="rId176" Type="http://schemas.openxmlformats.org/officeDocument/2006/relationships/hyperlink" Target="https://facebook.com/nocofio" TargetMode="External"/><Relationship Id="rId383" Type="http://schemas.openxmlformats.org/officeDocument/2006/relationships/hyperlink" Target="https://twitter.com/greenfingersmo1" TargetMode="External"/><Relationship Id="rId590" Type="http://schemas.openxmlformats.org/officeDocument/2006/relationships/hyperlink" Target="https://linkedin.com/company/livestock-wealth" TargetMode="External"/><Relationship Id="rId243" Type="http://schemas.openxmlformats.org/officeDocument/2006/relationships/hyperlink" Target="https://linkedin.com/company/tradebuza" TargetMode="External"/><Relationship Id="rId450" Type="http://schemas.openxmlformats.org/officeDocument/2006/relationships/hyperlink" Target="http://linkedin.com/company/13441955" TargetMode="External"/><Relationship Id="rId688" Type="http://schemas.openxmlformats.org/officeDocument/2006/relationships/hyperlink" Target="http://blog.farmdog.ag/" TargetMode="External"/><Relationship Id="rId895" Type="http://schemas.openxmlformats.org/officeDocument/2006/relationships/hyperlink" Target="http://facebook.com/tbitsistemas" TargetMode="External"/><Relationship Id="rId1080" Type="http://schemas.openxmlformats.org/officeDocument/2006/relationships/hyperlink" Target="http://liuxuxing.com/" TargetMode="External"/><Relationship Id="rId103" Type="http://schemas.openxmlformats.org/officeDocument/2006/relationships/hyperlink" Target="https://linkedin.com/company/otipy" TargetMode="External"/><Relationship Id="rId310" Type="http://schemas.openxmlformats.org/officeDocument/2006/relationships/hyperlink" Target="http://cowtribe.com/tribe-blog" TargetMode="External"/><Relationship Id="rId548" Type="http://schemas.openxmlformats.org/officeDocument/2006/relationships/hyperlink" Target="http://twitter.com/aibonoworld" TargetMode="External"/><Relationship Id="rId755" Type="http://schemas.openxmlformats.org/officeDocument/2006/relationships/hyperlink" Target="https://tracxn.com/companies/TOA-wHp7KlUQhPIHnqTOppdOqQrTaUsmB7E3IrzoARI/em3agri.com" TargetMode="External"/><Relationship Id="rId962" Type="http://schemas.openxmlformats.org/officeDocument/2006/relationships/hyperlink" Target="http://facebook.com/barrixagrosciences" TargetMode="External"/><Relationship Id="rId1178" Type="http://schemas.openxmlformats.org/officeDocument/2006/relationships/hyperlink" Target="http://linkedin.com/company/agreeta-solutions-private-limited" TargetMode="External"/><Relationship Id="rId1385" Type="http://schemas.openxmlformats.org/officeDocument/2006/relationships/hyperlink" Target="https://tracxn.com/companies/UNb6wDEjwOmj6B8rH-ah_A2OaNH4pgZgr7R5-i1cCqI/aegro.com.br" TargetMode="External"/><Relationship Id="rId1592" Type="http://schemas.openxmlformats.org/officeDocument/2006/relationships/hyperlink" Target="http://promip.agr.br/blog-promip" TargetMode="External"/><Relationship Id="rId91" Type="http://schemas.openxmlformats.org/officeDocument/2006/relationships/hyperlink" Target="http://linkedin.com/company/freshsource-global" TargetMode="External"/><Relationship Id="rId408" Type="http://schemas.openxmlformats.org/officeDocument/2006/relationships/hyperlink" Target="http://linkedin.com/company/13465673" TargetMode="External"/><Relationship Id="rId615" Type="http://schemas.openxmlformats.org/officeDocument/2006/relationships/hyperlink" Target="https://tracxn.com/companies/5KclIzvAE0mSHBQunIdEDpaN8Uxco0qgaEQFMTn9Jco/5ufarm.com" TargetMode="External"/><Relationship Id="rId822" Type="http://schemas.openxmlformats.org/officeDocument/2006/relationships/hyperlink" Target="http://agrosmart.com.br/blog" TargetMode="External"/><Relationship Id="rId1038" Type="http://schemas.openxmlformats.org/officeDocument/2006/relationships/hyperlink" Target="https://linkedin.com/company/agnextworld" TargetMode="External"/><Relationship Id="rId1245" Type="http://schemas.openxmlformats.org/officeDocument/2006/relationships/hyperlink" Target="http://caigouxiongdi.com/" TargetMode="External"/><Relationship Id="rId1452" Type="http://schemas.openxmlformats.org/officeDocument/2006/relationships/hyperlink" Target="https://tracxn.com/companies/QX68dqmtJH97jRVLujlRo-Sh8AC_jjEo1NGrzmZTjqI/dachuwang.com" TargetMode="External"/><Relationship Id="rId1897" Type="http://schemas.openxmlformats.org/officeDocument/2006/relationships/hyperlink" Target="https://tracxn.com/companies/tzkO54-o1cA2N7BT_94Iqji396ZYoW_m6-wTHbhTfVc/inifarms.com" TargetMode="External"/><Relationship Id="rId1105" Type="http://schemas.openxmlformats.org/officeDocument/2006/relationships/hyperlink" Target="https://tracxn.com/companies/w1liUjJ4f4vUnjk3zmp1vPWzythr7d3gEidiRDJyUdw/supplybunny.com" TargetMode="External"/><Relationship Id="rId1312" Type="http://schemas.openxmlformats.org/officeDocument/2006/relationships/hyperlink" Target="https://www.linkedin.com/company/gfresh" TargetMode="External"/><Relationship Id="rId1757" Type="http://schemas.openxmlformats.org/officeDocument/2006/relationships/hyperlink" Target="https://linkedin.com/company/krishidhan-seeds-ltd" TargetMode="External"/><Relationship Id="rId49" Type="http://schemas.openxmlformats.org/officeDocument/2006/relationships/hyperlink" Target="https://tracxn.com/companies/dddzG8-bpxuwkyqpz_y9t0Od88C_8K24zLrQbH54KGg/chilibeli.com" TargetMode="External"/><Relationship Id="rId1617" Type="http://schemas.openxmlformats.org/officeDocument/2006/relationships/hyperlink" Target="http://www.leveking.com/" TargetMode="External"/><Relationship Id="rId1824" Type="http://schemas.openxmlformats.org/officeDocument/2006/relationships/hyperlink" Target="https://tracxn.com/companies/vL9s-2RJdMckaCZ-f5sRU_bpqu_rTdYgx6JU4IeY7pA/donmario.com" TargetMode="External"/><Relationship Id="rId198" Type="http://schemas.openxmlformats.org/officeDocument/2006/relationships/hyperlink" Target="http://linkedin.com/company/18199377" TargetMode="External"/><Relationship Id="rId265" Type="http://schemas.openxmlformats.org/officeDocument/2006/relationships/hyperlink" Target="https://tracxn.com/companies/LfQTkoSpo8eD567hfOCTDjmfQyTWDZfyxAR73jadolI/begreen.farm" TargetMode="External"/><Relationship Id="rId472" Type="http://schemas.openxmlformats.org/officeDocument/2006/relationships/hyperlink" Target="https://twitter.com/unnatiagri" TargetMode="External"/><Relationship Id="rId125" Type="http://schemas.openxmlformats.org/officeDocument/2006/relationships/hyperlink" Target="https://tracxn.com/companies/hmaSOJvla4TnpRPelsLGop2mZyhdLmlbjE7xnrHVbWI/fjdynamics.com" TargetMode="External"/><Relationship Id="rId332" Type="http://schemas.openxmlformats.org/officeDocument/2006/relationships/hyperlink" Target="http://linkedin.com/company/cultyvate" TargetMode="External"/><Relationship Id="rId777" Type="http://schemas.openxmlformats.org/officeDocument/2006/relationships/hyperlink" Target="https://www.meicai.cn/" TargetMode="External"/><Relationship Id="rId984" Type="http://schemas.openxmlformats.org/officeDocument/2006/relationships/hyperlink" Target="http://linkedin.com/company/twiga-foods" TargetMode="External"/><Relationship Id="rId637" Type="http://schemas.openxmlformats.org/officeDocument/2006/relationships/hyperlink" Target="https://tracxn.com/companies/qBOCNBbOlUEitSR9Q1FT3n2CkWR9rsjMQGZp8VsYEVg/aquinovo.com" TargetMode="External"/><Relationship Id="rId844" Type="http://schemas.openxmlformats.org/officeDocument/2006/relationships/hyperlink" Target="http://twitter.com/agrevolutiongr" TargetMode="External"/><Relationship Id="rId1267" Type="http://schemas.openxmlformats.org/officeDocument/2006/relationships/hyperlink" Target="https://tracxn.com/companies/tTxs3PtXTDH8_zK0Rcd5f5hJ2GEse7zq7cTqYSXyL7s/songxiaocai.com" TargetMode="External"/><Relationship Id="rId1474" Type="http://schemas.openxmlformats.org/officeDocument/2006/relationships/hyperlink" Target="https://tracxn.com/companies/fcljhRWNWAy5YZtr8E_U3vAXn-0XMJAQE6rRc8Nt6FI/sribio.com" TargetMode="External"/><Relationship Id="rId1681" Type="http://schemas.openxmlformats.org/officeDocument/2006/relationships/hyperlink" Target="https://tracxn.com/companies/Rb65qShUX_JWSeodaf2z02IRoGSZK2jurXKpy7rPpho/weather-risk.com" TargetMode="External"/><Relationship Id="rId704" Type="http://schemas.openxmlformats.org/officeDocument/2006/relationships/hyperlink" Target="http://instacrops.com/noticias" TargetMode="External"/><Relationship Id="rId911" Type="http://schemas.openxmlformats.org/officeDocument/2006/relationships/hyperlink" Target="http://linkedin.com/company/phytech-ltd" TargetMode="External"/><Relationship Id="rId1127" Type="http://schemas.openxmlformats.org/officeDocument/2006/relationships/hyperlink" Target="https://tracxn.com/companies/VcCDv4H-StHurgIHpcGBAlHqAndNeyVsuw8v3-yLR7w/okguo.com" TargetMode="External"/><Relationship Id="rId1334" Type="http://schemas.openxmlformats.org/officeDocument/2006/relationships/hyperlink" Target="http://twitter.com/mifugotrade" TargetMode="External"/><Relationship Id="rId1541" Type="http://schemas.openxmlformats.org/officeDocument/2006/relationships/hyperlink" Target="https://twitter.com/agrostar_in" TargetMode="External"/><Relationship Id="rId1779" Type="http://schemas.openxmlformats.org/officeDocument/2006/relationships/hyperlink" Target="http://www.linkedin.com/vsearch/p?f_CC=2156695" TargetMode="External"/><Relationship Id="rId40" Type="http://schemas.openxmlformats.org/officeDocument/2006/relationships/hyperlink" Target="https://tracxn.com/companies/YyV2tIZLgeg5K1snt7sK_Xh7BXwdOxRlC7xW97jJd-4/bijak.in" TargetMode="External"/><Relationship Id="rId1401" Type="http://schemas.openxmlformats.org/officeDocument/2006/relationships/hyperlink" Target="https://tracxn.com/companies/Sp9QanggGlOce_dzkfe_ig1DAIOc_5lu-L63DciASFI/babbangona.com" TargetMode="External"/><Relationship Id="rId1639" Type="http://schemas.openxmlformats.org/officeDocument/2006/relationships/hyperlink" Target="https://www.freshworld.in/" TargetMode="External"/><Relationship Id="rId1846" Type="http://schemas.openxmlformats.org/officeDocument/2006/relationships/hyperlink" Target="http://www.advantaindia.com/" TargetMode="External"/><Relationship Id="rId1706" Type="http://schemas.openxmlformats.org/officeDocument/2006/relationships/hyperlink" Target="http://linkedin.com/company/subflex-ltd" TargetMode="External"/><Relationship Id="rId1913" Type="http://schemas.openxmlformats.org/officeDocument/2006/relationships/drawing" Target="../drawings/drawing9.xml"/><Relationship Id="rId287" Type="http://schemas.openxmlformats.org/officeDocument/2006/relationships/hyperlink" Target="https://www.datall.cn/" TargetMode="External"/><Relationship Id="rId494" Type="http://schemas.openxmlformats.org/officeDocument/2006/relationships/hyperlink" Target="http://linkedin.com/company/13211879" TargetMode="External"/><Relationship Id="rId147" Type="http://schemas.openxmlformats.org/officeDocument/2006/relationships/hyperlink" Target="http://linkedin.com/company/seetree" TargetMode="External"/><Relationship Id="rId354" Type="http://schemas.openxmlformats.org/officeDocument/2006/relationships/hyperlink" Target="https://facebook.com/leanagri" TargetMode="External"/><Relationship Id="rId799" Type="http://schemas.openxmlformats.org/officeDocument/2006/relationships/hyperlink" Target="http://twitter.com/merakisan" TargetMode="External"/><Relationship Id="rId1191" Type="http://schemas.openxmlformats.org/officeDocument/2006/relationships/hyperlink" Target="https://tracxn.com/companies/f5Kzq9Cm30r-e1_If5zpkZNC67ykfeCWho6-4t1DKGQ/wuabi.com.ar" TargetMode="External"/><Relationship Id="rId561" Type="http://schemas.openxmlformats.org/officeDocument/2006/relationships/hyperlink" Target="https://www.skyx.solutions/" TargetMode="External"/><Relationship Id="rId659" Type="http://schemas.openxmlformats.org/officeDocument/2006/relationships/hyperlink" Target="https://www.tierraseedscience.com/" TargetMode="External"/><Relationship Id="rId866" Type="http://schemas.openxmlformats.org/officeDocument/2006/relationships/hyperlink" Target="https://tracxn.com/companies/9vL_Ok9NSNyY4IzrXI4iSr182YWDDhJ_lsnZNdON3qo/freshworld.in" TargetMode="External"/><Relationship Id="rId1289" Type="http://schemas.openxmlformats.org/officeDocument/2006/relationships/hyperlink" Target="https://tracxn.com/companies/0zestrwnly0NK9l4Rg3MsXPfzyZ3ICYMM2SDHflQy6M/dongpinhui.cn" TargetMode="External"/><Relationship Id="rId1496" Type="http://schemas.openxmlformats.org/officeDocument/2006/relationships/hyperlink" Target="https://tracxn.com/companies/iPmfdUuU7oQEAGVeydXNpdaESieOiwdAMoHycWbO87Y/merakisan.com" TargetMode="External"/><Relationship Id="rId214" Type="http://schemas.openxmlformats.org/officeDocument/2006/relationships/hyperlink" Target="http://linkedin.com/company/aquaconnect1" TargetMode="External"/><Relationship Id="rId421" Type="http://schemas.openxmlformats.org/officeDocument/2006/relationships/hyperlink" Target="https://tracxn.com/companies/lRoOaM7-nkJKxUnFRH-6a3KAmNngWX-F_tZ693JSwsY/krishitantra.com" TargetMode="External"/><Relationship Id="rId519" Type="http://schemas.openxmlformats.org/officeDocument/2006/relationships/hyperlink" Target="https://tracxn.com/companies/4fJMIi7DU6x_GUgYOpJB1bfdwtzfj4_1kzS-A2SFDME/51xnb.com" TargetMode="External"/><Relationship Id="rId1051" Type="http://schemas.openxmlformats.org/officeDocument/2006/relationships/hyperlink" Target="https://www.linkedin.com/company/13218984" TargetMode="External"/><Relationship Id="rId1149" Type="http://schemas.openxmlformats.org/officeDocument/2006/relationships/hyperlink" Target="http://linkedin.com/company/komaza" TargetMode="External"/><Relationship Id="rId1356" Type="http://schemas.openxmlformats.org/officeDocument/2006/relationships/hyperlink" Target="https://tracxn.com/companies/vOUpPDpQOZjxQV53N3ksOWHda98HgN7oPQOxx5ewKQ8/grobomac.com" TargetMode="External"/><Relationship Id="rId726" Type="http://schemas.openxmlformats.org/officeDocument/2006/relationships/hyperlink" Target="https://tracxn.com/companies/uGEJW85KPCEJ2M_cpouWyf3uNWNoeLW-GLfPnUyL70w/getleaf.co" TargetMode="External"/><Relationship Id="rId933" Type="http://schemas.openxmlformats.org/officeDocument/2006/relationships/hyperlink" Target="https://tracxn.com/companies/EpY-IVrGAvwiWO9ofZjRSGeS2CrRNKpV1IUo4Mlqsu4/fieldin.com" TargetMode="External"/><Relationship Id="rId1009" Type="http://schemas.openxmlformats.org/officeDocument/2006/relationships/hyperlink" Target="https://www.poptani.asia/" TargetMode="External"/><Relationship Id="rId1563" Type="http://schemas.openxmlformats.org/officeDocument/2006/relationships/hyperlink" Target="http://facebook.com/vasham-614114268696615/" TargetMode="External"/><Relationship Id="rId1770" Type="http://schemas.openxmlformats.org/officeDocument/2006/relationships/hyperlink" Target="http://linkedin.com/company/jain-irrigation-systems-ltd-" TargetMode="External"/><Relationship Id="rId1868" Type="http://schemas.openxmlformats.org/officeDocument/2006/relationships/hyperlink" Target="https://tracxn.com/companies/ITXfotWYrzbub5X3B8EScXSKsAH9nIxJP2GQphW1oC8/greeniq.com" TargetMode="External"/><Relationship Id="rId62" Type="http://schemas.openxmlformats.org/officeDocument/2006/relationships/hyperlink" Target="https://linkedin.com/company/pinkfarms/about" TargetMode="External"/><Relationship Id="rId1216" Type="http://schemas.openxmlformats.org/officeDocument/2006/relationships/hyperlink" Target="https://equi-nom.com/" TargetMode="External"/><Relationship Id="rId1423" Type="http://schemas.openxmlformats.org/officeDocument/2006/relationships/hyperlink" Target="http://facebook.com/zappfresh" TargetMode="External"/><Relationship Id="rId1630" Type="http://schemas.openxmlformats.org/officeDocument/2006/relationships/hyperlink" Target="http://facebook.com/visualnacert" TargetMode="External"/><Relationship Id="rId1728" Type="http://schemas.openxmlformats.org/officeDocument/2006/relationships/hyperlink" Target="http://facebook.com/origene-seeds-175084312511532" TargetMode="External"/><Relationship Id="rId169" Type="http://schemas.openxmlformats.org/officeDocument/2006/relationships/hyperlink" Target="http://linkedin.com/company/fasal" TargetMode="External"/><Relationship Id="rId376" Type="http://schemas.openxmlformats.org/officeDocument/2006/relationships/hyperlink" Target="http://twitter.com/agree_market" TargetMode="External"/><Relationship Id="rId583" Type="http://schemas.openxmlformats.org/officeDocument/2006/relationships/hyperlink" Target="http://facebook.com/komazakenya" TargetMode="External"/><Relationship Id="rId790" Type="http://schemas.openxmlformats.org/officeDocument/2006/relationships/hyperlink" Target="https://facebook.com/ninjacart" TargetMode="External"/><Relationship Id="rId4" Type="http://schemas.openxmlformats.org/officeDocument/2006/relationships/hyperlink" Target="https://linkedin.com/company/agrixagrotech/about" TargetMode="External"/><Relationship Id="rId236" Type="http://schemas.openxmlformats.org/officeDocument/2006/relationships/hyperlink" Target="https://tracxn.com/companies/Rx84kqQaTy7ZTgVlQmiVFw3lD80A1SexUw3gwoUUtjY/agromeiq.com" TargetMode="External"/><Relationship Id="rId443" Type="http://schemas.openxmlformats.org/officeDocument/2006/relationships/hyperlink" Target="https://facebook.com/agricx" TargetMode="External"/><Relationship Id="rId650" Type="http://schemas.openxmlformats.org/officeDocument/2006/relationships/hyperlink" Target="https://linkedin.com/company/taranis-visual/about" TargetMode="External"/><Relationship Id="rId888" Type="http://schemas.openxmlformats.org/officeDocument/2006/relationships/hyperlink" Target="https://twitter.com/wrmsltd" TargetMode="External"/><Relationship Id="rId1073" Type="http://schemas.openxmlformats.org/officeDocument/2006/relationships/hyperlink" Target="https://www.crowde.co/" TargetMode="External"/><Relationship Id="rId1280" Type="http://schemas.openxmlformats.org/officeDocument/2006/relationships/hyperlink" Target="https://www.linkedin.com/company/ugaoo" TargetMode="External"/><Relationship Id="rId303" Type="http://schemas.openxmlformats.org/officeDocument/2006/relationships/hyperlink" Target="http://twitter.com/theearthfood" TargetMode="External"/><Relationship Id="rId748" Type="http://schemas.openxmlformats.org/officeDocument/2006/relationships/hyperlink" Target="http://facebook.com/mybighaat" TargetMode="External"/><Relationship Id="rId955" Type="http://schemas.openxmlformats.org/officeDocument/2006/relationships/hyperlink" Target="http://twitter.com/eruvakatech" TargetMode="External"/><Relationship Id="rId1140" Type="http://schemas.openxmlformats.org/officeDocument/2006/relationships/hyperlink" Target="https://tracxn.com/companies/yrjBSOcm4X6DY4xcZBLNyHSlcDvT2YqIgnPpCj-TRgQ/crofarm.com" TargetMode="External"/><Relationship Id="rId1378" Type="http://schemas.openxmlformats.org/officeDocument/2006/relationships/hyperlink" Target="http://twitter.com/agribots" TargetMode="External"/><Relationship Id="rId1585" Type="http://schemas.openxmlformats.org/officeDocument/2006/relationships/hyperlink" Target="http://facebook.com/modisarapp" TargetMode="External"/><Relationship Id="rId1792" Type="http://schemas.openxmlformats.org/officeDocument/2006/relationships/hyperlink" Target="http://facebook.com/pages/futuragene/173608519338440" TargetMode="External"/><Relationship Id="rId84" Type="http://schemas.openxmlformats.org/officeDocument/2006/relationships/hyperlink" Target="http://facebook.com/psimbiotica" TargetMode="External"/><Relationship Id="rId510" Type="http://schemas.openxmlformats.org/officeDocument/2006/relationships/hyperlink" Target="https://tracxn.com/companies/deQ7R1XU42TuJrJe_9WX98iwlu132jUUWilJv6DLeWI/nongtaowang.com" TargetMode="External"/><Relationship Id="rId608" Type="http://schemas.openxmlformats.org/officeDocument/2006/relationships/hyperlink" Target="https://www.linkedin.com/company/rootility" TargetMode="External"/><Relationship Id="rId815" Type="http://schemas.openxmlformats.org/officeDocument/2006/relationships/hyperlink" Target="http://facebook.com/cultivandofuturo" TargetMode="External"/><Relationship Id="rId1238" Type="http://schemas.openxmlformats.org/officeDocument/2006/relationships/hyperlink" Target="https://www.linkedin.com/company/6991823?trk=prof-exp-company-name" TargetMode="External"/><Relationship Id="rId1445" Type="http://schemas.openxmlformats.org/officeDocument/2006/relationships/hyperlink" Target="https://linkedin.com/company/%E5%8C%97%E4%BA%AC%E5%A4%A9%E8%BE%B0%E4%BA%91%E5%86%9C%E5%9C%BA%E6%9C%89%E9%99%90%E5%85%AC%E5%8F%B8/about" TargetMode="External"/><Relationship Id="rId1652" Type="http://schemas.openxmlformats.org/officeDocument/2006/relationships/hyperlink" Target="http://linkedin.com/company/mvs-efarm-pvt-ltd-" TargetMode="External"/><Relationship Id="rId1000" Type="http://schemas.openxmlformats.org/officeDocument/2006/relationships/hyperlink" Target="http://facebook.com/wandaorganic" TargetMode="External"/><Relationship Id="rId1305" Type="http://schemas.openxmlformats.org/officeDocument/2006/relationships/hyperlink" Target="https://tracxn.com/companies/-3QXH061Vl3JOsEGOX4bps8kkQjgnVmuuU4Nzh21hW4/buscagro.cl" TargetMode="External"/><Relationship Id="rId1512" Type="http://schemas.openxmlformats.org/officeDocument/2006/relationships/hyperlink" Target="https://www.cultivandofuturo.com/" TargetMode="External"/><Relationship Id="rId1817" Type="http://schemas.openxmlformats.org/officeDocument/2006/relationships/hyperlink" Target="http://linkedin.com/company/driptech" TargetMode="External"/><Relationship Id="rId11" Type="http://schemas.openxmlformats.org/officeDocument/2006/relationships/hyperlink" Target="https://facebook.com/unnatifarms" TargetMode="External"/><Relationship Id="rId398" Type="http://schemas.openxmlformats.org/officeDocument/2006/relationships/hyperlink" Target="https://twitter.com/agnextworld" TargetMode="External"/><Relationship Id="rId160" Type="http://schemas.openxmlformats.org/officeDocument/2006/relationships/hyperlink" Target="http://twitter.com/cricketoneasia" TargetMode="External"/><Relationship Id="rId258" Type="http://schemas.openxmlformats.org/officeDocument/2006/relationships/hyperlink" Target="http://linkedin.com/company/khulaagriculturetechnology" TargetMode="External"/><Relationship Id="rId465" Type="http://schemas.openxmlformats.org/officeDocument/2006/relationships/hyperlink" Target="https://www.linkedin.com/company/13218984" TargetMode="External"/><Relationship Id="rId672" Type="http://schemas.openxmlformats.org/officeDocument/2006/relationships/hyperlink" Target="https://www.linkedin.com/company/tanihub" TargetMode="External"/><Relationship Id="rId1095" Type="http://schemas.openxmlformats.org/officeDocument/2006/relationships/hyperlink" Target="https://tracxn.com/companies/3vF40AkQY7LwuVMUeahPFzo5fUn2SqiRHDP95BzF7tE/yangjiguanjia.com" TargetMode="External"/><Relationship Id="rId118" Type="http://schemas.openxmlformats.org/officeDocument/2006/relationships/hyperlink" Target="https://www.imagoai.com/" TargetMode="External"/><Relationship Id="rId325" Type="http://schemas.openxmlformats.org/officeDocument/2006/relationships/hyperlink" Target="http://twitter.com/farmizen" TargetMode="External"/><Relationship Id="rId532" Type="http://schemas.openxmlformats.org/officeDocument/2006/relationships/hyperlink" Target="https://start.agritask.com/?agritask_url=www.agritask.com%2Fm%2Fmain%2F" TargetMode="External"/><Relationship Id="rId977" Type="http://schemas.openxmlformats.org/officeDocument/2006/relationships/hyperlink" Target="https://www.upl-ltd.com/" TargetMode="External"/><Relationship Id="rId1162" Type="http://schemas.openxmlformats.org/officeDocument/2006/relationships/hyperlink" Target="http://twitter.com/rmlagtech" TargetMode="External"/><Relationship Id="rId837" Type="http://schemas.openxmlformats.org/officeDocument/2006/relationships/hyperlink" Target="https://linkedin.com/company/efisheryid/about" TargetMode="External"/><Relationship Id="rId1022" Type="http://schemas.openxmlformats.org/officeDocument/2006/relationships/hyperlink" Target="https://linkedin.com/company/waycoolfoods/about" TargetMode="External"/><Relationship Id="rId1467" Type="http://schemas.openxmlformats.org/officeDocument/2006/relationships/hyperlink" Target="https://twitter.com/ninjacart" TargetMode="External"/><Relationship Id="rId1674" Type="http://schemas.openxmlformats.org/officeDocument/2006/relationships/hyperlink" Target="http://linkedin.com/company/meta-helix-life-sciences-private-limited" TargetMode="External"/><Relationship Id="rId1881" Type="http://schemas.openxmlformats.org/officeDocument/2006/relationships/hyperlink" Target="https://www.stellapps.com/" TargetMode="External"/><Relationship Id="rId904" Type="http://schemas.openxmlformats.org/officeDocument/2006/relationships/hyperlink" Target="https://proximitydesigns.org/" TargetMode="External"/><Relationship Id="rId1327" Type="http://schemas.openxmlformats.org/officeDocument/2006/relationships/hyperlink" Target="http://blog.farmdog.ag/" TargetMode="External"/><Relationship Id="rId1534" Type="http://schemas.openxmlformats.org/officeDocument/2006/relationships/hyperlink" Target="https://www.linkedin.com/company/10503091" TargetMode="External"/><Relationship Id="rId1741" Type="http://schemas.openxmlformats.org/officeDocument/2006/relationships/hyperlink" Target="http://blog.netafim.com/" TargetMode="External"/><Relationship Id="rId33" Type="http://schemas.openxmlformats.org/officeDocument/2006/relationships/hyperlink" Target="https://atomicagro.com.br/" TargetMode="External"/><Relationship Id="rId1601" Type="http://schemas.openxmlformats.org/officeDocument/2006/relationships/hyperlink" Target="https://www.agrevolution.in/" TargetMode="External"/><Relationship Id="rId1839" Type="http://schemas.openxmlformats.org/officeDocument/2006/relationships/hyperlink" Target="http://www.linkedin.com/vsearch/p?f_CC=85260" TargetMode="External"/><Relationship Id="rId182" Type="http://schemas.openxmlformats.org/officeDocument/2006/relationships/hyperlink" Target="http://wolkus.com/" TargetMode="External"/><Relationship Id="rId1906" Type="http://schemas.openxmlformats.org/officeDocument/2006/relationships/hyperlink" Target="http://facebook.com/allerguard-systems-2034633500100961/%5d" TargetMode="External"/><Relationship Id="rId487" Type="http://schemas.openxmlformats.org/officeDocument/2006/relationships/hyperlink" Target="https://tracxn.com/companies/-5_Lr5ueIWj5H6CCCH6vz-wGiB1V-Pduq0UgyZfo6GM/lenterafrica.com" TargetMode="External"/><Relationship Id="rId694" Type="http://schemas.openxmlformats.org/officeDocument/2006/relationships/hyperlink" Target="http://www.farmtaaza.com/" TargetMode="External"/><Relationship Id="rId347" Type="http://schemas.openxmlformats.org/officeDocument/2006/relationships/hyperlink" Target="https://tracxn.com/companies/CsaRMrNZKjunoWp_Oa_5HMmdlRPgYzeYDF-J6drjhyM/seedo.com" TargetMode="External"/><Relationship Id="rId999" Type="http://schemas.openxmlformats.org/officeDocument/2006/relationships/hyperlink" Target="https://www.wandaorganic.org/" TargetMode="External"/><Relationship Id="rId1184" Type="http://schemas.openxmlformats.org/officeDocument/2006/relationships/hyperlink" Target="https://www.linkedin.com/company/rootility" TargetMode="External"/><Relationship Id="rId554" Type="http://schemas.openxmlformats.org/officeDocument/2006/relationships/hyperlink" Target="http://twitter.com/tomatiki3" TargetMode="External"/><Relationship Id="rId761" Type="http://schemas.openxmlformats.org/officeDocument/2006/relationships/hyperlink" Target="http://www.linkedin.com/vsearch/p?f_CC=4837305" TargetMode="External"/><Relationship Id="rId859" Type="http://schemas.openxmlformats.org/officeDocument/2006/relationships/hyperlink" Target="https://linkedin.com/company/energaia-spirulina/about" TargetMode="External"/><Relationship Id="rId1391" Type="http://schemas.openxmlformats.org/officeDocument/2006/relationships/hyperlink" Target="https://www.linkedin.com/company/10147582?trk=prof-exp-company-name" TargetMode="External"/><Relationship Id="rId1489" Type="http://schemas.openxmlformats.org/officeDocument/2006/relationships/hyperlink" Target="https://tracxn.com/companies/99kSGDQVIc-wMSG3ArfS-cPRXSxstEYd05xpBLrw5TM/ibreedit.com" TargetMode="External"/><Relationship Id="rId1696" Type="http://schemas.openxmlformats.org/officeDocument/2006/relationships/hyperlink" Target="https://tracxn.com/companies/GdlWVRAvdHz5wtVP8LrZsyoR4Tas81RqPJZWS6ro3PU/tonysfarm.com" TargetMode="External"/><Relationship Id="rId207" Type="http://schemas.openxmlformats.org/officeDocument/2006/relationships/hyperlink" Target="https://www.digifarmz.com/" TargetMode="External"/><Relationship Id="rId414" Type="http://schemas.openxmlformats.org/officeDocument/2006/relationships/hyperlink" Target="https://twitter.com/aerobotics_intl" TargetMode="External"/><Relationship Id="rId621" Type="http://schemas.openxmlformats.org/officeDocument/2006/relationships/hyperlink" Target="http://farmerline.co/blog" TargetMode="External"/><Relationship Id="rId1044" Type="http://schemas.openxmlformats.org/officeDocument/2006/relationships/hyperlink" Target="http://facebook.com/pages/eggxyt/1763030413963918" TargetMode="External"/><Relationship Id="rId1251" Type="http://schemas.openxmlformats.org/officeDocument/2006/relationships/hyperlink" Target="https://facebook.com/taranisvisual" TargetMode="External"/><Relationship Id="rId1349" Type="http://schemas.openxmlformats.org/officeDocument/2006/relationships/hyperlink" Target="https://facebook.com/liciousfoods" TargetMode="External"/><Relationship Id="rId719" Type="http://schemas.openxmlformats.org/officeDocument/2006/relationships/hyperlink" Target="http://facebook.com/jetbov" TargetMode="External"/><Relationship Id="rId926" Type="http://schemas.openxmlformats.org/officeDocument/2006/relationships/hyperlink" Target="https://tracxn.com/companies/PUxPXKncDQhl-uXBPtKmK60LkW7mUychAPw4TK_6cfY/netafim.com" TargetMode="External"/><Relationship Id="rId1111" Type="http://schemas.openxmlformats.org/officeDocument/2006/relationships/hyperlink" Target="https://ghalani.com/" TargetMode="External"/><Relationship Id="rId1556" Type="http://schemas.openxmlformats.org/officeDocument/2006/relationships/hyperlink" Target="http://twitter.com/sumaagro" TargetMode="External"/><Relationship Id="rId1763" Type="http://schemas.openxmlformats.org/officeDocument/2006/relationships/hyperlink" Target="https://twitter.com/kaiimabioagtech" TargetMode="External"/><Relationship Id="rId55" Type="http://schemas.openxmlformats.org/officeDocument/2006/relationships/hyperlink" Target="https://linkedin.com/company/upl-ltd" TargetMode="External"/><Relationship Id="rId1209" Type="http://schemas.openxmlformats.org/officeDocument/2006/relationships/hyperlink" Target="https://twitter.com/smartbeen" TargetMode="External"/><Relationship Id="rId1416" Type="http://schemas.openxmlformats.org/officeDocument/2006/relationships/hyperlink" Target="https://twitter.com/prospera_tech" TargetMode="External"/><Relationship Id="rId1623" Type="http://schemas.openxmlformats.org/officeDocument/2006/relationships/hyperlink" Target="https://linkedin.com/company/renewmaterial" TargetMode="External"/><Relationship Id="rId1830" Type="http://schemas.openxmlformats.org/officeDocument/2006/relationships/hyperlink" Target="https://tracxn.com/companies/rSNVOAMihQqgNtV0of-KhE8W_yt-7BMw0f08SY9ThYo/chipinside.com.br" TargetMode="External"/><Relationship Id="rId271" Type="http://schemas.openxmlformats.org/officeDocument/2006/relationships/hyperlink" Target="https://tracxn.com/companies/OLMPZdxTSeze2SmF4J5F_6yHv4ALkjnSECaa0-TJtkA/farmfriend.cn" TargetMode="External"/><Relationship Id="rId131" Type="http://schemas.openxmlformats.org/officeDocument/2006/relationships/hyperlink" Target="https://tracxn.com/companies/Sm149dXJH631lqLaibKT-eGSn49KueuhJ9XDIXqD3x0/shuxitech.com" TargetMode="External"/><Relationship Id="rId369" Type="http://schemas.openxmlformats.org/officeDocument/2006/relationships/hyperlink" Target="http://twitter.com/solinftec_br" TargetMode="External"/><Relationship Id="rId576" Type="http://schemas.openxmlformats.org/officeDocument/2006/relationships/hyperlink" Target="http://twitter.com/graodireto" TargetMode="External"/><Relationship Id="rId783" Type="http://schemas.openxmlformats.org/officeDocument/2006/relationships/hyperlink" Target="https://facebook.com/cropintech" TargetMode="External"/><Relationship Id="rId990" Type="http://schemas.openxmlformats.org/officeDocument/2006/relationships/hyperlink" Target="http://facebook.com/livlushindia" TargetMode="External"/><Relationship Id="rId229" Type="http://schemas.openxmlformats.org/officeDocument/2006/relationships/hyperlink" Target="https://tracxn.com/companies/aFZXnTrnPcDTrlbDsOWnf5lvEFjS6Dqkacl7sHl6ITU/nutrition-technologies.com" TargetMode="External"/><Relationship Id="rId436" Type="http://schemas.openxmlformats.org/officeDocument/2006/relationships/hyperlink" Target="https://www.eggxyt.com/" TargetMode="External"/><Relationship Id="rId643" Type="http://schemas.openxmlformats.org/officeDocument/2006/relationships/hyperlink" Target="https://facebook.com/farmart.agritech" TargetMode="External"/><Relationship Id="rId1066" Type="http://schemas.openxmlformats.org/officeDocument/2006/relationships/hyperlink" Target="http://ww38.paalak.in/" TargetMode="External"/><Relationship Id="rId1273" Type="http://schemas.openxmlformats.org/officeDocument/2006/relationships/hyperlink" Target="https://tracxn.com/companies/YbP0wutIuupbhZIsgTJ8PBQwRU3uxzIFHSycb5qvuU8/yunfarm.cn" TargetMode="External"/><Relationship Id="rId1480" Type="http://schemas.openxmlformats.org/officeDocument/2006/relationships/hyperlink" Target="http://facebook.com/pages/flybird-innovations-pvt-ltd/1570844579814500" TargetMode="External"/><Relationship Id="rId850" Type="http://schemas.openxmlformats.org/officeDocument/2006/relationships/hyperlink" Target="https://zentronlabs.com/" TargetMode="External"/><Relationship Id="rId948" Type="http://schemas.openxmlformats.org/officeDocument/2006/relationships/hyperlink" Target="http://linkedin.com/company/yuktiz-technologies-pvt-ltd" TargetMode="External"/><Relationship Id="rId1133" Type="http://schemas.openxmlformats.org/officeDocument/2006/relationships/hyperlink" Target="https://www.linkedin.com/company/9233459" TargetMode="External"/><Relationship Id="rId1578" Type="http://schemas.openxmlformats.org/officeDocument/2006/relationships/hyperlink" Target="http://twitter.com/nilebot15" TargetMode="External"/><Relationship Id="rId1785" Type="http://schemas.openxmlformats.org/officeDocument/2006/relationships/hyperlink" Target="http://linkedin.com/company/grow-fish-anywhere-gfa-ltd-" TargetMode="External"/><Relationship Id="rId77" Type="http://schemas.openxmlformats.org/officeDocument/2006/relationships/hyperlink" Target="http://www.linkedin.com/vsearch/p?f_CC=9460339" TargetMode="External"/><Relationship Id="rId503" Type="http://schemas.openxmlformats.org/officeDocument/2006/relationships/hyperlink" Target="https://tracxn.com/companies/V1YDvxBt7tae9Ok9ZzVJSgjbXsvdbrJwRck_cGpS4gI/zuzitech.com" TargetMode="External"/><Relationship Id="rId710" Type="http://schemas.openxmlformats.org/officeDocument/2006/relationships/hyperlink" Target="https://tracxn.com/companies/vOUpPDpQOZjxQV53N3ksOWHda98HgN7oPQOxx5ewKQ8/grobomac.com" TargetMode="External"/><Relationship Id="rId808" Type="http://schemas.openxmlformats.org/officeDocument/2006/relationships/hyperlink" Target="http://twitter.com/farmdriveke" TargetMode="External"/><Relationship Id="rId1340" Type="http://schemas.openxmlformats.org/officeDocument/2006/relationships/hyperlink" Target="https://twitter.com/sea6energy" TargetMode="External"/><Relationship Id="rId1438" Type="http://schemas.openxmlformats.org/officeDocument/2006/relationships/hyperlink" Target="http://facebook.com/inceres/" TargetMode="External"/><Relationship Id="rId1645" Type="http://schemas.openxmlformats.org/officeDocument/2006/relationships/hyperlink" Target="http://www.qtlomics.com/" TargetMode="External"/><Relationship Id="rId1200" Type="http://schemas.openxmlformats.org/officeDocument/2006/relationships/hyperlink" Target="https://www.kisannetwork.com/" TargetMode="External"/><Relationship Id="rId1852" Type="http://schemas.openxmlformats.org/officeDocument/2006/relationships/hyperlink" Target="https://twitter.com/8villages" TargetMode="External"/><Relationship Id="rId1505" Type="http://schemas.openxmlformats.org/officeDocument/2006/relationships/hyperlink" Target="https://tracxn.com/companies/a884p3pDpAGTZ4tfYcbuy9A6N73tjVoQMC6I55ZFx64/farmdrive.co.ke" TargetMode="External"/><Relationship Id="rId1712" Type="http://schemas.openxmlformats.org/officeDocument/2006/relationships/hyperlink" Target="http://twitter.com/skymetweather" TargetMode="External"/><Relationship Id="rId293" Type="http://schemas.openxmlformats.org/officeDocument/2006/relationships/hyperlink" Target="https://tracxn.com/companies/L7BrYzT7rf3zA_0ARWNqbF6Fwt4AYTqU72z0t1IpHzM/waycool.in" TargetMode="External"/><Relationship Id="rId153" Type="http://schemas.openxmlformats.org/officeDocument/2006/relationships/hyperlink" Target="https://facebook.com/genica.bio" TargetMode="External"/><Relationship Id="rId360" Type="http://schemas.openxmlformats.org/officeDocument/2006/relationships/hyperlink" Target="https://linkedin.com/company/easykrishi-pvt-ltd/about" TargetMode="External"/><Relationship Id="rId598" Type="http://schemas.openxmlformats.org/officeDocument/2006/relationships/hyperlink" Target="https://tracxn.com/companies/O37Kj8mxXvoxlviWPXW-2UGw0J5Jy0do8uaX3gy8-14/farmfolio.net" TargetMode="External"/><Relationship Id="rId220" Type="http://schemas.openxmlformats.org/officeDocument/2006/relationships/hyperlink" Target="https://twitter.com/occipitaltech" TargetMode="External"/><Relationship Id="rId458" Type="http://schemas.openxmlformats.org/officeDocument/2006/relationships/hyperlink" Target="https://linkedin.com/company/farmersfreshzone" TargetMode="External"/><Relationship Id="rId665" Type="http://schemas.openxmlformats.org/officeDocument/2006/relationships/hyperlink" Target="https://www.tierrademonte.com/" TargetMode="External"/><Relationship Id="rId872" Type="http://schemas.openxmlformats.org/officeDocument/2006/relationships/hyperlink" Target="http://twitter.com/growwithfarmerp" TargetMode="External"/><Relationship Id="rId1088" Type="http://schemas.openxmlformats.org/officeDocument/2006/relationships/hyperlink" Target="https://tracxn.com/companies/7sy0mtuvYQiqVH0hpzjwmif9RuZqdBBKNecqksTZLC8/freshboxx.in" TargetMode="External"/><Relationship Id="rId1295" Type="http://schemas.openxmlformats.org/officeDocument/2006/relationships/hyperlink" Target="https://tracxn.com/companies/QgCxKraIto9RJc2Kyb7kXT3V2uAbzQ5IEyNlCUOQ8DM/eragano.com" TargetMode="External"/><Relationship Id="rId318" Type="http://schemas.openxmlformats.org/officeDocument/2006/relationships/hyperlink" Target="https://linkedin.com/company/natura-crop-care/about" TargetMode="External"/><Relationship Id="rId525" Type="http://schemas.openxmlformats.org/officeDocument/2006/relationships/hyperlink" Target="http://facebook.com/freshboxx" TargetMode="External"/><Relationship Id="rId732" Type="http://schemas.openxmlformats.org/officeDocument/2006/relationships/hyperlink" Target="https://www.linkedin.com/company/agrofy" TargetMode="External"/><Relationship Id="rId1155" Type="http://schemas.openxmlformats.org/officeDocument/2006/relationships/hyperlink" Target="https://twitter.com/agronow_tec" TargetMode="External"/><Relationship Id="rId1362" Type="http://schemas.openxmlformats.org/officeDocument/2006/relationships/hyperlink" Target="https://tracxn.com/companies/rngYGOhCkvLAH_IBHh4sxcnNeIY991nHfyvNdqY2o-A/mosavali.org" TargetMode="External"/><Relationship Id="rId99" Type="http://schemas.openxmlformats.org/officeDocument/2006/relationships/hyperlink" Target="http://twitter.com/twigafoods" TargetMode="External"/><Relationship Id="rId1015" Type="http://schemas.openxmlformats.org/officeDocument/2006/relationships/hyperlink" Target="https://www.activaq.cl/" TargetMode="External"/><Relationship Id="rId1222" Type="http://schemas.openxmlformats.org/officeDocument/2006/relationships/hyperlink" Target="http://twitter.com/foodstockmarket" TargetMode="External"/><Relationship Id="rId1667" Type="http://schemas.openxmlformats.org/officeDocument/2006/relationships/hyperlink" Target="http://www.sunculture.com/" TargetMode="External"/><Relationship Id="rId1874" Type="http://schemas.openxmlformats.org/officeDocument/2006/relationships/hyperlink" Target="http://www.linkedin.com/vsearch/p?f_CC=3519620" TargetMode="External"/><Relationship Id="rId469" Type="http://schemas.openxmlformats.org/officeDocument/2006/relationships/hyperlink" Target="https://tracxn.com/companies/DV2rgI5krfQDbI9RLp8ra0RafUPG6f7LRA24ZcZSD-g/sheyuan.com" TargetMode="External"/><Relationship Id="rId676" Type="http://schemas.openxmlformats.org/officeDocument/2006/relationships/hyperlink" Target="https://www.aliakbargroup.com/" TargetMode="External"/><Relationship Id="rId883" Type="http://schemas.openxmlformats.org/officeDocument/2006/relationships/hyperlink" Target="http://sunculture.com/page/2?afdt=zu0vi8gvzickewiu25nlwiycahuo5cckhbs5t0sqahgdiaa&amp;search" TargetMode="External"/><Relationship Id="rId1099" Type="http://schemas.openxmlformats.org/officeDocument/2006/relationships/hyperlink" Target="https://tracxn.com/companies/c5S5N46MN6zDkLsyCKB3h1IV-4f75sNGl7kkIvfAQe0/sanfeng.net" TargetMode="External"/><Relationship Id="rId1527" Type="http://schemas.openxmlformats.org/officeDocument/2006/relationships/hyperlink" Target="https://tracxn.com/companies/FrFptHR2twOk1qHrvEvvXmuZ4oJ0gfMXHaMzDjM9jtk/agrosmart.com.br" TargetMode="External"/><Relationship Id="rId1734" Type="http://schemas.openxmlformats.org/officeDocument/2006/relationships/hyperlink" Target="http://facebook.com/nrgene-technologies-1003279819696574/" TargetMode="External"/><Relationship Id="rId26" Type="http://schemas.openxmlformats.org/officeDocument/2006/relationships/hyperlink" Target="https://twitter.com/aqua_connect" TargetMode="External"/><Relationship Id="rId231" Type="http://schemas.openxmlformats.org/officeDocument/2006/relationships/hyperlink" Target="https://linkedin.com/company/credible-india/about" TargetMode="External"/><Relationship Id="rId329" Type="http://schemas.openxmlformats.org/officeDocument/2006/relationships/hyperlink" Target="http://beehivesa.com/" TargetMode="External"/><Relationship Id="rId536" Type="http://schemas.openxmlformats.org/officeDocument/2006/relationships/hyperlink" Target="https://linkedin.com/company/farmers-pride-africa/about" TargetMode="External"/><Relationship Id="rId1166" Type="http://schemas.openxmlformats.org/officeDocument/2006/relationships/hyperlink" Target="https://tracxn.com/companies/-sDNqCO7TkVCzW8kZSNjHjr3yqqVbLtq7SuGj1fuDBo/jinxiushengxian.com" TargetMode="External"/><Relationship Id="rId1373" Type="http://schemas.openxmlformats.org/officeDocument/2006/relationships/hyperlink" Target="http://revofarm.com/blog" TargetMode="External"/><Relationship Id="rId175" Type="http://schemas.openxmlformats.org/officeDocument/2006/relationships/hyperlink" Target="https://twitter.com/nocofioft" TargetMode="External"/><Relationship Id="rId743" Type="http://schemas.openxmlformats.org/officeDocument/2006/relationships/hyperlink" Target="http://facebook.com/fibsol" TargetMode="External"/><Relationship Id="rId950" Type="http://schemas.openxmlformats.org/officeDocument/2006/relationships/hyperlink" Target="http://facebook.com/yuktix" TargetMode="External"/><Relationship Id="rId1026" Type="http://schemas.openxmlformats.org/officeDocument/2006/relationships/hyperlink" Target="http://beehivesa.com/" TargetMode="External"/><Relationship Id="rId1580" Type="http://schemas.openxmlformats.org/officeDocument/2006/relationships/hyperlink" Target="https://tracxn.com/companies/wagsBF5a4v9N7VsaSJiYBIkbCQXjppHODJD5FQ8nYLw/nilebot.com" TargetMode="External"/><Relationship Id="rId1678" Type="http://schemas.openxmlformats.org/officeDocument/2006/relationships/hyperlink" Target="http://linkedin.com/company/weather-risk" TargetMode="External"/><Relationship Id="rId1801" Type="http://schemas.openxmlformats.org/officeDocument/2006/relationships/hyperlink" Target="https://tracxn.com/companies/bW2DXuDtapDKNhN6XYX9haXKTvSTafHlODEN5JhstLU/esoko.com" TargetMode="External"/><Relationship Id="rId1885" Type="http://schemas.openxmlformats.org/officeDocument/2006/relationships/hyperlink" Target="http://stellapps.com/blogs" TargetMode="External"/><Relationship Id="rId382" Type="http://schemas.openxmlformats.org/officeDocument/2006/relationships/hyperlink" Target="https://linkedin.com/company/greenfingers-mobile" TargetMode="External"/><Relationship Id="rId603" Type="http://schemas.openxmlformats.org/officeDocument/2006/relationships/hyperlink" Target="https://twitter.com/agreetapvtltd" TargetMode="External"/><Relationship Id="rId687" Type="http://schemas.openxmlformats.org/officeDocument/2006/relationships/hyperlink" Target="http://facebook.com/farmdog.ag" TargetMode="External"/><Relationship Id="rId810" Type="http://schemas.openxmlformats.org/officeDocument/2006/relationships/hyperlink" Target="https://tracxn.com/companies/a884p3pDpAGTZ4tfYcbuy9A6N73tjVoQMC6I55ZFx64/farmdrive.co.ke" TargetMode="External"/><Relationship Id="rId908" Type="http://schemas.openxmlformats.org/officeDocument/2006/relationships/hyperlink" Target="https://tracxn.com/companies/1FDSk2Yjp-MWIpbOj7-PtefZm3oAsmIaR3SxzQmdAFI/proximitydesigns.org" TargetMode="External"/><Relationship Id="rId1233" Type="http://schemas.openxmlformats.org/officeDocument/2006/relationships/hyperlink" Target="https://tracxn.com/companies/tmO8WbdJ51h6YPDqAQaSvBMjOBw6QBfo1cGhgtmHK4U/farmart.co" TargetMode="External"/><Relationship Id="rId1440" Type="http://schemas.openxmlformats.org/officeDocument/2006/relationships/hyperlink" Target="http://fdlm.cn/" TargetMode="External"/><Relationship Id="rId1538" Type="http://schemas.openxmlformats.org/officeDocument/2006/relationships/hyperlink" Target="https://tracxn.com/companies/gG8xYGj-xc4QQUpmP3E7hHjYl7PjXyfK6_EVqEVpR4M/hellotractor.com" TargetMode="External"/><Relationship Id="rId242" Type="http://schemas.openxmlformats.org/officeDocument/2006/relationships/hyperlink" Target="https://www.tradebuza.com/" TargetMode="External"/><Relationship Id="rId894" Type="http://schemas.openxmlformats.org/officeDocument/2006/relationships/hyperlink" Target="http://twitter.com/tbitsistemas" TargetMode="External"/><Relationship Id="rId1177" Type="http://schemas.openxmlformats.org/officeDocument/2006/relationships/hyperlink" Target="https://agreeta.com/" TargetMode="External"/><Relationship Id="rId1300" Type="http://schemas.openxmlformats.org/officeDocument/2006/relationships/hyperlink" Target="http://buscagro.cl/" TargetMode="External"/><Relationship Id="rId1745" Type="http://schemas.openxmlformats.org/officeDocument/2006/relationships/hyperlink" Target="http://linkedin.com/company/myagro" TargetMode="External"/><Relationship Id="rId37" Type="http://schemas.openxmlformats.org/officeDocument/2006/relationships/hyperlink" Target="https://tracxn.com/companies/tazSQRXL7W9sq27P9EPd1Zoi1B653Cr86v4iNow9dmQ/atomicagro.com.br" TargetMode="External"/><Relationship Id="rId102" Type="http://schemas.openxmlformats.org/officeDocument/2006/relationships/hyperlink" Target="https://www.otipy.com/" TargetMode="External"/><Relationship Id="rId547" Type="http://schemas.openxmlformats.org/officeDocument/2006/relationships/hyperlink" Target="https://linkedin.com/company/aibono" TargetMode="External"/><Relationship Id="rId754" Type="http://schemas.openxmlformats.org/officeDocument/2006/relationships/hyperlink" Target="http://em3agri.com/media.html" TargetMode="External"/><Relationship Id="rId961" Type="http://schemas.openxmlformats.org/officeDocument/2006/relationships/hyperlink" Target="http://twitter.com/barrixagrosci" TargetMode="External"/><Relationship Id="rId1384" Type="http://schemas.openxmlformats.org/officeDocument/2006/relationships/hyperlink" Target="http://twitter.com/aegrofarming" TargetMode="External"/><Relationship Id="rId1591" Type="http://schemas.openxmlformats.org/officeDocument/2006/relationships/hyperlink" Target="https://facebook.com/pages/promip/155794327790798" TargetMode="External"/><Relationship Id="rId1605" Type="http://schemas.openxmlformats.org/officeDocument/2006/relationships/hyperlink" Target="https://www.eden-shield.com/cgi-sys/suspendedpage.cgi" TargetMode="External"/><Relationship Id="rId1689" Type="http://schemas.openxmlformats.org/officeDocument/2006/relationships/hyperlink" Target="http://linkedin.com/company/field-fresh-vegfru-pvt-limited" TargetMode="External"/><Relationship Id="rId1812" Type="http://schemas.openxmlformats.org/officeDocument/2006/relationships/hyperlink" Target="http://twitter.com/ecozensolutions" TargetMode="External"/><Relationship Id="rId90" Type="http://schemas.openxmlformats.org/officeDocument/2006/relationships/hyperlink" Target="https://www.freshsourceglobal.com/" TargetMode="External"/><Relationship Id="rId186" Type="http://schemas.openxmlformats.org/officeDocument/2006/relationships/hyperlink" Target="http://medium.com/wolkus-hq" TargetMode="External"/><Relationship Id="rId393" Type="http://schemas.openxmlformats.org/officeDocument/2006/relationships/hyperlink" Target="https://tracxn.com/companies/enZ5F41vNW6kQhHix_lrg16atZCuj1BUCsmseNzZH0g/5fengshou.com" TargetMode="External"/><Relationship Id="rId407" Type="http://schemas.openxmlformats.org/officeDocument/2006/relationships/hyperlink" Target="http://www.gobasco.com/" TargetMode="External"/><Relationship Id="rId614" Type="http://schemas.openxmlformats.org/officeDocument/2006/relationships/hyperlink" Target="https://twitter.com/jingyixinzi" TargetMode="External"/><Relationship Id="rId821" Type="http://schemas.openxmlformats.org/officeDocument/2006/relationships/hyperlink" Target="http://facebook.com/agrosmart1" TargetMode="External"/><Relationship Id="rId1037" Type="http://schemas.openxmlformats.org/officeDocument/2006/relationships/hyperlink" Target="https://agnext.com/" TargetMode="External"/><Relationship Id="rId1244" Type="http://schemas.openxmlformats.org/officeDocument/2006/relationships/hyperlink" Target="https://tracxn.com/companies/pveVtl0odBAA4kpmkVhMQLGceBPhLw-khlhXxuj8b0s/saturas-ag.com" TargetMode="External"/><Relationship Id="rId1451" Type="http://schemas.openxmlformats.org/officeDocument/2006/relationships/hyperlink" Target="https://www.linkedin.com/company/%E5%8C%97%E4%BA%AC%E5%A4%A7%E5%8E%A8%E7%BD%91%E7%BB%9C%E7%A7%91%E6%8A%80%E6%9C%89%E9%99%90%E5%85%AC%E5%8F%B8" TargetMode="External"/><Relationship Id="rId1896" Type="http://schemas.openxmlformats.org/officeDocument/2006/relationships/hyperlink" Target="http://facebook.com/pages/ini-farms-pvt-ltd/621133451299367" TargetMode="External"/><Relationship Id="rId253" Type="http://schemas.openxmlformats.org/officeDocument/2006/relationships/hyperlink" Target="https://twitter.com/jaguza_app" TargetMode="External"/><Relationship Id="rId460" Type="http://schemas.openxmlformats.org/officeDocument/2006/relationships/hyperlink" Target="http://facebook.com/farmersfz" TargetMode="External"/><Relationship Id="rId698" Type="http://schemas.openxmlformats.org/officeDocument/2006/relationships/hyperlink" Target="http://facebook.com/brown-apron-1411381085841334" TargetMode="External"/><Relationship Id="rId919" Type="http://schemas.openxmlformats.org/officeDocument/2006/relationships/hyperlink" Target="https://tracxn.com/companies/cDSGSZO2A-49qQVvGIWs3oduVA4a58AhkynM3bjAqGg/nurserylive.com" TargetMode="External"/><Relationship Id="rId1090" Type="http://schemas.openxmlformats.org/officeDocument/2006/relationships/hyperlink" Target="https://www.linkedin.com/company/&#24191;&#35199;&#24935;&#20113;&#20449;&#24687;&#25216;&#26415;&#26377;&#38480;&#20844;&#21496;" TargetMode="External"/><Relationship Id="rId1104" Type="http://schemas.openxmlformats.org/officeDocument/2006/relationships/hyperlink" Target="http://blog.supplybunny.com/" TargetMode="External"/><Relationship Id="rId1311" Type="http://schemas.openxmlformats.org/officeDocument/2006/relationships/hyperlink" Target="http://www.gfresh.com/" TargetMode="External"/><Relationship Id="rId1549" Type="http://schemas.openxmlformats.org/officeDocument/2006/relationships/hyperlink" Target="https://tracxn.com/companies/6GfVeT-tYYf5IJ6H7IXuSDaBtZrj1NaHJxOy0fpe_ik/harddrones.com" TargetMode="External"/><Relationship Id="rId1756" Type="http://schemas.openxmlformats.org/officeDocument/2006/relationships/hyperlink" Target="http://krishidhanseeds.com/" TargetMode="External"/><Relationship Id="rId48" Type="http://schemas.openxmlformats.org/officeDocument/2006/relationships/hyperlink" Target="http://chilibeli.com/blog" TargetMode="External"/><Relationship Id="rId113" Type="http://schemas.openxmlformats.org/officeDocument/2006/relationships/hyperlink" Target="https://redseafarms.com/" TargetMode="External"/><Relationship Id="rId320" Type="http://schemas.openxmlformats.org/officeDocument/2006/relationships/hyperlink" Target="https://facebook.com/naturacropcare" TargetMode="External"/><Relationship Id="rId558" Type="http://schemas.openxmlformats.org/officeDocument/2006/relationships/hyperlink" Target="https://linkedin.com/company/steak-tzartzar" TargetMode="External"/><Relationship Id="rId765" Type="http://schemas.openxmlformats.org/officeDocument/2006/relationships/hyperlink" Target="http://www.linkedin.com/vsearch/p?f_CC=4853667" TargetMode="External"/><Relationship Id="rId972" Type="http://schemas.openxmlformats.org/officeDocument/2006/relationships/hyperlink" Target="https://www.farmagain.in/" TargetMode="External"/><Relationship Id="rId1188" Type="http://schemas.openxmlformats.org/officeDocument/2006/relationships/hyperlink" Target="https://tracxn.com/companies/aZwS2df5coxuetCqfMBd8rZKTJ7VAJgC8qit_6XHq0I/swinesmart.com" TargetMode="External"/><Relationship Id="rId1395" Type="http://schemas.openxmlformats.org/officeDocument/2006/relationships/hyperlink" Target="https://www.fibsol.com/" TargetMode="External"/><Relationship Id="rId1409" Type="http://schemas.openxmlformats.org/officeDocument/2006/relationships/hyperlink" Target="https://www.exabit.in/" TargetMode="External"/><Relationship Id="rId1616" Type="http://schemas.openxmlformats.org/officeDocument/2006/relationships/hyperlink" Target="https://tracxn.com/companies/VcEjFxn8gnO2L9QJYy-Kq5NwqMuHan4AhJt1QPR1XoM/gramophone.in" TargetMode="External"/><Relationship Id="rId1823" Type="http://schemas.openxmlformats.org/officeDocument/2006/relationships/hyperlink" Target="http://twitter.com/donmariooficial" TargetMode="External"/><Relationship Id="rId197" Type="http://schemas.openxmlformats.org/officeDocument/2006/relationships/hyperlink" Target="https://www.viridix.com/" TargetMode="External"/><Relationship Id="rId418" Type="http://schemas.openxmlformats.org/officeDocument/2006/relationships/hyperlink" Target="https://krishitantra.com/" TargetMode="External"/><Relationship Id="rId625" Type="http://schemas.openxmlformats.org/officeDocument/2006/relationships/hyperlink" Target="https://twitter.com/bharatrohan3" TargetMode="External"/><Relationship Id="rId832" Type="http://schemas.openxmlformats.org/officeDocument/2006/relationships/hyperlink" Target="http://twitter.com/nilebot15" TargetMode="External"/><Relationship Id="rId1048" Type="http://schemas.openxmlformats.org/officeDocument/2006/relationships/hyperlink" Target="https://twitter.com/apolloagri" TargetMode="External"/><Relationship Id="rId1255" Type="http://schemas.openxmlformats.org/officeDocument/2006/relationships/hyperlink" Target="https://www.linkedin.com/company/igrow-resources-indonesia" TargetMode="External"/><Relationship Id="rId1462" Type="http://schemas.openxmlformats.org/officeDocument/2006/relationships/hyperlink" Target="http://cropin.com/blogs" TargetMode="External"/><Relationship Id="rId264" Type="http://schemas.openxmlformats.org/officeDocument/2006/relationships/hyperlink" Target="https://facebook.com/begreen.farm" TargetMode="External"/><Relationship Id="rId471" Type="http://schemas.openxmlformats.org/officeDocument/2006/relationships/hyperlink" Target="https://linkedin.com/company/unnatifarms/about" TargetMode="External"/><Relationship Id="rId1115" Type="http://schemas.openxmlformats.org/officeDocument/2006/relationships/hyperlink" Target="http://www.aibono.com/" TargetMode="External"/><Relationship Id="rId1322" Type="http://schemas.openxmlformats.org/officeDocument/2006/relationships/hyperlink" Target="http://www.linkedin.com/vsearch/p?f_CC=6376832" TargetMode="External"/><Relationship Id="rId1767" Type="http://schemas.openxmlformats.org/officeDocument/2006/relationships/hyperlink" Target="https://linkedin.com/company/jumbotail" TargetMode="External"/><Relationship Id="rId59" Type="http://schemas.openxmlformats.org/officeDocument/2006/relationships/hyperlink" Target="https://investors.biocerescrops.com/home/default.aspx" TargetMode="External"/><Relationship Id="rId124" Type="http://schemas.openxmlformats.org/officeDocument/2006/relationships/hyperlink" Target="https://facebook.com/fjdynamics" TargetMode="External"/><Relationship Id="rId569" Type="http://schemas.openxmlformats.org/officeDocument/2006/relationships/hyperlink" Target="https://rootssat.com/" TargetMode="External"/><Relationship Id="rId776" Type="http://schemas.openxmlformats.org/officeDocument/2006/relationships/hyperlink" Target="https://tracxn.com/companies/0j-oEm465Taf9Dime4pJpqkeCvV84FY-9kRV-E79SNc/zappfresh.com" TargetMode="External"/><Relationship Id="rId983" Type="http://schemas.openxmlformats.org/officeDocument/2006/relationships/hyperlink" Target="https://www.twiga.ke/" TargetMode="External"/><Relationship Id="rId1199" Type="http://schemas.openxmlformats.org/officeDocument/2006/relationships/hyperlink" Target="https://tracxn.com/companies/a06udMOc6dp_sKi_pO3oBHTYQO9aBHDF6wLXkb7uarg/theagrihub.com" TargetMode="External"/><Relationship Id="rId1627" Type="http://schemas.openxmlformats.org/officeDocument/2006/relationships/hyperlink" Target="https://www.visualnacert.com/" TargetMode="External"/><Relationship Id="rId1834" Type="http://schemas.openxmlformats.org/officeDocument/2006/relationships/hyperlink" Target="https://tracxn.com/companies/zzzfDk6oUYvhG8PUqYBHNhcqAE4olNZtZiuKbS7JeNA/camsonbiotechnologies.com" TargetMode="External"/><Relationship Id="rId331" Type="http://schemas.openxmlformats.org/officeDocument/2006/relationships/hyperlink" Target="https://www.cultyvate.com/" TargetMode="External"/><Relationship Id="rId429" Type="http://schemas.openxmlformats.org/officeDocument/2006/relationships/hyperlink" Target="http://facebook.com/thrive-agric-577822042409238" TargetMode="External"/><Relationship Id="rId636" Type="http://schemas.openxmlformats.org/officeDocument/2006/relationships/hyperlink" Target="http://www.aquinovo.com/" TargetMode="External"/><Relationship Id="rId1059" Type="http://schemas.openxmlformats.org/officeDocument/2006/relationships/hyperlink" Target="https://facebook.com/intellolabs" TargetMode="External"/><Relationship Id="rId1266" Type="http://schemas.openxmlformats.org/officeDocument/2006/relationships/hyperlink" Target="https://www.songxiaocai.com/" TargetMode="External"/><Relationship Id="rId1473" Type="http://schemas.openxmlformats.org/officeDocument/2006/relationships/hyperlink" Target="http://www.sribio.com/" TargetMode="External"/><Relationship Id="rId843" Type="http://schemas.openxmlformats.org/officeDocument/2006/relationships/hyperlink" Target="http://linkedin.com/company/green-agrevolution-private-limited" TargetMode="External"/><Relationship Id="rId1126" Type="http://schemas.openxmlformats.org/officeDocument/2006/relationships/hyperlink" Target="http://www.okguo.com/" TargetMode="External"/><Relationship Id="rId1680" Type="http://schemas.openxmlformats.org/officeDocument/2006/relationships/hyperlink" Target="http://facebook.com/wrlpage" TargetMode="External"/><Relationship Id="rId1778" Type="http://schemas.openxmlformats.org/officeDocument/2006/relationships/hyperlink" Target="https://tracxn.com/companies/_Z_YrJkwTQGt3rI4WKj1wpIlphP-t81lLI-1EFdJQXc/imeve.com.br" TargetMode="External"/><Relationship Id="rId1901" Type="http://schemas.openxmlformats.org/officeDocument/2006/relationships/hyperlink" Target="https://twitter.com/seedcogroup" TargetMode="External"/><Relationship Id="rId275" Type="http://schemas.openxmlformats.org/officeDocument/2006/relationships/hyperlink" Target="http://infishta.com/blogs" TargetMode="External"/><Relationship Id="rId482" Type="http://schemas.openxmlformats.org/officeDocument/2006/relationships/hyperlink" Target="https://tracxn.com/companies/5gVXBYqkDD7CDguGfnKyhrhk0Od6Sv6sqGOQMwVUfGE/nestrom.com" TargetMode="External"/><Relationship Id="rId703" Type="http://schemas.openxmlformats.org/officeDocument/2006/relationships/hyperlink" Target="http://facebook.com/instacrops" TargetMode="External"/><Relationship Id="rId910" Type="http://schemas.openxmlformats.org/officeDocument/2006/relationships/hyperlink" Target="https://www.phytech.com/" TargetMode="External"/><Relationship Id="rId1333" Type="http://schemas.openxmlformats.org/officeDocument/2006/relationships/hyperlink" Target="http://mifugo.trade/" TargetMode="External"/><Relationship Id="rId1540" Type="http://schemas.openxmlformats.org/officeDocument/2006/relationships/hyperlink" Target="https://linkedin.com/company/agrostar-in/about" TargetMode="External"/><Relationship Id="rId1638" Type="http://schemas.openxmlformats.org/officeDocument/2006/relationships/hyperlink" Target="http://www.linkedin.com/vsearch/p?f_CC=3603909" TargetMode="External"/><Relationship Id="rId135" Type="http://schemas.openxmlformats.org/officeDocument/2006/relationships/hyperlink" Target="https://tracxn.com/companies/4EaxevJyqPkQEXfSVuKZnydTYqE8TgxQKwR95754Vjs/farmpal.co.in" TargetMode="External"/><Relationship Id="rId342" Type="http://schemas.openxmlformats.org/officeDocument/2006/relationships/hyperlink" Target="https://tracxn.com/companies/-Zx8SR9483WFVcUPF5njG0YFSdYWgX1E77Khjyfp1Ok/ndrip.com" TargetMode="External"/><Relationship Id="rId787" Type="http://schemas.openxmlformats.org/officeDocument/2006/relationships/hyperlink" Target="https://www.ninjacart.in/" TargetMode="External"/><Relationship Id="rId994" Type="http://schemas.openxmlformats.org/officeDocument/2006/relationships/hyperlink" Target="http://facebook.com/allerguard-systems-2034633500100961/%5d" TargetMode="External"/><Relationship Id="rId1400" Type="http://schemas.openxmlformats.org/officeDocument/2006/relationships/hyperlink" Target="http://twitter.com/babbangona" TargetMode="External"/><Relationship Id="rId1845" Type="http://schemas.openxmlformats.org/officeDocument/2006/relationships/hyperlink" Target="http://www.linkedin.com/vsearch/p?f_CC=555424" TargetMode="External"/><Relationship Id="rId202" Type="http://schemas.openxmlformats.org/officeDocument/2006/relationships/hyperlink" Target="http://linkedin.com/company/11164051" TargetMode="External"/><Relationship Id="rId647" Type="http://schemas.openxmlformats.org/officeDocument/2006/relationships/hyperlink" Target="https://twitter.com/dechetsalor" TargetMode="External"/><Relationship Id="rId854" Type="http://schemas.openxmlformats.org/officeDocument/2006/relationships/hyperlink" Target="https://linkedin.com/company/gramophone.co.in" TargetMode="External"/><Relationship Id="rId1277" Type="http://schemas.openxmlformats.org/officeDocument/2006/relationships/hyperlink" Target="http://twitter.com/limakilo_id" TargetMode="External"/><Relationship Id="rId1484" Type="http://schemas.openxmlformats.org/officeDocument/2006/relationships/hyperlink" Target="https://tracxn.com/companies/sJEw-u8hrxI_Am1-_uN-jzmjkZTlvJsGaS0qQ3I5eXE/ulinkorganics.com" TargetMode="External"/><Relationship Id="rId1691" Type="http://schemas.openxmlformats.org/officeDocument/2006/relationships/hyperlink" Target="http://facebook.com/vegfrucom-106552599388979/" TargetMode="External"/><Relationship Id="rId1705" Type="http://schemas.openxmlformats.org/officeDocument/2006/relationships/hyperlink" Target="http://subflex.org/" TargetMode="External"/><Relationship Id="rId1912" Type="http://schemas.openxmlformats.org/officeDocument/2006/relationships/printerSettings" Target="../printerSettings/printerSettings7.bin"/><Relationship Id="rId286" Type="http://schemas.openxmlformats.org/officeDocument/2006/relationships/hyperlink" Target="https://tracxn.com/companies/7bZme_z-8YWWiCHyF0cRmR3uYJ9heR8ZMgIJ9Fme_aM/botanicalsolutions.cl" TargetMode="External"/><Relationship Id="rId493" Type="http://schemas.openxmlformats.org/officeDocument/2006/relationships/hyperlink" Target="https://www.tritonfoodworks.com/" TargetMode="External"/><Relationship Id="rId507" Type="http://schemas.openxmlformats.org/officeDocument/2006/relationships/hyperlink" Target="https://www.fruitspec.com/" TargetMode="External"/><Relationship Id="rId714" Type="http://schemas.openxmlformats.org/officeDocument/2006/relationships/hyperlink" Target="https://tracxn.com/companies/Xz8GIRsrq26ULZvKojXqt4LK2ilE8OsYWwjcQlGI5os/foidn.com" TargetMode="External"/><Relationship Id="rId921" Type="http://schemas.openxmlformats.org/officeDocument/2006/relationships/hyperlink" Target="https://www.netafim.com/en/" TargetMode="External"/><Relationship Id="rId1137" Type="http://schemas.openxmlformats.org/officeDocument/2006/relationships/hyperlink" Target="https://linkedin.com/company/crofarm/about" TargetMode="External"/><Relationship Id="rId1344" Type="http://schemas.openxmlformats.org/officeDocument/2006/relationships/hyperlink" Target="http://facebook.com/brown-apron-1411381085841334" TargetMode="External"/><Relationship Id="rId1551" Type="http://schemas.openxmlformats.org/officeDocument/2006/relationships/hyperlink" Target="https://www.strider.ag/" TargetMode="External"/><Relationship Id="rId1789" Type="http://schemas.openxmlformats.org/officeDocument/2006/relationships/hyperlink" Target="https://www.futuragene.com/" TargetMode="External"/><Relationship Id="rId50" Type="http://schemas.openxmlformats.org/officeDocument/2006/relationships/hyperlink" Target="https://www.brainwired.in/" TargetMode="External"/><Relationship Id="rId146" Type="http://schemas.openxmlformats.org/officeDocument/2006/relationships/hyperlink" Target="https://www.seetree.ai/" TargetMode="External"/><Relationship Id="rId353" Type="http://schemas.openxmlformats.org/officeDocument/2006/relationships/hyperlink" Target="https://twitter.com/leanagri_india" TargetMode="External"/><Relationship Id="rId560" Type="http://schemas.openxmlformats.org/officeDocument/2006/relationships/hyperlink" Target="https://tracxn.com/companies/tYL0JrdVCuAbKQGi8h-A8g_k0zTQyolB3mn5NjMShqQ/hargol.com" TargetMode="External"/><Relationship Id="rId798" Type="http://schemas.openxmlformats.org/officeDocument/2006/relationships/hyperlink" Target="http://www.merakisan.com/" TargetMode="External"/><Relationship Id="rId1190" Type="http://schemas.openxmlformats.org/officeDocument/2006/relationships/hyperlink" Target="https://twitter.com/wuabiargentina" TargetMode="External"/><Relationship Id="rId1204" Type="http://schemas.openxmlformats.org/officeDocument/2006/relationships/hyperlink" Target="https://www.farmguide.in/" TargetMode="External"/><Relationship Id="rId1411" Type="http://schemas.openxmlformats.org/officeDocument/2006/relationships/hyperlink" Target="http://facebook.com/exabitsystems" TargetMode="External"/><Relationship Id="rId1649" Type="http://schemas.openxmlformats.org/officeDocument/2006/relationships/hyperlink" Target="https://tracxn.com/companies/PX1KwiBSilt9aSNDa9l41tebVI8pijYZnMPzw8ZnE_I/qtlomics.com" TargetMode="External"/><Relationship Id="rId1856" Type="http://schemas.openxmlformats.org/officeDocument/2006/relationships/hyperlink" Target="http://www.linkedin.com/vsearch/p?f_CC=3146270" TargetMode="External"/><Relationship Id="rId213" Type="http://schemas.openxmlformats.org/officeDocument/2006/relationships/hyperlink" Target="http://ww38.cari.org.in/" TargetMode="External"/><Relationship Id="rId420" Type="http://schemas.openxmlformats.org/officeDocument/2006/relationships/hyperlink" Target="https://twitter.com/krishitantra" TargetMode="External"/><Relationship Id="rId658" Type="http://schemas.openxmlformats.org/officeDocument/2006/relationships/hyperlink" Target="https://tracxn.com/companies/If_JvYuqkXqkpxN6NBB-j71CrLf1FQIf7s4Pm5qsxOk/theflyingspark.com" TargetMode="External"/><Relationship Id="rId865" Type="http://schemas.openxmlformats.org/officeDocument/2006/relationships/hyperlink" Target="https://freshworldfnv.wordpress.com/" TargetMode="External"/><Relationship Id="rId1050" Type="http://schemas.openxmlformats.org/officeDocument/2006/relationships/hyperlink" Target="https://pureharvest.ae/" TargetMode="External"/><Relationship Id="rId1288" Type="http://schemas.openxmlformats.org/officeDocument/2006/relationships/hyperlink" Target="https://www.linkedin.com/company/%E5%86%BB%E5%93%81%E4%BA%92%E8%81%94%EF%BC%88%E5%8C%97%E4%BA%AC%EF%BC%89%E7%BD%91%E7%BB%9C%E7%A7%91%E6%8A%80%E6%9C%89%E9%99%90%E5%85%AC%E5%8F%B8" TargetMode="External"/><Relationship Id="rId1495" Type="http://schemas.openxmlformats.org/officeDocument/2006/relationships/hyperlink" Target="http://facebook.com/merakisanindia" TargetMode="External"/><Relationship Id="rId1509" Type="http://schemas.openxmlformats.org/officeDocument/2006/relationships/hyperlink" Target="http://facebook.com/farmappweb" TargetMode="External"/><Relationship Id="rId1716" Type="http://schemas.openxmlformats.org/officeDocument/2006/relationships/hyperlink" Target="https://www.phytech.com/" TargetMode="External"/><Relationship Id="rId297" Type="http://schemas.openxmlformats.org/officeDocument/2006/relationships/hyperlink" Target="https://tracxn.com/companies/bD1wTOTZRth_dwnUSlrx-wvWUH3aThLlu2vwGbL84wg/kebaiiot.com" TargetMode="External"/><Relationship Id="rId518" Type="http://schemas.openxmlformats.org/officeDocument/2006/relationships/hyperlink" Target="http://www.51xnb.com/" TargetMode="External"/><Relationship Id="rId725" Type="http://schemas.openxmlformats.org/officeDocument/2006/relationships/hyperlink" Target="http://facebook.com/leafgrow" TargetMode="External"/><Relationship Id="rId932" Type="http://schemas.openxmlformats.org/officeDocument/2006/relationships/hyperlink" Target="http://fieldin.com/blog" TargetMode="External"/><Relationship Id="rId1148" Type="http://schemas.openxmlformats.org/officeDocument/2006/relationships/hyperlink" Target="https://www.komaza.com/" TargetMode="External"/><Relationship Id="rId1355" Type="http://schemas.openxmlformats.org/officeDocument/2006/relationships/hyperlink" Target="http://facebook.com/green-robot-machinery-1605595703030680" TargetMode="External"/><Relationship Id="rId1562" Type="http://schemas.openxmlformats.org/officeDocument/2006/relationships/hyperlink" Target="http://twitter.com/vasham_id" TargetMode="External"/><Relationship Id="rId157" Type="http://schemas.openxmlformats.org/officeDocument/2006/relationships/hyperlink" Target="https://linkedin.com/company/zimmer" TargetMode="External"/><Relationship Id="rId364" Type="http://schemas.openxmlformats.org/officeDocument/2006/relationships/hyperlink" Target="http://en.kehuiseed.com/" TargetMode="External"/><Relationship Id="rId1008" Type="http://schemas.openxmlformats.org/officeDocument/2006/relationships/hyperlink" Target="https://tracxn.com/companies/cYRk_oF8Yyfj1LntaNoT05xS-X-1SoHIb2yZrbNDBKg/agrotrac.cl" TargetMode="External"/><Relationship Id="rId1215" Type="http://schemas.openxmlformats.org/officeDocument/2006/relationships/hyperlink" Target="https://tracxn.com/companies/qBOCNBbOlUEitSR9Q1FT3n2CkWR9rsjMQGZp8VsYEVg/aquinovo.com" TargetMode="External"/><Relationship Id="rId1422" Type="http://schemas.openxmlformats.org/officeDocument/2006/relationships/hyperlink" Target="http://twitter.com/zappfresh" TargetMode="External"/><Relationship Id="rId1867" Type="http://schemas.openxmlformats.org/officeDocument/2006/relationships/hyperlink" Target="http://greeniq.com/blogs" TargetMode="External"/><Relationship Id="rId61" Type="http://schemas.openxmlformats.org/officeDocument/2006/relationships/hyperlink" Target="https://www.pinkfarms.com.br/" TargetMode="External"/><Relationship Id="rId571" Type="http://schemas.openxmlformats.org/officeDocument/2006/relationships/hyperlink" Target="http://www.amvicube.com/" TargetMode="External"/><Relationship Id="rId669" Type="http://schemas.openxmlformats.org/officeDocument/2006/relationships/hyperlink" Target="http://tierrademonte.com/noticias" TargetMode="External"/><Relationship Id="rId876" Type="http://schemas.openxmlformats.org/officeDocument/2006/relationships/hyperlink" Target="https://linkedin.com/company/rizobacter-argentina" TargetMode="External"/><Relationship Id="rId1299" Type="http://schemas.openxmlformats.org/officeDocument/2006/relationships/hyperlink" Target="https://tracxn.com/companies/AdfS4u3CL4mfsY_v2ULSeNMahXk-BiqADS-PPchS8To/emubao.com" TargetMode="External"/><Relationship Id="rId1727" Type="http://schemas.openxmlformats.org/officeDocument/2006/relationships/hyperlink" Target="https://twitter.com/origeneseeds" TargetMode="External"/><Relationship Id="rId19" Type="http://schemas.openxmlformats.org/officeDocument/2006/relationships/hyperlink" Target="http://agverse.in/" TargetMode="External"/><Relationship Id="rId224" Type="http://schemas.openxmlformats.org/officeDocument/2006/relationships/hyperlink" Target="http://linkedin.com/company/terramagna" TargetMode="External"/><Relationship Id="rId431" Type="http://schemas.openxmlformats.org/officeDocument/2006/relationships/hyperlink" Target="https://www.freshokartz.com/" TargetMode="External"/><Relationship Id="rId529" Type="http://schemas.openxmlformats.org/officeDocument/2006/relationships/hyperlink" Target="https://tracxn.com/companies/8M1hxc7sqt17QXcokHrGb2DdvxEasGe-bqKcBgH14k0/tcloudit.com" TargetMode="External"/><Relationship Id="rId736" Type="http://schemas.openxmlformats.org/officeDocument/2006/relationships/hyperlink" Target="https://tracxn.com/companies/kcKaAOnErvwMulwCzFKFYy-JBiJjEec1z2N9QAff0Ko/agrofy.com" TargetMode="External"/><Relationship Id="rId1061" Type="http://schemas.openxmlformats.org/officeDocument/2006/relationships/hyperlink" Target="http://www.kulishafeed.com/" TargetMode="External"/><Relationship Id="rId1159" Type="http://schemas.openxmlformats.org/officeDocument/2006/relationships/hyperlink" Target="http://facebook.com/o2waterator/" TargetMode="External"/><Relationship Id="rId1366" Type="http://schemas.openxmlformats.org/officeDocument/2006/relationships/hyperlink" Target="https://tracxn.com/companies/qsaHe8y4F7bxnFKyiZM5RODKR7L7XrkRVoW3y6Zi354/globalyeast.com" TargetMode="External"/><Relationship Id="rId168" Type="http://schemas.openxmlformats.org/officeDocument/2006/relationships/hyperlink" Target="https://fasal.co/" TargetMode="External"/><Relationship Id="rId943" Type="http://schemas.openxmlformats.org/officeDocument/2006/relationships/hyperlink" Target="http://twitter.com/agriness" TargetMode="External"/><Relationship Id="rId1019" Type="http://schemas.openxmlformats.org/officeDocument/2006/relationships/hyperlink" Target="http://twitter.com/synqe" TargetMode="External"/><Relationship Id="rId1573" Type="http://schemas.openxmlformats.org/officeDocument/2006/relationships/hyperlink" Target="https://drygair.com/" TargetMode="External"/><Relationship Id="rId1780" Type="http://schemas.openxmlformats.org/officeDocument/2006/relationships/hyperlink" Target="http://www.identis.in/" TargetMode="External"/><Relationship Id="rId1878" Type="http://schemas.openxmlformats.org/officeDocument/2006/relationships/hyperlink" Target="http://facebook.com/eruvakatechnologies" TargetMode="External"/><Relationship Id="rId72" Type="http://schemas.openxmlformats.org/officeDocument/2006/relationships/hyperlink" Target="https://facebook.com/absolutegreens" TargetMode="External"/><Relationship Id="rId375" Type="http://schemas.openxmlformats.org/officeDocument/2006/relationships/hyperlink" Target="http://linkedin.com/company/agree-market" TargetMode="External"/><Relationship Id="rId582" Type="http://schemas.openxmlformats.org/officeDocument/2006/relationships/hyperlink" Target="http://twitter.com/komaza" TargetMode="External"/><Relationship Id="rId803" Type="http://schemas.openxmlformats.org/officeDocument/2006/relationships/hyperlink" Target="http://facebook.com/ergos.in" TargetMode="External"/><Relationship Id="rId1226" Type="http://schemas.openxmlformats.org/officeDocument/2006/relationships/hyperlink" Target="http://twitter.com/ukulimatech" TargetMode="External"/><Relationship Id="rId1433" Type="http://schemas.openxmlformats.org/officeDocument/2006/relationships/hyperlink" Target="https://facebook.com/aaravunmannedsystems" TargetMode="External"/><Relationship Id="rId1640" Type="http://schemas.openxmlformats.org/officeDocument/2006/relationships/hyperlink" Target="https://www.linkedin.com/company/retailworx-india-private-limited" TargetMode="External"/><Relationship Id="rId1738" Type="http://schemas.openxmlformats.org/officeDocument/2006/relationships/hyperlink" Target="http://linkedin.com/company/netafim" TargetMode="External"/><Relationship Id="rId3" Type="http://schemas.openxmlformats.org/officeDocument/2006/relationships/hyperlink" Target="https://www.agrixagro.com/" TargetMode="External"/><Relationship Id="rId235" Type="http://schemas.openxmlformats.org/officeDocument/2006/relationships/hyperlink" Target="https://linkedin.com/company/agrome-iq-international/about" TargetMode="External"/><Relationship Id="rId442" Type="http://schemas.openxmlformats.org/officeDocument/2006/relationships/hyperlink" Target="https://twitter.com/agricx" TargetMode="External"/><Relationship Id="rId887" Type="http://schemas.openxmlformats.org/officeDocument/2006/relationships/hyperlink" Target="http://linkedin.com/company/weather-risk" TargetMode="External"/><Relationship Id="rId1072" Type="http://schemas.openxmlformats.org/officeDocument/2006/relationships/hyperlink" Target="https://tracxn.com/companies/7qMlk6e3XlldQRvDa7WJjz0-kaOcyu_nt0oQhSuhuuk/starangel.cc" TargetMode="External"/><Relationship Id="rId1500" Type="http://schemas.openxmlformats.org/officeDocument/2006/relationships/hyperlink" Target="http://www.linkedin.com/vsearch/p?f_CC=9381643" TargetMode="External"/><Relationship Id="rId302" Type="http://schemas.openxmlformats.org/officeDocument/2006/relationships/hyperlink" Target="https://www.theearthfood.com/" TargetMode="External"/><Relationship Id="rId747" Type="http://schemas.openxmlformats.org/officeDocument/2006/relationships/hyperlink" Target="https://twitter.com/bighaatindia" TargetMode="External"/><Relationship Id="rId954" Type="http://schemas.openxmlformats.org/officeDocument/2006/relationships/hyperlink" Target="http://linkedin.com/company/eruvaka-technologies" TargetMode="External"/><Relationship Id="rId1377" Type="http://schemas.openxmlformats.org/officeDocument/2006/relationships/hyperlink" Target="http://linkedin.com/company/agribots" TargetMode="External"/><Relationship Id="rId1584" Type="http://schemas.openxmlformats.org/officeDocument/2006/relationships/hyperlink" Target="http://twitter.com/modisar" TargetMode="External"/><Relationship Id="rId1791" Type="http://schemas.openxmlformats.org/officeDocument/2006/relationships/hyperlink" Target="http://twitter.com/futuragene" TargetMode="External"/><Relationship Id="rId1805" Type="http://schemas.openxmlformats.org/officeDocument/2006/relationships/hyperlink" Target="https://twitter.com/enaltabrasil" TargetMode="External"/><Relationship Id="rId83" Type="http://schemas.openxmlformats.org/officeDocument/2006/relationships/hyperlink" Target="https://linkedin.com/company/simbiotica-labs" TargetMode="External"/><Relationship Id="rId179" Type="http://schemas.openxmlformats.org/officeDocument/2006/relationships/hyperlink" Target="https://thekrishi.com/" TargetMode="External"/><Relationship Id="rId386" Type="http://schemas.openxmlformats.org/officeDocument/2006/relationships/hyperlink" Target="https://tracxn.com/companies/7NPh-eZtai_ef1M8iq4HsC5Fza5AhzvaNbVdAUyYKs8/greenfingersmobile.com" TargetMode="External"/><Relationship Id="rId593" Type="http://schemas.openxmlformats.org/officeDocument/2006/relationships/hyperlink" Target="http://livestockwealth.com/index.php/press" TargetMode="External"/><Relationship Id="rId607" Type="http://schemas.openxmlformats.org/officeDocument/2006/relationships/hyperlink" Target="http://www.rootility.com:2222/" TargetMode="External"/><Relationship Id="rId814" Type="http://schemas.openxmlformats.org/officeDocument/2006/relationships/hyperlink" Target="http://twitter.com/cultivandof" TargetMode="External"/><Relationship Id="rId1237" Type="http://schemas.openxmlformats.org/officeDocument/2006/relationships/hyperlink" Target="https://www.pimiagro.com/" TargetMode="External"/><Relationship Id="rId1444" Type="http://schemas.openxmlformats.org/officeDocument/2006/relationships/hyperlink" Target="http://ync365.com/" TargetMode="External"/><Relationship Id="rId1651" Type="http://schemas.openxmlformats.org/officeDocument/2006/relationships/hyperlink" Target="http://www.efarm.in/" TargetMode="External"/><Relationship Id="rId1889" Type="http://schemas.openxmlformats.org/officeDocument/2006/relationships/hyperlink" Target="http://linkedin.com/company/frontalrain-technologies-pvt-ltd" TargetMode="External"/><Relationship Id="rId246" Type="http://schemas.openxmlformats.org/officeDocument/2006/relationships/hyperlink" Target="https://tracxn.com/companies/-8eP4WZzCb4XLEXi2xw4oKfBgeb64jLomWiy8s1W_V4/tradebuza.com" TargetMode="External"/><Relationship Id="rId453" Type="http://schemas.openxmlformats.org/officeDocument/2006/relationships/hyperlink" Target="http://linkedin.com/company/satsure-inc." TargetMode="External"/><Relationship Id="rId660" Type="http://schemas.openxmlformats.org/officeDocument/2006/relationships/hyperlink" Target="http://facebook.com/pages/tierra-seed-science/552733908126819" TargetMode="External"/><Relationship Id="rId898" Type="http://schemas.openxmlformats.org/officeDocument/2006/relationships/hyperlink" Target="https://www.skymetweather.com/" TargetMode="External"/><Relationship Id="rId1083" Type="http://schemas.openxmlformats.org/officeDocument/2006/relationships/hyperlink" Target="https://tracxn.com/companies/K1e_1hBahk03ge3csTJlhRa3G-xTrrOqhxfYiPuB9FQ/zzb518.com" TargetMode="External"/><Relationship Id="rId1290" Type="http://schemas.openxmlformats.org/officeDocument/2006/relationships/hyperlink" Target="https://www.16988.com/" TargetMode="External"/><Relationship Id="rId1304" Type="http://schemas.openxmlformats.org/officeDocument/2006/relationships/hyperlink" Target="https://buscagro.cl/blog" TargetMode="External"/><Relationship Id="rId1511" Type="http://schemas.openxmlformats.org/officeDocument/2006/relationships/hyperlink" Target="http://www.linkedin.com/vsearch/p?f_CC=3844298" TargetMode="External"/><Relationship Id="rId1749" Type="http://schemas.openxmlformats.org/officeDocument/2006/relationships/hyperlink" Target="https://tracxn.com/companies/aKquOQXApZfmpSehdV8zYU-rptGADCtGQCQLOC8vFnc/myagro.org" TargetMode="External"/><Relationship Id="rId106" Type="http://schemas.openxmlformats.org/officeDocument/2006/relationships/hyperlink" Target="https://tracxn.com/companies/d5YLU_E-z6ejWE8UKV_U0WGxgqPcZFI1F3QoCV6j5Zo/otipy.com" TargetMode="External"/><Relationship Id="rId313" Type="http://schemas.openxmlformats.org/officeDocument/2006/relationships/hyperlink" Target="http://linkedin.com/company/ricult" TargetMode="External"/><Relationship Id="rId758" Type="http://schemas.openxmlformats.org/officeDocument/2006/relationships/hyperlink" Target="http://linkedin.com/company/auravant" TargetMode="External"/><Relationship Id="rId965" Type="http://schemas.openxmlformats.org/officeDocument/2006/relationships/hyperlink" Target="https://www.stellapps.com/" TargetMode="External"/><Relationship Id="rId1150" Type="http://schemas.openxmlformats.org/officeDocument/2006/relationships/hyperlink" Target="http://twitter.com/komaza" TargetMode="External"/><Relationship Id="rId1388" Type="http://schemas.openxmlformats.org/officeDocument/2006/relationships/hyperlink" Target="http://linkedin.com/company/truce---truce-price" TargetMode="External"/><Relationship Id="rId1595" Type="http://schemas.openxmlformats.org/officeDocument/2006/relationships/hyperlink" Target="https://www.efishery.com/" TargetMode="External"/><Relationship Id="rId1609" Type="http://schemas.openxmlformats.org/officeDocument/2006/relationships/hyperlink" Target="https://zentronlabs.com/" TargetMode="External"/><Relationship Id="rId1816" Type="http://schemas.openxmlformats.org/officeDocument/2006/relationships/hyperlink" Target="http://www.driptech.com/" TargetMode="External"/><Relationship Id="rId10" Type="http://schemas.openxmlformats.org/officeDocument/2006/relationships/hyperlink" Target="https://twitter.com/unnatiagri" TargetMode="External"/><Relationship Id="rId94" Type="http://schemas.openxmlformats.org/officeDocument/2006/relationships/hyperlink" Target="https://profishgh.com/" TargetMode="External"/><Relationship Id="rId397" Type="http://schemas.openxmlformats.org/officeDocument/2006/relationships/hyperlink" Target="https://linkedin.com/company/agnextworld" TargetMode="External"/><Relationship Id="rId520" Type="http://schemas.openxmlformats.org/officeDocument/2006/relationships/hyperlink" Target="http://www.zzb518.com/" TargetMode="External"/><Relationship Id="rId618" Type="http://schemas.openxmlformats.org/officeDocument/2006/relationships/hyperlink" Target="https://www.linkedin.com/company/farmerline" TargetMode="External"/><Relationship Id="rId825" Type="http://schemas.openxmlformats.org/officeDocument/2006/relationships/hyperlink" Target="https://tracxn.com/companies/WlOrS5vp4Q5KfG3PAktRnuiYGVTmb27p9Rc_5-LQ-lA/ymt.com" TargetMode="External"/><Relationship Id="rId1248" Type="http://schemas.openxmlformats.org/officeDocument/2006/relationships/hyperlink" Target="https://taranis.ag/" TargetMode="External"/><Relationship Id="rId1455" Type="http://schemas.openxmlformats.org/officeDocument/2006/relationships/hyperlink" Target="http://twitter.com/siembraviva" TargetMode="External"/><Relationship Id="rId1662" Type="http://schemas.openxmlformats.org/officeDocument/2006/relationships/hyperlink" Target="https://www.rizobacter.com/" TargetMode="External"/><Relationship Id="rId257" Type="http://schemas.openxmlformats.org/officeDocument/2006/relationships/hyperlink" Target="https://khula.co.za/" TargetMode="External"/><Relationship Id="rId464" Type="http://schemas.openxmlformats.org/officeDocument/2006/relationships/hyperlink" Target="https://pureharvest.ae/" TargetMode="External"/><Relationship Id="rId1010" Type="http://schemas.openxmlformats.org/officeDocument/2006/relationships/hyperlink" Target="http://facebook.com/poptaniasia" TargetMode="External"/><Relationship Id="rId1094" Type="http://schemas.openxmlformats.org/officeDocument/2006/relationships/hyperlink" Target="http://www.yangjiguanjia.com/" TargetMode="External"/><Relationship Id="rId1108" Type="http://schemas.openxmlformats.org/officeDocument/2006/relationships/hyperlink" Target="http://twitter.com/cowlar1" TargetMode="External"/><Relationship Id="rId1315" Type="http://schemas.openxmlformats.org/officeDocument/2006/relationships/hyperlink" Target="https://tracxn.com/companies/32gN56QyVcj8zzlNzd_4QRsH2o3VsF1edKe9DaPLLDI/gfresh.com" TargetMode="External"/><Relationship Id="rId117" Type="http://schemas.openxmlformats.org/officeDocument/2006/relationships/hyperlink" Target="https://tracxn.com/companies/Zw2vls7lNNpz-cZVzN0PL8LyFcHNei-Rh_Ub-mGYO6c/ruhminnovation.com" TargetMode="External"/><Relationship Id="rId671" Type="http://schemas.openxmlformats.org/officeDocument/2006/relationships/hyperlink" Target="https://tanihub.com/" TargetMode="External"/><Relationship Id="rId769" Type="http://schemas.openxmlformats.org/officeDocument/2006/relationships/hyperlink" Target="http://facebook.com/pages/prospera-technologies/565971516887814" TargetMode="External"/><Relationship Id="rId976" Type="http://schemas.openxmlformats.org/officeDocument/2006/relationships/hyperlink" Target="https://tracxn.com/companies/Fw4W2PhqT6KEqQea5swEEeUnRvrwZtxTu2JOpuunm7s/farmagain.in" TargetMode="External"/><Relationship Id="rId1399" Type="http://schemas.openxmlformats.org/officeDocument/2006/relationships/hyperlink" Target="http://linkedin.com/company/babban-gona" TargetMode="External"/><Relationship Id="rId324" Type="http://schemas.openxmlformats.org/officeDocument/2006/relationships/hyperlink" Target="https://linkedin.com/company/farmizen" TargetMode="External"/><Relationship Id="rId531" Type="http://schemas.openxmlformats.org/officeDocument/2006/relationships/hyperlink" Target="https://tracxn.com/companies/fWvFy5_ukLzwJpZw8DbzcEDfCQZ6FQK-STcWFekruBA/yoonop.com" TargetMode="External"/><Relationship Id="rId629" Type="http://schemas.openxmlformats.org/officeDocument/2006/relationships/hyperlink" Target="https://linkedin.com/company/kisan-network" TargetMode="External"/><Relationship Id="rId1161" Type="http://schemas.openxmlformats.org/officeDocument/2006/relationships/hyperlink" Target="https://rmlagtech.com/" TargetMode="External"/><Relationship Id="rId1259" Type="http://schemas.openxmlformats.org/officeDocument/2006/relationships/hyperlink" Target="https://tracxn.com/companies/eKeq_QjCk2MRsxP37Hr8fJB4umv2fYlUlqdA0M_Po7g/igrow.asia" TargetMode="External"/><Relationship Id="rId1466" Type="http://schemas.openxmlformats.org/officeDocument/2006/relationships/hyperlink" Target="https://www.linkedin.com/company/9498451" TargetMode="External"/><Relationship Id="rId836" Type="http://schemas.openxmlformats.org/officeDocument/2006/relationships/hyperlink" Target="https://www.efishery.com/" TargetMode="External"/><Relationship Id="rId1021" Type="http://schemas.openxmlformats.org/officeDocument/2006/relationships/hyperlink" Target="https://www.waycool.in/" TargetMode="External"/><Relationship Id="rId1119" Type="http://schemas.openxmlformats.org/officeDocument/2006/relationships/hyperlink" Target="http://aibono.com/blog" TargetMode="External"/><Relationship Id="rId1673" Type="http://schemas.openxmlformats.org/officeDocument/2006/relationships/hyperlink" Target="http://www.meta-helix.com/" TargetMode="External"/><Relationship Id="rId1880" Type="http://schemas.openxmlformats.org/officeDocument/2006/relationships/hyperlink" Target="http://www.linkedin.com/vsearch/p?f_CC=2346675" TargetMode="External"/><Relationship Id="rId903" Type="http://schemas.openxmlformats.org/officeDocument/2006/relationships/hyperlink" Target="http://www.linkedin.com/vsearch/p?f_CC=1762087" TargetMode="External"/><Relationship Id="rId1326" Type="http://schemas.openxmlformats.org/officeDocument/2006/relationships/hyperlink" Target="http://facebook.com/farmdog.ag" TargetMode="External"/><Relationship Id="rId1533" Type="http://schemas.openxmlformats.org/officeDocument/2006/relationships/hyperlink" Target="https://hellotractor.com/" TargetMode="External"/><Relationship Id="rId1740" Type="http://schemas.openxmlformats.org/officeDocument/2006/relationships/hyperlink" Target="http://facebook.com/netafim" TargetMode="External"/><Relationship Id="rId32" Type="http://schemas.openxmlformats.org/officeDocument/2006/relationships/hyperlink" Target="https://tracxn.com/companies/TUH8shIbHX6doUg0Y-MqrMb_lJEFH0i78oNYSTGfgVc/laisanjin.cn" TargetMode="External"/><Relationship Id="rId1600" Type="http://schemas.openxmlformats.org/officeDocument/2006/relationships/hyperlink" Target="https://tracxn.com/companies/GV8lcp9hEClumc_PXkcL34O1TN_Hr6f1YhECZXM4c7w/efishery.com" TargetMode="External"/><Relationship Id="rId1838" Type="http://schemas.openxmlformats.org/officeDocument/2006/relationships/hyperlink" Target="https://tracxn.com/companies/XwEKz0kkmQa_QSEfa120vudmZXpIzNvn6KyJzEaZuxM/botanocap.com" TargetMode="External"/><Relationship Id="rId181" Type="http://schemas.openxmlformats.org/officeDocument/2006/relationships/hyperlink" Target="https://tracxn.com/companies/AlBpXqu4Nq7wVkkJxVEx78GWWr7_vDOU1JGDpqM-fbE/thekrishi.com" TargetMode="External"/><Relationship Id="rId1905" Type="http://schemas.openxmlformats.org/officeDocument/2006/relationships/hyperlink" Target="https://tracxn.com/companies/3DWBMiIufdK4KMK9pytZ41RmOz-zFPCE9SqJrzb9bc4/allerguardsystems.com" TargetMode="External"/><Relationship Id="rId279" Type="http://schemas.openxmlformats.org/officeDocument/2006/relationships/hyperlink" Target="https://twitter.com/bayseddo" TargetMode="External"/><Relationship Id="rId486" Type="http://schemas.openxmlformats.org/officeDocument/2006/relationships/hyperlink" Target="https://facebook.com/lenterafrica" TargetMode="External"/><Relationship Id="rId693" Type="http://schemas.openxmlformats.org/officeDocument/2006/relationships/hyperlink" Target="http://www.linkedin.com/vsearch/p?f_CC=10141015" TargetMode="External"/><Relationship Id="rId139" Type="http://schemas.openxmlformats.org/officeDocument/2006/relationships/hyperlink" Target="https://facebook.com/woolly.io" TargetMode="External"/><Relationship Id="rId346" Type="http://schemas.openxmlformats.org/officeDocument/2006/relationships/hyperlink" Target="http://seedolab.com/blog" TargetMode="External"/><Relationship Id="rId553" Type="http://schemas.openxmlformats.org/officeDocument/2006/relationships/hyperlink" Target="http://linkedin.com/company/tomatiki" TargetMode="External"/><Relationship Id="rId760" Type="http://schemas.openxmlformats.org/officeDocument/2006/relationships/hyperlink" Target="https://tracxn.com/companies/4q5ls-UO5LY1G0CpNKZW1pQxIpL0eu3Xwp7HJHbAk1Y/auravant.com" TargetMode="External"/><Relationship Id="rId998" Type="http://schemas.openxmlformats.org/officeDocument/2006/relationships/hyperlink" Target="https://tracxn.com/companies/rTybUlmFriAMZaBtsoSTT6AZqj32UGrgQhkP7xlAqsw/hummingbird.in" TargetMode="External"/><Relationship Id="rId1183" Type="http://schemas.openxmlformats.org/officeDocument/2006/relationships/hyperlink" Target="http://www.rootility.com:2222/" TargetMode="External"/><Relationship Id="rId1390" Type="http://schemas.openxmlformats.org/officeDocument/2006/relationships/hyperlink" Target="https://www.cropx.com/" TargetMode="External"/><Relationship Id="rId206" Type="http://schemas.openxmlformats.org/officeDocument/2006/relationships/hyperlink" Target="https://tracxn.com/companies/OZDwZmesf0JNtU9QU2RnG8FUfWKIx5BefKWju_NLOOw/tulaa.io" TargetMode="External"/><Relationship Id="rId413" Type="http://schemas.openxmlformats.org/officeDocument/2006/relationships/hyperlink" Target="https://linkedin.com/company/aerobotics/about" TargetMode="External"/><Relationship Id="rId858" Type="http://schemas.openxmlformats.org/officeDocument/2006/relationships/hyperlink" Target="https://energaia.com/" TargetMode="External"/><Relationship Id="rId1043" Type="http://schemas.openxmlformats.org/officeDocument/2006/relationships/hyperlink" Target="https://linkedin.com/company/eggxyt" TargetMode="External"/><Relationship Id="rId1488" Type="http://schemas.openxmlformats.org/officeDocument/2006/relationships/hyperlink" Target="http://facebook.com/pages/breedit/383501408452689" TargetMode="External"/><Relationship Id="rId1695" Type="http://schemas.openxmlformats.org/officeDocument/2006/relationships/hyperlink" Target="https://www.linkedin.com/company/tony's-farm" TargetMode="External"/><Relationship Id="rId620" Type="http://schemas.openxmlformats.org/officeDocument/2006/relationships/hyperlink" Target="http://facebook.com/farmerline" TargetMode="External"/><Relationship Id="rId718" Type="http://schemas.openxmlformats.org/officeDocument/2006/relationships/hyperlink" Target="http://twitter.com/jetbov" TargetMode="External"/><Relationship Id="rId925" Type="http://schemas.openxmlformats.org/officeDocument/2006/relationships/hyperlink" Target="http://blog.netafim.com/" TargetMode="External"/><Relationship Id="rId1250" Type="http://schemas.openxmlformats.org/officeDocument/2006/relationships/hyperlink" Target="https://twitter.com/taranisag" TargetMode="External"/><Relationship Id="rId1348" Type="http://schemas.openxmlformats.org/officeDocument/2006/relationships/hyperlink" Target="http://twitter.com/liciousfoods" TargetMode="External"/><Relationship Id="rId1555" Type="http://schemas.openxmlformats.org/officeDocument/2006/relationships/hyperlink" Target="https://linkedin.com/company/sumaagroindiapvtltd" TargetMode="External"/><Relationship Id="rId1762" Type="http://schemas.openxmlformats.org/officeDocument/2006/relationships/hyperlink" Target="https://linkedin.com/company/kaiima-bio-agritech-ltd-" TargetMode="External"/><Relationship Id="rId1110" Type="http://schemas.openxmlformats.org/officeDocument/2006/relationships/hyperlink" Target="https://tracxn.com/companies/enB8J3g1NfyV5Kvh7q5uhmBfA02_CzChvgXP1PI2pBA/cowlar.com" TargetMode="External"/><Relationship Id="rId1208" Type="http://schemas.openxmlformats.org/officeDocument/2006/relationships/hyperlink" Target="https://www.linkedin.com/company/smartbeen" TargetMode="External"/><Relationship Id="rId1415" Type="http://schemas.openxmlformats.org/officeDocument/2006/relationships/hyperlink" Target="http://linkedin.com/company/prospera-technologies" TargetMode="External"/><Relationship Id="rId54" Type="http://schemas.openxmlformats.org/officeDocument/2006/relationships/hyperlink" Target="https://www.upl-ltd.com/" TargetMode="External"/><Relationship Id="rId1622" Type="http://schemas.openxmlformats.org/officeDocument/2006/relationships/hyperlink" Target="https://www.renewmaterial.com/" TargetMode="External"/><Relationship Id="rId270" Type="http://schemas.openxmlformats.org/officeDocument/2006/relationships/hyperlink" Target="http://www.farmfriend.cn/" TargetMode="External"/><Relationship Id="rId130" Type="http://schemas.openxmlformats.org/officeDocument/2006/relationships/hyperlink" Target="http://www.shuxitech.com/" TargetMode="External"/><Relationship Id="rId368" Type="http://schemas.openxmlformats.org/officeDocument/2006/relationships/hyperlink" Target="http://linkedin.com/company/3563964" TargetMode="External"/><Relationship Id="rId575" Type="http://schemas.openxmlformats.org/officeDocument/2006/relationships/hyperlink" Target="http://linkedin.com/company/gr%C3%A3o-direto" TargetMode="External"/><Relationship Id="rId782" Type="http://schemas.openxmlformats.org/officeDocument/2006/relationships/hyperlink" Target="https://twitter.com/cropintech" TargetMode="External"/><Relationship Id="rId228" Type="http://schemas.openxmlformats.org/officeDocument/2006/relationships/hyperlink" Target="https://facebook.com/nutritiontec" TargetMode="External"/><Relationship Id="rId435" Type="http://schemas.openxmlformats.org/officeDocument/2006/relationships/hyperlink" Target="https://tracxn.com/companies/iuTVjr_46lBwsWVpMTFNMaUU5oJstOHzTLNCLihZUww/freshokartz.com" TargetMode="External"/><Relationship Id="rId642" Type="http://schemas.openxmlformats.org/officeDocument/2006/relationships/hyperlink" Target="https://twitter.com/farmart_" TargetMode="External"/><Relationship Id="rId1065" Type="http://schemas.openxmlformats.org/officeDocument/2006/relationships/hyperlink" Target="https://tracxn.com/companies/enQ9lRBFzdGjcGYUHeM2GIUA_9EvcV-W_INkyHKaV6c/kulishafeed.com" TargetMode="External"/><Relationship Id="rId1272" Type="http://schemas.openxmlformats.org/officeDocument/2006/relationships/hyperlink" Target="http://www.yunfarm.cn/" TargetMode="External"/><Relationship Id="rId502" Type="http://schemas.openxmlformats.org/officeDocument/2006/relationships/hyperlink" Target="http://facebook.com/zuzilite" TargetMode="External"/><Relationship Id="rId947" Type="http://schemas.openxmlformats.org/officeDocument/2006/relationships/hyperlink" Target="https://www.yuktix.com/" TargetMode="External"/><Relationship Id="rId1132" Type="http://schemas.openxmlformats.org/officeDocument/2006/relationships/hyperlink" Target="https://livingreen.co.il/" TargetMode="External"/><Relationship Id="rId1577" Type="http://schemas.openxmlformats.org/officeDocument/2006/relationships/hyperlink" Target="https://www.nilebot.com/" TargetMode="External"/><Relationship Id="rId1784" Type="http://schemas.openxmlformats.org/officeDocument/2006/relationships/hyperlink" Target="https://www.growfishanywhere.com/" TargetMode="External"/><Relationship Id="rId76" Type="http://schemas.openxmlformats.org/officeDocument/2006/relationships/hyperlink" Target="https://tracxn.com/companies/-kBulYs-dWUYgQKnfcYp3wVAE7CbLTRlFRxYAJN0Z3U/freshatheart.my" TargetMode="External"/><Relationship Id="rId807" Type="http://schemas.openxmlformats.org/officeDocument/2006/relationships/hyperlink" Target="http://linkedin.com/company/farmdrive" TargetMode="External"/><Relationship Id="rId1437" Type="http://schemas.openxmlformats.org/officeDocument/2006/relationships/hyperlink" Target="http://linkedin.com/company/inceres-agsystem" TargetMode="External"/><Relationship Id="rId1644" Type="http://schemas.openxmlformats.org/officeDocument/2006/relationships/hyperlink" Target="http://www.linkedin.com/vsearch/p?f_CC=3563769" TargetMode="External"/><Relationship Id="rId1851" Type="http://schemas.openxmlformats.org/officeDocument/2006/relationships/hyperlink" Target="http://linkedin.com/company/8villages" TargetMode="External"/><Relationship Id="rId1504" Type="http://schemas.openxmlformats.org/officeDocument/2006/relationships/hyperlink" Target="http://facebook.com/farmdriveke" TargetMode="External"/><Relationship Id="rId1711" Type="http://schemas.openxmlformats.org/officeDocument/2006/relationships/hyperlink" Target="http://linkedin.com/company/skymet-weather-services" TargetMode="External"/><Relationship Id="rId292" Type="http://schemas.openxmlformats.org/officeDocument/2006/relationships/hyperlink" Target="https://facebook.com/waycoolfoods" TargetMode="External"/><Relationship Id="rId1809" Type="http://schemas.openxmlformats.org/officeDocument/2006/relationships/hyperlink" Target="http://www.linkedin.com/vsearch/p?f_CC=623144" TargetMode="External"/><Relationship Id="rId597" Type="http://schemas.openxmlformats.org/officeDocument/2006/relationships/hyperlink" Target="http://twitter.com/farmfolio" TargetMode="External"/><Relationship Id="rId152" Type="http://schemas.openxmlformats.org/officeDocument/2006/relationships/hyperlink" Target="https://twitter.com/genicainovacoes" TargetMode="External"/><Relationship Id="rId457" Type="http://schemas.openxmlformats.org/officeDocument/2006/relationships/hyperlink" Target="https://www.farmersfz.com/" TargetMode="External"/><Relationship Id="rId1087" Type="http://schemas.openxmlformats.org/officeDocument/2006/relationships/hyperlink" Target="http://facebook.com/freshboxx" TargetMode="External"/><Relationship Id="rId1294" Type="http://schemas.openxmlformats.org/officeDocument/2006/relationships/hyperlink" Target="http://facebook.com/pg/eragano.id/" TargetMode="External"/><Relationship Id="rId664" Type="http://schemas.openxmlformats.org/officeDocument/2006/relationships/hyperlink" Target="https://tracxn.com/companies/8voH5BGr_ONE-1rImKPLlLpngF1BY_TZCWeZc_cEKS8/kheyti.com" TargetMode="External"/><Relationship Id="rId871" Type="http://schemas.openxmlformats.org/officeDocument/2006/relationships/hyperlink" Target="https://www.farmerp.com/" TargetMode="External"/><Relationship Id="rId969" Type="http://schemas.openxmlformats.org/officeDocument/2006/relationships/hyperlink" Target="http://stellapps.com/blogs" TargetMode="External"/><Relationship Id="rId1599" Type="http://schemas.openxmlformats.org/officeDocument/2006/relationships/hyperlink" Target="http://efishery.com/blog/?p=1" TargetMode="External"/><Relationship Id="rId317" Type="http://schemas.openxmlformats.org/officeDocument/2006/relationships/hyperlink" Target="https://naturacropcare.com/" TargetMode="External"/><Relationship Id="rId524" Type="http://schemas.openxmlformats.org/officeDocument/2006/relationships/hyperlink" Target="http://twitter.com/freshboxx_in" TargetMode="External"/><Relationship Id="rId731" Type="http://schemas.openxmlformats.org/officeDocument/2006/relationships/hyperlink" Target="https://www.agrofy.com/" TargetMode="External"/><Relationship Id="rId1154" Type="http://schemas.openxmlformats.org/officeDocument/2006/relationships/hyperlink" Target="https://linkedin.com/company/agronow/about" TargetMode="External"/><Relationship Id="rId1361" Type="http://schemas.openxmlformats.org/officeDocument/2006/relationships/hyperlink" Target="http://facebook.com/mosavali" TargetMode="External"/><Relationship Id="rId1459" Type="http://schemas.openxmlformats.org/officeDocument/2006/relationships/hyperlink" Target="https://linkedin.com/company/cropin-technology" TargetMode="External"/><Relationship Id="rId98" Type="http://schemas.openxmlformats.org/officeDocument/2006/relationships/hyperlink" Target="http://linkedin.com/company/twiga-foods" TargetMode="External"/><Relationship Id="rId829" Type="http://schemas.openxmlformats.org/officeDocument/2006/relationships/hyperlink" Target="http://twitter.com/alescalife" TargetMode="External"/><Relationship Id="rId1014" Type="http://schemas.openxmlformats.org/officeDocument/2006/relationships/hyperlink" Target="https://tracxn.com/companies/UCP8xSeRuqNMVvTiaorRLsGt22rPUQ37a7m1KM1t8ws/zhimadi.cn" TargetMode="External"/><Relationship Id="rId1221" Type="http://schemas.openxmlformats.org/officeDocument/2006/relationships/hyperlink" Target="https://www.linkedin.com/company/foodstock-farmers-market" TargetMode="External"/><Relationship Id="rId1666" Type="http://schemas.openxmlformats.org/officeDocument/2006/relationships/hyperlink" Target="https://tracxn.com/companies/Tj3yrhTrv9IRPzlYbHjvHZTNV1u41e1nfJSAOn1q8dA/rizobacter.com" TargetMode="External"/><Relationship Id="rId1873" Type="http://schemas.openxmlformats.org/officeDocument/2006/relationships/hyperlink" Target="https://tracxn.com/companies/WWFnrSYFDDTvCuTresv-jNutXxvk86bwXiIbY5NEDLA/yuktix.com" TargetMode="External"/><Relationship Id="rId1319" Type="http://schemas.openxmlformats.org/officeDocument/2006/relationships/hyperlink" Target="https://www.forrestinnovations.com/en/" TargetMode="External"/><Relationship Id="rId1526" Type="http://schemas.openxmlformats.org/officeDocument/2006/relationships/hyperlink" Target="http://agrosmart.com.br/blog" TargetMode="External"/><Relationship Id="rId1733" Type="http://schemas.openxmlformats.org/officeDocument/2006/relationships/hyperlink" Target="https://twitter.com/denovomagic" TargetMode="External"/><Relationship Id="rId25" Type="http://schemas.openxmlformats.org/officeDocument/2006/relationships/hyperlink" Target="https://linkedin.com/company/aquaconnect1" TargetMode="External"/><Relationship Id="rId1800" Type="http://schemas.openxmlformats.org/officeDocument/2006/relationships/hyperlink" Target="http://facebook.com/esokonews" TargetMode="External"/><Relationship Id="rId174" Type="http://schemas.openxmlformats.org/officeDocument/2006/relationships/hyperlink" Target="https://linkedin.com/company/nocofio/about" TargetMode="External"/><Relationship Id="rId381" Type="http://schemas.openxmlformats.org/officeDocument/2006/relationships/hyperlink" Target="https://greenfingersmobile.com/" TargetMode="External"/><Relationship Id="rId241" Type="http://schemas.openxmlformats.org/officeDocument/2006/relationships/hyperlink" Target="https://tracxn.com/companies/FsI2c2xT_5jpEmt9Ipuu3sv5C8WNdp_nZU2IpeXcQfU/agropromonitor.com.br" TargetMode="External"/><Relationship Id="rId479" Type="http://schemas.openxmlformats.org/officeDocument/2006/relationships/hyperlink" Target="https://tracxn.com/companies/7GZOsRvxKRO8hPnGjRkC5XNWs9hHCpTUARxFENEB0Os/impactterra.com" TargetMode="External"/><Relationship Id="rId686" Type="http://schemas.openxmlformats.org/officeDocument/2006/relationships/hyperlink" Target="http://twitter.com/thefarmdogco" TargetMode="External"/><Relationship Id="rId893" Type="http://schemas.openxmlformats.org/officeDocument/2006/relationships/hyperlink" Target="http://linkedin.com/company/tbit" TargetMode="External"/><Relationship Id="rId339" Type="http://schemas.openxmlformats.org/officeDocument/2006/relationships/hyperlink" Target="https://tracxn.com/companies/7Ez1BRgfZRQg0oNxDb_0do8E212rIQwhfMaIriTYPWw/taggnx.com" TargetMode="External"/><Relationship Id="rId546" Type="http://schemas.openxmlformats.org/officeDocument/2006/relationships/hyperlink" Target="http://www.aibono.com/" TargetMode="External"/><Relationship Id="rId753" Type="http://schemas.openxmlformats.org/officeDocument/2006/relationships/hyperlink" Target="http://facebook.com/em3agri" TargetMode="External"/><Relationship Id="rId1176" Type="http://schemas.openxmlformats.org/officeDocument/2006/relationships/hyperlink" Target="https://tracxn.com/companies/d-whOVlnf7o0zjbLn2_xt7h1w1QTlr2oWPqYhOHOKk8/yuyuyu.com.cn" TargetMode="External"/><Relationship Id="rId1383" Type="http://schemas.openxmlformats.org/officeDocument/2006/relationships/hyperlink" Target="http://linkedin.com/company/aegro" TargetMode="External"/><Relationship Id="rId101" Type="http://schemas.openxmlformats.org/officeDocument/2006/relationships/hyperlink" Target="https://tracxn.com/companies/yG1tnFials3y40o39p-TR3y2dQRktHYyDMhbe7d7ciY/twiga.ke" TargetMode="External"/><Relationship Id="rId406" Type="http://schemas.openxmlformats.org/officeDocument/2006/relationships/hyperlink" Target="https://tracxn.com/companies/DeF3qTg_iNncaX2aYxvK18DcyvNOJCNCjOjg1EQe-Q8/luxelare.com" TargetMode="External"/><Relationship Id="rId960" Type="http://schemas.openxmlformats.org/officeDocument/2006/relationships/hyperlink" Target="http://linkedin.com/company/barrix-agro-sciences-pvt-ltd-" TargetMode="External"/><Relationship Id="rId1036" Type="http://schemas.openxmlformats.org/officeDocument/2006/relationships/hyperlink" Target="https://tracxn.com/companies/Tlgj6s1Lw05hlh0ecj_C4IG5Ep3aw4gOC19v2VOv55c/agrhub.com" TargetMode="External"/><Relationship Id="rId1243" Type="http://schemas.openxmlformats.org/officeDocument/2006/relationships/hyperlink" Target="https://www.facebook.com/saturas.ag/" TargetMode="External"/><Relationship Id="rId1590" Type="http://schemas.openxmlformats.org/officeDocument/2006/relationships/hyperlink" Target="https://twitter.com/promip" TargetMode="External"/><Relationship Id="rId1688" Type="http://schemas.openxmlformats.org/officeDocument/2006/relationships/hyperlink" Target="https://www.vegfru.com/" TargetMode="External"/><Relationship Id="rId1895" Type="http://schemas.openxmlformats.org/officeDocument/2006/relationships/hyperlink" Target="https://linkedin.com/company/ini-farms/about" TargetMode="External"/><Relationship Id="rId613" Type="http://schemas.openxmlformats.org/officeDocument/2006/relationships/hyperlink" Target="http://5ufarm.com/" TargetMode="External"/><Relationship Id="rId820" Type="http://schemas.openxmlformats.org/officeDocument/2006/relationships/hyperlink" Target="http://twitter.com/agrosmartbr" TargetMode="External"/><Relationship Id="rId918" Type="http://schemas.openxmlformats.org/officeDocument/2006/relationships/hyperlink" Target="http://facebook.com/nurserylive" TargetMode="External"/><Relationship Id="rId1450" Type="http://schemas.openxmlformats.org/officeDocument/2006/relationships/hyperlink" Target="http://dachuwang.com/" TargetMode="External"/><Relationship Id="rId1548" Type="http://schemas.openxmlformats.org/officeDocument/2006/relationships/hyperlink" Target="http://facebook.com/harddrones" TargetMode="External"/><Relationship Id="rId1755" Type="http://schemas.openxmlformats.org/officeDocument/2006/relationships/hyperlink" Target="http://www.linkedin.com/vsearch/p?f_CC=245724" TargetMode="External"/><Relationship Id="rId1103" Type="http://schemas.openxmlformats.org/officeDocument/2006/relationships/hyperlink" Target="http://facebook.com/supplybunny/" TargetMode="External"/><Relationship Id="rId1310" Type="http://schemas.openxmlformats.org/officeDocument/2006/relationships/hyperlink" Target="https://tracxn.com/companies/s8HhTgBbv6U26UG4ZKPlGg0WlfeCX4crIc7oi_8_5UQ/mimosatek.com" TargetMode="External"/><Relationship Id="rId1408" Type="http://schemas.openxmlformats.org/officeDocument/2006/relationships/hyperlink" Target="http://www.linkedin.com/vsearch/p?f_CC=9396038" TargetMode="External"/><Relationship Id="rId47" Type="http://schemas.openxmlformats.org/officeDocument/2006/relationships/hyperlink" Target="https://facebook.com/chilibeli-bagus-indonesia-112259693583670" TargetMode="External"/><Relationship Id="rId1615" Type="http://schemas.openxmlformats.org/officeDocument/2006/relationships/hyperlink" Target="https://facebook.com/gramophone.co.in" TargetMode="External"/><Relationship Id="rId1822" Type="http://schemas.openxmlformats.org/officeDocument/2006/relationships/hyperlink" Target="http://linkedin.com/company/asociados-don-mario-s-a-" TargetMode="External"/><Relationship Id="rId196" Type="http://schemas.openxmlformats.org/officeDocument/2006/relationships/hyperlink" Target="https://tracxn.com/companies/bghe2fN46X5Em048xD7lAvTIROwAITVbtNeIK8HZVLw/hoire.cn" TargetMode="External"/><Relationship Id="rId263" Type="http://schemas.openxmlformats.org/officeDocument/2006/relationships/hyperlink" Target="https://linkedin.com/company/begreen-farm" TargetMode="External"/><Relationship Id="rId470" Type="http://schemas.openxmlformats.org/officeDocument/2006/relationships/hyperlink" Target="https://www.unnati.world/" TargetMode="External"/><Relationship Id="rId123" Type="http://schemas.openxmlformats.org/officeDocument/2006/relationships/hyperlink" Target="https://twitter.com/fjdynamics" TargetMode="External"/><Relationship Id="rId330" Type="http://schemas.openxmlformats.org/officeDocument/2006/relationships/hyperlink" Target="https://tracxn.com/companies/Z3aoPCnYyWVaTVzdbisc4XT9ewtN2j_ml5nNQnX_Rjw/beehivesa.com" TargetMode="External"/><Relationship Id="rId568" Type="http://schemas.openxmlformats.org/officeDocument/2006/relationships/hyperlink" Target="https://tracxn.com/companies/hkfNARQUSEtDmZJ_Bwoe8Xz0pgMeOFmMVS_KQuZ7OWk/bolpharma.com" TargetMode="External"/><Relationship Id="rId775" Type="http://schemas.openxmlformats.org/officeDocument/2006/relationships/hyperlink" Target="http://facebook.com/zappfresh" TargetMode="External"/><Relationship Id="rId982" Type="http://schemas.openxmlformats.org/officeDocument/2006/relationships/hyperlink" Target="http://www.linkedin.com/vsearch/p?f_CC=10118408" TargetMode="External"/><Relationship Id="rId1198" Type="http://schemas.openxmlformats.org/officeDocument/2006/relationships/hyperlink" Target="https://twitter.com/theagrihub" TargetMode="External"/><Relationship Id="rId428" Type="http://schemas.openxmlformats.org/officeDocument/2006/relationships/hyperlink" Target="https://linkedin.com/company/thriveagric/about" TargetMode="External"/><Relationship Id="rId635" Type="http://schemas.openxmlformats.org/officeDocument/2006/relationships/hyperlink" Target="https://tracxn.com/companies/nfOpGxdD44_BkvNQvnWDEmh9hcHU9_nWTUo1kDRcNXM/biofishency.com" TargetMode="External"/><Relationship Id="rId842" Type="http://schemas.openxmlformats.org/officeDocument/2006/relationships/hyperlink" Target="https://www.agrevolution.in/" TargetMode="External"/><Relationship Id="rId1058" Type="http://schemas.openxmlformats.org/officeDocument/2006/relationships/hyperlink" Target="http://twitter.com/intellolabs" TargetMode="External"/><Relationship Id="rId1265" Type="http://schemas.openxmlformats.org/officeDocument/2006/relationships/hyperlink" Target="https://tracxn.com/companies/dy6dZJrkpm3aMIYggVMJGBCu6UgHjaD-MCDY5mJrfaE/yingzhongtou.com" TargetMode="External"/><Relationship Id="rId1472" Type="http://schemas.openxmlformats.org/officeDocument/2006/relationships/hyperlink" Target="https://tracxn.com/companies/Peiz9RjlLp4F-se5--o_YVEyjvoukjWYE0xAnNYxUks/kesucorp.com" TargetMode="External"/><Relationship Id="rId702" Type="http://schemas.openxmlformats.org/officeDocument/2006/relationships/hyperlink" Target="http://twitter.com/instacrops_cl" TargetMode="External"/><Relationship Id="rId1125" Type="http://schemas.openxmlformats.org/officeDocument/2006/relationships/hyperlink" Target="https://tracxn.com/companies/_0_DsbHcX8RSwyAl7D3I5eDrYBfmus_0-H4u3GoaOxA/airag.cn" TargetMode="External"/><Relationship Id="rId1332" Type="http://schemas.openxmlformats.org/officeDocument/2006/relationships/hyperlink" Target="https://tracxn.com/companies/-3T6iz8HXJArqwt3yydPT8uwkWaXut2cBj9kJiD8IHc/s4agtech.com" TargetMode="External"/><Relationship Id="rId1777" Type="http://schemas.openxmlformats.org/officeDocument/2006/relationships/hyperlink" Target="http://twitter.com/imevebiotec" TargetMode="External"/><Relationship Id="rId69" Type="http://schemas.openxmlformats.org/officeDocument/2006/relationships/hyperlink" Target="https://tracxn.com/companies/G-5DS044Lbd5mEfVux9Hn1dz6VEPgFTd3ujtSdeyibo/altumlab.cl" TargetMode="External"/><Relationship Id="rId1637" Type="http://schemas.openxmlformats.org/officeDocument/2006/relationships/hyperlink" Target="https://tracxn.com/companies/xuf2C9R051VaWFyDh2zuSSUIrlaj-nHydn0hY2t9yfQ/ctrax.info" TargetMode="External"/><Relationship Id="rId1844" Type="http://schemas.openxmlformats.org/officeDocument/2006/relationships/hyperlink" Target="https://tracxn.com/companies/s_PheTA_yO8-v0elUZjiQH6rSzdaFE0bIQKH9smOOTU/afimilk.com" TargetMode="External"/><Relationship Id="rId1704" Type="http://schemas.openxmlformats.org/officeDocument/2006/relationships/hyperlink" Target="http://www.linkedin.com/vsearch/p?f_CC=681490" TargetMode="External"/><Relationship Id="rId285" Type="http://schemas.openxmlformats.org/officeDocument/2006/relationships/hyperlink" Target="https://linkedin.com/company/botanical-solutions-spa/about" TargetMode="External"/><Relationship Id="rId1911" Type="http://schemas.openxmlformats.org/officeDocument/2006/relationships/hyperlink" Target="https://www.seedworks.com/" TargetMode="External"/><Relationship Id="rId492" Type="http://schemas.openxmlformats.org/officeDocument/2006/relationships/hyperlink" Target="https://tracxn.com/companies/eZDzQisam-J4hgGavXz5_z07cev4HtzkHkemVjw2BUE/payagri.com" TargetMode="External"/><Relationship Id="rId797" Type="http://schemas.openxmlformats.org/officeDocument/2006/relationships/hyperlink" Target="https://tracxn.com/companies/0SVUQVxIz4BwgmXT6pSkoTLGA7NI9FJTo-U6p1xJcIQ/agribuddy.com" TargetMode="External"/><Relationship Id="rId145" Type="http://schemas.openxmlformats.org/officeDocument/2006/relationships/hyperlink" Target="https://tracxn.com/companies/WMNRx0lYu0c8fhoE5cJRs-Fa-ple1TmLKVcYW409IVY/sndistinguish.com" TargetMode="External"/><Relationship Id="rId352" Type="http://schemas.openxmlformats.org/officeDocument/2006/relationships/hyperlink" Target="https://linkedin.com/company/bharatagri/about" TargetMode="External"/><Relationship Id="rId1287" Type="http://schemas.openxmlformats.org/officeDocument/2006/relationships/hyperlink" Target="http://dongpinhui.cn/" TargetMode="External"/><Relationship Id="rId212" Type="http://schemas.openxmlformats.org/officeDocument/2006/relationships/hyperlink" Target="https://tracxn.com/companies/6H7L8GPIPN8joht_0DIWcqbYSs-WZKrnIYbDiOfQ3FE/digifarmz.com" TargetMode="External"/><Relationship Id="rId657" Type="http://schemas.openxmlformats.org/officeDocument/2006/relationships/hyperlink" Target="https://www.theflyingspark.com/" TargetMode="External"/><Relationship Id="rId864" Type="http://schemas.openxmlformats.org/officeDocument/2006/relationships/hyperlink" Target="http://facebook.com/freshworldin" TargetMode="External"/><Relationship Id="rId1494" Type="http://schemas.openxmlformats.org/officeDocument/2006/relationships/hyperlink" Target="http://twitter.com/merakisan" TargetMode="External"/><Relationship Id="rId1799" Type="http://schemas.openxmlformats.org/officeDocument/2006/relationships/hyperlink" Target="http://twitter.com/esoko" TargetMode="External"/><Relationship Id="rId517" Type="http://schemas.openxmlformats.org/officeDocument/2006/relationships/hyperlink" Target="https://tracxn.com/companies/PF1TeULEbBzxmmaZihY1l_FTnXS3Pihhh0cpmE2aEcI/crowde.co" TargetMode="External"/><Relationship Id="rId724" Type="http://schemas.openxmlformats.org/officeDocument/2006/relationships/hyperlink" Target="http://twitter.com/leafgrowhq" TargetMode="External"/><Relationship Id="rId931" Type="http://schemas.openxmlformats.org/officeDocument/2006/relationships/hyperlink" Target="https://facebook.com/fieldintech" TargetMode="External"/><Relationship Id="rId1147" Type="http://schemas.openxmlformats.org/officeDocument/2006/relationships/hyperlink" Target="http://www.linkedin.com/vsearch/p?f_CC=239650" TargetMode="External"/><Relationship Id="rId1354" Type="http://schemas.openxmlformats.org/officeDocument/2006/relationships/hyperlink" Target="http://linkedin.com/company/green-robot-machinery" TargetMode="External"/><Relationship Id="rId1561" Type="http://schemas.openxmlformats.org/officeDocument/2006/relationships/hyperlink" Target="http://linkedin.com/company/vasham" TargetMode="External"/><Relationship Id="rId60" Type="http://schemas.openxmlformats.org/officeDocument/2006/relationships/hyperlink" Target="https://tracxn.com/companies/sLZ5PfhoFkXOxL4RuWi-FpG3oeAX-u5WhQqFwtIfza4/biocerescrops.com" TargetMode="External"/><Relationship Id="rId1007" Type="http://schemas.openxmlformats.org/officeDocument/2006/relationships/hyperlink" Target="https://agrotrac.cl/" TargetMode="External"/><Relationship Id="rId1214" Type="http://schemas.openxmlformats.org/officeDocument/2006/relationships/hyperlink" Target="http://www.aquinovo.com/" TargetMode="External"/><Relationship Id="rId1421" Type="http://schemas.openxmlformats.org/officeDocument/2006/relationships/hyperlink" Target="https://www.linkedin.com/company/9410547" TargetMode="External"/><Relationship Id="rId1659" Type="http://schemas.openxmlformats.org/officeDocument/2006/relationships/hyperlink" Target="http://twitter.com/lessiot" TargetMode="External"/><Relationship Id="rId1866" Type="http://schemas.openxmlformats.org/officeDocument/2006/relationships/hyperlink" Target="http://facebook.com/greeniq.systems" TargetMode="External"/><Relationship Id="rId1519" Type="http://schemas.openxmlformats.org/officeDocument/2006/relationships/hyperlink" Target="http://linkedin.com/company/autoagronom" TargetMode="External"/><Relationship Id="rId1726" Type="http://schemas.openxmlformats.org/officeDocument/2006/relationships/hyperlink" Target="http://linkedin.com/company/origene-seeds" TargetMode="External"/><Relationship Id="rId18" Type="http://schemas.openxmlformats.org/officeDocument/2006/relationships/hyperlink" Target="https://tracxn.com/companies/3wB5JDqPpjrNvsDH5qQDNghz82Y1R-y2DPPHSFGy1Hs/vegrow.in" TargetMode="External"/><Relationship Id="rId167" Type="http://schemas.openxmlformats.org/officeDocument/2006/relationships/hyperlink" Target="https://tracxn.com/companies/--hVNaDs0YQUaemsmdhBipzG7RhvJZ6YL56qxXv6IVU/agro2o.com" TargetMode="External"/><Relationship Id="rId374" Type="http://schemas.openxmlformats.org/officeDocument/2006/relationships/hyperlink" Target="https://www.agreemarket.com/" TargetMode="External"/><Relationship Id="rId581" Type="http://schemas.openxmlformats.org/officeDocument/2006/relationships/hyperlink" Target="http://linkedin.com/company/komaza" TargetMode="External"/><Relationship Id="rId234" Type="http://schemas.openxmlformats.org/officeDocument/2006/relationships/hyperlink" Target="https://www.agromeiq.com/" TargetMode="External"/><Relationship Id="rId679" Type="http://schemas.openxmlformats.org/officeDocument/2006/relationships/hyperlink" Target="https://tracxn.com/companies/LSA3hTmmQVCgWIYeMuZGgMe_g47qzUDD8XyyUDXjCn8/aliakbargroup.com" TargetMode="External"/><Relationship Id="rId886" Type="http://schemas.openxmlformats.org/officeDocument/2006/relationships/hyperlink" Target="https://www.weather-risk.com/" TargetMode="External"/><Relationship Id="rId2" Type="http://schemas.openxmlformats.org/officeDocument/2006/relationships/hyperlink" Target="https://tracxn.com/companies/GGZ4c2Rb5mw43T2o3QqDTi_rvarS-EvuVnArsPGtXYo/dshifu.cn" TargetMode="External"/><Relationship Id="rId441" Type="http://schemas.openxmlformats.org/officeDocument/2006/relationships/hyperlink" Target="https://linkedin.com/company/agricxlab/about" TargetMode="External"/><Relationship Id="rId539" Type="http://schemas.openxmlformats.org/officeDocument/2006/relationships/hyperlink" Target="http://farmersprideafrica.com/category/blog" TargetMode="External"/><Relationship Id="rId746" Type="http://schemas.openxmlformats.org/officeDocument/2006/relationships/hyperlink" Target="https://linkedin.com/company/bighaat-india" TargetMode="External"/><Relationship Id="rId1071" Type="http://schemas.openxmlformats.org/officeDocument/2006/relationships/hyperlink" Target="http://starangel.cc/" TargetMode="External"/><Relationship Id="rId1169" Type="http://schemas.openxmlformats.org/officeDocument/2006/relationships/hyperlink" Target="https://tracxn.com/companies/2Ya_HPISAkKL5mTsd4khzPQ1goQiqNH-RWnWCJXLSkQ/yzyy365.com" TargetMode="External"/><Relationship Id="rId1376" Type="http://schemas.openxmlformats.org/officeDocument/2006/relationships/hyperlink" Target="http://www.agribots.com/" TargetMode="External"/><Relationship Id="rId1583" Type="http://schemas.openxmlformats.org/officeDocument/2006/relationships/hyperlink" Target="http://linkedin.com/company/modisar-net-pty-ltd" TargetMode="External"/><Relationship Id="rId301" Type="http://schemas.openxmlformats.org/officeDocument/2006/relationships/hyperlink" Target="https://tracxn.com/companies/v7hNTw_kaZRPvPK8LSs5x0BuycxswIm3T9HfeKGXTcs/clarifruit.com" TargetMode="External"/><Relationship Id="rId953" Type="http://schemas.openxmlformats.org/officeDocument/2006/relationships/hyperlink" Target="https://www.eruvaka.com/" TargetMode="External"/><Relationship Id="rId1029" Type="http://schemas.openxmlformats.org/officeDocument/2006/relationships/hyperlink" Target="https://linkedin.com/company/swasti-agro/about" TargetMode="External"/><Relationship Id="rId1236" Type="http://schemas.openxmlformats.org/officeDocument/2006/relationships/hyperlink" Target="https://tracxn.com/companies/zGssERe8j37hJM6pNTLK_Kl5aY5JcrurYcivcZ7EgCk/nongfadai.com" TargetMode="External"/><Relationship Id="rId1790" Type="http://schemas.openxmlformats.org/officeDocument/2006/relationships/hyperlink" Target="http://linkedin.com/company/futuragene-ltd." TargetMode="External"/><Relationship Id="rId1888" Type="http://schemas.openxmlformats.org/officeDocument/2006/relationships/hyperlink" Target="http://www.frontalrain.com/" TargetMode="External"/><Relationship Id="rId82" Type="http://schemas.openxmlformats.org/officeDocument/2006/relationships/hyperlink" Target="http://simbioticalabs.com/" TargetMode="External"/><Relationship Id="rId606" Type="http://schemas.openxmlformats.org/officeDocument/2006/relationships/hyperlink" Target="https://tracxn.com/companies/9rQryfXpFpFWeu4wwYUukc8JvweN3mD-wThH7ao7RgY/nongfenqi.com" TargetMode="External"/><Relationship Id="rId813" Type="http://schemas.openxmlformats.org/officeDocument/2006/relationships/hyperlink" Target="http://linkedin.com/company/cultivando-futuro-s-a-s-" TargetMode="External"/><Relationship Id="rId1443" Type="http://schemas.openxmlformats.org/officeDocument/2006/relationships/hyperlink" Target="https://tracxn.com/companies/XrQIX5JDEY8kKQGKKn031mp0uvLb4JzisgG2dmdiM-c/anxindeli.com" TargetMode="External"/><Relationship Id="rId1650" Type="http://schemas.openxmlformats.org/officeDocument/2006/relationships/hyperlink" Target="http://www.linkedin.com/vsearch/p?f_CC=8190273" TargetMode="External"/><Relationship Id="rId1748" Type="http://schemas.openxmlformats.org/officeDocument/2006/relationships/hyperlink" Target="http://myagro.org/blog" TargetMode="External"/><Relationship Id="rId1303" Type="http://schemas.openxmlformats.org/officeDocument/2006/relationships/hyperlink" Target="http://facebook.com/buscagrochile/" TargetMode="External"/><Relationship Id="rId1510" Type="http://schemas.openxmlformats.org/officeDocument/2006/relationships/hyperlink" Target="https://tracxn.com/companies/loMXCv1IAOgD27SJZsA2SsPtXNl2Qpbp7IOfFfDuBpE/farmappweb.com" TargetMode="External"/><Relationship Id="rId1608" Type="http://schemas.openxmlformats.org/officeDocument/2006/relationships/hyperlink" Target="http://www.linkedin.com/vsearch/p?f_CC=2957399" TargetMode="External"/><Relationship Id="rId1815" Type="http://schemas.openxmlformats.org/officeDocument/2006/relationships/hyperlink" Target="http://www.linkedin.com/vsearch/p?f_CC=531728" TargetMode="External"/><Relationship Id="rId189" Type="http://schemas.openxmlformats.org/officeDocument/2006/relationships/hyperlink" Target="http://www.annona.co/" TargetMode="External"/><Relationship Id="rId396" Type="http://schemas.openxmlformats.org/officeDocument/2006/relationships/hyperlink" Target="https://agnext.com/" TargetMode="External"/><Relationship Id="rId256" Type="http://schemas.openxmlformats.org/officeDocument/2006/relationships/hyperlink" Target="https://tracxn.com/companies/whv_EZ5D5LnUItVIm1vNvdWld1ITMM3CSTljl6jVKeM/jaguzafarm.com" TargetMode="External"/><Relationship Id="rId463" Type="http://schemas.openxmlformats.org/officeDocument/2006/relationships/hyperlink" Target="https://tracxn.com/companies/98zBr2X-ZCS1NOMFFtSX65gMwI5xY7EdRsvS_wLyu2o/habibigarden.com" TargetMode="External"/><Relationship Id="rId670" Type="http://schemas.openxmlformats.org/officeDocument/2006/relationships/hyperlink" Target="https://tracxn.com/companies/FSi3olewLRypVWq4-C2tWDD-srtQOWjGZPXJ23silIk/tierrademonte.com" TargetMode="External"/><Relationship Id="rId1093" Type="http://schemas.openxmlformats.org/officeDocument/2006/relationships/hyperlink" Target="https://tracxn.com/companies/8OgFfrTcE3HK3E7ZG0Op7CPK5xcCftFnFTB48gmovv8/scantask.com" TargetMode="External"/><Relationship Id="rId116" Type="http://schemas.openxmlformats.org/officeDocument/2006/relationships/hyperlink" Target="https://linkedin.com/company/ruhm-innovation/about" TargetMode="External"/><Relationship Id="rId323" Type="http://schemas.openxmlformats.org/officeDocument/2006/relationships/hyperlink" Target="https://www.farmizen.com/" TargetMode="External"/><Relationship Id="rId530" Type="http://schemas.openxmlformats.org/officeDocument/2006/relationships/hyperlink" Target="http://www.yoonop.com/" TargetMode="External"/><Relationship Id="rId768" Type="http://schemas.openxmlformats.org/officeDocument/2006/relationships/hyperlink" Target="https://twitter.com/prospera_tech" TargetMode="External"/><Relationship Id="rId975" Type="http://schemas.openxmlformats.org/officeDocument/2006/relationships/hyperlink" Target="https://facebook.com/farmagainindia" TargetMode="External"/><Relationship Id="rId1160" Type="http://schemas.openxmlformats.org/officeDocument/2006/relationships/hyperlink" Target="https://tracxn.com/companies/jII-Wrxls6suo4thAxbaC6xK2r2xmvhKwXKqHdiacPY/o2waterator.com" TargetMode="External"/><Relationship Id="rId1398" Type="http://schemas.openxmlformats.org/officeDocument/2006/relationships/hyperlink" Target="https://babbangona.com/" TargetMode="External"/><Relationship Id="rId628" Type="http://schemas.openxmlformats.org/officeDocument/2006/relationships/hyperlink" Target="https://www.kisannetwork.com/" TargetMode="External"/><Relationship Id="rId835" Type="http://schemas.openxmlformats.org/officeDocument/2006/relationships/hyperlink" Target="http://www.linkedin.com/vsearch/p?f_CC=3823004" TargetMode="External"/><Relationship Id="rId1258" Type="http://schemas.openxmlformats.org/officeDocument/2006/relationships/hyperlink" Target="https://blog.igrow.asia/" TargetMode="External"/><Relationship Id="rId1465" Type="http://schemas.openxmlformats.org/officeDocument/2006/relationships/hyperlink" Target="https://www.ninjacart.in/" TargetMode="External"/><Relationship Id="rId1672" Type="http://schemas.openxmlformats.org/officeDocument/2006/relationships/hyperlink" Target="http://www.linkedin.com/vsearch/p?f_CC=479589" TargetMode="External"/><Relationship Id="rId1020" Type="http://schemas.openxmlformats.org/officeDocument/2006/relationships/hyperlink" Target="https://tracxn.com/companies/qoUe2svGUL-Oxd47ylml4d4QgmyrkO05EzA0iHqmXsc/synqe.cn" TargetMode="External"/><Relationship Id="rId1118" Type="http://schemas.openxmlformats.org/officeDocument/2006/relationships/hyperlink" Target="http://facebook.com/aibonoworld" TargetMode="External"/><Relationship Id="rId1325" Type="http://schemas.openxmlformats.org/officeDocument/2006/relationships/hyperlink" Target="http://twitter.com/thefarmdogco" TargetMode="External"/><Relationship Id="rId1532" Type="http://schemas.openxmlformats.org/officeDocument/2006/relationships/hyperlink" Target="https://tracxn.com/companies/h4Ac1xGKvhv5xr-zEIQoflZMKD2sOA9lUy-5sNAClvQ/mshamba.net" TargetMode="External"/><Relationship Id="rId902" Type="http://schemas.openxmlformats.org/officeDocument/2006/relationships/hyperlink" Target="https://tracxn.com/companies/_TKaG51AHmWAYFPoYvuF9xN4Y499WLghf6JZwmBmhTw/skymetweather.com" TargetMode="External"/><Relationship Id="rId1837" Type="http://schemas.openxmlformats.org/officeDocument/2006/relationships/hyperlink" Target="https://www.linkedin.com/company/botanocap" TargetMode="External"/><Relationship Id="rId31" Type="http://schemas.openxmlformats.org/officeDocument/2006/relationships/hyperlink" Target="http://laisanjin.cn/" TargetMode="External"/><Relationship Id="rId180" Type="http://schemas.openxmlformats.org/officeDocument/2006/relationships/hyperlink" Target="https://linkedin.com/company/thekrishi/about" TargetMode="External"/><Relationship Id="rId278" Type="http://schemas.openxmlformats.org/officeDocument/2006/relationships/hyperlink" Target="https://linkedin.com/company/bayseddo/about" TargetMode="External"/><Relationship Id="rId1904" Type="http://schemas.openxmlformats.org/officeDocument/2006/relationships/hyperlink" Target="https://tracxn.com/companies/dyh962nJBPTiZ7bIJrMV9lWlIIrbUUP7PggHUv39jXM/seedcogroup.com" TargetMode="External"/><Relationship Id="rId485" Type="http://schemas.openxmlformats.org/officeDocument/2006/relationships/hyperlink" Target="https://twitter.com/lenteraafrica" TargetMode="External"/><Relationship Id="rId692" Type="http://schemas.openxmlformats.org/officeDocument/2006/relationships/hyperlink" Target="https://tracxn.com/companies/0FRNPaAlDugfl9Rjch5e2PGGjhxR7io2SYVTKxpYC_U/jivabhumi.com" TargetMode="External"/><Relationship Id="rId138" Type="http://schemas.openxmlformats.org/officeDocument/2006/relationships/hyperlink" Target="https://twitter.com/freshfoodwoolly" TargetMode="External"/><Relationship Id="rId345" Type="http://schemas.openxmlformats.org/officeDocument/2006/relationships/hyperlink" Target="https://facebook.com/seedolab" TargetMode="External"/><Relationship Id="rId552" Type="http://schemas.openxmlformats.org/officeDocument/2006/relationships/hyperlink" Target="https://tomatiki.com/" TargetMode="External"/><Relationship Id="rId997" Type="http://schemas.openxmlformats.org/officeDocument/2006/relationships/hyperlink" Target="http://www.hummingbird.in/" TargetMode="External"/><Relationship Id="rId1182" Type="http://schemas.openxmlformats.org/officeDocument/2006/relationships/hyperlink" Target="https://tracxn.com/companies/9rQryfXpFpFWeu4wwYUukc8JvweN3mD-wThH7ao7RgY/nongfenqi.com" TargetMode="External"/><Relationship Id="rId205" Type="http://schemas.openxmlformats.org/officeDocument/2006/relationships/hyperlink" Target="http://tulaa.io/blog" TargetMode="External"/><Relationship Id="rId412" Type="http://schemas.openxmlformats.org/officeDocument/2006/relationships/hyperlink" Target="https://www.aerobotics.com/" TargetMode="External"/><Relationship Id="rId857" Type="http://schemas.openxmlformats.org/officeDocument/2006/relationships/hyperlink" Target="https://tracxn.com/companies/VcEjFxn8gnO2L9QJYy-Kq5NwqMuHan4AhJt1QPR1XoM/gramophone.in" TargetMode="External"/><Relationship Id="rId1042" Type="http://schemas.openxmlformats.org/officeDocument/2006/relationships/hyperlink" Target="https://www.eggxyt.com/" TargetMode="External"/><Relationship Id="rId1487" Type="http://schemas.openxmlformats.org/officeDocument/2006/relationships/hyperlink" Target="http://twitter.com/breeditir" TargetMode="External"/><Relationship Id="rId1694" Type="http://schemas.openxmlformats.org/officeDocument/2006/relationships/hyperlink" Target="http://www.tonysfarm.com/" TargetMode="External"/><Relationship Id="rId717" Type="http://schemas.openxmlformats.org/officeDocument/2006/relationships/hyperlink" Target="http://linkedin.com/company/jetbov" TargetMode="External"/><Relationship Id="rId924" Type="http://schemas.openxmlformats.org/officeDocument/2006/relationships/hyperlink" Target="http://facebook.com/netafim" TargetMode="External"/><Relationship Id="rId1347" Type="http://schemas.openxmlformats.org/officeDocument/2006/relationships/hyperlink" Target="https://linkedin.com/company/licious---a-great-meal-begins-here" TargetMode="External"/><Relationship Id="rId1554" Type="http://schemas.openxmlformats.org/officeDocument/2006/relationships/hyperlink" Target="https://www.sumaagro.com/" TargetMode="External"/><Relationship Id="rId1761" Type="http://schemas.openxmlformats.org/officeDocument/2006/relationships/hyperlink" Target="https://www.kaiima.com/" TargetMode="External"/><Relationship Id="rId53" Type="http://schemas.openxmlformats.org/officeDocument/2006/relationships/hyperlink" Target="https://tracxn.com/companies/Fj6H9Kul-JOD9tkL2X41FnnkaUpA00I0PeCbhWCwvcw/brainwired.in" TargetMode="External"/><Relationship Id="rId1207" Type="http://schemas.openxmlformats.org/officeDocument/2006/relationships/hyperlink" Target="http://smartbeen.com/" TargetMode="External"/><Relationship Id="rId1414" Type="http://schemas.openxmlformats.org/officeDocument/2006/relationships/hyperlink" Target="https://www.prospera.ag/" TargetMode="External"/><Relationship Id="rId1621" Type="http://schemas.openxmlformats.org/officeDocument/2006/relationships/hyperlink" Target="https://tracxn.com/companies/3wy7IYp9dnGKs8Pw9ic5C01NUTBdgp0TGAIOa87AAc0/efuels.co.in" TargetMode="External"/><Relationship Id="rId1859" Type="http://schemas.openxmlformats.org/officeDocument/2006/relationships/hyperlink" Target="http://twitter.com/greencartin" TargetMode="External"/><Relationship Id="rId1719" Type="http://schemas.openxmlformats.org/officeDocument/2006/relationships/hyperlink" Target="https://tracxn.com/companies/1y2f0dhN_GOrFU5u_j9uO_I3YAxc0bw35OPZfpEUml0/phytech.com" TargetMode="External"/><Relationship Id="rId367" Type="http://schemas.openxmlformats.org/officeDocument/2006/relationships/hyperlink" Target="https://www.solinftec.com/" TargetMode="External"/><Relationship Id="rId574" Type="http://schemas.openxmlformats.org/officeDocument/2006/relationships/hyperlink" Target="https://www.graodireto.com.br/" TargetMode="External"/><Relationship Id="rId227" Type="http://schemas.openxmlformats.org/officeDocument/2006/relationships/hyperlink" Target="https://linkedin.com/company/nutrition-technologies-ltd" TargetMode="External"/><Relationship Id="rId781" Type="http://schemas.openxmlformats.org/officeDocument/2006/relationships/hyperlink" Target="https://linkedin.com/company/cropin-technology" TargetMode="External"/><Relationship Id="rId879" Type="http://schemas.openxmlformats.org/officeDocument/2006/relationships/hyperlink" Target="https://tracxn.com/companies/Tj3yrhTrv9IRPzlYbHjvHZTNV1u41e1nfJSAOn1q8dA/rizobacter.com" TargetMode="External"/><Relationship Id="rId434" Type="http://schemas.openxmlformats.org/officeDocument/2006/relationships/hyperlink" Target="http://facebook.com/freshokartz" TargetMode="External"/><Relationship Id="rId641" Type="http://schemas.openxmlformats.org/officeDocument/2006/relationships/hyperlink" Target="https://www.linkedin.com/company/7956882?trk=prof-exp-company-name" TargetMode="External"/><Relationship Id="rId739" Type="http://schemas.openxmlformats.org/officeDocument/2006/relationships/hyperlink" Target="http://twitter.com/crop_x" TargetMode="External"/><Relationship Id="rId1064" Type="http://schemas.openxmlformats.org/officeDocument/2006/relationships/hyperlink" Target="http://facebook.com/kulishafeed" TargetMode="External"/><Relationship Id="rId1271" Type="http://schemas.openxmlformats.org/officeDocument/2006/relationships/hyperlink" Target="https://tracxn.com/companies/TshAr54W8ilj0l9bIttfhWuop_R6mrZSc4Uuw3lobb0/fsx123.com" TargetMode="External"/><Relationship Id="rId1369" Type="http://schemas.openxmlformats.org/officeDocument/2006/relationships/hyperlink" Target="https://tracxn.com/companies/izz5DG7_pRizy1xSqP36Ni5UxFq8sYaP_Qthjz-zOew/coldhubs.com" TargetMode="External"/><Relationship Id="rId1576" Type="http://schemas.openxmlformats.org/officeDocument/2006/relationships/hyperlink" Target="https://tracxn.com/companies/Znmsfe54-tdL6A2IvDtVsPNVd7O19zXAESncGnuFO8g/drygair.com" TargetMode="External"/><Relationship Id="rId501" Type="http://schemas.openxmlformats.org/officeDocument/2006/relationships/hyperlink" Target="https://twitter.com/zuzilite" TargetMode="External"/><Relationship Id="rId946" Type="http://schemas.openxmlformats.org/officeDocument/2006/relationships/hyperlink" Target="https://tracxn.com/companies/ar9KF4yo9CGLsX3hbdV8cEnSMXJ6Y8_aYS2Q4fg1Gzo/agriness.com" TargetMode="External"/><Relationship Id="rId1131" Type="http://schemas.openxmlformats.org/officeDocument/2006/relationships/hyperlink" Target="https://tracxn.com/companies/cY5npBUswIBNmgpv1vBga447mAVwcqSuKlCilo8vHDk/danziger-innovations.com" TargetMode="External"/><Relationship Id="rId1229" Type="http://schemas.openxmlformats.org/officeDocument/2006/relationships/hyperlink" Target="http://www.farmart.co/" TargetMode="External"/><Relationship Id="rId1783" Type="http://schemas.openxmlformats.org/officeDocument/2006/relationships/hyperlink" Target="http://www.linkedin.com/vsearch/p?f_CC=2431148" TargetMode="External"/><Relationship Id="rId75" Type="http://schemas.openxmlformats.org/officeDocument/2006/relationships/hyperlink" Target="https://freshatheart.my/" TargetMode="External"/><Relationship Id="rId806" Type="http://schemas.openxmlformats.org/officeDocument/2006/relationships/hyperlink" Target="https://farmdrive.co.ke/" TargetMode="External"/><Relationship Id="rId1436" Type="http://schemas.openxmlformats.org/officeDocument/2006/relationships/hyperlink" Target="https://inceres.com.br/" TargetMode="External"/><Relationship Id="rId1643" Type="http://schemas.openxmlformats.org/officeDocument/2006/relationships/hyperlink" Target="https://tracxn.com/companies/9vL_Ok9NSNyY4IzrXI4iSr182YWDDhJ_lsnZNdON3qo/freshworld.in" TargetMode="External"/><Relationship Id="rId1850" Type="http://schemas.openxmlformats.org/officeDocument/2006/relationships/hyperlink" Target="https://8villages.com/" TargetMode="External"/><Relationship Id="rId1503" Type="http://schemas.openxmlformats.org/officeDocument/2006/relationships/hyperlink" Target="http://twitter.com/farmdriveke" TargetMode="External"/><Relationship Id="rId1710" Type="http://schemas.openxmlformats.org/officeDocument/2006/relationships/hyperlink" Target="https://www.skymetweather.com/" TargetMode="External"/><Relationship Id="rId291" Type="http://schemas.openxmlformats.org/officeDocument/2006/relationships/hyperlink" Target="https://twitter.com/waycoolfoods" TargetMode="External"/><Relationship Id="rId1808" Type="http://schemas.openxmlformats.org/officeDocument/2006/relationships/hyperlink" Target="https://tracxn.com/companies/Qlog1nBRnQtCC1LW9Um21B1Ks_kVCS0uWYk0kRY5AG4/eloancn.com" TargetMode="External"/><Relationship Id="rId151" Type="http://schemas.openxmlformats.org/officeDocument/2006/relationships/hyperlink" Target="https://linkedin.com/company/g%C3%AAnica---inova%C3%A7%C3%A3o-biotecnol%C3%B3gica/about" TargetMode="External"/><Relationship Id="rId389" Type="http://schemas.openxmlformats.org/officeDocument/2006/relationships/hyperlink" Target="http://twitter.com/physizag" TargetMode="External"/><Relationship Id="rId596" Type="http://schemas.openxmlformats.org/officeDocument/2006/relationships/hyperlink" Target="https://www.linkedin.com/company/farmfolio" TargetMode="External"/><Relationship Id="rId249" Type="http://schemas.openxmlformats.org/officeDocument/2006/relationships/hyperlink" Target="https://tracxn.com/companies/oW2SeGpL7ia-MWtVNmPsSK2ghphIuWXWcPj9NVnguyI/nebulaa.in" TargetMode="External"/><Relationship Id="rId456" Type="http://schemas.openxmlformats.org/officeDocument/2006/relationships/hyperlink" Target="https://tracxn.com/companies/RKEKMfRmH1PQ_hEgu5_12QhJ1WIXqZjPpsQARPnSTx4/satsure.co" TargetMode="External"/><Relationship Id="rId663" Type="http://schemas.openxmlformats.org/officeDocument/2006/relationships/hyperlink" Target="http://linkedin.com/company/6637731" TargetMode="External"/><Relationship Id="rId870" Type="http://schemas.openxmlformats.org/officeDocument/2006/relationships/hyperlink" Target="https://tracxn.com/companies/-urbu-ZYUxJUcTWGrhOycaB2R2LA4xLr9_QBQupaIdw/originseed.com.cn" TargetMode="External"/><Relationship Id="rId1086" Type="http://schemas.openxmlformats.org/officeDocument/2006/relationships/hyperlink" Target="http://twitter.com/freshboxx_in" TargetMode="External"/><Relationship Id="rId1293" Type="http://schemas.openxmlformats.org/officeDocument/2006/relationships/hyperlink" Target="https://twitter.com/eragano_id" TargetMode="External"/><Relationship Id="rId109" Type="http://schemas.openxmlformats.org/officeDocument/2006/relationships/hyperlink" Target="https://tracxn.com/companies/EdP0qc0GbSrJGvalG6wDXmsGRn8JqEDJtGpQX9JSBEA/farmbee.in" TargetMode="External"/><Relationship Id="rId316" Type="http://schemas.openxmlformats.org/officeDocument/2006/relationships/hyperlink" Target="https://tracxn.com/companies/Ocffc_MfBBLWsHkOpsaFMAEZXaPt-556dR1E7zsi9PE/ricult.com" TargetMode="External"/><Relationship Id="rId523" Type="http://schemas.openxmlformats.org/officeDocument/2006/relationships/hyperlink" Target="http://linkedin.com/company/freshboxx" TargetMode="External"/><Relationship Id="rId968" Type="http://schemas.openxmlformats.org/officeDocument/2006/relationships/hyperlink" Target="https://facebook.com/stellapps" TargetMode="External"/><Relationship Id="rId1153" Type="http://schemas.openxmlformats.org/officeDocument/2006/relationships/hyperlink" Target="https://www.agronow.com.br/" TargetMode="External"/><Relationship Id="rId1598" Type="http://schemas.openxmlformats.org/officeDocument/2006/relationships/hyperlink" Target="http://facebook.com/efishery" TargetMode="External"/><Relationship Id="rId97" Type="http://schemas.openxmlformats.org/officeDocument/2006/relationships/hyperlink" Target="https://www.twiga.ke/" TargetMode="External"/><Relationship Id="rId730" Type="http://schemas.openxmlformats.org/officeDocument/2006/relationships/hyperlink" Target="http://www.linkedin.com/vsearch/p?f_CC=9476277" TargetMode="External"/><Relationship Id="rId828" Type="http://schemas.openxmlformats.org/officeDocument/2006/relationships/hyperlink" Target="http://linkedin.com/company/alesca-life-technologies" TargetMode="External"/><Relationship Id="rId1013" Type="http://schemas.openxmlformats.org/officeDocument/2006/relationships/hyperlink" Target="https://linkedin.com/company/%E4%B8%9C%E8%8E%9E%E5%B8%82%E8%8A%9D%E9%BA%BB%E5%9C%B0%E7%BD%91%E7%BB%9C%E7%A7%91%E6%8A%80%E6%9C%89%E9%99%90%E5%85%AC%E5%8F%B8/about" TargetMode="External"/><Relationship Id="rId1360" Type="http://schemas.openxmlformats.org/officeDocument/2006/relationships/hyperlink" Target="http://twitter.com/mosavali" TargetMode="External"/><Relationship Id="rId1458" Type="http://schemas.openxmlformats.org/officeDocument/2006/relationships/hyperlink" Target="https://www.cropin.com/" TargetMode="External"/><Relationship Id="rId1665" Type="http://schemas.openxmlformats.org/officeDocument/2006/relationships/hyperlink" Target="http://facebook.com/rizobacter" TargetMode="External"/><Relationship Id="rId1872" Type="http://schemas.openxmlformats.org/officeDocument/2006/relationships/hyperlink" Target="http://facebook.com/yuktix" TargetMode="External"/><Relationship Id="rId1220" Type="http://schemas.openxmlformats.org/officeDocument/2006/relationships/hyperlink" Target="http://foodstock.com.ng/" TargetMode="External"/><Relationship Id="rId1318" Type="http://schemas.openxmlformats.org/officeDocument/2006/relationships/hyperlink" Target="https://tracxn.com/companies/2Gprw9Coc_wmQoNakDIZdPnumqZyWJAq44d9nhLV55I/cropital.com" TargetMode="External"/><Relationship Id="rId1525" Type="http://schemas.openxmlformats.org/officeDocument/2006/relationships/hyperlink" Target="http://facebook.com/agrosmart1" TargetMode="External"/><Relationship Id="rId1732" Type="http://schemas.openxmlformats.org/officeDocument/2006/relationships/hyperlink" Target="http://linkedin.com/company/nrgene-ltd" TargetMode="External"/><Relationship Id="rId24" Type="http://schemas.openxmlformats.org/officeDocument/2006/relationships/hyperlink" Target="https://aquaconnect.blue/" TargetMode="External"/><Relationship Id="rId173" Type="http://schemas.openxmlformats.org/officeDocument/2006/relationships/hyperlink" Target="https://www.nocofio.com/" TargetMode="External"/><Relationship Id="rId380" Type="http://schemas.openxmlformats.org/officeDocument/2006/relationships/hyperlink" Target="https://tracxn.com/companies/BkdjQdAfhbqqOv_sw5erF_6qjNTmWR497T3rrA5r9xQ/4008268365.com" TargetMode="External"/><Relationship Id="rId240" Type="http://schemas.openxmlformats.org/officeDocument/2006/relationships/hyperlink" Target="http://blog.agropro.com.br/" TargetMode="External"/><Relationship Id="rId478" Type="http://schemas.openxmlformats.org/officeDocument/2006/relationships/hyperlink" Target="http://facebook.com/impactterra/" TargetMode="External"/><Relationship Id="rId685" Type="http://schemas.openxmlformats.org/officeDocument/2006/relationships/hyperlink" Target="https://www.linkedin.com/company/farm-dog" TargetMode="External"/><Relationship Id="rId892" Type="http://schemas.openxmlformats.org/officeDocument/2006/relationships/hyperlink" Target="https://www.tbit.com.br/" TargetMode="External"/><Relationship Id="rId100" Type="http://schemas.openxmlformats.org/officeDocument/2006/relationships/hyperlink" Target="http://facebook.com/1653593188194276" TargetMode="External"/><Relationship Id="rId338" Type="http://schemas.openxmlformats.org/officeDocument/2006/relationships/hyperlink" Target="https://taggnx.com/" TargetMode="External"/><Relationship Id="rId545" Type="http://schemas.openxmlformats.org/officeDocument/2006/relationships/hyperlink" Target="https://tracxn.com/companies/enB8J3g1NfyV5Kvh7q5uhmBfA02_CzChvgXP1PI2pBA/cowlar.com" TargetMode="External"/><Relationship Id="rId752" Type="http://schemas.openxmlformats.org/officeDocument/2006/relationships/hyperlink" Target="http://twitter.com/em3agri" TargetMode="External"/><Relationship Id="rId1175" Type="http://schemas.openxmlformats.org/officeDocument/2006/relationships/hyperlink" Target="http://www.yuyuyu.com.cn/" TargetMode="External"/><Relationship Id="rId1382" Type="http://schemas.openxmlformats.org/officeDocument/2006/relationships/hyperlink" Target="https://aegro.com.br/" TargetMode="External"/><Relationship Id="rId405" Type="http://schemas.openxmlformats.org/officeDocument/2006/relationships/hyperlink" Target="http://luxelare.com/blog" TargetMode="External"/><Relationship Id="rId612" Type="http://schemas.openxmlformats.org/officeDocument/2006/relationships/hyperlink" Target="https://tracxn.com/companies/QjzDNkTG6ewZ1xrKPmE9yrE3s7GVqrnT1iMhWj8x_Pc/aruna.id" TargetMode="External"/><Relationship Id="rId1035" Type="http://schemas.openxmlformats.org/officeDocument/2006/relationships/hyperlink" Target="http://shop.agrhub.com/blog" TargetMode="External"/><Relationship Id="rId1242" Type="http://schemas.openxmlformats.org/officeDocument/2006/relationships/hyperlink" Target="https://twitter.com/anatsaturas" TargetMode="External"/><Relationship Id="rId1687" Type="http://schemas.openxmlformats.org/officeDocument/2006/relationships/hyperlink" Target="http://www.linkedin.com/vsearch/p?f_CC=419740" TargetMode="External"/><Relationship Id="rId1894" Type="http://schemas.openxmlformats.org/officeDocument/2006/relationships/hyperlink" Target="http://www.inifarms.com/" TargetMode="External"/><Relationship Id="rId917" Type="http://schemas.openxmlformats.org/officeDocument/2006/relationships/hyperlink" Target="http://twitter.com/nurserylive" TargetMode="External"/><Relationship Id="rId1102" Type="http://schemas.openxmlformats.org/officeDocument/2006/relationships/hyperlink" Target="https://twitter.com/supplybunny" TargetMode="External"/><Relationship Id="rId1547" Type="http://schemas.openxmlformats.org/officeDocument/2006/relationships/hyperlink" Target="https://twitter.com/harddrones" TargetMode="External"/><Relationship Id="rId1754" Type="http://schemas.openxmlformats.org/officeDocument/2006/relationships/hyperlink" Target="https://tracxn.com/companies/L4oYC6Gp_WG9VORWn5d2RsbODxPnClnDqUOcoiYTmzM/mfarm.co.ke" TargetMode="External"/><Relationship Id="rId46" Type="http://schemas.openxmlformats.org/officeDocument/2006/relationships/hyperlink" Target="https://linkedin.com/company/chilibeli-pte-ltd/about" TargetMode="External"/><Relationship Id="rId1407" Type="http://schemas.openxmlformats.org/officeDocument/2006/relationships/hyperlink" Target="https://tracxn.com/companies/TOA-wHp7KlUQhPIHnqTOppdOqQrTaUsmB7E3IrzoARI/em3agri.com" TargetMode="External"/><Relationship Id="rId1614" Type="http://schemas.openxmlformats.org/officeDocument/2006/relationships/hyperlink" Target="https://twitter.com/gramophone_ag" TargetMode="External"/><Relationship Id="rId1821" Type="http://schemas.openxmlformats.org/officeDocument/2006/relationships/hyperlink" Target="https://www.donmario.com/" TargetMode="External"/><Relationship Id="rId195" Type="http://schemas.openxmlformats.org/officeDocument/2006/relationships/hyperlink" Target="https://www.hoire.cn/" TargetMode="External"/><Relationship Id="rId262" Type="http://schemas.openxmlformats.org/officeDocument/2006/relationships/hyperlink" Target="https://www.begreen.farm/" TargetMode="External"/><Relationship Id="rId567" Type="http://schemas.openxmlformats.org/officeDocument/2006/relationships/hyperlink" Target="http://facebook.com/bolpharma/" TargetMode="External"/><Relationship Id="rId1197" Type="http://schemas.openxmlformats.org/officeDocument/2006/relationships/hyperlink" Target="https://linkedin.com/company/theagrihub" TargetMode="External"/><Relationship Id="rId122" Type="http://schemas.openxmlformats.org/officeDocument/2006/relationships/hyperlink" Target="https://linkedin.com/company/fjdynamicsglobal/about" TargetMode="External"/><Relationship Id="rId774" Type="http://schemas.openxmlformats.org/officeDocument/2006/relationships/hyperlink" Target="http://twitter.com/zappfresh" TargetMode="External"/><Relationship Id="rId981" Type="http://schemas.openxmlformats.org/officeDocument/2006/relationships/hyperlink" Target="https://tracxn.com/companies/mMCihgosFJJtAvW3wtF4w94_ObxNflunAyWB2k0-u6s/upl-ltd.com" TargetMode="External"/><Relationship Id="rId1057" Type="http://schemas.openxmlformats.org/officeDocument/2006/relationships/hyperlink" Target="https://linkedin.com/company/intello-labs-pvt-ltd" TargetMode="External"/><Relationship Id="rId427" Type="http://schemas.openxmlformats.org/officeDocument/2006/relationships/hyperlink" Target="https://www.thriveagric.com/" TargetMode="External"/><Relationship Id="rId634" Type="http://schemas.openxmlformats.org/officeDocument/2006/relationships/hyperlink" Target="http://facebook.com/biofishency/" TargetMode="External"/><Relationship Id="rId841" Type="http://schemas.openxmlformats.org/officeDocument/2006/relationships/hyperlink" Target="https://tracxn.com/companies/GV8lcp9hEClumc_PXkcL34O1TN_Hr6f1YhECZXM4c7w/efishery.com" TargetMode="External"/><Relationship Id="rId1264" Type="http://schemas.openxmlformats.org/officeDocument/2006/relationships/hyperlink" Target="http://www.yingzhongtou.com/" TargetMode="External"/><Relationship Id="rId1471" Type="http://schemas.openxmlformats.org/officeDocument/2006/relationships/hyperlink" Target="http://kesucorp.com/" TargetMode="External"/><Relationship Id="rId1569" Type="http://schemas.openxmlformats.org/officeDocument/2006/relationships/hyperlink" Target="http://linkedin.com/company/groundwork-bioagriculture" TargetMode="External"/><Relationship Id="rId701" Type="http://schemas.openxmlformats.org/officeDocument/2006/relationships/hyperlink" Target="http://linkedin.com/company/9443044" TargetMode="External"/><Relationship Id="rId939" Type="http://schemas.openxmlformats.org/officeDocument/2006/relationships/hyperlink" Target="https://tracxn.com/companies/zmUxWIKyT4z6iSJP8bEHfaD9G5vAnXsk4rASCwcNs3I/ecozensolutions.com" TargetMode="External"/><Relationship Id="rId1124" Type="http://schemas.openxmlformats.org/officeDocument/2006/relationships/hyperlink" Target="http://www.airag.cn/" TargetMode="External"/><Relationship Id="rId1331" Type="http://schemas.openxmlformats.org/officeDocument/2006/relationships/hyperlink" Target="http://twitter.com/s4agtech" TargetMode="External"/><Relationship Id="rId1776" Type="http://schemas.openxmlformats.org/officeDocument/2006/relationships/hyperlink" Target="http://linkedin.com/company/imeve-s-a" TargetMode="External"/><Relationship Id="rId68" Type="http://schemas.openxmlformats.org/officeDocument/2006/relationships/hyperlink" Target="https://linkedin.com/company/altum-lab/about" TargetMode="External"/><Relationship Id="rId1429" Type="http://schemas.openxmlformats.org/officeDocument/2006/relationships/hyperlink" Target="https://tracxn.com/companies/84vhZOGT0u37BXXaEeiEYe-sHM9EAlCWooJzhndiudE/livingboxproject.com" TargetMode="External"/><Relationship Id="rId1636" Type="http://schemas.openxmlformats.org/officeDocument/2006/relationships/hyperlink" Target="http://ctrax.info/?lang=en" TargetMode="External"/><Relationship Id="rId1843" Type="http://schemas.openxmlformats.org/officeDocument/2006/relationships/hyperlink" Target="http://facebook.com/afimilk" TargetMode="External"/><Relationship Id="rId1703" Type="http://schemas.openxmlformats.org/officeDocument/2006/relationships/hyperlink" Target="https://tracxn.com/companies/1KvGVA9UatFckU_SgyhamfFN7YP4T_QSre_umGCB7mM/tech4farmers.com" TargetMode="External"/><Relationship Id="rId1910" Type="http://schemas.openxmlformats.org/officeDocument/2006/relationships/hyperlink" Target="https://www.linkedin.com/company/seedworks-international-pvt.-ltd." TargetMode="External"/><Relationship Id="rId284" Type="http://schemas.openxmlformats.org/officeDocument/2006/relationships/hyperlink" Target="http://botanicalsolutions.cl/" TargetMode="External"/><Relationship Id="rId491" Type="http://schemas.openxmlformats.org/officeDocument/2006/relationships/hyperlink" Target="http://facebook.com/payagri" TargetMode="External"/><Relationship Id="rId144" Type="http://schemas.openxmlformats.org/officeDocument/2006/relationships/hyperlink" Target="https://www.sndistinguish.com/" TargetMode="External"/><Relationship Id="rId589" Type="http://schemas.openxmlformats.org/officeDocument/2006/relationships/hyperlink" Target="https://livestockwealth.com/" TargetMode="External"/><Relationship Id="rId796" Type="http://schemas.openxmlformats.org/officeDocument/2006/relationships/hyperlink" Target="http://facebook.com/agribuddy.kh/" TargetMode="External"/><Relationship Id="rId351" Type="http://schemas.openxmlformats.org/officeDocument/2006/relationships/hyperlink" Target="https://www.bharatagri.com/" TargetMode="External"/><Relationship Id="rId449" Type="http://schemas.openxmlformats.org/officeDocument/2006/relationships/hyperlink" Target="https://www.leanagri.com/" TargetMode="External"/><Relationship Id="rId656" Type="http://schemas.openxmlformats.org/officeDocument/2006/relationships/hyperlink" Target="https://tracxn.com/companies/tTxs3PtXTDH8_zK0Rcd5f5hJ2GEse7zq7cTqYSXyL7s/songxiaocai.com" TargetMode="External"/><Relationship Id="rId863" Type="http://schemas.openxmlformats.org/officeDocument/2006/relationships/hyperlink" Target="https://www.linkedin.com/company/retailworx-india-private-limited" TargetMode="External"/><Relationship Id="rId1079" Type="http://schemas.openxmlformats.org/officeDocument/2006/relationships/hyperlink" Target="https://tracxn.com/companies/qez0Nam58yWYvwui-8ZON3duCgTDoXyU8IXeWMiL2mI/avenews-gt.com" TargetMode="External"/><Relationship Id="rId1286" Type="http://schemas.openxmlformats.org/officeDocument/2006/relationships/hyperlink" Target="https://tracxn.com/companies/olJViMLGi-KM6SrVTLuQINTG5KG5JWw5Jfb7w3EcGnU/mailiangwang.com" TargetMode="External"/><Relationship Id="rId1493" Type="http://schemas.openxmlformats.org/officeDocument/2006/relationships/hyperlink" Target="http://www.merakisan.com/" TargetMode="External"/><Relationship Id="rId211" Type="http://schemas.openxmlformats.org/officeDocument/2006/relationships/hyperlink" Target="http://digifarmz.com/blog" TargetMode="External"/><Relationship Id="rId309" Type="http://schemas.openxmlformats.org/officeDocument/2006/relationships/hyperlink" Target="http://facebook.com/cowtribe" TargetMode="External"/><Relationship Id="rId516" Type="http://schemas.openxmlformats.org/officeDocument/2006/relationships/hyperlink" Target="https://twitter.com/temancrowde" TargetMode="External"/><Relationship Id="rId1146" Type="http://schemas.openxmlformats.org/officeDocument/2006/relationships/hyperlink" Target="https://tracxn.com/companies/5CBpnGh5RiFoAWyjWZL9gqxr8Tu8DCQVxo3e-o-ZX6M/trotrotractor.com" TargetMode="External"/><Relationship Id="rId1798" Type="http://schemas.openxmlformats.org/officeDocument/2006/relationships/hyperlink" Target="http://linkedin.com/company/esoko" TargetMode="External"/><Relationship Id="rId723" Type="http://schemas.openxmlformats.org/officeDocument/2006/relationships/hyperlink" Target="http://linkedin.com/company/leaf---the-smart-grow-system" TargetMode="External"/><Relationship Id="rId930" Type="http://schemas.openxmlformats.org/officeDocument/2006/relationships/hyperlink" Target="https://twitter.com/fieldintech" TargetMode="External"/><Relationship Id="rId1006" Type="http://schemas.openxmlformats.org/officeDocument/2006/relationships/hyperlink" Target="https://tracxn.com/companies/sUMMS9NuT7XcfqHIK4nGzLb0rtOrdYe8AF82XjmfcUk/farmster.co" TargetMode="External"/><Relationship Id="rId1353" Type="http://schemas.openxmlformats.org/officeDocument/2006/relationships/hyperlink" Target="https://www.grobomac.com/" TargetMode="External"/><Relationship Id="rId1560" Type="http://schemas.openxmlformats.org/officeDocument/2006/relationships/hyperlink" Target="https://vasham.co.id/" TargetMode="External"/><Relationship Id="rId1658" Type="http://schemas.openxmlformats.org/officeDocument/2006/relationships/hyperlink" Target="http://linkedin.com/company/less-industries" TargetMode="External"/><Relationship Id="rId1865" Type="http://schemas.openxmlformats.org/officeDocument/2006/relationships/hyperlink" Target="http://twitter.com/green_iq" TargetMode="External"/><Relationship Id="rId1213" Type="http://schemas.openxmlformats.org/officeDocument/2006/relationships/hyperlink" Target="https://tracxn.com/companies/vF5wqX-dKlJreS6gW5PGFmOiQgyIzCVvYnGcvY9q2ig/enowisetech.com" TargetMode="External"/><Relationship Id="rId1420" Type="http://schemas.openxmlformats.org/officeDocument/2006/relationships/hyperlink" Target="https://www.zappfresh.com/" TargetMode="External"/><Relationship Id="rId1518" Type="http://schemas.openxmlformats.org/officeDocument/2006/relationships/hyperlink" Target="https://www.autoagronom.com/" TargetMode="External"/><Relationship Id="rId1725" Type="http://schemas.openxmlformats.org/officeDocument/2006/relationships/hyperlink" Target="https://www.origeneseeds.com/" TargetMode="External"/><Relationship Id="rId17" Type="http://schemas.openxmlformats.org/officeDocument/2006/relationships/hyperlink" Target="https://facebook.com/vegrow-106528757696750" TargetMode="External"/><Relationship Id="rId166" Type="http://schemas.openxmlformats.org/officeDocument/2006/relationships/hyperlink" Target="http://agro2o.com/blog" TargetMode="External"/><Relationship Id="rId373" Type="http://schemas.openxmlformats.org/officeDocument/2006/relationships/hyperlink" Target="https://tracxn.com/companies/_Ee9zzqF5-_1ZAQQ_mkT4HVJgVE47-xiCWktAmXMK4o/ttxn.com" TargetMode="External"/><Relationship Id="rId580" Type="http://schemas.openxmlformats.org/officeDocument/2006/relationships/hyperlink" Target="https://www.komaza.com/" TargetMode="External"/><Relationship Id="rId1" Type="http://schemas.openxmlformats.org/officeDocument/2006/relationships/hyperlink" Target="http://www.dshifu.cn/" TargetMode="External"/><Relationship Id="rId233" Type="http://schemas.openxmlformats.org/officeDocument/2006/relationships/hyperlink" Target="https://tracxn.com/companies/7D9cLE-nhrz1EXywJuwNCs_qtg1rk7BdPWJeKIIB1DI/credible-india.com" TargetMode="External"/><Relationship Id="rId440" Type="http://schemas.openxmlformats.org/officeDocument/2006/relationships/hyperlink" Target="http://agricx.com/" TargetMode="External"/><Relationship Id="rId678" Type="http://schemas.openxmlformats.org/officeDocument/2006/relationships/hyperlink" Target="https://facebook.com/pages/themefusion/101565403356430" TargetMode="External"/><Relationship Id="rId885" Type="http://schemas.openxmlformats.org/officeDocument/2006/relationships/hyperlink" Target="http://www.linkedin.com/vsearch/p?f_CC=2101713" TargetMode="External"/><Relationship Id="rId1070" Type="http://schemas.openxmlformats.org/officeDocument/2006/relationships/hyperlink" Target="https://tracxn.com/companies/Rt1wNAxkBVoTbu3Z76Su6FfH5NELxhl4GkrK0tWVYoE/paalak.in" TargetMode="External"/><Relationship Id="rId300" Type="http://schemas.openxmlformats.org/officeDocument/2006/relationships/hyperlink" Target="http://twitter.com/clarifruit" TargetMode="External"/><Relationship Id="rId538" Type="http://schemas.openxmlformats.org/officeDocument/2006/relationships/hyperlink" Target="https://facebook.com/farmers-pride-1517048061930715" TargetMode="External"/><Relationship Id="rId745" Type="http://schemas.openxmlformats.org/officeDocument/2006/relationships/hyperlink" Target="https://www.bighaat.com/" TargetMode="External"/><Relationship Id="rId952" Type="http://schemas.openxmlformats.org/officeDocument/2006/relationships/hyperlink" Target="http://www.linkedin.com/vsearch/p?f_CC=3519620" TargetMode="External"/><Relationship Id="rId1168" Type="http://schemas.openxmlformats.org/officeDocument/2006/relationships/hyperlink" Target="https://linkedin.com/company/yzyy365/about" TargetMode="External"/><Relationship Id="rId1375" Type="http://schemas.openxmlformats.org/officeDocument/2006/relationships/hyperlink" Target="http://www.linkedin.com/vsearch/p?f_CC=9484300" TargetMode="External"/><Relationship Id="rId1582" Type="http://schemas.openxmlformats.org/officeDocument/2006/relationships/hyperlink" Target="https://www.modisar.com/" TargetMode="External"/><Relationship Id="rId81" Type="http://schemas.openxmlformats.org/officeDocument/2006/relationships/hyperlink" Target="https://tracxn.com/companies/JpvpCIBPD7tHsL21gQ-GYmsQkv8V1FX3I-3QBHutwpk/nuup.co" TargetMode="External"/><Relationship Id="rId605" Type="http://schemas.openxmlformats.org/officeDocument/2006/relationships/hyperlink" Target="http://www.nongfenqi.com/" TargetMode="External"/><Relationship Id="rId812" Type="http://schemas.openxmlformats.org/officeDocument/2006/relationships/hyperlink" Target="https://www.cultivandofuturo.com/" TargetMode="External"/><Relationship Id="rId1028" Type="http://schemas.openxmlformats.org/officeDocument/2006/relationships/hyperlink" Target="http://www.swastiagro.com/" TargetMode="External"/><Relationship Id="rId1235" Type="http://schemas.openxmlformats.org/officeDocument/2006/relationships/hyperlink" Target="https://linkedin.com/company/%E6%B7%B1%E5%9C%B3%E5%86%9C%E9%87%91%E5%9C%88%E9%87%91%E8%9E%8D%E6%9C%8D%E5%8A%A1%E6%9C%89%E9%99%90%E5%85%AC%E5%8F%B8" TargetMode="External"/><Relationship Id="rId1442" Type="http://schemas.openxmlformats.org/officeDocument/2006/relationships/hyperlink" Target="http://anxindeli.com/" TargetMode="External"/><Relationship Id="rId1887" Type="http://schemas.openxmlformats.org/officeDocument/2006/relationships/hyperlink" Target="http://www.linkedin.com/vsearch/p?f_CC=1595062" TargetMode="External"/><Relationship Id="rId1302" Type="http://schemas.openxmlformats.org/officeDocument/2006/relationships/hyperlink" Target="http://twitter.com/buscagrochile" TargetMode="External"/><Relationship Id="rId1747" Type="http://schemas.openxmlformats.org/officeDocument/2006/relationships/hyperlink" Target="http://facebook.com/myagro.org" TargetMode="External"/><Relationship Id="rId39" Type="http://schemas.openxmlformats.org/officeDocument/2006/relationships/hyperlink" Target="https://linkedin.com/company/bijakapp" TargetMode="External"/><Relationship Id="rId1607" Type="http://schemas.openxmlformats.org/officeDocument/2006/relationships/hyperlink" Target="https://tracxn.com/companies/CBgA4OgK4kZs9S7ESBD_uCtr5XJkXLiSWGh0pXS6nYg/eden-shield.com" TargetMode="External"/><Relationship Id="rId1814" Type="http://schemas.openxmlformats.org/officeDocument/2006/relationships/hyperlink" Target="https://tracxn.com/companies/zmUxWIKyT4z6iSJP8bEHfaD9G5vAnXsk4rASCwcNs3I/ecozensolutions.com" TargetMode="External"/><Relationship Id="rId188" Type="http://schemas.openxmlformats.org/officeDocument/2006/relationships/hyperlink" Target="http://www.linkedin.com/vsearch/p?f_CC=10093773" TargetMode="External"/><Relationship Id="rId395" Type="http://schemas.openxmlformats.org/officeDocument/2006/relationships/hyperlink" Target="https://tracxn.com/companies/utFjixxGHYsJJtwO_70Dx_wocM7nqLCi1UrpDb4hv6o/chinabric.com" TargetMode="External"/><Relationship Id="rId255" Type="http://schemas.openxmlformats.org/officeDocument/2006/relationships/hyperlink" Target="http://jaguzafarm.com/blog" TargetMode="External"/><Relationship Id="rId462" Type="http://schemas.openxmlformats.org/officeDocument/2006/relationships/hyperlink" Target="https://www.habibigarden.com/" TargetMode="External"/><Relationship Id="rId1092" Type="http://schemas.openxmlformats.org/officeDocument/2006/relationships/hyperlink" Target="http://www.scantask.com/" TargetMode="External"/><Relationship Id="rId1397" Type="http://schemas.openxmlformats.org/officeDocument/2006/relationships/hyperlink" Target="https://tracxn.com/companies/x0SndVF0rKEKsrDbdf9ZqpGiNFtCET4zRbm4ORaNONc/fibsol.com" TargetMode="External"/><Relationship Id="rId115" Type="http://schemas.openxmlformats.org/officeDocument/2006/relationships/hyperlink" Target="http://ruhminnovation.com/" TargetMode="External"/><Relationship Id="rId322" Type="http://schemas.openxmlformats.org/officeDocument/2006/relationships/hyperlink" Target="https://tracxn.com/companies/ICnjxECX8a9yXGUEgE0w53LaXK-VGET34LhbpvWt3qs/naturacropcare.com" TargetMode="External"/><Relationship Id="rId767" Type="http://schemas.openxmlformats.org/officeDocument/2006/relationships/hyperlink" Target="http://linkedin.com/company/prospera-technologies" TargetMode="External"/><Relationship Id="rId974" Type="http://schemas.openxmlformats.org/officeDocument/2006/relationships/hyperlink" Target="https://twitter.com/farm_again" TargetMode="External"/><Relationship Id="rId627" Type="http://schemas.openxmlformats.org/officeDocument/2006/relationships/hyperlink" Target="https://tracxn.com/companies/4hjmzUAsQv-FL2s4rT8TYkx_I8KP6u-Cc6ZleE--Bws/bharatrohan.in" TargetMode="External"/><Relationship Id="rId834" Type="http://schemas.openxmlformats.org/officeDocument/2006/relationships/hyperlink" Target="https://tracxn.com/companies/wagsBF5a4v9N7VsaSJiYBIkbCQXjppHODJD5FQ8nYLw/nilebot.com" TargetMode="External"/><Relationship Id="rId1257" Type="http://schemas.openxmlformats.org/officeDocument/2006/relationships/hyperlink" Target="http://facebook.com/igrowclub" TargetMode="External"/><Relationship Id="rId1464" Type="http://schemas.openxmlformats.org/officeDocument/2006/relationships/hyperlink" Target="http://www.linkedin.com/vsearch/p?f_CC=9498451" TargetMode="External"/><Relationship Id="rId1671" Type="http://schemas.openxmlformats.org/officeDocument/2006/relationships/hyperlink" Target="https://tracxn.com/companies/RurK4MBH5168_X8nnkQErvr0CbVKQAE5J2abhLFMjvo/sunculture.com" TargetMode="External"/><Relationship Id="rId901" Type="http://schemas.openxmlformats.org/officeDocument/2006/relationships/hyperlink" Target="http://facebook.com/pages/skymet-weather/472246906123174" TargetMode="External"/><Relationship Id="rId1117" Type="http://schemas.openxmlformats.org/officeDocument/2006/relationships/hyperlink" Target="http://twitter.com/aibonoworld" TargetMode="External"/><Relationship Id="rId1324" Type="http://schemas.openxmlformats.org/officeDocument/2006/relationships/hyperlink" Target="https://www.linkedin.com/company/farm-dog" TargetMode="External"/><Relationship Id="rId1531" Type="http://schemas.openxmlformats.org/officeDocument/2006/relationships/hyperlink" Target="http://twitter.com/mshambake" TargetMode="External"/><Relationship Id="rId1769" Type="http://schemas.openxmlformats.org/officeDocument/2006/relationships/hyperlink" Target="http://www.jains.com/" TargetMode="External"/><Relationship Id="rId30" Type="http://schemas.openxmlformats.org/officeDocument/2006/relationships/hyperlink" Target="https://tracxn.com/companies/5q6reOXNej1Nun-4PiWcvFqvnY9Oaj-YryXW0FUup-M/ailinkiot.com" TargetMode="External"/><Relationship Id="rId1629" Type="http://schemas.openxmlformats.org/officeDocument/2006/relationships/hyperlink" Target="http://twitter.com/visualnacert" TargetMode="External"/><Relationship Id="rId1836" Type="http://schemas.openxmlformats.org/officeDocument/2006/relationships/hyperlink" Target="http://botanocap.com/" TargetMode="External"/><Relationship Id="rId1903" Type="http://schemas.openxmlformats.org/officeDocument/2006/relationships/hyperlink" Target="http://seedcogroup.com/media/blog" TargetMode="External"/><Relationship Id="rId277" Type="http://schemas.openxmlformats.org/officeDocument/2006/relationships/hyperlink" Target="https://www.bayseddo.com/" TargetMode="External"/><Relationship Id="rId484" Type="http://schemas.openxmlformats.org/officeDocument/2006/relationships/hyperlink" Target="https://linkedin.com/company/lentera-limited/about" TargetMode="External"/><Relationship Id="rId137" Type="http://schemas.openxmlformats.org/officeDocument/2006/relationships/hyperlink" Target="https://linkedin.com/company/woollyfarms/about" TargetMode="External"/><Relationship Id="rId344" Type="http://schemas.openxmlformats.org/officeDocument/2006/relationships/hyperlink" Target="https://linkedin.com/company/seedo/about" TargetMode="External"/><Relationship Id="rId691" Type="http://schemas.openxmlformats.org/officeDocument/2006/relationships/hyperlink" Target="http://twitter.com/jivabhumi" TargetMode="External"/><Relationship Id="rId789" Type="http://schemas.openxmlformats.org/officeDocument/2006/relationships/hyperlink" Target="https://twitter.com/ninjacart" TargetMode="External"/><Relationship Id="rId996" Type="http://schemas.openxmlformats.org/officeDocument/2006/relationships/hyperlink" Target="http://www.linkedin.com/vsearch/p?f_CC=680573" TargetMode="External"/><Relationship Id="rId551" Type="http://schemas.openxmlformats.org/officeDocument/2006/relationships/hyperlink" Target="https://tracxn.com/companies/ljD2_vlr72Jw-cIR2TJ64exDKeQTby1iCaqVizKa8dw/aibono.com" TargetMode="External"/><Relationship Id="rId649" Type="http://schemas.openxmlformats.org/officeDocument/2006/relationships/hyperlink" Target="https://taranis.ag/" TargetMode="External"/><Relationship Id="rId856" Type="http://schemas.openxmlformats.org/officeDocument/2006/relationships/hyperlink" Target="https://facebook.com/gramophone.co.in" TargetMode="External"/><Relationship Id="rId1181" Type="http://schemas.openxmlformats.org/officeDocument/2006/relationships/hyperlink" Target="http://www.nongfenqi.com/" TargetMode="External"/><Relationship Id="rId1279" Type="http://schemas.openxmlformats.org/officeDocument/2006/relationships/hyperlink" Target="https://www.ugaoo.com/" TargetMode="External"/><Relationship Id="rId1486" Type="http://schemas.openxmlformats.org/officeDocument/2006/relationships/hyperlink" Target="https://linkedin.com/company/breedit/about" TargetMode="External"/><Relationship Id="rId204" Type="http://schemas.openxmlformats.org/officeDocument/2006/relationships/hyperlink" Target="http://facebook.com/tulaanews" TargetMode="External"/><Relationship Id="rId411" Type="http://schemas.openxmlformats.org/officeDocument/2006/relationships/hyperlink" Target="https://tracxn.com/companies/pudApBsAc2-jxO0ieWxshOn8iv6Tt59mxq0_XbGubog/gobasco.com" TargetMode="External"/><Relationship Id="rId509" Type="http://schemas.openxmlformats.org/officeDocument/2006/relationships/hyperlink" Target="http://nongtaowang.com/" TargetMode="External"/><Relationship Id="rId1041" Type="http://schemas.openxmlformats.org/officeDocument/2006/relationships/hyperlink" Target="https://tracxn.com/companies/Q4GXM2n9km5rbwvx2jc1EdSajlNi56NZAtgoMhCo_CM/agnext.com" TargetMode="External"/><Relationship Id="rId1139" Type="http://schemas.openxmlformats.org/officeDocument/2006/relationships/hyperlink" Target="https://facebook.com/crofarm.co" TargetMode="External"/><Relationship Id="rId1346" Type="http://schemas.openxmlformats.org/officeDocument/2006/relationships/hyperlink" Target="https://www.licious.in/" TargetMode="External"/><Relationship Id="rId1693" Type="http://schemas.openxmlformats.org/officeDocument/2006/relationships/hyperlink" Target="http://www.linkedin.com/vsearch/p?f_CC=2164244" TargetMode="External"/><Relationship Id="rId716" Type="http://schemas.openxmlformats.org/officeDocument/2006/relationships/hyperlink" Target="https://www.jetbov.com/" TargetMode="External"/><Relationship Id="rId923" Type="http://schemas.openxmlformats.org/officeDocument/2006/relationships/hyperlink" Target="https://twitter.com/netafimcorp" TargetMode="External"/><Relationship Id="rId1553" Type="http://schemas.openxmlformats.org/officeDocument/2006/relationships/hyperlink" Target="https://tracxn.com/companies/Abhvkf0mWZcq57flMEmaBops6P7qBztVLxaEy2VEFhY/strider.ag" TargetMode="External"/><Relationship Id="rId1760" Type="http://schemas.openxmlformats.org/officeDocument/2006/relationships/hyperlink" Target="http://www.linkedin.com/vsearch/p?f_CC=5093963" TargetMode="External"/><Relationship Id="rId1858" Type="http://schemas.openxmlformats.org/officeDocument/2006/relationships/hyperlink" Target="https://www.linkedin.com/company/3146270?trk=prof-0-ovw-curr_pos" TargetMode="External"/><Relationship Id="rId52" Type="http://schemas.openxmlformats.org/officeDocument/2006/relationships/hyperlink" Target="https://facebook.com/brainwired01" TargetMode="External"/><Relationship Id="rId1206" Type="http://schemas.openxmlformats.org/officeDocument/2006/relationships/hyperlink" Target="https://tracxn.com/companies/QV9INkHkg6a5wWmiY_u7YeAFchvIhIWLIOcXk4GKhFM/farmguide.in" TargetMode="External"/><Relationship Id="rId1413" Type="http://schemas.openxmlformats.org/officeDocument/2006/relationships/hyperlink" Target="http://www.linkedin.com/vsearch/p?f_CC=4853667" TargetMode="External"/><Relationship Id="rId1620" Type="http://schemas.openxmlformats.org/officeDocument/2006/relationships/hyperlink" Target="http://twitter.com/banyan_green" TargetMode="External"/><Relationship Id="rId1718" Type="http://schemas.openxmlformats.org/officeDocument/2006/relationships/hyperlink" Target="https://twitter.com/phytechusa" TargetMode="External"/><Relationship Id="rId299" Type="http://schemas.openxmlformats.org/officeDocument/2006/relationships/hyperlink" Target="http://linkedin.com/company/clarifruit" TargetMode="External"/><Relationship Id="rId159" Type="http://schemas.openxmlformats.org/officeDocument/2006/relationships/hyperlink" Target="https://cricketone.asia/" TargetMode="External"/><Relationship Id="rId366" Type="http://schemas.openxmlformats.org/officeDocument/2006/relationships/hyperlink" Target="https://tracxn.com/companies/DgCrqtzcEv0N9OcRcqKhgxj4J5O_j_SpuJW-xW_jHH8/kehuiseed.com" TargetMode="External"/><Relationship Id="rId573" Type="http://schemas.openxmlformats.org/officeDocument/2006/relationships/hyperlink" Target="https://tracxn.com/companies/0AMlFXf7S9QT4T_P-BYQzVaxQAVgN9D_Eyfv3BW48y0/amvicube.com" TargetMode="External"/><Relationship Id="rId780" Type="http://schemas.openxmlformats.org/officeDocument/2006/relationships/hyperlink" Target="https://www.cropin.com/" TargetMode="External"/><Relationship Id="rId226" Type="http://schemas.openxmlformats.org/officeDocument/2006/relationships/hyperlink" Target="https://www.nutrition-technologies.com/" TargetMode="External"/><Relationship Id="rId433" Type="http://schemas.openxmlformats.org/officeDocument/2006/relationships/hyperlink" Target="http://twitter.com/freshokartz" TargetMode="External"/><Relationship Id="rId878" Type="http://schemas.openxmlformats.org/officeDocument/2006/relationships/hyperlink" Target="http://facebook.com/rizobacter" TargetMode="External"/><Relationship Id="rId1063" Type="http://schemas.openxmlformats.org/officeDocument/2006/relationships/hyperlink" Target="https://twitter.com/kulishafeed" TargetMode="External"/><Relationship Id="rId1270" Type="http://schemas.openxmlformats.org/officeDocument/2006/relationships/hyperlink" Target="http://www.fsx123.com/" TargetMode="External"/><Relationship Id="rId640" Type="http://schemas.openxmlformats.org/officeDocument/2006/relationships/hyperlink" Target="http://www.farmart.co/" TargetMode="External"/><Relationship Id="rId738" Type="http://schemas.openxmlformats.org/officeDocument/2006/relationships/hyperlink" Target="https://www.linkedin.com/company/10147582?trk=prof-exp-company-name" TargetMode="External"/><Relationship Id="rId945" Type="http://schemas.openxmlformats.org/officeDocument/2006/relationships/hyperlink" Target="http://agriness.com/pt/blog" TargetMode="External"/><Relationship Id="rId1368" Type="http://schemas.openxmlformats.org/officeDocument/2006/relationships/hyperlink" Target="https://twitter.com/coldhubs" TargetMode="External"/><Relationship Id="rId1575" Type="http://schemas.openxmlformats.org/officeDocument/2006/relationships/hyperlink" Target="http://facebook.com/drygair" TargetMode="External"/><Relationship Id="rId1782" Type="http://schemas.openxmlformats.org/officeDocument/2006/relationships/hyperlink" Target="https://tracxn.com/companies/t_4LsYioCfREUr_sXXUI_EZ1WJrfmjCY2IYels_ojy4/identis.in" TargetMode="External"/><Relationship Id="rId74" Type="http://schemas.openxmlformats.org/officeDocument/2006/relationships/hyperlink" Target="https://tracxn.com/companies/SgZccVGN8gTQUze7bOGIbaWleJlofwl57vBve6wfh_4/absolutefoods.in" TargetMode="External"/><Relationship Id="rId500" Type="http://schemas.openxmlformats.org/officeDocument/2006/relationships/hyperlink" Target="https://linkedin.com/company/%E5%8D%92%E5%AD%90%E7%A7%91%E6%8A%80-%E6%B7%B1%E5%9C%B3-%E6%9C%89%E9%99%90%E5%85%AC%E5%8F%B8/about" TargetMode="External"/><Relationship Id="rId805" Type="http://schemas.openxmlformats.org/officeDocument/2006/relationships/hyperlink" Target="http://www.linkedin.com/vsearch/p?f_CC=9381643" TargetMode="External"/><Relationship Id="rId1130" Type="http://schemas.openxmlformats.org/officeDocument/2006/relationships/hyperlink" Target="http://www.danziger-innovations.com/" TargetMode="External"/><Relationship Id="rId1228" Type="http://schemas.openxmlformats.org/officeDocument/2006/relationships/hyperlink" Target="https://tracxn.com/companies/fIGjjbGra0HcFYkfc7s6iNgZUR1ILFdgJhhkRwaZr6Q/ukulimatech.co.ke" TargetMode="External"/><Relationship Id="rId1435" Type="http://schemas.openxmlformats.org/officeDocument/2006/relationships/hyperlink" Target="http://www.linkedin.com/vsearch/p?f_CC=9266729" TargetMode="External"/><Relationship Id="rId1642" Type="http://schemas.openxmlformats.org/officeDocument/2006/relationships/hyperlink" Target="https://freshworldfnv.wordpress.com/" TargetMode="External"/><Relationship Id="rId1502" Type="http://schemas.openxmlformats.org/officeDocument/2006/relationships/hyperlink" Target="http://linkedin.com/company/farmdrive" TargetMode="External"/><Relationship Id="rId1807" Type="http://schemas.openxmlformats.org/officeDocument/2006/relationships/hyperlink" Target="https://www.eloancn.com/" TargetMode="External"/><Relationship Id="rId290" Type="http://schemas.openxmlformats.org/officeDocument/2006/relationships/hyperlink" Target="https://linkedin.com/company/waycoolfoods/about" TargetMode="External"/><Relationship Id="rId388" Type="http://schemas.openxmlformats.org/officeDocument/2006/relationships/hyperlink" Target="http://linkedin.com/company/13362995" TargetMode="External"/><Relationship Id="rId150" Type="http://schemas.openxmlformats.org/officeDocument/2006/relationships/hyperlink" Target="https://genica.com.br/newsite/" TargetMode="External"/><Relationship Id="rId595" Type="http://schemas.openxmlformats.org/officeDocument/2006/relationships/hyperlink" Target="https://farmfolio.net/" TargetMode="External"/><Relationship Id="rId248" Type="http://schemas.openxmlformats.org/officeDocument/2006/relationships/hyperlink" Target="http://linkedin.com/company/13195387" TargetMode="External"/><Relationship Id="rId455" Type="http://schemas.openxmlformats.org/officeDocument/2006/relationships/hyperlink" Target="http://facebook.com/satsureag" TargetMode="External"/><Relationship Id="rId662" Type="http://schemas.openxmlformats.org/officeDocument/2006/relationships/hyperlink" Target="https://kheyti.com/" TargetMode="External"/><Relationship Id="rId1085" Type="http://schemas.openxmlformats.org/officeDocument/2006/relationships/hyperlink" Target="http://linkedin.com/company/freshboxx" TargetMode="External"/><Relationship Id="rId1292" Type="http://schemas.openxmlformats.org/officeDocument/2006/relationships/hyperlink" Target="http://www.eragano.com/index.php/login/index" TargetMode="External"/><Relationship Id="rId108" Type="http://schemas.openxmlformats.org/officeDocument/2006/relationships/hyperlink" Target="https://linkedin.com/company/rmlfarmbee" TargetMode="External"/><Relationship Id="rId315" Type="http://schemas.openxmlformats.org/officeDocument/2006/relationships/hyperlink" Target="http://facebook.com/contactricult" TargetMode="External"/><Relationship Id="rId522" Type="http://schemas.openxmlformats.org/officeDocument/2006/relationships/hyperlink" Target="https://www.freshboxx.in/" TargetMode="External"/><Relationship Id="rId967" Type="http://schemas.openxmlformats.org/officeDocument/2006/relationships/hyperlink" Target="https://twitter.com/stellapps" TargetMode="External"/><Relationship Id="rId1152" Type="http://schemas.openxmlformats.org/officeDocument/2006/relationships/hyperlink" Target="https://tracxn.com/companies/CJvz_x6ltAIwFBKqXgkDqmO-Q9Xgrefn5ZMr7PQ6B00/komaza.com" TargetMode="External"/><Relationship Id="rId1597" Type="http://schemas.openxmlformats.org/officeDocument/2006/relationships/hyperlink" Target="http://twitter.com/efisherycom" TargetMode="External"/><Relationship Id="rId96" Type="http://schemas.openxmlformats.org/officeDocument/2006/relationships/hyperlink" Target="http://www.linkedin.com/vsearch/p?f_CC=10118408" TargetMode="External"/><Relationship Id="rId827" Type="http://schemas.openxmlformats.org/officeDocument/2006/relationships/hyperlink" Target="https://www.alescalife.com/" TargetMode="External"/><Relationship Id="rId1012" Type="http://schemas.openxmlformats.org/officeDocument/2006/relationships/hyperlink" Target="https://www.zhimadi.cn/" TargetMode="External"/><Relationship Id="rId1457" Type="http://schemas.openxmlformats.org/officeDocument/2006/relationships/hyperlink" Target="https://tracxn.com/companies/9MijD2FJa6uFA7ZC_eL7Lf5wsgz2lNucgWN1_Npvwas/siembraviva.com" TargetMode="External"/><Relationship Id="rId1664" Type="http://schemas.openxmlformats.org/officeDocument/2006/relationships/hyperlink" Target="https://twitter.com/rizobacterarg" TargetMode="External"/><Relationship Id="rId1871" Type="http://schemas.openxmlformats.org/officeDocument/2006/relationships/hyperlink" Target="http://twitter.com/yuktix" TargetMode="External"/><Relationship Id="rId1317" Type="http://schemas.openxmlformats.org/officeDocument/2006/relationships/hyperlink" Target="http://facebook.com/cropital" TargetMode="External"/><Relationship Id="rId1524" Type="http://schemas.openxmlformats.org/officeDocument/2006/relationships/hyperlink" Target="http://twitter.com/agrosmartbr" TargetMode="External"/><Relationship Id="rId1731" Type="http://schemas.openxmlformats.org/officeDocument/2006/relationships/hyperlink" Target="https://www.nrgene.com/" TargetMode="External"/><Relationship Id="rId23" Type="http://schemas.openxmlformats.org/officeDocument/2006/relationships/hyperlink" Target="https://tracxn.com/companies/cqBrOavpo_G-w06ju6zak9M0ZdKiujBhAfBkR0KKp1o/farmtheory.in" TargetMode="External"/><Relationship Id="rId1829" Type="http://schemas.openxmlformats.org/officeDocument/2006/relationships/hyperlink" Target="http://facebook.com/chipinside" TargetMode="External"/><Relationship Id="rId172" Type="http://schemas.openxmlformats.org/officeDocument/2006/relationships/hyperlink" Target="https://tracxn.com/companies/2RbY2oJJdJscJEpf_gvui8oVpYHPLqmrhrNklRGNcM8/fasal.co" TargetMode="External"/><Relationship Id="rId477" Type="http://schemas.openxmlformats.org/officeDocument/2006/relationships/hyperlink" Target="https://twitter.com/impactterra" TargetMode="External"/><Relationship Id="rId684" Type="http://schemas.openxmlformats.org/officeDocument/2006/relationships/hyperlink" Target="https://farmdog.ag/" TargetMode="External"/><Relationship Id="rId337" Type="http://schemas.openxmlformats.org/officeDocument/2006/relationships/hyperlink" Target="https://tracxn.com/companies/DLV6wk7DQr5_XkDIXzsuga-YAdnHOSO7MTNgwCuAsBI/krimanshi.com" TargetMode="External"/><Relationship Id="rId891" Type="http://schemas.openxmlformats.org/officeDocument/2006/relationships/hyperlink" Target="http://www.linkedin.com/vsearch/p?f_CC=430100" TargetMode="External"/><Relationship Id="rId989" Type="http://schemas.openxmlformats.org/officeDocument/2006/relationships/hyperlink" Target="http://linkedin.com/company/aggreen-tech-private-limited" TargetMode="External"/><Relationship Id="rId544" Type="http://schemas.openxmlformats.org/officeDocument/2006/relationships/hyperlink" Target="http://facebook.com/cowlar/" TargetMode="External"/><Relationship Id="rId751" Type="http://schemas.openxmlformats.org/officeDocument/2006/relationships/hyperlink" Target="http://linkedin.com/company/em3-agriservices-pvt.-ltd." TargetMode="External"/><Relationship Id="rId849" Type="http://schemas.openxmlformats.org/officeDocument/2006/relationships/hyperlink" Target="http://www.linkedin.com/vsearch/p?f_CC=2957399" TargetMode="External"/><Relationship Id="rId1174" Type="http://schemas.openxmlformats.org/officeDocument/2006/relationships/hyperlink" Target="https://tracxn.com/companies/2MtgQGfD34euwbgK_SxgaPjZrPzwo91TsHssz0HPv0Y/7gongli.com.cn" TargetMode="External"/><Relationship Id="rId1381" Type="http://schemas.openxmlformats.org/officeDocument/2006/relationships/hyperlink" Target="http://www.linkedin.com/vsearch/p?f_CC=10011262" TargetMode="External"/><Relationship Id="rId1479" Type="http://schemas.openxmlformats.org/officeDocument/2006/relationships/hyperlink" Target="https://linkedin.com/company/flybird-innovations/about" TargetMode="External"/><Relationship Id="rId1686" Type="http://schemas.openxmlformats.org/officeDocument/2006/relationships/hyperlink" Target="https://tracxn.com/companies/L7gY71ryiTHZCOXfErY0RjEEp0xCnyr5Vt6pqKqJlBM/virtualcity.co.ke" TargetMode="External"/><Relationship Id="rId404" Type="http://schemas.openxmlformats.org/officeDocument/2006/relationships/hyperlink" Target="http://facebook.com/luxelare" TargetMode="External"/><Relationship Id="rId611" Type="http://schemas.openxmlformats.org/officeDocument/2006/relationships/hyperlink" Target="https://www.linkedin.com/company/aruna-indonesia" TargetMode="External"/><Relationship Id="rId1034" Type="http://schemas.openxmlformats.org/officeDocument/2006/relationships/hyperlink" Target="http://facebook.com/agrhub" TargetMode="External"/><Relationship Id="rId1241" Type="http://schemas.openxmlformats.org/officeDocument/2006/relationships/hyperlink" Target="https://linkedin.com/company/saturas-ltd" TargetMode="External"/><Relationship Id="rId1339" Type="http://schemas.openxmlformats.org/officeDocument/2006/relationships/hyperlink" Target="https://www.sea6energy.com/" TargetMode="External"/><Relationship Id="rId1893" Type="http://schemas.openxmlformats.org/officeDocument/2006/relationships/hyperlink" Target="http://www.linkedin.com/vsearch/p?f_CC=2212947" TargetMode="External"/><Relationship Id="rId709" Type="http://schemas.openxmlformats.org/officeDocument/2006/relationships/hyperlink" Target="http://facebook.com/green-robot-machinery-1605595703030680" TargetMode="External"/><Relationship Id="rId916" Type="http://schemas.openxmlformats.org/officeDocument/2006/relationships/hyperlink" Target="http://linkedin.com/company/nurserylive" TargetMode="External"/><Relationship Id="rId1101" Type="http://schemas.openxmlformats.org/officeDocument/2006/relationships/hyperlink" Target="https://www.linkedin.com/company/13188724?trk=prof-exp-company-name" TargetMode="External"/><Relationship Id="rId1546" Type="http://schemas.openxmlformats.org/officeDocument/2006/relationships/hyperlink" Target="http://linkedin.com/company/harddrones-com" TargetMode="External"/><Relationship Id="rId1753" Type="http://schemas.openxmlformats.org/officeDocument/2006/relationships/hyperlink" Target="http://twitter.com/mfarm_ke" TargetMode="External"/><Relationship Id="rId45" Type="http://schemas.openxmlformats.org/officeDocument/2006/relationships/hyperlink" Target="https://www.chilibeli.com/" TargetMode="External"/><Relationship Id="rId1406" Type="http://schemas.openxmlformats.org/officeDocument/2006/relationships/hyperlink" Target="http://em3agri.com/media.html" TargetMode="External"/><Relationship Id="rId1613" Type="http://schemas.openxmlformats.org/officeDocument/2006/relationships/hyperlink" Target="https://linkedin.com/company/gramophone.co.in" TargetMode="External"/><Relationship Id="rId1820" Type="http://schemas.openxmlformats.org/officeDocument/2006/relationships/hyperlink" Target="https://tracxn.com/companies/XN0WuYS1RAOW9fJjk5X47dWNNQY9LsVGVhzebicbryM/driptech.com" TargetMode="External"/><Relationship Id="rId194" Type="http://schemas.openxmlformats.org/officeDocument/2006/relationships/hyperlink" Target="https://tracxn.com/companies/WGsGpjS3RuO-TfPHhY4t5nCJ_t7EE8a0EMIR_u0lYiU/annona.co" TargetMode="External"/><Relationship Id="rId261" Type="http://schemas.openxmlformats.org/officeDocument/2006/relationships/hyperlink" Target="https://tracxn.com/companies/Jtcj1ayh5bQOEQOUh5NKnUNUhIsavsFE2tMgUhTjhTw/khula.co.za" TargetMode="External"/><Relationship Id="rId499" Type="http://schemas.openxmlformats.org/officeDocument/2006/relationships/hyperlink" Target="http://www.zuzitech.com/" TargetMode="External"/><Relationship Id="rId359" Type="http://schemas.openxmlformats.org/officeDocument/2006/relationships/hyperlink" Target="http://www.easykrishi.com/" TargetMode="External"/><Relationship Id="rId566" Type="http://schemas.openxmlformats.org/officeDocument/2006/relationships/hyperlink" Target="https://www.bolpharma.com/" TargetMode="External"/><Relationship Id="rId773" Type="http://schemas.openxmlformats.org/officeDocument/2006/relationships/hyperlink" Target="https://www.linkedin.com/company/9410547" TargetMode="External"/><Relationship Id="rId1196" Type="http://schemas.openxmlformats.org/officeDocument/2006/relationships/hyperlink" Target="http://theagrihub.com/" TargetMode="External"/><Relationship Id="rId121" Type="http://schemas.openxmlformats.org/officeDocument/2006/relationships/hyperlink" Target="https://www.fjdynamics.com/en/" TargetMode="External"/><Relationship Id="rId219" Type="http://schemas.openxmlformats.org/officeDocument/2006/relationships/hyperlink" Target="https://linkedin.com/company/occipitaltech/about" TargetMode="External"/><Relationship Id="rId426" Type="http://schemas.openxmlformats.org/officeDocument/2006/relationships/hyperlink" Target="https://tracxn.com/companies/RwPR0wiAlKAtWZLDpkZxetN0nAszuXJ_WWOg3t9bag0/krishihub.com" TargetMode="External"/><Relationship Id="rId633" Type="http://schemas.openxmlformats.org/officeDocument/2006/relationships/hyperlink" Target="https://www.linkedin.com/company/biofishency-ltd." TargetMode="External"/><Relationship Id="rId980" Type="http://schemas.openxmlformats.org/officeDocument/2006/relationships/hyperlink" Target="https://facebook.com/uplglobal" TargetMode="External"/><Relationship Id="rId1056" Type="http://schemas.openxmlformats.org/officeDocument/2006/relationships/hyperlink" Target="https://www.intellolabs.com/" TargetMode="External"/><Relationship Id="rId1263" Type="http://schemas.openxmlformats.org/officeDocument/2006/relationships/hyperlink" Target="https://tracxn.com/companies/S1ZJNk13pLgPConHEATste9SteLzVgk7UaUtswppOdo/dfs168.com" TargetMode="External"/><Relationship Id="rId840" Type="http://schemas.openxmlformats.org/officeDocument/2006/relationships/hyperlink" Target="http://efishery.com/blog/?p=1" TargetMode="External"/><Relationship Id="rId938" Type="http://schemas.openxmlformats.org/officeDocument/2006/relationships/hyperlink" Target="http://facebook.com/ecozensolutions" TargetMode="External"/><Relationship Id="rId1470" Type="http://schemas.openxmlformats.org/officeDocument/2006/relationships/hyperlink" Target="https://tracxn.com/companies/ngGwTiyLXqDE6QObaFfmQCLbVRjBT-Bp1GNe8f5J1cE/ninjacart.in" TargetMode="External"/><Relationship Id="rId1568" Type="http://schemas.openxmlformats.org/officeDocument/2006/relationships/hyperlink" Target="https://groundworkbioag.com/" TargetMode="External"/><Relationship Id="rId1775" Type="http://schemas.openxmlformats.org/officeDocument/2006/relationships/hyperlink" Target="http://www.imeve.com.br/" TargetMode="External"/><Relationship Id="rId67" Type="http://schemas.openxmlformats.org/officeDocument/2006/relationships/hyperlink" Target="https://www.altumlab.cl/" TargetMode="External"/><Relationship Id="rId700" Type="http://schemas.openxmlformats.org/officeDocument/2006/relationships/hyperlink" Target="https://www.instacrops.com/en/home/" TargetMode="External"/><Relationship Id="rId1123" Type="http://schemas.openxmlformats.org/officeDocument/2006/relationships/hyperlink" Target="https://tracxn.com/companies/3Eg-RioNBbtzu-TwoVX6M2VlvdiXONz75zUEy-5NlXQ/yiweinet.com" TargetMode="External"/><Relationship Id="rId1330" Type="http://schemas.openxmlformats.org/officeDocument/2006/relationships/hyperlink" Target="https://s4agtech.com/en/?lang=en" TargetMode="External"/><Relationship Id="rId1428" Type="http://schemas.openxmlformats.org/officeDocument/2006/relationships/hyperlink" Target="http://twitter.com/livingboxproj" TargetMode="External"/><Relationship Id="rId1635" Type="http://schemas.openxmlformats.org/officeDocument/2006/relationships/hyperlink" Target="https://tracxn.com/companies/Dd5lmaGfv3jVbzmia3z4uNvcjnyhFjya7-_vrkHg4p4/shellcatch.com" TargetMode="External"/><Relationship Id="rId1842" Type="http://schemas.openxmlformats.org/officeDocument/2006/relationships/hyperlink" Target="http://twitter.com/afimilkltd" TargetMode="External"/><Relationship Id="rId1702" Type="http://schemas.openxmlformats.org/officeDocument/2006/relationships/hyperlink" Target="http://blog.tech4farmers.com/" TargetMode="External"/><Relationship Id="rId283" Type="http://schemas.openxmlformats.org/officeDocument/2006/relationships/hyperlink" Target="https://tracxn.com/companies/3zeAQQTIjDZ-vgadhZQJg2ydad15uJLmcH76hmBASK0/tellurisbiotech.com" TargetMode="External"/><Relationship Id="rId490" Type="http://schemas.openxmlformats.org/officeDocument/2006/relationships/hyperlink" Target="https://twitter.com/pay_agri" TargetMode="External"/><Relationship Id="rId143" Type="http://schemas.openxmlformats.org/officeDocument/2006/relationships/hyperlink" Target="https://tracxn.com/companies/Uibtk_c88nKmHhD_OhbgCsW6mgAhRmcIT16ZPrBNzHI/abigbox.cn" TargetMode="External"/><Relationship Id="rId350" Type="http://schemas.openxmlformats.org/officeDocument/2006/relationships/hyperlink" Target="https://tracxn.com/companies/Y5TKxDJ-DXwx7pJ7xaP84fpRxTCdqWRV8FjNK5TlheI/khethinext.com" TargetMode="External"/><Relationship Id="rId588" Type="http://schemas.openxmlformats.org/officeDocument/2006/relationships/hyperlink" Target="https://tracxn.com/companies/Kth4cli12CIgDjWKxPQi2ijT-Bb3IUtiM9MsTvKBgd8/agronow.com.br" TargetMode="External"/><Relationship Id="rId795" Type="http://schemas.openxmlformats.org/officeDocument/2006/relationships/hyperlink" Target="https://twitter.com/agribuddy" TargetMode="External"/><Relationship Id="rId9" Type="http://schemas.openxmlformats.org/officeDocument/2006/relationships/hyperlink" Target="https://linkedin.com/company/unnatiagri/about" TargetMode="External"/><Relationship Id="rId210" Type="http://schemas.openxmlformats.org/officeDocument/2006/relationships/hyperlink" Target="https://facebook.com/digifarmz" TargetMode="External"/><Relationship Id="rId448" Type="http://schemas.openxmlformats.org/officeDocument/2006/relationships/hyperlink" Target="https://tracxn.com/companies/yVM44ioVt62CIAVKwlAIOA585VVJ5vPwfokxEqmnGJ4/eiwa.ag" TargetMode="External"/><Relationship Id="rId655" Type="http://schemas.openxmlformats.org/officeDocument/2006/relationships/hyperlink" Target="https://www.songxiaocai.com/" TargetMode="External"/><Relationship Id="rId862" Type="http://schemas.openxmlformats.org/officeDocument/2006/relationships/hyperlink" Target="https://www.freshworld.in/" TargetMode="External"/><Relationship Id="rId1078" Type="http://schemas.openxmlformats.org/officeDocument/2006/relationships/hyperlink" Target="http://linkedin.com/company/avenews-gt" TargetMode="External"/><Relationship Id="rId1285" Type="http://schemas.openxmlformats.org/officeDocument/2006/relationships/hyperlink" Target="http://www.mailiangwang.com/" TargetMode="External"/><Relationship Id="rId1492" Type="http://schemas.openxmlformats.org/officeDocument/2006/relationships/hyperlink" Target="https://tracxn.com/companies/sBnaRzbBSeadrMz08EPxHaUIroQu3O_CHPGRrvF67O8/jayalaxmiagrotech.com" TargetMode="External"/><Relationship Id="rId308" Type="http://schemas.openxmlformats.org/officeDocument/2006/relationships/hyperlink" Target="http://twitter.com/cowtribe" TargetMode="External"/><Relationship Id="rId515" Type="http://schemas.openxmlformats.org/officeDocument/2006/relationships/hyperlink" Target="https://linkedin.com/company/crowdeco/about" TargetMode="External"/><Relationship Id="rId722" Type="http://schemas.openxmlformats.org/officeDocument/2006/relationships/hyperlink" Target="https://www.getleaf.co/" TargetMode="External"/><Relationship Id="rId1145" Type="http://schemas.openxmlformats.org/officeDocument/2006/relationships/hyperlink" Target="https://facebook.com/trotrotractor" TargetMode="External"/><Relationship Id="rId1352" Type="http://schemas.openxmlformats.org/officeDocument/2006/relationships/hyperlink" Target="http://www.linkedin.com/vsearch/p?f_CC=10034415" TargetMode="External"/><Relationship Id="rId1797" Type="http://schemas.openxmlformats.org/officeDocument/2006/relationships/hyperlink" Target="http://www.esoko.com/" TargetMode="External"/><Relationship Id="rId89" Type="http://schemas.openxmlformats.org/officeDocument/2006/relationships/hyperlink" Target="https://tracxn.com/companies/Z8j_zDWSt9hfl25pK4pILuR6_aTYImbnpitZhUrUgm4/atlak.net" TargetMode="External"/><Relationship Id="rId1005" Type="http://schemas.openxmlformats.org/officeDocument/2006/relationships/hyperlink" Target="http://farmzee.com/blog" TargetMode="External"/><Relationship Id="rId1212" Type="http://schemas.openxmlformats.org/officeDocument/2006/relationships/hyperlink" Target="http://enowisetech.com/" TargetMode="External"/><Relationship Id="rId1657" Type="http://schemas.openxmlformats.org/officeDocument/2006/relationships/hyperlink" Target="https://www.lessindustries.com/" TargetMode="External"/><Relationship Id="rId1864" Type="http://schemas.openxmlformats.org/officeDocument/2006/relationships/hyperlink" Target="http://linkedin.com/company/greeniq" TargetMode="External"/><Relationship Id="rId1517" Type="http://schemas.openxmlformats.org/officeDocument/2006/relationships/hyperlink" Target="http://www.linkedin.com/vsearch/p?f_CC=5344406" TargetMode="External"/><Relationship Id="rId1724" Type="http://schemas.openxmlformats.org/officeDocument/2006/relationships/hyperlink" Target="http://www.linkedin.com/vsearch/p?f_CC=847800" TargetMode="External"/><Relationship Id="rId16" Type="http://schemas.openxmlformats.org/officeDocument/2006/relationships/hyperlink" Target="https://linkedin.com/company/vegrow/about" TargetMode="External"/><Relationship Id="rId165" Type="http://schemas.openxmlformats.org/officeDocument/2006/relationships/hyperlink" Target="https://facebook.com/agro2o" TargetMode="External"/><Relationship Id="rId372" Type="http://schemas.openxmlformats.org/officeDocument/2006/relationships/hyperlink" Target="https://www.ttxn.com/" TargetMode="External"/><Relationship Id="rId677" Type="http://schemas.openxmlformats.org/officeDocument/2006/relationships/hyperlink" Target="https://twitter.com/ali_pvt" TargetMode="External"/><Relationship Id="rId232" Type="http://schemas.openxmlformats.org/officeDocument/2006/relationships/hyperlink" Target="https://twitter.com/credible_india" TargetMode="External"/><Relationship Id="rId884" Type="http://schemas.openxmlformats.org/officeDocument/2006/relationships/hyperlink" Target="https://tracxn.com/companies/RurK4MBH5168_X8nnkQErvr0CbVKQAE5J2abhLFMjvo/sunculture.com" TargetMode="External"/><Relationship Id="rId537" Type="http://schemas.openxmlformats.org/officeDocument/2006/relationships/hyperlink" Target="https://twitter.com/farmersprideke" TargetMode="External"/><Relationship Id="rId744" Type="http://schemas.openxmlformats.org/officeDocument/2006/relationships/hyperlink" Target="https://tracxn.com/companies/x0SndVF0rKEKsrDbdf9ZqpGiNFtCET4zRbm4ORaNONc/fibsol.com" TargetMode="External"/><Relationship Id="rId951" Type="http://schemas.openxmlformats.org/officeDocument/2006/relationships/hyperlink" Target="https://tracxn.com/companies/WWFnrSYFDDTvCuTresv-jNutXxvk86bwXiIbY5NEDLA/yuktix.com" TargetMode="External"/><Relationship Id="rId1167" Type="http://schemas.openxmlformats.org/officeDocument/2006/relationships/hyperlink" Target="http://yzyy365.com/" TargetMode="External"/><Relationship Id="rId1374" Type="http://schemas.openxmlformats.org/officeDocument/2006/relationships/hyperlink" Target="https://tracxn.com/companies/IaZ8WINeIbdlzWkTOepRJ782YRNdB17NaYZ65etCBEo/revofarm.com" TargetMode="External"/><Relationship Id="rId1581" Type="http://schemas.openxmlformats.org/officeDocument/2006/relationships/hyperlink" Target="http://www.linkedin.com/vsearch/p?f_CC=9266933" TargetMode="External"/><Relationship Id="rId1679" Type="http://schemas.openxmlformats.org/officeDocument/2006/relationships/hyperlink" Target="https://twitter.com/wrmsltd" TargetMode="External"/><Relationship Id="rId80" Type="http://schemas.openxmlformats.org/officeDocument/2006/relationships/hyperlink" Target="http://twitter.com/nuupagro" TargetMode="External"/><Relationship Id="rId604" Type="http://schemas.openxmlformats.org/officeDocument/2006/relationships/hyperlink" Target="https://tracxn.com/companies/OLTQgU_2jqeZcU2ENarL27D8NqGo_dgEcbfOB17y9BQ/agreeta.com" TargetMode="External"/><Relationship Id="rId811" Type="http://schemas.openxmlformats.org/officeDocument/2006/relationships/hyperlink" Target="http://www.linkedin.com/vsearch/p?f_CC=3844298" TargetMode="External"/><Relationship Id="rId1027" Type="http://schemas.openxmlformats.org/officeDocument/2006/relationships/hyperlink" Target="https://tracxn.com/companies/Z3aoPCnYyWVaTVzdbisc4XT9ewtN2j_ml5nNQnX_Rjw/beehivesa.com" TargetMode="External"/><Relationship Id="rId1234" Type="http://schemas.openxmlformats.org/officeDocument/2006/relationships/hyperlink" Target="https://www.nongfadai.com/index.htm" TargetMode="External"/><Relationship Id="rId1441" Type="http://schemas.openxmlformats.org/officeDocument/2006/relationships/hyperlink" Target="https://tracxn.com/companies/gDqXh6V2lzgjgpIUtCkBsj5PFs578qagF2it80olFk8/fdlm.cn" TargetMode="External"/><Relationship Id="rId1886" Type="http://schemas.openxmlformats.org/officeDocument/2006/relationships/hyperlink" Target="https://tracxn.com/companies/pmev_q6l96CRUePU67YJMgdn07cP1edKnSHkkpuYI_A/stellapps.com" TargetMode="External"/><Relationship Id="rId909" Type="http://schemas.openxmlformats.org/officeDocument/2006/relationships/hyperlink" Target="http://www.linkedin.com/vsearch/p?f_CC=476356" TargetMode="External"/><Relationship Id="rId1301" Type="http://schemas.openxmlformats.org/officeDocument/2006/relationships/hyperlink" Target="https://www.linkedin.com/company/buscagro" TargetMode="External"/><Relationship Id="rId1539" Type="http://schemas.openxmlformats.org/officeDocument/2006/relationships/hyperlink" Target="https://agrostar.in/amp/hi/maharashtra/shop" TargetMode="External"/><Relationship Id="rId1746" Type="http://schemas.openxmlformats.org/officeDocument/2006/relationships/hyperlink" Target="http://twitter.com/myagro_" TargetMode="External"/><Relationship Id="rId38" Type="http://schemas.openxmlformats.org/officeDocument/2006/relationships/hyperlink" Target="https://www.bijak.in/" TargetMode="External"/><Relationship Id="rId1606" Type="http://schemas.openxmlformats.org/officeDocument/2006/relationships/hyperlink" Target="https://linkedin.com/company/edenshield" TargetMode="External"/><Relationship Id="rId1813" Type="http://schemas.openxmlformats.org/officeDocument/2006/relationships/hyperlink" Target="http://facebook.com/ecozensolutions" TargetMode="External"/><Relationship Id="rId187" Type="http://schemas.openxmlformats.org/officeDocument/2006/relationships/hyperlink" Target="https://tracxn.com/companies/H6xBHiWPPkiW_Cgn_UYuKtbMdw0_hgm-PqxPZvOb3bI/wolkus.com" TargetMode="External"/><Relationship Id="rId394" Type="http://schemas.openxmlformats.org/officeDocument/2006/relationships/hyperlink" Target="http://www.chinabric.com/" TargetMode="External"/><Relationship Id="rId254" Type="http://schemas.openxmlformats.org/officeDocument/2006/relationships/hyperlink" Target="https://facebook.com/jaguzalivestockapp" TargetMode="External"/><Relationship Id="rId699" Type="http://schemas.openxmlformats.org/officeDocument/2006/relationships/hyperlink" Target="https://tracxn.com/companies/MlOot8f4dFGe5cE1jD-FDd-z84N4FghqGjLF_IxU-aE/brownapron.com" TargetMode="External"/><Relationship Id="rId1091" Type="http://schemas.openxmlformats.org/officeDocument/2006/relationships/hyperlink" Target="https://tracxn.com/companies/8M1hxc7sqt17QXcokHrGb2DdvxEasGe-bqKcBgH14k0/tcloudit.com" TargetMode="External"/><Relationship Id="rId114" Type="http://schemas.openxmlformats.org/officeDocument/2006/relationships/hyperlink" Target="https://tracxn.com/companies/d1ELBITPMJCOHZxiyE-te0ZEt8GWz_QJHkIPNhllxo8/redseafarms.com" TargetMode="External"/><Relationship Id="rId461" Type="http://schemas.openxmlformats.org/officeDocument/2006/relationships/hyperlink" Target="https://tracxn.com/companies/oOZE8jKYfRKmRHEHKMpsW-MK6tsGT8XVRy1Tka9UcrA/farmersfz.com" TargetMode="External"/><Relationship Id="rId559" Type="http://schemas.openxmlformats.org/officeDocument/2006/relationships/hyperlink" Target="http://twitter.com/hargolfoodtech" TargetMode="External"/><Relationship Id="rId766" Type="http://schemas.openxmlformats.org/officeDocument/2006/relationships/hyperlink" Target="https://www.prospera.ag/" TargetMode="External"/><Relationship Id="rId1189" Type="http://schemas.openxmlformats.org/officeDocument/2006/relationships/hyperlink" Target="http://www.wuabi.com.ar/" TargetMode="External"/><Relationship Id="rId1396" Type="http://schemas.openxmlformats.org/officeDocument/2006/relationships/hyperlink" Target="http://facebook.com/fibsol" TargetMode="External"/><Relationship Id="rId321" Type="http://schemas.openxmlformats.org/officeDocument/2006/relationships/hyperlink" Target="http://naturacropcare.com/blog-grid-3-columns" TargetMode="External"/><Relationship Id="rId419" Type="http://schemas.openxmlformats.org/officeDocument/2006/relationships/hyperlink" Target="https://linkedin.com/company/krishitantra" TargetMode="External"/><Relationship Id="rId626" Type="http://schemas.openxmlformats.org/officeDocument/2006/relationships/hyperlink" Target="http://facebook.com/bharatrohan.in/" TargetMode="External"/><Relationship Id="rId973" Type="http://schemas.openxmlformats.org/officeDocument/2006/relationships/hyperlink" Target="https://linkedin.com/company/farmagain/about" TargetMode="External"/><Relationship Id="rId1049" Type="http://schemas.openxmlformats.org/officeDocument/2006/relationships/hyperlink" Target="https://tracxn.com/companies/XPjInamuliPeorkK0CoWJGJDKDGggUYvaZvso7Q7xCk/apolloagriculture.com" TargetMode="External"/><Relationship Id="rId1256" Type="http://schemas.openxmlformats.org/officeDocument/2006/relationships/hyperlink" Target="https://twitter.com/igrowasia" TargetMode="External"/><Relationship Id="rId833" Type="http://schemas.openxmlformats.org/officeDocument/2006/relationships/hyperlink" Target="http://facebook.com/nilebot" TargetMode="External"/><Relationship Id="rId1116" Type="http://schemas.openxmlformats.org/officeDocument/2006/relationships/hyperlink" Target="https://linkedin.com/company/aibono" TargetMode="External"/><Relationship Id="rId1463" Type="http://schemas.openxmlformats.org/officeDocument/2006/relationships/hyperlink" Target="https://tracxn.com/companies/Q237A5Pyg6ruRkYDB2wS-WZQ5cgaVfRghuhJt7Gmh0A/cropin.com" TargetMode="External"/><Relationship Id="rId1670" Type="http://schemas.openxmlformats.org/officeDocument/2006/relationships/hyperlink" Target="http://sunculture.com/page/2?afdt=zu0vi8gvzickewiu25nlwiycahuo5cckhbs5t0sqahgdiaa&amp;search" TargetMode="External"/><Relationship Id="rId1768" Type="http://schemas.openxmlformats.org/officeDocument/2006/relationships/hyperlink" Target="https://tracxn.com/companies/HaDSQtDS3vcZNjUxP7MoVfSFpz8WRcjrx38w9AcUnvE/jumbotail.com" TargetMode="External"/><Relationship Id="rId900" Type="http://schemas.openxmlformats.org/officeDocument/2006/relationships/hyperlink" Target="http://twitter.com/skymetweather" TargetMode="External"/><Relationship Id="rId1323" Type="http://schemas.openxmlformats.org/officeDocument/2006/relationships/hyperlink" Target="https://farmdog.ag/" TargetMode="External"/><Relationship Id="rId1530" Type="http://schemas.openxmlformats.org/officeDocument/2006/relationships/hyperlink" Target="http://www.mshamba.net/" TargetMode="External"/><Relationship Id="rId1628" Type="http://schemas.openxmlformats.org/officeDocument/2006/relationships/hyperlink" Target="http://linkedin.com/company/visualnacert" TargetMode="External"/><Relationship Id="rId1835" Type="http://schemas.openxmlformats.org/officeDocument/2006/relationships/hyperlink" Target="http://www.linkedin.com/vsearch/p?f_CC=893834" TargetMode="External"/><Relationship Id="rId1902" Type="http://schemas.openxmlformats.org/officeDocument/2006/relationships/hyperlink" Target="http://facebook.com/seedcozimbabwe" TargetMode="External"/><Relationship Id="rId276" Type="http://schemas.openxmlformats.org/officeDocument/2006/relationships/hyperlink" Target="https://tracxn.com/companies/_OLUFpaBSOZEmPNXnq58UAgKqYAyixWaDAzA1kOU8Cg/infishta.com" TargetMode="External"/><Relationship Id="rId483" Type="http://schemas.openxmlformats.org/officeDocument/2006/relationships/hyperlink" Target="https://lenterafrica.com/" TargetMode="External"/><Relationship Id="rId690" Type="http://schemas.openxmlformats.org/officeDocument/2006/relationships/hyperlink" Target="http://jivabhumi.com/" TargetMode="External"/><Relationship Id="rId136" Type="http://schemas.openxmlformats.org/officeDocument/2006/relationships/hyperlink" Target="https://www.woolly.io/" TargetMode="External"/><Relationship Id="rId343" Type="http://schemas.openxmlformats.org/officeDocument/2006/relationships/hyperlink" Target="https://www.seedo.com/" TargetMode="External"/><Relationship Id="rId550" Type="http://schemas.openxmlformats.org/officeDocument/2006/relationships/hyperlink" Target="http://aibono.com/blog" TargetMode="External"/><Relationship Id="rId788" Type="http://schemas.openxmlformats.org/officeDocument/2006/relationships/hyperlink" Target="https://www.linkedin.com/company/9498451" TargetMode="External"/><Relationship Id="rId995" Type="http://schemas.openxmlformats.org/officeDocument/2006/relationships/hyperlink" Target="https://tracxn.com/companies/3DWBMiIufdK4KMK9pytZ41RmOz-zFPCE9SqJrzb9bc4/allerguardsystems.com" TargetMode="External"/><Relationship Id="rId1180" Type="http://schemas.openxmlformats.org/officeDocument/2006/relationships/hyperlink" Target="https://tracxn.com/companies/OLTQgU_2jqeZcU2ENarL27D8NqGo_dgEcbfOB17y9BQ/agreeta.com" TargetMode="External"/><Relationship Id="rId203" Type="http://schemas.openxmlformats.org/officeDocument/2006/relationships/hyperlink" Target="http://twitter.com/tulaanews" TargetMode="External"/><Relationship Id="rId648" Type="http://schemas.openxmlformats.org/officeDocument/2006/relationships/hyperlink" Target="https://tracxn.com/companies/_Ghu24mpWS27bmyrzwDyzXbFnVNR-cLjm-tVRkUrEb4/dechetsalor.com" TargetMode="External"/><Relationship Id="rId855" Type="http://schemas.openxmlformats.org/officeDocument/2006/relationships/hyperlink" Target="https://twitter.com/gramophone_ag" TargetMode="External"/><Relationship Id="rId1040" Type="http://schemas.openxmlformats.org/officeDocument/2006/relationships/hyperlink" Target="https://facebook.com/agnextworld" TargetMode="External"/><Relationship Id="rId1278" Type="http://schemas.openxmlformats.org/officeDocument/2006/relationships/hyperlink" Target="https://tracxn.com/companies/WHFR9DEXsqizOqwF98tV-gdgZ7vQbGCfLNU3Al7Wl1Y/limakilo.id" TargetMode="External"/><Relationship Id="rId1485" Type="http://schemas.openxmlformats.org/officeDocument/2006/relationships/hyperlink" Target="http://www.ibreedit.com/" TargetMode="External"/><Relationship Id="rId1692" Type="http://schemas.openxmlformats.org/officeDocument/2006/relationships/hyperlink" Target="https://tracxn.com/companies/Vju6Bla_g0UIsWUdr8onXvLyUmqnuXTsfIyFneR1jyU/vegfru.com" TargetMode="External"/><Relationship Id="rId410" Type="http://schemas.openxmlformats.org/officeDocument/2006/relationships/hyperlink" Target="http://facebook.com/gobascoin" TargetMode="External"/><Relationship Id="rId508" Type="http://schemas.openxmlformats.org/officeDocument/2006/relationships/hyperlink" Target="https://tracxn.com/companies/UbVQOzLG--AQgfhW2GnxyJH6l4N40DhXDBf_dgi413E/fruitspec.com" TargetMode="External"/><Relationship Id="rId715" Type="http://schemas.openxmlformats.org/officeDocument/2006/relationships/hyperlink" Target="http://www.linkedin.com/vsearch/p?f_CC=10091846" TargetMode="External"/><Relationship Id="rId922" Type="http://schemas.openxmlformats.org/officeDocument/2006/relationships/hyperlink" Target="http://linkedin.com/company/netafim" TargetMode="External"/><Relationship Id="rId1138" Type="http://schemas.openxmlformats.org/officeDocument/2006/relationships/hyperlink" Target="https://twitter.com/crofarm_com" TargetMode="External"/><Relationship Id="rId1345" Type="http://schemas.openxmlformats.org/officeDocument/2006/relationships/hyperlink" Target="https://tracxn.com/companies/MlOot8f4dFGe5cE1jD-FDd-z84N4FghqGjLF_IxU-aE/brownapron.com" TargetMode="External"/><Relationship Id="rId1552" Type="http://schemas.openxmlformats.org/officeDocument/2006/relationships/hyperlink" Target="http://linkedin.com/company/strider" TargetMode="External"/><Relationship Id="rId1205" Type="http://schemas.openxmlformats.org/officeDocument/2006/relationships/hyperlink" Target="https://twitter.com/farmguideindia" TargetMode="External"/><Relationship Id="rId1857" Type="http://schemas.openxmlformats.org/officeDocument/2006/relationships/hyperlink" Target="http://www.greencart.in/" TargetMode="External"/><Relationship Id="rId51" Type="http://schemas.openxmlformats.org/officeDocument/2006/relationships/hyperlink" Target="https://linkedin.com/company/brain-wired/about" TargetMode="External"/><Relationship Id="rId1412" Type="http://schemas.openxmlformats.org/officeDocument/2006/relationships/hyperlink" Target="https://tracxn.com/companies/6bkLhyf5fijQTsy-5NutBSaYnsFStHcMH89LbBw_Qj0/exabit.in" TargetMode="External"/><Relationship Id="rId1717" Type="http://schemas.openxmlformats.org/officeDocument/2006/relationships/hyperlink" Target="http://linkedin.com/company/phytech-ltd" TargetMode="External"/><Relationship Id="rId298" Type="http://schemas.openxmlformats.org/officeDocument/2006/relationships/hyperlink" Target="https://www.clarifruit.com/" TargetMode="External"/><Relationship Id="rId158" Type="http://schemas.openxmlformats.org/officeDocument/2006/relationships/hyperlink" Target="https://tracxn.com/companies/_XgY97m0N1wWo8WEyhXwHzJBl5lLrmo36qR5Iu8F0Jg/zimmerglobal.com" TargetMode="External"/><Relationship Id="rId365" Type="http://schemas.openxmlformats.org/officeDocument/2006/relationships/hyperlink" Target="https://facebook.com/kehuiseed" TargetMode="External"/><Relationship Id="rId572" Type="http://schemas.openxmlformats.org/officeDocument/2006/relationships/hyperlink" Target="https://linkedin.com/company/amvicube/about" TargetMode="External"/><Relationship Id="rId225" Type="http://schemas.openxmlformats.org/officeDocument/2006/relationships/hyperlink" Target="https://tracxn.com/companies/jZV0TRXl28GJzWL_lJ6ey9F8gC5c2DKEveYCUaxh0jU/terramagna.com.br" TargetMode="External"/><Relationship Id="rId432" Type="http://schemas.openxmlformats.org/officeDocument/2006/relationships/hyperlink" Target="http://linkedin.com/company/13243900" TargetMode="External"/><Relationship Id="rId877" Type="http://schemas.openxmlformats.org/officeDocument/2006/relationships/hyperlink" Target="https://twitter.com/rizobacterarg" TargetMode="External"/><Relationship Id="rId1062" Type="http://schemas.openxmlformats.org/officeDocument/2006/relationships/hyperlink" Target="https://linkedin.com/company/kulisha/about" TargetMode="External"/><Relationship Id="rId737" Type="http://schemas.openxmlformats.org/officeDocument/2006/relationships/hyperlink" Target="https://www.cropx.com/" TargetMode="External"/><Relationship Id="rId944" Type="http://schemas.openxmlformats.org/officeDocument/2006/relationships/hyperlink" Target="http://facebook.com/agriness" TargetMode="External"/><Relationship Id="rId1367" Type="http://schemas.openxmlformats.org/officeDocument/2006/relationships/hyperlink" Target="https://www.coldhubs.com/" TargetMode="External"/><Relationship Id="rId1574" Type="http://schemas.openxmlformats.org/officeDocument/2006/relationships/hyperlink" Target="http://linkedin.com/company/drygair-energies-ltd-" TargetMode="External"/><Relationship Id="rId1781" Type="http://schemas.openxmlformats.org/officeDocument/2006/relationships/hyperlink" Target="http://linkedin.com/company/identis-tech-solutions-pvt-ltd-" TargetMode="External"/><Relationship Id="rId73" Type="http://schemas.openxmlformats.org/officeDocument/2006/relationships/hyperlink" Target="http://absolutefoods.in/blog" TargetMode="External"/><Relationship Id="rId804" Type="http://schemas.openxmlformats.org/officeDocument/2006/relationships/hyperlink" Target="https://tracxn.com/companies/VizJkjihG4Fdsqeay9sKeOpkf5xeBbVX9TzBeIGd_cE/ergos.in" TargetMode="External"/><Relationship Id="rId1227" Type="http://schemas.openxmlformats.org/officeDocument/2006/relationships/hyperlink" Target="http://facebook.com/ukulimatech" TargetMode="External"/><Relationship Id="rId1434" Type="http://schemas.openxmlformats.org/officeDocument/2006/relationships/hyperlink" Target="https://tracxn.com/companies/BaUrkCclf4IopTCtgcqO4_6ElPMDtBi_Cmyrm3CgsyA/aus.co.in" TargetMode="External"/><Relationship Id="rId1641" Type="http://schemas.openxmlformats.org/officeDocument/2006/relationships/hyperlink" Target="http://facebook.com/freshworldin" TargetMode="External"/><Relationship Id="rId1879" Type="http://schemas.openxmlformats.org/officeDocument/2006/relationships/hyperlink" Target="https://tracxn.com/companies/_I-wLf1p8oMLMy7SO1r2bKi29Vs3G5N0p77ZCB6pV3E/eruvaka.com" TargetMode="External"/><Relationship Id="rId1501" Type="http://schemas.openxmlformats.org/officeDocument/2006/relationships/hyperlink" Target="https://farmdrive.co.ke/" TargetMode="External"/><Relationship Id="rId1739" Type="http://schemas.openxmlformats.org/officeDocument/2006/relationships/hyperlink" Target="https://twitter.com/netafimcorp" TargetMode="External"/><Relationship Id="rId1806" Type="http://schemas.openxmlformats.org/officeDocument/2006/relationships/hyperlink" Target="https://tracxn.com/companies/SPAdYmHLMyj6fIhFpdBT_VK-qYJNQVqJjqi_dOQZdDQ/enalta.com" TargetMode="External"/><Relationship Id="rId387" Type="http://schemas.openxmlformats.org/officeDocument/2006/relationships/hyperlink" Target="https://www.physiz.com/" TargetMode="External"/><Relationship Id="rId594" Type="http://schemas.openxmlformats.org/officeDocument/2006/relationships/hyperlink" Target="https://tracxn.com/companies/t6A7ghuB85EiK5Z4_8P03_OYW44GeLbG6e-wyRFBo6c/livestockwealth.com" TargetMode="External"/><Relationship Id="rId247" Type="http://schemas.openxmlformats.org/officeDocument/2006/relationships/hyperlink" Target="http://www.nebulaa.in/" TargetMode="External"/><Relationship Id="rId899" Type="http://schemas.openxmlformats.org/officeDocument/2006/relationships/hyperlink" Target="http://linkedin.com/company/skymet-weather-services" TargetMode="External"/><Relationship Id="rId1084" Type="http://schemas.openxmlformats.org/officeDocument/2006/relationships/hyperlink" Target="https://www.freshboxx.in/" TargetMode="External"/><Relationship Id="rId107" Type="http://schemas.openxmlformats.org/officeDocument/2006/relationships/hyperlink" Target="https://farmbee.in/" TargetMode="External"/><Relationship Id="rId454" Type="http://schemas.openxmlformats.org/officeDocument/2006/relationships/hyperlink" Target="http://twitter.com/sat_sure" TargetMode="External"/><Relationship Id="rId661" Type="http://schemas.openxmlformats.org/officeDocument/2006/relationships/hyperlink" Target="https://tracxn.com/companies/rt1ixNSLF857yv9Oa5Ryxu4j4yN9dG3CqNQ_4oAwQ-s/tierraseedscience.com" TargetMode="External"/><Relationship Id="rId759" Type="http://schemas.openxmlformats.org/officeDocument/2006/relationships/hyperlink" Target="https://twitter.com/auravant" TargetMode="External"/><Relationship Id="rId966" Type="http://schemas.openxmlformats.org/officeDocument/2006/relationships/hyperlink" Target="https://linkedin.com/company/stellapps-technologies-private-limited/about" TargetMode="External"/><Relationship Id="rId1291" Type="http://schemas.openxmlformats.org/officeDocument/2006/relationships/hyperlink" Target="https://tracxn.com/companies/OqZ-b0FKFSbqUZSN177RdCK4KcLH9lx1-VI50N0niZo/16988.com" TargetMode="External"/><Relationship Id="rId1389" Type="http://schemas.openxmlformats.org/officeDocument/2006/relationships/hyperlink" Target="https://tracxn.com/companies/HeW-YCL7zn6nkbdNUm4YpMN72ZvpOICRK9oNy45NdYY/truce.in" TargetMode="External"/><Relationship Id="rId1596" Type="http://schemas.openxmlformats.org/officeDocument/2006/relationships/hyperlink" Target="https://linkedin.com/company/efisheryid/about" TargetMode="External"/><Relationship Id="rId314" Type="http://schemas.openxmlformats.org/officeDocument/2006/relationships/hyperlink" Target="http://twitter.com/contact_ricult" TargetMode="External"/><Relationship Id="rId521" Type="http://schemas.openxmlformats.org/officeDocument/2006/relationships/hyperlink" Target="https://tracxn.com/companies/K1e_1hBahk03ge3csTJlhRa3G-xTrrOqhxfYiPuB9FQ/zzb518.com" TargetMode="External"/><Relationship Id="rId619" Type="http://schemas.openxmlformats.org/officeDocument/2006/relationships/hyperlink" Target="http://twitter.com/farmerline" TargetMode="External"/><Relationship Id="rId1151" Type="http://schemas.openxmlformats.org/officeDocument/2006/relationships/hyperlink" Target="http://facebook.com/komazakenya" TargetMode="External"/><Relationship Id="rId1249" Type="http://schemas.openxmlformats.org/officeDocument/2006/relationships/hyperlink" Target="https://linkedin.com/company/taranis-visual/about" TargetMode="External"/><Relationship Id="rId95" Type="http://schemas.openxmlformats.org/officeDocument/2006/relationships/hyperlink" Target="https://tracxn.com/companies/gN5Uk480-1xe9uPcckIMYccO2fRSojT0TlUde1DIl90/profishgh.com" TargetMode="External"/><Relationship Id="rId826" Type="http://schemas.openxmlformats.org/officeDocument/2006/relationships/hyperlink" Target="http://www.linkedin.com/vsearch/p?f_CC=3718294" TargetMode="External"/><Relationship Id="rId1011" Type="http://schemas.openxmlformats.org/officeDocument/2006/relationships/hyperlink" Target="https://tracxn.com/companies/xsjXzL4QQ2udvfKpnaaalabM04h72KWUKO7QmDxO-ck/poptani.asia" TargetMode="External"/><Relationship Id="rId1109" Type="http://schemas.openxmlformats.org/officeDocument/2006/relationships/hyperlink" Target="http://facebook.com/cowlar/" TargetMode="External"/><Relationship Id="rId1456" Type="http://schemas.openxmlformats.org/officeDocument/2006/relationships/hyperlink" Target="http://facebook.com/siembraviva" TargetMode="External"/><Relationship Id="rId1663" Type="http://schemas.openxmlformats.org/officeDocument/2006/relationships/hyperlink" Target="https://linkedin.com/company/rizobacter-argentina" TargetMode="External"/><Relationship Id="rId1870" Type="http://schemas.openxmlformats.org/officeDocument/2006/relationships/hyperlink" Target="http://linkedin.com/company/yuktiz-technologies-pvt-ltd" TargetMode="External"/><Relationship Id="rId1316" Type="http://schemas.openxmlformats.org/officeDocument/2006/relationships/hyperlink" Target="https://www.cropital.com/" TargetMode="External"/><Relationship Id="rId1523" Type="http://schemas.openxmlformats.org/officeDocument/2006/relationships/hyperlink" Target="http://linkedin.com/company/agrosmart" TargetMode="External"/><Relationship Id="rId1730" Type="http://schemas.openxmlformats.org/officeDocument/2006/relationships/hyperlink" Target="http://www.linkedin.com/vsearch/p?f_CC=1704972" TargetMode="External"/><Relationship Id="rId22" Type="http://schemas.openxmlformats.org/officeDocument/2006/relationships/hyperlink" Target="https://farmtheory.in/" TargetMode="External"/><Relationship Id="rId1828" Type="http://schemas.openxmlformats.org/officeDocument/2006/relationships/hyperlink" Target="http://twitter.com/chipinside" TargetMode="External"/><Relationship Id="rId171" Type="http://schemas.openxmlformats.org/officeDocument/2006/relationships/hyperlink" Target="http://facebook.com/fasalapp" TargetMode="External"/><Relationship Id="rId269" Type="http://schemas.openxmlformats.org/officeDocument/2006/relationships/hyperlink" Target="https://tracxn.com/companies/KH2Y5dNqE68fajPl_bwX9jtqqE6x8P9_FZ9hS0kkbZk/gira.com.br" TargetMode="External"/><Relationship Id="rId476" Type="http://schemas.openxmlformats.org/officeDocument/2006/relationships/hyperlink" Target="https://www.linkedin.com/company/impact-terra" TargetMode="External"/><Relationship Id="rId683" Type="http://schemas.openxmlformats.org/officeDocument/2006/relationships/hyperlink" Target="http://www.linkedin.com/vsearch/p?f_CC=6376832" TargetMode="External"/><Relationship Id="rId890" Type="http://schemas.openxmlformats.org/officeDocument/2006/relationships/hyperlink" Target="https://tracxn.com/companies/Rb65qShUX_JWSeodaf2z02IRoGSZK2jurXKpy7rPpho/weather-risk.com" TargetMode="External"/><Relationship Id="rId129" Type="http://schemas.openxmlformats.org/officeDocument/2006/relationships/hyperlink" Target="https://tracxn.com/companies/JxJs5UuLz7kcmJGFYWSTOgwBRq5ptYTCVNTz2zFyJXU/freshvnf.com" TargetMode="External"/><Relationship Id="rId336" Type="http://schemas.openxmlformats.org/officeDocument/2006/relationships/hyperlink" Target="https://linkedin.com/company/krimanshi/about" TargetMode="External"/><Relationship Id="rId543" Type="http://schemas.openxmlformats.org/officeDocument/2006/relationships/hyperlink" Target="http://twitter.com/cowlar1" TargetMode="External"/><Relationship Id="rId988" Type="http://schemas.openxmlformats.org/officeDocument/2006/relationships/hyperlink" Target="http://livlush.in/" TargetMode="External"/><Relationship Id="rId1173" Type="http://schemas.openxmlformats.org/officeDocument/2006/relationships/hyperlink" Target="http://7gongli.com.cn/" TargetMode="External"/><Relationship Id="rId1380" Type="http://schemas.openxmlformats.org/officeDocument/2006/relationships/hyperlink" Target="https://tracxn.com/companies/dE_4mGe62rAi-onURq7UhBVP-n8n6Gr-Dt2M5Ps7EZg/agribots.com" TargetMode="External"/><Relationship Id="rId403" Type="http://schemas.openxmlformats.org/officeDocument/2006/relationships/hyperlink" Target="http://twitter.com/luxelare" TargetMode="External"/><Relationship Id="rId750" Type="http://schemas.openxmlformats.org/officeDocument/2006/relationships/hyperlink" Target="http://www.em3agri.com/" TargetMode="External"/><Relationship Id="rId848" Type="http://schemas.openxmlformats.org/officeDocument/2006/relationships/hyperlink" Target="https://tracxn.com/companies/CBgA4OgK4kZs9S7ESBD_uCtr5XJkXLiSWGh0pXS6nYg/eden-shield.com" TargetMode="External"/><Relationship Id="rId1033" Type="http://schemas.openxmlformats.org/officeDocument/2006/relationships/hyperlink" Target="https://www.agrhub.com/" TargetMode="External"/><Relationship Id="rId1478" Type="http://schemas.openxmlformats.org/officeDocument/2006/relationships/hyperlink" Target="http://www.flybirdinnovations.com/" TargetMode="External"/><Relationship Id="rId1685" Type="http://schemas.openxmlformats.org/officeDocument/2006/relationships/hyperlink" Target="http://twitter.com/virtualcityltd" TargetMode="External"/><Relationship Id="rId1892" Type="http://schemas.openxmlformats.org/officeDocument/2006/relationships/hyperlink" Target="https://tracxn.com/companies/2AOzYn9YaUhbJWUx2IvItid46lXlmuxtD9WSu4eYce4/frontalrain.com" TargetMode="External"/><Relationship Id="rId610" Type="http://schemas.openxmlformats.org/officeDocument/2006/relationships/hyperlink" Target="https://aruna.id/" TargetMode="External"/><Relationship Id="rId708" Type="http://schemas.openxmlformats.org/officeDocument/2006/relationships/hyperlink" Target="http://linkedin.com/company/green-robot-machinery" TargetMode="External"/><Relationship Id="rId915" Type="http://schemas.openxmlformats.org/officeDocument/2006/relationships/hyperlink" Target="https://nurserylive.com/" TargetMode="External"/><Relationship Id="rId1240" Type="http://schemas.openxmlformats.org/officeDocument/2006/relationships/hyperlink" Target="https://saturas-ag.com/" TargetMode="External"/><Relationship Id="rId1338" Type="http://schemas.openxmlformats.org/officeDocument/2006/relationships/hyperlink" Target="https://tracxn.com/companies/1Ee12jtaNyO5W-sJh2lHfPYzlzOMC9Rw353QbnTLauA/farmtaaza.com" TargetMode="External"/><Relationship Id="rId1545" Type="http://schemas.openxmlformats.org/officeDocument/2006/relationships/hyperlink" Target="https://harddrones.com/" TargetMode="External"/><Relationship Id="rId1100" Type="http://schemas.openxmlformats.org/officeDocument/2006/relationships/hyperlink" Target="https://www.supplybunny.com/" TargetMode="External"/><Relationship Id="rId1405" Type="http://schemas.openxmlformats.org/officeDocument/2006/relationships/hyperlink" Target="http://facebook.com/em3agri" TargetMode="External"/><Relationship Id="rId1752" Type="http://schemas.openxmlformats.org/officeDocument/2006/relationships/hyperlink" Target="http://linkedin.com/company/mfarm-ltd-k-" TargetMode="External"/><Relationship Id="rId44" Type="http://schemas.openxmlformats.org/officeDocument/2006/relationships/hyperlink" Target="https://tracxn.com/companies/dZ3Hzgox5sX_UKTtgB-NOGfTI6KvH2QZtajabkIDm88/eggxiaoer.com" TargetMode="External"/><Relationship Id="rId1612" Type="http://schemas.openxmlformats.org/officeDocument/2006/relationships/hyperlink" Target="https://www.gramophone.in/" TargetMode="External"/><Relationship Id="rId193" Type="http://schemas.openxmlformats.org/officeDocument/2006/relationships/hyperlink" Target="http://blog.annona.co/" TargetMode="External"/><Relationship Id="rId498" Type="http://schemas.openxmlformats.org/officeDocument/2006/relationships/hyperlink" Target="https://tracxn.com/companies/2WzLdBU-4miX2gvK3dQo3qQ3QiH6sAOw10SRMwz9MFc/metomotion.com" TargetMode="External"/><Relationship Id="rId260" Type="http://schemas.openxmlformats.org/officeDocument/2006/relationships/hyperlink" Target="http://facebook.com/khulaapp" TargetMode="External"/><Relationship Id="rId120" Type="http://schemas.openxmlformats.org/officeDocument/2006/relationships/hyperlink" Target="https://tracxn.com/companies/2KkXMyUUrlfuH1yARMJBU2hUHcxdrpT_t9jMYWi8ld0/imagoai.com" TargetMode="External"/><Relationship Id="rId358" Type="http://schemas.openxmlformats.org/officeDocument/2006/relationships/hyperlink" Target="https://tracxn.com/companies/dvuHLh6NRLMT2NfyVbzQ1iZdItpis1YdEVG9hFAWAuI/agri-intel.com" TargetMode="External"/><Relationship Id="rId565" Type="http://schemas.openxmlformats.org/officeDocument/2006/relationships/hyperlink" Target="https://tracxn.com/companies/OxDkWmxQiMBvhfrJopaxzJ3ettZl3nRFufdxfTQB2-Y/tevel-tech.com" TargetMode="External"/><Relationship Id="rId772" Type="http://schemas.openxmlformats.org/officeDocument/2006/relationships/hyperlink" Target="https://www.zappfresh.com/" TargetMode="External"/><Relationship Id="rId1195" Type="http://schemas.openxmlformats.org/officeDocument/2006/relationships/hyperlink" Target="https://tracxn.com/companies/6rl4G0UsiKMIJEi3WwxiQbt-LdfqOMgGYP_p9WBjnj4/nongguanjia.com" TargetMode="External"/><Relationship Id="rId218" Type="http://schemas.openxmlformats.org/officeDocument/2006/relationships/hyperlink" Target="https://www.occipitaltech.com/" TargetMode="External"/><Relationship Id="rId425" Type="http://schemas.openxmlformats.org/officeDocument/2006/relationships/hyperlink" Target="https://facebook.com/krishihub.co.in" TargetMode="External"/><Relationship Id="rId632" Type="http://schemas.openxmlformats.org/officeDocument/2006/relationships/hyperlink" Target="https://biofishency.com/" TargetMode="External"/><Relationship Id="rId1055" Type="http://schemas.openxmlformats.org/officeDocument/2006/relationships/hyperlink" Target="https://tracxn.com/companies/mXNo_XAZTWpjhIuqX1xJ4gnWeKFTXCX_Cbog48ewJ20/nfu99.com" TargetMode="External"/><Relationship Id="rId1262" Type="http://schemas.openxmlformats.org/officeDocument/2006/relationships/hyperlink" Target="https://www.dfs168.com/" TargetMode="External"/><Relationship Id="rId937" Type="http://schemas.openxmlformats.org/officeDocument/2006/relationships/hyperlink" Target="http://twitter.com/ecozensolutions" TargetMode="External"/><Relationship Id="rId1122" Type="http://schemas.openxmlformats.org/officeDocument/2006/relationships/hyperlink" Target="https://linkedin.com/company/%E5%8C%97%E4%BA%AC%E4%B9%99%E6%9C%AA%E7%A7%91%E6%8A%80%E6%9C%89%E9%99%90%E5%85%AC%E5%8F%B8" TargetMode="External"/><Relationship Id="rId1567" Type="http://schemas.openxmlformats.org/officeDocument/2006/relationships/hyperlink" Target="http://www.linkedin.com/vsearch/p?f_CC=5022013" TargetMode="External"/><Relationship Id="rId1774" Type="http://schemas.openxmlformats.org/officeDocument/2006/relationships/hyperlink" Target="http://www.linkedin.com/vsearch/p?f_CC=2445208" TargetMode="External"/><Relationship Id="rId66" Type="http://schemas.openxmlformats.org/officeDocument/2006/relationships/hyperlink" Target="https://tracxn.com/companies/ZR1bbrVxBuLpLTAiuoUblPDnBH7kpil4p96DaTpxpGk/eliannc.com" TargetMode="External"/><Relationship Id="rId1427" Type="http://schemas.openxmlformats.org/officeDocument/2006/relationships/hyperlink" Target="http://linkedin.com/company/living-box-project" TargetMode="External"/><Relationship Id="rId1634" Type="http://schemas.openxmlformats.org/officeDocument/2006/relationships/hyperlink" Target="http://facebook.com/shellcatch-269336623147153" TargetMode="External"/><Relationship Id="rId1841" Type="http://schemas.openxmlformats.org/officeDocument/2006/relationships/hyperlink" Target="http://linkedin.com/company/afimilk-ltd" TargetMode="External"/><Relationship Id="rId1701" Type="http://schemas.openxmlformats.org/officeDocument/2006/relationships/hyperlink" Target="http://facebook.com/tech4farmers" TargetMode="External"/><Relationship Id="rId282" Type="http://schemas.openxmlformats.org/officeDocument/2006/relationships/hyperlink" Target="https://tellurisbiotech.com/" TargetMode="External"/><Relationship Id="rId587" Type="http://schemas.openxmlformats.org/officeDocument/2006/relationships/hyperlink" Target="https://twitter.com/agronow_tec" TargetMode="External"/><Relationship Id="rId8" Type="http://schemas.openxmlformats.org/officeDocument/2006/relationships/hyperlink" Target="http://www.unnatiagri.com/" TargetMode="External"/><Relationship Id="rId142" Type="http://schemas.openxmlformats.org/officeDocument/2006/relationships/hyperlink" Target="https://www.abigbox.cn/" TargetMode="External"/><Relationship Id="rId447" Type="http://schemas.openxmlformats.org/officeDocument/2006/relationships/hyperlink" Target="http://facebook.com/eiwa-365833927138903/" TargetMode="External"/><Relationship Id="rId794" Type="http://schemas.openxmlformats.org/officeDocument/2006/relationships/hyperlink" Target="https://linkedin.com/company/agribuddy" TargetMode="External"/><Relationship Id="rId1077" Type="http://schemas.openxmlformats.org/officeDocument/2006/relationships/hyperlink" Target="https://www.avenews-gt.com/" TargetMode="External"/><Relationship Id="rId654" Type="http://schemas.openxmlformats.org/officeDocument/2006/relationships/hyperlink" Target="https://tracxn.com/companies/CMWSBgPMw90KaL4G0COUGRmi7H3UQqDV85S0_l8AIQY/taranis.ag" TargetMode="External"/><Relationship Id="rId861" Type="http://schemas.openxmlformats.org/officeDocument/2006/relationships/hyperlink" Target="http://www.linkedin.com/vsearch/p?f_CC=3603909" TargetMode="External"/><Relationship Id="rId959" Type="http://schemas.openxmlformats.org/officeDocument/2006/relationships/hyperlink" Target="http://www.barrix.in/" TargetMode="External"/><Relationship Id="rId1284" Type="http://schemas.openxmlformats.org/officeDocument/2006/relationships/hyperlink" Target="https://tracxn.com/companies/nHkazzrLPeSfRsxeCDI4h1A4rtbMbgFNYnkOx8WlMkQ/ugaoo.com" TargetMode="External"/><Relationship Id="rId1491" Type="http://schemas.openxmlformats.org/officeDocument/2006/relationships/hyperlink" Target="http://twitter.com/jayalaxmiagro" TargetMode="External"/><Relationship Id="rId1589" Type="http://schemas.openxmlformats.org/officeDocument/2006/relationships/hyperlink" Target="http://linkedin.com/company/promip" TargetMode="External"/><Relationship Id="rId307" Type="http://schemas.openxmlformats.org/officeDocument/2006/relationships/hyperlink" Target="http://linkedin.com/company/cowtribe" TargetMode="External"/><Relationship Id="rId514" Type="http://schemas.openxmlformats.org/officeDocument/2006/relationships/hyperlink" Target="https://www.crowde.co/" TargetMode="External"/><Relationship Id="rId721" Type="http://schemas.openxmlformats.org/officeDocument/2006/relationships/hyperlink" Target="http://www.linkedin.com/vsearch/p?f_CC=9400362" TargetMode="External"/><Relationship Id="rId1144" Type="http://schemas.openxmlformats.org/officeDocument/2006/relationships/hyperlink" Target="https://twitter.com/trotrotractor" TargetMode="External"/><Relationship Id="rId1351" Type="http://schemas.openxmlformats.org/officeDocument/2006/relationships/hyperlink" Target="https://tracxn.com/companies/EOlHE61xRUPfrOAZ8L71etmtD0UnESK8oZBZhIWSfwk/licious.in" TargetMode="External"/><Relationship Id="rId1449" Type="http://schemas.openxmlformats.org/officeDocument/2006/relationships/hyperlink" Target="https://tracxn.com/companies/uA3_sjRfnsGZFMZw8lDPgO_rsgRNi29QNeLHNAF_tl0/meicai.cn" TargetMode="External"/><Relationship Id="rId1796" Type="http://schemas.openxmlformats.org/officeDocument/2006/relationships/hyperlink" Target="http://www.linkedin.com/vsearch/p?f_CC=1402657" TargetMode="External"/><Relationship Id="rId88" Type="http://schemas.openxmlformats.org/officeDocument/2006/relationships/hyperlink" Target="https://facebook.com/atlaksystems" TargetMode="External"/><Relationship Id="rId819" Type="http://schemas.openxmlformats.org/officeDocument/2006/relationships/hyperlink" Target="http://linkedin.com/company/agrosmart" TargetMode="External"/><Relationship Id="rId1004" Type="http://schemas.openxmlformats.org/officeDocument/2006/relationships/hyperlink" Target="https://twitter.com/farmsterapp" TargetMode="External"/><Relationship Id="rId1211" Type="http://schemas.openxmlformats.org/officeDocument/2006/relationships/hyperlink" Target="https://tracxn.com/companies/3dvEPnEsctZSXC_I81xW6U361fwJxrkDrTV-NRoutt4/smartbeen.com" TargetMode="External"/><Relationship Id="rId1656" Type="http://schemas.openxmlformats.org/officeDocument/2006/relationships/hyperlink" Target="http://www.linkedin.com/vsearch/p?f_CC=4790187" TargetMode="External"/><Relationship Id="rId1863" Type="http://schemas.openxmlformats.org/officeDocument/2006/relationships/hyperlink" Target="http://www.greeniq.com/" TargetMode="External"/><Relationship Id="rId1309" Type="http://schemas.openxmlformats.org/officeDocument/2006/relationships/hyperlink" Target="http://facebook.com/mimosatechnology/" TargetMode="External"/><Relationship Id="rId1516" Type="http://schemas.openxmlformats.org/officeDocument/2006/relationships/hyperlink" Target="https://tracxn.com/companies/Sn_o0y8SL0g9vR3KTpktLIxS3BRdCTjlaL0WMbDUJ0Q/cultivandofuturo.com" TargetMode="External"/><Relationship Id="rId1723" Type="http://schemas.openxmlformats.org/officeDocument/2006/relationships/hyperlink" Target="https://tracxn.com/companies/dC7Qb6ug3y0VHdl2e81LZIznmy2zikNNOGzrqWGTQcE/phenome-networks.com" TargetMode="External"/><Relationship Id="rId15" Type="http://schemas.openxmlformats.org/officeDocument/2006/relationships/hyperlink" Target="https://www.vegrow.in/" TargetMode="External"/><Relationship Id="rId164" Type="http://schemas.openxmlformats.org/officeDocument/2006/relationships/hyperlink" Target="https://twitter.com/agro2o_" TargetMode="External"/><Relationship Id="rId371" Type="http://schemas.openxmlformats.org/officeDocument/2006/relationships/hyperlink" Target="https://tracxn.com/companies/NlnQHqbM-YX2ySRSM7oX_ZefwAmpyE0nmi8UUo49R9o/solinftec.com" TargetMode="External"/></Relationships>
</file>

<file path=xl/worksheets/_rels/sheet14.xml.rels><?xml version="1.0" encoding="UTF-8" standalone="yes"?>
<Relationships xmlns="http://schemas.openxmlformats.org/package/2006/relationships"><Relationship Id="rId1827" Type="http://schemas.openxmlformats.org/officeDocument/2006/relationships/hyperlink" Target="https://farmdrive.co.ke/" TargetMode="External"/><Relationship Id="rId170" Type="http://schemas.openxmlformats.org/officeDocument/2006/relationships/hyperlink" Target="https://linkedin.com/company/ruhm-innovation/about" TargetMode="External"/><Relationship Id="rId987" Type="http://schemas.openxmlformats.org/officeDocument/2006/relationships/hyperlink" Target="http://www.linkedin.com/vsearch/p?f_CC=4853667" TargetMode="External"/><Relationship Id="rId847" Type="http://schemas.openxmlformats.org/officeDocument/2006/relationships/hyperlink" Target="https://twitter.com/dechetsalor" TargetMode="External"/><Relationship Id="rId1477" Type="http://schemas.openxmlformats.org/officeDocument/2006/relationships/hyperlink" Target="https://tracxn.com/companies/QjzDNkTG6ewZ1xrKPmE9yrE3s7GVqrnT1iMhWj8x_Pc/aruna.id" TargetMode="External"/><Relationship Id="rId1684" Type="http://schemas.openxmlformats.org/officeDocument/2006/relationships/hyperlink" Target="http://twitter.com/agribots" TargetMode="External"/><Relationship Id="rId1891" Type="http://schemas.openxmlformats.org/officeDocument/2006/relationships/hyperlink" Target="http://www.phagelux.com/" TargetMode="External"/><Relationship Id="rId707" Type="http://schemas.openxmlformats.org/officeDocument/2006/relationships/hyperlink" Target="https://start.agritask.com/?agritask_url=www.agritask.com%2Fm%2Fmain%2F" TargetMode="External"/><Relationship Id="rId914" Type="http://schemas.openxmlformats.org/officeDocument/2006/relationships/hyperlink" Target="https://linkedin.com/company/licious---a-great-meal-begins-here" TargetMode="External"/><Relationship Id="rId1337" Type="http://schemas.openxmlformats.org/officeDocument/2006/relationships/hyperlink" Target="https://twitter.com/kulishafeed" TargetMode="External"/><Relationship Id="rId1544" Type="http://schemas.openxmlformats.org/officeDocument/2006/relationships/hyperlink" Target="https://twitter.com/taranisag" TargetMode="External"/><Relationship Id="rId1751" Type="http://schemas.openxmlformats.org/officeDocument/2006/relationships/hyperlink" Target="http://www.linkedin.com/vsearch/p?f_CC=6405551" TargetMode="External"/><Relationship Id="rId43" Type="http://schemas.openxmlformats.org/officeDocument/2006/relationships/hyperlink" Target="https://tracxn.com/companies/5q6reOXNej1Nun-4PiWcvFqvnY9Oaj-YryXW0FUup-M/ailinkiot.com" TargetMode="External"/><Relationship Id="rId1404" Type="http://schemas.openxmlformats.org/officeDocument/2006/relationships/hyperlink" Target="https://hargol.com/" TargetMode="External"/><Relationship Id="rId1611" Type="http://schemas.openxmlformats.org/officeDocument/2006/relationships/hyperlink" Target="http://www.gfresh.com/" TargetMode="External"/><Relationship Id="rId497" Type="http://schemas.openxmlformats.org/officeDocument/2006/relationships/hyperlink" Target="https://www.bharatagri.com/" TargetMode="External"/><Relationship Id="rId2178" Type="http://schemas.openxmlformats.org/officeDocument/2006/relationships/hyperlink" Target="http://facebook.com/chipinside" TargetMode="External"/><Relationship Id="rId357" Type="http://schemas.openxmlformats.org/officeDocument/2006/relationships/hyperlink" Target="http://linkedin.com/company/13195387" TargetMode="External"/><Relationship Id="rId1194" Type="http://schemas.openxmlformats.org/officeDocument/2006/relationships/hyperlink" Target="http://facebook.com/ecozensolutions" TargetMode="External"/><Relationship Id="rId2038" Type="http://schemas.openxmlformats.org/officeDocument/2006/relationships/hyperlink" Target="https://tracxn.com/companies/GdlWVRAvdHz5wtVP8LrZsyoR4Tas81RqPJZWS6ro3PU/tonysfarm.com" TargetMode="External"/><Relationship Id="rId217" Type="http://schemas.openxmlformats.org/officeDocument/2006/relationships/hyperlink" Target="https://twitter.com/seetree_ai" TargetMode="External"/><Relationship Id="rId564" Type="http://schemas.openxmlformats.org/officeDocument/2006/relationships/hyperlink" Target="https://facebook.com/siembroci" TargetMode="External"/><Relationship Id="rId771" Type="http://schemas.openxmlformats.org/officeDocument/2006/relationships/hyperlink" Target="https://tracxn.com/companies/Kth4cli12CIgDjWKxPQi2ijT-Bb3IUtiM9MsTvKBgd8/agronow.com.br" TargetMode="External"/><Relationship Id="rId2245" Type="http://schemas.openxmlformats.org/officeDocument/2006/relationships/hyperlink" Target="https://facebook.com/stellapps" TargetMode="External"/><Relationship Id="rId424" Type="http://schemas.openxmlformats.org/officeDocument/2006/relationships/hyperlink" Target="https://linkedin.com/company/botanical-solutions-spa/about" TargetMode="External"/><Relationship Id="rId631" Type="http://schemas.openxmlformats.org/officeDocument/2006/relationships/hyperlink" Target="https://tracxn.com/companies/DV2rgI5krfQDbI9RLp8ra0RafUPG6f7LRA24ZcZSD-g/sheyuan.com" TargetMode="External"/><Relationship Id="rId1054" Type="http://schemas.openxmlformats.org/officeDocument/2006/relationships/hyperlink" Target="http://agrosmart.com.br/blog" TargetMode="External"/><Relationship Id="rId1261" Type="http://schemas.openxmlformats.org/officeDocument/2006/relationships/hyperlink" Target="http://www.hummingbird.in/" TargetMode="External"/><Relationship Id="rId2105" Type="http://schemas.openxmlformats.org/officeDocument/2006/relationships/hyperlink" Target="https://twitter.com/kaiimabioagtech" TargetMode="External"/><Relationship Id="rId1121" Type="http://schemas.openxmlformats.org/officeDocument/2006/relationships/hyperlink" Target="http://linkedin.com/company/origin-agritech-ltd" TargetMode="External"/><Relationship Id="rId1938" Type="http://schemas.openxmlformats.org/officeDocument/2006/relationships/hyperlink" Target="https://tracxn.com/companies/CBgA4OgK4kZs9S7ESBD_uCtr5XJkXLiSWGh0pXS6nYg/eden-shield.com" TargetMode="External"/><Relationship Id="rId281" Type="http://schemas.openxmlformats.org/officeDocument/2006/relationships/hyperlink" Target="http://medium.com/wolkus-hq" TargetMode="External"/><Relationship Id="rId141" Type="http://schemas.openxmlformats.org/officeDocument/2006/relationships/hyperlink" Target="https://twitter.com/kwidex1" TargetMode="External"/><Relationship Id="rId7" Type="http://schemas.openxmlformats.org/officeDocument/2006/relationships/hyperlink" Target="https://tracxn.com/companies/n25ZtxfPwWTRi3hsVISTMDxSKZQVuvOkRgdetS8uJNI/agrixagro.com" TargetMode="External"/><Relationship Id="rId958" Type="http://schemas.openxmlformats.org/officeDocument/2006/relationships/hyperlink" Target="https://tracxn.com/companies/4DQV6tTKfyzxaSlN3WIW5AA8ABEHXs3kwnd_NnaVUGY/tartansense.com" TargetMode="External"/><Relationship Id="rId1588" Type="http://schemas.openxmlformats.org/officeDocument/2006/relationships/hyperlink" Target="http://facebook.com/pg/eragano.id/" TargetMode="External"/><Relationship Id="rId1795" Type="http://schemas.openxmlformats.org/officeDocument/2006/relationships/hyperlink" Target="https://tracxn.com/companies/fcljhRWNWAy5YZtr8E_U3vAXn-0XMJAQE6rRc8Nt6FI/sribio.com" TargetMode="External"/><Relationship Id="rId87" Type="http://schemas.openxmlformats.org/officeDocument/2006/relationships/hyperlink" Target="https://www.pinkfarms.com.br/" TargetMode="External"/><Relationship Id="rId818" Type="http://schemas.openxmlformats.org/officeDocument/2006/relationships/hyperlink" Target="https://www.kisannetwork.com/" TargetMode="External"/><Relationship Id="rId1448" Type="http://schemas.openxmlformats.org/officeDocument/2006/relationships/hyperlink" Target="https://rmlagtech.com/" TargetMode="External"/><Relationship Id="rId1655" Type="http://schemas.openxmlformats.org/officeDocument/2006/relationships/hyperlink" Target="http://facebook.com/green-robot-machinery-1605595703030680" TargetMode="External"/><Relationship Id="rId1308" Type="http://schemas.openxmlformats.org/officeDocument/2006/relationships/hyperlink" Target="https://tracxn.com/companies/Tlgj6s1Lw05hlh0ecj_C4IG5Ep3aw4gOC19v2VOv55c/agrhub.com" TargetMode="External"/><Relationship Id="rId1862" Type="http://schemas.openxmlformats.org/officeDocument/2006/relationships/hyperlink" Target="http://facebook.com/hellotractor" TargetMode="External"/><Relationship Id="rId1515" Type="http://schemas.openxmlformats.org/officeDocument/2006/relationships/hyperlink" Target="http://facebook.com/foodstockmarket" TargetMode="External"/><Relationship Id="rId1722" Type="http://schemas.openxmlformats.org/officeDocument/2006/relationships/hyperlink" Target="http://facebook.com/exabitsystems" TargetMode="External"/><Relationship Id="rId14" Type="http://schemas.openxmlformats.org/officeDocument/2006/relationships/hyperlink" Target="https://tracxn.com/companies/iz1LEFsjxnZbTGobRMcsnIEM8Pt67kYr470OXoi68Uk/lifysignals.in" TargetMode="External"/><Relationship Id="rId468" Type="http://schemas.openxmlformats.org/officeDocument/2006/relationships/hyperlink" Target="https://plantarcbio.com/" TargetMode="External"/><Relationship Id="rId675" Type="http://schemas.openxmlformats.org/officeDocument/2006/relationships/hyperlink" Target="http://facebook.com/zuzilite" TargetMode="External"/><Relationship Id="rId882" Type="http://schemas.openxmlformats.org/officeDocument/2006/relationships/hyperlink" Target="https://tracxn.com/companies/ABbqJjog6MGNBufmaYOfkImw28K07WHTkQ8gHpzf1RQ/tanihub.com" TargetMode="External"/><Relationship Id="rId1098" Type="http://schemas.openxmlformats.org/officeDocument/2006/relationships/hyperlink" Target="https://www.linkedin.com/company/zentron-labs-pvt-ltd" TargetMode="External"/><Relationship Id="rId2149" Type="http://schemas.openxmlformats.org/officeDocument/2006/relationships/hyperlink" Target="http://facebook.com/esokonews" TargetMode="External"/><Relationship Id="rId328" Type="http://schemas.openxmlformats.org/officeDocument/2006/relationships/hyperlink" Target="https://facebook.com/nutritiontec" TargetMode="External"/><Relationship Id="rId535" Type="http://schemas.openxmlformats.org/officeDocument/2006/relationships/hyperlink" Target="http://twitter.com/physizag" TargetMode="External"/><Relationship Id="rId742" Type="http://schemas.openxmlformats.org/officeDocument/2006/relationships/hyperlink" Target="https://linkedin.com/company/tevel-aerobotics-technologies-ltd/about" TargetMode="External"/><Relationship Id="rId1165" Type="http://schemas.openxmlformats.org/officeDocument/2006/relationships/hyperlink" Target="https://tracxn.com/companies/1y2f0dhN_GOrFU5u_j9uO_I3YAxc0bw35OPZfpEUml0/phytech.com" TargetMode="External"/><Relationship Id="rId1372" Type="http://schemas.openxmlformats.org/officeDocument/2006/relationships/hyperlink" Target="https://www.linkedin.com/company/&#24191;&#35199;&#24935;&#20113;&#20449;&#24687;&#25216;&#26415;&#26377;&#38480;&#20844;&#21496;" TargetMode="External"/><Relationship Id="rId2009" Type="http://schemas.openxmlformats.org/officeDocument/2006/relationships/hyperlink" Target="http://linkedin.com/company/meta-helix-life-sciences-private-limited" TargetMode="External"/><Relationship Id="rId2216" Type="http://schemas.openxmlformats.org/officeDocument/2006/relationships/hyperlink" Target="https://tracxn.com/companies/tNXUuogfJ4NeXA0RI_EftFq5EUQXuUaNbm5qQ0gBsAo/greencart.in" TargetMode="External"/><Relationship Id="rId602" Type="http://schemas.openxmlformats.org/officeDocument/2006/relationships/hyperlink" Target="https://tracxn.com/companies/KMTxuEajWfKZVI91M-_m2t1dw1D4SOL1QsMuyphV-Ms/agricx.com" TargetMode="External"/><Relationship Id="rId1025" Type="http://schemas.openxmlformats.org/officeDocument/2006/relationships/hyperlink" Target="http://www.merakisan.com/" TargetMode="External"/><Relationship Id="rId1232" Type="http://schemas.openxmlformats.org/officeDocument/2006/relationships/hyperlink" Target="http://www.linkedin.com/vsearch/p?f_CC=3158610" TargetMode="External"/><Relationship Id="rId185" Type="http://schemas.openxmlformats.org/officeDocument/2006/relationships/hyperlink" Target="https://tracxn.com/companies/hmaSOJvla4TnpRPelsLGop2mZyhdLmlbjE7xnrHVbWI/fjdynamics.com" TargetMode="External"/><Relationship Id="rId1909" Type="http://schemas.openxmlformats.org/officeDocument/2006/relationships/hyperlink" Target="http://twitter.com/nilebot15" TargetMode="External"/><Relationship Id="rId392" Type="http://schemas.openxmlformats.org/officeDocument/2006/relationships/hyperlink" Target="http://facebook.com/cprgira" TargetMode="External"/><Relationship Id="rId2073" Type="http://schemas.openxmlformats.org/officeDocument/2006/relationships/hyperlink" Target="https://www.nrgene.com/" TargetMode="External"/><Relationship Id="rId252" Type="http://schemas.openxmlformats.org/officeDocument/2006/relationships/hyperlink" Target="http://linkedin.com/company/oko-solutions" TargetMode="External"/><Relationship Id="rId2140" Type="http://schemas.openxmlformats.org/officeDocument/2006/relationships/hyperlink" Target="https://www.linkedin.com/company/farmigo-inc-" TargetMode="External"/><Relationship Id="rId112" Type="http://schemas.openxmlformats.org/officeDocument/2006/relationships/hyperlink" Target="http://www.linkedin.com/vsearch/p?f_CC=9460339" TargetMode="External"/><Relationship Id="rId1699" Type="http://schemas.openxmlformats.org/officeDocument/2006/relationships/hyperlink" Target="http://facebook.com/cropxapp/" TargetMode="External"/><Relationship Id="rId2000" Type="http://schemas.openxmlformats.org/officeDocument/2006/relationships/hyperlink" Target="http://facebook.com/rizobacter" TargetMode="External"/><Relationship Id="rId929" Type="http://schemas.openxmlformats.org/officeDocument/2006/relationships/hyperlink" Target="https://www.jetbov.com/" TargetMode="External"/><Relationship Id="rId1559" Type="http://schemas.openxmlformats.org/officeDocument/2006/relationships/hyperlink" Target="https://tracxn.com/companies/dy6dZJrkpm3aMIYggVMJGBCu6UgHjaD-MCDY5mJrfaE/yingzhongtou.com" TargetMode="External"/><Relationship Id="rId1766" Type="http://schemas.openxmlformats.org/officeDocument/2006/relationships/hyperlink" Target="https://www.linkedin.com/company/%E5%8C%97%E4%BA%AC%E5%A4%A7%E5%8E%A8%E7%BD%91%E7%BB%9C%E7%A7%91%E6%8A%80%E6%9C%89%E9%99%90%E5%85%AC%E5%8F%B8" TargetMode="External"/><Relationship Id="rId1973" Type="http://schemas.openxmlformats.org/officeDocument/2006/relationships/hyperlink" Target="http://www.linkedin.com/vsearch/p?f_CC=3603909" TargetMode="External"/><Relationship Id="rId58" Type="http://schemas.openxmlformats.org/officeDocument/2006/relationships/hyperlink" Target="https://facebook.com/atomicagro" TargetMode="External"/><Relationship Id="rId1419" Type="http://schemas.openxmlformats.org/officeDocument/2006/relationships/hyperlink" Target="https://livingreen.co.il/" TargetMode="External"/><Relationship Id="rId1626" Type="http://schemas.openxmlformats.org/officeDocument/2006/relationships/hyperlink" Target="http://facebook.com/farmdog.ag" TargetMode="External"/><Relationship Id="rId1833" Type="http://schemas.openxmlformats.org/officeDocument/2006/relationships/hyperlink" Target="https://linkedin.com/company/farmappweb/about" TargetMode="External"/><Relationship Id="rId1900" Type="http://schemas.openxmlformats.org/officeDocument/2006/relationships/hyperlink" Target="http://linkedin.com/company/drygair-energies-ltd-" TargetMode="External"/><Relationship Id="rId579" Type="http://schemas.openxmlformats.org/officeDocument/2006/relationships/hyperlink" Target="https://twitter.com/krishihub" TargetMode="External"/><Relationship Id="rId786" Type="http://schemas.openxmlformats.org/officeDocument/2006/relationships/hyperlink" Target="https://twitter.com/agreetapvtltd" TargetMode="External"/><Relationship Id="rId993" Type="http://schemas.openxmlformats.org/officeDocument/2006/relationships/hyperlink" Target="http://www.linkedin.com/vsearch/p?f_CC=9410547" TargetMode="External"/><Relationship Id="rId439" Type="http://schemas.openxmlformats.org/officeDocument/2006/relationships/hyperlink" Target="http://twitter.com/clarifruit" TargetMode="External"/><Relationship Id="rId646" Type="http://schemas.openxmlformats.org/officeDocument/2006/relationships/hyperlink" Target="https://tracxn.com/companies/7GZOsRvxKRO8hPnGjRkC5XNWs9hHCpTUARxFENEB0Os/impactterra.com" TargetMode="External"/><Relationship Id="rId1069" Type="http://schemas.openxmlformats.org/officeDocument/2006/relationships/hyperlink" Target="http://www.linkedin.com/vsearch/p?f_CC=3718294" TargetMode="External"/><Relationship Id="rId1276" Type="http://schemas.openxmlformats.org/officeDocument/2006/relationships/hyperlink" Target="https://www.zhimadi.cn/" TargetMode="External"/><Relationship Id="rId1483" Type="http://schemas.openxmlformats.org/officeDocument/2006/relationships/hyperlink" Target="https://tracxn.com/companies/f5Kzq9Cm30r-e1_If5zpkZNC67ykfeCWho6-4t1DKGQ/wuabi.com.ar" TargetMode="External"/><Relationship Id="rId506" Type="http://schemas.openxmlformats.org/officeDocument/2006/relationships/hyperlink" Target="https://linkedin.com/company/easykrishi-pvt-ltd/about" TargetMode="External"/><Relationship Id="rId853" Type="http://schemas.openxmlformats.org/officeDocument/2006/relationships/hyperlink" Target="http://taranis.ag/category/blog" TargetMode="External"/><Relationship Id="rId1136" Type="http://schemas.openxmlformats.org/officeDocument/2006/relationships/hyperlink" Target="https://tracxn.com/companies/RurK4MBH5168_X8nnkQErvr0CbVKQAE5J2abhLFMjvo/sunculture.com" TargetMode="External"/><Relationship Id="rId1690" Type="http://schemas.openxmlformats.org/officeDocument/2006/relationships/hyperlink" Target="http://twitter.com/aegrofarming" TargetMode="External"/><Relationship Id="rId713" Type="http://schemas.openxmlformats.org/officeDocument/2006/relationships/hyperlink" Target="https://facebook.com/farmers-pride-1517048061930715" TargetMode="External"/><Relationship Id="rId920" Type="http://schemas.openxmlformats.org/officeDocument/2006/relationships/hyperlink" Target="https://www.grobomac.com/" TargetMode="External"/><Relationship Id="rId1343" Type="http://schemas.openxmlformats.org/officeDocument/2006/relationships/hyperlink" Target="http://facebook.com/paalak.in" TargetMode="External"/><Relationship Id="rId1550" Type="http://schemas.openxmlformats.org/officeDocument/2006/relationships/hyperlink" Target="https://twitter.com/igrowasia" TargetMode="External"/><Relationship Id="rId1203" Type="http://schemas.openxmlformats.org/officeDocument/2006/relationships/hyperlink" Target="https://www.yuktix.com/" TargetMode="External"/><Relationship Id="rId1410" Type="http://schemas.openxmlformats.org/officeDocument/2006/relationships/hyperlink" Target="https://tracxn.com/companies/3Eg-RioNBbtzu-TwoVX6M2VlvdiXONz75zUEy-5NlXQ/yiweinet.com" TargetMode="External"/><Relationship Id="rId296" Type="http://schemas.openxmlformats.org/officeDocument/2006/relationships/hyperlink" Target="http://tulaa.io/" TargetMode="External"/><Relationship Id="rId2184" Type="http://schemas.openxmlformats.org/officeDocument/2006/relationships/hyperlink" Target="http://www.linkedin.com/vsearch/p?f_CC=893834" TargetMode="External"/><Relationship Id="rId156" Type="http://schemas.openxmlformats.org/officeDocument/2006/relationships/hyperlink" Target="https://www.otipy.com/" TargetMode="External"/><Relationship Id="rId363" Type="http://schemas.openxmlformats.org/officeDocument/2006/relationships/hyperlink" Target="http://medium.com/atnic" TargetMode="External"/><Relationship Id="rId570" Type="http://schemas.openxmlformats.org/officeDocument/2006/relationships/hyperlink" Target="https://facebook.com/aeroboticsintl" TargetMode="External"/><Relationship Id="rId2044" Type="http://schemas.openxmlformats.org/officeDocument/2006/relationships/hyperlink" Target="http://blog.tech4farmers.com/" TargetMode="External"/><Relationship Id="rId2251" Type="http://schemas.openxmlformats.org/officeDocument/2006/relationships/hyperlink" Target="http://twitter.com/frontalrain" TargetMode="External"/><Relationship Id="rId223" Type="http://schemas.openxmlformats.org/officeDocument/2006/relationships/hyperlink" Target="https://tracxn.com/companies/uwTNuk8TrrZ1QVGi1FDNgdag6xTLrJungVRg2nKN36M/oaesislsc.com" TargetMode="External"/><Relationship Id="rId430" Type="http://schemas.openxmlformats.org/officeDocument/2006/relationships/hyperlink" Target="https://twitter.com/waycoolfoods" TargetMode="External"/><Relationship Id="rId1060" Type="http://schemas.openxmlformats.org/officeDocument/2006/relationships/hyperlink" Target="http://facebook.com/mahycoseeds" TargetMode="External"/><Relationship Id="rId2111" Type="http://schemas.openxmlformats.org/officeDocument/2006/relationships/hyperlink" Target="http://www.jains.com/" TargetMode="External"/><Relationship Id="rId1877" Type="http://schemas.openxmlformats.org/officeDocument/2006/relationships/hyperlink" Target="https://www.strider.ag/" TargetMode="External"/><Relationship Id="rId1737" Type="http://schemas.openxmlformats.org/officeDocument/2006/relationships/hyperlink" Target="http://livingboxproject.com/" TargetMode="External"/><Relationship Id="rId1944" Type="http://schemas.openxmlformats.org/officeDocument/2006/relationships/hyperlink" Target="https://linkedin.com/company/gramophone.co.in" TargetMode="External"/><Relationship Id="rId29" Type="http://schemas.openxmlformats.org/officeDocument/2006/relationships/hyperlink" Target="https://twitter.com/cloverventures" TargetMode="External"/><Relationship Id="rId1804" Type="http://schemas.openxmlformats.org/officeDocument/2006/relationships/hyperlink" Target="https://linkedin.com/company/ulink-bioenergy-pvt.-ltd./about" TargetMode="External"/><Relationship Id="rId897" Type="http://schemas.openxmlformats.org/officeDocument/2006/relationships/hyperlink" Target="http://jivabhumi.com/" TargetMode="External"/><Relationship Id="rId757" Type="http://schemas.openxmlformats.org/officeDocument/2006/relationships/hyperlink" Target="https://www.graodireto.com.br/" TargetMode="External"/><Relationship Id="rId964" Type="http://schemas.openxmlformats.org/officeDocument/2006/relationships/hyperlink" Target="https://www.fibsol.com/" TargetMode="External"/><Relationship Id="rId1387" Type="http://schemas.openxmlformats.org/officeDocument/2006/relationships/hyperlink" Target="https://tracxn.com/companies/w1liUjJ4f4vUnjk3zmp1vPWzythr7d3gEidiRDJyUdw/supplybunny.com" TargetMode="External"/><Relationship Id="rId1594" Type="http://schemas.openxmlformats.org/officeDocument/2006/relationships/hyperlink" Target="https://tracxn.com/companies/p94zwJAGJu7wYhEpgYvUDlsKTVeIMawrDPk1cuLFLME/bicaijia.com" TargetMode="External"/><Relationship Id="rId93" Type="http://schemas.openxmlformats.org/officeDocument/2006/relationships/hyperlink" Target="http://www.eliannc.com/" TargetMode="External"/><Relationship Id="rId617" Type="http://schemas.openxmlformats.org/officeDocument/2006/relationships/hyperlink" Target="http://facebook.com/satsureag" TargetMode="External"/><Relationship Id="rId824" Type="http://schemas.openxmlformats.org/officeDocument/2006/relationships/hyperlink" Target="https://tracxn.com/companies/QV9INkHkg6a5wWmiY_u7YeAFchvIhIWLIOcXk4GKhFM/farmguide.in" TargetMode="External"/><Relationship Id="rId1247" Type="http://schemas.openxmlformats.org/officeDocument/2006/relationships/hyperlink" Target="http://facebook.com/1653593188194276" TargetMode="External"/><Relationship Id="rId1454" Type="http://schemas.openxmlformats.org/officeDocument/2006/relationships/hyperlink" Target="http://maoshucishen.com/" TargetMode="External"/><Relationship Id="rId1661" Type="http://schemas.openxmlformats.org/officeDocument/2006/relationships/hyperlink" Target="http://facebook.com/mosavali" TargetMode="External"/><Relationship Id="rId1107" Type="http://schemas.openxmlformats.org/officeDocument/2006/relationships/hyperlink" Target="https://tracxn.com/companies/ZwcYH-cfHJpD_iejaGBAFfpsdqc3zniTB9BN8OO0BjQ/energaia.com" TargetMode="External"/><Relationship Id="rId1314" Type="http://schemas.openxmlformats.org/officeDocument/2006/relationships/hyperlink" Target="https://www.gagogroup.cn/" TargetMode="External"/><Relationship Id="rId1521" Type="http://schemas.openxmlformats.org/officeDocument/2006/relationships/hyperlink" Target="http://www.farmart.co/" TargetMode="External"/><Relationship Id="rId1759" Type="http://schemas.openxmlformats.org/officeDocument/2006/relationships/hyperlink" Target="http://ync365.com/" TargetMode="External"/><Relationship Id="rId1966" Type="http://schemas.openxmlformats.org/officeDocument/2006/relationships/hyperlink" Target="https://tracxn.com/companies/cnUf7CYVaJbBXEjouEULnT7clRdMrZcvbz0Xh3IR8zw/visualnacert.com" TargetMode="External"/><Relationship Id="rId1619" Type="http://schemas.openxmlformats.org/officeDocument/2006/relationships/hyperlink" Target="https://www.forrestinnovations.com/en/" TargetMode="External"/><Relationship Id="rId1826" Type="http://schemas.openxmlformats.org/officeDocument/2006/relationships/hyperlink" Target="http://www.linkedin.com/vsearch/p?f_CC=9381643" TargetMode="External"/><Relationship Id="rId20" Type="http://schemas.openxmlformats.org/officeDocument/2006/relationships/hyperlink" Target="https://tracxn.com/companies/iVEbA8B4vTYtjIEzAxuiA6hrYs4VTDifw9OFIP2pIv0/greeneye.ag" TargetMode="External"/><Relationship Id="rId2088" Type="http://schemas.openxmlformats.org/officeDocument/2006/relationships/hyperlink" Target="http://twitter.com/myagro_" TargetMode="External"/><Relationship Id="rId267" Type="http://schemas.openxmlformats.org/officeDocument/2006/relationships/hyperlink" Target="https://thekrishi.com/" TargetMode="External"/><Relationship Id="rId474" Type="http://schemas.openxmlformats.org/officeDocument/2006/relationships/hyperlink" Target="https://twitter.com/letscultyvate" TargetMode="External"/><Relationship Id="rId2155" Type="http://schemas.openxmlformats.org/officeDocument/2006/relationships/hyperlink" Target="https://tracxn.com/companies/SPAdYmHLMyj6fIhFpdBT_VK-qYJNQVqJjqi_dOQZdDQ/enalta.com" TargetMode="External"/><Relationship Id="rId127" Type="http://schemas.openxmlformats.org/officeDocument/2006/relationships/hyperlink" Target="https://tracxn.com/companies/WTakOo4b3LThdX0oKbCxoQRbHlfRTQ0LMbfLhWS_Pfg/simbioticalabs.com" TargetMode="External"/><Relationship Id="rId681" Type="http://schemas.openxmlformats.org/officeDocument/2006/relationships/hyperlink" Target="https://tracxn.com/companies/UbVQOzLG--AQgfhW2GnxyJH6l4N40DhXDBf_dgi413E/fruitspec.com" TargetMode="External"/><Relationship Id="rId779" Type="http://schemas.openxmlformats.org/officeDocument/2006/relationships/hyperlink" Target="https://www.linkedin.com/company/farmfolio" TargetMode="External"/><Relationship Id="rId986" Type="http://schemas.openxmlformats.org/officeDocument/2006/relationships/hyperlink" Target="https://tracxn.com/companies/ZpYcPVpUeqNBmKSxWY2okUnVbx7r6cpshTBIyArwV-M/entobel.com" TargetMode="External"/><Relationship Id="rId334" Type="http://schemas.openxmlformats.org/officeDocument/2006/relationships/hyperlink" Target="https://www.agriapp.co.in/" TargetMode="External"/><Relationship Id="rId541" Type="http://schemas.openxmlformats.org/officeDocument/2006/relationships/hyperlink" Target="https://tracxn.com/companies/utFjixxGHYsJJtwO_70Dx_wocM7nqLCi1UrpDb4hv6o/chinabric.com" TargetMode="External"/><Relationship Id="rId639" Type="http://schemas.openxmlformats.org/officeDocument/2006/relationships/hyperlink" Target="http://twitter.com/intellolabs" TargetMode="External"/><Relationship Id="rId1171" Type="http://schemas.openxmlformats.org/officeDocument/2006/relationships/hyperlink" Target="https://tracxn.com/companies/cDSGSZO2A-49qQVvGIWs3oduVA4a58AhkynM3bjAqGg/nurserylive.com" TargetMode="External"/><Relationship Id="rId1269" Type="http://schemas.openxmlformats.org/officeDocument/2006/relationships/hyperlink" Target="http://farmzee.com/blog" TargetMode="External"/><Relationship Id="rId1476" Type="http://schemas.openxmlformats.org/officeDocument/2006/relationships/hyperlink" Target="https://www.linkedin.com/company/aruna-indonesia" TargetMode="External"/><Relationship Id="rId2015" Type="http://schemas.openxmlformats.org/officeDocument/2006/relationships/hyperlink" Target="https://facebook.com/agronometrics" TargetMode="External"/><Relationship Id="rId2222" Type="http://schemas.openxmlformats.org/officeDocument/2006/relationships/hyperlink" Target="http://greeniq.com/blogs" TargetMode="External"/><Relationship Id="rId401" Type="http://schemas.openxmlformats.org/officeDocument/2006/relationships/hyperlink" Target="https://www.infishta.com/" TargetMode="External"/><Relationship Id="rId846" Type="http://schemas.openxmlformats.org/officeDocument/2006/relationships/hyperlink" Target="https://linkedin.com/company/dechetsalor/about" TargetMode="External"/><Relationship Id="rId1031" Type="http://schemas.openxmlformats.org/officeDocument/2006/relationships/hyperlink" Target="https://tracxn.com/companies/VizJkjihG4Fdsqeay9sKeOpkf5xeBbVX9TzBeIGd_cE/ergos.in" TargetMode="External"/><Relationship Id="rId1129" Type="http://schemas.openxmlformats.org/officeDocument/2006/relationships/hyperlink" Target="https://twitter.com/rizobacterarg" TargetMode="External"/><Relationship Id="rId1683" Type="http://schemas.openxmlformats.org/officeDocument/2006/relationships/hyperlink" Target="http://linkedin.com/company/agribots" TargetMode="External"/><Relationship Id="rId1890" Type="http://schemas.openxmlformats.org/officeDocument/2006/relationships/hyperlink" Target="https://tracxn.com/companies/XQqIFF5gJ4izxt1SaaXUcxXG7cSyU5rELdMLcg-4EDk/vasham.co.id" TargetMode="External"/><Relationship Id="rId1988" Type="http://schemas.openxmlformats.org/officeDocument/2006/relationships/hyperlink" Target="http://twitter.com/efarmvenky" TargetMode="External"/><Relationship Id="rId706" Type="http://schemas.openxmlformats.org/officeDocument/2006/relationships/hyperlink" Target="https://tracxn.com/companies/fWvFy5_ukLzwJpZw8DbzcEDfCQZ6FQK-STcWFekruBA/yoonop.com" TargetMode="External"/><Relationship Id="rId913" Type="http://schemas.openxmlformats.org/officeDocument/2006/relationships/hyperlink" Target="https://www.licious.in/" TargetMode="External"/><Relationship Id="rId1336" Type="http://schemas.openxmlformats.org/officeDocument/2006/relationships/hyperlink" Target="https://linkedin.com/company/kulisha/about" TargetMode="External"/><Relationship Id="rId1543" Type="http://schemas.openxmlformats.org/officeDocument/2006/relationships/hyperlink" Target="https://linkedin.com/company/taranis-visual/about" TargetMode="External"/><Relationship Id="rId1750" Type="http://schemas.openxmlformats.org/officeDocument/2006/relationships/hyperlink" Target="https://tracxn.com/companies/g-393D82EVuqZV6zEtwGNGtH2twY_v6tOT_C1MCkN1Q/inceres.com.br" TargetMode="External"/><Relationship Id="rId42" Type="http://schemas.openxmlformats.org/officeDocument/2006/relationships/hyperlink" Target="http://www.ailinkiot.com/" TargetMode="External"/><Relationship Id="rId1403" Type="http://schemas.openxmlformats.org/officeDocument/2006/relationships/hyperlink" Target="http://www.linkedin.com/vsearch/p?f_CC=10010653" TargetMode="External"/><Relationship Id="rId1610" Type="http://schemas.openxmlformats.org/officeDocument/2006/relationships/hyperlink" Target="https://tracxn.com/companies/s8HhTgBbv6U26UG4ZKPlGg0WlfeCX4crIc7oi_8_5UQ/mimosatek.com" TargetMode="External"/><Relationship Id="rId1848" Type="http://schemas.openxmlformats.org/officeDocument/2006/relationships/hyperlink" Target="https://agrosmart.com.br/" TargetMode="External"/><Relationship Id="rId191" Type="http://schemas.openxmlformats.org/officeDocument/2006/relationships/hyperlink" Target="https://tracxn.com/companies/JxJs5UuLz7kcmJGFYWSTOgwBRq5ptYTCVNTz2zFyJXU/freshvnf.com" TargetMode="External"/><Relationship Id="rId1708" Type="http://schemas.openxmlformats.org/officeDocument/2006/relationships/hyperlink" Target="https://www.bighaat.com/" TargetMode="External"/><Relationship Id="rId1915" Type="http://schemas.openxmlformats.org/officeDocument/2006/relationships/hyperlink" Target="http://twitter.com/modisar" TargetMode="External"/><Relationship Id="rId289" Type="http://schemas.openxmlformats.org/officeDocument/2006/relationships/hyperlink" Target="https://tracxn.com/companies/WGsGpjS3RuO-TfPHhY4t5nCJ_t7EE8a0EMIR_u0lYiU/annona.co" TargetMode="External"/><Relationship Id="rId496" Type="http://schemas.openxmlformats.org/officeDocument/2006/relationships/hyperlink" Target="https://tracxn.com/companies/Y5TKxDJ-DXwx7pJ7xaP84fpRxTCdqWRV8FjNK5TlheI/khethinext.com" TargetMode="External"/><Relationship Id="rId2177" Type="http://schemas.openxmlformats.org/officeDocument/2006/relationships/hyperlink" Target="http://twitter.com/chipinside" TargetMode="External"/><Relationship Id="rId149" Type="http://schemas.openxmlformats.org/officeDocument/2006/relationships/hyperlink" Target="http://twitter.com/twigafoods" TargetMode="External"/><Relationship Id="rId356" Type="http://schemas.openxmlformats.org/officeDocument/2006/relationships/hyperlink" Target="http://www.nebulaa.in/" TargetMode="External"/><Relationship Id="rId563" Type="http://schemas.openxmlformats.org/officeDocument/2006/relationships/hyperlink" Target="https://twitter.com/siembroao" TargetMode="External"/><Relationship Id="rId770" Type="http://schemas.openxmlformats.org/officeDocument/2006/relationships/hyperlink" Target="https://twitter.com/agronow_tec" TargetMode="External"/><Relationship Id="rId1193" Type="http://schemas.openxmlformats.org/officeDocument/2006/relationships/hyperlink" Target="http://twitter.com/ecozensolutions" TargetMode="External"/><Relationship Id="rId2037" Type="http://schemas.openxmlformats.org/officeDocument/2006/relationships/hyperlink" Target="https://www.linkedin.com/company/tony's-farm" TargetMode="External"/><Relationship Id="rId2244" Type="http://schemas.openxmlformats.org/officeDocument/2006/relationships/hyperlink" Target="https://twitter.com/stellapps" TargetMode="External"/><Relationship Id="rId216" Type="http://schemas.openxmlformats.org/officeDocument/2006/relationships/hyperlink" Target="http://linkedin.com/company/seetree" TargetMode="External"/><Relationship Id="rId423" Type="http://schemas.openxmlformats.org/officeDocument/2006/relationships/hyperlink" Target="http://botanicalsolutions.cl/" TargetMode="External"/><Relationship Id="rId868" Type="http://schemas.openxmlformats.org/officeDocument/2006/relationships/hyperlink" Target="https://linkedin.com/company/tierra-de-monte" TargetMode="External"/><Relationship Id="rId1053" Type="http://schemas.openxmlformats.org/officeDocument/2006/relationships/hyperlink" Target="http://facebook.com/agrosmart1" TargetMode="External"/><Relationship Id="rId1260" Type="http://schemas.openxmlformats.org/officeDocument/2006/relationships/hyperlink" Target="http://www.linkedin.com/vsearch/p?f_CC=680573" TargetMode="External"/><Relationship Id="rId1498" Type="http://schemas.openxmlformats.org/officeDocument/2006/relationships/hyperlink" Target="https://tracxn.com/companies/QV9INkHkg6a5wWmiY_u7YeAFchvIhIWLIOcXk4GKhFM/farmguide.in" TargetMode="External"/><Relationship Id="rId2104" Type="http://schemas.openxmlformats.org/officeDocument/2006/relationships/hyperlink" Target="https://linkedin.com/company/kaiima-bio-agritech-ltd-" TargetMode="External"/><Relationship Id="rId630" Type="http://schemas.openxmlformats.org/officeDocument/2006/relationships/hyperlink" Target="https://www.sheyuan.com/" TargetMode="External"/><Relationship Id="rId728" Type="http://schemas.openxmlformats.org/officeDocument/2006/relationships/hyperlink" Target="http://aibono.com/blog" TargetMode="External"/><Relationship Id="rId935" Type="http://schemas.openxmlformats.org/officeDocument/2006/relationships/hyperlink" Target="https://www.eirenesolutions.com/" TargetMode="External"/><Relationship Id="rId1358" Type="http://schemas.openxmlformats.org/officeDocument/2006/relationships/hyperlink" Target="https://tracxn.com/companies/n_7vabGKs6f_buK_Wj36tGkDSAm48yX5Qaz9-T4Midc/liuxuxing.com" TargetMode="External"/><Relationship Id="rId1565" Type="http://schemas.openxmlformats.org/officeDocument/2006/relationships/hyperlink" Target="https://tracxn.com/companies/TshAr54W8ilj0l9bIttfhWuop_R6mrZSc4Uuw3lobb0/fsx123.com" TargetMode="External"/><Relationship Id="rId1772" Type="http://schemas.openxmlformats.org/officeDocument/2006/relationships/hyperlink" Target="https://tracxn.com/companies/9MijD2FJa6uFA7ZC_eL7Lf5wsgz2lNucgWN1_Npvwas/siembraviva.com" TargetMode="External"/><Relationship Id="rId64" Type="http://schemas.openxmlformats.org/officeDocument/2006/relationships/hyperlink" Target="https://agrourbana.ag/" TargetMode="External"/><Relationship Id="rId1120" Type="http://schemas.openxmlformats.org/officeDocument/2006/relationships/hyperlink" Target="http://www.originseed.com.cn/" TargetMode="External"/><Relationship Id="rId1218" Type="http://schemas.openxmlformats.org/officeDocument/2006/relationships/hyperlink" Target="http://facebook.com/barrixagrosciences" TargetMode="External"/><Relationship Id="rId1425" Type="http://schemas.openxmlformats.org/officeDocument/2006/relationships/hyperlink" Target="https://twitter.com/crofarm_com" TargetMode="External"/><Relationship Id="rId1632" Type="http://schemas.openxmlformats.org/officeDocument/2006/relationships/hyperlink" Target="https://tracxn.com/companies/-3T6iz8HXJArqwt3yydPT8uwkWaXut2cBj9kJiD8IHc/s4agtech.com" TargetMode="External"/><Relationship Id="rId1937" Type="http://schemas.openxmlformats.org/officeDocument/2006/relationships/hyperlink" Target="https://linkedin.com/company/edenshield" TargetMode="External"/><Relationship Id="rId2199" Type="http://schemas.openxmlformats.org/officeDocument/2006/relationships/hyperlink" Target="https://tracxn.com/companies/s_PheTA_yO8-v0elUZjiQH6rSzdaFE0bIQKH9smOOTU/afimilk.com" TargetMode="External"/><Relationship Id="rId280" Type="http://schemas.openxmlformats.org/officeDocument/2006/relationships/hyperlink" Target="http://facebook.com/wolkushq" TargetMode="External"/><Relationship Id="rId140" Type="http://schemas.openxmlformats.org/officeDocument/2006/relationships/hyperlink" Target="https://kwidex.com/" TargetMode="External"/><Relationship Id="rId378" Type="http://schemas.openxmlformats.org/officeDocument/2006/relationships/hyperlink" Target="http://twitter.com/khulaapp" TargetMode="External"/><Relationship Id="rId585" Type="http://schemas.openxmlformats.org/officeDocument/2006/relationships/hyperlink" Target="https://tracxn.com/companies/3CxD-RHGN05G_YiczmlVb9NLzLjXsySYwHmA3UKR2sw/thriveagric.com" TargetMode="External"/><Relationship Id="rId792" Type="http://schemas.openxmlformats.org/officeDocument/2006/relationships/hyperlink" Target="https://tracxn.com/companies/HP8BX0KkOIDPwGcQqw0LJmWuX1rIHhQPKEwJUoZ5Q9s/rootility.com" TargetMode="External"/><Relationship Id="rId2059" Type="http://schemas.openxmlformats.org/officeDocument/2006/relationships/hyperlink" Target="http://linkedin.com/company/phytech-ltd" TargetMode="External"/><Relationship Id="rId2266" Type="http://schemas.openxmlformats.org/officeDocument/2006/relationships/hyperlink" Target="http://www.linkedin.com/vsearch/p?f_CC=1372561" TargetMode="External"/><Relationship Id="rId6" Type="http://schemas.openxmlformats.org/officeDocument/2006/relationships/hyperlink" Target="https://facebook.com/agrixindia" TargetMode="External"/><Relationship Id="rId238" Type="http://schemas.openxmlformats.org/officeDocument/2006/relationships/hyperlink" Target="http://twitter.com/cricketoneasia" TargetMode="External"/><Relationship Id="rId445" Type="http://schemas.openxmlformats.org/officeDocument/2006/relationships/hyperlink" Target="https://www.cowtribe.com/" TargetMode="External"/><Relationship Id="rId652" Type="http://schemas.openxmlformats.org/officeDocument/2006/relationships/hyperlink" Target="https://twitter.com/lenteraafrica" TargetMode="External"/><Relationship Id="rId1075" Type="http://schemas.openxmlformats.org/officeDocument/2006/relationships/hyperlink" Target="http://twitter.com/nilebot15" TargetMode="External"/><Relationship Id="rId1282" Type="http://schemas.openxmlformats.org/officeDocument/2006/relationships/hyperlink" Target="http://www.synqe.cn/" TargetMode="External"/><Relationship Id="rId2126" Type="http://schemas.openxmlformats.org/officeDocument/2006/relationships/hyperlink" Target="https://www.growfishanywhere.com/" TargetMode="External"/><Relationship Id="rId305" Type="http://schemas.openxmlformats.org/officeDocument/2006/relationships/hyperlink" Target="https://facebook.com/digifarmz" TargetMode="External"/><Relationship Id="rId512" Type="http://schemas.openxmlformats.org/officeDocument/2006/relationships/hyperlink" Target="https://tracxn.com/companies/DgCrqtzcEv0N9OcRcqKhgxj4J5O_j_SpuJW-xW_jHH8/kehuiseed.com" TargetMode="External"/><Relationship Id="rId957" Type="http://schemas.openxmlformats.org/officeDocument/2006/relationships/hyperlink" Target="https://twitter.com/tartansense" TargetMode="External"/><Relationship Id="rId1142" Type="http://schemas.openxmlformats.org/officeDocument/2006/relationships/hyperlink" Target="https://tracxn.com/companies/Rb65qShUX_JWSeodaf2z02IRoGSZK2jurXKpy7rPpho/weather-risk.com" TargetMode="External"/><Relationship Id="rId1587" Type="http://schemas.openxmlformats.org/officeDocument/2006/relationships/hyperlink" Target="https://twitter.com/eragano_id" TargetMode="External"/><Relationship Id="rId1794" Type="http://schemas.openxmlformats.org/officeDocument/2006/relationships/hyperlink" Target="http://www.sribio.com/" TargetMode="External"/><Relationship Id="rId86" Type="http://schemas.openxmlformats.org/officeDocument/2006/relationships/hyperlink" Target="https://tracxn.com/companies/sLZ5PfhoFkXOxL4RuWi-FpG3oeAX-u5WhQqFwtIfza4/biocerescrops.com" TargetMode="External"/><Relationship Id="rId817" Type="http://schemas.openxmlformats.org/officeDocument/2006/relationships/hyperlink" Target="https://tracxn.com/companies/4hjmzUAsQv-FL2s4rT8TYkx_I8KP6u-Cc6ZleE--Bws/bharatrohan.in" TargetMode="External"/><Relationship Id="rId1002" Type="http://schemas.openxmlformats.org/officeDocument/2006/relationships/hyperlink" Target="https://facebook.com/aaravunmannedsystems" TargetMode="External"/><Relationship Id="rId1447" Type="http://schemas.openxmlformats.org/officeDocument/2006/relationships/hyperlink" Target="https://tracxn.com/companies/jII-Wrxls6suo4thAxbaC6xK2r2xmvhKwXKqHdiacPY/o2waterator.com" TargetMode="External"/><Relationship Id="rId1654" Type="http://schemas.openxmlformats.org/officeDocument/2006/relationships/hyperlink" Target="http://linkedin.com/company/green-robot-machinery" TargetMode="External"/><Relationship Id="rId1861" Type="http://schemas.openxmlformats.org/officeDocument/2006/relationships/hyperlink" Target="http://twitter.com/hellotractor" TargetMode="External"/><Relationship Id="rId1307" Type="http://schemas.openxmlformats.org/officeDocument/2006/relationships/hyperlink" Target="http://shop.agrhub.com/blog" TargetMode="External"/><Relationship Id="rId1514" Type="http://schemas.openxmlformats.org/officeDocument/2006/relationships/hyperlink" Target="http://twitter.com/foodstockmarket" TargetMode="External"/><Relationship Id="rId1721" Type="http://schemas.openxmlformats.org/officeDocument/2006/relationships/hyperlink" Target="http://linkedin.com/company/exact-systems-private-limited" TargetMode="External"/><Relationship Id="rId1959" Type="http://schemas.openxmlformats.org/officeDocument/2006/relationships/hyperlink" Target="http://twitter.com/renewmaterial" TargetMode="External"/><Relationship Id="rId13" Type="http://schemas.openxmlformats.org/officeDocument/2006/relationships/hyperlink" Target="https://www.lifysignals.in/" TargetMode="External"/><Relationship Id="rId1819" Type="http://schemas.openxmlformats.org/officeDocument/2006/relationships/hyperlink" Target="http://www.merakisan.com/" TargetMode="External"/><Relationship Id="rId2190" Type="http://schemas.openxmlformats.org/officeDocument/2006/relationships/hyperlink" Target="http://linkedin.com/company/algatechnologies" TargetMode="External"/><Relationship Id="rId162" Type="http://schemas.openxmlformats.org/officeDocument/2006/relationships/hyperlink" Target="https://linkedin.com/company/rmlfarmbee" TargetMode="External"/><Relationship Id="rId467" Type="http://schemas.openxmlformats.org/officeDocument/2006/relationships/hyperlink" Target="https://tracxn.com/companies/Po7J9lqhMhEkpF2DQtY6PUq2EjJWwuwW7HzyUlWQZMs/farmizen.com" TargetMode="External"/><Relationship Id="rId1097" Type="http://schemas.openxmlformats.org/officeDocument/2006/relationships/hyperlink" Target="https://zentronlabs.com/" TargetMode="External"/><Relationship Id="rId2050" Type="http://schemas.openxmlformats.org/officeDocument/2006/relationships/hyperlink" Target="https://tracxn.com/companies/wTFTdytcdncgM8P16HetBeDSmfR5FfksgZXa-A_Of4w/subflex.org" TargetMode="External"/><Relationship Id="rId2148" Type="http://schemas.openxmlformats.org/officeDocument/2006/relationships/hyperlink" Target="http://twitter.com/esoko" TargetMode="External"/><Relationship Id="rId674" Type="http://schemas.openxmlformats.org/officeDocument/2006/relationships/hyperlink" Target="https://twitter.com/zuzilite" TargetMode="External"/><Relationship Id="rId881" Type="http://schemas.openxmlformats.org/officeDocument/2006/relationships/hyperlink" Target="http://facebook.com/tanihub" TargetMode="External"/><Relationship Id="rId979" Type="http://schemas.openxmlformats.org/officeDocument/2006/relationships/hyperlink" Target="https://www.auravant.com/" TargetMode="External"/><Relationship Id="rId327" Type="http://schemas.openxmlformats.org/officeDocument/2006/relationships/hyperlink" Target="https://linkedin.com/company/nutrition-technologies-ltd" TargetMode="External"/><Relationship Id="rId534" Type="http://schemas.openxmlformats.org/officeDocument/2006/relationships/hyperlink" Target="http://linkedin.com/company/13362995" TargetMode="External"/><Relationship Id="rId741" Type="http://schemas.openxmlformats.org/officeDocument/2006/relationships/hyperlink" Target="https://www.tevel-tech.com/" TargetMode="External"/><Relationship Id="rId839" Type="http://schemas.openxmlformats.org/officeDocument/2006/relationships/hyperlink" Target="https://tracxn.com/companies/tmO8WbdJ51h6YPDqAQaSvBMjOBw6QBfo1cGhgtmHK4U/farmart.co" TargetMode="External"/><Relationship Id="rId1164" Type="http://schemas.openxmlformats.org/officeDocument/2006/relationships/hyperlink" Target="https://twitter.com/phytechusa" TargetMode="External"/><Relationship Id="rId1371" Type="http://schemas.openxmlformats.org/officeDocument/2006/relationships/hyperlink" Target="https://www.tcloudit.com/" TargetMode="External"/><Relationship Id="rId1469" Type="http://schemas.openxmlformats.org/officeDocument/2006/relationships/hyperlink" Target="https://tracxn.com/companies/OLTQgU_2jqeZcU2ENarL27D8NqGo_dgEcbfOB17y9BQ/agreeta.com" TargetMode="External"/><Relationship Id="rId2008" Type="http://schemas.openxmlformats.org/officeDocument/2006/relationships/hyperlink" Target="http://www.meta-helix.com/" TargetMode="External"/><Relationship Id="rId2215" Type="http://schemas.openxmlformats.org/officeDocument/2006/relationships/hyperlink" Target="http://facebook.com/greencartin" TargetMode="External"/><Relationship Id="rId601" Type="http://schemas.openxmlformats.org/officeDocument/2006/relationships/hyperlink" Target="https://facebook.com/agricx" TargetMode="External"/><Relationship Id="rId1024" Type="http://schemas.openxmlformats.org/officeDocument/2006/relationships/hyperlink" Target="https://tracxn.com/companies/0SVUQVxIz4BwgmXT6pSkoTLGA7NI9FJTo-U6p1xJcIQ/agribuddy.com" TargetMode="External"/><Relationship Id="rId1231" Type="http://schemas.openxmlformats.org/officeDocument/2006/relationships/hyperlink" Target="https://tracxn.com/companies/tzkO54-o1cA2N7BT_94Iqji396ZYoW_m6-wTHbhTfVc/inifarms.com" TargetMode="External"/><Relationship Id="rId1676" Type="http://schemas.openxmlformats.org/officeDocument/2006/relationships/hyperlink" Target="http://www.revofarm.com/" TargetMode="External"/><Relationship Id="rId1883" Type="http://schemas.openxmlformats.org/officeDocument/2006/relationships/hyperlink" Target="http://facebook.com/sumaagro" TargetMode="External"/><Relationship Id="rId906" Type="http://schemas.openxmlformats.org/officeDocument/2006/relationships/hyperlink" Target="https://tracxn.com/companies/MlOot8f4dFGe5cE1jD-FDd-z84N4FghqGjLF_IxU-aE/brownapron.com" TargetMode="External"/><Relationship Id="rId1329" Type="http://schemas.openxmlformats.org/officeDocument/2006/relationships/hyperlink" Target="https://tracxn.com/companies/mXNo_XAZTWpjhIuqX1xJ4gnWeKFTXCX_Cbog48ewJ20/nfu99.com" TargetMode="External"/><Relationship Id="rId1536" Type="http://schemas.openxmlformats.org/officeDocument/2006/relationships/hyperlink" Target="https://tracxn.com/companies/pveVtl0odBAA4kpmkVhMQLGceBPhLw-khlhXxuj8b0s/saturas-ag.com" TargetMode="External"/><Relationship Id="rId1743" Type="http://schemas.openxmlformats.org/officeDocument/2006/relationships/hyperlink" Target="https://twitter.com/aaravsystems" TargetMode="External"/><Relationship Id="rId1950" Type="http://schemas.openxmlformats.org/officeDocument/2006/relationships/hyperlink" Target="http://twitter.com/suryapowermagic" TargetMode="External"/><Relationship Id="rId35" Type="http://schemas.openxmlformats.org/officeDocument/2006/relationships/hyperlink" Target="https://facebook.com/neerx-technovation-pvt-ltd-111296850261038" TargetMode="External"/><Relationship Id="rId1603" Type="http://schemas.openxmlformats.org/officeDocument/2006/relationships/hyperlink" Target="http://facebook.com/buscagrochile/" TargetMode="External"/><Relationship Id="rId1810" Type="http://schemas.openxmlformats.org/officeDocument/2006/relationships/hyperlink" Target="https://tracxn.com/companies/99kSGDQVIc-wMSG3ArfS-cPRXSxstEYd05xpBLrw5TM/ibreedit.com" TargetMode="External"/><Relationship Id="rId184" Type="http://schemas.openxmlformats.org/officeDocument/2006/relationships/hyperlink" Target="https://facebook.com/fjdynamics" TargetMode="External"/><Relationship Id="rId391" Type="http://schemas.openxmlformats.org/officeDocument/2006/relationships/hyperlink" Target="https://linkedin.com/company/gira---gest%C3%A3o-integrada-de-receb%C3%ADveis-do-agroneg%C3%B3cio" TargetMode="External"/><Relationship Id="rId1908" Type="http://schemas.openxmlformats.org/officeDocument/2006/relationships/hyperlink" Target="https://www.nilebot.com/" TargetMode="External"/><Relationship Id="rId2072" Type="http://schemas.openxmlformats.org/officeDocument/2006/relationships/hyperlink" Target="http://www.linkedin.com/vsearch/p?f_CC=1704972" TargetMode="External"/><Relationship Id="rId251" Type="http://schemas.openxmlformats.org/officeDocument/2006/relationships/hyperlink" Target="https://www.oko.finance/" TargetMode="External"/><Relationship Id="rId489" Type="http://schemas.openxmlformats.org/officeDocument/2006/relationships/hyperlink" Target="https://www.seedo.com/" TargetMode="External"/><Relationship Id="rId696" Type="http://schemas.openxmlformats.org/officeDocument/2006/relationships/hyperlink" Target="https://tracxn.com/companies/K1e_1hBahk03ge3csTJlhRa3G-xTrrOqhxfYiPuB9FQ/zzb518.com" TargetMode="External"/><Relationship Id="rId349" Type="http://schemas.openxmlformats.org/officeDocument/2006/relationships/hyperlink" Target="https://facebook.com/sensegrass" TargetMode="External"/><Relationship Id="rId556" Type="http://schemas.openxmlformats.org/officeDocument/2006/relationships/hyperlink" Target="http://www.gobasco.com/" TargetMode="External"/><Relationship Id="rId763" Type="http://schemas.openxmlformats.org/officeDocument/2006/relationships/hyperlink" Target="https://www.komaza.com/" TargetMode="External"/><Relationship Id="rId1186" Type="http://schemas.openxmlformats.org/officeDocument/2006/relationships/hyperlink" Target="https://twitter.com/fieldintech" TargetMode="External"/><Relationship Id="rId1393" Type="http://schemas.openxmlformats.org/officeDocument/2006/relationships/hyperlink" Target="https://ghalani.com/" TargetMode="External"/><Relationship Id="rId2237" Type="http://schemas.openxmlformats.org/officeDocument/2006/relationships/hyperlink" Target="http://linkedin.com/company/barrix-agro-sciences-pvt-ltd-" TargetMode="External"/><Relationship Id="rId111" Type="http://schemas.openxmlformats.org/officeDocument/2006/relationships/hyperlink" Target="https://tracxn.com/companies/JohTEOBXLd6Gcro87rJcIUJk0LaAGHf01BWOC5BTWDw/agrikaab.com" TargetMode="External"/><Relationship Id="rId209" Type="http://schemas.openxmlformats.org/officeDocument/2006/relationships/hyperlink" Target="http://www.mcfly.com.cn/" TargetMode="External"/><Relationship Id="rId416" Type="http://schemas.openxmlformats.org/officeDocument/2006/relationships/hyperlink" Target="https://facebook.com/famuneraonline" TargetMode="External"/><Relationship Id="rId970" Type="http://schemas.openxmlformats.org/officeDocument/2006/relationships/hyperlink" Target="http://facebook.com/mybighaat" TargetMode="External"/><Relationship Id="rId1046" Type="http://schemas.openxmlformats.org/officeDocument/2006/relationships/hyperlink" Target="http://twitter.com/cultivandof" TargetMode="External"/><Relationship Id="rId1253" Type="http://schemas.openxmlformats.org/officeDocument/2006/relationships/hyperlink" Target="http://linkedin.com/company/aggreen-tech-private-limited" TargetMode="External"/><Relationship Id="rId1698" Type="http://schemas.openxmlformats.org/officeDocument/2006/relationships/hyperlink" Target="http://twitter.com/crop_x" TargetMode="External"/><Relationship Id="rId623" Type="http://schemas.openxmlformats.org/officeDocument/2006/relationships/hyperlink" Target="https://tracxn.com/companies/oOZE8jKYfRKmRHEHKMpsW-MK6tsGT8XVRy1Tka9UcrA/farmersfz.com" TargetMode="External"/><Relationship Id="rId830" Type="http://schemas.openxmlformats.org/officeDocument/2006/relationships/hyperlink" Target="https://tracxn.com/companies/qBOCNBbOlUEitSR9Q1FT3n2CkWR9rsjMQGZp8VsYEVg/aquinovo.com" TargetMode="External"/><Relationship Id="rId928" Type="http://schemas.openxmlformats.org/officeDocument/2006/relationships/hyperlink" Target="http://www.linkedin.com/vsearch/p?f_CC=10091846" TargetMode="External"/><Relationship Id="rId1460" Type="http://schemas.openxmlformats.org/officeDocument/2006/relationships/hyperlink" Target="http://wobblebase.in/blog" TargetMode="External"/><Relationship Id="rId1558" Type="http://schemas.openxmlformats.org/officeDocument/2006/relationships/hyperlink" Target="http://www.yingzhongtou.com/" TargetMode="External"/><Relationship Id="rId1765" Type="http://schemas.openxmlformats.org/officeDocument/2006/relationships/hyperlink" Target="http://dachuwang.com/" TargetMode="External"/><Relationship Id="rId57" Type="http://schemas.openxmlformats.org/officeDocument/2006/relationships/hyperlink" Target="https://linkedin.com/company/atomic-mobi" TargetMode="External"/><Relationship Id="rId1113" Type="http://schemas.openxmlformats.org/officeDocument/2006/relationships/hyperlink" Target="http://www.linkedin.com/vsearch/p?f_CC=3603909" TargetMode="External"/><Relationship Id="rId1320" Type="http://schemas.openxmlformats.org/officeDocument/2006/relationships/hyperlink" Target="https://www.apolloagriculture.com/" TargetMode="External"/><Relationship Id="rId1418" Type="http://schemas.openxmlformats.org/officeDocument/2006/relationships/hyperlink" Target="https://tracxn.com/companies/cY5npBUswIBNmgpv1vBga447mAVwcqSuKlCilo8vHDk/danziger-innovations.com" TargetMode="External"/><Relationship Id="rId1972" Type="http://schemas.openxmlformats.org/officeDocument/2006/relationships/hyperlink" Target="https://tracxn.com/companies/xuf2C9R051VaWFyDh2zuSSUIrlaj-nHydn0hY2t9yfQ/ctrax.info" TargetMode="External"/><Relationship Id="rId1625" Type="http://schemas.openxmlformats.org/officeDocument/2006/relationships/hyperlink" Target="http://twitter.com/thefarmdogco" TargetMode="External"/><Relationship Id="rId1832" Type="http://schemas.openxmlformats.org/officeDocument/2006/relationships/hyperlink" Target="https://www.farmappweb.com/" TargetMode="External"/><Relationship Id="rId2094" Type="http://schemas.openxmlformats.org/officeDocument/2006/relationships/hyperlink" Target="http://linkedin.com/company/mfarm-ltd-k-" TargetMode="External"/><Relationship Id="rId273" Type="http://schemas.openxmlformats.org/officeDocument/2006/relationships/hyperlink" Target="https://tracxn.com/companies/3DWBMiIufdK4KMK9pytZ41RmOz-zFPCE9SqJrzb9bc4/allerguardsystems.com" TargetMode="External"/><Relationship Id="rId480" Type="http://schemas.openxmlformats.org/officeDocument/2006/relationships/hyperlink" Target="https://twitter.com/bioestibas" TargetMode="External"/><Relationship Id="rId2161" Type="http://schemas.openxmlformats.org/officeDocument/2006/relationships/hyperlink" Target="http://twitter.com/ecozensolutions" TargetMode="External"/><Relationship Id="rId133" Type="http://schemas.openxmlformats.org/officeDocument/2006/relationships/hyperlink" Target="https://twitter.com/mysmartfarms" TargetMode="External"/><Relationship Id="rId340" Type="http://schemas.openxmlformats.org/officeDocument/2006/relationships/hyperlink" Target="https://tracxn.com/companies/Rx84kqQaTy7ZTgVlQmiVFw3lD80A1SexUw3gwoUUtjY/agromeiq.com" TargetMode="External"/><Relationship Id="rId578" Type="http://schemas.openxmlformats.org/officeDocument/2006/relationships/hyperlink" Target="https://linkedin.com/company/krishihub/about" TargetMode="External"/><Relationship Id="rId785" Type="http://schemas.openxmlformats.org/officeDocument/2006/relationships/hyperlink" Target="http://linkedin.com/company/agreeta-solutions-private-limited" TargetMode="External"/><Relationship Id="rId992" Type="http://schemas.openxmlformats.org/officeDocument/2006/relationships/hyperlink" Target="https://tracxn.com/companies/UJVGXHiD8aC9J0lNTBs0rPxtD6v1xyxwIdTCrMN3jHI/prospera.ag" TargetMode="External"/><Relationship Id="rId2021" Type="http://schemas.openxmlformats.org/officeDocument/2006/relationships/hyperlink" Target="https://twitter.com/wrmsltd" TargetMode="External"/><Relationship Id="rId2259" Type="http://schemas.openxmlformats.org/officeDocument/2006/relationships/hyperlink" Target="http://nuziveeduseeds.com/blog" TargetMode="External"/><Relationship Id="rId200" Type="http://schemas.openxmlformats.org/officeDocument/2006/relationships/hyperlink" Target="https://linkedin.com/company/farmpal-techlogi" TargetMode="External"/><Relationship Id="rId438" Type="http://schemas.openxmlformats.org/officeDocument/2006/relationships/hyperlink" Target="http://linkedin.com/company/clarifruit" TargetMode="External"/><Relationship Id="rId645" Type="http://schemas.openxmlformats.org/officeDocument/2006/relationships/hyperlink" Target="http://facebook.com/impactterra/" TargetMode="External"/><Relationship Id="rId852" Type="http://schemas.openxmlformats.org/officeDocument/2006/relationships/hyperlink" Target="https://facebook.com/taranisvisual" TargetMode="External"/><Relationship Id="rId1068" Type="http://schemas.openxmlformats.org/officeDocument/2006/relationships/hyperlink" Target="https://tracxn.com/companies/o1xAEZBBfJnSUSkIKEavtcw-X8X2WUwIyEQT1XP0in8/agrostar.in" TargetMode="External"/><Relationship Id="rId1275" Type="http://schemas.openxmlformats.org/officeDocument/2006/relationships/hyperlink" Target="https://tracxn.com/companies/xsjXzL4QQ2udvfKpnaaalabM04h72KWUKO7QmDxO-ck/poptani.asia" TargetMode="External"/><Relationship Id="rId1482" Type="http://schemas.openxmlformats.org/officeDocument/2006/relationships/hyperlink" Target="https://twitter.com/wuabiargentina" TargetMode="External"/><Relationship Id="rId2119" Type="http://schemas.openxmlformats.org/officeDocument/2006/relationships/hyperlink" Target="http://twitter.com/imevebiotec" TargetMode="External"/><Relationship Id="rId505" Type="http://schemas.openxmlformats.org/officeDocument/2006/relationships/hyperlink" Target="http://www.easykrishi.com/" TargetMode="External"/><Relationship Id="rId712" Type="http://schemas.openxmlformats.org/officeDocument/2006/relationships/hyperlink" Target="https://twitter.com/farmersprideke" TargetMode="External"/><Relationship Id="rId1135" Type="http://schemas.openxmlformats.org/officeDocument/2006/relationships/hyperlink" Target="http://sunculture.com/page/2?afdt=zu0vi8gvzickewiu25nlwiycahuo5cckhbs5t0sqahgdiaa&amp;search" TargetMode="External"/><Relationship Id="rId1342" Type="http://schemas.openxmlformats.org/officeDocument/2006/relationships/hyperlink" Target="http://twitter.com/farmfreshgreens" TargetMode="External"/><Relationship Id="rId1787" Type="http://schemas.openxmlformats.org/officeDocument/2006/relationships/hyperlink" Target="http://ninjacart.in/blog" TargetMode="External"/><Relationship Id="rId1994" Type="http://schemas.openxmlformats.org/officeDocument/2006/relationships/hyperlink" Target="http://twitter.com/lessiot" TargetMode="External"/><Relationship Id="rId79" Type="http://schemas.openxmlformats.org/officeDocument/2006/relationships/hyperlink" Target="https://tracxn.com/companies/Fj6H9Kul-JOD9tkL2X41FnnkaUpA00I0PeCbhWCwvcw/brainwired.in" TargetMode="External"/><Relationship Id="rId1202" Type="http://schemas.openxmlformats.org/officeDocument/2006/relationships/hyperlink" Target="https://tracxn.com/companies/ar9KF4yo9CGLsX3hbdV8cEnSMXJ6Y8_aYS2Q4fg1Gzo/agriness.com" TargetMode="External"/><Relationship Id="rId1647" Type="http://schemas.openxmlformats.org/officeDocument/2006/relationships/hyperlink" Target="https://linkedin.com/company/licious---a-great-meal-begins-here" TargetMode="External"/><Relationship Id="rId1854" Type="http://schemas.openxmlformats.org/officeDocument/2006/relationships/hyperlink" Target="https://www.ymt.com/" TargetMode="External"/><Relationship Id="rId1507" Type="http://schemas.openxmlformats.org/officeDocument/2006/relationships/hyperlink" Target="https://tracxn.com/companies/qBOCNBbOlUEitSR9Q1FT3n2CkWR9rsjMQGZp8VsYEVg/aquinovo.com" TargetMode="External"/><Relationship Id="rId1714" Type="http://schemas.openxmlformats.org/officeDocument/2006/relationships/hyperlink" Target="http://linkedin.com/company/em3-agriservices-pvt.-ltd." TargetMode="External"/><Relationship Id="rId295" Type="http://schemas.openxmlformats.org/officeDocument/2006/relationships/hyperlink" Target="https://tracxn.com/companies/08JKg6djfFNjIA1RUHEgeKk1T8fR-4lV_RGgmLge6KE/viridix.com" TargetMode="External"/><Relationship Id="rId1921" Type="http://schemas.openxmlformats.org/officeDocument/2006/relationships/hyperlink" Target="https://twitter.com/promip" TargetMode="External"/><Relationship Id="rId2183" Type="http://schemas.openxmlformats.org/officeDocument/2006/relationships/hyperlink" Target="https://tracxn.com/companies/zzzfDk6oUYvhG8PUqYBHNhcqAE4olNZtZiuKbS7JeNA/camsonbiotechnologies.com" TargetMode="External"/><Relationship Id="rId155" Type="http://schemas.openxmlformats.org/officeDocument/2006/relationships/hyperlink" Target="https://tracxn.com/companies/_XDXxxFzc42mXmXJzzYFfPPzoXutzgAIKSNZv8ZfaGM/beehero.io" TargetMode="External"/><Relationship Id="rId362" Type="http://schemas.openxmlformats.org/officeDocument/2006/relationships/hyperlink" Target="http://facebook.com/atnicco" TargetMode="External"/><Relationship Id="rId1297" Type="http://schemas.openxmlformats.org/officeDocument/2006/relationships/hyperlink" Target="http://facebook.com/swasti-agro-bioproducts-pvt-ltd-194326977327632" TargetMode="External"/><Relationship Id="rId2043" Type="http://schemas.openxmlformats.org/officeDocument/2006/relationships/hyperlink" Target="http://facebook.com/tech4farmers" TargetMode="External"/><Relationship Id="rId2250" Type="http://schemas.openxmlformats.org/officeDocument/2006/relationships/hyperlink" Target="http://linkedin.com/company/frontalrain-technologies-pvt-ltd" TargetMode="External"/><Relationship Id="rId222" Type="http://schemas.openxmlformats.org/officeDocument/2006/relationships/hyperlink" Target="https://facebook.com/oaesislsc/info" TargetMode="External"/><Relationship Id="rId667" Type="http://schemas.openxmlformats.org/officeDocument/2006/relationships/hyperlink" Target="http://linkedin.com/company/13211879" TargetMode="External"/><Relationship Id="rId874" Type="http://schemas.openxmlformats.org/officeDocument/2006/relationships/hyperlink" Target="http://linkedin.com/company/13267115" TargetMode="External"/><Relationship Id="rId2110" Type="http://schemas.openxmlformats.org/officeDocument/2006/relationships/hyperlink" Target="https://tracxn.com/companies/HaDSQtDS3vcZNjUxP7MoVfSFpz8WRcjrx38w9AcUnvE/jumbotail.com" TargetMode="External"/><Relationship Id="rId527" Type="http://schemas.openxmlformats.org/officeDocument/2006/relationships/hyperlink" Target="https://greenfingersmobile.com/" TargetMode="External"/><Relationship Id="rId734" Type="http://schemas.openxmlformats.org/officeDocument/2006/relationships/hyperlink" Target="http://www.linkedin.com/vsearch/p?f_CC=10010653" TargetMode="External"/><Relationship Id="rId941" Type="http://schemas.openxmlformats.org/officeDocument/2006/relationships/hyperlink" Target="http://linkedin.com/company/leaf---the-smart-grow-system" TargetMode="External"/><Relationship Id="rId1157" Type="http://schemas.openxmlformats.org/officeDocument/2006/relationships/hyperlink" Target="http://linkedin.com/company/proximity-designs" TargetMode="External"/><Relationship Id="rId1364" Type="http://schemas.openxmlformats.org/officeDocument/2006/relationships/hyperlink" Target="http://www.zzb518.com/" TargetMode="External"/><Relationship Id="rId1571" Type="http://schemas.openxmlformats.org/officeDocument/2006/relationships/hyperlink" Target="http://twitter.com/limakilo_id" TargetMode="External"/><Relationship Id="rId2208" Type="http://schemas.openxmlformats.org/officeDocument/2006/relationships/hyperlink" Target="http://facebook.com/8villages" TargetMode="External"/><Relationship Id="rId70" Type="http://schemas.openxmlformats.org/officeDocument/2006/relationships/hyperlink" Target="https://tracxn.com/companies/dZ3Hzgox5sX_UKTtgB-NOGfTI6KvH2QZtajabkIDm88/eggxiaoer.com" TargetMode="External"/><Relationship Id="rId801" Type="http://schemas.openxmlformats.org/officeDocument/2006/relationships/hyperlink" Target="https://twitter.com/agrocenta" TargetMode="External"/><Relationship Id="rId1017" Type="http://schemas.openxmlformats.org/officeDocument/2006/relationships/hyperlink" Target="https://facebook.com/ninjacart" TargetMode="External"/><Relationship Id="rId1224" Type="http://schemas.openxmlformats.org/officeDocument/2006/relationships/hyperlink" Target="https://facebook.com/stellapps" TargetMode="External"/><Relationship Id="rId1431" Type="http://schemas.openxmlformats.org/officeDocument/2006/relationships/hyperlink" Target="https://twitter.com/trotrotractor" TargetMode="External"/><Relationship Id="rId1669" Type="http://schemas.openxmlformats.org/officeDocument/2006/relationships/hyperlink" Target="http://linkedin.com/company/leaf---the-smart-grow-system" TargetMode="External"/><Relationship Id="rId1876" Type="http://schemas.openxmlformats.org/officeDocument/2006/relationships/hyperlink" Target="http://www.linkedin.com/vsearch/p?f_CC=5057303" TargetMode="External"/><Relationship Id="rId1529" Type="http://schemas.openxmlformats.org/officeDocument/2006/relationships/hyperlink" Target="https://www.pimiagro.com/" TargetMode="External"/><Relationship Id="rId1736" Type="http://schemas.openxmlformats.org/officeDocument/2006/relationships/hyperlink" Target="http://www.linkedin.com/vsearch/p?f_CC=9233459" TargetMode="External"/><Relationship Id="rId1943" Type="http://schemas.openxmlformats.org/officeDocument/2006/relationships/hyperlink" Target="https://www.gramophone.in/" TargetMode="External"/><Relationship Id="rId28" Type="http://schemas.openxmlformats.org/officeDocument/2006/relationships/hyperlink" Target="https://shop.clover.ag/" TargetMode="External"/><Relationship Id="rId1803" Type="http://schemas.openxmlformats.org/officeDocument/2006/relationships/hyperlink" Target="http://www.ulinkorganics.com/" TargetMode="External"/><Relationship Id="rId177" Type="http://schemas.openxmlformats.org/officeDocument/2006/relationships/hyperlink" Target="http://twitter.com/dagrowave" TargetMode="External"/><Relationship Id="rId384" Type="http://schemas.openxmlformats.org/officeDocument/2006/relationships/hyperlink" Target="https://facebook.com/ifarmerasia" TargetMode="External"/><Relationship Id="rId591" Type="http://schemas.openxmlformats.org/officeDocument/2006/relationships/hyperlink" Target="http://twitter.com/freshokartz" TargetMode="External"/><Relationship Id="rId2065" Type="http://schemas.openxmlformats.org/officeDocument/2006/relationships/hyperlink" Target="https://tracxn.com/companies/dC7Qb6ug3y0VHdl2e81LZIznmy2zikNNOGzrqWGTQcE/phenome-networks.com" TargetMode="External"/><Relationship Id="rId2272" Type="http://schemas.openxmlformats.org/officeDocument/2006/relationships/hyperlink" Target="https://tracxn.com/companies/dyh962nJBPTiZ7bIJrMV9lWlIIrbUUP7PggHUv39jXM/seedcogroup.com" TargetMode="External"/><Relationship Id="rId244" Type="http://schemas.openxmlformats.org/officeDocument/2006/relationships/hyperlink" Target="http://agro2o.com/blog" TargetMode="External"/><Relationship Id="rId689" Type="http://schemas.openxmlformats.org/officeDocument/2006/relationships/hyperlink" Target="https://www.crowde.co/" TargetMode="External"/><Relationship Id="rId896" Type="http://schemas.openxmlformats.org/officeDocument/2006/relationships/hyperlink" Target="https://tracxn.com/companies/o9Zw-9VPjlw_D5IMzhOw0uCNiEU5y0-61Wt6JL-AhaY/farmdog.ag" TargetMode="External"/><Relationship Id="rId1081" Type="http://schemas.openxmlformats.org/officeDocument/2006/relationships/hyperlink" Target="https://tracxn.com/companies/v9fO_QnN-CMQOSbq5E33hMVVJbatRo9Y7v_A0mn7YKU/abuerdan.com" TargetMode="External"/><Relationship Id="rId451" Type="http://schemas.openxmlformats.org/officeDocument/2006/relationships/hyperlink" Target="https://www.ricult.com/" TargetMode="External"/><Relationship Id="rId549" Type="http://schemas.openxmlformats.org/officeDocument/2006/relationships/hyperlink" Target="https://tracxn.com/companies/Q4GXM2n9km5rbwvx2jc1EdSajlNi56NZAtgoMhCo_CM/agnext.com" TargetMode="External"/><Relationship Id="rId756" Type="http://schemas.openxmlformats.org/officeDocument/2006/relationships/hyperlink" Target="https://tracxn.com/companies/yrjBSOcm4X6DY4xcZBLNyHSlcDvT2YqIgnPpCj-TRgQ/crofarm.com" TargetMode="External"/><Relationship Id="rId1179" Type="http://schemas.openxmlformats.org/officeDocument/2006/relationships/hyperlink" Target="http://www.linkedin.com/vsearch/p?f_CC=813400" TargetMode="External"/><Relationship Id="rId1386" Type="http://schemas.openxmlformats.org/officeDocument/2006/relationships/hyperlink" Target="http://blog.supplybunny.com/" TargetMode="External"/><Relationship Id="rId1593" Type="http://schemas.openxmlformats.org/officeDocument/2006/relationships/hyperlink" Target="http://bicaijia.com/" TargetMode="External"/><Relationship Id="rId2132" Type="http://schemas.openxmlformats.org/officeDocument/2006/relationships/hyperlink" Target="http://linkedin.com/company/futuragene-ltd." TargetMode="External"/><Relationship Id="rId104" Type="http://schemas.openxmlformats.org/officeDocument/2006/relationships/hyperlink" Target="https://tracxn.com/companies/SgZccVGN8gTQUze7bOGIbaWleJlofwl57vBve6wfh_4/absolutefoods.in" TargetMode="External"/><Relationship Id="rId311" Type="http://schemas.openxmlformats.org/officeDocument/2006/relationships/hyperlink" Target="http://www.ynxbst.com/" TargetMode="External"/><Relationship Id="rId409" Type="http://schemas.openxmlformats.org/officeDocument/2006/relationships/hyperlink" Target="https://www.bayseddo.com/" TargetMode="External"/><Relationship Id="rId963" Type="http://schemas.openxmlformats.org/officeDocument/2006/relationships/hyperlink" Target="https://tracxn.com/companies/D7zICunVPceZWdzDRxGbTF50ZQifn4c0XpaRNhWwHxc/cropx.com" TargetMode="External"/><Relationship Id="rId1039" Type="http://schemas.openxmlformats.org/officeDocument/2006/relationships/hyperlink" Target="http://linkedin.com/company/farmdrive" TargetMode="External"/><Relationship Id="rId1246" Type="http://schemas.openxmlformats.org/officeDocument/2006/relationships/hyperlink" Target="http://twitter.com/twigafoods" TargetMode="External"/><Relationship Id="rId1898" Type="http://schemas.openxmlformats.org/officeDocument/2006/relationships/hyperlink" Target="http://www.linkedin.com/vsearch/p?f_CC=5121264" TargetMode="External"/><Relationship Id="rId92" Type="http://schemas.openxmlformats.org/officeDocument/2006/relationships/hyperlink" Target="https://tracxn.com/companies/C9JIq-BuIObJ1wZb-BjU8TZS6q2dgXD4wP-qUbc7mkQ/gourmetgarden.in" TargetMode="External"/><Relationship Id="rId616" Type="http://schemas.openxmlformats.org/officeDocument/2006/relationships/hyperlink" Target="http://twitter.com/sat_sure" TargetMode="External"/><Relationship Id="rId823" Type="http://schemas.openxmlformats.org/officeDocument/2006/relationships/hyperlink" Target="https://twitter.com/farmguideindia" TargetMode="External"/><Relationship Id="rId1453" Type="http://schemas.openxmlformats.org/officeDocument/2006/relationships/hyperlink" Target="https://tracxn.com/companies/-sDNqCO7TkVCzW8kZSNjHjr3yqqVbLtq7SuGj1fuDBo/jinxiushengxian.com" TargetMode="External"/><Relationship Id="rId1660" Type="http://schemas.openxmlformats.org/officeDocument/2006/relationships/hyperlink" Target="http://twitter.com/mosavali" TargetMode="External"/><Relationship Id="rId1758" Type="http://schemas.openxmlformats.org/officeDocument/2006/relationships/hyperlink" Target="https://tracxn.com/companies/XrQIX5JDEY8kKQGKKn031mp0uvLb4JzisgG2dmdiM-c/anxindeli.com" TargetMode="External"/><Relationship Id="rId1106" Type="http://schemas.openxmlformats.org/officeDocument/2006/relationships/hyperlink" Target="https://linkedin.com/company/energaia-spirulina/about" TargetMode="External"/><Relationship Id="rId1313" Type="http://schemas.openxmlformats.org/officeDocument/2006/relationships/hyperlink" Target="https://tracxn.com/companies/Q4GXM2n9km5rbwvx2jc1EdSajlNi56NZAtgoMhCo_CM/agnext.com" TargetMode="External"/><Relationship Id="rId1520" Type="http://schemas.openxmlformats.org/officeDocument/2006/relationships/hyperlink" Target="https://tracxn.com/companies/fIGjjbGra0HcFYkfc7s6iNgZUR1ILFdgJhhkRwaZr6Q/ukulimatech.co.ke" TargetMode="External"/><Relationship Id="rId1965" Type="http://schemas.openxmlformats.org/officeDocument/2006/relationships/hyperlink" Target="http://facebook.com/visualnacert" TargetMode="External"/><Relationship Id="rId1618" Type="http://schemas.openxmlformats.org/officeDocument/2006/relationships/hyperlink" Target="https://tracxn.com/companies/2Gprw9Coc_wmQoNakDIZdPnumqZyWJAq44d9nhLV55I/cropital.com" TargetMode="External"/><Relationship Id="rId1825" Type="http://schemas.openxmlformats.org/officeDocument/2006/relationships/hyperlink" Target="https://tracxn.com/companies/VizJkjihG4Fdsqeay9sKeOpkf5xeBbVX9TzBeIGd_cE/ergos.in" TargetMode="External"/><Relationship Id="rId199" Type="http://schemas.openxmlformats.org/officeDocument/2006/relationships/hyperlink" Target="https://www.farmpal.co.in/" TargetMode="External"/><Relationship Id="rId2087" Type="http://schemas.openxmlformats.org/officeDocument/2006/relationships/hyperlink" Target="http://linkedin.com/company/myagro" TargetMode="External"/><Relationship Id="rId266" Type="http://schemas.openxmlformats.org/officeDocument/2006/relationships/hyperlink" Target="https://tracxn.com/companies/utVAG5mk0bYGPILUAj2mO9_yFrVwboJZ7a1cBUsx-mg/aggois.com" TargetMode="External"/><Relationship Id="rId473" Type="http://schemas.openxmlformats.org/officeDocument/2006/relationships/hyperlink" Target="http://linkedin.com/company/cultyvate" TargetMode="External"/><Relationship Id="rId680" Type="http://schemas.openxmlformats.org/officeDocument/2006/relationships/hyperlink" Target="https://www.fruitspec.com/" TargetMode="External"/><Relationship Id="rId2154" Type="http://schemas.openxmlformats.org/officeDocument/2006/relationships/hyperlink" Target="https://twitter.com/enaltabrasil" TargetMode="External"/><Relationship Id="rId126" Type="http://schemas.openxmlformats.org/officeDocument/2006/relationships/hyperlink" Target="http://simbioticalabs.com/blog" TargetMode="External"/><Relationship Id="rId333" Type="http://schemas.openxmlformats.org/officeDocument/2006/relationships/hyperlink" Target="https://tracxn.com/companies/7D9cLE-nhrz1EXywJuwNCs_qtg1rk7BdPWJeKIIB1DI/credible-india.com" TargetMode="External"/><Relationship Id="rId540" Type="http://schemas.openxmlformats.org/officeDocument/2006/relationships/hyperlink" Target="http://www.chinabric.com/" TargetMode="External"/><Relationship Id="rId778" Type="http://schemas.openxmlformats.org/officeDocument/2006/relationships/hyperlink" Target="https://farmfolio.net/" TargetMode="External"/><Relationship Id="rId985" Type="http://schemas.openxmlformats.org/officeDocument/2006/relationships/hyperlink" Target="http://linkedin.com/company/entobel" TargetMode="External"/><Relationship Id="rId1170" Type="http://schemas.openxmlformats.org/officeDocument/2006/relationships/hyperlink" Target="http://facebook.com/nurserylive" TargetMode="External"/><Relationship Id="rId2014" Type="http://schemas.openxmlformats.org/officeDocument/2006/relationships/hyperlink" Target="http://twitter.com/agronometrics" TargetMode="External"/><Relationship Id="rId2221" Type="http://schemas.openxmlformats.org/officeDocument/2006/relationships/hyperlink" Target="http://facebook.com/greeniq.systems" TargetMode="External"/><Relationship Id="rId638" Type="http://schemas.openxmlformats.org/officeDocument/2006/relationships/hyperlink" Target="https://linkedin.com/company/intello-labs-pvt-ltd" TargetMode="External"/><Relationship Id="rId845" Type="http://schemas.openxmlformats.org/officeDocument/2006/relationships/hyperlink" Target="http://www.dechetsalor.com/" TargetMode="External"/><Relationship Id="rId1030" Type="http://schemas.openxmlformats.org/officeDocument/2006/relationships/hyperlink" Target="http://facebook.com/ergos.in" TargetMode="External"/><Relationship Id="rId1268" Type="http://schemas.openxmlformats.org/officeDocument/2006/relationships/hyperlink" Target="https://twitter.com/farmsterapp" TargetMode="External"/><Relationship Id="rId1475" Type="http://schemas.openxmlformats.org/officeDocument/2006/relationships/hyperlink" Target="https://aruna.id/" TargetMode="External"/><Relationship Id="rId1682" Type="http://schemas.openxmlformats.org/officeDocument/2006/relationships/hyperlink" Target="http://www.agribots.com/" TargetMode="External"/><Relationship Id="rId400" Type="http://schemas.openxmlformats.org/officeDocument/2006/relationships/hyperlink" Target="https://tracxn.com/companies/5qBRq7Di56WWyRdU_jwPYoXirzP3QmAsN2i0LggJMxo/intergado.com.br" TargetMode="External"/><Relationship Id="rId705" Type="http://schemas.openxmlformats.org/officeDocument/2006/relationships/hyperlink" Target="http://www.yoonop.com/" TargetMode="External"/><Relationship Id="rId1128" Type="http://schemas.openxmlformats.org/officeDocument/2006/relationships/hyperlink" Target="https://linkedin.com/company/rizobacter-argentina" TargetMode="External"/><Relationship Id="rId1335" Type="http://schemas.openxmlformats.org/officeDocument/2006/relationships/hyperlink" Target="http://www.kulishafeed.com/" TargetMode="External"/><Relationship Id="rId1542" Type="http://schemas.openxmlformats.org/officeDocument/2006/relationships/hyperlink" Target="https://taranis.ag/" TargetMode="External"/><Relationship Id="rId1987" Type="http://schemas.openxmlformats.org/officeDocument/2006/relationships/hyperlink" Target="http://linkedin.com/company/mvs-efarm-pvt-ltd-" TargetMode="External"/><Relationship Id="rId912" Type="http://schemas.openxmlformats.org/officeDocument/2006/relationships/hyperlink" Target="https://tracxn.com/companies/C9Z6XZRsvnf6lLhuCIRle5KqFodIXYhY62QfQgWhxSU/instacrops.com" TargetMode="External"/><Relationship Id="rId1847" Type="http://schemas.openxmlformats.org/officeDocument/2006/relationships/hyperlink" Target="http://www.linkedin.com/vsearch/p?f_CC=4802625" TargetMode="External"/><Relationship Id="rId41" Type="http://schemas.openxmlformats.org/officeDocument/2006/relationships/hyperlink" Target="https://tracxn.com/companies/fZOtY1PLNM0Gbn_p3bsEdctBHh-wngKntp7tPEaU4_E/aquaconnect.blue" TargetMode="External"/><Relationship Id="rId1402" Type="http://schemas.openxmlformats.org/officeDocument/2006/relationships/hyperlink" Target="https://tracxn.com/companies/ljD2_vlr72Jw-cIR2TJ64exDKeQTby1iCaqVizKa8dw/aibono.com" TargetMode="External"/><Relationship Id="rId1707" Type="http://schemas.openxmlformats.org/officeDocument/2006/relationships/hyperlink" Target="https://tracxn.com/companies/Sp9QanggGlOce_dzkfe_ig1DAIOc_5lu-L63DciASFI/babbangona.com" TargetMode="External"/><Relationship Id="rId190" Type="http://schemas.openxmlformats.org/officeDocument/2006/relationships/hyperlink" Target="https://twitter.com/freshvnf" TargetMode="External"/><Relationship Id="rId288" Type="http://schemas.openxmlformats.org/officeDocument/2006/relationships/hyperlink" Target="http://blog.annona.co/" TargetMode="External"/><Relationship Id="rId1914" Type="http://schemas.openxmlformats.org/officeDocument/2006/relationships/hyperlink" Target="http://linkedin.com/company/modisar-net-pty-ltd" TargetMode="External"/><Relationship Id="rId495" Type="http://schemas.openxmlformats.org/officeDocument/2006/relationships/hyperlink" Target="https://twitter.com/khethinext" TargetMode="External"/><Relationship Id="rId2176" Type="http://schemas.openxmlformats.org/officeDocument/2006/relationships/hyperlink" Target="http://linkedin.com/company/chip-inside" TargetMode="External"/><Relationship Id="rId148" Type="http://schemas.openxmlformats.org/officeDocument/2006/relationships/hyperlink" Target="http://linkedin.com/company/twiga-foods" TargetMode="External"/><Relationship Id="rId355" Type="http://schemas.openxmlformats.org/officeDocument/2006/relationships/hyperlink" Target="https://tracxn.com/companies/-8eP4WZzCb4XLEXi2xw4oKfBgeb64jLomWiy8s1W_V4/tradebuza.com" TargetMode="External"/><Relationship Id="rId562" Type="http://schemas.openxmlformats.org/officeDocument/2006/relationships/hyperlink" Target="https://linkedin.com/company/siembro" TargetMode="External"/><Relationship Id="rId1192" Type="http://schemas.openxmlformats.org/officeDocument/2006/relationships/hyperlink" Target="http://linkedin.com/company/ecozen-solutions" TargetMode="External"/><Relationship Id="rId2036" Type="http://schemas.openxmlformats.org/officeDocument/2006/relationships/hyperlink" Target="http://www.tonysfarm.com/" TargetMode="External"/><Relationship Id="rId2243" Type="http://schemas.openxmlformats.org/officeDocument/2006/relationships/hyperlink" Target="https://linkedin.com/company/stellapps-technologies-private-limited/about" TargetMode="External"/><Relationship Id="rId215" Type="http://schemas.openxmlformats.org/officeDocument/2006/relationships/hyperlink" Target="https://www.seetree.ai/" TargetMode="External"/><Relationship Id="rId422" Type="http://schemas.openxmlformats.org/officeDocument/2006/relationships/hyperlink" Target="https://tracxn.com/companies/UCP8xSeRuqNMVvTiaorRLsGt22rPUQ37a7m1KM1t8ws/zhimadi.cn" TargetMode="External"/><Relationship Id="rId867" Type="http://schemas.openxmlformats.org/officeDocument/2006/relationships/hyperlink" Target="https://www.tierrademonte.com/" TargetMode="External"/><Relationship Id="rId1052" Type="http://schemas.openxmlformats.org/officeDocument/2006/relationships/hyperlink" Target="http://twitter.com/agrosmartbr" TargetMode="External"/><Relationship Id="rId1497" Type="http://schemas.openxmlformats.org/officeDocument/2006/relationships/hyperlink" Target="https://twitter.com/farmguideindia" TargetMode="External"/><Relationship Id="rId2103" Type="http://schemas.openxmlformats.org/officeDocument/2006/relationships/hyperlink" Target="https://www.kaiima.com/" TargetMode="External"/><Relationship Id="rId727" Type="http://schemas.openxmlformats.org/officeDocument/2006/relationships/hyperlink" Target="http://facebook.com/aibonoworld" TargetMode="External"/><Relationship Id="rId934" Type="http://schemas.openxmlformats.org/officeDocument/2006/relationships/hyperlink" Target="http://www.linkedin.com/vsearch/p?f_CC=10079604" TargetMode="External"/><Relationship Id="rId1357" Type="http://schemas.openxmlformats.org/officeDocument/2006/relationships/hyperlink" Target="http://liuxuxing.com/" TargetMode="External"/><Relationship Id="rId1564" Type="http://schemas.openxmlformats.org/officeDocument/2006/relationships/hyperlink" Target="http://www.fsx123.com/" TargetMode="External"/><Relationship Id="rId1771" Type="http://schemas.openxmlformats.org/officeDocument/2006/relationships/hyperlink" Target="http://facebook.com/siembraviva" TargetMode="External"/><Relationship Id="rId63" Type="http://schemas.openxmlformats.org/officeDocument/2006/relationships/hyperlink" Target="https://tracxn.com/companies/YyV2tIZLgeg5K1snt7sK_Xh7BXwdOxRlC7xW97jJd-4/bijak.in" TargetMode="External"/><Relationship Id="rId1217" Type="http://schemas.openxmlformats.org/officeDocument/2006/relationships/hyperlink" Target="http://twitter.com/barrixagrosci" TargetMode="External"/><Relationship Id="rId1424" Type="http://schemas.openxmlformats.org/officeDocument/2006/relationships/hyperlink" Target="https://linkedin.com/company/crofarm/about" TargetMode="External"/><Relationship Id="rId1631" Type="http://schemas.openxmlformats.org/officeDocument/2006/relationships/hyperlink" Target="http://twitter.com/s4agtech" TargetMode="External"/><Relationship Id="rId1869" Type="http://schemas.openxmlformats.org/officeDocument/2006/relationships/hyperlink" Target="https://tracxn.com/companies/o1xAEZBBfJnSUSkIKEavtcw-X8X2WUwIyEQT1XP0in8/agrostar.in" TargetMode="External"/><Relationship Id="rId1729" Type="http://schemas.openxmlformats.org/officeDocument/2006/relationships/hyperlink" Target="https://tracxn.com/companies/UJVGXHiD8aC9J0lNTBs0rPxtD6v1xyxwIdTCrMN3jHI/prospera.ag" TargetMode="External"/><Relationship Id="rId1936" Type="http://schemas.openxmlformats.org/officeDocument/2006/relationships/hyperlink" Target="https://www.eden-shield.com/cgi-sys/suspendedpage.cgi" TargetMode="External"/><Relationship Id="rId2198" Type="http://schemas.openxmlformats.org/officeDocument/2006/relationships/hyperlink" Target="http://facebook.com/afimilk" TargetMode="External"/><Relationship Id="rId377" Type="http://schemas.openxmlformats.org/officeDocument/2006/relationships/hyperlink" Target="http://linkedin.com/company/khulaagriculturetechnology" TargetMode="External"/><Relationship Id="rId584" Type="http://schemas.openxmlformats.org/officeDocument/2006/relationships/hyperlink" Target="http://facebook.com/thrive-agric-577822042409238" TargetMode="External"/><Relationship Id="rId2058" Type="http://schemas.openxmlformats.org/officeDocument/2006/relationships/hyperlink" Target="https://www.phytech.com/" TargetMode="External"/><Relationship Id="rId2265" Type="http://schemas.openxmlformats.org/officeDocument/2006/relationships/hyperlink" Target="https://tracxn.com/companies/tzkO54-o1cA2N7BT_94Iqji396ZYoW_m6-wTHbhTfVc/inifarms.com" TargetMode="External"/><Relationship Id="rId5" Type="http://schemas.openxmlformats.org/officeDocument/2006/relationships/hyperlink" Target="https://twitter.com/agrixindia" TargetMode="External"/><Relationship Id="rId237" Type="http://schemas.openxmlformats.org/officeDocument/2006/relationships/hyperlink" Target="https://cricketone.asia/" TargetMode="External"/><Relationship Id="rId791" Type="http://schemas.openxmlformats.org/officeDocument/2006/relationships/hyperlink" Target="https://www.linkedin.com/company/rootility" TargetMode="External"/><Relationship Id="rId889" Type="http://schemas.openxmlformats.org/officeDocument/2006/relationships/hyperlink" Target="https://tracxn.com/companies/TBUDky27nkOp1l4PG6epXNCh19CZppc4ZnJA7uZ3UKk/mercarancho.com" TargetMode="External"/><Relationship Id="rId1074" Type="http://schemas.openxmlformats.org/officeDocument/2006/relationships/hyperlink" Target="https://www.nilebot.com/" TargetMode="External"/><Relationship Id="rId444" Type="http://schemas.openxmlformats.org/officeDocument/2006/relationships/hyperlink" Target="https://tracxn.com/companies/gUtJUzNkGgVD98gWY5r3gwKNH9mBGazPuYO-CLWbuZs/theearthfood.com" TargetMode="External"/><Relationship Id="rId651" Type="http://schemas.openxmlformats.org/officeDocument/2006/relationships/hyperlink" Target="https://linkedin.com/company/lentera-limited/about" TargetMode="External"/><Relationship Id="rId749" Type="http://schemas.openxmlformats.org/officeDocument/2006/relationships/hyperlink" Target="http://www.amvicube.com/" TargetMode="External"/><Relationship Id="rId1281" Type="http://schemas.openxmlformats.org/officeDocument/2006/relationships/hyperlink" Target="https://tracxn.com/companies/2DxHZRoHqeDalPgotIFeR96925kLN_gixoibltlP6iQ/activaq.cl" TargetMode="External"/><Relationship Id="rId1379" Type="http://schemas.openxmlformats.org/officeDocument/2006/relationships/hyperlink" Target="https://tracxn.com/companies/7OXVBl_wtGFaAd19lT_xm5o5Sbt4ZnC032FyYT-H1w4/agrimanu.com" TargetMode="External"/><Relationship Id="rId1586" Type="http://schemas.openxmlformats.org/officeDocument/2006/relationships/hyperlink" Target="http://www.eragano.com/index.php/login/index" TargetMode="External"/><Relationship Id="rId2125" Type="http://schemas.openxmlformats.org/officeDocument/2006/relationships/hyperlink" Target="http://www.linkedin.com/vsearch/p?f_CC=2431148" TargetMode="External"/><Relationship Id="rId304" Type="http://schemas.openxmlformats.org/officeDocument/2006/relationships/hyperlink" Target="https://twitter.com/digifarmz" TargetMode="External"/><Relationship Id="rId511" Type="http://schemas.openxmlformats.org/officeDocument/2006/relationships/hyperlink" Target="https://facebook.com/kehuiseed" TargetMode="External"/><Relationship Id="rId609" Type="http://schemas.openxmlformats.org/officeDocument/2006/relationships/hyperlink" Target="https://tracxn.com/companies/05w8BOuTYaBLh9gGZ-teO9DbkgGM_3fbiYsWa-FYGGc/leanagri.com" TargetMode="External"/><Relationship Id="rId956" Type="http://schemas.openxmlformats.org/officeDocument/2006/relationships/hyperlink" Target="https://linkedin.com/company/tartansense" TargetMode="External"/><Relationship Id="rId1141" Type="http://schemas.openxmlformats.org/officeDocument/2006/relationships/hyperlink" Target="http://facebook.com/wrlpage" TargetMode="External"/><Relationship Id="rId1239" Type="http://schemas.openxmlformats.org/officeDocument/2006/relationships/hyperlink" Target="https://linkedin.com/company/upl-ltd" TargetMode="External"/><Relationship Id="rId1793" Type="http://schemas.openxmlformats.org/officeDocument/2006/relationships/hyperlink" Target="https://tracxn.com/companies/jSpJiFZw7YAb10fHfU50TCxmXCPCF2yUsNzs4EAAmDE/seedworks.com" TargetMode="External"/><Relationship Id="rId85" Type="http://schemas.openxmlformats.org/officeDocument/2006/relationships/hyperlink" Target="https://investors.biocerescrops.com/home/default.aspx" TargetMode="External"/><Relationship Id="rId816" Type="http://schemas.openxmlformats.org/officeDocument/2006/relationships/hyperlink" Target="http://facebook.com/bharatrohan.in/" TargetMode="External"/><Relationship Id="rId1001" Type="http://schemas.openxmlformats.org/officeDocument/2006/relationships/hyperlink" Target="https://twitter.com/aaravsystems" TargetMode="External"/><Relationship Id="rId1446" Type="http://schemas.openxmlformats.org/officeDocument/2006/relationships/hyperlink" Target="http://facebook.com/o2waterator/" TargetMode="External"/><Relationship Id="rId1653" Type="http://schemas.openxmlformats.org/officeDocument/2006/relationships/hyperlink" Target="https://www.grobomac.com/" TargetMode="External"/><Relationship Id="rId1860" Type="http://schemas.openxmlformats.org/officeDocument/2006/relationships/hyperlink" Target="https://www.linkedin.com/company/10503091" TargetMode="External"/><Relationship Id="rId1306" Type="http://schemas.openxmlformats.org/officeDocument/2006/relationships/hyperlink" Target="http://facebook.com/agrhub" TargetMode="External"/><Relationship Id="rId1513" Type="http://schemas.openxmlformats.org/officeDocument/2006/relationships/hyperlink" Target="https://www.linkedin.com/company/foodstock-farmers-market" TargetMode="External"/><Relationship Id="rId1720" Type="http://schemas.openxmlformats.org/officeDocument/2006/relationships/hyperlink" Target="https://www.exabit.in/" TargetMode="External"/><Relationship Id="rId1958" Type="http://schemas.openxmlformats.org/officeDocument/2006/relationships/hyperlink" Target="https://linkedin.com/company/renewmaterial" TargetMode="External"/><Relationship Id="rId12" Type="http://schemas.openxmlformats.org/officeDocument/2006/relationships/hyperlink" Target="https://tracxn.com/companies/utZq6xqBG_v0xmcl_Sn7M0nV79vNEBrZ9X3-Uhe1Yhg/unnatiagri.com" TargetMode="External"/><Relationship Id="rId1818" Type="http://schemas.openxmlformats.org/officeDocument/2006/relationships/hyperlink" Target="https://tracxn.com/companies/sBnaRzbBSeadrMz08EPxHaUIroQu3O_CHPGRrvF67O8/jayalaxmiagrotech.com" TargetMode="External"/><Relationship Id="rId161" Type="http://schemas.openxmlformats.org/officeDocument/2006/relationships/hyperlink" Target="https://farmbee.in/" TargetMode="External"/><Relationship Id="rId399" Type="http://schemas.openxmlformats.org/officeDocument/2006/relationships/hyperlink" Target="http://facebook.com/intergado" TargetMode="External"/><Relationship Id="rId259" Type="http://schemas.openxmlformats.org/officeDocument/2006/relationships/hyperlink" Target="https://twitter.com/nocofioft" TargetMode="External"/><Relationship Id="rId466" Type="http://schemas.openxmlformats.org/officeDocument/2006/relationships/hyperlink" Target="http://farmizen.com/blog" TargetMode="External"/><Relationship Id="rId673" Type="http://schemas.openxmlformats.org/officeDocument/2006/relationships/hyperlink" Target="https://linkedin.com/company/%E5%8D%92%E5%AD%90%E7%A7%91%E6%8A%80-%E6%B7%B1%E5%9C%B3-%E6%9C%89%E9%99%90%E5%85%AC%E5%8F%B8/about" TargetMode="External"/><Relationship Id="rId880" Type="http://schemas.openxmlformats.org/officeDocument/2006/relationships/hyperlink" Target="http://twitter.com/tanihubid" TargetMode="External"/><Relationship Id="rId1096" Type="http://schemas.openxmlformats.org/officeDocument/2006/relationships/hyperlink" Target="http://www.linkedin.com/vsearch/p?f_CC=2957399" TargetMode="External"/><Relationship Id="rId2147" Type="http://schemas.openxmlformats.org/officeDocument/2006/relationships/hyperlink" Target="http://linkedin.com/company/esoko" TargetMode="External"/><Relationship Id="rId119" Type="http://schemas.openxmlformats.org/officeDocument/2006/relationships/hyperlink" Target="https://twitter.com/procol_" TargetMode="External"/><Relationship Id="rId326" Type="http://schemas.openxmlformats.org/officeDocument/2006/relationships/hyperlink" Target="https://www.nutrition-technologies.com/" TargetMode="External"/><Relationship Id="rId533" Type="http://schemas.openxmlformats.org/officeDocument/2006/relationships/hyperlink" Target="https://www.physiz.com/" TargetMode="External"/><Relationship Id="rId978" Type="http://schemas.openxmlformats.org/officeDocument/2006/relationships/hyperlink" Target="http://www.linkedin.com/vsearch/p?f_CC=9382637" TargetMode="External"/><Relationship Id="rId1163" Type="http://schemas.openxmlformats.org/officeDocument/2006/relationships/hyperlink" Target="http://linkedin.com/company/phytech-ltd" TargetMode="External"/><Relationship Id="rId1370" Type="http://schemas.openxmlformats.org/officeDocument/2006/relationships/hyperlink" Target="https://tracxn.com/companies/7sy0mtuvYQiqVH0hpzjwmif9RuZqdBBKNecqksTZLC8/freshboxx.in" TargetMode="External"/><Relationship Id="rId2007" Type="http://schemas.openxmlformats.org/officeDocument/2006/relationships/hyperlink" Target="http://www.linkedin.com/vsearch/p?f_CC=479589" TargetMode="External"/><Relationship Id="rId2214" Type="http://schemas.openxmlformats.org/officeDocument/2006/relationships/hyperlink" Target="http://twitter.com/greencartin" TargetMode="External"/><Relationship Id="rId740" Type="http://schemas.openxmlformats.org/officeDocument/2006/relationships/hyperlink" Target="https://tracxn.com/companies/9-C8vyBtYHKt8b8CKhRTeDhtNFPxWZlpj6bGTiVqUAA/skyx.solutions" TargetMode="External"/><Relationship Id="rId838" Type="http://schemas.openxmlformats.org/officeDocument/2006/relationships/hyperlink" Target="https://facebook.com/farmart.agritech" TargetMode="External"/><Relationship Id="rId1023" Type="http://schemas.openxmlformats.org/officeDocument/2006/relationships/hyperlink" Target="http://facebook.com/agribuddy.kh/" TargetMode="External"/><Relationship Id="rId1468" Type="http://schemas.openxmlformats.org/officeDocument/2006/relationships/hyperlink" Target="https://twitter.com/agreetapvtltd" TargetMode="External"/><Relationship Id="rId1675" Type="http://schemas.openxmlformats.org/officeDocument/2006/relationships/hyperlink" Target="https://tracxn.com/companies/izz5DG7_pRizy1xSqP36Ni5UxFq8sYaP_Qthjz-zOew/coldhubs.com" TargetMode="External"/><Relationship Id="rId1882" Type="http://schemas.openxmlformats.org/officeDocument/2006/relationships/hyperlink" Target="http://twitter.com/sumaagro" TargetMode="External"/><Relationship Id="rId600" Type="http://schemas.openxmlformats.org/officeDocument/2006/relationships/hyperlink" Target="https://twitter.com/agricx" TargetMode="External"/><Relationship Id="rId1230" Type="http://schemas.openxmlformats.org/officeDocument/2006/relationships/hyperlink" Target="http://facebook.com/pages/ini-farms-pvt-ltd/621133451299367" TargetMode="External"/><Relationship Id="rId1328" Type="http://schemas.openxmlformats.org/officeDocument/2006/relationships/hyperlink" Target="http://nfu99.com/" TargetMode="External"/><Relationship Id="rId1535" Type="http://schemas.openxmlformats.org/officeDocument/2006/relationships/hyperlink" Target="https://www.facebook.com/saturas.ag/" TargetMode="External"/><Relationship Id="rId905" Type="http://schemas.openxmlformats.org/officeDocument/2006/relationships/hyperlink" Target="http://facebook.com/brown-apron-1411381085841334" TargetMode="External"/><Relationship Id="rId1742" Type="http://schemas.openxmlformats.org/officeDocument/2006/relationships/hyperlink" Target="https://linkedin.com/company/aus-aarav-unmanned-systems" TargetMode="External"/><Relationship Id="rId34" Type="http://schemas.openxmlformats.org/officeDocument/2006/relationships/hyperlink" Target="https://linkedin.com/company/neerx" TargetMode="External"/><Relationship Id="rId1602" Type="http://schemas.openxmlformats.org/officeDocument/2006/relationships/hyperlink" Target="http://twitter.com/buscagrochile" TargetMode="External"/><Relationship Id="rId183" Type="http://schemas.openxmlformats.org/officeDocument/2006/relationships/hyperlink" Target="https://twitter.com/fjdynamics" TargetMode="External"/><Relationship Id="rId390" Type="http://schemas.openxmlformats.org/officeDocument/2006/relationships/hyperlink" Target="https://www.gira.com.br/" TargetMode="External"/><Relationship Id="rId1907" Type="http://schemas.openxmlformats.org/officeDocument/2006/relationships/hyperlink" Target="https://tracxn.com/companies/OZ9tiHDWpZ5tnud_syJ2Ne5j4PSJvXD6NYPXOtZ0IMI/barefeet.co.in" TargetMode="External"/><Relationship Id="rId2071" Type="http://schemas.openxmlformats.org/officeDocument/2006/relationships/hyperlink" Target="https://tracxn.com/companies/Yc0dGHqRitIcvmb70rpRHQzO8XFE4kQSHdi4doG8M3c/origeneseeds.com" TargetMode="External"/><Relationship Id="rId250" Type="http://schemas.openxmlformats.org/officeDocument/2006/relationships/hyperlink" Target="https://tracxn.com/companies/2RbY2oJJdJscJEpf_gvui8oVpYHPLqmrhrNklRGNcM8/fasal.co" TargetMode="External"/><Relationship Id="rId488" Type="http://schemas.openxmlformats.org/officeDocument/2006/relationships/hyperlink" Target="https://tracxn.com/companies/-Zx8SR9483WFVcUPF5njG0YFSdYWgX1E77Khjyfp1Ok/ndrip.com" TargetMode="External"/><Relationship Id="rId695" Type="http://schemas.openxmlformats.org/officeDocument/2006/relationships/hyperlink" Target="http://www.zzb518.com/" TargetMode="External"/><Relationship Id="rId2169" Type="http://schemas.openxmlformats.org/officeDocument/2006/relationships/hyperlink" Target="https://tracxn.com/companies/XN0WuYS1RAOW9fJjk5X47dWNNQY9LsVGVhzebicbryM/driptech.com" TargetMode="External"/><Relationship Id="rId110" Type="http://schemas.openxmlformats.org/officeDocument/2006/relationships/hyperlink" Target="https://facebook.com/agrikaab" TargetMode="External"/><Relationship Id="rId348" Type="http://schemas.openxmlformats.org/officeDocument/2006/relationships/hyperlink" Target="https://twitter.com/sensegrass1" TargetMode="External"/><Relationship Id="rId555" Type="http://schemas.openxmlformats.org/officeDocument/2006/relationships/hyperlink" Target="https://tracxn.com/companies/DeF3qTg_iNncaX2aYxvK18DcyvNOJCNCjOjg1EQe-Q8/luxelare.com" TargetMode="External"/><Relationship Id="rId762" Type="http://schemas.openxmlformats.org/officeDocument/2006/relationships/hyperlink" Target="http://www.linkedin.com/vsearch/p?f_CC=239650" TargetMode="External"/><Relationship Id="rId1185" Type="http://schemas.openxmlformats.org/officeDocument/2006/relationships/hyperlink" Target="https://linkedin.com/company/fieldin-powered-by-agromentum-ltd-/about" TargetMode="External"/><Relationship Id="rId1392" Type="http://schemas.openxmlformats.org/officeDocument/2006/relationships/hyperlink" Target="https://tracxn.com/companies/enB8J3g1NfyV5Kvh7q5uhmBfA02_CzChvgXP1PI2pBA/cowlar.com" TargetMode="External"/><Relationship Id="rId2029" Type="http://schemas.openxmlformats.org/officeDocument/2006/relationships/hyperlink" Target="http://www.linkedin.com/vsearch/p?f_CC=419740" TargetMode="External"/><Relationship Id="rId2236" Type="http://schemas.openxmlformats.org/officeDocument/2006/relationships/hyperlink" Target="http://www.barrix.in/" TargetMode="External"/><Relationship Id="rId208" Type="http://schemas.openxmlformats.org/officeDocument/2006/relationships/hyperlink" Target="https://tracxn.com/companies/H6JabMbj-HX0YCMvFZs_RGcEAjwpljQ04JUtdJVgQZ8/woolly.io" TargetMode="External"/><Relationship Id="rId415" Type="http://schemas.openxmlformats.org/officeDocument/2006/relationships/hyperlink" Target="https://twitter.com/famuneraonline" TargetMode="External"/><Relationship Id="rId622" Type="http://schemas.openxmlformats.org/officeDocument/2006/relationships/hyperlink" Target="http://facebook.com/farmersfz" TargetMode="External"/><Relationship Id="rId1045" Type="http://schemas.openxmlformats.org/officeDocument/2006/relationships/hyperlink" Target="http://linkedin.com/company/cultivando-futuro-s-a-s-" TargetMode="External"/><Relationship Id="rId1252" Type="http://schemas.openxmlformats.org/officeDocument/2006/relationships/hyperlink" Target="http://livlush.in/" TargetMode="External"/><Relationship Id="rId1697" Type="http://schemas.openxmlformats.org/officeDocument/2006/relationships/hyperlink" Target="https://www.linkedin.com/company/10147582?trk=prof-exp-company-name" TargetMode="External"/><Relationship Id="rId927" Type="http://schemas.openxmlformats.org/officeDocument/2006/relationships/hyperlink" Target="https://tracxn.com/companies/Xz8GIRsrq26ULZvKojXqt4LK2ilE8OsYWwjcQlGI5os/foidn.com" TargetMode="External"/><Relationship Id="rId1112" Type="http://schemas.openxmlformats.org/officeDocument/2006/relationships/hyperlink" Target="https://tracxn.com/companies/c05WTQk7r6riS6dfetE9eHiObo4yhKSw_NPAFkBl5tk/boheco.org" TargetMode="External"/><Relationship Id="rId1557" Type="http://schemas.openxmlformats.org/officeDocument/2006/relationships/hyperlink" Target="https://tracxn.com/companies/S1ZJNk13pLgPConHEATste9SteLzVgk7UaUtswppOdo/dfs168.com" TargetMode="External"/><Relationship Id="rId1764" Type="http://schemas.openxmlformats.org/officeDocument/2006/relationships/hyperlink" Target="https://tracxn.com/companies/uA3_sjRfnsGZFMZw8lDPgO_rsgRNi29QNeLHNAF_tl0/meicai.cn" TargetMode="External"/><Relationship Id="rId1971" Type="http://schemas.openxmlformats.org/officeDocument/2006/relationships/hyperlink" Target="http://ctrax.info/?lang=en" TargetMode="External"/><Relationship Id="rId56" Type="http://schemas.openxmlformats.org/officeDocument/2006/relationships/hyperlink" Target="https://atomicagro.com.br/" TargetMode="External"/><Relationship Id="rId1417" Type="http://schemas.openxmlformats.org/officeDocument/2006/relationships/hyperlink" Target="http://www.danziger-innovations.com/" TargetMode="External"/><Relationship Id="rId1624" Type="http://schemas.openxmlformats.org/officeDocument/2006/relationships/hyperlink" Target="https://www.linkedin.com/company/farm-dog" TargetMode="External"/><Relationship Id="rId1831" Type="http://schemas.openxmlformats.org/officeDocument/2006/relationships/hyperlink" Target="https://tracxn.com/companies/a884p3pDpAGTZ4tfYcbuy9A6N73tjVoQMC6I55ZFx64/farmdrive.co.ke" TargetMode="External"/><Relationship Id="rId1929" Type="http://schemas.openxmlformats.org/officeDocument/2006/relationships/hyperlink" Target="http://facebook.com/efishery" TargetMode="External"/><Relationship Id="rId2093" Type="http://schemas.openxmlformats.org/officeDocument/2006/relationships/hyperlink" Target="https://www.mfarm.co.ke/" TargetMode="External"/><Relationship Id="rId272" Type="http://schemas.openxmlformats.org/officeDocument/2006/relationships/hyperlink" Target="http://facebook.com/allerguard-systems-2034633500100961/%5d" TargetMode="External"/><Relationship Id="rId577" Type="http://schemas.openxmlformats.org/officeDocument/2006/relationships/hyperlink" Target="https://www.krishihub.com/" TargetMode="External"/><Relationship Id="rId2160" Type="http://schemas.openxmlformats.org/officeDocument/2006/relationships/hyperlink" Target="http://linkedin.com/company/ecozen-solutions" TargetMode="External"/><Relationship Id="rId2258" Type="http://schemas.openxmlformats.org/officeDocument/2006/relationships/hyperlink" Target="https://facebook.com/nuziveeduseedsltd" TargetMode="External"/><Relationship Id="rId132" Type="http://schemas.openxmlformats.org/officeDocument/2006/relationships/hyperlink" Target="https://linkedin.com/company/smartfarms-agritech-private-limited/about" TargetMode="External"/><Relationship Id="rId784" Type="http://schemas.openxmlformats.org/officeDocument/2006/relationships/hyperlink" Target="https://agreeta.com/" TargetMode="External"/><Relationship Id="rId991" Type="http://schemas.openxmlformats.org/officeDocument/2006/relationships/hyperlink" Target="http://facebook.com/pages/prospera-technologies/565971516887814" TargetMode="External"/><Relationship Id="rId1067" Type="http://schemas.openxmlformats.org/officeDocument/2006/relationships/hyperlink" Target="http://corporate.agrostar.in/blog/?_gl=1*uajjuj*_ga*yw1wlwrat3rkqjr1stvstfi4dgpmcfa1q3c." TargetMode="External"/><Relationship Id="rId2020" Type="http://schemas.openxmlformats.org/officeDocument/2006/relationships/hyperlink" Target="http://linkedin.com/company/weather-risk" TargetMode="External"/><Relationship Id="rId437" Type="http://schemas.openxmlformats.org/officeDocument/2006/relationships/hyperlink" Target="https://www.clarifruit.com/" TargetMode="External"/><Relationship Id="rId644" Type="http://schemas.openxmlformats.org/officeDocument/2006/relationships/hyperlink" Target="https://twitter.com/impactterra" TargetMode="External"/><Relationship Id="rId851" Type="http://schemas.openxmlformats.org/officeDocument/2006/relationships/hyperlink" Target="https://twitter.com/taranisag" TargetMode="External"/><Relationship Id="rId1274" Type="http://schemas.openxmlformats.org/officeDocument/2006/relationships/hyperlink" Target="http://facebook.com/poptaniasia" TargetMode="External"/><Relationship Id="rId1481" Type="http://schemas.openxmlformats.org/officeDocument/2006/relationships/hyperlink" Target="http://www.wuabi.com.ar/" TargetMode="External"/><Relationship Id="rId1579" Type="http://schemas.openxmlformats.org/officeDocument/2006/relationships/hyperlink" Target="http://www.mailiangwang.com/" TargetMode="External"/><Relationship Id="rId2118" Type="http://schemas.openxmlformats.org/officeDocument/2006/relationships/hyperlink" Target="http://linkedin.com/company/imeve-s-a" TargetMode="External"/><Relationship Id="rId504" Type="http://schemas.openxmlformats.org/officeDocument/2006/relationships/hyperlink" Target="https://tracxn.com/companies/dvuHLh6NRLMT2NfyVbzQ1iZdItpis1YdEVG9hFAWAuI/agri-intel.com" TargetMode="External"/><Relationship Id="rId711" Type="http://schemas.openxmlformats.org/officeDocument/2006/relationships/hyperlink" Target="https://linkedin.com/company/farmers-pride-africa/about" TargetMode="External"/><Relationship Id="rId949" Type="http://schemas.openxmlformats.org/officeDocument/2006/relationships/hyperlink" Target="https://www.agrofy.com/" TargetMode="External"/><Relationship Id="rId1134" Type="http://schemas.openxmlformats.org/officeDocument/2006/relationships/hyperlink" Target="http://twitter.com/sunculturekenya" TargetMode="External"/><Relationship Id="rId1341" Type="http://schemas.openxmlformats.org/officeDocument/2006/relationships/hyperlink" Target="https://www.linkedin.com/company/paalak" TargetMode="External"/><Relationship Id="rId1786" Type="http://schemas.openxmlformats.org/officeDocument/2006/relationships/hyperlink" Target="https://facebook.com/ninjacart" TargetMode="External"/><Relationship Id="rId1993" Type="http://schemas.openxmlformats.org/officeDocument/2006/relationships/hyperlink" Target="http://linkedin.com/company/less-industries" TargetMode="External"/><Relationship Id="rId78" Type="http://schemas.openxmlformats.org/officeDocument/2006/relationships/hyperlink" Target="https://facebook.com/brainwired01" TargetMode="External"/><Relationship Id="rId809" Type="http://schemas.openxmlformats.org/officeDocument/2006/relationships/hyperlink" Target="http://twitter.com/farmerline" TargetMode="External"/><Relationship Id="rId1201" Type="http://schemas.openxmlformats.org/officeDocument/2006/relationships/hyperlink" Target="http://agriness.com/pt/blog" TargetMode="External"/><Relationship Id="rId1439" Type="http://schemas.openxmlformats.org/officeDocument/2006/relationships/hyperlink" Target="https://tracxn.com/companies/CJvz_x6ltAIwFBKqXgkDqmO-Q9Xgrefn5ZMr7PQ6B00/komaza.com" TargetMode="External"/><Relationship Id="rId1646" Type="http://schemas.openxmlformats.org/officeDocument/2006/relationships/hyperlink" Target="https://www.licious.in/" TargetMode="External"/><Relationship Id="rId1853" Type="http://schemas.openxmlformats.org/officeDocument/2006/relationships/hyperlink" Target="https://tracxn.com/companies/FrFptHR2twOk1qHrvEvvXmuZ4oJ0gfMXHaMzDjM9jtk/agrosmart.com.br" TargetMode="External"/><Relationship Id="rId1506" Type="http://schemas.openxmlformats.org/officeDocument/2006/relationships/hyperlink" Target="http://www.aquinovo.com/" TargetMode="External"/><Relationship Id="rId1713" Type="http://schemas.openxmlformats.org/officeDocument/2006/relationships/hyperlink" Target="http://www.em3agri.com/" TargetMode="External"/><Relationship Id="rId1920" Type="http://schemas.openxmlformats.org/officeDocument/2006/relationships/hyperlink" Target="http://linkedin.com/company/promip" TargetMode="External"/><Relationship Id="rId294" Type="http://schemas.openxmlformats.org/officeDocument/2006/relationships/hyperlink" Target="http://facebook.com/idripper" TargetMode="External"/><Relationship Id="rId2182" Type="http://schemas.openxmlformats.org/officeDocument/2006/relationships/hyperlink" Target="http://linkedin.com/company/camson-bio-technologies-pvt-ltd" TargetMode="External"/><Relationship Id="rId154" Type="http://schemas.openxmlformats.org/officeDocument/2006/relationships/hyperlink" Target="https://twitter.com/beehero_io" TargetMode="External"/><Relationship Id="rId361" Type="http://schemas.openxmlformats.org/officeDocument/2006/relationships/hyperlink" Target="http://twitter.com/jalaiot" TargetMode="External"/><Relationship Id="rId599" Type="http://schemas.openxmlformats.org/officeDocument/2006/relationships/hyperlink" Target="https://linkedin.com/company/agricxlab/about" TargetMode="External"/><Relationship Id="rId2042" Type="http://schemas.openxmlformats.org/officeDocument/2006/relationships/hyperlink" Target="http://twitter.com/tech4farmers" TargetMode="External"/><Relationship Id="rId459" Type="http://schemas.openxmlformats.org/officeDocument/2006/relationships/hyperlink" Target="https://facebook.com/naturacropcare" TargetMode="External"/><Relationship Id="rId666" Type="http://schemas.openxmlformats.org/officeDocument/2006/relationships/hyperlink" Target="https://www.tritonfoodworks.com/" TargetMode="External"/><Relationship Id="rId873" Type="http://schemas.openxmlformats.org/officeDocument/2006/relationships/hyperlink" Target="https://www.lishabora.com/" TargetMode="External"/><Relationship Id="rId1089" Type="http://schemas.openxmlformats.org/officeDocument/2006/relationships/hyperlink" Target="https://www.agrevolution.in/" TargetMode="External"/><Relationship Id="rId1296" Type="http://schemas.openxmlformats.org/officeDocument/2006/relationships/hyperlink" Target="http://twitter.com/swasti_agro" TargetMode="External"/><Relationship Id="rId221" Type="http://schemas.openxmlformats.org/officeDocument/2006/relationships/hyperlink" Target="https://twitter.com/oaesislsc" TargetMode="External"/><Relationship Id="rId319" Type="http://schemas.openxmlformats.org/officeDocument/2006/relationships/hyperlink" Target="https://linkedin.com/company/jai-kisan/about" TargetMode="External"/><Relationship Id="rId526" Type="http://schemas.openxmlformats.org/officeDocument/2006/relationships/hyperlink" Target="https://tracxn.com/companies/BkdjQdAfhbqqOv_sw5erF_6qjNTmWR497T3rrA5r9xQ/4008268365.com" TargetMode="External"/><Relationship Id="rId1156" Type="http://schemas.openxmlformats.org/officeDocument/2006/relationships/hyperlink" Target="https://proximitydesigns.org/" TargetMode="External"/><Relationship Id="rId1363" Type="http://schemas.openxmlformats.org/officeDocument/2006/relationships/hyperlink" Target="https://tracxn.com/companies/l2pi4hAeB6AIjivfqWx73jxfF1e4KQ2tppjt7mPAhyQ/tradeghana.co" TargetMode="External"/><Relationship Id="rId2207" Type="http://schemas.openxmlformats.org/officeDocument/2006/relationships/hyperlink" Target="https://twitter.com/8villages" TargetMode="External"/><Relationship Id="rId733" Type="http://schemas.openxmlformats.org/officeDocument/2006/relationships/hyperlink" Target="https://tracxn.com/companies/ky9PSUyhkS1AceyJyXQd7YXLZ-bM6Cyedlhr_UxU5O0/tomatiki.com" TargetMode="External"/><Relationship Id="rId940" Type="http://schemas.openxmlformats.org/officeDocument/2006/relationships/hyperlink" Target="https://www.getleaf.co/" TargetMode="External"/><Relationship Id="rId1016" Type="http://schemas.openxmlformats.org/officeDocument/2006/relationships/hyperlink" Target="https://twitter.com/ninjacart" TargetMode="External"/><Relationship Id="rId1570" Type="http://schemas.openxmlformats.org/officeDocument/2006/relationships/hyperlink" Target="http://limakilo.id/" TargetMode="External"/><Relationship Id="rId1668" Type="http://schemas.openxmlformats.org/officeDocument/2006/relationships/hyperlink" Target="https://www.getleaf.co/" TargetMode="External"/><Relationship Id="rId1875" Type="http://schemas.openxmlformats.org/officeDocument/2006/relationships/hyperlink" Target="https://tracxn.com/companies/6GfVeT-tYYf5IJ6H7IXuSDaBtZrj1NaHJxOy0fpe_ik/harddrones.com" TargetMode="External"/><Relationship Id="rId800" Type="http://schemas.openxmlformats.org/officeDocument/2006/relationships/hyperlink" Target="https://www.agrocenta.com/" TargetMode="External"/><Relationship Id="rId1223" Type="http://schemas.openxmlformats.org/officeDocument/2006/relationships/hyperlink" Target="https://twitter.com/stellapps" TargetMode="External"/><Relationship Id="rId1430" Type="http://schemas.openxmlformats.org/officeDocument/2006/relationships/hyperlink" Target="https://www.trotrotractor.com/" TargetMode="External"/><Relationship Id="rId1528" Type="http://schemas.openxmlformats.org/officeDocument/2006/relationships/hyperlink" Target="https://tracxn.com/companies/zGssERe8j37hJM6pNTLK_Kl5aY5JcrurYcivcZ7EgCk/nongfadai.com" TargetMode="External"/><Relationship Id="rId1735" Type="http://schemas.openxmlformats.org/officeDocument/2006/relationships/hyperlink" Target="https://tracxn.com/companies/0j-oEm465Taf9Dime4pJpqkeCvV84FY-9kRV-E79SNc/zappfresh.com" TargetMode="External"/><Relationship Id="rId1942" Type="http://schemas.openxmlformats.org/officeDocument/2006/relationships/hyperlink" Target="https://tracxn.com/companies/v1EC0_KUjrcAnER7VStTm8HdvKdDu0quGax_3LdFrT8/zentronlabs.com" TargetMode="External"/><Relationship Id="rId27" Type="http://schemas.openxmlformats.org/officeDocument/2006/relationships/hyperlink" Target="https://tracxn.com/companies/mMlxGs1FI22xZvVWMXOBMaGvBG6mDnRiOmL8RX4zlFA/agverse.in" TargetMode="External"/><Relationship Id="rId1802" Type="http://schemas.openxmlformats.org/officeDocument/2006/relationships/hyperlink" Target="https://tracxn.com/companies/2FGAVIuAAGN_hVhYSzKGTH62FuU3QBW_k65oMu0zEug/flybirdinnovations.com" TargetMode="External"/><Relationship Id="rId176" Type="http://schemas.openxmlformats.org/officeDocument/2006/relationships/hyperlink" Target="http://linkedin.com/company/agrowave" TargetMode="External"/><Relationship Id="rId383" Type="http://schemas.openxmlformats.org/officeDocument/2006/relationships/hyperlink" Target="https://twitter.com/ifarmer_asia" TargetMode="External"/><Relationship Id="rId590" Type="http://schemas.openxmlformats.org/officeDocument/2006/relationships/hyperlink" Target="http://linkedin.com/company/13243900" TargetMode="External"/><Relationship Id="rId2064" Type="http://schemas.openxmlformats.org/officeDocument/2006/relationships/hyperlink" Target="https://linkedin.com/company/phenom-networks-inc." TargetMode="External"/><Relationship Id="rId2271" Type="http://schemas.openxmlformats.org/officeDocument/2006/relationships/hyperlink" Target="http://seedcogroup.com/media/blog" TargetMode="External"/><Relationship Id="rId243" Type="http://schemas.openxmlformats.org/officeDocument/2006/relationships/hyperlink" Target="https://facebook.com/agro2o" TargetMode="External"/><Relationship Id="rId450" Type="http://schemas.openxmlformats.org/officeDocument/2006/relationships/hyperlink" Target="https://tracxn.com/companies/Bdq31rnETAb5k1xJr_tLL6--vfWN8wwpEIsCKJ5KvYs/cowtribe.com" TargetMode="External"/><Relationship Id="rId688" Type="http://schemas.openxmlformats.org/officeDocument/2006/relationships/hyperlink" Target="https://tracxn.com/companies/rc6E5AUce4ZZ5SUdImrWF14jWpy1-3K2F6P32YuMLt0/iprocu.re" TargetMode="External"/><Relationship Id="rId895" Type="http://schemas.openxmlformats.org/officeDocument/2006/relationships/hyperlink" Target="http://blog.farmdog.ag/" TargetMode="External"/><Relationship Id="rId1080" Type="http://schemas.openxmlformats.org/officeDocument/2006/relationships/hyperlink" Target="http://facebook.com/abuerdan" TargetMode="External"/><Relationship Id="rId2131" Type="http://schemas.openxmlformats.org/officeDocument/2006/relationships/hyperlink" Target="https://www.futuragene.com/" TargetMode="External"/><Relationship Id="rId103" Type="http://schemas.openxmlformats.org/officeDocument/2006/relationships/hyperlink" Target="http://absolutefoods.in/blog" TargetMode="External"/><Relationship Id="rId310" Type="http://schemas.openxmlformats.org/officeDocument/2006/relationships/hyperlink" Target="https://tracxn.com/companies/5WakRilhEIVS2Vqd-iXLKKIzMZVW2-seaFvGzbuJ9x8/cari.org.in" TargetMode="External"/><Relationship Id="rId548" Type="http://schemas.openxmlformats.org/officeDocument/2006/relationships/hyperlink" Target="https://facebook.com/agnextworld" TargetMode="External"/><Relationship Id="rId755" Type="http://schemas.openxmlformats.org/officeDocument/2006/relationships/hyperlink" Target="https://facebook.com/crofarm.co" TargetMode="External"/><Relationship Id="rId962" Type="http://schemas.openxmlformats.org/officeDocument/2006/relationships/hyperlink" Target="http://facebook.com/cropxapp/" TargetMode="External"/><Relationship Id="rId1178" Type="http://schemas.openxmlformats.org/officeDocument/2006/relationships/hyperlink" Target="https://tracxn.com/companies/PUxPXKncDQhl-uXBPtKmK60LkW7mUychAPw4TK_6cfY/netafim.com" TargetMode="External"/><Relationship Id="rId1385" Type="http://schemas.openxmlformats.org/officeDocument/2006/relationships/hyperlink" Target="http://facebook.com/supplybunny/" TargetMode="External"/><Relationship Id="rId1592" Type="http://schemas.openxmlformats.org/officeDocument/2006/relationships/hyperlink" Target="https://tracxn.com/companies/rt1ixNSLF857yv9Oa5Ryxu4j4yN9dG3CqNQ_4oAwQ-s/tierraseedscience.com" TargetMode="External"/><Relationship Id="rId2229" Type="http://schemas.openxmlformats.org/officeDocument/2006/relationships/hyperlink" Target="http://www.linkedin.com/vsearch/p?f_CC=3519620" TargetMode="External"/><Relationship Id="rId91" Type="http://schemas.openxmlformats.org/officeDocument/2006/relationships/hyperlink" Target="https://gourmetgarden.in/" TargetMode="External"/><Relationship Id="rId408" Type="http://schemas.openxmlformats.org/officeDocument/2006/relationships/hyperlink" Target="https://tracxn.com/companies/H0nrh8Giq_DHzAZvCWsdDiDST7r94DxhaZNRmGNJX14/edetepta.com" TargetMode="External"/><Relationship Id="rId615" Type="http://schemas.openxmlformats.org/officeDocument/2006/relationships/hyperlink" Target="http://linkedin.com/company/satsure-inc." TargetMode="External"/><Relationship Id="rId822" Type="http://schemas.openxmlformats.org/officeDocument/2006/relationships/hyperlink" Target="https://www.farmguide.in/" TargetMode="External"/><Relationship Id="rId1038" Type="http://schemas.openxmlformats.org/officeDocument/2006/relationships/hyperlink" Target="https://farmdrive.co.ke/" TargetMode="External"/><Relationship Id="rId1245" Type="http://schemas.openxmlformats.org/officeDocument/2006/relationships/hyperlink" Target="http://linkedin.com/company/twiga-foods" TargetMode="External"/><Relationship Id="rId1452" Type="http://schemas.openxmlformats.org/officeDocument/2006/relationships/hyperlink" Target="http://www.jinxiushengxian.com/" TargetMode="External"/><Relationship Id="rId1897" Type="http://schemas.openxmlformats.org/officeDocument/2006/relationships/hyperlink" Target="https://tracxn.com/companies/tVqIF95ARLUEIhHTfcgck-_EHVLC-_gNOcnY_oPkeD8/groundworkbioag.com" TargetMode="External"/><Relationship Id="rId1105" Type="http://schemas.openxmlformats.org/officeDocument/2006/relationships/hyperlink" Target="https://energaia.com/" TargetMode="External"/><Relationship Id="rId1312" Type="http://schemas.openxmlformats.org/officeDocument/2006/relationships/hyperlink" Target="https://facebook.com/agnextworld" TargetMode="External"/><Relationship Id="rId1757" Type="http://schemas.openxmlformats.org/officeDocument/2006/relationships/hyperlink" Target="http://anxindeli.com/" TargetMode="External"/><Relationship Id="rId1964" Type="http://schemas.openxmlformats.org/officeDocument/2006/relationships/hyperlink" Target="http://twitter.com/visualnacert" TargetMode="External"/><Relationship Id="rId49" Type="http://schemas.openxmlformats.org/officeDocument/2006/relationships/hyperlink" Target="https://tracxn.com/companies/tgBu0GNcbDFzzzS7wVFWRt2D0lwubzdqCrq_5Na2Ie8/beewise.ag" TargetMode="External"/><Relationship Id="rId1617" Type="http://schemas.openxmlformats.org/officeDocument/2006/relationships/hyperlink" Target="http://facebook.com/cropital" TargetMode="External"/><Relationship Id="rId1824" Type="http://schemas.openxmlformats.org/officeDocument/2006/relationships/hyperlink" Target="http://facebook.com/ergos.in" TargetMode="External"/><Relationship Id="rId198" Type="http://schemas.openxmlformats.org/officeDocument/2006/relationships/hyperlink" Target="https://tracxn.com/companies/Sm149dXJH631lqLaibKT-eGSn49KueuhJ9XDIXqD3x0/shuxitech.com" TargetMode="External"/><Relationship Id="rId2086" Type="http://schemas.openxmlformats.org/officeDocument/2006/relationships/hyperlink" Target="https://www.myagro.org/" TargetMode="External"/><Relationship Id="rId265" Type="http://schemas.openxmlformats.org/officeDocument/2006/relationships/hyperlink" Target="https://facebook.com/aggois-363397874120990" TargetMode="External"/><Relationship Id="rId472" Type="http://schemas.openxmlformats.org/officeDocument/2006/relationships/hyperlink" Target="https://www.cultyvate.com/" TargetMode="External"/><Relationship Id="rId2153" Type="http://schemas.openxmlformats.org/officeDocument/2006/relationships/hyperlink" Target="http://linkedin.com/company/enalta" TargetMode="External"/><Relationship Id="rId125" Type="http://schemas.openxmlformats.org/officeDocument/2006/relationships/hyperlink" Target="http://facebook.com/psimbiotica" TargetMode="External"/><Relationship Id="rId332" Type="http://schemas.openxmlformats.org/officeDocument/2006/relationships/hyperlink" Target="https://twitter.com/credible_india" TargetMode="External"/><Relationship Id="rId777" Type="http://schemas.openxmlformats.org/officeDocument/2006/relationships/hyperlink" Target="https://tracxn.com/companies/t6A7ghuB85EiK5Z4_8P03_OYW44GeLbG6e-wyRFBo6c/livestockwealth.com" TargetMode="External"/><Relationship Id="rId984" Type="http://schemas.openxmlformats.org/officeDocument/2006/relationships/hyperlink" Target="https://www.entobel.com/" TargetMode="External"/><Relationship Id="rId2013" Type="http://schemas.openxmlformats.org/officeDocument/2006/relationships/hyperlink" Target="http://linkedin.com/company/agronometrics" TargetMode="External"/><Relationship Id="rId2220" Type="http://schemas.openxmlformats.org/officeDocument/2006/relationships/hyperlink" Target="http://twitter.com/green_iq" TargetMode="External"/><Relationship Id="rId637" Type="http://schemas.openxmlformats.org/officeDocument/2006/relationships/hyperlink" Target="https://www.intellolabs.com/" TargetMode="External"/><Relationship Id="rId844" Type="http://schemas.openxmlformats.org/officeDocument/2006/relationships/hyperlink" Target="https://tracxn.com/companies/pveVtl0odBAA4kpmkVhMQLGceBPhLw-khlhXxuj8b0s/saturas-ag.com" TargetMode="External"/><Relationship Id="rId1267" Type="http://schemas.openxmlformats.org/officeDocument/2006/relationships/hyperlink" Target="http://mx.linkedin.com/company/farmzee" TargetMode="External"/><Relationship Id="rId1474" Type="http://schemas.openxmlformats.org/officeDocument/2006/relationships/hyperlink" Target="https://tracxn.com/companies/HP8BX0KkOIDPwGcQqw0LJmWuX1rIHhQPKEwJUoZ5Q9s/rootility.com" TargetMode="External"/><Relationship Id="rId1681" Type="http://schemas.openxmlformats.org/officeDocument/2006/relationships/hyperlink" Target="http://www.linkedin.com/vsearch/p?f_CC=9484300" TargetMode="External"/><Relationship Id="rId704" Type="http://schemas.openxmlformats.org/officeDocument/2006/relationships/hyperlink" Target="https://tracxn.com/companies/8M1hxc7sqt17QXcokHrGb2DdvxEasGe-bqKcBgH14k0/tcloudit.com" TargetMode="External"/><Relationship Id="rId911" Type="http://schemas.openxmlformats.org/officeDocument/2006/relationships/hyperlink" Target="http://instacrops.com/noticias" TargetMode="External"/><Relationship Id="rId1127" Type="http://schemas.openxmlformats.org/officeDocument/2006/relationships/hyperlink" Target="https://www.rizobacter.com/" TargetMode="External"/><Relationship Id="rId1334" Type="http://schemas.openxmlformats.org/officeDocument/2006/relationships/hyperlink" Target="https://tracxn.com/companies/dUbhAV1TZPY6wYJFDF7Qx-YlsMX601HZz7Gq3uzH56U/intellolabs.com" TargetMode="External"/><Relationship Id="rId1541" Type="http://schemas.openxmlformats.org/officeDocument/2006/relationships/hyperlink" Target="https://tracxn.com/companies/o5HEkGsxU0iVNbI-W6QdGfQnh9yDNx-dIkuTdWcEtY0/caigouxiongdi.com" TargetMode="External"/><Relationship Id="rId1779" Type="http://schemas.openxmlformats.org/officeDocument/2006/relationships/hyperlink" Target="https://facebook.com/cropintech" TargetMode="External"/><Relationship Id="rId1986" Type="http://schemas.openxmlformats.org/officeDocument/2006/relationships/hyperlink" Target="http://www.efarm.in/" TargetMode="External"/><Relationship Id="rId40" Type="http://schemas.openxmlformats.org/officeDocument/2006/relationships/hyperlink" Target="https://facebook.com/aquaconnect.org.in" TargetMode="External"/><Relationship Id="rId1401" Type="http://schemas.openxmlformats.org/officeDocument/2006/relationships/hyperlink" Target="http://aibono.com/blog" TargetMode="External"/><Relationship Id="rId1639" Type="http://schemas.openxmlformats.org/officeDocument/2006/relationships/hyperlink" Target="https://www.sea6energy.com/" TargetMode="External"/><Relationship Id="rId1846" Type="http://schemas.openxmlformats.org/officeDocument/2006/relationships/hyperlink" Target="https://tracxn.com/companies/YpNvDr-fuT2ud5-go5uiZdHgqf19XF1g_0dIdfMgcAA/autoagronom.com" TargetMode="External"/><Relationship Id="rId1706" Type="http://schemas.openxmlformats.org/officeDocument/2006/relationships/hyperlink" Target="http://twitter.com/babbangona" TargetMode="External"/><Relationship Id="rId1913" Type="http://schemas.openxmlformats.org/officeDocument/2006/relationships/hyperlink" Target="https://www.modisar.com/" TargetMode="External"/><Relationship Id="rId287" Type="http://schemas.openxmlformats.org/officeDocument/2006/relationships/hyperlink" Target="http://facebook.com/annona.co" TargetMode="External"/><Relationship Id="rId494" Type="http://schemas.openxmlformats.org/officeDocument/2006/relationships/hyperlink" Target="http://www.khethinext.com/" TargetMode="External"/><Relationship Id="rId2175" Type="http://schemas.openxmlformats.org/officeDocument/2006/relationships/hyperlink" Target="http://www.chipinside.com.br/" TargetMode="External"/><Relationship Id="rId147" Type="http://schemas.openxmlformats.org/officeDocument/2006/relationships/hyperlink" Target="https://www.twiga.ke/" TargetMode="External"/><Relationship Id="rId354" Type="http://schemas.openxmlformats.org/officeDocument/2006/relationships/hyperlink" Target="http://facebook.com/tradebuza" TargetMode="External"/><Relationship Id="rId799" Type="http://schemas.openxmlformats.org/officeDocument/2006/relationships/hyperlink" Target="https://tracxn.com/companies/QjzDNkTG6ewZ1xrKPmE9yrE3s7GVqrnT1iMhWj8x_Pc/aruna.id" TargetMode="External"/><Relationship Id="rId1191" Type="http://schemas.openxmlformats.org/officeDocument/2006/relationships/hyperlink" Target="https://www.ecozensolutions.com/" TargetMode="External"/><Relationship Id="rId2035" Type="http://schemas.openxmlformats.org/officeDocument/2006/relationships/hyperlink" Target="http://www.linkedin.com/vsearch/p?f_CC=2164244" TargetMode="External"/><Relationship Id="rId561" Type="http://schemas.openxmlformats.org/officeDocument/2006/relationships/hyperlink" Target="https://www.siembro.com/" TargetMode="External"/><Relationship Id="rId659" Type="http://schemas.openxmlformats.org/officeDocument/2006/relationships/hyperlink" Target="https://tracxn.com/companies/eZDzQisam-J4hgGavXz5_z07cev4HtzkHkemVjw2BUE/payagri.com" TargetMode="External"/><Relationship Id="rId866" Type="http://schemas.openxmlformats.org/officeDocument/2006/relationships/hyperlink" Target="https://tracxn.com/companies/8voH5BGr_ONE-1rImKPLlLpngF1BY_TZCWeZc_cEKS8/kheyti.com" TargetMode="External"/><Relationship Id="rId1289" Type="http://schemas.openxmlformats.org/officeDocument/2006/relationships/hyperlink" Target="https://tracxn.com/companies/L7BrYzT7rf3zA_0ARWNqbF6Fwt4AYTqU72z0t1IpHzM/waycool.in" TargetMode="External"/><Relationship Id="rId1496" Type="http://schemas.openxmlformats.org/officeDocument/2006/relationships/hyperlink" Target="https://www.farmguide.in/" TargetMode="External"/><Relationship Id="rId2242" Type="http://schemas.openxmlformats.org/officeDocument/2006/relationships/hyperlink" Target="https://www.stellapps.com/" TargetMode="External"/><Relationship Id="rId214" Type="http://schemas.openxmlformats.org/officeDocument/2006/relationships/hyperlink" Target="https://tracxn.com/companies/WMNRx0lYu0c8fhoE5cJRs-Fa-ple1TmLKVcYW409IVY/sndistinguish.com" TargetMode="External"/><Relationship Id="rId421" Type="http://schemas.openxmlformats.org/officeDocument/2006/relationships/hyperlink" Target="https://linkedin.com/company/%E4%B8%9C%E8%8E%9E%E5%B8%82%E8%8A%9D%E9%BA%BB%E5%9C%B0%E7%BD%91%E7%BB%9C%E7%A7%91%E6%8A%80%E6%9C%89%E9%99%90%E5%85%AC%E5%8F%B8/about" TargetMode="External"/><Relationship Id="rId519" Type="http://schemas.openxmlformats.org/officeDocument/2006/relationships/hyperlink" Target="https://tracxn.com/companies/_Ee9zzqF5-_1ZAQQ_mkT4HVJgVE47-xiCWktAmXMK4o/ttxn.com" TargetMode="External"/><Relationship Id="rId1051" Type="http://schemas.openxmlformats.org/officeDocument/2006/relationships/hyperlink" Target="http://linkedin.com/company/agrosmart" TargetMode="External"/><Relationship Id="rId1149" Type="http://schemas.openxmlformats.org/officeDocument/2006/relationships/hyperlink" Target="http://www.linkedin.com/vsearch/p?f_CC=2544428" TargetMode="External"/><Relationship Id="rId1356" Type="http://schemas.openxmlformats.org/officeDocument/2006/relationships/hyperlink" Target="https://tracxn.com/companies/qez0Nam58yWYvwui-8ZON3duCgTDoXyU8IXeWMiL2mI/avenews-gt.com" TargetMode="External"/><Relationship Id="rId2102" Type="http://schemas.openxmlformats.org/officeDocument/2006/relationships/hyperlink" Target="http://www.linkedin.com/vsearch/p?f_CC=5093963" TargetMode="External"/><Relationship Id="rId726" Type="http://schemas.openxmlformats.org/officeDocument/2006/relationships/hyperlink" Target="http://twitter.com/aibonoworld" TargetMode="External"/><Relationship Id="rId933" Type="http://schemas.openxmlformats.org/officeDocument/2006/relationships/hyperlink" Target="https://tracxn.com/companies/eXjSBoupJFRwtXUX7TBCdVKg3WkI2oTzP3n3UK8GF3Y/jetbov.com" TargetMode="External"/><Relationship Id="rId1009" Type="http://schemas.openxmlformats.org/officeDocument/2006/relationships/hyperlink" Target="https://twitter.com/cropintech" TargetMode="External"/><Relationship Id="rId1563" Type="http://schemas.openxmlformats.org/officeDocument/2006/relationships/hyperlink" Target="https://tracxn.com/companies/UcC60TL4rl9OfpAFPYFK2-uRwzq_hgMldxWykz2oERQ/heatstressanalyzer.weebly.com" TargetMode="External"/><Relationship Id="rId1770" Type="http://schemas.openxmlformats.org/officeDocument/2006/relationships/hyperlink" Target="http://twitter.com/siembraviva" TargetMode="External"/><Relationship Id="rId1868" Type="http://schemas.openxmlformats.org/officeDocument/2006/relationships/hyperlink" Target="http://corporate.agrostar.in/blog/?_gl=1*uajjuj*_ga*yw1wlwrat3rkqjr1stvstfi4dgpmcfa1q3c." TargetMode="External"/><Relationship Id="rId62" Type="http://schemas.openxmlformats.org/officeDocument/2006/relationships/hyperlink" Target="https://linkedin.com/company/bijakapp" TargetMode="External"/><Relationship Id="rId1216" Type="http://schemas.openxmlformats.org/officeDocument/2006/relationships/hyperlink" Target="http://linkedin.com/company/barrix-agro-sciences-pvt-ltd-" TargetMode="External"/><Relationship Id="rId1423" Type="http://schemas.openxmlformats.org/officeDocument/2006/relationships/hyperlink" Target="http://www.crofarm.com/" TargetMode="External"/><Relationship Id="rId1630" Type="http://schemas.openxmlformats.org/officeDocument/2006/relationships/hyperlink" Target="https://s4agtech.com/en/?lang=en" TargetMode="External"/><Relationship Id="rId1728" Type="http://schemas.openxmlformats.org/officeDocument/2006/relationships/hyperlink" Target="http://facebook.com/pages/prospera-technologies/565971516887814" TargetMode="External"/><Relationship Id="rId1935" Type="http://schemas.openxmlformats.org/officeDocument/2006/relationships/hyperlink" Target="https://tracxn.com/companies/TG4egV1bWCA54CKo0q00_jEnsNS2xidAFYe8KL_Lxyw/agrevolution.in" TargetMode="External"/><Relationship Id="rId2197" Type="http://schemas.openxmlformats.org/officeDocument/2006/relationships/hyperlink" Target="http://twitter.com/afimilkltd" TargetMode="External"/><Relationship Id="rId169" Type="http://schemas.openxmlformats.org/officeDocument/2006/relationships/hyperlink" Target="http://ruhminnovation.com/" TargetMode="External"/><Relationship Id="rId376" Type="http://schemas.openxmlformats.org/officeDocument/2006/relationships/hyperlink" Target="https://khula.co.za/" TargetMode="External"/><Relationship Id="rId583" Type="http://schemas.openxmlformats.org/officeDocument/2006/relationships/hyperlink" Target="https://linkedin.com/company/thriveagric/about" TargetMode="External"/><Relationship Id="rId790" Type="http://schemas.openxmlformats.org/officeDocument/2006/relationships/hyperlink" Target="http://www.rootility.com:2222/" TargetMode="External"/><Relationship Id="rId2057" Type="http://schemas.openxmlformats.org/officeDocument/2006/relationships/hyperlink" Target="http://www.linkedin.com/vsearch/p?f_CC=476356" TargetMode="External"/><Relationship Id="rId2264" Type="http://schemas.openxmlformats.org/officeDocument/2006/relationships/hyperlink" Target="http://facebook.com/pages/ini-farms-pvt-ltd/621133451299367" TargetMode="External"/><Relationship Id="rId4" Type="http://schemas.openxmlformats.org/officeDocument/2006/relationships/hyperlink" Target="https://linkedin.com/company/agrixagrotech/about" TargetMode="External"/><Relationship Id="rId236" Type="http://schemas.openxmlformats.org/officeDocument/2006/relationships/hyperlink" Target="https://tracxn.com/companies/j4Ok0Cx0zIzA8pJa6ygPwCLC0UTh9lHUelhKJ5P_q3U/agro-scout.com" TargetMode="External"/><Relationship Id="rId443" Type="http://schemas.openxmlformats.org/officeDocument/2006/relationships/hyperlink" Target="http://facebook.com/theearthfood" TargetMode="External"/><Relationship Id="rId650" Type="http://schemas.openxmlformats.org/officeDocument/2006/relationships/hyperlink" Target="https://lenterafrica.com/" TargetMode="External"/><Relationship Id="rId888" Type="http://schemas.openxmlformats.org/officeDocument/2006/relationships/hyperlink" Target="http://twitter.com/mercarancho" TargetMode="External"/><Relationship Id="rId1073" Type="http://schemas.openxmlformats.org/officeDocument/2006/relationships/hyperlink" Target="https://tracxn.com/companies/Znmsfe54-tdL6A2IvDtVsBkiBnE0cBlzjUQy0nqHyuw/alescalife.com" TargetMode="External"/><Relationship Id="rId1280" Type="http://schemas.openxmlformats.org/officeDocument/2006/relationships/hyperlink" Target="https://linkedin.com/company/activaq" TargetMode="External"/><Relationship Id="rId2124" Type="http://schemas.openxmlformats.org/officeDocument/2006/relationships/hyperlink" Target="https://tracxn.com/companies/t_4LsYioCfREUr_sXXUI_EZ1WJrfmjCY2IYels_ojy4/identis.in" TargetMode="External"/><Relationship Id="rId303" Type="http://schemas.openxmlformats.org/officeDocument/2006/relationships/hyperlink" Target="https://linkedin.com/company/digifarmz/about" TargetMode="External"/><Relationship Id="rId748" Type="http://schemas.openxmlformats.org/officeDocument/2006/relationships/hyperlink" Target="https://tracxn.com/companies/oBUwyHEdeQZA8kA-QwkbojopfGNcpoPAfaOk0uzj2xA/rootssat.com" TargetMode="External"/><Relationship Id="rId955" Type="http://schemas.openxmlformats.org/officeDocument/2006/relationships/hyperlink" Target="http://www.tartansense.com/" TargetMode="External"/><Relationship Id="rId1140" Type="http://schemas.openxmlformats.org/officeDocument/2006/relationships/hyperlink" Target="https://twitter.com/wrmsltd" TargetMode="External"/><Relationship Id="rId1378" Type="http://schemas.openxmlformats.org/officeDocument/2006/relationships/hyperlink" Target="http://www.agrimanu.com/" TargetMode="External"/><Relationship Id="rId1585" Type="http://schemas.openxmlformats.org/officeDocument/2006/relationships/hyperlink" Target="https://tracxn.com/companies/OqZ-b0FKFSbqUZSN177RdCK4KcLH9lx1-VI50N0niZo/16988.com" TargetMode="External"/><Relationship Id="rId1792" Type="http://schemas.openxmlformats.org/officeDocument/2006/relationships/hyperlink" Target="https://www.linkedin.com/company/seedworks-international-pvt.-ltd." TargetMode="External"/><Relationship Id="rId84" Type="http://schemas.openxmlformats.org/officeDocument/2006/relationships/hyperlink" Target="https://tracxn.com/companies/mMCihgosFJJtAvW3wtF4w94_ObxNflunAyWB2k0-u6s/upl-ltd.com" TargetMode="External"/><Relationship Id="rId510" Type="http://schemas.openxmlformats.org/officeDocument/2006/relationships/hyperlink" Target="http://en.kehuiseed.com/" TargetMode="External"/><Relationship Id="rId608" Type="http://schemas.openxmlformats.org/officeDocument/2006/relationships/hyperlink" Target="http://linkedin.com/company/13441955" TargetMode="External"/><Relationship Id="rId815" Type="http://schemas.openxmlformats.org/officeDocument/2006/relationships/hyperlink" Target="https://twitter.com/bharatrohan3" TargetMode="External"/><Relationship Id="rId1238" Type="http://schemas.openxmlformats.org/officeDocument/2006/relationships/hyperlink" Target="https://www.upl-ltd.com/" TargetMode="External"/><Relationship Id="rId1445" Type="http://schemas.openxmlformats.org/officeDocument/2006/relationships/hyperlink" Target="https://www.linkedin.com/company/o2waterator" TargetMode="External"/><Relationship Id="rId1652" Type="http://schemas.openxmlformats.org/officeDocument/2006/relationships/hyperlink" Target="http://www.linkedin.com/vsearch/p?f_CC=10034415" TargetMode="External"/><Relationship Id="rId1000" Type="http://schemas.openxmlformats.org/officeDocument/2006/relationships/hyperlink" Target="https://linkedin.com/company/aus-aarav-unmanned-systems" TargetMode="External"/><Relationship Id="rId1305" Type="http://schemas.openxmlformats.org/officeDocument/2006/relationships/hyperlink" Target="https://www.agrhub.com/" TargetMode="External"/><Relationship Id="rId1957" Type="http://schemas.openxmlformats.org/officeDocument/2006/relationships/hyperlink" Target="https://www.renewmaterial.com/" TargetMode="External"/><Relationship Id="rId1512" Type="http://schemas.openxmlformats.org/officeDocument/2006/relationships/hyperlink" Target="http://foodstock.com.ng/" TargetMode="External"/><Relationship Id="rId1817" Type="http://schemas.openxmlformats.org/officeDocument/2006/relationships/hyperlink" Target="http://twitter.com/jayalaxmiagro" TargetMode="External"/><Relationship Id="rId11" Type="http://schemas.openxmlformats.org/officeDocument/2006/relationships/hyperlink" Target="https://facebook.com/unnatifarms" TargetMode="External"/><Relationship Id="rId398" Type="http://schemas.openxmlformats.org/officeDocument/2006/relationships/hyperlink" Target="https://twitter.com/intergadobr" TargetMode="External"/><Relationship Id="rId2079" Type="http://schemas.openxmlformats.org/officeDocument/2006/relationships/hyperlink" Target="https://www.netafim.com/en/" TargetMode="External"/><Relationship Id="rId160" Type="http://schemas.openxmlformats.org/officeDocument/2006/relationships/hyperlink" Target="https://tracxn.com/companies/d5YLU_E-z6ejWE8UKV_U0WGxgqPcZFI1F3QoCV6j5Zo/otipy.com" TargetMode="External"/><Relationship Id="rId258" Type="http://schemas.openxmlformats.org/officeDocument/2006/relationships/hyperlink" Target="https://linkedin.com/company/nocofio/about" TargetMode="External"/><Relationship Id="rId465" Type="http://schemas.openxmlformats.org/officeDocument/2006/relationships/hyperlink" Target="http://facebook.com/farmizen" TargetMode="External"/><Relationship Id="rId672" Type="http://schemas.openxmlformats.org/officeDocument/2006/relationships/hyperlink" Target="http://www.zuzitech.com/" TargetMode="External"/><Relationship Id="rId1095" Type="http://schemas.openxmlformats.org/officeDocument/2006/relationships/hyperlink" Target="https://tracxn.com/companies/CBgA4OgK4kZs9S7ESBD_uCtr5XJkXLiSWGh0pXS6nYg/eden-shield.com" TargetMode="External"/><Relationship Id="rId2146" Type="http://schemas.openxmlformats.org/officeDocument/2006/relationships/hyperlink" Target="http://www.esoko.com/" TargetMode="External"/><Relationship Id="rId118" Type="http://schemas.openxmlformats.org/officeDocument/2006/relationships/hyperlink" Target="https://linkedin.com/company/procoltech/about" TargetMode="External"/><Relationship Id="rId325" Type="http://schemas.openxmlformats.org/officeDocument/2006/relationships/hyperlink" Target="https://tracxn.com/companies/CUb2eiU80e4ozSnE5jW1MW4ydbp_KVHy8HJUxwlNwnM/cropdomain.com" TargetMode="External"/><Relationship Id="rId532" Type="http://schemas.openxmlformats.org/officeDocument/2006/relationships/hyperlink" Target="https://tracxn.com/companies/7NPh-eZtai_ef1M8iq4HsC5Fza5AhzvaNbVdAUyYKs8/greenfingersmobile.com" TargetMode="External"/><Relationship Id="rId977" Type="http://schemas.openxmlformats.org/officeDocument/2006/relationships/hyperlink" Target="https://tracxn.com/companies/TOA-wHp7KlUQhPIHnqTOppdOqQrTaUsmB7E3IrzoARI/em3agri.com" TargetMode="External"/><Relationship Id="rId1162" Type="http://schemas.openxmlformats.org/officeDocument/2006/relationships/hyperlink" Target="https://www.phytech.com/" TargetMode="External"/><Relationship Id="rId2006" Type="http://schemas.openxmlformats.org/officeDocument/2006/relationships/hyperlink" Target="https://tracxn.com/companies/RurK4MBH5168_X8nnkQErvr0CbVKQAE5J2abhLFMjvo/sunculture.com" TargetMode="External"/><Relationship Id="rId2213" Type="http://schemas.openxmlformats.org/officeDocument/2006/relationships/hyperlink" Target="https://www.linkedin.com/company/3146270?trk=prof-0-ovw-curr_pos" TargetMode="External"/><Relationship Id="rId837" Type="http://schemas.openxmlformats.org/officeDocument/2006/relationships/hyperlink" Target="https://twitter.com/farmart_" TargetMode="External"/><Relationship Id="rId1022" Type="http://schemas.openxmlformats.org/officeDocument/2006/relationships/hyperlink" Target="https://twitter.com/agribuddy" TargetMode="External"/><Relationship Id="rId1467" Type="http://schemas.openxmlformats.org/officeDocument/2006/relationships/hyperlink" Target="http://linkedin.com/company/agreeta-solutions-private-limited" TargetMode="External"/><Relationship Id="rId1674" Type="http://schemas.openxmlformats.org/officeDocument/2006/relationships/hyperlink" Target="https://twitter.com/coldhubs" TargetMode="External"/><Relationship Id="rId1881" Type="http://schemas.openxmlformats.org/officeDocument/2006/relationships/hyperlink" Target="https://linkedin.com/company/sumaagroindiapvtltd" TargetMode="External"/><Relationship Id="rId904" Type="http://schemas.openxmlformats.org/officeDocument/2006/relationships/hyperlink" Target="http://twitter.com/infobrownapron" TargetMode="External"/><Relationship Id="rId1327" Type="http://schemas.openxmlformats.org/officeDocument/2006/relationships/hyperlink" Target="https://tracxn.com/companies/E0NVTqmuY33JQJV7gdxhKv-qAT4ZJB9D21Ehym1VSKw/pureharvest.ae" TargetMode="External"/><Relationship Id="rId1534" Type="http://schemas.openxmlformats.org/officeDocument/2006/relationships/hyperlink" Target="https://twitter.com/anatsaturas" TargetMode="External"/><Relationship Id="rId1741" Type="http://schemas.openxmlformats.org/officeDocument/2006/relationships/hyperlink" Target="https://aus.co.in/" TargetMode="External"/><Relationship Id="rId1979" Type="http://schemas.openxmlformats.org/officeDocument/2006/relationships/hyperlink" Target="http://www.linkedin.com/vsearch/p?f_CC=3563769" TargetMode="External"/><Relationship Id="rId33" Type="http://schemas.openxmlformats.org/officeDocument/2006/relationships/hyperlink" Target="https://www.neerx.in/" TargetMode="External"/><Relationship Id="rId1601" Type="http://schemas.openxmlformats.org/officeDocument/2006/relationships/hyperlink" Target="https://www.linkedin.com/company/buscagro" TargetMode="External"/><Relationship Id="rId1839" Type="http://schemas.openxmlformats.org/officeDocument/2006/relationships/hyperlink" Target="http://linkedin.com/company/cultivando-futuro-s-a-s-" TargetMode="External"/><Relationship Id="rId182" Type="http://schemas.openxmlformats.org/officeDocument/2006/relationships/hyperlink" Target="https://linkedin.com/company/fjdynamicsglobal/about" TargetMode="External"/><Relationship Id="rId1906" Type="http://schemas.openxmlformats.org/officeDocument/2006/relationships/hyperlink" Target="https://sites.google.com/a/barefeet.co.in/barefeet-co-in/barefeet-blog" TargetMode="External"/><Relationship Id="rId487" Type="http://schemas.openxmlformats.org/officeDocument/2006/relationships/hyperlink" Target="https://linkedin.com/company/n-drip-gravity-micro-irrigation/a" TargetMode="External"/><Relationship Id="rId694" Type="http://schemas.openxmlformats.org/officeDocument/2006/relationships/hyperlink" Target="https://tracxn.com/companies/4fJMIi7DU6x_GUgYOpJB1bfdwtzfj4_1kzS-A2SFDME/51xnb.com" TargetMode="External"/><Relationship Id="rId2070" Type="http://schemas.openxmlformats.org/officeDocument/2006/relationships/hyperlink" Target="http://facebook.com/origene-seeds-175084312511532" TargetMode="External"/><Relationship Id="rId2168" Type="http://schemas.openxmlformats.org/officeDocument/2006/relationships/hyperlink" Target="http://facebook.com/pg/driptech" TargetMode="External"/><Relationship Id="rId347" Type="http://schemas.openxmlformats.org/officeDocument/2006/relationships/hyperlink" Target="https://linkedin.com/company/sensegrass" TargetMode="External"/><Relationship Id="rId999" Type="http://schemas.openxmlformats.org/officeDocument/2006/relationships/hyperlink" Target="https://aus.co.in/" TargetMode="External"/><Relationship Id="rId1184" Type="http://schemas.openxmlformats.org/officeDocument/2006/relationships/hyperlink" Target="https://www.fieldin.com/" TargetMode="External"/><Relationship Id="rId2028" Type="http://schemas.openxmlformats.org/officeDocument/2006/relationships/hyperlink" Target="https://tracxn.com/companies/L7gY71ryiTHZCOXfErY0RjEEp0xCnyr5Vt6pqKqJlBM/virtualcity.co.ke" TargetMode="External"/><Relationship Id="rId554" Type="http://schemas.openxmlformats.org/officeDocument/2006/relationships/hyperlink" Target="http://luxelare.com/blog" TargetMode="External"/><Relationship Id="rId761" Type="http://schemas.openxmlformats.org/officeDocument/2006/relationships/hyperlink" Target="https://tracxn.com/companies/DPleF2IZlQsOEkz6mCdc-wRZiYc-ukNoM1Qf7vuPaY0/graodireto.com.br" TargetMode="External"/><Relationship Id="rId859" Type="http://schemas.openxmlformats.org/officeDocument/2006/relationships/hyperlink" Target="https://www.theflyingspark.com/" TargetMode="External"/><Relationship Id="rId1391" Type="http://schemas.openxmlformats.org/officeDocument/2006/relationships/hyperlink" Target="http://facebook.com/cowlar/" TargetMode="External"/><Relationship Id="rId1489" Type="http://schemas.openxmlformats.org/officeDocument/2006/relationships/hyperlink" Target="https://linkedin.com/company/theagrihub" TargetMode="External"/><Relationship Id="rId1696" Type="http://schemas.openxmlformats.org/officeDocument/2006/relationships/hyperlink" Target="https://www.cropx.com/" TargetMode="External"/><Relationship Id="rId2235" Type="http://schemas.openxmlformats.org/officeDocument/2006/relationships/hyperlink" Target="http://www.linkedin.com/vsearch/p?f_CC=3842792" TargetMode="External"/><Relationship Id="rId207" Type="http://schemas.openxmlformats.org/officeDocument/2006/relationships/hyperlink" Target="http://woolly.io/category/blog-classic" TargetMode="External"/><Relationship Id="rId414" Type="http://schemas.openxmlformats.org/officeDocument/2006/relationships/hyperlink" Target="https://www.famunera.com/" TargetMode="External"/><Relationship Id="rId621" Type="http://schemas.openxmlformats.org/officeDocument/2006/relationships/hyperlink" Target="http://twitter.com/farmersfz" TargetMode="External"/><Relationship Id="rId1044" Type="http://schemas.openxmlformats.org/officeDocument/2006/relationships/hyperlink" Target="https://www.cultivandofuturo.com/" TargetMode="External"/><Relationship Id="rId1251" Type="http://schemas.openxmlformats.org/officeDocument/2006/relationships/hyperlink" Target="https://tracxn.com/companies/EdP0qc0GbSrJGvalG6wDXmsGRn8JqEDJtGpQX9JSBEA/farmbee.in" TargetMode="External"/><Relationship Id="rId1349" Type="http://schemas.openxmlformats.org/officeDocument/2006/relationships/hyperlink" Target="https://tracxn.com/companies/rc6E5AUce4ZZ5SUdImrWF14jWpy1-3K2F6P32YuMLt0/iprocu.re" TargetMode="External"/><Relationship Id="rId719" Type="http://schemas.openxmlformats.org/officeDocument/2006/relationships/hyperlink" Target="https://www.cowlar.com/" TargetMode="External"/><Relationship Id="rId926" Type="http://schemas.openxmlformats.org/officeDocument/2006/relationships/hyperlink" Target="http://linkedin.com/company/foidn-technology-group" TargetMode="External"/><Relationship Id="rId1111" Type="http://schemas.openxmlformats.org/officeDocument/2006/relationships/hyperlink" Target="http://facebook.com/boheco" TargetMode="External"/><Relationship Id="rId1556" Type="http://schemas.openxmlformats.org/officeDocument/2006/relationships/hyperlink" Target="https://www.dfs168.com/" TargetMode="External"/><Relationship Id="rId1763" Type="http://schemas.openxmlformats.org/officeDocument/2006/relationships/hyperlink" Target="https://linkedin.com/company/%E7%BE%8E%E8%8F%9C%E7%BD%91/about" TargetMode="External"/><Relationship Id="rId1970" Type="http://schemas.openxmlformats.org/officeDocument/2006/relationships/hyperlink" Target="https://tracxn.com/companies/Dd5lmaGfv3jVbzmia3z4uNvcjnyhFjya7-_vrkHg4p4/shellcatch.com" TargetMode="External"/><Relationship Id="rId55" Type="http://schemas.openxmlformats.org/officeDocument/2006/relationships/hyperlink" Target="https://tracxn.com/companies/2e78llzbu2eaGemrPil3_RJ3aYB9Kkw-2uSmT0tNMAI/agrapp.cl" TargetMode="External"/><Relationship Id="rId1209" Type="http://schemas.openxmlformats.org/officeDocument/2006/relationships/hyperlink" Target="https://www.eruvaka.com/" TargetMode="External"/><Relationship Id="rId1416" Type="http://schemas.openxmlformats.org/officeDocument/2006/relationships/hyperlink" Target="https://tracxn.com/companies/jNrl9lg4KQIumwJVWtSOMg1o0U_OlFYXeabLSaDwlCc/aquaapp.in" TargetMode="External"/><Relationship Id="rId1623" Type="http://schemas.openxmlformats.org/officeDocument/2006/relationships/hyperlink" Target="https://farmdog.ag/" TargetMode="External"/><Relationship Id="rId1830" Type="http://schemas.openxmlformats.org/officeDocument/2006/relationships/hyperlink" Target="http://facebook.com/farmdriveke" TargetMode="External"/><Relationship Id="rId1928" Type="http://schemas.openxmlformats.org/officeDocument/2006/relationships/hyperlink" Target="http://twitter.com/efisherycom" TargetMode="External"/><Relationship Id="rId2092" Type="http://schemas.openxmlformats.org/officeDocument/2006/relationships/hyperlink" Target="http://www.linkedin.com/vsearch/p?f_CC=2116123" TargetMode="External"/><Relationship Id="rId271" Type="http://schemas.openxmlformats.org/officeDocument/2006/relationships/hyperlink" Target="http://linkedin.com/company/allerguard-" TargetMode="External"/><Relationship Id="rId131" Type="http://schemas.openxmlformats.org/officeDocument/2006/relationships/hyperlink" Target="http://www.mysmartfarms.com/" TargetMode="External"/><Relationship Id="rId369" Type="http://schemas.openxmlformats.org/officeDocument/2006/relationships/hyperlink" Target="https://facebook.com/scannerbovino" TargetMode="External"/><Relationship Id="rId576" Type="http://schemas.openxmlformats.org/officeDocument/2006/relationships/hyperlink" Target="https://tracxn.com/companies/lRoOaM7-nkJKxUnFRH-6a3KAmNngWX-F_tZ693JSwsY/krishitantra.com" TargetMode="External"/><Relationship Id="rId783" Type="http://schemas.openxmlformats.org/officeDocument/2006/relationships/hyperlink" Target="https://tracxn.com/companies/2MtgQGfD34euwbgK_SxgaPjZrPzwo91TsHssz0HPv0Y/7gongli.com.cn" TargetMode="External"/><Relationship Id="rId990" Type="http://schemas.openxmlformats.org/officeDocument/2006/relationships/hyperlink" Target="https://twitter.com/prospera_tech" TargetMode="External"/><Relationship Id="rId2257" Type="http://schemas.openxmlformats.org/officeDocument/2006/relationships/hyperlink" Target="https://twitter.com/nuziveeduseed" TargetMode="External"/><Relationship Id="rId229" Type="http://schemas.openxmlformats.org/officeDocument/2006/relationships/hyperlink" Target="http://www.linkedin.com/vsearch/p?f_CC=6440" TargetMode="External"/><Relationship Id="rId436" Type="http://schemas.openxmlformats.org/officeDocument/2006/relationships/hyperlink" Target="https://tracxn.com/companies/bD1wTOTZRth_dwnUSlrx-wvWUH3aThLlu2vwGbL84wg/kebaiiot.com" TargetMode="External"/><Relationship Id="rId643" Type="http://schemas.openxmlformats.org/officeDocument/2006/relationships/hyperlink" Target="https://www.linkedin.com/company/impact-terra" TargetMode="External"/><Relationship Id="rId1066" Type="http://schemas.openxmlformats.org/officeDocument/2006/relationships/hyperlink" Target="https://twitter.com/agrostar_in" TargetMode="External"/><Relationship Id="rId1273" Type="http://schemas.openxmlformats.org/officeDocument/2006/relationships/hyperlink" Target="https://www.poptani.asia/" TargetMode="External"/><Relationship Id="rId1480" Type="http://schemas.openxmlformats.org/officeDocument/2006/relationships/hyperlink" Target="https://tracxn.com/companies/aZwS2df5coxuetCqfMBd8rZKTJ7VAJgC8qit_6XHq0I/swinesmart.com" TargetMode="External"/><Relationship Id="rId2117" Type="http://schemas.openxmlformats.org/officeDocument/2006/relationships/hyperlink" Target="http://www.imeve.com.br/" TargetMode="External"/><Relationship Id="rId850" Type="http://schemas.openxmlformats.org/officeDocument/2006/relationships/hyperlink" Target="https://linkedin.com/company/taranis-visual/about" TargetMode="External"/><Relationship Id="rId948" Type="http://schemas.openxmlformats.org/officeDocument/2006/relationships/hyperlink" Target="http://www.linkedin.com/vsearch/p?f_CC=9476277" TargetMode="External"/><Relationship Id="rId1133" Type="http://schemas.openxmlformats.org/officeDocument/2006/relationships/hyperlink" Target="http://linkedin.com/company/9236518" TargetMode="External"/><Relationship Id="rId1578" Type="http://schemas.openxmlformats.org/officeDocument/2006/relationships/hyperlink" Target="https://tracxn.com/companies/nHkazzrLPeSfRsxeCDI4h1A4rtbMbgFNYnkOx8WlMkQ/ugaoo.com" TargetMode="External"/><Relationship Id="rId1785" Type="http://schemas.openxmlformats.org/officeDocument/2006/relationships/hyperlink" Target="https://twitter.com/ninjacart" TargetMode="External"/><Relationship Id="rId1992" Type="http://schemas.openxmlformats.org/officeDocument/2006/relationships/hyperlink" Target="https://www.lessindustries.com/" TargetMode="External"/><Relationship Id="rId77" Type="http://schemas.openxmlformats.org/officeDocument/2006/relationships/hyperlink" Target="https://linkedin.com/company/brain-wired/about" TargetMode="External"/><Relationship Id="rId503" Type="http://schemas.openxmlformats.org/officeDocument/2006/relationships/hyperlink" Target="https://www.agri-intel.com/" TargetMode="External"/><Relationship Id="rId710" Type="http://schemas.openxmlformats.org/officeDocument/2006/relationships/hyperlink" Target="https://farmersprideafrica.com/" TargetMode="External"/><Relationship Id="rId808" Type="http://schemas.openxmlformats.org/officeDocument/2006/relationships/hyperlink" Target="https://www.linkedin.com/company/farmerline" TargetMode="External"/><Relationship Id="rId1340" Type="http://schemas.openxmlformats.org/officeDocument/2006/relationships/hyperlink" Target="http://ww38.paalak.in/" TargetMode="External"/><Relationship Id="rId1438" Type="http://schemas.openxmlformats.org/officeDocument/2006/relationships/hyperlink" Target="http://facebook.com/komazakenya" TargetMode="External"/><Relationship Id="rId1645" Type="http://schemas.openxmlformats.org/officeDocument/2006/relationships/hyperlink" Target="https://tracxn.com/companies/MlOot8f4dFGe5cE1jD-FDd-z84N4FghqGjLF_IxU-aE/brownapron.com" TargetMode="External"/><Relationship Id="rId1200" Type="http://schemas.openxmlformats.org/officeDocument/2006/relationships/hyperlink" Target="http://facebook.com/agriness" TargetMode="External"/><Relationship Id="rId1852" Type="http://schemas.openxmlformats.org/officeDocument/2006/relationships/hyperlink" Target="http://agrosmart.com.br/blog" TargetMode="External"/><Relationship Id="rId1505" Type="http://schemas.openxmlformats.org/officeDocument/2006/relationships/hyperlink" Target="https://tracxn.com/companies/vF5wqX-dKlJreS6gW5PGFmOiQgyIzCVvYnGcvY9q2ig/enowisetech.com" TargetMode="External"/><Relationship Id="rId1712" Type="http://schemas.openxmlformats.org/officeDocument/2006/relationships/hyperlink" Target="https://tracxn.com/companies/x9zmhuKaE9xULfTOpJtGd3u-2cy624Q0PulsrIZNX2A/bighaat.com" TargetMode="External"/><Relationship Id="rId293" Type="http://schemas.openxmlformats.org/officeDocument/2006/relationships/hyperlink" Target="http://linkedin.com/company/18199377" TargetMode="External"/><Relationship Id="rId2181" Type="http://schemas.openxmlformats.org/officeDocument/2006/relationships/hyperlink" Target="http://camsonbiotechnologies.com/" TargetMode="External"/><Relationship Id="rId153" Type="http://schemas.openxmlformats.org/officeDocument/2006/relationships/hyperlink" Target="https://linkedin.com/company/beehero/about" TargetMode="External"/><Relationship Id="rId360" Type="http://schemas.openxmlformats.org/officeDocument/2006/relationships/hyperlink" Target="http://linkedin.com/company/10818165" TargetMode="External"/><Relationship Id="rId598" Type="http://schemas.openxmlformats.org/officeDocument/2006/relationships/hyperlink" Target="http://agricx.com/" TargetMode="External"/><Relationship Id="rId2041" Type="http://schemas.openxmlformats.org/officeDocument/2006/relationships/hyperlink" Target="http://linkedin.com/company/tech4farmers" TargetMode="External"/><Relationship Id="rId220" Type="http://schemas.openxmlformats.org/officeDocument/2006/relationships/hyperlink" Target="https://linkedin.com/company/oaesis/about" TargetMode="External"/><Relationship Id="rId458" Type="http://schemas.openxmlformats.org/officeDocument/2006/relationships/hyperlink" Target="https://twitter.com/naturacropcare" TargetMode="External"/><Relationship Id="rId665" Type="http://schemas.openxmlformats.org/officeDocument/2006/relationships/hyperlink" Target="https://tracxn.com/companies/cSGliKmS6ii1BBHpAW2010pK55l6XcDZedJ4tE8SjQk/farmcrowdy.com" TargetMode="External"/><Relationship Id="rId872" Type="http://schemas.openxmlformats.org/officeDocument/2006/relationships/hyperlink" Target="https://tracxn.com/companies/FSi3olewLRypVWq4-C2tWDD-srtQOWjGZPXJ23silIk/tierrademonte.com" TargetMode="External"/><Relationship Id="rId1088" Type="http://schemas.openxmlformats.org/officeDocument/2006/relationships/hyperlink" Target="https://tracxn.com/companies/GV8lcp9hEClumc_PXkcL34O1TN_Hr6f1YhECZXM4c7w/efishery.com" TargetMode="External"/><Relationship Id="rId1295" Type="http://schemas.openxmlformats.org/officeDocument/2006/relationships/hyperlink" Target="https://linkedin.com/company/swasti-agro/about" TargetMode="External"/><Relationship Id="rId2139" Type="http://schemas.openxmlformats.org/officeDocument/2006/relationships/hyperlink" Target="https://www.farmigo.com/" TargetMode="External"/><Relationship Id="rId318" Type="http://schemas.openxmlformats.org/officeDocument/2006/relationships/hyperlink" Target="https://www.jai-kisan.com/" TargetMode="External"/><Relationship Id="rId525" Type="http://schemas.openxmlformats.org/officeDocument/2006/relationships/hyperlink" Target="http://www.4008268365.com/" TargetMode="External"/><Relationship Id="rId732" Type="http://schemas.openxmlformats.org/officeDocument/2006/relationships/hyperlink" Target="http://twitter.com/tomatiki3" TargetMode="External"/><Relationship Id="rId1155" Type="http://schemas.openxmlformats.org/officeDocument/2006/relationships/hyperlink" Target="http://www.linkedin.com/vsearch/p?f_CC=1762087" TargetMode="External"/><Relationship Id="rId1362" Type="http://schemas.openxmlformats.org/officeDocument/2006/relationships/hyperlink" Target="http://tradeghana.co/landing/blog.html" TargetMode="External"/><Relationship Id="rId2206" Type="http://schemas.openxmlformats.org/officeDocument/2006/relationships/hyperlink" Target="http://linkedin.com/company/8villages" TargetMode="External"/><Relationship Id="rId99" Type="http://schemas.openxmlformats.org/officeDocument/2006/relationships/hyperlink" Target="https://tracxn.com/companies/XLQGnSPHcsEyU5APPJzc1j5tMZUtvuIRRFIqd7b9GCA/farmshine.io" TargetMode="External"/><Relationship Id="rId1015" Type="http://schemas.openxmlformats.org/officeDocument/2006/relationships/hyperlink" Target="https://www.linkedin.com/company/9498451" TargetMode="External"/><Relationship Id="rId1222" Type="http://schemas.openxmlformats.org/officeDocument/2006/relationships/hyperlink" Target="https://linkedin.com/company/stellapps-technologies-private-limited/about" TargetMode="External"/><Relationship Id="rId1667" Type="http://schemas.openxmlformats.org/officeDocument/2006/relationships/hyperlink" Target="http://www.linkedin.com/vsearch/p?f_CC=9400362" TargetMode="External"/><Relationship Id="rId1874" Type="http://schemas.openxmlformats.org/officeDocument/2006/relationships/hyperlink" Target="http://facebook.com/harddrones" TargetMode="External"/><Relationship Id="rId1527" Type="http://schemas.openxmlformats.org/officeDocument/2006/relationships/hyperlink" Target="https://linkedin.com/company/%E6%B7%B1%E5%9C%B3%E5%86%9C%E9%87%91%E5%9C%88%E9%87%91%E8%9E%8D%E6%9C%8D%E5%8A%A1%E6%9C%89%E9%99%90%E5%85%AC%E5%8F%B8" TargetMode="External"/><Relationship Id="rId1734" Type="http://schemas.openxmlformats.org/officeDocument/2006/relationships/hyperlink" Target="http://facebook.com/zappfresh" TargetMode="External"/><Relationship Id="rId1941" Type="http://schemas.openxmlformats.org/officeDocument/2006/relationships/hyperlink" Target="https://www.linkedin.com/company/zentron-labs-pvt-ltd" TargetMode="External"/><Relationship Id="rId26" Type="http://schemas.openxmlformats.org/officeDocument/2006/relationships/hyperlink" Target="http://habr.com/en/company/alconost" TargetMode="External"/><Relationship Id="rId175" Type="http://schemas.openxmlformats.org/officeDocument/2006/relationships/hyperlink" Target="http://agrowaves.in/" TargetMode="External"/><Relationship Id="rId1801" Type="http://schemas.openxmlformats.org/officeDocument/2006/relationships/hyperlink" Target="http://facebook.com/pages/flybird-innovations-pvt-ltd/1570844579814500" TargetMode="External"/><Relationship Id="rId382" Type="http://schemas.openxmlformats.org/officeDocument/2006/relationships/hyperlink" Target="https://linkedin.com/company/ifarmerasia" TargetMode="External"/><Relationship Id="rId687" Type="http://schemas.openxmlformats.org/officeDocument/2006/relationships/hyperlink" Target="https://www.linkedin.com/company/4992253?trk=prof-exp-company-name" TargetMode="External"/><Relationship Id="rId2063" Type="http://schemas.openxmlformats.org/officeDocument/2006/relationships/hyperlink" Target="https://phenome-networks.com/" TargetMode="External"/><Relationship Id="rId2270" Type="http://schemas.openxmlformats.org/officeDocument/2006/relationships/hyperlink" Target="http://facebook.com/seedcozimbabwe" TargetMode="External"/><Relationship Id="rId242" Type="http://schemas.openxmlformats.org/officeDocument/2006/relationships/hyperlink" Target="https://twitter.com/agro2o_" TargetMode="External"/><Relationship Id="rId894" Type="http://schemas.openxmlformats.org/officeDocument/2006/relationships/hyperlink" Target="http://facebook.com/farmdog.ag" TargetMode="External"/><Relationship Id="rId1177" Type="http://schemas.openxmlformats.org/officeDocument/2006/relationships/hyperlink" Target="http://blog.netafim.com/" TargetMode="External"/><Relationship Id="rId2130" Type="http://schemas.openxmlformats.org/officeDocument/2006/relationships/hyperlink" Target="http://www.linkedin.com/vsearch/p?f_CC=1698388" TargetMode="External"/><Relationship Id="rId102" Type="http://schemas.openxmlformats.org/officeDocument/2006/relationships/hyperlink" Target="https://facebook.com/absolutegreens" TargetMode="External"/><Relationship Id="rId547" Type="http://schemas.openxmlformats.org/officeDocument/2006/relationships/hyperlink" Target="https://twitter.com/agnextworld" TargetMode="External"/><Relationship Id="rId754" Type="http://schemas.openxmlformats.org/officeDocument/2006/relationships/hyperlink" Target="https://twitter.com/crofarm_com" TargetMode="External"/><Relationship Id="rId961" Type="http://schemas.openxmlformats.org/officeDocument/2006/relationships/hyperlink" Target="http://twitter.com/crop_x" TargetMode="External"/><Relationship Id="rId1384" Type="http://schemas.openxmlformats.org/officeDocument/2006/relationships/hyperlink" Target="https://twitter.com/supplybunny" TargetMode="External"/><Relationship Id="rId1591" Type="http://schemas.openxmlformats.org/officeDocument/2006/relationships/hyperlink" Target="http://facebook.com/pages/tierra-seed-science/552733908126819" TargetMode="External"/><Relationship Id="rId1689" Type="http://schemas.openxmlformats.org/officeDocument/2006/relationships/hyperlink" Target="http://linkedin.com/company/aegro" TargetMode="External"/><Relationship Id="rId2228" Type="http://schemas.openxmlformats.org/officeDocument/2006/relationships/hyperlink" Target="https://tracxn.com/companies/WWFnrSYFDDTvCuTresv-jNutXxvk86bwXiIbY5NEDLA/yuktix.com" TargetMode="External"/><Relationship Id="rId90" Type="http://schemas.openxmlformats.org/officeDocument/2006/relationships/hyperlink" Target="https://tracxn.com/companies/TPwOJ82BMomX4rvbVUXm8bgYjPCYE6DYbLdeCQionPs/pinkfarms.com.br" TargetMode="External"/><Relationship Id="rId407" Type="http://schemas.openxmlformats.org/officeDocument/2006/relationships/hyperlink" Target="http://linkedin.com/company/edete-precision-technologies-for-agriculture" TargetMode="External"/><Relationship Id="rId614" Type="http://schemas.openxmlformats.org/officeDocument/2006/relationships/hyperlink" Target="https://www.satsure.co/" TargetMode="External"/><Relationship Id="rId821" Type="http://schemas.openxmlformats.org/officeDocument/2006/relationships/hyperlink" Target="https://tracxn.com/companies/nZOSeMQ6ID-6k1Wg9o6LeSPhY44yekzjoGOSeqwlJmk/kisannetwork.com" TargetMode="External"/><Relationship Id="rId1037" Type="http://schemas.openxmlformats.org/officeDocument/2006/relationships/hyperlink" Target="http://www.linkedin.com/vsearch/p?f_CC=9381643" TargetMode="External"/><Relationship Id="rId1244" Type="http://schemas.openxmlformats.org/officeDocument/2006/relationships/hyperlink" Target="https://www.twiga.ke/" TargetMode="External"/><Relationship Id="rId1451" Type="http://schemas.openxmlformats.org/officeDocument/2006/relationships/hyperlink" Target="https://tracxn.com/companies/MxsTb1wrdimWSXqekEuJvjJME01TwiQCssKxR9i4dHU/rmlagtech.com" TargetMode="External"/><Relationship Id="rId1896" Type="http://schemas.openxmlformats.org/officeDocument/2006/relationships/hyperlink" Target="http://facebook.com/groundworkbioag" TargetMode="External"/><Relationship Id="rId919" Type="http://schemas.openxmlformats.org/officeDocument/2006/relationships/hyperlink" Target="http://www.linkedin.com/vsearch/p?f_CC=10034415" TargetMode="External"/><Relationship Id="rId1104" Type="http://schemas.openxmlformats.org/officeDocument/2006/relationships/hyperlink" Target="https://tracxn.com/companies/VcEjFxn8gnO2L9QJYy-Kq5NwqMuHan4AhJt1QPR1XoM/gramophone.in" TargetMode="External"/><Relationship Id="rId1311" Type="http://schemas.openxmlformats.org/officeDocument/2006/relationships/hyperlink" Target="https://twitter.com/agnextworld" TargetMode="External"/><Relationship Id="rId1549" Type="http://schemas.openxmlformats.org/officeDocument/2006/relationships/hyperlink" Target="https://www.linkedin.com/company/igrow-resources-indonesia" TargetMode="External"/><Relationship Id="rId1756" Type="http://schemas.openxmlformats.org/officeDocument/2006/relationships/hyperlink" Target="https://tracxn.com/companies/gDqXh6V2lzgjgpIUtCkBsj5PFs578qagF2it80olFk8/fdlm.cn" TargetMode="External"/><Relationship Id="rId1963" Type="http://schemas.openxmlformats.org/officeDocument/2006/relationships/hyperlink" Target="http://linkedin.com/company/visualnacert" TargetMode="External"/><Relationship Id="rId48" Type="http://schemas.openxmlformats.org/officeDocument/2006/relationships/hyperlink" Target="http://medium.com/@beewise.ag" TargetMode="External"/><Relationship Id="rId1409" Type="http://schemas.openxmlformats.org/officeDocument/2006/relationships/hyperlink" Target="https://linkedin.com/company/%E5%8C%97%E4%BA%AC%E4%B9%99%E6%9C%AA%E7%A7%91%E6%8A%80%E6%9C%89%E9%99%90%E5%85%AC%E5%8F%B8" TargetMode="External"/><Relationship Id="rId1616" Type="http://schemas.openxmlformats.org/officeDocument/2006/relationships/hyperlink" Target="https://www.cropital.com/" TargetMode="External"/><Relationship Id="rId1823" Type="http://schemas.openxmlformats.org/officeDocument/2006/relationships/hyperlink" Target="https://ergos.in/" TargetMode="External"/><Relationship Id="rId197" Type="http://schemas.openxmlformats.org/officeDocument/2006/relationships/hyperlink" Target="http://www.shuxitech.com/" TargetMode="External"/><Relationship Id="rId2085" Type="http://schemas.openxmlformats.org/officeDocument/2006/relationships/hyperlink" Target="http://www.linkedin.com/vsearch/p?f_CC=3198408" TargetMode="External"/><Relationship Id="rId264" Type="http://schemas.openxmlformats.org/officeDocument/2006/relationships/hyperlink" Target="https://linkedin.com/company/aggois" TargetMode="External"/><Relationship Id="rId471" Type="http://schemas.openxmlformats.org/officeDocument/2006/relationships/hyperlink" Target="https://tracxn.com/companies/Z3aoPCnYyWVaTVzdbisc4XT9ewtN2j_ml5nNQnX_Rjw/beehivesa.com" TargetMode="External"/><Relationship Id="rId2152" Type="http://schemas.openxmlformats.org/officeDocument/2006/relationships/hyperlink" Target="http://enalta.com/" TargetMode="External"/><Relationship Id="rId124" Type="http://schemas.openxmlformats.org/officeDocument/2006/relationships/hyperlink" Target="https://linkedin.com/company/simbiotica-labs" TargetMode="External"/><Relationship Id="rId569" Type="http://schemas.openxmlformats.org/officeDocument/2006/relationships/hyperlink" Target="https://twitter.com/aerobotics_intl" TargetMode="External"/><Relationship Id="rId776" Type="http://schemas.openxmlformats.org/officeDocument/2006/relationships/hyperlink" Target="http://livestockwealth.com/index.php/press" TargetMode="External"/><Relationship Id="rId983" Type="http://schemas.openxmlformats.org/officeDocument/2006/relationships/hyperlink" Target="http://www.linkedin.com/vsearch/p?f_CC=4837305" TargetMode="External"/><Relationship Id="rId1199" Type="http://schemas.openxmlformats.org/officeDocument/2006/relationships/hyperlink" Target="http://twitter.com/agriness" TargetMode="External"/><Relationship Id="rId331" Type="http://schemas.openxmlformats.org/officeDocument/2006/relationships/hyperlink" Target="https://linkedin.com/company/credible-india/about" TargetMode="External"/><Relationship Id="rId429" Type="http://schemas.openxmlformats.org/officeDocument/2006/relationships/hyperlink" Target="https://linkedin.com/company/waycoolfoods/about" TargetMode="External"/><Relationship Id="rId636" Type="http://schemas.openxmlformats.org/officeDocument/2006/relationships/hyperlink" Target="https://tracxn.com/companies/oqUSrPr7a9bok0-ZymP62vN6kJhWhf_Aec7VzW_qwFs/unnati.world" TargetMode="External"/><Relationship Id="rId1059" Type="http://schemas.openxmlformats.org/officeDocument/2006/relationships/hyperlink" Target="http://twitter.com/mahycoindia" TargetMode="External"/><Relationship Id="rId1266" Type="http://schemas.openxmlformats.org/officeDocument/2006/relationships/hyperlink" Target="https://www.farmster.co/" TargetMode="External"/><Relationship Id="rId1473" Type="http://schemas.openxmlformats.org/officeDocument/2006/relationships/hyperlink" Target="https://www.linkedin.com/company/rootility" TargetMode="External"/><Relationship Id="rId2012" Type="http://schemas.openxmlformats.org/officeDocument/2006/relationships/hyperlink" Target="http://www.agronometrics.com/" TargetMode="External"/><Relationship Id="rId843" Type="http://schemas.openxmlformats.org/officeDocument/2006/relationships/hyperlink" Target="https://www.facebook.com/saturas.ag/" TargetMode="External"/><Relationship Id="rId1126" Type="http://schemas.openxmlformats.org/officeDocument/2006/relationships/hyperlink" Target="https://tracxn.com/companies/5yxLa_9PhQSSj9pAnRy9ka6l1NhS6oEl2APxiQweSbw/farmerp.com" TargetMode="External"/><Relationship Id="rId1680" Type="http://schemas.openxmlformats.org/officeDocument/2006/relationships/hyperlink" Target="https://tracxn.com/companies/IaZ8WINeIbdlzWkTOepRJ782YRNdB17NaYZ65etCBEo/revofarm.com" TargetMode="External"/><Relationship Id="rId1778" Type="http://schemas.openxmlformats.org/officeDocument/2006/relationships/hyperlink" Target="https://twitter.com/cropintech" TargetMode="External"/><Relationship Id="rId1985" Type="http://schemas.openxmlformats.org/officeDocument/2006/relationships/hyperlink" Target="http://www.linkedin.com/vsearch/p?f_CC=8190273" TargetMode="External"/><Relationship Id="rId703" Type="http://schemas.openxmlformats.org/officeDocument/2006/relationships/hyperlink" Target="https://www.linkedin.com/company/&#24191;&#35199;&#24935;&#20113;&#20449;&#24687;&#25216;&#26415;&#26377;&#38480;&#20844;&#21496;" TargetMode="External"/><Relationship Id="rId910" Type="http://schemas.openxmlformats.org/officeDocument/2006/relationships/hyperlink" Target="http://facebook.com/instacrops" TargetMode="External"/><Relationship Id="rId1333" Type="http://schemas.openxmlformats.org/officeDocument/2006/relationships/hyperlink" Target="https://facebook.com/intellolabs" TargetMode="External"/><Relationship Id="rId1540" Type="http://schemas.openxmlformats.org/officeDocument/2006/relationships/hyperlink" Target="https://www.linkedin.com/company/%E5%8C%97%E4%BA%AC%E5%85%84%E5%BC%9F%E4%B9%8B%E6%81%92%E7%A7%91%E6%8A%80%E6%9C%89%E9%99%90%E5%85%AC%E5%8F%B8" TargetMode="External"/><Relationship Id="rId1638" Type="http://schemas.openxmlformats.org/officeDocument/2006/relationships/hyperlink" Target="https://tracxn.com/companies/1Ee12jtaNyO5W-sJh2lHfPYzlzOMC9Rw353QbnTLauA/farmtaaza.com" TargetMode="External"/><Relationship Id="rId1400" Type="http://schemas.openxmlformats.org/officeDocument/2006/relationships/hyperlink" Target="http://facebook.com/aibonoworld" TargetMode="External"/><Relationship Id="rId1845" Type="http://schemas.openxmlformats.org/officeDocument/2006/relationships/hyperlink" Target="http://linkedin.com/company/autoagronom" TargetMode="External"/><Relationship Id="rId1705" Type="http://schemas.openxmlformats.org/officeDocument/2006/relationships/hyperlink" Target="http://linkedin.com/company/babban-gona" TargetMode="External"/><Relationship Id="rId1912" Type="http://schemas.openxmlformats.org/officeDocument/2006/relationships/hyperlink" Target="http://www.linkedin.com/vsearch/p?f_CC=9266933" TargetMode="External"/><Relationship Id="rId286" Type="http://schemas.openxmlformats.org/officeDocument/2006/relationships/hyperlink" Target="http://twitter.com/annona_co" TargetMode="External"/><Relationship Id="rId493" Type="http://schemas.openxmlformats.org/officeDocument/2006/relationships/hyperlink" Target="https://tracxn.com/companies/CsaRMrNZKjunoWp_Oa_5HMmdlRPgYzeYDF-J6drjhyM/seedo.com" TargetMode="External"/><Relationship Id="rId2174" Type="http://schemas.openxmlformats.org/officeDocument/2006/relationships/hyperlink" Target="http://www.linkedin.com/vsearch/p?f_CC=3200128" TargetMode="External"/><Relationship Id="rId146" Type="http://schemas.openxmlformats.org/officeDocument/2006/relationships/hyperlink" Target="http://www.linkedin.com/vsearch/p?f_CC=10118408" TargetMode="External"/><Relationship Id="rId353" Type="http://schemas.openxmlformats.org/officeDocument/2006/relationships/hyperlink" Target="https://twitter.com/tradebuza" TargetMode="External"/><Relationship Id="rId560" Type="http://schemas.openxmlformats.org/officeDocument/2006/relationships/hyperlink" Target="https://tracxn.com/companies/pudApBsAc2-jxO0ieWxshOn8iv6Tt59mxq0_XbGubog/gobasco.com" TargetMode="External"/><Relationship Id="rId798" Type="http://schemas.openxmlformats.org/officeDocument/2006/relationships/hyperlink" Target="https://www.linkedin.com/company/aruna-indonesia" TargetMode="External"/><Relationship Id="rId1190" Type="http://schemas.openxmlformats.org/officeDocument/2006/relationships/hyperlink" Target="http://www.linkedin.com/vsearch/p?f_CC=623144" TargetMode="External"/><Relationship Id="rId2034" Type="http://schemas.openxmlformats.org/officeDocument/2006/relationships/hyperlink" Target="https://tracxn.com/companies/Vju6Bla_g0UIsWUdr8onXvLyUmqnuXTsfIyFneR1jyU/vegfru.com" TargetMode="External"/><Relationship Id="rId2241" Type="http://schemas.openxmlformats.org/officeDocument/2006/relationships/hyperlink" Target="http://www.linkedin.com/vsearch/p?f_CC=2346675" TargetMode="External"/><Relationship Id="rId213" Type="http://schemas.openxmlformats.org/officeDocument/2006/relationships/hyperlink" Target="https://www.sndistinguish.com/" TargetMode="External"/><Relationship Id="rId420" Type="http://schemas.openxmlformats.org/officeDocument/2006/relationships/hyperlink" Target="https://www.zhimadi.cn/" TargetMode="External"/><Relationship Id="rId658" Type="http://schemas.openxmlformats.org/officeDocument/2006/relationships/hyperlink" Target="http://facebook.com/payagri" TargetMode="External"/><Relationship Id="rId865" Type="http://schemas.openxmlformats.org/officeDocument/2006/relationships/hyperlink" Target="http://linkedin.com/company/6637731" TargetMode="External"/><Relationship Id="rId1050" Type="http://schemas.openxmlformats.org/officeDocument/2006/relationships/hyperlink" Target="https://agrosmart.com.br/" TargetMode="External"/><Relationship Id="rId1288" Type="http://schemas.openxmlformats.org/officeDocument/2006/relationships/hyperlink" Target="https://facebook.com/waycoolfoods" TargetMode="External"/><Relationship Id="rId1495" Type="http://schemas.openxmlformats.org/officeDocument/2006/relationships/hyperlink" Target="https://tracxn.com/companies/nZOSeMQ6ID-6k1Wg9o6LeSPhY44yekzjoGOSeqwlJmk/kisannetwork.com" TargetMode="External"/><Relationship Id="rId2101" Type="http://schemas.openxmlformats.org/officeDocument/2006/relationships/hyperlink" Target="https://tracxn.com/companies/cBnl0uSqxhM1Xrs3et-zD8FG5mY2Cj4g9KIeKJZ_ryI/krishidhanseeds.com" TargetMode="External"/><Relationship Id="rId518" Type="http://schemas.openxmlformats.org/officeDocument/2006/relationships/hyperlink" Target="https://www.ttxn.com/" TargetMode="External"/><Relationship Id="rId725" Type="http://schemas.openxmlformats.org/officeDocument/2006/relationships/hyperlink" Target="https://linkedin.com/company/aibono" TargetMode="External"/><Relationship Id="rId932" Type="http://schemas.openxmlformats.org/officeDocument/2006/relationships/hyperlink" Target="http://facebook.com/jetbov" TargetMode="External"/><Relationship Id="rId1148" Type="http://schemas.openxmlformats.org/officeDocument/2006/relationships/hyperlink" Target="https://tracxn.com/companies/0TLjvrfHsE3tMwNXJNYCDfwNI0PRpIp6Egcf1Qr1ZLI/tbit.com.br" TargetMode="External"/><Relationship Id="rId1355" Type="http://schemas.openxmlformats.org/officeDocument/2006/relationships/hyperlink" Target="http://linkedin.com/company/avenews-gt" TargetMode="External"/><Relationship Id="rId1562" Type="http://schemas.openxmlformats.org/officeDocument/2006/relationships/hyperlink" Target="https://heatstressanalyzer.weebly.com/" TargetMode="External"/><Relationship Id="rId1008" Type="http://schemas.openxmlformats.org/officeDocument/2006/relationships/hyperlink" Target="https://linkedin.com/company/cropin-technology" TargetMode="External"/><Relationship Id="rId1215" Type="http://schemas.openxmlformats.org/officeDocument/2006/relationships/hyperlink" Target="http://www.barrix.in/" TargetMode="External"/><Relationship Id="rId1422" Type="http://schemas.openxmlformats.org/officeDocument/2006/relationships/hyperlink" Target="https://tracxn.com/companies/9lEPFFqPunHKkmAsr_LmU4pos4PUwbG4XM-CVmW28O8/livingreen.co.il" TargetMode="External"/><Relationship Id="rId1867" Type="http://schemas.openxmlformats.org/officeDocument/2006/relationships/hyperlink" Target="https://twitter.com/agrostar_in" TargetMode="External"/><Relationship Id="rId61" Type="http://schemas.openxmlformats.org/officeDocument/2006/relationships/hyperlink" Target="https://www.bijak.in/" TargetMode="External"/><Relationship Id="rId1727" Type="http://schemas.openxmlformats.org/officeDocument/2006/relationships/hyperlink" Target="https://twitter.com/prospera_tech" TargetMode="External"/><Relationship Id="rId1934" Type="http://schemas.openxmlformats.org/officeDocument/2006/relationships/hyperlink" Target="http://twitter.com/agrevolutiongr" TargetMode="External"/><Relationship Id="rId19" Type="http://schemas.openxmlformats.org/officeDocument/2006/relationships/hyperlink" Target="http://techblog.greeneye.ag/" TargetMode="External"/><Relationship Id="rId2196" Type="http://schemas.openxmlformats.org/officeDocument/2006/relationships/hyperlink" Target="http://linkedin.com/company/afimilk-ltd" TargetMode="External"/><Relationship Id="rId168" Type="http://schemas.openxmlformats.org/officeDocument/2006/relationships/hyperlink" Target="https://tracxn.com/companies/d1ELBITPMJCOHZxiyE-te0ZEt8GWz_QJHkIPNhllxo8/redseafarms.com" TargetMode="External"/><Relationship Id="rId375" Type="http://schemas.openxmlformats.org/officeDocument/2006/relationships/hyperlink" Target="https://tracxn.com/companies/whv_EZ5D5LnUItVIm1vNvdWld1ITMM3CSTljl6jVKeM/jaguzafarm.com" TargetMode="External"/><Relationship Id="rId582" Type="http://schemas.openxmlformats.org/officeDocument/2006/relationships/hyperlink" Target="https://www.thriveagric.com/" TargetMode="External"/><Relationship Id="rId2056" Type="http://schemas.openxmlformats.org/officeDocument/2006/relationships/hyperlink" Target="https://tracxn.com/companies/_TKaG51AHmWAYFPoYvuF9xN4Y499WLghf6JZwmBmhTw/skymetweather.com" TargetMode="External"/><Relationship Id="rId2263" Type="http://schemas.openxmlformats.org/officeDocument/2006/relationships/hyperlink" Target="https://linkedin.com/company/ini-farms/about" TargetMode="External"/><Relationship Id="rId3" Type="http://schemas.openxmlformats.org/officeDocument/2006/relationships/hyperlink" Target="https://www.agrixagro.com/" TargetMode="External"/><Relationship Id="rId235" Type="http://schemas.openxmlformats.org/officeDocument/2006/relationships/hyperlink" Target="http://ghoastapp.blogspot.com/" TargetMode="External"/><Relationship Id="rId442" Type="http://schemas.openxmlformats.org/officeDocument/2006/relationships/hyperlink" Target="http://twitter.com/theearthfood" TargetMode="External"/><Relationship Id="rId887" Type="http://schemas.openxmlformats.org/officeDocument/2006/relationships/hyperlink" Target="https://www.mercarancho.com/" TargetMode="External"/><Relationship Id="rId1072" Type="http://schemas.openxmlformats.org/officeDocument/2006/relationships/hyperlink" Target="http://twitter.com/alescalife" TargetMode="External"/><Relationship Id="rId2123" Type="http://schemas.openxmlformats.org/officeDocument/2006/relationships/hyperlink" Target="http://linkedin.com/company/identis-tech-solutions-pvt-ltd-" TargetMode="External"/><Relationship Id="rId302" Type="http://schemas.openxmlformats.org/officeDocument/2006/relationships/hyperlink" Target="https://www.digifarmz.com/" TargetMode="External"/><Relationship Id="rId747" Type="http://schemas.openxmlformats.org/officeDocument/2006/relationships/hyperlink" Target="https://rootssat.com/" TargetMode="External"/><Relationship Id="rId954" Type="http://schemas.openxmlformats.org/officeDocument/2006/relationships/hyperlink" Target="https://tracxn.com/companies/kcKaAOnErvwMulwCzFKFYy-JBiJjEec1z2N9QAff0Ko/agrofy.com" TargetMode="External"/><Relationship Id="rId1377" Type="http://schemas.openxmlformats.org/officeDocument/2006/relationships/hyperlink" Target="https://tracxn.com/companies/3vF40AkQY7LwuVMUeahPFzo5fUn2SqiRHDP95BzF7tE/yangjiguanjia.com" TargetMode="External"/><Relationship Id="rId1584" Type="http://schemas.openxmlformats.org/officeDocument/2006/relationships/hyperlink" Target="https://www.16988.com/" TargetMode="External"/><Relationship Id="rId1791" Type="http://schemas.openxmlformats.org/officeDocument/2006/relationships/hyperlink" Target="https://www.seedworks.com/" TargetMode="External"/><Relationship Id="rId83" Type="http://schemas.openxmlformats.org/officeDocument/2006/relationships/hyperlink" Target="https://facebook.com/uplglobal" TargetMode="External"/><Relationship Id="rId607" Type="http://schemas.openxmlformats.org/officeDocument/2006/relationships/hyperlink" Target="https://www.leanagri.com/" TargetMode="External"/><Relationship Id="rId814" Type="http://schemas.openxmlformats.org/officeDocument/2006/relationships/hyperlink" Target="http://linkedin.com/company/12893933" TargetMode="External"/><Relationship Id="rId1237" Type="http://schemas.openxmlformats.org/officeDocument/2006/relationships/hyperlink" Target="https://tracxn.com/companies/Fw4W2PhqT6KEqQea5swEEeUnRvrwZtxTu2JOpuunm7s/farmagain.in" TargetMode="External"/><Relationship Id="rId1444" Type="http://schemas.openxmlformats.org/officeDocument/2006/relationships/hyperlink" Target="http://o2waterator.com/" TargetMode="External"/><Relationship Id="rId1651" Type="http://schemas.openxmlformats.org/officeDocument/2006/relationships/hyperlink" Target="https://tracxn.com/companies/EOlHE61xRUPfrOAZ8L71etmtD0UnESK8oZBZhIWSfwk/licious.in" TargetMode="External"/><Relationship Id="rId1889" Type="http://schemas.openxmlformats.org/officeDocument/2006/relationships/hyperlink" Target="http://facebook.com/vasham-614114268696615/" TargetMode="External"/><Relationship Id="rId1304" Type="http://schemas.openxmlformats.org/officeDocument/2006/relationships/hyperlink" Target="https://tracxn.com/companies/7NPh-eZtai_ef1M8iq4HsC5Fza5AhzvaNbVdAUyYKs8/greenfingersmobile.com" TargetMode="External"/><Relationship Id="rId1511" Type="http://schemas.openxmlformats.org/officeDocument/2006/relationships/hyperlink" Target="https://tracxn.com/companies/8Wnpn8EUiMlphPPgrmzPsH-UCDvJxszcde_5Rx3tzNs/haishangxian.cn" TargetMode="External"/><Relationship Id="rId1749" Type="http://schemas.openxmlformats.org/officeDocument/2006/relationships/hyperlink" Target="http://facebook.com/inceres/" TargetMode="External"/><Relationship Id="rId1956" Type="http://schemas.openxmlformats.org/officeDocument/2006/relationships/hyperlink" Target="https://tracxn.com/companies/3wy7IYp9dnGKs8Pw9ic5C01NUTBdgp0TGAIOa87AAc0/efuels.co.in" TargetMode="External"/><Relationship Id="rId1609" Type="http://schemas.openxmlformats.org/officeDocument/2006/relationships/hyperlink" Target="http://facebook.com/mimosatechnology/" TargetMode="External"/><Relationship Id="rId1816" Type="http://schemas.openxmlformats.org/officeDocument/2006/relationships/hyperlink" Target="https://www.jayalaxmiagrotech.com/" TargetMode="External"/><Relationship Id="rId10" Type="http://schemas.openxmlformats.org/officeDocument/2006/relationships/hyperlink" Target="https://twitter.com/unnatiagri" TargetMode="External"/><Relationship Id="rId397" Type="http://schemas.openxmlformats.org/officeDocument/2006/relationships/hyperlink" Target="https://linkedin.com/company/intergado" TargetMode="External"/><Relationship Id="rId2078" Type="http://schemas.openxmlformats.org/officeDocument/2006/relationships/hyperlink" Target="http://www.linkedin.com/vsearch/p?f_CC=20582" TargetMode="External"/><Relationship Id="rId257" Type="http://schemas.openxmlformats.org/officeDocument/2006/relationships/hyperlink" Target="https://www.nocofio.com/" TargetMode="External"/><Relationship Id="rId464" Type="http://schemas.openxmlformats.org/officeDocument/2006/relationships/hyperlink" Target="http://twitter.com/farmizen" TargetMode="External"/><Relationship Id="rId1094" Type="http://schemas.openxmlformats.org/officeDocument/2006/relationships/hyperlink" Target="https://linkedin.com/company/edenshield" TargetMode="External"/><Relationship Id="rId2145" Type="http://schemas.openxmlformats.org/officeDocument/2006/relationships/hyperlink" Target="http://www.linkedin.com/vsearch/p?f_CC=1402657" TargetMode="External"/><Relationship Id="rId117" Type="http://schemas.openxmlformats.org/officeDocument/2006/relationships/hyperlink" Target="https://www.procol.in/" TargetMode="External"/><Relationship Id="rId671" Type="http://schemas.openxmlformats.org/officeDocument/2006/relationships/hyperlink" Target="https://tracxn.com/companies/2WzLdBU-4miX2gvK3dQo3qQ3QiH6sAOw10SRMwz9MFc/metomotion.com" TargetMode="External"/><Relationship Id="rId769" Type="http://schemas.openxmlformats.org/officeDocument/2006/relationships/hyperlink" Target="https://linkedin.com/company/agronow/about" TargetMode="External"/><Relationship Id="rId976" Type="http://schemas.openxmlformats.org/officeDocument/2006/relationships/hyperlink" Target="http://em3agri.com/media.html" TargetMode="External"/><Relationship Id="rId1399" Type="http://schemas.openxmlformats.org/officeDocument/2006/relationships/hyperlink" Target="http://twitter.com/aibonoworld" TargetMode="External"/><Relationship Id="rId324" Type="http://schemas.openxmlformats.org/officeDocument/2006/relationships/hyperlink" Target="http://cropdomain.com/" TargetMode="External"/><Relationship Id="rId531" Type="http://schemas.openxmlformats.org/officeDocument/2006/relationships/hyperlink" Target="http://greenfingersmobile.com/blog" TargetMode="External"/><Relationship Id="rId629" Type="http://schemas.openxmlformats.org/officeDocument/2006/relationships/hyperlink" Target="https://tracxn.com/companies/E0NVTqmuY33JQJV7gdxhKv-qAT4ZJB9D21Ehym1VSKw/pureharvest.ae" TargetMode="External"/><Relationship Id="rId1161" Type="http://schemas.openxmlformats.org/officeDocument/2006/relationships/hyperlink" Target="http://www.linkedin.com/vsearch/p?f_CC=476356" TargetMode="External"/><Relationship Id="rId1259" Type="http://schemas.openxmlformats.org/officeDocument/2006/relationships/hyperlink" Target="https://tracxn.com/companies/3DWBMiIufdK4KMK9pytZ41RmOz-zFPCE9SqJrzb9bc4/allerguardsystems.com" TargetMode="External"/><Relationship Id="rId1466" Type="http://schemas.openxmlformats.org/officeDocument/2006/relationships/hyperlink" Target="https://agreeta.com/" TargetMode="External"/><Relationship Id="rId2005" Type="http://schemas.openxmlformats.org/officeDocument/2006/relationships/hyperlink" Target="http://sunculture.com/page/2?afdt=zu0vi8gvzickewiu25nlwiycahuo5cckhbs5t0sqahgdiaa&amp;search" TargetMode="External"/><Relationship Id="rId2212" Type="http://schemas.openxmlformats.org/officeDocument/2006/relationships/hyperlink" Target="http://www.greencart.in/" TargetMode="External"/><Relationship Id="rId836" Type="http://schemas.openxmlformats.org/officeDocument/2006/relationships/hyperlink" Target="https://www.linkedin.com/company/7956882?trk=prof-exp-company-name" TargetMode="External"/><Relationship Id="rId1021" Type="http://schemas.openxmlformats.org/officeDocument/2006/relationships/hyperlink" Target="https://linkedin.com/company/agribuddy" TargetMode="External"/><Relationship Id="rId1119" Type="http://schemas.openxmlformats.org/officeDocument/2006/relationships/hyperlink" Target="http://www.linkedin.com/vsearch/p?f_CC=3995968" TargetMode="External"/><Relationship Id="rId1673" Type="http://schemas.openxmlformats.org/officeDocument/2006/relationships/hyperlink" Target="https://www.coldhubs.com/" TargetMode="External"/><Relationship Id="rId1880" Type="http://schemas.openxmlformats.org/officeDocument/2006/relationships/hyperlink" Target="https://www.sumaagro.com/" TargetMode="External"/><Relationship Id="rId1978" Type="http://schemas.openxmlformats.org/officeDocument/2006/relationships/hyperlink" Target="https://tracxn.com/companies/9vL_Ok9NSNyY4IzrXI4iSr182YWDDhJ_lsnZNdON3qo/freshworld.in" TargetMode="External"/><Relationship Id="rId903" Type="http://schemas.openxmlformats.org/officeDocument/2006/relationships/hyperlink" Target="https://www.brownapron.com/" TargetMode="External"/><Relationship Id="rId1326" Type="http://schemas.openxmlformats.org/officeDocument/2006/relationships/hyperlink" Target="https://twitter.com/pureharvestsf" TargetMode="External"/><Relationship Id="rId1533" Type="http://schemas.openxmlformats.org/officeDocument/2006/relationships/hyperlink" Target="https://linkedin.com/company/saturas-ltd" TargetMode="External"/><Relationship Id="rId1740" Type="http://schemas.openxmlformats.org/officeDocument/2006/relationships/hyperlink" Target="https://tracxn.com/companies/84vhZOGT0u37BXXaEeiEYe-sHM9EAlCWooJzhndiudE/livingboxproject.com" TargetMode="External"/><Relationship Id="rId32" Type="http://schemas.openxmlformats.org/officeDocument/2006/relationships/hyperlink" Target="https://tracxn.com/companies/cqBrOavpo_G-w06ju6zak9M0ZdKiujBhAfBkR0KKp1o/farmtheory.in" TargetMode="External"/><Relationship Id="rId1600" Type="http://schemas.openxmlformats.org/officeDocument/2006/relationships/hyperlink" Target="http://buscagro.cl/" TargetMode="External"/><Relationship Id="rId1838" Type="http://schemas.openxmlformats.org/officeDocument/2006/relationships/hyperlink" Target="https://www.cultivandofuturo.com/" TargetMode="External"/><Relationship Id="rId181" Type="http://schemas.openxmlformats.org/officeDocument/2006/relationships/hyperlink" Target="https://www.fjdynamics.com/en/" TargetMode="External"/><Relationship Id="rId1905" Type="http://schemas.openxmlformats.org/officeDocument/2006/relationships/hyperlink" Target="http://linkedin.com/company/barefeet-analytics" TargetMode="External"/><Relationship Id="rId279" Type="http://schemas.openxmlformats.org/officeDocument/2006/relationships/hyperlink" Target="http://twitter.com/wolkushq" TargetMode="External"/><Relationship Id="rId486" Type="http://schemas.openxmlformats.org/officeDocument/2006/relationships/hyperlink" Target="https://ndrip.com/" TargetMode="External"/><Relationship Id="rId693" Type="http://schemas.openxmlformats.org/officeDocument/2006/relationships/hyperlink" Target="http://www.51xnb.com/" TargetMode="External"/><Relationship Id="rId2167" Type="http://schemas.openxmlformats.org/officeDocument/2006/relationships/hyperlink" Target="http://twitter.com/driptech" TargetMode="External"/><Relationship Id="rId139" Type="http://schemas.openxmlformats.org/officeDocument/2006/relationships/hyperlink" Target="https://tracxn.com/companies/5_dihid38PA0nDJG4-nlSPOKhwsUURoNLKmc7E_lEnk/freshsourceglobal.com" TargetMode="External"/><Relationship Id="rId346" Type="http://schemas.openxmlformats.org/officeDocument/2006/relationships/hyperlink" Target="https://www.sensegrass.com/" TargetMode="External"/><Relationship Id="rId553" Type="http://schemas.openxmlformats.org/officeDocument/2006/relationships/hyperlink" Target="http://facebook.com/luxelare" TargetMode="External"/><Relationship Id="rId760" Type="http://schemas.openxmlformats.org/officeDocument/2006/relationships/hyperlink" Target="http://facebook.com/graodireto" TargetMode="External"/><Relationship Id="rId998" Type="http://schemas.openxmlformats.org/officeDocument/2006/relationships/hyperlink" Target="https://tracxn.com/companies/0j-oEm465Taf9Dime4pJpqkeCvV84FY-9kRV-E79SNc/zappfresh.com" TargetMode="External"/><Relationship Id="rId1183" Type="http://schemas.openxmlformats.org/officeDocument/2006/relationships/hyperlink" Target="http://www.linkedin.com/vsearch/p?f_CC=3008630" TargetMode="External"/><Relationship Id="rId1390" Type="http://schemas.openxmlformats.org/officeDocument/2006/relationships/hyperlink" Target="http://twitter.com/cowlar1" TargetMode="External"/><Relationship Id="rId2027" Type="http://schemas.openxmlformats.org/officeDocument/2006/relationships/hyperlink" Target="http://twitter.com/virtualcityltd" TargetMode="External"/><Relationship Id="rId2234" Type="http://schemas.openxmlformats.org/officeDocument/2006/relationships/hyperlink" Target="https://tracxn.com/companies/_I-wLf1p8oMLMy7SO1r2bKi29Vs3G5N0p77ZCB6pV3E/eruvaka.com" TargetMode="External"/><Relationship Id="rId206" Type="http://schemas.openxmlformats.org/officeDocument/2006/relationships/hyperlink" Target="https://facebook.com/woolly.io" TargetMode="External"/><Relationship Id="rId413" Type="http://schemas.openxmlformats.org/officeDocument/2006/relationships/hyperlink" Target="https://tracxn.com/companies/6X8zPpb5nv-oOveMUUeZ9YOXfy9QyYZj_HBtLVMAf5A/bayseddo.com" TargetMode="External"/><Relationship Id="rId858" Type="http://schemas.openxmlformats.org/officeDocument/2006/relationships/hyperlink" Target="https://tracxn.com/companies/tTxs3PtXTDH8_zK0Rcd5f5hJ2GEse7zq7cTqYSXyL7s/songxiaocai.com" TargetMode="External"/><Relationship Id="rId1043" Type="http://schemas.openxmlformats.org/officeDocument/2006/relationships/hyperlink" Target="http://www.linkedin.com/vsearch/p?f_CC=3844298" TargetMode="External"/><Relationship Id="rId1488" Type="http://schemas.openxmlformats.org/officeDocument/2006/relationships/hyperlink" Target="http://theagrihub.com/" TargetMode="External"/><Relationship Id="rId1695" Type="http://schemas.openxmlformats.org/officeDocument/2006/relationships/hyperlink" Target="https://tracxn.com/companies/HeW-YCL7zn6nkbdNUm4YpMN72ZvpOICRK9oNy45NdYY/truce.in" TargetMode="External"/><Relationship Id="rId620" Type="http://schemas.openxmlformats.org/officeDocument/2006/relationships/hyperlink" Target="https://linkedin.com/company/farmersfreshzone" TargetMode="External"/><Relationship Id="rId718" Type="http://schemas.openxmlformats.org/officeDocument/2006/relationships/hyperlink" Target="https://tracxn.com/companies/pGRXDX9R4O1Xhkty5DLGW_K4uN0XmJS7pM2HxukneYM/turodeo.com" TargetMode="External"/><Relationship Id="rId925" Type="http://schemas.openxmlformats.org/officeDocument/2006/relationships/hyperlink" Target="http://www.foidn.com/" TargetMode="External"/><Relationship Id="rId1250" Type="http://schemas.openxmlformats.org/officeDocument/2006/relationships/hyperlink" Target="https://linkedin.com/company/rmlfarmbee" TargetMode="External"/><Relationship Id="rId1348" Type="http://schemas.openxmlformats.org/officeDocument/2006/relationships/hyperlink" Target="https://www.linkedin.com/company/4992253?trk=prof-exp-company-name" TargetMode="External"/><Relationship Id="rId1555" Type="http://schemas.openxmlformats.org/officeDocument/2006/relationships/hyperlink" Target="https://tracxn.com/companies/dpR0-Gec-QdE8A9xgSixOTS7BPDMWzr2IXY1iVYW11g/zdongpin.com" TargetMode="External"/><Relationship Id="rId1762" Type="http://schemas.openxmlformats.org/officeDocument/2006/relationships/hyperlink" Target="https://www.meicai.cn/" TargetMode="External"/><Relationship Id="rId1110" Type="http://schemas.openxmlformats.org/officeDocument/2006/relationships/hyperlink" Target="http://twitter.com/bohecoindia" TargetMode="External"/><Relationship Id="rId1208" Type="http://schemas.openxmlformats.org/officeDocument/2006/relationships/hyperlink" Target="http://www.linkedin.com/vsearch/p?f_CC=3519620" TargetMode="External"/><Relationship Id="rId1415" Type="http://schemas.openxmlformats.org/officeDocument/2006/relationships/hyperlink" Target="https://www.aquaapp.in/" TargetMode="External"/><Relationship Id="rId54" Type="http://schemas.openxmlformats.org/officeDocument/2006/relationships/hyperlink" Target="https://facebook.com/agrapp.cl" TargetMode="External"/><Relationship Id="rId1622" Type="http://schemas.openxmlformats.org/officeDocument/2006/relationships/hyperlink" Target="http://www.linkedin.com/vsearch/p?f_CC=6376832" TargetMode="External"/><Relationship Id="rId1927" Type="http://schemas.openxmlformats.org/officeDocument/2006/relationships/hyperlink" Target="https://linkedin.com/company/efisheryid/about" TargetMode="External"/><Relationship Id="rId2091" Type="http://schemas.openxmlformats.org/officeDocument/2006/relationships/hyperlink" Target="https://tracxn.com/companies/aKquOQXApZfmpSehdV8zYU-rptGADCtGQCQLOC8vFnc/myagro.org" TargetMode="External"/><Relationship Id="rId2189" Type="http://schemas.openxmlformats.org/officeDocument/2006/relationships/hyperlink" Target="https://www.algatech.com/" TargetMode="External"/><Relationship Id="rId270" Type="http://schemas.openxmlformats.org/officeDocument/2006/relationships/hyperlink" Target="https://allerguardsystems.com/" TargetMode="External"/><Relationship Id="rId130" Type="http://schemas.openxmlformats.org/officeDocument/2006/relationships/hyperlink" Target="https://tracxn.com/companies/Z8j_zDWSt9hfl25pK4pILuR6_aTYImbnpitZhUrUgm4/atlak.net" TargetMode="External"/><Relationship Id="rId368" Type="http://schemas.openxmlformats.org/officeDocument/2006/relationships/hyperlink" Target="https://linkedin.com/company/scanner-bovino/about" TargetMode="External"/><Relationship Id="rId575" Type="http://schemas.openxmlformats.org/officeDocument/2006/relationships/hyperlink" Target="https://twitter.com/krishitantra" TargetMode="External"/><Relationship Id="rId782" Type="http://schemas.openxmlformats.org/officeDocument/2006/relationships/hyperlink" Target="http://7gongli.com.cn/" TargetMode="External"/><Relationship Id="rId2049" Type="http://schemas.openxmlformats.org/officeDocument/2006/relationships/hyperlink" Target="http://facebook.com/subflex" TargetMode="External"/><Relationship Id="rId2256" Type="http://schemas.openxmlformats.org/officeDocument/2006/relationships/hyperlink" Target="https://www.linkedin.com/company/nuziveedu-seeds-limited" TargetMode="External"/><Relationship Id="rId228" Type="http://schemas.openxmlformats.org/officeDocument/2006/relationships/hyperlink" Target="https://tracxn.com/companies/koly1YDORacHFg2Vh7l60imVdCrZea7GKBF0fHmBw8U/genica.com.br" TargetMode="External"/><Relationship Id="rId435" Type="http://schemas.openxmlformats.org/officeDocument/2006/relationships/hyperlink" Target="http://www.kebaiiot.com/" TargetMode="External"/><Relationship Id="rId642" Type="http://schemas.openxmlformats.org/officeDocument/2006/relationships/hyperlink" Target="https://www.impactterra.com/" TargetMode="External"/><Relationship Id="rId1065" Type="http://schemas.openxmlformats.org/officeDocument/2006/relationships/hyperlink" Target="https://linkedin.com/company/agrostar-in/about" TargetMode="External"/><Relationship Id="rId1272" Type="http://schemas.openxmlformats.org/officeDocument/2006/relationships/hyperlink" Target="https://tracxn.com/companies/cYRk_oF8Yyfj1LntaNoT05xS-X-1SoHIb2yZrbNDBKg/agrotrac.cl" TargetMode="External"/><Relationship Id="rId2116" Type="http://schemas.openxmlformats.org/officeDocument/2006/relationships/hyperlink" Target="http://www.linkedin.com/vsearch/p?f_CC=2445208" TargetMode="External"/><Relationship Id="rId502" Type="http://schemas.openxmlformats.org/officeDocument/2006/relationships/hyperlink" Target="https://tracxn.com/companies/n9gUhKg8Sr2V4eLw5Y-pOd1uX9PZEdlEa671Z9zniZ4/bharatagri.com" TargetMode="External"/><Relationship Id="rId947" Type="http://schemas.openxmlformats.org/officeDocument/2006/relationships/hyperlink" Target="https://tracxn.com/companies/izz5DG7_pRizy1xSqP36Ni5UxFq8sYaP_Qthjz-zOew/coldhubs.com" TargetMode="External"/><Relationship Id="rId1132" Type="http://schemas.openxmlformats.org/officeDocument/2006/relationships/hyperlink" Target="http://www.sunculture.com/" TargetMode="External"/><Relationship Id="rId1577" Type="http://schemas.openxmlformats.org/officeDocument/2006/relationships/hyperlink" Target="http://ugaoo.com/knowledge-center" TargetMode="External"/><Relationship Id="rId1784" Type="http://schemas.openxmlformats.org/officeDocument/2006/relationships/hyperlink" Target="https://www.linkedin.com/company/9498451" TargetMode="External"/><Relationship Id="rId1991" Type="http://schemas.openxmlformats.org/officeDocument/2006/relationships/hyperlink" Target="http://www.linkedin.com/vsearch/p?f_CC=4790187" TargetMode="External"/><Relationship Id="rId76" Type="http://schemas.openxmlformats.org/officeDocument/2006/relationships/hyperlink" Target="https://www.brainwired.in/" TargetMode="External"/><Relationship Id="rId807" Type="http://schemas.openxmlformats.org/officeDocument/2006/relationships/hyperlink" Target="https://farmerline.co/" TargetMode="External"/><Relationship Id="rId1437" Type="http://schemas.openxmlformats.org/officeDocument/2006/relationships/hyperlink" Target="http://twitter.com/komaza" TargetMode="External"/><Relationship Id="rId1644" Type="http://schemas.openxmlformats.org/officeDocument/2006/relationships/hyperlink" Target="http://facebook.com/brown-apron-1411381085841334" TargetMode="External"/><Relationship Id="rId1851" Type="http://schemas.openxmlformats.org/officeDocument/2006/relationships/hyperlink" Target="http://facebook.com/agrosmart1" TargetMode="External"/><Relationship Id="rId1504" Type="http://schemas.openxmlformats.org/officeDocument/2006/relationships/hyperlink" Target="http://enowisetech.com/" TargetMode="External"/><Relationship Id="rId1711" Type="http://schemas.openxmlformats.org/officeDocument/2006/relationships/hyperlink" Target="http://facebook.com/mybighaat" TargetMode="External"/><Relationship Id="rId1949" Type="http://schemas.openxmlformats.org/officeDocument/2006/relationships/hyperlink" Target="http://linkedin.com/company/a-k-surya-power-magic-com" TargetMode="External"/><Relationship Id="rId292" Type="http://schemas.openxmlformats.org/officeDocument/2006/relationships/hyperlink" Target="https://www.viridix.com/" TargetMode="External"/><Relationship Id="rId1809" Type="http://schemas.openxmlformats.org/officeDocument/2006/relationships/hyperlink" Target="http://facebook.com/pages/breedit/383501408452689" TargetMode="External"/><Relationship Id="rId597" Type="http://schemas.openxmlformats.org/officeDocument/2006/relationships/hyperlink" Target="https://tracxn.com/companies/6m_7bPi-dnBbryHcbwL0pv2UIiahIjtHhqgNbcHf2B8/eggxyt.com" TargetMode="External"/><Relationship Id="rId2180" Type="http://schemas.openxmlformats.org/officeDocument/2006/relationships/hyperlink" Target="http://www.linkedin.com/vsearch/p?f_CC=739713" TargetMode="External"/><Relationship Id="rId152" Type="http://schemas.openxmlformats.org/officeDocument/2006/relationships/hyperlink" Target="https://www.beehero.io/" TargetMode="External"/><Relationship Id="rId457" Type="http://schemas.openxmlformats.org/officeDocument/2006/relationships/hyperlink" Target="https://linkedin.com/company/natura-crop-care/about" TargetMode="External"/><Relationship Id="rId1087" Type="http://schemas.openxmlformats.org/officeDocument/2006/relationships/hyperlink" Target="http://efishery.com/blog/?p=1" TargetMode="External"/><Relationship Id="rId1294" Type="http://schemas.openxmlformats.org/officeDocument/2006/relationships/hyperlink" Target="http://www.swastiagro.com/" TargetMode="External"/><Relationship Id="rId2040" Type="http://schemas.openxmlformats.org/officeDocument/2006/relationships/hyperlink" Target="http://tech4farmers.com/" TargetMode="External"/><Relationship Id="rId2138" Type="http://schemas.openxmlformats.org/officeDocument/2006/relationships/hyperlink" Target="http://www.linkedin.com/vsearch/p?f_CC=2892050" TargetMode="External"/><Relationship Id="rId664" Type="http://schemas.openxmlformats.org/officeDocument/2006/relationships/hyperlink" Target="https://farmcrowdy.com/blog" TargetMode="External"/><Relationship Id="rId871" Type="http://schemas.openxmlformats.org/officeDocument/2006/relationships/hyperlink" Target="http://tierrademonte.com/noticias" TargetMode="External"/><Relationship Id="rId969" Type="http://schemas.openxmlformats.org/officeDocument/2006/relationships/hyperlink" Target="https://twitter.com/bighaatindia" TargetMode="External"/><Relationship Id="rId1599" Type="http://schemas.openxmlformats.org/officeDocument/2006/relationships/hyperlink" Target="https://tracxn.com/companies/AdfS4u3CL4mfsY_v2ULSeNMahXk-BiqADS-PPchS8To/emubao.com" TargetMode="External"/><Relationship Id="rId317" Type="http://schemas.openxmlformats.org/officeDocument/2006/relationships/hyperlink" Target="https://tracxn.com/companies/0e031lxnzLCH4gmi50xzB1d5FOIJ3l6MthkAzjzIjR8/occipitaltech.com" TargetMode="External"/><Relationship Id="rId524" Type="http://schemas.openxmlformats.org/officeDocument/2006/relationships/hyperlink" Target="https://tracxn.com/companies/SwWQjIQvpBgcgJBP6yWS7d4MqBUxDG8peiJacmbTHuA/agreemarket.com" TargetMode="External"/><Relationship Id="rId731" Type="http://schemas.openxmlformats.org/officeDocument/2006/relationships/hyperlink" Target="http://linkedin.com/company/tomatiki" TargetMode="External"/><Relationship Id="rId1154" Type="http://schemas.openxmlformats.org/officeDocument/2006/relationships/hyperlink" Target="https://tracxn.com/companies/_TKaG51AHmWAYFPoYvuF9xN4Y499WLghf6JZwmBmhTw/skymetweather.com" TargetMode="External"/><Relationship Id="rId1361" Type="http://schemas.openxmlformats.org/officeDocument/2006/relationships/hyperlink" Target="https://twitter.com/tradeghana" TargetMode="External"/><Relationship Id="rId1459" Type="http://schemas.openxmlformats.org/officeDocument/2006/relationships/hyperlink" Target="https://www.wobblebase.in/" TargetMode="External"/><Relationship Id="rId2205" Type="http://schemas.openxmlformats.org/officeDocument/2006/relationships/hyperlink" Target="https://8villages.com/" TargetMode="External"/><Relationship Id="rId98" Type="http://schemas.openxmlformats.org/officeDocument/2006/relationships/hyperlink" Target="http://farmshine.io/" TargetMode="External"/><Relationship Id="rId829" Type="http://schemas.openxmlformats.org/officeDocument/2006/relationships/hyperlink" Target="http://www.aquinovo.com/" TargetMode="External"/><Relationship Id="rId1014" Type="http://schemas.openxmlformats.org/officeDocument/2006/relationships/hyperlink" Target="https://www.ninjacart.in/" TargetMode="External"/><Relationship Id="rId1221" Type="http://schemas.openxmlformats.org/officeDocument/2006/relationships/hyperlink" Target="https://www.stellapps.com/" TargetMode="External"/><Relationship Id="rId1666" Type="http://schemas.openxmlformats.org/officeDocument/2006/relationships/hyperlink" Target="https://tracxn.com/companies/qsaHe8y4F7bxnFKyiZM5RODKR7L7XrkRVoW3y6Zi354/globalyeast.com" TargetMode="External"/><Relationship Id="rId1873" Type="http://schemas.openxmlformats.org/officeDocument/2006/relationships/hyperlink" Target="https://twitter.com/harddrones" TargetMode="External"/><Relationship Id="rId1319" Type="http://schemas.openxmlformats.org/officeDocument/2006/relationships/hyperlink" Target="https://tracxn.com/companies/6m_7bPi-dnBbryHcbwL0pv2UIiahIjtHhqgNbcHf2B8/eggxyt.com" TargetMode="External"/><Relationship Id="rId1526" Type="http://schemas.openxmlformats.org/officeDocument/2006/relationships/hyperlink" Target="https://www.nongfadai.com/index.htm" TargetMode="External"/><Relationship Id="rId1733" Type="http://schemas.openxmlformats.org/officeDocument/2006/relationships/hyperlink" Target="http://twitter.com/zappfresh" TargetMode="External"/><Relationship Id="rId1940" Type="http://schemas.openxmlformats.org/officeDocument/2006/relationships/hyperlink" Target="https://zentronlabs.com/" TargetMode="External"/><Relationship Id="rId25" Type="http://schemas.openxmlformats.org/officeDocument/2006/relationships/hyperlink" Target="http://agverse.in/" TargetMode="External"/><Relationship Id="rId1800" Type="http://schemas.openxmlformats.org/officeDocument/2006/relationships/hyperlink" Target="https://linkedin.com/company/flybird-innovations/about" TargetMode="External"/><Relationship Id="rId174" Type="http://schemas.openxmlformats.org/officeDocument/2006/relationships/hyperlink" Target="https://tracxn.com/companies/2KkXMyUUrlfuH1yARMJBU2hUHcxdrpT_t9jMYWi8ld0/imagoai.com" TargetMode="External"/><Relationship Id="rId381" Type="http://schemas.openxmlformats.org/officeDocument/2006/relationships/hyperlink" Target="https://www.ifarmer.asia/" TargetMode="External"/><Relationship Id="rId2062" Type="http://schemas.openxmlformats.org/officeDocument/2006/relationships/hyperlink" Target="http://www.linkedin.com/vsearch/p?f_CC=593482" TargetMode="External"/><Relationship Id="rId241" Type="http://schemas.openxmlformats.org/officeDocument/2006/relationships/hyperlink" Target="https://linkedin.com/company/agro2o/about" TargetMode="External"/><Relationship Id="rId479" Type="http://schemas.openxmlformats.org/officeDocument/2006/relationships/hyperlink" Target="http://bioestibas.com/" TargetMode="External"/><Relationship Id="rId686" Type="http://schemas.openxmlformats.org/officeDocument/2006/relationships/hyperlink" Target="https://www.iprocu.re/" TargetMode="External"/><Relationship Id="rId893" Type="http://schemas.openxmlformats.org/officeDocument/2006/relationships/hyperlink" Target="http://twitter.com/thefarmdogco" TargetMode="External"/><Relationship Id="rId339" Type="http://schemas.openxmlformats.org/officeDocument/2006/relationships/hyperlink" Target="https://linkedin.com/company/agrome-iq-international/about" TargetMode="External"/><Relationship Id="rId546" Type="http://schemas.openxmlformats.org/officeDocument/2006/relationships/hyperlink" Target="https://linkedin.com/company/agnextworld" TargetMode="External"/><Relationship Id="rId753" Type="http://schemas.openxmlformats.org/officeDocument/2006/relationships/hyperlink" Target="https://linkedin.com/company/crofarm/about" TargetMode="External"/><Relationship Id="rId1176" Type="http://schemas.openxmlformats.org/officeDocument/2006/relationships/hyperlink" Target="http://facebook.com/netafim" TargetMode="External"/><Relationship Id="rId1383" Type="http://schemas.openxmlformats.org/officeDocument/2006/relationships/hyperlink" Target="https://www.linkedin.com/company/13188724?trk=prof-exp-company-name" TargetMode="External"/><Relationship Id="rId2227" Type="http://schemas.openxmlformats.org/officeDocument/2006/relationships/hyperlink" Target="http://facebook.com/yuktix" TargetMode="External"/><Relationship Id="rId101" Type="http://schemas.openxmlformats.org/officeDocument/2006/relationships/hyperlink" Target="https://linkedin.com/company/absolutefoods" TargetMode="External"/><Relationship Id="rId406" Type="http://schemas.openxmlformats.org/officeDocument/2006/relationships/hyperlink" Target="https://www.edetepta.com/" TargetMode="External"/><Relationship Id="rId960" Type="http://schemas.openxmlformats.org/officeDocument/2006/relationships/hyperlink" Target="https://www.linkedin.com/company/10147582?trk=prof-exp-company-name" TargetMode="External"/><Relationship Id="rId1036" Type="http://schemas.openxmlformats.org/officeDocument/2006/relationships/hyperlink" Target="https://tracxn.com/companies/es4-iegA9izxRxZ1b3Ngu90E2kl-zKShicXuTiCnW2o/kilimo.com.ar" TargetMode="External"/><Relationship Id="rId1243" Type="http://schemas.openxmlformats.org/officeDocument/2006/relationships/hyperlink" Target="http://www.linkedin.com/vsearch/p?f_CC=10118408" TargetMode="External"/><Relationship Id="rId1590" Type="http://schemas.openxmlformats.org/officeDocument/2006/relationships/hyperlink" Target="https://www.tierraseedscience.com/" TargetMode="External"/><Relationship Id="rId1688" Type="http://schemas.openxmlformats.org/officeDocument/2006/relationships/hyperlink" Target="https://aegro.com.br/" TargetMode="External"/><Relationship Id="rId1895" Type="http://schemas.openxmlformats.org/officeDocument/2006/relationships/hyperlink" Target="http://linkedin.com/company/groundwork-bioagriculture" TargetMode="External"/><Relationship Id="rId613" Type="http://schemas.openxmlformats.org/officeDocument/2006/relationships/hyperlink" Target="https://tracxn.com/companies/XPjInamuliPeorkK0CoWJGJDKDGggUYvaZvso7Q7xCk/apolloagriculture.com" TargetMode="External"/><Relationship Id="rId820" Type="http://schemas.openxmlformats.org/officeDocument/2006/relationships/hyperlink" Target="http://twitter.com/kisannetwork" TargetMode="External"/><Relationship Id="rId918" Type="http://schemas.openxmlformats.org/officeDocument/2006/relationships/hyperlink" Target="https://tracxn.com/companies/EOlHE61xRUPfrOAZ8L71etmtD0UnESK8oZBZhIWSfwk/licious.in" TargetMode="External"/><Relationship Id="rId1450" Type="http://schemas.openxmlformats.org/officeDocument/2006/relationships/hyperlink" Target="http://facebook.com/rmlagtech" TargetMode="External"/><Relationship Id="rId1548" Type="http://schemas.openxmlformats.org/officeDocument/2006/relationships/hyperlink" Target="https://igrow.asia/" TargetMode="External"/><Relationship Id="rId1755" Type="http://schemas.openxmlformats.org/officeDocument/2006/relationships/hyperlink" Target="http://fdlm.cn/" TargetMode="External"/><Relationship Id="rId1103" Type="http://schemas.openxmlformats.org/officeDocument/2006/relationships/hyperlink" Target="https://facebook.com/gramophone.co.in" TargetMode="External"/><Relationship Id="rId1310" Type="http://schemas.openxmlformats.org/officeDocument/2006/relationships/hyperlink" Target="https://linkedin.com/company/agnextworld" TargetMode="External"/><Relationship Id="rId1408" Type="http://schemas.openxmlformats.org/officeDocument/2006/relationships/hyperlink" Target="http://yiweinet.com/" TargetMode="External"/><Relationship Id="rId1962" Type="http://schemas.openxmlformats.org/officeDocument/2006/relationships/hyperlink" Target="https://www.visualnacert.com/" TargetMode="External"/><Relationship Id="rId47" Type="http://schemas.openxmlformats.org/officeDocument/2006/relationships/hyperlink" Target="https://facebook.com/beewisetechnologies" TargetMode="External"/><Relationship Id="rId1615" Type="http://schemas.openxmlformats.org/officeDocument/2006/relationships/hyperlink" Target="https://tracxn.com/companies/32gN56QyVcj8zzlNzd_4QRsH2o3VsF1edKe9DaPLLDI/gfresh.com" TargetMode="External"/><Relationship Id="rId1822" Type="http://schemas.openxmlformats.org/officeDocument/2006/relationships/hyperlink" Target="https://tracxn.com/companies/iPmfdUuU7oQEAGVeydXNpdaESieOiwdAMoHycWbO87Y/merakisan.com" TargetMode="External"/><Relationship Id="rId196" Type="http://schemas.openxmlformats.org/officeDocument/2006/relationships/hyperlink" Target="https://tracxn.com/companies/XeNoTrHV4cSFvzIJhHzFM131DYRctmPj5O3wfw_Jo-Y/techshelta.com" TargetMode="External"/><Relationship Id="rId2084" Type="http://schemas.openxmlformats.org/officeDocument/2006/relationships/hyperlink" Target="https://tracxn.com/companies/PUxPXKncDQhl-uXBPtKmK60LkW7mUychAPw4TK_6cfY/netafim.com" TargetMode="External"/><Relationship Id="rId263" Type="http://schemas.openxmlformats.org/officeDocument/2006/relationships/hyperlink" Target="http://www.aggois.com/" TargetMode="External"/><Relationship Id="rId470" Type="http://schemas.openxmlformats.org/officeDocument/2006/relationships/hyperlink" Target="http://beehivesa.com/" TargetMode="External"/><Relationship Id="rId2151" Type="http://schemas.openxmlformats.org/officeDocument/2006/relationships/hyperlink" Target="http://www.linkedin.com/vsearch/p?f_CC=9261394" TargetMode="External"/><Relationship Id="rId123" Type="http://schemas.openxmlformats.org/officeDocument/2006/relationships/hyperlink" Target="http://simbioticalabs.com/" TargetMode="External"/><Relationship Id="rId330" Type="http://schemas.openxmlformats.org/officeDocument/2006/relationships/hyperlink" Target="https://www.credible-india.com/" TargetMode="External"/><Relationship Id="rId568" Type="http://schemas.openxmlformats.org/officeDocument/2006/relationships/hyperlink" Target="https://linkedin.com/company/aerobotics/about" TargetMode="External"/><Relationship Id="rId775" Type="http://schemas.openxmlformats.org/officeDocument/2006/relationships/hyperlink" Target="http://facebook.com/zulufilmfestival/" TargetMode="External"/><Relationship Id="rId982" Type="http://schemas.openxmlformats.org/officeDocument/2006/relationships/hyperlink" Target="https://tracxn.com/companies/4q5ls-UO5LY1G0CpNKZW1pQxIpL0eu3Xwp7HJHbAk1Y/auravant.com" TargetMode="External"/><Relationship Id="rId1198" Type="http://schemas.openxmlformats.org/officeDocument/2006/relationships/hyperlink" Target="http://linkedin.com/company/agriness" TargetMode="External"/><Relationship Id="rId2011" Type="http://schemas.openxmlformats.org/officeDocument/2006/relationships/hyperlink" Target="http://www.linkedin.com/vsearch/p?f_CC=3811788" TargetMode="External"/><Relationship Id="rId2249" Type="http://schemas.openxmlformats.org/officeDocument/2006/relationships/hyperlink" Target="http://www.frontalrain.com/" TargetMode="External"/><Relationship Id="rId428" Type="http://schemas.openxmlformats.org/officeDocument/2006/relationships/hyperlink" Target="https://www.waycool.in/" TargetMode="External"/><Relationship Id="rId635" Type="http://schemas.openxmlformats.org/officeDocument/2006/relationships/hyperlink" Target="https://facebook.com/unnatifarms" TargetMode="External"/><Relationship Id="rId842" Type="http://schemas.openxmlformats.org/officeDocument/2006/relationships/hyperlink" Target="https://twitter.com/anatsaturas" TargetMode="External"/><Relationship Id="rId1058" Type="http://schemas.openxmlformats.org/officeDocument/2006/relationships/hyperlink" Target="https://linkedin.com/company/mahyco/about" TargetMode="External"/><Relationship Id="rId1265" Type="http://schemas.openxmlformats.org/officeDocument/2006/relationships/hyperlink" Target="https://tracxn.com/companies/PP6dhcHut6B_sSDyPqn-WUdqr8b3YNxK1tGfNakVilw/wandaorganic.org" TargetMode="External"/><Relationship Id="rId1472" Type="http://schemas.openxmlformats.org/officeDocument/2006/relationships/hyperlink" Target="http://www.rootility.com:2222/" TargetMode="External"/><Relationship Id="rId2109" Type="http://schemas.openxmlformats.org/officeDocument/2006/relationships/hyperlink" Target="https://linkedin.com/company/jumbotail" TargetMode="External"/><Relationship Id="rId702" Type="http://schemas.openxmlformats.org/officeDocument/2006/relationships/hyperlink" Target="https://www.tcloudit.com/" TargetMode="External"/><Relationship Id="rId1125" Type="http://schemas.openxmlformats.org/officeDocument/2006/relationships/hyperlink" Target="http://facebook.com/farmerp-107551095984129/" TargetMode="External"/><Relationship Id="rId1332" Type="http://schemas.openxmlformats.org/officeDocument/2006/relationships/hyperlink" Target="http://twitter.com/intellolabs" TargetMode="External"/><Relationship Id="rId1777" Type="http://schemas.openxmlformats.org/officeDocument/2006/relationships/hyperlink" Target="https://linkedin.com/company/cropin-technology" TargetMode="External"/><Relationship Id="rId1984" Type="http://schemas.openxmlformats.org/officeDocument/2006/relationships/hyperlink" Target="https://tracxn.com/companies/PX1KwiBSilt9aSNDa9l41tebVI8pijYZnMPzw8ZnE_I/qtlomics.com" TargetMode="External"/><Relationship Id="rId69" Type="http://schemas.openxmlformats.org/officeDocument/2006/relationships/hyperlink" Target="https://www.eggxiaoer.com/" TargetMode="External"/><Relationship Id="rId1637" Type="http://schemas.openxmlformats.org/officeDocument/2006/relationships/hyperlink" Target="http://www.farmtaaza.com/" TargetMode="External"/><Relationship Id="rId1844" Type="http://schemas.openxmlformats.org/officeDocument/2006/relationships/hyperlink" Target="https://www.autoagronom.com/" TargetMode="External"/><Relationship Id="rId1704" Type="http://schemas.openxmlformats.org/officeDocument/2006/relationships/hyperlink" Target="https://babbangona.com/" TargetMode="External"/><Relationship Id="rId285" Type="http://schemas.openxmlformats.org/officeDocument/2006/relationships/hyperlink" Target="http://linkedin.com/company/markit-opportunity" TargetMode="External"/><Relationship Id="rId1911" Type="http://schemas.openxmlformats.org/officeDocument/2006/relationships/hyperlink" Target="https://tracxn.com/companies/wagsBF5a4v9N7VsaSJiYBIkbCQXjppHODJD5FQ8nYLw/nilebot.com" TargetMode="External"/><Relationship Id="rId492" Type="http://schemas.openxmlformats.org/officeDocument/2006/relationships/hyperlink" Target="http://seedolab.com/blog" TargetMode="External"/><Relationship Id="rId797" Type="http://schemas.openxmlformats.org/officeDocument/2006/relationships/hyperlink" Target="https://aruna.id/" TargetMode="External"/><Relationship Id="rId2173" Type="http://schemas.openxmlformats.org/officeDocument/2006/relationships/hyperlink" Target="https://tracxn.com/companies/vL9s-2RJdMckaCZ-f5sRU_bpqu_rTdYgx6JU4IeY7pA/donmario.com" TargetMode="External"/><Relationship Id="rId145" Type="http://schemas.openxmlformats.org/officeDocument/2006/relationships/hyperlink" Target="https://tracxn.com/companies/gN5Uk480-1xe9uPcckIMYccO2fRSojT0TlUde1DIl90/profishgh.com" TargetMode="External"/><Relationship Id="rId352" Type="http://schemas.openxmlformats.org/officeDocument/2006/relationships/hyperlink" Target="https://linkedin.com/company/tradebuza" TargetMode="External"/><Relationship Id="rId1287" Type="http://schemas.openxmlformats.org/officeDocument/2006/relationships/hyperlink" Target="https://twitter.com/waycoolfoods" TargetMode="External"/><Relationship Id="rId2033" Type="http://schemas.openxmlformats.org/officeDocument/2006/relationships/hyperlink" Target="http://facebook.com/vegfrucom-106552599388979/" TargetMode="External"/><Relationship Id="rId2240" Type="http://schemas.openxmlformats.org/officeDocument/2006/relationships/hyperlink" Target="https://tracxn.com/companies/zgmJ8W_8Q0opRAhO4WvMcMFUiMYkcEotP0y0ugTN2t4/barrix.in" TargetMode="External"/><Relationship Id="rId212" Type="http://schemas.openxmlformats.org/officeDocument/2006/relationships/hyperlink" Target="https://tracxn.com/companies/Uibtk_c88nKmHhD_OhbgCsW6mgAhRmcIT16ZPrBNzHI/abigbox.cn" TargetMode="External"/><Relationship Id="rId657" Type="http://schemas.openxmlformats.org/officeDocument/2006/relationships/hyperlink" Target="https://twitter.com/pay_agri" TargetMode="External"/><Relationship Id="rId864" Type="http://schemas.openxmlformats.org/officeDocument/2006/relationships/hyperlink" Target="https://kheyti.com/" TargetMode="External"/><Relationship Id="rId1494" Type="http://schemas.openxmlformats.org/officeDocument/2006/relationships/hyperlink" Target="http://twitter.com/kisannetwork" TargetMode="External"/><Relationship Id="rId1799" Type="http://schemas.openxmlformats.org/officeDocument/2006/relationships/hyperlink" Target="http://www.flybirdinnovations.com/" TargetMode="External"/><Relationship Id="rId2100" Type="http://schemas.openxmlformats.org/officeDocument/2006/relationships/hyperlink" Target="https://twitter.com/krishidhan" TargetMode="External"/><Relationship Id="rId517" Type="http://schemas.openxmlformats.org/officeDocument/2006/relationships/hyperlink" Target="https://tracxn.com/companies/NlnQHqbM-YX2ySRSM7oX_ZefwAmpyE0nmi8UUo49R9o/solinftec.com" TargetMode="External"/><Relationship Id="rId724" Type="http://schemas.openxmlformats.org/officeDocument/2006/relationships/hyperlink" Target="http://www.aibono.com/" TargetMode="External"/><Relationship Id="rId931" Type="http://schemas.openxmlformats.org/officeDocument/2006/relationships/hyperlink" Target="http://twitter.com/jetbov" TargetMode="External"/><Relationship Id="rId1147" Type="http://schemas.openxmlformats.org/officeDocument/2006/relationships/hyperlink" Target="http://facebook.com/tbitsistemas" TargetMode="External"/><Relationship Id="rId1354" Type="http://schemas.openxmlformats.org/officeDocument/2006/relationships/hyperlink" Target="https://www.avenews-gt.com/" TargetMode="External"/><Relationship Id="rId1561" Type="http://schemas.openxmlformats.org/officeDocument/2006/relationships/hyperlink" Target="https://tracxn.com/companies/tTxs3PtXTDH8_zK0Rcd5f5hJ2GEse7zq7cTqYSXyL7s/songxiaocai.com" TargetMode="External"/><Relationship Id="rId60" Type="http://schemas.openxmlformats.org/officeDocument/2006/relationships/hyperlink" Target="https://tracxn.com/companies/tazSQRXL7W9sq27P9EPd1Zoi1B653Cr86v4iNow9dmQ/atomicagro.com.br" TargetMode="External"/><Relationship Id="rId1007" Type="http://schemas.openxmlformats.org/officeDocument/2006/relationships/hyperlink" Target="https://www.cropin.com/" TargetMode="External"/><Relationship Id="rId1214" Type="http://schemas.openxmlformats.org/officeDocument/2006/relationships/hyperlink" Target="http://www.linkedin.com/vsearch/p?f_CC=3842792" TargetMode="External"/><Relationship Id="rId1421" Type="http://schemas.openxmlformats.org/officeDocument/2006/relationships/hyperlink" Target="http://facebook.com/livingreen-&#1488;&#1511;&#1493;&#1493;&#1508;&#1493;&#1504;&#1497;&#1511;&#1492;-&#1493;&#1492;&#1497;&#1491;&#1512;&#1493;&#1508;&#1493;&#1504;&#1497;&#1511;&#1492;-159847367407960/" TargetMode="External"/><Relationship Id="rId1659" Type="http://schemas.openxmlformats.org/officeDocument/2006/relationships/hyperlink" Target="http://linkedin.com/company/mosavali" TargetMode="External"/><Relationship Id="rId1866" Type="http://schemas.openxmlformats.org/officeDocument/2006/relationships/hyperlink" Target="https://linkedin.com/company/agrostar-in/about" TargetMode="External"/><Relationship Id="rId1519" Type="http://schemas.openxmlformats.org/officeDocument/2006/relationships/hyperlink" Target="http://facebook.com/ukulimatech" TargetMode="External"/><Relationship Id="rId1726" Type="http://schemas.openxmlformats.org/officeDocument/2006/relationships/hyperlink" Target="http://linkedin.com/company/prospera-technologies" TargetMode="External"/><Relationship Id="rId1933" Type="http://schemas.openxmlformats.org/officeDocument/2006/relationships/hyperlink" Target="http://linkedin.com/company/green-agrevolution-private-limited" TargetMode="External"/><Relationship Id="rId18" Type="http://schemas.openxmlformats.org/officeDocument/2006/relationships/hyperlink" Target="https://facebook.com/greeneye-technology-110745290618037" TargetMode="External"/><Relationship Id="rId2195" Type="http://schemas.openxmlformats.org/officeDocument/2006/relationships/hyperlink" Target="https://www.afimilk.com/" TargetMode="External"/><Relationship Id="rId167" Type="http://schemas.openxmlformats.org/officeDocument/2006/relationships/hyperlink" Target="https://redseafarms.com/" TargetMode="External"/><Relationship Id="rId374" Type="http://schemas.openxmlformats.org/officeDocument/2006/relationships/hyperlink" Target="http://jaguzafarm.com/blog" TargetMode="External"/><Relationship Id="rId581" Type="http://schemas.openxmlformats.org/officeDocument/2006/relationships/hyperlink" Target="https://tracxn.com/companies/RwPR0wiAlKAtWZLDpkZxetN0nAszuXJ_WWOg3t9bag0/krishihub.com" TargetMode="External"/><Relationship Id="rId2055" Type="http://schemas.openxmlformats.org/officeDocument/2006/relationships/hyperlink" Target="http://facebook.com/pages/skymet-weather/472246906123174" TargetMode="External"/><Relationship Id="rId2262" Type="http://schemas.openxmlformats.org/officeDocument/2006/relationships/hyperlink" Target="http://www.inifarms.com/" TargetMode="External"/><Relationship Id="rId234" Type="http://schemas.openxmlformats.org/officeDocument/2006/relationships/hyperlink" Target="https://linkedin.com/company/agroscout-ltd" TargetMode="External"/><Relationship Id="rId679" Type="http://schemas.openxmlformats.org/officeDocument/2006/relationships/hyperlink" Target="https://tracxn.com/companies/xK7HwqYRh2UsJ7alt3Ofoh_puJqiuHN_2rlTu1_oF_4/autonxt.in" TargetMode="External"/><Relationship Id="rId886" Type="http://schemas.openxmlformats.org/officeDocument/2006/relationships/hyperlink" Target="https://tracxn.com/companies/LSA3hTmmQVCgWIYeMuZGgMe_g47qzUDD8XyyUDXjCn8/aliakbargroup.com" TargetMode="External"/><Relationship Id="rId2" Type="http://schemas.openxmlformats.org/officeDocument/2006/relationships/hyperlink" Target="https://tracxn.com/companies/GGZ4c2Rb5mw43T2o3QqDTi_rvarS-EvuVnArsPGtXYo/dshifu.cn" TargetMode="External"/><Relationship Id="rId441" Type="http://schemas.openxmlformats.org/officeDocument/2006/relationships/hyperlink" Target="https://www.theearthfood.com/" TargetMode="External"/><Relationship Id="rId539" Type="http://schemas.openxmlformats.org/officeDocument/2006/relationships/hyperlink" Target="https://tracxn.com/companies/enZ5F41vNW6kQhHix_lrg16atZCuj1BUCsmseNzZH0g/5fengshou.com" TargetMode="External"/><Relationship Id="rId746" Type="http://schemas.openxmlformats.org/officeDocument/2006/relationships/hyperlink" Target="https://tracxn.com/companies/hkfNARQUSEtDmZJ_Bwoe8Xz0pgMeOFmMVS_KQuZ7OWk/bolpharma.com" TargetMode="External"/><Relationship Id="rId1071" Type="http://schemas.openxmlformats.org/officeDocument/2006/relationships/hyperlink" Target="http://linkedin.com/company/alesca-life-technologies" TargetMode="External"/><Relationship Id="rId1169" Type="http://schemas.openxmlformats.org/officeDocument/2006/relationships/hyperlink" Target="http://twitter.com/nurserylive" TargetMode="External"/><Relationship Id="rId1376" Type="http://schemas.openxmlformats.org/officeDocument/2006/relationships/hyperlink" Target="http://www.yangjiguanjia.com/" TargetMode="External"/><Relationship Id="rId1583" Type="http://schemas.openxmlformats.org/officeDocument/2006/relationships/hyperlink" Target="https://tracxn.com/companies/0zestrwnly0NK9l4Rg3MsXPfzyZ3ICYMM2SDHflQy6M/dongpinhui.cn" TargetMode="External"/><Relationship Id="rId2122" Type="http://schemas.openxmlformats.org/officeDocument/2006/relationships/hyperlink" Target="http://www.identis.in/" TargetMode="External"/><Relationship Id="rId301" Type="http://schemas.openxmlformats.org/officeDocument/2006/relationships/hyperlink" Target="https://tracxn.com/companies/OZDwZmesf0JNtU9QU2RnG8FUfWKIx5BefKWju_NLOOw/tulaa.io" TargetMode="External"/><Relationship Id="rId953" Type="http://schemas.openxmlformats.org/officeDocument/2006/relationships/hyperlink" Target="http://news.agrofy.com.ar/tema-foro/blog-try" TargetMode="External"/><Relationship Id="rId1029" Type="http://schemas.openxmlformats.org/officeDocument/2006/relationships/hyperlink" Target="https://ergos.in/" TargetMode="External"/><Relationship Id="rId1236" Type="http://schemas.openxmlformats.org/officeDocument/2006/relationships/hyperlink" Target="https://facebook.com/farmagainindia" TargetMode="External"/><Relationship Id="rId1790" Type="http://schemas.openxmlformats.org/officeDocument/2006/relationships/hyperlink" Target="https://tracxn.com/companies/Peiz9RjlLp4F-se5--o_YVEyjvoukjWYE0xAnNYxUks/kesucorp.com" TargetMode="External"/><Relationship Id="rId1888" Type="http://schemas.openxmlformats.org/officeDocument/2006/relationships/hyperlink" Target="http://twitter.com/vasham_id" TargetMode="External"/><Relationship Id="rId82" Type="http://schemas.openxmlformats.org/officeDocument/2006/relationships/hyperlink" Target="https://twitter.com/uplltd" TargetMode="External"/><Relationship Id="rId606" Type="http://schemas.openxmlformats.org/officeDocument/2006/relationships/hyperlink" Target="https://tracxn.com/companies/yVM44ioVt62CIAVKwlAIOA585VVJ5vPwfokxEqmnGJ4/eiwa.ag" TargetMode="External"/><Relationship Id="rId813" Type="http://schemas.openxmlformats.org/officeDocument/2006/relationships/hyperlink" Target="http://www.bharatrohan.in/" TargetMode="External"/><Relationship Id="rId1443" Type="http://schemas.openxmlformats.org/officeDocument/2006/relationships/hyperlink" Target="https://tracxn.com/companies/Kth4cli12CIgDjWKxPQi2ijT-Bb3IUtiM9MsTvKBgd8/agronow.com.br" TargetMode="External"/><Relationship Id="rId1650" Type="http://schemas.openxmlformats.org/officeDocument/2006/relationships/hyperlink" Target="http://blog.licious.in/" TargetMode="External"/><Relationship Id="rId1748" Type="http://schemas.openxmlformats.org/officeDocument/2006/relationships/hyperlink" Target="http://linkedin.com/company/inceres-agsystem" TargetMode="External"/><Relationship Id="rId1303" Type="http://schemas.openxmlformats.org/officeDocument/2006/relationships/hyperlink" Target="http://greenfingersmobile.com/blog" TargetMode="External"/><Relationship Id="rId1510" Type="http://schemas.openxmlformats.org/officeDocument/2006/relationships/hyperlink" Target="https://www.haishangxian.cn/" TargetMode="External"/><Relationship Id="rId1955" Type="http://schemas.openxmlformats.org/officeDocument/2006/relationships/hyperlink" Target="http://twitter.com/banyan_green" TargetMode="External"/><Relationship Id="rId1608" Type="http://schemas.openxmlformats.org/officeDocument/2006/relationships/hyperlink" Target="https://mimosatek.com/" TargetMode="External"/><Relationship Id="rId1815" Type="http://schemas.openxmlformats.org/officeDocument/2006/relationships/hyperlink" Target="https://tracxn.com/companies/f2pVj0v-9LoazcTZO7SY3aER4MT_t4cer7pSRncRqEE/nubesol.co.in" TargetMode="External"/><Relationship Id="rId189" Type="http://schemas.openxmlformats.org/officeDocument/2006/relationships/hyperlink" Target="https://linkedin.com/company/freshvnf/about" TargetMode="External"/><Relationship Id="rId396" Type="http://schemas.openxmlformats.org/officeDocument/2006/relationships/hyperlink" Target="https://www.intergado.com.br/" TargetMode="External"/><Relationship Id="rId2077" Type="http://schemas.openxmlformats.org/officeDocument/2006/relationships/hyperlink" Target="https://tracxn.com/companies/tS56eUwZdN6kihoJSwMDO9M5dNXMU8X6GCd7DsvlC-Q/nrgene.com" TargetMode="External"/><Relationship Id="rId256" Type="http://schemas.openxmlformats.org/officeDocument/2006/relationships/hyperlink" Target="https://tracxn.com/companies/-otGugPGeNJJQx5BQrAOjuwEYxFFCjitUqu-q2SGtW8/oko.finance" TargetMode="External"/><Relationship Id="rId463" Type="http://schemas.openxmlformats.org/officeDocument/2006/relationships/hyperlink" Target="https://linkedin.com/company/farmizen" TargetMode="External"/><Relationship Id="rId670" Type="http://schemas.openxmlformats.org/officeDocument/2006/relationships/hyperlink" Target="https://metomotion.com/" TargetMode="External"/><Relationship Id="rId1093" Type="http://schemas.openxmlformats.org/officeDocument/2006/relationships/hyperlink" Target="https://www.eden-shield.com/cgi-sys/suspendedpage.cgi" TargetMode="External"/><Relationship Id="rId2144" Type="http://schemas.openxmlformats.org/officeDocument/2006/relationships/hyperlink" Target="https://tracxn.com/companies/GSfN5LHGw3wUmkD8sWmsTCKaknQ3_kS_a9ZQHR9o9u0/farmigo.com" TargetMode="External"/><Relationship Id="rId116" Type="http://schemas.openxmlformats.org/officeDocument/2006/relationships/hyperlink" Target="https://tracxn.com/companies/JpvpCIBPD7tHsL21gQ-GYmsQkv8V1FX3I-3QBHutwpk/nuup.co" TargetMode="External"/><Relationship Id="rId323" Type="http://schemas.openxmlformats.org/officeDocument/2006/relationships/hyperlink" Target="https://tracxn.com/companies/jZV0TRXl28GJzWL_lJ6ey9F8gC5c2DKEveYCUaxh0jU/terramagna.com.br" TargetMode="External"/><Relationship Id="rId530" Type="http://schemas.openxmlformats.org/officeDocument/2006/relationships/hyperlink" Target="http://facebook.com/greenfingersmobile" TargetMode="External"/><Relationship Id="rId768" Type="http://schemas.openxmlformats.org/officeDocument/2006/relationships/hyperlink" Target="https://www.agronow.com.br/" TargetMode="External"/><Relationship Id="rId975" Type="http://schemas.openxmlformats.org/officeDocument/2006/relationships/hyperlink" Target="http://facebook.com/em3agri" TargetMode="External"/><Relationship Id="rId1160" Type="http://schemas.openxmlformats.org/officeDocument/2006/relationships/hyperlink" Target="https://tracxn.com/companies/1FDSk2Yjp-MWIpbOj7-PtefZm3oAsmIaR3SxzQmdAFI/proximitydesigns.org" TargetMode="External"/><Relationship Id="rId1398" Type="http://schemas.openxmlformats.org/officeDocument/2006/relationships/hyperlink" Target="https://linkedin.com/company/aibono" TargetMode="External"/><Relationship Id="rId2004" Type="http://schemas.openxmlformats.org/officeDocument/2006/relationships/hyperlink" Target="http://twitter.com/sunculturekenya" TargetMode="External"/><Relationship Id="rId2211" Type="http://schemas.openxmlformats.org/officeDocument/2006/relationships/hyperlink" Target="http://www.linkedin.com/vsearch/p?f_CC=3146270" TargetMode="External"/><Relationship Id="rId628" Type="http://schemas.openxmlformats.org/officeDocument/2006/relationships/hyperlink" Target="https://twitter.com/pureharvestsf" TargetMode="External"/><Relationship Id="rId835" Type="http://schemas.openxmlformats.org/officeDocument/2006/relationships/hyperlink" Target="http://www.farmart.co/" TargetMode="External"/><Relationship Id="rId1258" Type="http://schemas.openxmlformats.org/officeDocument/2006/relationships/hyperlink" Target="http://facebook.com/allerguard-systems-2034633500100961/%5d" TargetMode="External"/><Relationship Id="rId1465" Type="http://schemas.openxmlformats.org/officeDocument/2006/relationships/hyperlink" Target="https://tracxn.com/companies/d-whOVlnf7o0zjbLn2_xt7h1w1QTlr2oWPqYhOHOKk8/yuyuyu.com.cn" TargetMode="External"/><Relationship Id="rId1672" Type="http://schemas.openxmlformats.org/officeDocument/2006/relationships/hyperlink" Target="https://tracxn.com/companies/uGEJW85KPCEJ2M_cpouWyf3uNWNoeLW-GLfPnUyL70w/getleaf.co" TargetMode="External"/><Relationship Id="rId1020" Type="http://schemas.openxmlformats.org/officeDocument/2006/relationships/hyperlink" Target="https://www.agribuddy.com/" TargetMode="External"/><Relationship Id="rId1118" Type="http://schemas.openxmlformats.org/officeDocument/2006/relationships/hyperlink" Target="https://tracxn.com/companies/9vL_Ok9NSNyY4IzrXI4iSr182YWDDhJ_lsnZNdON3qo/freshworld.in" TargetMode="External"/><Relationship Id="rId1325" Type="http://schemas.openxmlformats.org/officeDocument/2006/relationships/hyperlink" Target="https://www.linkedin.com/company/13218984" TargetMode="External"/><Relationship Id="rId1532" Type="http://schemas.openxmlformats.org/officeDocument/2006/relationships/hyperlink" Target="https://saturas-ag.com/" TargetMode="External"/><Relationship Id="rId1977" Type="http://schemas.openxmlformats.org/officeDocument/2006/relationships/hyperlink" Target="https://freshworldfnv.wordpress.com/" TargetMode="External"/><Relationship Id="rId902" Type="http://schemas.openxmlformats.org/officeDocument/2006/relationships/hyperlink" Target="https://tracxn.com/companies/1Ee12jtaNyO5W-sJh2lHfPYzlzOMC9Rw353QbnTLauA/farmtaaza.com" TargetMode="External"/><Relationship Id="rId1837" Type="http://schemas.openxmlformats.org/officeDocument/2006/relationships/hyperlink" Target="http://www.linkedin.com/vsearch/p?f_CC=3844298" TargetMode="External"/><Relationship Id="rId31" Type="http://schemas.openxmlformats.org/officeDocument/2006/relationships/hyperlink" Target="https://farmtheory.in/" TargetMode="External"/><Relationship Id="rId2099" Type="http://schemas.openxmlformats.org/officeDocument/2006/relationships/hyperlink" Target="https://linkedin.com/company/krishidhan-seeds-ltd" TargetMode="External"/><Relationship Id="rId180" Type="http://schemas.openxmlformats.org/officeDocument/2006/relationships/hyperlink" Target="https://tracxn.com/companies/H43vPLAGSMTTsFRYSzuqMeGQI6_lVGu9ZhWThDYbQCc/agrowaves.in" TargetMode="External"/><Relationship Id="rId278" Type="http://schemas.openxmlformats.org/officeDocument/2006/relationships/hyperlink" Target="http://linkedin.com/company/wolkus" TargetMode="External"/><Relationship Id="rId1904" Type="http://schemas.openxmlformats.org/officeDocument/2006/relationships/hyperlink" Target="http://www.barefeet.co.in/" TargetMode="External"/><Relationship Id="rId485" Type="http://schemas.openxmlformats.org/officeDocument/2006/relationships/hyperlink" Target="https://tracxn.com/companies/7Ez1BRgfZRQg0oNxDb_0do8E212rIQwhfMaIriTYPWw/taggnx.com" TargetMode="External"/><Relationship Id="rId692" Type="http://schemas.openxmlformats.org/officeDocument/2006/relationships/hyperlink" Target="https://tracxn.com/companies/PF1TeULEbBzxmmaZihY1l_FTnXS3Pihhh0cpmE2aEcI/crowde.co" TargetMode="External"/><Relationship Id="rId2166" Type="http://schemas.openxmlformats.org/officeDocument/2006/relationships/hyperlink" Target="http://linkedin.com/company/driptech" TargetMode="External"/><Relationship Id="rId138" Type="http://schemas.openxmlformats.org/officeDocument/2006/relationships/hyperlink" Target="http://freshsourceglobal.com/blog" TargetMode="External"/><Relationship Id="rId345" Type="http://schemas.openxmlformats.org/officeDocument/2006/relationships/hyperlink" Target="https://tracxn.com/companies/FsI2c2xT_5jpEmt9Ipuu3sv5C8WNdp_nZU2IpeXcQfU/agropromonitor.com.br" TargetMode="External"/><Relationship Id="rId552" Type="http://schemas.openxmlformats.org/officeDocument/2006/relationships/hyperlink" Target="http://twitter.com/luxelare" TargetMode="External"/><Relationship Id="rId997" Type="http://schemas.openxmlformats.org/officeDocument/2006/relationships/hyperlink" Target="http://facebook.com/zappfresh" TargetMode="External"/><Relationship Id="rId1182" Type="http://schemas.openxmlformats.org/officeDocument/2006/relationships/hyperlink" Target="https://tracxn.com/companies/HaDSQtDS3vcZNjUxP7MoVfSFpz8WRcjrx38w9AcUnvE/jumbotail.com" TargetMode="External"/><Relationship Id="rId2026" Type="http://schemas.openxmlformats.org/officeDocument/2006/relationships/hyperlink" Target="http://linkedin.com/company/virtual-city" TargetMode="External"/><Relationship Id="rId2233" Type="http://schemas.openxmlformats.org/officeDocument/2006/relationships/hyperlink" Target="http://facebook.com/eruvakatechnologies" TargetMode="External"/><Relationship Id="rId205" Type="http://schemas.openxmlformats.org/officeDocument/2006/relationships/hyperlink" Target="https://twitter.com/freshfoodwoolly" TargetMode="External"/><Relationship Id="rId412" Type="http://schemas.openxmlformats.org/officeDocument/2006/relationships/hyperlink" Target="https://facebook.com/bayseddo" TargetMode="External"/><Relationship Id="rId857" Type="http://schemas.openxmlformats.org/officeDocument/2006/relationships/hyperlink" Target="https://www.songxiaocai.com/" TargetMode="External"/><Relationship Id="rId1042" Type="http://schemas.openxmlformats.org/officeDocument/2006/relationships/hyperlink" Target="https://tracxn.com/companies/a884p3pDpAGTZ4tfYcbuy9A6N73tjVoQMC6I55ZFx64/farmdrive.co.ke" TargetMode="External"/><Relationship Id="rId1487" Type="http://schemas.openxmlformats.org/officeDocument/2006/relationships/hyperlink" Target="https://tracxn.com/companies/6rl4G0UsiKMIJEi3WwxiQbt-LdfqOMgGYP_p9WBjnj4/nongguanjia.com" TargetMode="External"/><Relationship Id="rId1694" Type="http://schemas.openxmlformats.org/officeDocument/2006/relationships/hyperlink" Target="http://linkedin.com/company/truce---truce-price" TargetMode="External"/><Relationship Id="rId717" Type="http://schemas.openxmlformats.org/officeDocument/2006/relationships/hyperlink" Target="https://twitter.com/turodeo_tech" TargetMode="External"/><Relationship Id="rId924" Type="http://schemas.openxmlformats.org/officeDocument/2006/relationships/hyperlink" Target="http://www.linkedin.com/vsearch/p?f_CC=10099144" TargetMode="External"/><Relationship Id="rId1347" Type="http://schemas.openxmlformats.org/officeDocument/2006/relationships/hyperlink" Target="https://www.iprocu.re/" TargetMode="External"/><Relationship Id="rId1554" Type="http://schemas.openxmlformats.org/officeDocument/2006/relationships/hyperlink" Target="http://www.zdongpin.com/" TargetMode="External"/><Relationship Id="rId1761" Type="http://schemas.openxmlformats.org/officeDocument/2006/relationships/hyperlink" Target="https://tracxn.com/companies/jR6Z-DxSlaWnhUYPmhcihIHDBtbpoxetZPfAHUxwg8I/ync365.com" TargetMode="External"/><Relationship Id="rId1999" Type="http://schemas.openxmlformats.org/officeDocument/2006/relationships/hyperlink" Target="https://twitter.com/rizobacterarg" TargetMode="External"/><Relationship Id="rId53" Type="http://schemas.openxmlformats.org/officeDocument/2006/relationships/hyperlink" Target="https://linkedin.com/company/agrapp/about" TargetMode="External"/><Relationship Id="rId1207" Type="http://schemas.openxmlformats.org/officeDocument/2006/relationships/hyperlink" Target="https://tracxn.com/companies/WWFnrSYFDDTvCuTresv-jNutXxvk86bwXiIbY5NEDLA/yuktix.com" TargetMode="External"/><Relationship Id="rId1414" Type="http://schemas.openxmlformats.org/officeDocument/2006/relationships/hyperlink" Target="https://tracxn.com/companies/VcCDv4H-StHurgIHpcGBAlHqAndNeyVsuw8v3-yLR7w/okguo.com" TargetMode="External"/><Relationship Id="rId1621" Type="http://schemas.openxmlformats.org/officeDocument/2006/relationships/hyperlink" Target="https://tracxn.com/companies/3xZNN_7YMc8Ax-mUQmuXQzfr-n--m-MzHBKHFMTY6D0/forrestinnovations.com" TargetMode="External"/><Relationship Id="rId1859" Type="http://schemas.openxmlformats.org/officeDocument/2006/relationships/hyperlink" Target="https://hellotractor.com/" TargetMode="External"/><Relationship Id="rId1719" Type="http://schemas.openxmlformats.org/officeDocument/2006/relationships/hyperlink" Target="http://www.linkedin.com/vsearch/p?f_CC=9396038" TargetMode="External"/><Relationship Id="rId1926" Type="http://schemas.openxmlformats.org/officeDocument/2006/relationships/hyperlink" Target="https://www.efishery.com/" TargetMode="External"/><Relationship Id="rId2090" Type="http://schemas.openxmlformats.org/officeDocument/2006/relationships/hyperlink" Target="http://myagro.org/blog" TargetMode="External"/><Relationship Id="rId2188" Type="http://schemas.openxmlformats.org/officeDocument/2006/relationships/hyperlink" Target="http://www.linkedin.com/vsearch/p?f_CC=2447089" TargetMode="External"/><Relationship Id="rId367" Type="http://schemas.openxmlformats.org/officeDocument/2006/relationships/hyperlink" Target="http://www.scannerbovino.com/" TargetMode="External"/><Relationship Id="rId574" Type="http://schemas.openxmlformats.org/officeDocument/2006/relationships/hyperlink" Target="https://linkedin.com/company/krishitantra" TargetMode="External"/><Relationship Id="rId2048" Type="http://schemas.openxmlformats.org/officeDocument/2006/relationships/hyperlink" Target="http://linkedin.com/company/subflex-ltd" TargetMode="External"/><Relationship Id="rId2255" Type="http://schemas.openxmlformats.org/officeDocument/2006/relationships/hyperlink" Target="http://www.nuziveeduseeds.com/" TargetMode="External"/><Relationship Id="rId227" Type="http://schemas.openxmlformats.org/officeDocument/2006/relationships/hyperlink" Target="https://facebook.com/genica.bio" TargetMode="External"/><Relationship Id="rId781" Type="http://schemas.openxmlformats.org/officeDocument/2006/relationships/hyperlink" Target="https://tracxn.com/companies/O37Kj8mxXvoxlviWPXW-2UGw0J5Jy0do8uaX3gy8-14/farmfolio.net" TargetMode="External"/><Relationship Id="rId879" Type="http://schemas.openxmlformats.org/officeDocument/2006/relationships/hyperlink" Target="https://www.linkedin.com/company/tanihub" TargetMode="External"/><Relationship Id="rId434" Type="http://schemas.openxmlformats.org/officeDocument/2006/relationships/hyperlink" Target="https://tracxn.com/companies/wIb6GrKxqrMQkqDe4uvsXxePEOGu82KjW27wmjFn5YY/nugenes.net" TargetMode="External"/><Relationship Id="rId641" Type="http://schemas.openxmlformats.org/officeDocument/2006/relationships/hyperlink" Target="https://tracxn.com/companies/dUbhAV1TZPY6wYJFDF7Qx-YlsMX601HZz7Gq3uzH56U/intellolabs.com" TargetMode="External"/><Relationship Id="rId739" Type="http://schemas.openxmlformats.org/officeDocument/2006/relationships/hyperlink" Target="https://www.skyx.solutions/" TargetMode="External"/><Relationship Id="rId1064" Type="http://schemas.openxmlformats.org/officeDocument/2006/relationships/hyperlink" Target="https://agrostar.in/amp/hi/maharashtra/shop" TargetMode="External"/><Relationship Id="rId1271" Type="http://schemas.openxmlformats.org/officeDocument/2006/relationships/hyperlink" Target="https://agrotrac.cl/" TargetMode="External"/><Relationship Id="rId1369" Type="http://schemas.openxmlformats.org/officeDocument/2006/relationships/hyperlink" Target="http://facebook.com/freshboxx" TargetMode="External"/><Relationship Id="rId1576" Type="http://schemas.openxmlformats.org/officeDocument/2006/relationships/hyperlink" Target="https://facebook.com/ugaooindia" TargetMode="External"/><Relationship Id="rId2115" Type="http://schemas.openxmlformats.org/officeDocument/2006/relationships/hyperlink" Target="https://tracxn.com/companies/_bXNlUetDy05mbtyZHI9pgEjbefIlMkjx5Asm339rGE/jains.com" TargetMode="External"/><Relationship Id="rId501" Type="http://schemas.openxmlformats.org/officeDocument/2006/relationships/hyperlink" Target="http://blog.bharatagri.com/" TargetMode="External"/><Relationship Id="rId946" Type="http://schemas.openxmlformats.org/officeDocument/2006/relationships/hyperlink" Target="https://twitter.com/coldhubs" TargetMode="External"/><Relationship Id="rId1131" Type="http://schemas.openxmlformats.org/officeDocument/2006/relationships/hyperlink" Target="https://tracxn.com/companies/Tj3yrhTrv9IRPzlYbHjvHZTNV1u41e1nfJSAOn1q8dA/rizobacter.com" TargetMode="External"/><Relationship Id="rId1229" Type="http://schemas.openxmlformats.org/officeDocument/2006/relationships/hyperlink" Target="https://linkedin.com/company/ini-farms/about" TargetMode="External"/><Relationship Id="rId1783" Type="http://schemas.openxmlformats.org/officeDocument/2006/relationships/hyperlink" Target="https://www.ninjacart.in/" TargetMode="External"/><Relationship Id="rId1990" Type="http://schemas.openxmlformats.org/officeDocument/2006/relationships/hyperlink" Target="https://tracxn.com/companies/fz9-wmC01icGw8p9qzgQiSB62ldG3QNoOcGPNIw-dTI/efarm.in" TargetMode="External"/><Relationship Id="rId75" Type="http://schemas.openxmlformats.org/officeDocument/2006/relationships/hyperlink" Target="https://tracxn.com/companies/dddzG8-bpxuwkyqpz_y9t0Od88C_8K24zLrQbH54KGg/chilibeli.com" TargetMode="External"/><Relationship Id="rId806" Type="http://schemas.openxmlformats.org/officeDocument/2006/relationships/hyperlink" Target="http://www.linkedin.com/vsearch/p?f_CC=3346451" TargetMode="External"/><Relationship Id="rId1436" Type="http://schemas.openxmlformats.org/officeDocument/2006/relationships/hyperlink" Target="http://linkedin.com/company/komaza" TargetMode="External"/><Relationship Id="rId1643" Type="http://schemas.openxmlformats.org/officeDocument/2006/relationships/hyperlink" Target="http://twitter.com/infobrownapron" TargetMode="External"/><Relationship Id="rId1850" Type="http://schemas.openxmlformats.org/officeDocument/2006/relationships/hyperlink" Target="http://twitter.com/agrosmartbr" TargetMode="External"/><Relationship Id="rId1503" Type="http://schemas.openxmlformats.org/officeDocument/2006/relationships/hyperlink" Target="https://tracxn.com/companies/3dvEPnEsctZSXC_I81xW6U361fwJxrkDrTV-NRoutt4/smartbeen.com" TargetMode="External"/><Relationship Id="rId1710" Type="http://schemas.openxmlformats.org/officeDocument/2006/relationships/hyperlink" Target="https://twitter.com/bighaatindia" TargetMode="External"/><Relationship Id="rId1948" Type="http://schemas.openxmlformats.org/officeDocument/2006/relationships/hyperlink" Target="http://www.suryapowermagic.com/" TargetMode="External"/><Relationship Id="rId291" Type="http://schemas.openxmlformats.org/officeDocument/2006/relationships/hyperlink" Target="https://tracxn.com/companies/bghe2fN46X5Em048xD7lAvTIROwAITVbtNeIK8HZVLw/hoire.cn" TargetMode="External"/><Relationship Id="rId1808" Type="http://schemas.openxmlformats.org/officeDocument/2006/relationships/hyperlink" Target="http://twitter.com/breeditir" TargetMode="External"/><Relationship Id="rId151" Type="http://schemas.openxmlformats.org/officeDocument/2006/relationships/hyperlink" Target="https://tracxn.com/companies/yG1tnFials3y40o39p-TR3y2dQRktHYyDMhbe7d7ciY/twiga.ke" TargetMode="External"/><Relationship Id="rId389" Type="http://schemas.openxmlformats.org/officeDocument/2006/relationships/hyperlink" Target="https://tracxn.com/companies/LfQTkoSpo8eD567hfOCTDjmfQyTWDZfyxAR73jadolI/begreen.farm" TargetMode="External"/><Relationship Id="rId596" Type="http://schemas.openxmlformats.org/officeDocument/2006/relationships/hyperlink" Target="http://facebook.com/pages/eggxyt/1763030413963918" TargetMode="External"/><Relationship Id="rId249" Type="http://schemas.openxmlformats.org/officeDocument/2006/relationships/hyperlink" Target="http://facebook.com/fasalapp" TargetMode="External"/><Relationship Id="rId456" Type="http://schemas.openxmlformats.org/officeDocument/2006/relationships/hyperlink" Target="https://naturacropcare.com/" TargetMode="External"/><Relationship Id="rId663" Type="http://schemas.openxmlformats.org/officeDocument/2006/relationships/hyperlink" Target="http://facebook.com/farmcrowdy/" TargetMode="External"/><Relationship Id="rId870" Type="http://schemas.openxmlformats.org/officeDocument/2006/relationships/hyperlink" Target="https://facebook.com/tierrademonteagriculturalibre" TargetMode="External"/><Relationship Id="rId1086" Type="http://schemas.openxmlformats.org/officeDocument/2006/relationships/hyperlink" Target="http://facebook.com/efishery" TargetMode="External"/><Relationship Id="rId1293" Type="http://schemas.openxmlformats.org/officeDocument/2006/relationships/hyperlink" Target="https://tracxn.com/companies/wPYLTj3VCwckObsnkMCqan7cEsQVZd3MYLBEnrb6vk0/cfftzy.com" TargetMode="External"/><Relationship Id="rId2137" Type="http://schemas.openxmlformats.org/officeDocument/2006/relationships/hyperlink" Target="https://tracxn.com/companies/Kkk2hwdExFPE9T5KntbzVP3xpiFg4QaJWx3hsz-a9z0/fruitday.com" TargetMode="External"/><Relationship Id="rId109" Type="http://schemas.openxmlformats.org/officeDocument/2006/relationships/hyperlink" Target="https://twitter.com/agrikaab" TargetMode="External"/><Relationship Id="rId316" Type="http://schemas.openxmlformats.org/officeDocument/2006/relationships/hyperlink" Target="http://occipitaltech.com/blog" TargetMode="External"/><Relationship Id="rId523" Type="http://schemas.openxmlformats.org/officeDocument/2006/relationships/hyperlink" Target="http://facebook.com/agreemarket.smart.trade" TargetMode="External"/><Relationship Id="rId968" Type="http://schemas.openxmlformats.org/officeDocument/2006/relationships/hyperlink" Target="https://linkedin.com/company/bighaat-india" TargetMode="External"/><Relationship Id="rId1153" Type="http://schemas.openxmlformats.org/officeDocument/2006/relationships/hyperlink" Target="http://facebook.com/pages/skymet-weather/472246906123174" TargetMode="External"/><Relationship Id="rId1598" Type="http://schemas.openxmlformats.org/officeDocument/2006/relationships/hyperlink" Target="https://www.emubao.com/" TargetMode="External"/><Relationship Id="rId2204" Type="http://schemas.openxmlformats.org/officeDocument/2006/relationships/hyperlink" Target="http://www.linkedin.com/vsearch/p?f_CC=2857207" TargetMode="External"/><Relationship Id="rId97" Type="http://schemas.openxmlformats.org/officeDocument/2006/relationships/hyperlink" Target="https://tracxn.com/companies/G-5DS044Lbd5mEfVux9Hn1dz6VEPgFTd3ujtSdeyibo/altumlab.cl" TargetMode="External"/><Relationship Id="rId730" Type="http://schemas.openxmlformats.org/officeDocument/2006/relationships/hyperlink" Target="https://tomatiki.com/" TargetMode="External"/><Relationship Id="rId828" Type="http://schemas.openxmlformats.org/officeDocument/2006/relationships/hyperlink" Target="https://tracxn.com/companies/nfOpGxdD44_BkvNQvnWDEmh9hcHU9_nWTUo1kDRcNXM/biofishency.com" TargetMode="External"/><Relationship Id="rId1013" Type="http://schemas.openxmlformats.org/officeDocument/2006/relationships/hyperlink" Target="http://www.linkedin.com/vsearch/p?f_CC=9498451" TargetMode="External"/><Relationship Id="rId1360" Type="http://schemas.openxmlformats.org/officeDocument/2006/relationships/hyperlink" Target="https://linkedin.com/company/tradeghana/about" TargetMode="External"/><Relationship Id="rId1458" Type="http://schemas.openxmlformats.org/officeDocument/2006/relationships/hyperlink" Target="https://tracxn.com/companies/2Ya_HPISAkKL5mTsd4khzPQ1goQiqNH-RWnWCJXLSkQ/yzyy365.com" TargetMode="External"/><Relationship Id="rId1665" Type="http://schemas.openxmlformats.org/officeDocument/2006/relationships/hyperlink" Target="https://twitter.com/globalyeast" TargetMode="External"/><Relationship Id="rId1872" Type="http://schemas.openxmlformats.org/officeDocument/2006/relationships/hyperlink" Target="http://linkedin.com/company/harddrones-com" TargetMode="External"/><Relationship Id="rId1220" Type="http://schemas.openxmlformats.org/officeDocument/2006/relationships/hyperlink" Target="http://www.linkedin.com/vsearch/p?f_CC=2346675" TargetMode="External"/><Relationship Id="rId1318" Type="http://schemas.openxmlformats.org/officeDocument/2006/relationships/hyperlink" Target="http://facebook.com/pages/eggxyt/1763030413963918" TargetMode="External"/><Relationship Id="rId1525" Type="http://schemas.openxmlformats.org/officeDocument/2006/relationships/hyperlink" Target="https://tracxn.com/companies/tmO8WbdJ51h6YPDqAQaSvBMjOBw6QBfo1cGhgtmHK4U/farmart.co" TargetMode="External"/><Relationship Id="rId1732" Type="http://schemas.openxmlformats.org/officeDocument/2006/relationships/hyperlink" Target="https://www.linkedin.com/company/9410547" TargetMode="External"/><Relationship Id="rId24" Type="http://schemas.openxmlformats.org/officeDocument/2006/relationships/hyperlink" Target="https://tracxn.com/companies/3wB5JDqPpjrNvsDH5qQDNghz82Y1R-y2DPPHSFGy1Hs/vegrow.in" TargetMode="External"/><Relationship Id="rId173" Type="http://schemas.openxmlformats.org/officeDocument/2006/relationships/hyperlink" Target="https://linkedin.com/company/imagoai" TargetMode="External"/><Relationship Id="rId380" Type="http://schemas.openxmlformats.org/officeDocument/2006/relationships/hyperlink" Target="https://tracxn.com/companies/Jtcj1ayh5bQOEQOUh5NKnUNUhIsavsFE2tMgUhTjhTw/khula.co.za" TargetMode="External"/><Relationship Id="rId2061" Type="http://schemas.openxmlformats.org/officeDocument/2006/relationships/hyperlink" Target="https://tracxn.com/companies/1y2f0dhN_GOrFU5u_j9uO_I3YAxc0bw35OPZfpEUml0/phytech.com" TargetMode="External"/><Relationship Id="rId240" Type="http://schemas.openxmlformats.org/officeDocument/2006/relationships/hyperlink" Target="https://www.agro2o.com/" TargetMode="External"/><Relationship Id="rId478" Type="http://schemas.openxmlformats.org/officeDocument/2006/relationships/hyperlink" Target="https://tracxn.com/companies/DLV6wk7DQr5_XkDIXzsuga-YAdnHOSO7MTNgwCuAsBI/krimanshi.com" TargetMode="External"/><Relationship Id="rId685" Type="http://schemas.openxmlformats.org/officeDocument/2006/relationships/hyperlink" Target="https://tracxn.com/companies/XJ5LnpvZJpOxPCi0Eo9A4GYyta1dyFSArZbDWKsX1rI/yunyangdata.com" TargetMode="External"/><Relationship Id="rId892" Type="http://schemas.openxmlformats.org/officeDocument/2006/relationships/hyperlink" Target="https://www.linkedin.com/company/farm-dog" TargetMode="External"/><Relationship Id="rId2159" Type="http://schemas.openxmlformats.org/officeDocument/2006/relationships/hyperlink" Target="https://www.ecozensolutions.com/" TargetMode="External"/><Relationship Id="rId100" Type="http://schemas.openxmlformats.org/officeDocument/2006/relationships/hyperlink" Target="https://www.absolutefoods.in/" TargetMode="External"/><Relationship Id="rId338" Type="http://schemas.openxmlformats.org/officeDocument/2006/relationships/hyperlink" Target="https://www.agromeiq.com/" TargetMode="External"/><Relationship Id="rId545" Type="http://schemas.openxmlformats.org/officeDocument/2006/relationships/hyperlink" Target="https://agnext.com/" TargetMode="External"/><Relationship Id="rId752" Type="http://schemas.openxmlformats.org/officeDocument/2006/relationships/hyperlink" Target="http://www.crofarm.com/" TargetMode="External"/><Relationship Id="rId1175" Type="http://schemas.openxmlformats.org/officeDocument/2006/relationships/hyperlink" Target="https://twitter.com/netafimcorp" TargetMode="External"/><Relationship Id="rId1382" Type="http://schemas.openxmlformats.org/officeDocument/2006/relationships/hyperlink" Target="https://www.supplybunny.com/" TargetMode="External"/><Relationship Id="rId2019" Type="http://schemas.openxmlformats.org/officeDocument/2006/relationships/hyperlink" Target="https://www.weather-risk.com/" TargetMode="External"/><Relationship Id="rId2226" Type="http://schemas.openxmlformats.org/officeDocument/2006/relationships/hyperlink" Target="http://twitter.com/yuktix" TargetMode="External"/><Relationship Id="rId405" Type="http://schemas.openxmlformats.org/officeDocument/2006/relationships/hyperlink" Target="https://tracxn.com/companies/_OLUFpaBSOZEmPNXnq58UAgKqYAyixWaDAzA1kOU8Cg/infishta.com" TargetMode="External"/><Relationship Id="rId612" Type="http://schemas.openxmlformats.org/officeDocument/2006/relationships/hyperlink" Target="https://twitter.com/apolloagri" TargetMode="External"/><Relationship Id="rId1035" Type="http://schemas.openxmlformats.org/officeDocument/2006/relationships/hyperlink" Target="http://facebook.com/agrokilimo/" TargetMode="External"/><Relationship Id="rId1242" Type="http://schemas.openxmlformats.org/officeDocument/2006/relationships/hyperlink" Target="https://tracxn.com/companies/mMCihgosFJJtAvW3wtF4w94_ObxNflunAyWB2k0-u6s/upl-ltd.com" TargetMode="External"/><Relationship Id="rId1687" Type="http://schemas.openxmlformats.org/officeDocument/2006/relationships/hyperlink" Target="http://www.linkedin.com/vsearch/p?f_CC=10011262" TargetMode="External"/><Relationship Id="rId1894" Type="http://schemas.openxmlformats.org/officeDocument/2006/relationships/hyperlink" Target="https://groundworkbioag.com/" TargetMode="External"/><Relationship Id="rId917" Type="http://schemas.openxmlformats.org/officeDocument/2006/relationships/hyperlink" Target="http://blog.licious.in/" TargetMode="External"/><Relationship Id="rId1102" Type="http://schemas.openxmlformats.org/officeDocument/2006/relationships/hyperlink" Target="https://twitter.com/gramophone_ag" TargetMode="External"/><Relationship Id="rId1547" Type="http://schemas.openxmlformats.org/officeDocument/2006/relationships/hyperlink" Target="https://tracxn.com/companies/CMWSBgPMw90KaL4G0COUGRmi7H3UQqDV85S0_l8AIQY/taranis.ag" TargetMode="External"/><Relationship Id="rId1754" Type="http://schemas.openxmlformats.org/officeDocument/2006/relationships/hyperlink" Target="https://tracxn.com/companies/j5ParQ1sg4LmGlFhkCO54KjtFMb6bbeQXFq7wgmPDlI/mujinnong.com" TargetMode="External"/><Relationship Id="rId1961" Type="http://schemas.openxmlformats.org/officeDocument/2006/relationships/hyperlink" Target="http://www.linkedin.com/vsearch/p?f_CC=5213357" TargetMode="External"/><Relationship Id="rId46" Type="http://schemas.openxmlformats.org/officeDocument/2006/relationships/hyperlink" Target="https://twitter.com/beewiset" TargetMode="External"/><Relationship Id="rId1407" Type="http://schemas.openxmlformats.org/officeDocument/2006/relationships/hyperlink" Target="https://tracxn.com/companies/tYL0JrdVCuAbKQGi8h-A8g_k0zTQyolB3mn5NjMShqQ/hargol.com" TargetMode="External"/><Relationship Id="rId1614" Type="http://schemas.openxmlformats.org/officeDocument/2006/relationships/hyperlink" Target="http://facebook.com/gfreshinternational" TargetMode="External"/><Relationship Id="rId1821" Type="http://schemas.openxmlformats.org/officeDocument/2006/relationships/hyperlink" Target="http://facebook.com/merakisanindia" TargetMode="External"/><Relationship Id="rId195" Type="http://schemas.openxmlformats.org/officeDocument/2006/relationships/hyperlink" Target="http://techshelta.com/blog" TargetMode="External"/><Relationship Id="rId1919" Type="http://schemas.openxmlformats.org/officeDocument/2006/relationships/hyperlink" Target="https://www.promip.agr.br/" TargetMode="External"/><Relationship Id="rId2083" Type="http://schemas.openxmlformats.org/officeDocument/2006/relationships/hyperlink" Target="http://blog.netafim.com/" TargetMode="External"/><Relationship Id="rId262" Type="http://schemas.openxmlformats.org/officeDocument/2006/relationships/hyperlink" Target="https://tracxn.com/companies/0N0840SOoVmCazPHBTmweY-i5sHKdbFMUlkStoV89AE/nocofio.com" TargetMode="External"/><Relationship Id="rId567" Type="http://schemas.openxmlformats.org/officeDocument/2006/relationships/hyperlink" Target="https://www.aerobotics.com/" TargetMode="External"/><Relationship Id="rId1197" Type="http://schemas.openxmlformats.org/officeDocument/2006/relationships/hyperlink" Target="https://www.agriness.com/en/" TargetMode="External"/><Relationship Id="rId2150" Type="http://schemas.openxmlformats.org/officeDocument/2006/relationships/hyperlink" Target="https://tracxn.com/companies/bW2DXuDtapDKNhN6XYX9haXKTvSTafHlODEN5JhstLU/esoko.com" TargetMode="External"/><Relationship Id="rId2248" Type="http://schemas.openxmlformats.org/officeDocument/2006/relationships/hyperlink" Target="http://www.linkedin.com/vsearch/p?f_CC=1595062" TargetMode="External"/><Relationship Id="rId122" Type="http://schemas.openxmlformats.org/officeDocument/2006/relationships/hyperlink" Target="https://tracxn.com/companies/MsSrFUzOTIC8iLIf0P_hgQMB9hgtImh-dXDSnmEIkj8/procol.in" TargetMode="External"/><Relationship Id="rId774" Type="http://schemas.openxmlformats.org/officeDocument/2006/relationships/hyperlink" Target="http://twitter.com/livestockwealth" TargetMode="External"/><Relationship Id="rId981" Type="http://schemas.openxmlformats.org/officeDocument/2006/relationships/hyperlink" Target="https://twitter.com/auravant" TargetMode="External"/><Relationship Id="rId1057" Type="http://schemas.openxmlformats.org/officeDocument/2006/relationships/hyperlink" Target="https://mahyco.com/" TargetMode="External"/><Relationship Id="rId2010" Type="http://schemas.openxmlformats.org/officeDocument/2006/relationships/hyperlink" Target="https://tracxn.com/companies/MH84vhE_rb5YC72jvd7I5RcxqxJb4I7WQ4ro8HxmjFQ/meta-helix.com" TargetMode="External"/><Relationship Id="rId427" Type="http://schemas.openxmlformats.org/officeDocument/2006/relationships/hyperlink" Target="https://tracxn.com/companies/dTZRZf2xU7VSilgicsbYiDhVw4_Hsfdsod6g3pM1EBk/datall.cn" TargetMode="External"/><Relationship Id="rId634" Type="http://schemas.openxmlformats.org/officeDocument/2006/relationships/hyperlink" Target="https://twitter.com/unnatiagri" TargetMode="External"/><Relationship Id="rId841" Type="http://schemas.openxmlformats.org/officeDocument/2006/relationships/hyperlink" Target="https://linkedin.com/company/saturas-ltd" TargetMode="External"/><Relationship Id="rId1264" Type="http://schemas.openxmlformats.org/officeDocument/2006/relationships/hyperlink" Target="http://facebook.com/wandaorganic" TargetMode="External"/><Relationship Id="rId1471" Type="http://schemas.openxmlformats.org/officeDocument/2006/relationships/hyperlink" Target="https://tracxn.com/companies/9rQryfXpFpFWeu4wwYUukc8JvweN3mD-wThH7ao7RgY/nongfenqi.com" TargetMode="External"/><Relationship Id="rId1569" Type="http://schemas.openxmlformats.org/officeDocument/2006/relationships/hyperlink" Target="https://tracxn.com/companies/tH0E76HnjtUc3AsVlFxij4fb-sWRQ4EROClocujNHTg/17dfs.com" TargetMode="External"/><Relationship Id="rId2108" Type="http://schemas.openxmlformats.org/officeDocument/2006/relationships/hyperlink" Target="https://jumbotail.com/" TargetMode="External"/><Relationship Id="rId701" Type="http://schemas.openxmlformats.org/officeDocument/2006/relationships/hyperlink" Target="https://tracxn.com/companies/7sy0mtuvYQiqVH0hpzjwmif9RuZqdBBKNecqksTZLC8/freshboxx.in" TargetMode="External"/><Relationship Id="rId939" Type="http://schemas.openxmlformats.org/officeDocument/2006/relationships/hyperlink" Target="http://www.linkedin.com/vsearch/p?f_CC=9400362" TargetMode="External"/><Relationship Id="rId1124" Type="http://schemas.openxmlformats.org/officeDocument/2006/relationships/hyperlink" Target="http://twitter.com/growwithfarmerp" TargetMode="External"/><Relationship Id="rId1331" Type="http://schemas.openxmlformats.org/officeDocument/2006/relationships/hyperlink" Target="https://linkedin.com/company/intello-labs-pvt-ltd" TargetMode="External"/><Relationship Id="rId1776" Type="http://schemas.openxmlformats.org/officeDocument/2006/relationships/hyperlink" Target="https://www.cropin.com/" TargetMode="External"/><Relationship Id="rId1983" Type="http://schemas.openxmlformats.org/officeDocument/2006/relationships/hyperlink" Target="http://facebook.com/qtlomics" TargetMode="External"/><Relationship Id="rId68" Type="http://schemas.openxmlformats.org/officeDocument/2006/relationships/hyperlink" Target="https://tracxn.com/companies/niXBc1ve_neNvsZnDd3huSZHlbbGdfHvr6XbBINvu-s/marutdrones.com" TargetMode="External"/><Relationship Id="rId1429" Type="http://schemas.openxmlformats.org/officeDocument/2006/relationships/hyperlink" Target="https://tracxn.com/companies/bcWdon3RePrtdJos1ix0odOGADR5xMP1cAiPsXR5Y9Q/zhaonongzi.com" TargetMode="External"/><Relationship Id="rId1636" Type="http://schemas.openxmlformats.org/officeDocument/2006/relationships/hyperlink" Target="http://www.linkedin.com/vsearch/p?f_CC=10141015" TargetMode="External"/><Relationship Id="rId1843" Type="http://schemas.openxmlformats.org/officeDocument/2006/relationships/hyperlink" Target="http://www.linkedin.com/vsearch/p?f_CC=5344406" TargetMode="External"/><Relationship Id="rId1703" Type="http://schemas.openxmlformats.org/officeDocument/2006/relationships/hyperlink" Target="https://tracxn.com/companies/x0SndVF0rKEKsrDbdf9ZqpGiNFtCET4zRbm4ORaNONc/fibsol.com" TargetMode="External"/><Relationship Id="rId1910" Type="http://schemas.openxmlformats.org/officeDocument/2006/relationships/hyperlink" Target="http://facebook.com/nilebot" TargetMode="External"/><Relationship Id="rId284" Type="http://schemas.openxmlformats.org/officeDocument/2006/relationships/hyperlink" Target="http://www.annona.co/" TargetMode="External"/><Relationship Id="rId491" Type="http://schemas.openxmlformats.org/officeDocument/2006/relationships/hyperlink" Target="https://facebook.com/seedolab" TargetMode="External"/><Relationship Id="rId2172" Type="http://schemas.openxmlformats.org/officeDocument/2006/relationships/hyperlink" Target="http://twitter.com/donmariooficial" TargetMode="External"/><Relationship Id="rId144" Type="http://schemas.openxmlformats.org/officeDocument/2006/relationships/hyperlink" Target="https://profishgh.com/" TargetMode="External"/><Relationship Id="rId589" Type="http://schemas.openxmlformats.org/officeDocument/2006/relationships/hyperlink" Target="https://www.freshokartz.com/" TargetMode="External"/><Relationship Id="rId796" Type="http://schemas.openxmlformats.org/officeDocument/2006/relationships/hyperlink" Target="https://tracxn.com/companies/tgUXv2tHmPpBIAgab5ADnuzFL0PSlPHlKQ3T0KO-VVk/livinfarms.com" TargetMode="External"/><Relationship Id="rId351" Type="http://schemas.openxmlformats.org/officeDocument/2006/relationships/hyperlink" Target="https://www.tradebuza.com/" TargetMode="External"/><Relationship Id="rId449" Type="http://schemas.openxmlformats.org/officeDocument/2006/relationships/hyperlink" Target="http://cowtribe.com/tribe-blog" TargetMode="External"/><Relationship Id="rId656" Type="http://schemas.openxmlformats.org/officeDocument/2006/relationships/hyperlink" Target="http://linkedin.com/company/13262565" TargetMode="External"/><Relationship Id="rId863" Type="http://schemas.openxmlformats.org/officeDocument/2006/relationships/hyperlink" Target="https://tracxn.com/companies/rt1ixNSLF857yv9Oa5Ryxu4j4yN9dG3CqNQ_4oAwQ-s/tierraseedscience.com" TargetMode="External"/><Relationship Id="rId1079" Type="http://schemas.openxmlformats.org/officeDocument/2006/relationships/hyperlink" Target="http://linkedin.com/company/10486534" TargetMode="External"/><Relationship Id="rId1286" Type="http://schemas.openxmlformats.org/officeDocument/2006/relationships/hyperlink" Target="https://linkedin.com/company/waycoolfoods/about" TargetMode="External"/><Relationship Id="rId1493" Type="http://schemas.openxmlformats.org/officeDocument/2006/relationships/hyperlink" Target="https://linkedin.com/company/kisan-network" TargetMode="External"/><Relationship Id="rId2032" Type="http://schemas.openxmlformats.org/officeDocument/2006/relationships/hyperlink" Target="http://twitter.com/vegfru" TargetMode="External"/><Relationship Id="rId211" Type="http://schemas.openxmlformats.org/officeDocument/2006/relationships/hyperlink" Target="https://www.abigbox.cn/" TargetMode="External"/><Relationship Id="rId309" Type="http://schemas.openxmlformats.org/officeDocument/2006/relationships/hyperlink" Target="http://linkedin.com/company/aquaconnect1" TargetMode="External"/><Relationship Id="rId516" Type="http://schemas.openxmlformats.org/officeDocument/2006/relationships/hyperlink" Target="http://facebook.com/solinftec.brasil" TargetMode="External"/><Relationship Id="rId1146" Type="http://schemas.openxmlformats.org/officeDocument/2006/relationships/hyperlink" Target="http://twitter.com/tbitsistemas" TargetMode="External"/><Relationship Id="rId1798" Type="http://schemas.openxmlformats.org/officeDocument/2006/relationships/hyperlink" Target="https://tracxn.com/companies/3dLB1KfhibP8awUJbnqEV5p5-DMdQ6bphIO_oxnUWX4/manishaseeds.com" TargetMode="External"/><Relationship Id="rId723" Type="http://schemas.openxmlformats.org/officeDocument/2006/relationships/hyperlink" Target="https://tracxn.com/companies/enB8J3g1NfyV5Kvh7q5uhmBfA02_CzChvgXP1PI2pBA/cowlar.com" TargetMode="External"/><Relationship Id="rId930" Type="http://schemas.openxmlformats.org/officeDocument/2006/relationships/hyperlink" Target="http://linkedin.com/company/jetbov" TargetMode="External"/><Relationship Id="rId1006" Type="http://schemas.openxmlformats.org/officeDocument/2006/relationships/hyperlink" Target="https://tracxn.com/companies/uA3_sjRfnsGZFMZw8lDPgO_rsgRNi29QNeLHNAF_tl0/meicai.cn" TargetMode="External"/><Relationship Id="rId1353" Type="http://schemas.openxmlformats.org/officeDocument/2006/relationships/hyperlink" Target="https://tracxn.com/companies/PF1TeULEbBzxmmaZihY1l_FTnXS3Pihhh0cpmE2aEcI/crowde.co" TargetMode="External"/><Relationship Id="rId1560" Type="http://schemas.openxmlformats.org/officeDocument/2006/relationships/hyperlink" Target="https://www.songxiaocai.com/" TargetMode="External"/><Relationship Id="rId1658" Type="http://schemas.openxmlformats.org/officeDocument/2006/relationships/hyperlink" Target="http://mosavali.org/" TargetMode="External"/><Relationship Id="rId1865" Type="http://schemas.openxmlformats.org/officeDocument/2006/relationships/hyperlink" Target="https://agrostar.in/amp/hi/maharashtra/shop" TargetMode="External"/><Relationship Id="rId1213" Type="http://schemas.openxmlformats.org/officeDocument/2006/relationships/hyperlink" Target="https://tracxn.com/companies/_I-wLf1p8oMLMy7SO1r2bKi29Vs3G5N0p77ZCB6pV3E/eruvaka.com" TargetMode="External"/><Relationship Id="rId1420" Type="http://schemas.openxmlformats.org/officeDocument/2006/relationships/hyperlink" Target="https://www.linkedin.com/company/9233459" TargetMode="External"/><Relationship Id="rId1518" Type="http://schemas.openxmlformats.org/officeDocument/2006/relationships/hyperlink" Target="http://twitter.com/ukulimatech" TargetMode="External"/><Relationship Id="rId1725" Type="http://schemas.openxmlformats.org/officeDocument/2006/relationships/hyperlink" Target="https://www.prospera.ag/" TargetMode="External"/><Relationship Id="rId1932" Type="http://schemas.openxmlformats.org/officeDocument/2006/relationships/hyperlink" Target="https://www.agrevolution.in/" TargetMode="External"/><Relationship Id="rId17" Type="http://schemas.openxmlformats.org/officeDocument/2006/relationships/hyperlink" Target="https://twitter.com/greeneyeag" TargetMode="External"/><Relationship Id="rId2194" Type="http://schemas.openxmlformats.org/officeDocument/2006/relationships/hyperlink" Target="http://www.linkedin.com/vsearch/p?f_CC=85260" TargetMode="External"/><Relationship Id="rId166" Type="http://schemas.openxmlformats.org/officeDocument/2006/relationships/hyperlink" Target="https://tracxn.com/companies/D4-qxvWsX8rSP47kfv8giC8eOiZ2NthdcKSFYwI6wms/eggoz.in" TargetMode="External"/><Relationship Id="rId373" Type="http://schemas.openxmlformats.org/officeDocument/2006/relationships/hyperlink" Target="https://facebook.com/jaguzalivestockapp" TargetMode="External"/><Relationship Id="rId580" Type="http://schemas.openxmlformats.org/officeDocument/2006/relationships/hyperlink" Target="https://facebook.com/krishihub.co.in" TargetMode="External"/><Relationship Id="rId2054" Type="http://schemas.openxmlformats.org/officeDocument/2006/relationships/hyperlink" Target="http://twitter.com/skymetweather" TargetMode="External"/><Relationship Id="rId2261" Type="http://schemas.openxmlformats.org/officeDocument/2006/relationships/hyperlink" Target="http://www.linkedin.com/vsearch/p?f_CC=2212947" TargetMode="External"/><Relationship Id="rId1" Type="http://schemas.openxmlformats.org/officeDocument/2006/relationships/hyperlink" Target="http://www.dshifu.cn/" TargetMode="External"/><Relationship Id="rId233" Type="http://schemas.openxmlformats.org/officeDocument/2006/relationships/hyperlink" Target="https://agro-scout.com/" TargetMode="External"/><Relationship Id="rId440" Type="http://schemas.openxmlformats.org/officeDocument/2006/relationships/hyperlink" Target="https://tracxn.com/companies/v7hNTw_kaZRPvPK8LSs5x0BuycxswIm3T9HfeKGXTcs/clarifruit.com" TargetMode="External"/><Relationship Id="rId678" Type="http://schemas.openxmlformats.org/officeDocument/2006/relationships/hyperlink" Target="http://facebook.com/autonxtautomation" TargetMode="External"/><Relationship Id="rId885" Type="http://schemas.openxmlformats.org/officeDocument/2006/relationships/hyperlink" Target="https://facebook.com/pages/themefusion/101565403356430" TargetMode="External"/><Relationship Id="rId1070" Type="http://schemas.openxmlformats.org/officeDocument/2006/relationships/hyperlink" Target="https://www.alescalife.com/" TargetMode="External"/><Relationship Id="rId2121" Type="http://schemas.openxmlformats.org/officeDocument/2006/relationships/hyperlink" Target="http://www.linkedin.com/vsearch/p?f_CC=2156695" TargetMode="External"/><Relationship Id="rId300" Type="http://schemas.openxmlformats.org/officeDocument/2006/relationships/hyperlink" Target="http://tulaa.io/blog" TargetMode="External"/><Relationship Id="rId538" Type="http://schemas.openxmlformats.org/officeDocument/2006/relationships/hyperlink" Target="http://www.5fengshou.com/" TargetMode="External"/><Relationship Id="rId745" Type="http://schemas.openxmlformats.org/officeDocument/2006/relationships/hyperlink" Target="http://facebook.com/bolpharma/" TargetMode="External"/><Relationship Id="rId952" Type="http://schemas.openxmlformats.org/officeDocument/2006/relationships/hyperlink" Target="https://facebook.com/agrofynews" TargetMode="External"/><Relationship Id="rId1168" Type="http://schemas.openxmlformats.org/officeDocument/2006/relationships/hyperlink" Target="http://linkedin.com/company/nurserylive" TargetMode="External"/><Relationship Id="rId1375" Type="http://schemas.openxmlformats.org/officeDocument/2006/relationships/hyperlink" Target="https://tracxn.com/companies/8OgFfrTcE3HK3E7ZG0Op7CPK5xcCftFnFTB48gmovv8/scantask.com" TargetMode="External"/><Relationship Id="rId1582" Type="http://schemas.openxmlformats.org/officeDocument/2006/relationships/hyperlink" Target="https://www.linkedin.com/company/%E5%86%BB%E5%93%81%E4%BA%92%E8%81%94%EF%BC%88%E5%8C%97%E4%BA%AC%EF%BC%89%E7%BD%91%E7%BB%9C%E7%A7%91%E6%8A%80%E6%9C%89%E9%99%90%E5%85%AC%E5%8F%B8" TargetMode="External"/><Relationship Id="rId2219" Type="http://schemas.openxmlformats.org/officeDocument/2006/relationships/hyperlink" Target="http://linkedin.com/company/greeniq" TargetMode="External"/><Relationship Id="rId81" Type="http://schemas.openxmlformats.org/officeDocument/2006/relationships/hyperlink" Target="https://linkedin.com/company/upl-ltd" TargetMode="External"/><Relationship Id="rId605" Type="http://schemas.openxmlformats.org/officeDocument/2006/relationships/hyperlink" Target="http://facebook.com/eiwa-365833927138903/" TargetMode="External"/><Relationship Id="rId812" Type="http://schemas.openxmlformats.org/officeDocument/2006/relationships/hyperlink" Target="https://tracxn.com/companies/fzFYQgk-38Mgv0qjs7oLf0TFXRJSDPmExDaYCWM0AX4/farmerline.co" TargetMode="External"/><Relationship Id="rId1028" Type="http://schemas.openxmlformats.org/officeDocument/2006/relationships/hyperlink" Target="https://tracxn.com/companies/iPmfdUuU7oQEAGVeydXNpdaESieOiwdAMoHycWbO87Y/merakisan.com" TargetMode="External"/><Relationship Id="rId1235" Type="http://schemas.openxmlformats.org/officeDocument/2006/relationships/hyperlink" Target="https://twitter.com/farm_again" TargetMode="External"/><Relationship Id="rId1442" Type="http://schemas.openxmlformats.org/officeDocument/2006/relationships/hyperlink" Target="https://twitter.com/agronow_tec" TargetMode="External"/><Relationship Id="rId1887" Type="http://schemas.openxmlformats.org/officeDocument/2006/relationships/hyperlink" Target="http://linkedin.com/company/vasham" TargetMode="External"/><Relationship Id="rId1302" Type="http://schemas.openxmlformats.org/officeDocument/2006/relationships/hyperlink" Target="http://facebook.com/greenfingersmobile" TargetMode="External"/><Relationship Id="rId1747" Type="http://schemas.openxmlformats.org/officeDocument/2006/relationships/hyperlink" Target="https://inceres.com.br/" TargetMode="External"/><Relationship Id="rId1954" Type="http://schemas.openxmlformats.org/officeDocument/2006/relationships/hyperlink" Target="http://www.efuels.co.in/" TargetMode="External"/><Relationship Id="rId39" Type="http://schemas.openxmlformats.org/officeDocument/2006/relationships/hyperlink" Target="https://twitter.com/aqua_connect" TargetMode="External"/><Relationship Id="rId1607" Type="http://schemas.openxmlformats.org/officeDocument/2006/relationships/hyperlink" Target="https://tracxn.com/companies/ODYMWYSZAcJeSxYTOjal-9wU5ZvTAfmFNi9GwnuQDlY/easyflower.com" TargetMode="External"/><Relationship Id="rId1814" Type="http://schemas.openxmlformats.org/officeDocument/2006/relationships/hyperlink" Target="http://nubesol.co.in/index.php/blog" TargetMode="External"/><Relationship Id="rId188" Type="http://schemas.openxmlformats.org/officeDocument/2006/relationships/hyperlink" Target="https://www.freshvnf.com/" TargetMode="External"/><Relationship Id="rId395" Type="http://schemas.openxmlformats.org/officeDocument/2006/relationships/hyperlink" Target="https://tracxn.com/companies/OLMPZdxTSeze2SmF4J5F_6yHv4ALkjnSECaa0-TJtkA/farmfriend.cn" TargetMode="External"/><Relationship Id="rId2076" Type="http://schemas.openxmlformats.org/officeDocument/2006/relationships/hyperlink" Target="http://facebook.com/nrgene-technologies-1003279819696574/" TargetMode="External"/><Relationship Id="rId255" Type="http://schemas.openxmlformats.org/officeDocument/2006/relationships/hyperlink" Target="http://oko.finance/blog" TargetMode="External"/><Relationship Id="rId462" Type="http://schemas.openxmlformats.org/officeDocument/2006/relationships/hyperlink" Target="https://www.farmizen.com/" TargetMode="External"/><Relationship Id="rId1092" Type="http://schemas.openxmlformats.org/officeDocument/2006/relationships/hyperlink" Target="https://tracxn.com/companies/TG4egV1bWCA54CKo0q00_jEnsNS2xidAFYe8KL_Lxyw/agrevolution.in" TargetMode="External"/><Relationship Id="rId1397" Type="http://schemas.openxmlformats.org/officeDocument/2006/relationships/hyperlink" Target="http://www.aibono.com/" TargetMode="External"/><Relationship Id="rId2143" Type="http://schemas.openxmlformats.org/officeDocument/2006/relationships/hyperlink" Target="http://benzironen.wordpress.com/" TargetMode="External"/><Relationship Id="rId115" Type="http://schemas.openxmlformats.org/officeDocument/2006/relationships/hyperlink" Target="http://twitter.com/nuupagro" TargetMode="External"/><Relationship Id="rId322" Type="http://schemas.openxmlformats.org/officeDocument/2006/relationships/hyperlink" Target="http://linkedin.com/company/terramagna" TargetMode="External"/><Relationship Id="rId767" Type="http://schemas.openxmlformats.org/officeDocument/2006/relationships/hyperlink" Target="https://tracxn.com/companies/CJvz_x6ltAIwFBKqXgkDqmO-Q9Xgrefn5ZMr7PQ6B00/komaza.com" TargetMode="External"/><Relationship Id="rId974" Type="http://schemas.openxmlformats.org/officeDocument/2006/relationships/hyperlink" Target="http://twitter.com/em3agri" TargetMode="External"/><Relationship Id="rId2003" Type="http://schemas.openxmlformats.org/officeDocument/2006/relationships/hyperlink" Target="http://linkedin.com/company/9236518" TargetMode="External"/><Relationship Id="rId2210" Type="http://schemas.openxmlformats.org/officeDocument/2006/relationships/hyperlink" Target="https://tracxn.com/companies/P0FM7I_gHxO-ca7k4m-HmSD0DGzUAzlcE4tSPoyeb1U/8villages.com" TargetMode="External"/><Relationship Id="rId627" Type="http://schemas.openxmlformats.org/officeDocument/2006/relationships/hyperlink" Target="https://www.linkedin.com/company/13218984" TargetMode="External"/><Relationship Id="rId834" Type="http://schemas.openxmlformats.org/officeDocument/2006/relationships/hyperlink" Target="https://tracxn.com/companies/8Wnpn8EUiMlphPPgrmzPsH-UCDvJxszcde_5Rx3tzNs/haishangxian.cn" TargetMode="External"/><Relationship Id="rId1257" Type="http://schemas.openxmlformats.org/officeDocument/2006/relationships/hyperlink" Target="http://linkedin.com/company/allerguard-" TargetMode="External"/><Relationship Id="rId1464" Type="http://schemas.openxmlformats.org/officeDocument/2006/relationships/hyperlink" Target="http://www.yuyuyu.com.cn/" TargetMode="External"/><Relationship Id="rId1671" Type="http://schemas.openxmlformats.org/officeDocument/2006/relationships/hyperlink" Target="http://facebook.com/leafgrow" TargetMode="External"/><Relationship Id="rId901" Type="http://schemas.openxmlformats.org/officeDocument/2006/relationships/hyperlink" Target="http://www.farmtaaza.com/" TargetMode="External"/><Relationship Id="rId1117" Type="http://schemas.openxmlformats.org/officeDocument/2006/relationships/hyperlink" Target="https://freshworldfnv.wordpress.com/" TargetMode="External"/><Relationship Id="rId1324" Type="http://schemas.openxmlformats.org/officeDocument/2006/relationships/hyperlink" Target="https://pureharvest.ae/" TargetMode="External"/><Relationship Id="rId1531" Type="http://schemas.openxmlformats.org/officeDocument/2006/relationships/hyperlink" Target="https://tracxn.com/companies/zELf0wWgjZnZMK6B5nIn1saaOhurl7pDdKw8AlSSUjY/pimiagro.com" TargetMode="External"/><Relationship Id="rId1769" Type="http://schemas.openxmlformats.org/officeDocument/2006/relationships/hyperlink" Target="https://www.linkedin.com/company/3265031" TargetMode="External"/><Relationship Id="rId1976" Type="http://schemas.openxmlformats.org/officeDocument/2006/relationships/hyperlink" Target="http://facebook.com/freshworldin" TargetMode="External"/><Relationship Id="rId30" Type="http://schemas.openxmlformats.org/officeDocument/2006/relationships/hyperlink" Target="https://tracxn.com/companies/8hp16xemXjTCGI19lZBjQzR7akZHxZv0LoCQSZspao0/clover.ag" TargetMode="External"/><Relationship Id="rId1629" Type="http://schemas.openxmlformats.org/officeDocument/2006/relationships/hyperlink" Target="http://www.linkedin.com/vsearch/p?f_CC=1291167" TargetMode="External"/><Relationship Id="rId1836" Type="http://schemas.openxmlformats.org/officeDocument/2006/relationships/hyperlink" Target="https://tracxn.com/companies/loMXCv1IAOgD27SJZsA2SsPtXNl2Qpbp7IOfFfDuBpE/farmappweb.com" TargetMode="External"/><Relationship Id="rId1903" Type="http://schemas.openxmlformats.org/officeDocument/2006/relationships/hyperlink" Target="http://www.linkedin.com/vsearch/p?f_CC=3364332" TargetMode="External"/><Relationship Id="rId2098" Type="http://schemas.openxmlformats.org/officeDocument/2006/relationships/hyperlink" Target="http://krishidhanseeds.com/" TargetMode="External"/><Relationship Id="rId277" Type="http://schemas.openxmlformats.org/officeDocument/2006/relationships/hyperlink" Target="http://wolkus.com/" TargetMode="External"/><Relationship Id="rId484" Type="http://schemas.openxmlformats.org/officeDocument/2006/relationships/hyperlink" Target="https://taggnx.com/" TargetMode="External"/><Relationship Id="rId2165" Type="http://schemas.openxmlformats.org/officeDocument/2006/relationships/hyperlink" Target="http://www.driptech.com/" TargetMode="External"/><Relationship Id="rId137" Type="http://schemas.openxmlformats.org/officeDocument/2006/relationships/hyperlink" Target="http://linkedin.com/company/freshsource-global" TargetMode="External"/><Relationship Id="rId344" Type="http://schemas.openxmlformats.org/officeDocument/2006/relationships/hyperlink" Target="http://blog.agropro.com.br/" TargetMode="External"/><Relationship Id="rId691" Type="http://schemas.openxmlformats.org/officeDocument/2006/relationships/hyperlink" Target="https://twitter.com/temancrowde" TargetMode="External"/><Relationship Id="rId789" Type="http://schemas.openxmlformats.org/officeDocument/2006/relationships/hyperlink" Target="https://tracxn.com/companies/9rQryfXpFpFWeu4wwYUukc8JvweN3mD-wThH7ao7RgY/nongfenqi.com" TargetMode="External"/><Relationship Id="rId996" Type="http://schemas.openxmlformats.org/officeDocument/2006/relationships/hyperlink" Target="http://twitter.com/zappfresh" TargetMode="External"/><Relationship Id="rId2025" Type="http://schemas.openxmlformats.org/officeDocument/2006/relationships/hyperlink" Target="https://www.virtualcity.co.ke/" TargetMode="External"/><Relationship Id="rId551" Type="http://schemas.openxmlformats.org/officeDocument/2006/relationships/hyperlink" Target="http://linkedin.com/company/luxelare" TargetMode="External"/><Relationship Id="rId649" Type="http://schemas.openxmlformats.org/officeDocument/2006/relationships/hyperlink" Target="https://tracxn.com/companies/5gVXBYqkDD7CDguGfnKyhrhk0Od6Sv6sqGOQMwVUfGE/nestrom.com" TargetMode="External"/><Relationship Id="rId856" Type="http://schemas.openxmlformats.org/officeDocument/2006/relationships/hyperlink" Target="https://tracxn.com/companies/S1ZJNk13pLgPConHEATste9SteLzVgk7UaUtswppOdo/dfs168.com" TargetMode="External"/><Relationship Id="rId1181" Type="http://schemas.openxmlformats.org/officeDocument/2006/relationships/hyperlink" Target="https://linkedin.com/company/jumbotail" TargetMode="External"/><Relationship Id="rId1279" Type="http://schemas.openxmlformats.org/officeDocument/2006/relationships/hyperlink" Target="https://www.activaq.cl/" TargetMode="External"/><Relationship Id="rId1486" Type="http://schemas.openxmlformats.org/officeDocument/2006/relationships/hyperlink" Target="http://www.nongguanjia.com/" TargetMode="External"/><Relationship Id="rId2232" Type="http://schemas.openxmlformats.org/officeDocument/2006/relationships/hyperlink" Target="http://twitter.com/eruvakatech" TargetMode="External"/><Relationship Id="rId204" Type="http://schemas.openxmlformats.org/officeDocument/2006/relationships/hyperlink" Target="https://linkedin.com/company/woollyfarms/about" TargetMode="External"/><Relationship Id="rId411" Type="http://schemas.openxmlformats.org/officeDocument/2006/relationships/hyperlink" Target="https://twitter.com/bayseddo" TargetMode="External"/><Relationship Id="rId509" Type="http://schemas.openxmlformats.org/officeDocument/2006/relationships/hyperlink" Target="https://tracxn.com/companies/6Su4N-b_mPwMrufWa6pQLDah37evkLwiwQ4Hooi6oDE/91haorou.com" TargetMode="External"/><Relationship Id="rId1041" Type="http://schemas.openxmlformats.org/officeDocument/2006/relationships/hyperlink" Target="http://facebook.com/farmdriveke" TargetMode="External"/><Relationship Id="rId1139" Type="http://schemas.openxmlformats.org/officeDocument/2006/relationships/hyperlink" Target="http://linkedin.com/company/weather-risk" TargetMode="External"/><Relationship Id="rId1346" Type="http://schemas.openxmlformats.org/officeDocument/2006/relationships/hyperlink" Target="https://tracxn.com/companies/7qMlk6e3XlldQRvDa7WJjz0-kaOcyu_nt0oQhSuhuuk/starangel.cc" TargetMode="External"/><Relationship Id="rId1693" Type="http://schemas.openxmlformats.org/officeDocument/2006/relationships/hyperlink" Target="http://truce.in/" TargetMode="External"/><Relationship Id="rId1998" Type="http://schemas.openxmlformats.org/officeDocument/2006/relationships/hyperlink" Target="https://linkedin.com/company/rizobacter-argentina" TargetMode="External"/><Relationship Id="rId716" Type="http://schemas.openxmlformats.org/officeDocument/2006/relationships/hyperlink" Target="http://turodeo.com/" TargetMode="External"/><Relationship Id="rId923" Type="http://schemas.openxmlformats.org/officeDocument/2006/relationships/hyperlink" Target="https://tracxn.com/companies/vOUpPDpQOZjxQV53N3ksOWHda98HgN7oPQOxx5ewKQ8/grobomac.com" TargetMode="External"/><Relationship Id="rId1553" Type="http://schemas.openxmlformats.org/officeDocument/2006/relationships/hyperlink" Target="https://tracxn.com/companies/eKeq_QjCk2MRsxP37Hr8fJB4umv2fYlUlqdA0M_Po7g/igrow.asia" TargetMode="External"/><Relationship Id="rId1760" Type="http://schemas.openxmlformats.org/officeDocument/2006/relationships/hyperlink" Target="https://linkedin.com/company/%E5%8C%97%E4%BA%AC%E5%A4%A9%E8%BE%B0%E4%BA%91%E5%86%9C%E5%9C%BA%E6%9C%89%E9%99%90%E5%85%AC%E5%8F%B8/about" TargetMode="External"/><Relationship Id="rId1858" Type="http://schemas.openxmlformats.org/officeDocument/2006/relationships/hyperlink" Target="https://tracxn.com/companies/h4Ac1xGKvhv5xr-zEIQoflZMKD2sOA9lUy-5sNAClvQ/mshamba.net" TargetMode="External"/><Relationship Id="rId52" Type="http://schemas.openxmlformats.org/officeDocument/2006/relationships/hyperlink" Target="https://www.agrapp.cl/" TargetMode="External"/><Relationship Id="rId1206" Type="http://schemas.openxmlformats.org/officeDocument/2006/relationships/hyperlink" Target="http://facebook.com/yuktix" TargetMode="External"/><Relationship Id="rId1413" Type="http://schemas.openxmlformats.org/officeDocument/2006/relationships/hyperlink" Target="http://www.okguo.com/" TargetMode="External"/><Relationship Id="rId1620" Type="http://schemas.openxmlformats.org/officeDocument/2006/relationships/hyperlink" Target="https://twitter.com/forrestinnov" TargetMode="External"/><Relationship Id="rId1718" Type="http://schemas.openxmlformats.org/officeDocument/2006/relationships/hyperlink" Target="https://tracxn.com/companies/TOA-wHp7KlUQhPIHnqTOppdOqQrTaUsmB7E3IrzoARI/em3agri.com" TargetMode="External"/><Relationship Id="rId1925" Type="http://schemas.openxmlformats.org/officeDocument/2006/relationships/hyperlink" Target="http://www.linkedin.com/vsearch/p?f_CC=3823004" TargetMode="External"/><Relationship Id="rId299" Type="http://schemas.openxmlformats.org/officeDocument/2006/relationships/hyperlink" Target="http://facebook.com/tulaanews" TargetMode="External"/><Relationship Id="rId2187" Type="http://schemas.openxmlformats.org/officeDocument/2006/relationships/hyperlink" Target="https://tracxn.com/companies/XwEKz0kkmQa_QSEfa120vudmZXpIzNvn6KyJzEaZuxM/botanocap.com" TargetMode="External"/><Relationship Id="rId159" Type="http://schemas.openxmlformats.org/officeDocument/2006/relationships/hyperlink" Target="https://facebook.com/otipy-107094460873162" TargetMode="External"/><Relationship Id="rId366" Type="http://schemas.openxmlformats.org/officeDocument/2006/relationships/hyperlink" Target="https://tracxn.com/companies/cYRk_oF8Yyfj1LntaNoT05xS-X-1SoHIb2yZrbNDBKg/agrotrac.cl" TargetMode="External"/><Relationship Id="rId573" Type="http://schemas.openxmlformats.org/officeDocument/2006/relationships/hyperlink" Target="https://krishitantra.com/" TargetMode="External"/><Relationship Id="rId780" Type="http://schemas.openxmlformats.org/officeDocument/2006/relationships/hyperlink" Target="http://twitter.com/farmfolio" TargetMode="External"/><Relationship Id="rId2047" Type="http://schemas.openxmlformats.org/officeDocument/2006/relationships/hyperlink" Target="http://subflex.org/" TargetMode="External"/><Relationship Id="rId2254" Type="http://schemas.openxmlformats.org/officeDocument/2006/relationships/hyperlink" Target="http://www.linkedin.com/vsearch/p?f_CC=3214832" TargetMode="External"/><Relationship Id="rId226" Type="http://schemas.openxmlformats.org/officeDocument/2006/relationships/hyperlink" Target="https://twitter.com/genicainovacoes" TargetMode="External"/><Relationship Id="rId433" Type="http://schemas.openxmlformats.org/officeDocument/2006/relationships/hyperlink" Target="http://www.nugenes.net/" TargetMode="External"/><Relationship Id="rId878" Type="http://schemas.openxmlformats.org/officeDocument/2006/relationships/hyperlink" Target="https://tanihub.com/" TargetMode="External"/><Relationship Id="rId1063" Type="http://schemas.openxmlformats.org/officeDocument/2006/relationships/hyperlink" Target="https://tracxn.com/companies/WlOrS5vp4Q5KfG3PAktRnuiYGVTmb27p9Rc_5-LQ-lA/ymt.com" TargetMode="External"/><Relationship Id="rId1270" Type="http://schemas.openxmlformats.org/officeDocument/2006/relationships/hyperlink" Target="https://tracxn.com/companies/sUMMS9NuT7XcfqHIK4nGzLb0rtOrdYe8AF82XjmfcUk/farmster.co" TargetMode="External"/><Relationship Id="rId2114" Type="http://schemas.openxmlformats.org/officeDocument/2006/relationships/hyperlink" Target="http://facebook.com/jainirrigationsystems" TargetMode="External"/><Relationship Id="rId640" Type="http://schemas.openxmlformats.org/officeDocument/2006/relationships/hyperlink" Target="https://facebook.com/intellolabs" TargetMode="External"/><Relationship Id="rId738" Type="http://schemas.openxmlformats.org/officeDocument/2006/relationships/hyperlink" Target="https://tracxn.com/companies/tYL0JrdVCuAbKQGi8h-A8g_k0zTQyolB3mn5NjMShqQ/hargol.com" TargetMode="External"/><Relationship Id="rId945" Type="http://schemas.openxmlformats.org/officeDocument/2006/relationships/hyperlink" Target="https://www.coldhubs.com/" TargetMode="External"/><Relationship Id="rId1368" Type="http://schemas.openxmlformats.org/officeDocument/2006/relationships/hyperlink" Target="http://twitter.com/freshboxx_in" TargetMode="External"/><Relationship Id="rId1575" Type="http://schemas.openxmlformats.org/officeDocument/2006/relationships/hyperlink" Target="https://twitter.com/ugaooindia" TargetMode="External"/><Relationship Id="rId1782" Type="http://schemas.openxmlformats.org/officeDocument/2006/relationships/hyperlink" Target="http://www.linkedin.com/vsearch/p?f_CC=9498451" TargetMode="External"/><Relationship Id="rId74" Type="http://schemas.openxmlformats.org/officeDocument/2006/relationships/hyperlink" Target="http://chilibeli.com/blog" TargetMode="External"/><Relationship Id="rId500" Type="http://schemas.openxmlformats.org/officeDocument/2006/relationships/hyperlink" Target="https://facebook.com/leanagri" TargetMode="External"/><Relationship Id="rId805" Type="http://schemas.openxmlformats.org/officeDocument/2006/relationships/hyperlink" Target="https://tracxn.com/companies/5KclIzvAE0mSHBQunIdEDpaN8Uxco0qgaEQFMTn9Jco/5ufarm.com" TargetMode="External"/><Relationship Id="rId1130" Type="http://schemas.openxmlformats.org/officeDocument/2006/relationships/hyperlink" Target="http://facebook.com/rizobacter" TargetMode="External"/><Relationship Id="rId1228" Type="http://schemas.openxmlformats.org/officeDocument/2006/relationships/hyperlink" Target="http://www.inifarms.com/" TargetMode="External"/><Relationship Id="rId1435" Type="http://schemas.openxmlformats.org/officeDocument/2006/relationships/hyperlink" Target="https://www.komaza.com/" TargetMode="External"/><Relationship Id="rId1642" Type="http://schemas.openxmlformats.org/officeDocument/2006/relationships/hyperlink" Target="https://www.brownapron.com/" TargetMode="External"/><Relationship Id="rId1947" Type="http://schemas.openxmlformats.org/officeDocument/2006/relationships/hyperlink" Target="https://tracxn.com/companies/VcEjFxn8gnO2L9QJYy-Kq5NwqMuHan4AhJt1QPR1XoM/gramophone.in" TargetMode="External"/><Relationship Id="rId1502" Type="http://schemas.openxmlformats.org/officeDocument/2006/relationships/hyperlink" Target="http://facebook.com/sb.smartbeen/" TargetMode="External"/><Relationship Id="rId1807" Type="http://schemas.openxmlformats.org/officeDocument/2006/relationships/hyperlink" Target="https://linkedin.com/company/breedit/about" TargetMode="External"/><Relationship Id="rId290" Type="http://schemas.openxmlformats.org/officeDocument/2006/relationships/hyperlink" Target="https://www.hoire.cn/" TargetMode="External"/><Relationship Id="rId388" Type="http://schemas.openxmlformats.org/officeDocument/2006/relationships/hyperlink" Target="https://facebook.com/begreen.farm" TargetMode="External"/><Relationship Id="rId2069" Type="http://schemas.openxmlformats.org/officeDocument/2006/relationships/hyperlink" Target="https://twitter.com/origeneseeds" TargetMode="External"/><Relationship Id="rId150" Type="http://schemas.openxmlformats.org/officeDocument/2006/relationships/hyperlink" Target="http://facebook.com/1653593188194276" TargetMode="External"/><Relationship Id="rId595" Type="http://schemas.openxmlformats.org/officeDocument/2006/relationships/hyperlink" Target="https://linkedin.com/company/eggxyt" TargetMode="External"/><Relationship Id="rId248" Type="http://schemas.openxmlformats.org/officeDocument/2006/relationships/hyperlink" Target="http://twitter.com/fasalofficial" TargetMode="External"/><Relationship Id="rId455" Type="http://schemas.openxmlformats.org/officeDocument/2006/relationships/hyperlink" Target="https://tracxn.com/companies/Ocffc_MfBBLWsHkOpsaFMAEZXaPt-556dR1E7zsi9PE/ricult.com" TargetMode="External"/><Relationship Id="rId662" Type="http://schemas.openxmlformats.org/officeDocument/2006/relationships/hyperlink" Target="http://twitter.com/farmcrowdy" TargetMode="External"/><Relationship Id="rId1085" Type="http://schemas.openxmlformats.org/officeDocument/2006/relationships/hyperlink" Target="http://twitter.com/efisherycom" TargetMode="External"/><Relationship Id="rId1292" Type="http://schemas.openxmlformats.org/officeDocument/2006/relationships/hyperlink" Target="http://www.cfftzy.com/" TargetMode="External"/><Relationship Id="rId2136" Type="http://schemas.openxmlformats.org/officeDocument/2006/relationships/hyperlink" Target="https://www.fruitday.com/" TargetMode="External"/><Relationship Id="rId108" Type="http://schemas.openxmlformats.org/officeDocument/2006/relationships/hyperlink" Target="https://linkedin.com/company/agrikaab/about" TargetMode="External"/><Relationship Id="rId315" Type="http://schemas.openxmlformats.org/officeDocument/2006/relationships/hyperlink" Target="https://twitter.com/occipitaltech" TargetMode="External"/><Relationship Id="rId522" Type="http://schemas.openxmlformats.org/officeDocument/2006/relationships/hyperlink" Target="http://twitter.com/agree_market" TargetMode="External"/><Relationship Id="rId967" Type="http://schemas.openxmlformats.org/officeDocument/2006/relationships/hyperlink" Target="https://www.bighaat.com/" TargetMode="External"/><Relationship Id="rId1152" Type="http://schemas.openxmlformats.org/officeDocument/2006/relationships/hyperlink" Target="http://twitter.com/skymetweather" TargetMode="External"/><Relationship Id="rId1597" Type="http://schemas.openxmlformats.org/officeDocument/2006/relationships/hyperlink" Target="https://tracxn.com/companies/kkClRdnMvh96XJ-vATrjq_IyDazVm-Onqv0GgzAl2uU/fresh2ket.co" TargetMode="External"/><Relationship Id="rId2203" Type="http://schemas.openxmlformats.org/officeDocument/2006/relationships/hyperlink" Target="https://tracxn.com/companies/rem1W5o0MR7SU_xDkDpagaFaklo3OTCutyZQsIxOHi8/advantaindia.com" TargetMode="External"/><Relationship Id="rId96" Type="http://schemas.openxmlformats.org/officeDocument/2006/relationships/hyperlink" Target="https://linkedin.com/company/altum-lab/about" TargetMode="External"/><Relationship Id="rId827" Type="http://schemas.openxmlformats.org/officeDocument/2006/relationships/hyperlink" Target="http://facebook.com/biofishency/" TargetMode="External"/><Relationship Id="rId1012" Type="http://schemas.openxmlformats.org/officeDocument/2006/relationships/hyperlink" Target="https://tracxn.com/companies/Q237A5Pyg6ruRkYDB2wS-WZQ5cgaVfRghuhJt7Gmh0A/cropin.com" TargetMode="External"/><Relationship Id="rId1457" Type="http://schemas.openxmlformats.org/officeDocument/2006/relationships/hyperlink" Target="https://linkedin.com/company/yzyy365/about" TargetMode="External"/><Relationship Id="rId1664" Type="http://schemas.openxmlformats.org/officeDocument/2006/relationships/hyperlink" Target="https://linkedin.com/company/globalyeast" TargetMode="External"/><Relationship Id="rId1871" Type="http://schemas.openxmlformats.org/officeDocument/2006/relationships/hyperlink" Target="https://harddrones.com/" TargetMode="External"/><Relationship Id="rId1317" Type="http://schemas.openxmlformats.org/officeDocument/2006/relationships/hyperlink" Target="https://linkedin.com/company/eggxyt" TargetMode="External"/><Relationship Id="rId1524" Type="http://schemas.openxmlformats.org/officeDocument/2006/relationships/hyperlink" Target="https://facebook.com/farmart.agritech" TargetMode="External"/><Relationship Id="rId1731" Type="http://schemas.openxmlformats.org/officeDocument/2006/relationships/hyperlink" Target="https://www.zappfresh.com/" TargetMode="External"/><Relationship Id="rId1969" Type="http://schemas.openxmlformats.org/officeDocument/2006/relationships/hyperlink" Target="http://facebook.com/shellcatch-269336623147153" TargetMode="External"/><Relationship Id="rId23" Type="http://schemas.openxmlformats.org/officeDocument/2006/relationships/hyperlink" Target="https://facebook.com/vegrow-106528757696750" TargetMode="External"/><Relationship Id="rId1829" Type="http://schemas.openxmlformats.org/officeDocument/2006/relationships/hyperlink" Target="http://twitter.com/farmdriveke" TargetMode="External"/><Relationship Id="rId172" Type="http://schemas.openxmlformats.org/officeDocument/2006/relationships/hyperlink" Target="https://www.imagoai.com/" TargetMode="External"/><Relationship Id="rId477" Type="http://schemas.openxmlformats.org/officeDocument/2006/relationships/hyperlink" Target="https://linkedin.com/company/krimanshi/about" TargetMode="External"/><Relationship Id="rId684" Type="http://schemas.openxmlformats.org/officeDocument/2006/relationships/hyperlink" Target="http://www.yunyangdata.com/" TargetMode="External"/><Relationship Id="rId2060" Type="http://schemas.openxmlformats.org/officeDocument/2006/relationships/hyperlink" Target="https://twitter.com/phytechusa" TargetMode="External"/><Relationship Id="rId2158" Type="http://schemas.openxmlformats.org/officeDocument/2006/relationships/hyperlink" Target="http://www.linkedin.com/vsearch/p?f_CC=623144" TargetMode="External"/><Relationship Id="rId337" Type="http://schemas.openxmlformats.org/officeDocument/2006/relationships/hyperlink" Target="https://tracxn.com/companies/F0CjkI9X4g5rxmeaPiuS7t0yVvgsxNyP-gz_bFb_Yjo/agriapp.co.in" TargetMode="External"/><Relationship Id="rId891" Type="http://schemas.openxmlformats.org/officeDocument/2006/relationships/hyperlink" Target="https://farmdog.ag/" TargetMode="External"/><Relationship Id="rId989" Type="http://schemas.openxmlformats.org/officeDocument/2006/relationships/hyperlink" Target="http://linkedin.com/company/prospera-technologies" TargetMode="External"/><Relationship Id="rId2018" Type="http://schemas.openxmlformats.org/officeDocument/2006/relationships/hyperlink" Target="http://www.linkedin.com/vsearch/p?f_CC=2101713" TargetMode="External"/><Relationship Id="rId544" Type="http://schemas.openxmlformats.org/officeDocument/2006/relationships/hyperlink" Target="https://tracxn.com/companies/QXlcdX9CFoMrEbnFo4yV8DC_dLIIDRU5PCe6B2hqjcs/sensogenic.com" TargetMode="External"/><Relationship Id="rId751" Type="http://schemas.openxmlformats.org/officeDocument/2006/relationships/hyperlink" Target="https://tracxn.com/companies/0AMlFXf7S9QT4T_P-BYQzVaxQAVgN9D_Eyfv3BW48y0/amvicube.com" TargetMode="External"/><Relationship Id="rId849" Type="http://schemas.openxmlformats.org/officeDocument/2006/relationships/hyperlink" Target="https://taranis.ag/" TargetMode="External"/><Relationship Id="rId1174" Type="http://schemas.openxmlformats.org/officeDocument/2006/relationships/hyperlink" Target="http://linkedin.com/company/netafim" TargetMode="External"/><Relationship Id="rId1381" Type="http://schemas.openxmlformats.org/officeDocument/2006/relationships/hyperlink" Target="https://tracxn.com/companies/c5S5N46MN6zDkLsyCKB3h1IV-4f75sNGl7kkIvfAQe0/sanfeng.net" TargetMode="External"/><Relationship Id="rId1479" Type="http://schemas.openxmlformats.org/officeDocument/2006/relationships/hyperlink" Target="https://twitter.com/swine_smart" TargetMode="External"/><Relationship Id="rId1686" Type="http://schemas.openxmlformats.org/officeDocument/2006/relationships/hyperlink" Target="https://tracxn.com/companies/dE_4mGe62rAi-onURq7UhBVP-n8n6Gr-Dt2M5Ps7EZg/agribots.com" TargetMode="External"/><Relationship Id="rId2225" Type="http://schemas.openxmlformats.org/officeDocument/2006/relationships/hyperlink" Target="http://linkedin.com/company/yuktiz-technologies-pvt-ltd" TargetMode="External"/><Relationship Id="rId404" Type="http://schemas.openxmlformats.org/officeDocument/2006/relationships/hyperlink" Target="http://infishta.com/blogs" TargetMode="External"/><Relationship Id="rId611" Type="http://schemas.openxmlformats.org/officeDocument/2006/relationships/hyperlink" Target="https://linkedin.com/company/apollo-agriculture/about" TargetMode="External"/><Relationship Id="rId1034" Type="http://schemas.openxmlformats.org/officeDocument/2006/relationships/hyperlink" Target="http://twitter.com/agrokilimo" TargetMode="External"/><Relationship Id="rId1241" Type="http://schemas.openxmlformats.org/officeDocument/2006/relationships/hyperlink" Target="https://facebook.com/uplglobal" TargetMode="External"/><Relationship Id="rId1339" Type="http://schemas.openxmlformats.org/officeDocument/2006/relationships/hyperlink" Target="https://tracxn.com/companies/enQ9lRBFzdGjcGYUHeM2GIUA_9EvcV-W_INkyHKaV6c/kulishafeed.com" TargetMode="External"/><Relationship Id="rId1893" Type="http://schemas.openxmlformats.org/officeDocument/2006/relationships/hyperlink" Target="http://www.linkedin.com/vsearch/p?f_CC=5022013" TargetMode="External"/><Relationship Id="rId709" Type="http://schemas.openxmlformats.org/officeDocument/2006/relationships/hyperlink" Target="https://tracxn.com/companies/Tf0s-LmsI9neD32vVhU9g5Z9bSpSWFCPahL7MyuNv9k/agritask.com" TargetMode="External"/><Relationship Id="rId916" Type="http://schemas.openxmlformats.org/officeDocument/2006/relationships/hyperlink" Target="https://facebook.com/liciousfoods" TargetMode="External"/><Relationship Id="rId1101" Type="http://schemas.openxmlformats.org/officeDocument/2006/relationships/hyperlink" Target="https://linkedin.com/company/gramophone.co.in" TargetMode="External"/><Relationship Id="rId1546" Type="http://schemas.openxmlformats.org/officeDocument/2006/relationships/hyperlink" Target="http://taranis.ag/category/blog" TargetMode="External"/><Relationship Id="rId1753" Type="http://schemas.openxmlformats.org/officeDocument/2006/relationships/hyperlink" Target="http://linkedin.com/company/mujinnong-com" TargetMode="External"/><Relationship Id="rId1960" Type="http://schemas.openxmlformats.org/officeDocument/2006/relationships/hyperlink" Target="https://tracxn.com/companies/AwKxFk3PPD1lY8Y5eykcj-gdLIQBZnr12o29rhyYJz0/renewmaterial.com" TargetMode="External"/><Relationship Id="rId45" Type="http://schemas.openxmlformats.org/officeDocument/2006/relationships/hyperlink" Target="https://linkedin.com/company/beewise-technologies/about" TargetMode="External"/><Relationship Id="rId1406" Type="http://schemas.openxmlformats.org/officeDocument/2006/relationships/hyperlink" Target="http://twitter.com/hargolfoodtech" TargetMode="External"/><Relationship Id="rId1613" Type="http://schemas.openxmlformats.org/officeDocument/2006/relationships/hyperlink" Target="http://twitter.com/gfreshdotcom" TargetMode="External"/><Relationship Id="rId1820" Type="http://schemas.openxmlformats.org/officeDocument/2006/relationships/hyperlink" Target="http://twitter.com/merakisan" TargetMode="External"/><Relationship Id="rId194" Type="http://schemas.openxmlformats.org/officeDocument/2006/relationships/hyperlink" Target="https://facebook.com/techshelta" TargetMode="External"/><Relationship Id="rId1918" Type="http://schemas.openxmlformats.org/officeDocument/2006/relationships/hyperlink" Target="http://www.linkedin.com/vsearch/p?f_CC=5190235" TargetMode="External"/><Relationship Id="rId2082" Type="http://schemas.openxmlformats.org/officeDocument/2006/relationships/hyperlink" Target="http://facebook.com/netafim" TargetMode="External"/><Relationship Id="rId261" Type="http://schemas.openxmlformats.org/officeDocument/2006/relationships/hyperlink" Target="http://blog.nocofio.com/" TargetMode="External"/><Relationship Id="rId499" Type="http://schemas.openxmlformats.org/officeDocument/2006/relationships/hyperlink" Target="https://twitter.com/leanagri_india" TargetMode="External"/><Relationship Id="rId359" Type="http://schemas.openxmlformats.org/officeDocument/2006/relationships/hyperlink" Target="https://jala.tech/" TargetMode="External"/><Relationship Id="rId566" Type="http://schemas.openxmlformats.org/officeDocument/2006/relationships/hyperlink" Target="https://tracxn.com/companies/w1-IlQNVb75T41EVN0oVZcyOMFStVpc7pHb8IV4_Vu4/siembro.com" TargetMode="External"/><Relationship Id="rId773" Type="http://schemas.openxmlformats.org/officeDocument/2006/relationships/hyperlink" Target="https://linkedin.com/company/livestock-wealth" TargetMode="External"/><Relationship Id="rId1196" Type="http://schemas.openxmlformats.org/officeDocument/2006/relationships/hyperlink" Target="http://www.linkedin.com/vsearch/p?f_CC=2479605" TargetMode="External"/><Relationship Id="rId2247" Type="http://schemas.openxmlformats.org/officeDocument/2006/relationships/hyperlink" Target="https://tracxn.com/companies/pmev_q6l96CRUePU67YJMgdn07cP1edKnSHkkpuYI_A/stellapps.com" TargetMode="External"/><Relationship Id="rId121" Type="http://schemas.openxmlformats.org/officeDocument/2006/relationships/hyperlink" Target="http://procol.in/blog" TargetMode="External"/><Relationship Id="rId219" Type="http://schemas.openxmlformats.org/officeDocument/2006/relationships/hyperlink" Target="https://www.oaesislsc.com/" TargetMode="External"/><Relationship Id="rId426" Type="http://schemas.openxmlformats.org/officeDocument/2006/relationships/hyperlink" Target="https://www.datall.cn/" TargetMode="External"/><Relationship Id="rId633" Type="http://schemas.openxmlformats.org/officeDocument/2006/relationships/hyperlink" Target="https://linkedin.com/company/unnatifarms/about" TargetMode="External"/><Relationship Id="rId980" Type="http://schemas.openxmlformats.org/officeDocument/2006/relationships/hyperlink" Target="http://linkedin.com/company/auravant" TargetMode="External"/><Relationship Id="rId1056" Type="http://schemas.openxmlformats.org/officeDocument/2006/relationships/hyperlink" Target="http://www.linkedin.com/vsearch/p?f_CC=93200" TargetMode="External"/><Relationship Id="rId1263" Type="http://schemas.openxmlformats.org/officeDocument/2006/relationships/hyperlink" Target="https://www.wandaorganic.org/" TargetMode="External"/><Relationship Id="rId2107" Type="http://schemas.openxmlformats.org/officeDocument/2006/relationships/hyperlink" Target="http://www.linkedin.com/vsearch/p?f_CC=813400" TargetMode="External"/><Relationship Id="rId840" Type="http://schemas.openxmlformats.org/officeDocument/2006/relationships/hyperlink" Target="https://saturas-ag.com/" TargetMode="External"/><Relationship Id="rId938" Type="http://schemas.openxmlformats.org/officeDocument/2006/relationships/hyperlink" Target="https://tracxn.com/companies/zWWaCxJYrwUeIWXECLXqEtMA1RW3-3ADeJqNcxHFctU/eirenesolutions.com" TargetMode="External"/><Relationship Id="rId1470" Type="http://schemas.openxmlformats.org/officeDocument/2006/relationships/hyperlink" Target="http://www.nongfenqi.com/" TargetMode="External"/><Relationship Id="rId1568" Type="http://schemas.openxmlformats.org/officeDocument/2006/relationships/hyperlink" Target="http://17dfs.com/" TargetMode="External"/><Relationship Id="rId1775" Type="http://schemas.openxmlformats.org/officeDocument/2006/relationships/hyperlink" Target="https://tracxn.com/companies/j-afcG2WTkp23TPPf5gbRRyKH28u3HCwtl83JS_3q6A/greenonyx.biz" TargetMode="External"/><Relationship Id="rId67" Type="http://schemas.openxmlformats.org/officeDocument/2006/relationships/hyperlink" Target="https://marutdrones.com/" TargetMode="External"/><Relationship Id="rId700" Type="http://schemas.openxmlformats.org/officeDocument/2006/relationships/hyperlink" Target="http://facebook.com/freshboxx" TargetMode="External"/><Relationship Id="rId1123" Type="http://schemas.openxmlformats.org/officeDocument/2006/relationships/hyperlink" Target="https://www.farmerp.com/" TargetMode="External"/><Relationship Id="rId1330" Type="http://schemas.openxmlformats.org/officeDocument/2006/relationships/hyperlink" Target="https://www.intellolabs.com/" TargetMode="External"/><Relationship Id="rId1428" Type="http://schemas.openxmlformats.org/officeDocument/2006/relationships/hyperlink" Target="http://zhaonongzi.com/" TargetMode="External"/><Relationship Id="rId1635" Type="http://schemas.openxmlformats.org/officeDocument/2006/relationships/hyperlink" Target="https://tracxn.com/companies/Gmej1iMdEqhY2Hy9vCdqeyEsU9nyqUrdWhYve-7sCu8/mifugo.trade" TargetMode="External"/><Relationship Id="rId1982" Type="http://schemas.openxmlformats.org/officeDocument/2006/relationships/hyperlink" Target="http://twitter.com/qtlomics" TargetMode="External"/><Relationship Id="rId1842" Type="http://schemas.openxmlformats.org/officeDocument/2006/relationships/hyperlink" Target="https://tracxn.com/companies/Sn_o0y8SL0g9vR3KTpktLIxS3BRdCTjlaL0WMbDUJ0Q/cultivandofuturo.com" TargetMode="External"/><Relationship Id="rId1702" Type="http://schemas.openxmlformats.org/officeDocument/2006/relationships/hyperlink" Target="http://facebook.com/fibsol" TargetMode="External"/><Relationship Id="rId283" Type="http://schemas.openxmlformats.org/officeDocument/2006/relationships/hyperlink" Target="http://www.linkedin.com/vsearch/p?f_CC=10093773" TargetMode="External"/><Relationship Id="rId490" Type="http://schemas.openxmlformats.org/officeDocument/2006/relationships/hyperlink" Target="https://linkedin.com/company/seedo/about" TargetMode="External"/><Relationship Id="rId2171" Type="http://schemas.openxmlformats.org/officeDocument/2006/relationships/hyperlink" Target="http://linkedin.com/company/asociados-don-mario-s-a-" TargetMode="External"/><Relationship Id="rId143" Type="http://schemas.openxmlformats.org/officeDocument/2006/relationships/hyperlink" Target="https://tracxn.com/companies/b8af0VqcaJ3d_903viI6JddHoaWR3isxoBAsByzyX5s/kwidex.com" TargetMode="External"/><Relationship Id="rId350" Type="http://schemas.openxmlformats.org/officeDocument/2006/relationships/hyperlink" Target="https://tracxn.com/companies/HPZBAd_cXYvApWg7DhyQSmfiHvo2P11_I1Fk5ZmsFEg/sensegrass.com" TargetMode="External"/><Relationship Id="rId588" Type="http://schemas.openxmlformats.org/officeDocument/2006/relationships/hyperlink" Target="https://tracxn.com/companies/es_csCd1xCM6aENsH41B_8ItSW69gahSAxHtU1SzB6M/farmlink.in" TargetMode="External"/><Relationship Id="rId795" Type="http://schemas.openxmlformats.org/officeDocument/2006/relationships/hyperlink" Target="https://twitter.com/livinfarms" TargetMode="External"/><Relationship Id="rId2031" Type="http://schemas.openxmlformats.org/officeDocument/2006/relationships/hyperlink" Target="http://linkedin.com/company/field-fresh-vegfru-pvt-limited" TargetMode="External"/><Relationship Id="rId2269" Type="http://schemas.openxmlformats.org/officeDocument/2006/relationships/hyperlink" Target="https://twitter.com/seedcogroup" TargetMode="External"/><Relationship Id="rId9" Type="http://schemas.openxmlformats.org/officeDocument/2006/relationships/hyperlink" Target="https://linkedin.com/company/unnatiagri/about" TargetMode="External"/><Relationship Id="rId210" Type="http://schemas.openxmlformats.org/officeDocument/2006/relationships/hyperlink" Target="https://tracxn.com/companies/n2IcQGvDwvO3SrerOhub6xEiwOzwFzQmeNXz6NAtwMQ/mcfly.com.cn" TargetMode="External"/><Relationship Id="rId448" Type="http://schemas.openxmlformats.org/officeDocument/2006/relationships/hyperlink" Target="http://facebook.com/cowtribe" TargetMode="External"/><Relationship Id="rId655" Type="http://schemas.openxmlformats.org/officeDocument/2006/relationships/hyperlink" Target="https://www.payagri.com/" TargetMode="External"/><Relationship Id="rId862" Type="http://schemas.openxmlformats.org/officeDocument/2006/relationships/hyperlink" Target="http://facebook.com/pages/tierra-seed-science/552733908126819" TargetMode="External"/><Relationship Id="rId1078" Type="http://schemas.openxmlformats.org/officeDocument/2006/relationships/hyperlink" Target="https://abuerdan.com/" TargetMode="External"/><Relationship Id="rId1285" Type="http://schemas.openxmlformats.org/officeDocument/2006/relationships/hyperlink" Target="https://www.waycool.in/" TargetMode="External"/><Relationship Id="rId1492" Type="http://schemas.openxmlformats.org/officeDocument/2006/relationships/hyperlink" Target="https://www.kisannetwork.com/" TargetMode="External"/><Relationship Id="rId2129" Type="http://schemas.openxmlformats.org/officeDocument/2006/relationships/hyperlink" Target="https://tracxn.com/companies/naeW7ayPTkhrF2OhD4eRrtbS8QU_FEXyVIbDVK1nSuM/growfishanywhere.com" TargetMode="External"/><Relationship Id="rId308" Type="http://schemas.openxmlformats.org/officeDocument/2006/relationships/hyperlink" Target="http://ww38.cari.org.in/" TargetMode="External"/><Relationship Id="rId515" Type="http://schemas.openxmlformats.org/officeDocument/2006/relationships/hyperlink" Target="http://twitter.com/solinftec_br" TargetMode="External"/><Relationship Id="rId722" Type="http://schemas.openxmlformats.org/officeDocument/2006/relationships/hyperlink" Target="http://facebook.com/cowlar/" TargetMode="External"/><Relationship Id="rId1145" Type="http://schemas.openxmlformats.org/officeDocument/2006/relationships/hyperlink" Target="http://linkedin.com/company/tbit" TargetMode="External"/><Relationship Id="rId1352" Type="http://schemas.openxmlformats.org/officeDocument/2006/relationships/hyperlink" Target="https://twitter.com/temancrowde" TargetMode="External"/><Relationship Id="rId1797" Type="http://schemas.openxmlformats.org/officeDocument/2006/relationships/hyperlink" Target="http://linkedin.com/company/7081540" TargetMode="External"/><Relationship Id="rId89" Type="http://schemas.openxmlformats.org/officeDocument/2006/relationships/hyperlink" Target="https://facebook.com/pink-farms-288687241804755" TargetMode="External"/><Relationship Id="rId1005" Type="http://schemas.openxmlformats.org/officeDocument/2006/relationships/hyperlink" Target="https://linkedin.com/company/%E7%BE%8E%E8%8F%9C%E7%BD%91/about" TargetMode="External"/><Relationship Id="rId1212" Type="http://schemas.openxmlformats.org/officeDocument/2006/relationships/hyperlink" Target="http://facebook.com/eruvakatechnologies" TargetMode="External"/><Relationship Id="rId1657" Type="http://schemas.openxmlformats.org/officeDocument/2006/relationships/hyperlink" Target="http://www.linkedin.com/vsearch/p?f_CC=10112263" TargetMode="External"/><Relationship Id="rId1864" Type="http://schemas.openxmlformats.org/officeDocument/2006/relationships/hyperlink" Target="https://tracxn.com/companies/gG8xYGj-xc4QQUpmP3E7hHjYl7PjXyfK6_EVqEVpR4M/hellotractor.com" TargetMode="External"/><Relationship Id="rId1517" Type="http://schemas.openxmlformats.org/officeDocument/2006/relationships/hyperlink" Target="http://ukulimatech.co.ke/" TargetMode="External"/><Relationship Id="rId1724" Type="http://schemas.openxmlformats.org/officeDocument/2006/relationships/hyperlink" Target="http://www.linkedin.com/vsearch/p?f_CC=4853667" TargetMode="External"/><Relationship Id="rId16" Type="http://schemas.openxmlformats.org/officeDocument/2006/relationships/hyperlink" Target="https://linkedin.com/company/greeneye-technology" TargetMode="External"/><Relationship Id="rId1931" Type="http://schemas.openxmlformats.org/officeDocument/2006/relationships/hyperlink" Target="https://tracxn.com/companies/GV8lcp9hEClumc_PXkcL34O1TN_Hr6f1YhECZXM4c7w/efishery.com" TargetMode="External"/><Relationship Id="rId2193" Type="http://schemas.openxmlformats.org/officeDocument/2006/relationships/hyperlink" Target="https://tracxn.com/companies/4z4plNhXeSikLeD8XbAaHglsukcQTTzq5y4MPM9M_Tk/algatech.com" TargetMode="External"/><Relationship Id="rId165" Type="http://schemas.openxmlformats.org/officeDocument/2006/relationships/hyperlink" Target="http://linkedin.com/company/eggoz" TargetMode="External"/><Relationship Id="rId372" Type="http://schemas.openxmlformats.org/officeDocument/2006/relationships/hyperlink" Target="https://twitter.com/jaguza_app" TargetMode="External"/><Relationship Id="rId677" Type="http://schemas.openxmlformats.org/officeDocument/2006/relationships/hyperlink" Target="https://www.autonxt.in/" TargetMode="External"/><Relationship Id="rId2053" Type="http://schemas.openxmlformats.org/officeDocument/2006/relationships/hyperlink" Target="http://linkedin.com/company/skymet-weather-services" TargetMode="External"/><Relationship Id="rId2260" Type="http://schemas.openxmlformats.org/officeDocument/2006/relationships/hyperlink" Target="https://tracxn.com/companies/vgeFMFb6-PErhxuLg3fzri1PSo1qLoPiJrKj1hkgEhE/nuziveeduseeds.com" TargetMode="External"/><Relationship Id="rId232" Type="http://schemas.openxmlformats.org/officeDocument/2006/relationships/hyperlink" Target="https://tracxn.com/companies/_XgY97m0N1wWo8WEyhXwHzJBl5lLrmo36qR5Iu8F0Jg/zimmerglobal.com" TargetMode="External"/><Relationship Id="rId884" Type="http://schemas.openxmlformats.org/officeDocument/2006/relationships/hyperlink" Target="https://twitter.com/ali_pvt" TargetMode="External"/><Relationship Id="rId2120" Type="http://schemas.openxmlformats.org/officeDocument/2006/relationships/hyperlink" Target="https://tracxn.com/companies/_Z_YrJkwTQGt3rI4WKj1wpIlphP-t81lLI-1EFdJQXc/imeve.com.br" TargetMode="External"/><Relationship Id="rId537" Type="http://schemas.openxmlformats.org/officeDocument/2006/relationships/hyperlink" Target="https://tracxn.com/companies/bDiOR_j3DAqiWTJykR44gI1_oB91a9OKtN0kxz1KGc8/physiz.com" TargetMode="External"/><Relationship Id="rId744" Type="http://schemas.openxmlformats.org/officeDocument/2006/relationships/hyperlink" Target="https://www.bolpharma.com/" TargetMode="External"/><Relationship Id="rId951" Type="http://schemas.openxmlformats.org/officeDocument/2006/relationships/hyperlink" Target="https://twitter.com/agrofynews" TargetMode="External"/><Relationship Id="rId1167" Type="http://schemas.openxmlformats.org/officeDocument/2006/relationships/hyperlink" Target="https://nurserylive.com/" TargetMode="External"/><Relationship Id="rId1374" Type="http://schemas.openxmlformats.org/officeDocument/2006/relationships/hyperlink" Target="http://www.scantask.com/" TargetMode="External"/><Relationship Id="rId1581" Type="http://schemas.openxmlformats.org/officeDocument/2006/relationships/hyperlink" Target="http://dongpinhui.cn/" TargetMode="External"/><Relationship Id="rId1679" Type="http://schemas.openxmlformats.org/officeDocument/2006/relationships/hyperlink" Target="http://revofarm.com/blog" TargetMode="External"/><Relationship Id="rId2218" Type="http://schemas.openxmlformats.org/officeDocument/2006/relationships/hyperlink" Target="http://www.greeniq.com/" TargetMode="External"/><Relationship Id="rId80" Type="http://schemas.openxmlformats.org/officeDocument/2006/relationships/hyperlink" Target="https://www.upl-ltd.com/" TargetMode="External"/><Relationship Id="rId604" Type="http://schemas.openxmlformats.org/officeDocument/2006/relationships/hyperlink" Target="https://www.linkedin.com/company/eiwa-s.a" TargetMode="External"/><Relationship Id="rId811" Type="http://schemas.openxmlformats.org/officeDocument/2006/relationships/hyperlink" Target="http://farmerline.co/blog" TargetMode="External"/><Relationship Id="rId1027" Type="http://schemas.openxmlformats.org/officeDocument/2006/relationships/hyperlink" Target="http://facebook.com/merakisanindia" TargetMode="External"/><Relationship Id="rId1234" Type="http://schemas.openxmlformats.org/officeDocument/2006/relationships/hyperlink" Target="https://linkedin.com/company/farmagain/about" TargetMode="External"/><Relationship Id="rId1441" Type="http://schemas.openxmlformats.org/officeDocument/2006/relationships/hyperlink" Target="https://linkedin.com/company/agronow/about" TargetMode="External"/><Relationship Id="rId1886" Type="http://schemas.openxmlformats.org/officeDocument/2006/relationships/hyperlink" Target="https://vasham.co.id/" TargetMode="External"/><Relationship Id="rId909" Type="http://schemas.openxmlformats.org/officeDocument/2006/relationships/hyperlink" Target="http://twitter.com/instacrops_cl" TargetMode="External"/><Relationship Id="rId1301" Type="http://schemas.openxmlformats.org/officeDocument/2006/relationships/hyperlink" Target="https://twitter.com/greenfingersmo1" TargetMode="External"/><Relationship Id="rId1539" Type="http://schemas.openxmlformats.org/officeDocument/2006/relationships/hyperlink" Target="http://caigouxiongdi.com/" TargetMode="External"/><Relationship Id="rId1746" Type="http://schemas.openxmlformats.org/officeDocument/2006/relationships/hyperlink" Target="http://www.linkedin.com/vsearch/p?f_CC=9266729" TargetMode="External"/><Relationship Id="rId1953" Type="http://schemas.openxmlformats.org/officeDocument/2006/relationships/hyperlink" Target="https://tracxn.com/companies/wfgv0FwuHNCoEUBVCOPCEJ7DTeRbW0WNq173aqOk32M/leveking.com" TargetMode="External"/><Relationship Id="rId38" Type="http://schemas.openxmlformats.org/officeDocument/2006/relationships/hyperlink" Target="https://linkedin.com/company/aquaconnect1" TargetMode="External"/><Relationship Id="rId1606" Type="http://schemas.openxmlformats.org/officeDocument/2006/relationships/hyperlink" Target="http://easyflower.com/" TargetMode="External"/><Relationship Id="rId1813" Type="http://schemas.openxmlformats.org/officeDocument/2006/relationships/hyperlink" Target="http://facebook.com/nubesol.technologies/" TargetMode="External"/><Relationship Id="rId187" Type="http://schemas.openxmlformats.org/officeDocument/2006/relationships/hyperlink" Target="https://tracxn.com/companies/VaW9f5xYWqRDXcJTCpVDvOI5ucez7MRUICNu-Bpqah4/fecnong.com" TargetMode="External"/><Relationship Id="rId394" Type="http://schemas.openxmlformats.org/officeDocument/2006/relationships/hyperlink" Target="http://www.farmfriend.cn/" TargetMode="External"/><Relationship Id="rId2075" Type="http://schemas.openxmlformats.org/officeDocument/2006/relationships/hyperlink" Target="https://twitter.com/denovomagic" TargetMode="External"/><Relationship Id="rId254" Type="http://schemas.openxmlformats.org/officeDocument/2006/relationships/hyperlink" Target="http://facebook.com/okoinsurance" TargetMode="External"/><Relationship Id="rId699" Type="http://schemas.openxmlformats.org/officeDocument/2006/relationships/hyperlink" Target="http://twitter.com/freshboxx_in" TargetMode="External"/><Relationship Id="rId1091" Type="http://schemas.openxmlformats.org/officeDocument/2006/relationships/hyperlink" Target="http://twitter.com/agrevolutiongr" TargetMode="External"/><Relationship Id="rId114" Type="http://schemas.openxmlformats.org/officeDocument/2006/relationships/hyperlink" Target="http://linkedin.com/company/plataforma-nuup" TargetMode="External"/><Relationship Id="rId461" Type="http://schemas.openxmlformats.org/officeDocument/2006/relationships/hyperlink" Target="https://tracxn.com/companies/ICnjxECX8a9yXGUEgE0w53LaXK-VGET34LhbpvWt3qs/naturacropcare.com" TargetMode="External"/><Relationship Id="rId559" Type="http://schemas.openxmlformats.org/officeDocument/2006/relationships/hyperlink" Target="http://facebook.com/gobascoin" TargetMode="External"/><Relationship Id="rId766" Type="http://schemas.openxmlformats.org/officeDocument/2006/relationships/hyperlink" Target="http://facebook.com/komazakenya" TargetMode="External"/><Relationship Id="rId1189" Type="http://schemas.openxmlformats.org/officeDocument/2006/relationships/hyperlink" Target="https://tracxn.com/companies/EpY-IVrGAvwiWO9ofZjRSGeS2CrRNKpV1IUo4Mlqsu4/fieldin.com" TargetMode="External"/><Relationship Id="rId1396" Type="http://schemas.openxmlformats.org/officeDocument/2006/relationships/hyperlink" Target="https://tracxn.com/companies/I0QQKjctn-XfJFT5vlEc6CQ3aPXeTVhN15JEDgHoPjg/ghalani.com" TargetMode="External"/><Relationship Id="rId2142" Type="http://schemas.openxmlformats.org/officeDocument/2006/relationships/hyperlink" Target="http://facebook.com/farmigo" TargetMode="External"/><Relationship Id="rId321" Type="http://schemas.openxmlformats.org/officeDocument/2006/relationships/hyperlink" Target="https://terramagna.com.br/" TargetMode="External"/><Relationship Id="rId419" Type="http://schemas.openxmlformats.org/officeDocument/2006/relationships/hyperlink" Target="https://tracxn.com/companies/3zeAQQTIjDZ-vgadhZQJg2ydad15uJLmcH76hmBASK0/tellurisbiotech.com" TargetMode="External"/><Relationship Id="rId626" Type="http://schemas.openxmlformats.org/officeDocument/2006/relationships/hyperlink" Target="https://pureharvest.ae/" TargetMode="External"/><Relationship Id="rId973" Type="http://schemas.openxmlformats.org/officeDocument/2006/relationships/hyperlink" Target="http://linkedin.com/company/em3-agriservices-pvt.-ltd." TargetMode="External"/><Relationship Id="rId1049" Type="http://schemas.openxmlformats.org/officeDocument/2006/relationships/hyperlink" Target="http://www.linkedin.com/vsearch/p?f_CC=4802625" TargetMode="External"/><Relationship Id="rId1256" Type="http://schemas.openxmlformats.org/officeDocument/2006/relationships/hyperlink" Target="https://allerguardsystems.com/" TargetMode="External"/><Relationship Id="rId2002" Type="http://schemas.openxmlformats.org/officeDocument/2006/relationships/hyperlink" Target="http://www.sunculture.com/" TargetMode="External"/><Relationship Id="rId833" Type="http://schemas.openxmlformats.org/officeDocument/2006/relationships/hyperlink" Target="https://www.haishangxian.cn/" TargetMode="External"/><Relationship Id="rId1116" Type="http://schemas.openxmlformats.org/officeDocument/2006/relationships/hyperlink" Target="http://facebook.com/freshworldin" TargetMode="External"/><Relationship Id="rId1463" Type="http://schemas.openxmlformats.org/officeDocument/2006/relationships/hyperlink" Target="https://tracxn.com/companies/2MtgQGfD34euwbgK_SxgaPjZrPzwo91TsHssz0HPv0Y/7gongli.com.cn" TargetMode="External"/><Relationship Id="rId1670" Type="http://schemas.openxmlformats.org/officeDocument/2006/relationships/hyperlink" Target="http://twitter.com/leafgrowhq" TargetMode="External"/><Relationship Id="rId1768" Type="http://schemas.openxmlformats.org/officeDocument/2006/relationships/hyperlink" Target="http://siembraviva.com/" TargetMode="External"/><Relationship Id="rId900" Type="http://schemas.openxmlformats.org/officeDocument/2006/relationships/hyperlink" Target="http://www.linkedin.com/vsearch/p?f_CC=10141015" TargetMode="External"/><Relationship Id="rId1323" Type="http://schemas.openxmlformats.org/officeDocument/2006/relationships/hyperlink" Target="https://tracxn.com/companies/XPjInamuliPeorkK0CoWJGJDKDGggUYvaZvso7Q7xCk/apolloagriculture.com" TargetMode="External"/><Relationship Id="rId1530" Type="http://schemas.openxmlformats.org/officeDocument/2006/relationships/hyperlink" Target="https://www.linkedin.com/company/6991823?trk=prof-exp-company-name" TargetMode="External"/><Relationship Id="rId1628" Type="http://schemas.openxmlformats.org/officeDocument/2006/relationships/hyperlink" Target="https://tracxn.com/companies/o9Zw-9VPjlw_D5IMzhOw0uCNiEU5y0-61Wt6JL-AhaY/farmdog.ag" TargetMode="External"/><Relationship Id="rId1975" Type="http://schemas.openxmlformats.org/officeDocument/2006/relationships/hyperlink" Target="https://www.linkedin.com/company/retailworx-india-private-limited" TargetMode="External"/><Relationship Id="rId1835" Type="http://schemas.openxmlformats.org/officeDocument/2006/relationships/hyperlink" Target="http://facebook.com/farmappweb" TargetMode="External"/><Relationship Id="rId1902" Type="http://schemas.openxmlformats.org/officeDocument/2006/relationships/hyperlink" Target="https://tracxn.com/companies/Znmsfe54-tdL6A2IvDtVsPNVd7O19zXAESncGnuFO8g/drygair.com" TargetMode="External"/><Relationship Id="rId2097" Type="http://schemas.openxmlformats.org/officeDocument/2006/relationships/hyperlink" Target="http://www.linkedin.com/vsearch/p?f_CC=245724" TargetMode="External"/><Relationship Id="rId276" Type="http://schemas.openxmlformats.org/officeDocument/2006/relationships/hyperlink" Target="https://tracxn.com/companies/rTybUlmFriAMZaBtsoSTT6AZqj32UGrgQhkP7xlAqsw/hummingbird.in" TargetMode="External"/><Relationship Id="rId483" Type="http://schemas.openxmlformats.org/officeDocument/2006/relationships/hyperlink" Target="https://tracxn.com/companies/hkEhYgmcR1P8Mf8dMYps-LHy3-WFZ0tjamziz0vL60s/bioestibas.com" TargetMode="External"/><Relationship Id="rId690" Type="http://schemas.openxmlformats.org/officeDocument/2006/relationships/hyperlink" Target="https://linkedin.com/company/crowdeco/about" TargetMode="External"/><Relationship Id="rId2164" Type="http://schemas.openxmlformats.org/officeDocument/2006/relationships/hyperlink" Target="http://www.linkedin.com/vsearch/p?f_CC=531728" TargetMode="External"/><Relationship Id="rId136" Type="http://schemas.openxmlformats.org/officeDocument/2006/relationships/hyperlink" Target="https://www.freshsourceglobal.com/" TargetMode="External"/><Relationship Id="rId343" Type="http://schemas.openxmlformats.org/officeDocument/2006/relationships/hyperlink" Target="https://facebook.com/agroprobrasil" TargetMode="External"/><Relationship Id="rId550" Type="http://schemas.openxmlformats.org/officeDocument/2006/relationships/hyperlink" Target="https://www.luxelare.com/" TargetMode="External"/><Relationship Id="rId788" Type="http://schemas.openxmlformats.org/officeDocument/2006/relationships/hyperlink" Target="http://www.nongfenqi.com/" TargetMode="External"/><Relationship Id="rId995" Type="http://schemas.openxmlformats.org/officeDocument/2006/relationships/hyperlink" Target="https://www.linkedin.com/company/9410547" TargetMode="External"/><Relationship Id="rId1180" Type="http://schemas.openxmlformats.org/officeDocument/2006/relationships/hyperlink" Target="https://jumbotail.com/" TargetMode="External"/><Relationship Id="rId2024" Type="http://schemas.openxmlformats.org/officeDocument/2006/relationships/hyperlink" Target="http://www.linkedin.com/vsearch/p?f_CC=108675" TargetMode="External"/><Relationship Id="rId2231" Type="http://schemas.openxmlformats.org/officeDocument/2006/relationships/hyperlink" Target="http://linkedin.com/company/eruvaka-technologies" TargetMode="External"/><Relationship Id="rId203" Type="http://schemas.openxmlformats.org/officeDocument/2006/relationships/hyperlink" Target="https://www.woolly.io/" TargetMode="External"/><Relationship Id="rId648" Type="http://schemas.openxmlformats.org/officeDocument/2006/relationships/hyperlink" Target="https://www.linkedin.com/company/nestrom" TargetMode="External"/><Relationship Id="rId855" Type="http://schemas.openxmlformats.org/officeDocument/2006/relationships/hyperlink" Target="https://www.dfs168.com/" TargetMode="External"/><Relationship Id="rId1040" Type="http://schemas.openxmlformats.org/officeDocument/2006/relationships/hyperlink" Target="http://twitter.com/farmdriveke" TargetMode="External"/><Relationship Id="rId1278" Type="http://schemas.openxmlformats.org/officeDocument/2006/relationships/hyperlink" Target="https://tracxn.com/companies/UCP8xSeRuqNMVvTiaorRLsGt22rPUQ37a7m1KM1t8ws/zhimadi.cn" TargetMode="External"/><Relationship Id="rId1485" Type="http://schemas.openxmlformats.org/officeDocument/2006/relationships/hyperlink" Target="https://tracxn.com/companies/Z-hjss2bVSLogxs2mqRk4XKQfEz6WaKqirADUBXs3fQ/buylfun.com" TargetMode="External"/><Relationship Id="rId1692" Type="http://schemas.openxmlformats.org/officeDocument/2006/relationships/hyperlink" Target="http://www.linkedin.com/vsearch/p?f_CC=10130035" TargetMode="External"/><Relationship Id="rId410" Type="http://schemas.openxmlformats.org/officeDocument/2006/relationships/hyperlink" Target="https://linkedin.com/company/bayseddo/about" TargetMode="External"/><Relationship Id="rId508" Type="http://schemas.openxmlformats.org/officeDocument/2006/relationships/hyperlink" Target="http://www.91haorou.com/" TargetMode="External"/><Relationship Id="rId715" Type="http://schemas.openxmlformats.org/officeDocument/2006/relationships/hyperlink" Target="https://tracxn.com/companies/MAgZRBJMPw9mmXcWj50-xMxT3xG7rfk0ygsVKbJlTM4/farmersprideafrica.com" TargetMode="External"/><Relationship Id="rId922" Type="http://schemas.openxmlformats.org/officeDocument/2006/relationships/hyperlink" Target="http://facebook.com/green-robot-machinery-1605595703030680" TargetMode="External"/><Relationship Id="rId1138" Type="http://schemas.openxmlformats.org/officeDocument/2006/relationships/hyperlink" Target="https://www.weather-risk.com/" TargetMode="External"/><Relationship Id="rId1345" Type="http://schemas.openxmlformats.org/officeDocument/2006/relationships/hyperlink" Target="http://starangel.cc/" TargetMode="External"/><Relationship Id="rId1552" Type="http://schemas.openxmlformats.org/officeDocument/2006/relationships/hyperlink" Target="https://blog.igrow.asia/" TargetMode="External"/><Relationship Id="rId1997" Type="http://schemas.openxmlformats.org/officeDocument/2006/relationships/hyperlink" Target="https://www.rizobacter.com/" TargetMode="External"/><Relationship Id="rId1205" Type="http://schemas.openxmlformats.org/officeDocument/2006/relationships/hyperlink" Target="http://twitter.com/yuktix" TargetMode="External"/><Relationship Id="rId1857" Type="http://schemas.openxmlformats.org/officeDocument/2006/relationships/hyperlink" Target="http://twitter.com/mshambake" TargetMode="External"/><Relationship Id="rId51" Type="http://schemas.openxmlformats.org/officeDocument/2006/relationships/hyperlink" Target="https://tracxn.com/companies/TUH8shIbHX6doUg0Y-MqrMb_lJEFH0i78oNYSTGfgVc/laisanjin.cn" TargetMode="External"/><Relationship Id="rId1412" Type="http://schemas.openxmlformats.org/officeDocument/2006/relationships/hyperlink" Target="https://tracxn.com/companies/_0_DsbHcX8RSwyAl7D3I5eDrYBfmus_0-H4u3GoaOxA/airag.cn" TargetMode="External"/><Relationship Id="rId1717" Type="http://schemas.openxmlformats.org/officeDocument/2006/relationships/hyperlink" Target="http://em3agri.com/media.html" TargetMode="External"/><Relationship Id="rId1924" Type="http://schemas.openxmlformats.org/officeDocument/2006/relationships/hyperlink" Target="https://tracxn.com/companies/dQpkEp-SM8Yll98R62ZRleDeotV4uRiuOVcbXuzMt60/promip.agr.br" TargetMode="External"/><Relationship Id="rId298" Type="http://schemas.openxmlformats.org/officeDocument/2006/relationships/hyperlink" Target="http://twitter.com/tulaanews" TargetMode="External"/><Relationship Id="rId158" Type="http://schemas.openxmlformats.org/officeDocument/2006/relationships/hyperlink" Target="https://twitter.com/otipy_com" TargetMode="External"/><Relationship Id="rId2186" Type="http://schemas.openxmlformats.org/officeDocument/2006/relationships/hyperlink" Target="https://www.linkedin.com/company/botanocap" TargetMode="External"/><Relationship Id="rId365" Type="http://schemas.openxmlformats.org/officeDocument/2006/relationships/hyperlink" Target="https://agrotrac.cl/" TargetMode="External"/><Relationship Id="rId572" Type="http://schemas.openxmlformats.org/officeDocument/2006/relationships/hyperlink" Target="https://tracxn.com/companies/ecUdkSqKsL6IZ3Ndims7j4fcHYZ_DbnXfVvwGFVGeaQ/aerobotics.com" TargetMode="External"/><Relationship Id="rId2046" Type="http://schemas.openxmlformats.org/officeDocument/2006/relationships/hyperlink" Target="http://www.linkedin.com/vsearch/p?f_CC=681490" TargetMode="External"/><Relationship Id="rId2253" Type="http://schemas.openxmlformats.org/officeDocument/2006/relationships/hyperlink" Target="https://tracxn.com/companies/2AOzYn9YaUhbJWUx2IvItid46lXlmuxtD9WSu4eYce4/frontalrain.com" TargetMode="External"/><Relationship Id="rId225" Type="http://schemas.openxmlformats.org/officeDocument/2006/relationships/hyperlink" Target="https://linkedin.com/company/g%C3%AAnica---inova%C3%A7%C3%A3o-biotecnol%C3%B3gica/about" TargetMode="External"/><Relationship Id="rId432" Type="http://schemas.openxmlformats.org/officeDocument/2006/relationships/hyperlink" Target="https://tracxn.com/companies/L7BrYzT7rf3zA_0ARWNqbF6Fwt4AYTqU72z0t1IpHzM/waycool.in" TargetMode="External"/><Relationship Id="rId877" Type="http://schemas.openxmlformats.org/officeDocument/2006/relationships/hyperlink" Target="https://tracxn.com/companies/AK7h45LSiZORiml_swJ4dGnhuIoIn_wWBvir2Z1ae9I/lishabora.com" TargetMode="External"/><Relationship Id="rId1062" Type="http://schemas.openxmlformats.org/officeDocument/2006/relationships/hyperlink" Target="https://www.ymt.com/" TargetMode="External"/><Relationship Id="rId2113" Type="http://schemas.openxmlformats.org/officeDocument/2006/relationships/hyperlink" Target="http://twitter.com/jainirrigation" TargetMode="External"/><Relationship Id="rId737" Type="http://schemas.openxmlformats.org/officeDocument/2006/relationships/hyperlink" Target="http://twitter.com/hargolfoodtech" TargetMode="External"/><Relationship Id="rId944" Type="http://schemas.openxmlformats.org/officeDocument/2006/relationships/hyperlink" Target="https://tracxn.com/companies/uGEJW85KPCEJ2M_cpouWyf3uNWNoeLW-GLfPnUyL70w/getleaf.co" TargetMode="External"/><Relationship Id="rId1367" Type="http://schemas.openxmlformats.org/officeDocument/2006/relationships/hyperlink" Target="http://linkedin.com/company/freshboxx" TargetMode="External"/><Relationship Id="rId1574" Type="http://schemas.openxmlformats.org/officeDocument/2006/relationships/hyperlink" Target="https://www.linkedin.com/company/ugaoo" TargetMode="External"/><Relationship Id="rId1781" Type="http://schemas.openxmlformats.org/officeDocument/2006/relationships/hyperlink" Target="https://tracxn.com/companies/Q237A5Pyg6ruRkYDB2wS-WZQ5cgaVfRghuhJt7Gmh0A/cropin.com" TargetMode="External"/><Relationship Id="rId73" Type="http://schemas.openxmlformats.org/officeDocument/2006/relationships/hyperlink" Target="https://facebook.com/chilibeli-bagus-indonesia-112259693583670" TargetMode="External"/><Relationship Id="rId804" Type="http://schemas.openxmlformats.org/officeDocument/2006/relationships/hyperlink" Target="https://twitter.com/jingyixinzi" TargetMode="External"/><Relationship Id="rId1227" Type="http://schemas.openxmlformats.org/officeDocument/2006/relationships/hyperlink" Target="http://www.linkedin.com/vsearch/p?f_CC=2212947" TargetMode="External"/><Relationship Id="rId1434" Type="http://schemas.openxmlformats.org/officeDocument/2006/relationships/hyperlink" Target="http://www.linkedin.com/vsearch/p?f_CC=239650" TargetMode="External"/><Relationship Id="rId1641" Type="http://schemas.openxmlformats.org/officeDocument/2006/relationships/hyperlink" Target="https://tracxn.com/companies/4FnBjC0WxOZRY_akiO6E9PTHFGnQb5Eq7DtGWvEn008/sea6energy.com" TargetMode="External"/><Relationship Id="rId1879" Type="http://schemas.openxmlformats.org/officeDocument/2006/relationships/hyperlink" Target="https://tracxn.com/companies/Abhvkf0mWZcq57flMEmaBops6P7qBztVLxaEy2VEFhY/strider.ag" TargetMode="External"/><Relationship Id="rId1501" Type="http://schemas.openxmlformats.org/officeDocument/2006/relationships/hyperlink" Target="https://twitter.com/smartbeen" TargetMode="External"/><Relationship Id="rId1739" Type="http://schemas.openxmlformats.org/officeDocument/2006/relationships/hyperlink" Target="http://twitter.com/livingboxproj" TargetMode="External"/><Relationship Id="rId1946" Type="http://schemas.openxmlformats.org/officeDocument/2006/relationships/hyperlink" Target="https://facebook.com/gramophone.co.in" TargetMode="External"/><Relationship Id="rId1806" Type="http://schemas.openxmlformats.org/officeDocument/2006/relationships/hyperlink" Target="http://www.ibreedit.com/" TargetMode="External"/><Relationship Id="rId387" Type="http://schemas.openxmlformats.org/officeDocument/2006/relationships/hyperlink" Target="https://linkedin.com/company/begreen-farm" TargetMode="External"/><Relationship Id="rId594" Type="http://schemas.openxmlformats.org/officeDocument/2006/relationships/hyperlink" Target="https://www.eggxyt.com/" TargetMode="External"/><Relationship Id="rId2068" Type="http://schemas.openxmlformats.org/officeDocument/2006/relationships/hyperlink" Target="http://linkedin.com/company/origene-seeds" TargetMode="External"/><Relationship Id="rId247" Type="http://schemas.openxmlformats.org/officeDocument/2006/relationships/hyperlink" Target="http://linkedin.com/company/fasal" TargetMode="External"/><Relationship Id="rId899" Type="http://schemas.openxmlformats.org/officeDocument/2006/relationships/hyperlink" Target="https://tracxn.com/companies/0FRNPaAlDugfl9Rjch5e2PGGjhxR7io2SYVTKxpYC_U/jivabhumi.com" TargetMode="External"/><Relationship Id="rId1084" Type="http://schemas.openxmlformats.org/officeDocument/2006/relationships/hyperlink" Target="https://linkedin.com/company/efisheryid/about" TargetMode="External"/><Relationship Id="rId107" Type="http://schemas.openxmlformats.org/officeDocument/2006/relationships/hyperlink" Target="https://www.agrikaab.com/" TargetMode="External"/><Relationship Id="rId454" Type="http://schemas.openxmlformats.org/officeDocument/2006/relationships/hyperlink" Target="http://facebook.com/contactricult" TargetMode="External"/><Relationship Id="rId661" Type="http://schemas.openxmlformats.org/officeDocument/2006/relationships/hyperlink" Target="https://www.linkedin.com/company/farmcrowdy-limited" TargetMode="External"/><Relationship Id="rId759" Type="http://schemas.openxmlformats.org/officeDocument/2006/relationships/hyperlink" Target="http://twitter.com/graodireto" TargetMode="External"/><Relationship Id="rId966" Type="http://schemas.openxmlformats.org/officeDocument/2006/relationships/hyperlink" Target="https://tracxn.com/companies/x0SndVF0rKEKsrDbdf9ZqpGiNFtCET4zRbm4ORaNONc/fibsol.com" TargetMode="External"/><Relationship Id="rId1291" Type="http://schemas.openxmlformats.org/officeDocument/2006/relationships/hyperlink" Target="https://tracxn.com/companies/Z3aoPCnYyWVaTVzdbisc4XT9ewtN2j_ml5nNQnX_Rjw/beehivesa.com" TargetMode="External"/><Relationship Id="rId1389" Type="http://schemas.openxmlformats.org/officeDocument/2006/relationships/hyperlink" Target="https://www.linkedin.com/company/cowlar" TargetMode="External"/><Relationship Id="rId1596" Type="http://schemas.openxmlformats.org/officeDocument/2006/relationships/hyperlink" Target="http://facebook.com/fresh2ket" TargetMode="External"/><Relationship Id="rId2135" Type="http://schemas.openxmlformats.org/officeDocument/2006/relationships/hyperlink" Target="https://tracxn.com/companies/aW-jk5Mq4lkl8IwXR4GWJRasxn8IxyzJq407qQ_pV-A/futuragene.com" TargetMode="External"/><Relationship Id="rId314" Type="http://schemas.openxmlformats.org/officeDocument/2006/relationships/hyperlink" Target="https://linkedin.com/company/occipitaltech/about" TargetMode="External"/><Relationship Id="rId521" Type="http://schemas.openxmlformats.org/officeDocument/2006/relationships/hyperlink" Target="http://linkedin.com/company/agree-market" TargetMode="External"/><Relationship Id="rId619" Type="http://schemas.openxmlformats.org/officeDocument/2006/relationships/hyperlink" Target="https://www.farmersfz.com/" TargetMode="External"/><Relationship Id="rId1151" Type="http://schemas.openxmlformats.org/officeDocument/2006/relationships/hyperlink" Target="http://linkedin.com/company/skymet-weather-services" TargetMode="External"/><Relationship Id="rId1249" Type="http://schemas.openxmlformats.org/officeDocument/2006/relationships/hyperlink" Target="https://farmbee.in/" TargetMode="External"/><Relationship Id="rId2202" Type="http://schemas.openxmlformats.org/officeDocument/2006/relationships/hyperlink" Target="http://linkedin.com/company/advanta-india-ltd" TargetMode="External"/><Relationship Id="rId95" Type="http://schemas.openxmlformats.org/officeDocument/2006/relationships/hyperlink" Target="https://www.altumlab.cl/" TargetMode="External"/><Relationship Id="rId826" Type="http://schemas.openxmlformats.org/officeDocument/2006/relationships/hyperlink" Target="https://www.linkedin.com/company/biofishency-ltd." TargetMode="External"/><Relationship Id="rId1011" Type="http://schemas.openxmlformats.org/officeDocument/2006/relationships/hyperlink" Target="http://cropin.com/blogs" TargetMode="External"/><Relationship Id="rId1109" Type="http://schemas.openxmlformats.org/officeDocument/2006/relationships/hyperlink" Target="http://linkedin.com/company/3855706" TargetMode="External"/><Relationship Id="rId1456" Type="http://schemas.openxmlformats.org/officeDocument/2006/relationships/hyperlink" Target="http://yzyy365.com/" TargetMode="External"/><Relationship Id="rId1663" Type="http://schemas.openxmlformats.org/officeDocument/2006/relationships/hyperlink" Target="https://www.globalyeast.com/" TargetMode="External"/><Relationship Id="rId1870" Type="http://schemas.openxmlformats.org/officeDocument/2006/relationships/hyperlink" Target="http://www.linkedin.com/vsearch/p?f_CC=3863851" TargetMode="External"/><Relationship Id="rId1968" Type="http://schemas.openxmlformats.org/officeDocument/2006/relationships/hyperlink" Target="https://www.linkedin.com/company/shellcatch-inc-" TargetMode="External"/><Relationship Id="rId1316" Type="http://schemas.openxmlformats.org/officeDocument/2006/relationships/hyperlink" Target="https://www.eggxyt.com/" TargetMode="External"/><Relationship Id="rId1523" Type="http://schemas.openxmlformats.org/officeDocument/2006/relationships/hyperlink" Target="https://twitter.com/farmart_" TargetMode="External"/><Relationship Id="rId1730" Type="http://schemas.openxmlformats.org/officeDocument/2006/relationships/hyperlink" Target="http://www.linkedin.com/vsearch/p?f_CC=9410547" TargetMode="External"/><Relationship Id="rId22" Type="http://schemas.openxmlformats.org/officeDocument/2006/relationships/hyperlink" Target="https://linkedin.com/company/vegrow/about" TargetMode="External"/><Relationship Id="rId1828" Type="http://schemas.openxmlformats.org/officeDocument/2006/relationships/hyperlink" Target="http://linkedin.com/company/farmdrive" TargetMode="External"/><Relationship Id="rId171" Type="http://schemas.openxmlformats.org/officeDocument/2006/relationships/hyperlink" Target="https://tracxn.com/companies/Zw2vls7lNNpz-cZVzN0PL8LyFcHNei-Rh_Ub-mGYO6c/ruhminnovation.com" TargetMode="External"/><Relationship Id="rId269" Type="http://schemas.openxmlformats.org/officeDocument/2006/relationships/hyperlink" Target="https://tracxn.com/companies/AlBpXqu4Nq7wVkkJxVEx78GWWr7_vDOU1JGDpqM-fbE/thekrishi.com" TargetMode="External"/><Relationship Id="rId476" Type="http://schemas.openxmlformats.org/officeDocument/2006/relationships/hyperlink" Target="https://www.krimanshi.com/" TargetMode="External"/><Relationship Id="rId683" Type="http://schemas.openxmlformats.org/officeDocument/2006/relationships/hyperlink" Target="https://tracxn.com/companies/deQ7R1XU42TuJrJe_9WX98iwlu132jUUWilJv6DLeWI/nongtaowang.com" TargetMode="External"/><Relationship Id="rId890" Type="http://schemas.openxmlformats.org/officeDocument/2006/relationships/hyperlink" Target="http://www.linkedin.com/vsearch/p?f_CC=6376832" TargetMode="External"/><Relationship Id="rId2157" Type="http://schemas.openxmlformats.org/officeDocument/2006/relationships/hyperlink" Target="https://tracxn.com/companies/Qlog1nBRnQtCC1LW9Um21B1Ks_kVCS0uWYk0kRY5AG4/eloancn.com" TargetMode="External"/><Relationship Id="rId129" Type="http://schemas.openxmlformats.org/officeDocument/2006/relationships/hyperlink" Target="https://facebook.com/atlaksystems" TargetMode="External"/><Relationship Id="rId336" Type="http://schemas.openxmlformats.org/officeDocument/2006/relationships/hyperlink" Target="http://facebook.com/agriapp-criyagen-653650331408835" TargetMode="External"/><Relationship Id="rId543" Type="http://schemas.openxmlformats.org/officeDocument/2006/relationships/hyperlink" Target="http://linkedin.com/company/sensogenic" TargetMode="External"/><Relationship Id="rId988" Type="http://schemas.openxmlformats.org/officeDocument/2006/relationships/hyperlink" Target="https://www.prospera.ag/" TargetMode="External"/><Relationship Id="rId1173" Type="http://schemas.openxmlformats.org/officeDocument/2006/relationships/hyperlink" Target="https://www.netafim.com/en/" TargetMode="External"/><Relationship Id="rId1380" Type="http://schemas.openxmlformats.org/officeDocument/2006/relationships/hyperlink" Target="http://www.sanfeng.net/" TargetMode="External"/><Relationship Id="rId2017" Type="http://schemas.openxmlformats.org/officeDocument/2006/relationships/hyperlink" Target="https://tracxn.com/companies/h62q5n2V7_8-__3LfH-34FyYhmlXDNrkGepLxV39a4c/agronometrics.com" TargetMode="External"/><Relationship Id="rId2224" Type="http://schemas.openxmlformats.org/officeDocument/2006/relationships/hyperlink" Target="https://www.yuktix.com/" TargetMode="External"/><Relationship Id="rId403" Type="http://schemas.openxmlformats.org/officeDocument/2006/relationships/hyperlink" Target="https://facebook.com/infishta-1973256992896923" TargetMode="External"/><Relationship Id="rId750" Type="http://schemas.openxmlformats.org/officeDocument/2006/relationships/hyperlink" Target="https://linkedin.com/company/amvicube/about" TargetMode="External"/><Relationship Id="rId848" Type="http://schemas.openxmlformats.org/officeDocument/2006/relationships/hyperlink" Target="https://tracxn.com/companies/_Ghu24mpWS27bmyrzwDyzXbFnVNR-cLjm-tVRkUrEb4/dechetsalor.com" TargetMode="External"/><Relationship Id="rId1033" Type="http://schemas.openxmlformats.org/officeDocument/2006/relationships/hyperlink" Target="https://www.linkedin.com/company/8856119" TargetMode="External"/><Relationship Id="rId1478" Type="http://schemas.openxmlformats.org/officeDocument/2006/relationships/hyperlink" Target="http://www.swinesmart.com/" TargetMode="External"/><Relationship Id="rId1685" Type="http://schemas.openxmlformats.org/officeDocument/2006/relationships/hyperlink" Target="http://facebook.com/pages/agribots" TargetMode="External"/><Relationship Id="rId1892" Type="http://schemas.openxmlformats.org/officeDocument/2006/relationships/hyperlink" Target="https://tracxn.com/companies/FlxyaQlTg6M8vZwL_JoNkE0x1Kz7uutzlHJfaVLP8PE/phagelux.com" TargetMode="External"/><Relationship Id="rId610" Type="http://schemas.openxmlformats.org/officeDocument/2006/relationships/hyperlink" Target="https://www.apolloagriculture.com/" TargetMode="External"/><Relationship Id="rId708" Type="http://schemas.openxmlformats.org/officeDocument/2006/relationships/hyperlink" Target="https://www.linkedin.com/company/agritask" TargetMode="External"/><Relationship Id="rId915" Type="http://schemas.openxmlformats.org/officeDocument/2006/relationships/hyperlink" Target="http://twitter.com/liciousfoods" TargetMode="External"/><Relationship Id="rId1240" Type="http://schemas.openxmlformats.org/officeDocument/2006/relationships/hyperlink" Target="https://twitter.com/uplltd" TargetMode="External"/><Relationship Id="rId1338" Type="http://schemas.openxmlformats.org/officeDocument/2006/relationships/hyperlink" Target="http://facebook.com/kulishafeed" TargetMode="External"/><Relationship Id="rId1545" Type="http://schemas.openxmlformats.org/officeDocument/2006/relationships/hyperlink" Target="https://facebook.com/taranisvisual" TargetMode="External"/><Relationship Id="rId1100" Type="http://schemas.openxmlformats.org/officeDocument/2006/relationships/hyperlink" Target="https://www.gramophone.in/" TargetMode="External"/><Relationship Id="rId1405" Type="http://schemas.openxmlformats.org/officeDocument/2006/relationships/hyperlink" Target="https://linkedin.com/company/steak-tzartzar" TargetMode="External"/><Relationship Id="rId1752" Type="http://schemas.openxmlformats.org/officeDocument/2006/relationships/hyperlink" Target="https://www.mujinnong.com/" TargetMode="External"/><Relationship Id="rId44" Type="http://schemas.openxmlformats.org/officeDocument/2006/relationships/hyperlink" Target="https://www.beewise.ag/" TargetMode="External"/><Relationship Id="rId1612" Type="http://schemas.openxmlformats.org/officeDocument/2006/relationships/hyperlink" Target="https://www.linkedin.com/company/gfresh" TargetMode="External"/><Relationship Id="rId1917" Type="http://schemas.openxmlformats.org/officeDocument/2006/relationships/hyperlink" Target="https://tracxn.com/companies/4VoSNmAo7ZTHONtfuxUS42gJDlNONZlxUfv09zay3gU/modisar.com" TargetMode="External"/><Relationship Id="rId193" Type="http://schemas.openxmlformats.org/officeDocument/2006/relationships/hyperlink" Target="https://linkedin.com/company/techshelta/about" TargetMode="External"/><Relationship Id="rId498" Type="http://schemas.openxmlformats.org/officeDocument/2006/relationships/hyperlink" Target="https://linkedin.com/company/bharatagri/about" TargetMode="External"/><Relationship Id="rId2081" Type="http://schemas.openxmlformats.org/officeDocument/2006/relationships/hyperlink" Target="https://twitter.com/netafimcorp" TargetMode="External"/><Relationship Id="rId2179" Type="http://schemas.openxmlformats.org/officeDocument/2006/relationships/hyperlink" Target="https://tracxn.com/companies/rSNVOAMihQqgNtV0of-KhE8W_yt-7BMw0f08SY9ThYo/chipinside.com.br" TargetMode="External"/><Relationship Id="rId260" Type="http://schemas.openxmlformats.org/officeDocument/2006/relationships/hyperlink" Target="https://facebook.com/nocofio" TargetMode="External"/><Relationship Id="rId120" Type="http://schemas.openxmlformats.org/officeDocument/2006/relationships/hyperlink" Target="https://facebook.com/procoltech" TargetMode="External"/><Relationship Id="rId358" Type="http://schemas.openxmlformats.org/officeDocument/2006/relationships/hyperlink" Target="https://tracxn.com/companies/oW2SeGpL7ia-MWtVNmPsSK2ghphIuWXWcPj9NVnguyI/nebulaa.in" TargetMode="External"/><Relationship Id="rId565" Type="http://schemas.openxmlformats.org/officeDocument/2006/relationships/hyperlink" Target="http://blog.siembro.com/" TargetMode="External"/><Relationship Id="rId772" Type="http://schemas.openxmlformats.org/officeDocument/2006/relationships/hyperlink" Target="https://livestockwealth.com/" TargetMode="External"/><Relationship Id="rId1195" Type="http://schemas.openxmlformats.org/officeDocument/2006/relationships/hyperlink" Target="https://tracxn.com/companies/zmUxWIKyT4z6iSJP8bEHfaD9G5vAnXsk4rASCwcNs3I/ecozensolutions.com" TargetMode="External"/><Relationship Id="rId2039" Type="http://schemas.openxmlformats.org/officeDocument/2006/relationships/hyperlink" Target="http://www.linkedin.com/vsearch/p?f_CC=3170084" TargetMode="External"/><Relationship Id="rId2246" Type="http://schemas.openxmlformats.org/officeDocument/2006/relationships/hyperlink" Target="http://stellapps.com/blogs" TargetMode="External"/><Relationship Id="rId218" Type="http://schemas.openxmlformats.org/officeDocument/2006/relationships/hyperlink" Target="https://tracxn.com/companies/UXGAVxZHcAY7DtAcrFRTA7TkEBzrHcL7i88hgMTr8TY/seetree.ai" TargetMode="External"/><Relationship Id="rId425" Type="http://schemas.openxmlformats.org/officeDocument/2006/relationships/hyperlink" Target="https://tracxn.com/companies/7bZme_z-8YWWiCHyF0cRmR3uYJ9heR8ZMgIJ9Fme_aM/botanicalsolutions.cl" TargetMode="External"/><Relationship Id="rId632" Type="http://schemas.openxmlformats.org/officeDocument/2006/relationships/hyperlink" Target="https://www.unnati.world/" TargetMode="External"/><Relationship Id="rId1055" Type="http://schemas.openxmlformats.org/officeDocument/2006/relationships/hyperlink" Target="https://tracxn.com/companies/FrFptHR2twOk1qHrvEvvXmuZ4oJ0gfMXHaMzDjM9jtk/agrosmart.com.br" TargetMode="External"/><Relationship Id="rId1262" Type="http://schemas.openxmlformats.org/officeDocument/2006/relationships/hyperlink" Target="https://tracxn.com/companies/rTybUlmFriAMZaBtsoSTT6AZqj32UGrgQhkP7xlAqsw/hummingbird.in" TargetMode="External"/><Relationship Id="rId2106" Type="http://schemas.openxmlformats.org/officeDocument/2006/relationships/hyperlink" Target="https://tracxn.com/companies/GWOodn0QLOmFIJUIEexUqb5u0_lDJRfHhPnm_l4wIVQ/kaiima.com" TargetMode="External"/><Relationship Id="rId937" Type="http://schemas.openxmlformats.org/officeDocument/2006/relationships/hyperlink" Target="http://facebook.com/eirenesolutions" TargetMode="External"/><Relationship Id="rId1122" Type="http://schemas.openxmlformats.org/officeDocument/2006/relationships/hyperlink" Target="https://tracxn.com/companies/-urbu-ZYUxJUcTWGrhOycaB2R2LA4xLr9_QBQupaIdw/originseed.com.cn" TargetMode="External"/><Relationship Id="rId1567" Type="http://schemas.openxmlformats.org/officeDocument/2006/relationships/hyperlink" Target="https://tracxn.com/companies/YbP0wutIuupbhZIsgTJ8PBQwRU3uxzIFHSycb5qvuU8/yunfarm.cn" TargetMode="External"/><Relationship Id="rId1774" Type="http://schemas.openxmlformats.org/officeDocument/2006/relationships/hyperlink" Target="https://twitter.com/fertilityonyx" TargetMode="External"/><Relationship Id="rId1981" Type="http://schemas.openxmlformats.org/officeDocument/2006/relationships/hyperlink" Target="http://linkedin.com/company/qtlomics" TargetMode="External"/><Relationship Id="rId66" Type="http://schemas.openxmlformats.org/officeDocument/2006/relationships/hyperlink" Target="https://tracxn.com/companies/JiMVNVMoJsdKAsVSqlLIn8-7IYydiqlq53OijF9ktMA/agrourbana.ag" TargetMode="External"/><Relationship Id="rId1427" Type="http://schemas.openxmlformats.org/officeDocument/2006/relationships/hyperlink" Target="https://tracxn.com/companies/yrjBSOcm4X6DY4xcZBLNyHSlcDvT2YqIgnPpCj-TRgQ/crofarm.com" TargetMode="External"/><Relationship Id="rId1634" Type="http://schemas.openxmlformats.org/officeDocument/2006/relationships/hyperlink" Target="http://twitter.com/mifugotrade" TargetMode="External"/><Relationship Id="rId1841" Type="http://schemas.openxmlformats.org/officeDocument/2006/relationships/hyperlink" Target="http://facebook.com/cultivandofuturo" TargetMode="External"/><Relationship Id="rId1939" Type="http://schemas.openxmlformats.org/officeDocument/2006/relationships/hyperlink" Target="http://www.linkedin.com/vsearch/p?f_CC=2957399" TargetMode="External"/><Relationship Id="rId1701" Type="http://schemas.openxmlformats.org/officeDocument/2006/relationships/hyperlink" Target="https://www.fibsol.com/" TargetMode="External"/><Relationship Id="rId282" Type="http://schemas.openxmlformats.org/officeDocument/2006/relationships/hyperlink" Target="https://tracxn.com/companies/H6xBHiWPPkiW_Cgn_UYuKtbMdw0_hgm-PqxPZvOb3bI/wolkus.com" TargetMode="External"/><Relationship Id="rId587" Type="http://schemas.openxmlformats.org/officeDocument/2006/relationships/hyperlink" Target="https://linkedin.com/company/farmlink-india/about" TargetMode="External"/><Relationship Id="rId2170" Type="http://schemas.openxmlformats.org/officeDocument/2006/relationships/hyperlink" Target="https://www.donmario.com/" TargetMode="External"/><Relationship Id="rId2268" Type="http://schemas.openxmlformats.org/officeDocument/2006/relationships/hyperlink" Target="https://linkedin.com/company/seedco-group" TargetMode="External"/><Relationship Id="rId8" Type="http://schemas.openxmlformats.org/officeDocument/2006/relationships/hyperlink" Target="http://www.unnatiagri.com/" TargetMode="External"/><Relationship Id="rId142" Type="http://schemas.openxmlformats.org/officeDocument/2006/relationships/hyperlink" Target="https://facebook.com/kwidex-agricultural-financing-made-easy-853469244856466" TargetMode="External"/><Relationship Id="rId447" Type="http://schemas.openxmlformats.org/officeDocument/2006/relationships/hyperlink" Target="http://twitter.com/cowtribe" TargetMode="External"/><Relationship Id="rId794" Type="http://schemas.openxmlformats.org/officeDocument/2006/relationships/hyperlink" Target="https://www.linkedin.com/company/10284773?trk=prof-exp-company-name" TargetMode="External"/><Relationship Id="rId1077" Type="http://schemas.openxmlformats.org/officeDocument/2006/relationships/hyperlink" Target="https://tracxn.com/companies/wagsBF5a4v9N7VsaSJiYBIkbCQXjppHODJD5FQ8nYLw/nilebot.com" TargetMode="External"/><Relationship Id="rId2030" Type="http://schemas.openxmlformats.org/officeDocument/2006/relationships/hyperlink" Target="https://www.vegfru.com/" TargetMode="External"/><Relationship Id="rId2128" Type="http://schemas.openxmlformats.org/officeDocument/2006/relationships/hyperlink" Target="https://facebook.com/pages/gfa-growfishanywhere-advanced-systems/190164074378057" TargetMode="External"/><Relationship Id="rId654" Type="http://schemas.openxmlformats.org/officeDocument/2006/relationships/hyperlink" Target="https://tracxn.com/companies/-5_Lr5ueIWj5H6CCCH6vz-wGiB1V-Pduq0UgyZfo6GM/lenterafrica.com" TargetMode="External"/><Relationship Id="rId861" Type="http://schemas.openxmlformats.org/officeDocument/2006/relationships/hyperlink" Target="https://www.tierraseedscience.com/" TargetMode="External"/><Relationship Id="rId959" Type="http://schemas.openxmlformats.org/officeDocument/2006/relationships/hyperlink" Target="https://www.cropx.com/" TargetMode="External"/><Relationship Id="rId1284" Type="http://schemas.openxmlformats.org/officeDocument/2006/relationships/hyperlink" Target="https://tracxn.com/companies/qoUe2svGUL-Oxd47ylml4d4QgmyrkO05EzA0iHqmXsc/synqe.cn" TargetMode="External"/><Relationship Id="rId1491" Type="http://schemas.openxmlformats.org/officeDocument/2006/relationships/hyperlink" Target="https://tracxn.com/companies/a06udMOc6dp_sKi_pO3oBHTYQO9aBHDF6wLXkb7uarg/theagrihub.com" TargetMode="External"/><Relationship Id="rId1589" Type="http://schemas.openxmlformats.org/officeDocument/2006/relationships/hyperlink" Target="https://tracxn.com/companies/QgCxKraIto9RJc2Kyb7kXT3V2uAbzQ5IEyNlCUOQ8DM/eragano.com" TargetMode="External"/><Relationship Id="rId307" Type="http://schemas.openxmlformats.org/officeDocument/2006/relationships/hyperlink" Target="https://tracxn.com/companies/6H7L8GPIPN8joht_0DIWcqbYSs-WZKrnIYbDiOfQ3FE/digifarmz.com" TargetMode="External"/><Relationship Id="rId514" Type="http://schemas.openxmlformats.org/officeDocument/2006/relationships/hyperlink" Target="http://linkedin.com/company/3563964" TargetMode="External"/><Relationship Id="rId721" Type="http://schemas.openxmlformats.org/officeDocument/2006/relationships/hyperlink" Target="http://twitter.com/cowlar1" TargetMode="External"/><Relationship Id="rId1144" Type="http://schemas.openxmlformats.org/officeDocument/2006/relationships/hyperlink" Target="https://www.tbit.com.br/" TargetMode="External"/><Relationship Id="rId1351" Type="http://schemas.openxmlformats.org/officeDocument/2006/relationships/hyperlink" Target="https://linkedin.com/company/crowdeco/about" TargetMode="External"/><Relationship Id="rId1449" Type="http://schemas.openxmlformats.org/officeDocument/2006/relationships/hyperlink" Target="http://twitter.com/rmlagtech" TargetMode="External"/><Relationship Id="rId1796" Type="http://schemas.openxmlformats.org/officeDocument/2006/relationships/hyperlink" Target="http://manishaseeds.com/" TargetMode="External"/><Relationship Id="rId88" Type="http://schemas.openxmlformats.org/officeDocument/2006/relationships/hyperlink" Target="https://linkedin.com/company/pinkfarms/about" TargetMode="External"/><Relationship Id="rId819" Type="http://schemas.openxmlformats.org/officeDocument/2006/relationships/hyperlink" Target="https://linkedin.com/company/kisan-network" TargetMode="External"/><Relationship Id="rId1004" Type="http://schemas.openxmlformats.org/officeDocument/2006/relationships/hyperlink" Target="https://www.meicai.cn/" TargetMode="External"/><Relationship Id="rId1211" Type="http://schemas.openxmlformats.org/officeDocument/2006/relationships/hyperlink" Target="http://twitter.com/eruvakatech" TargetMode="External"/><Relationship Id="rId1656" Type="http://schemas.openxmlformats.org/officeDocument/2006/relationships/hyperlink" Target="https://tracxn.com/companies/vOUpPDpQOZjxQV53N3ksOWHda98HgN7oPQOxx5ewKQ8/grobomac.com" TargetMode="External"/><Relationship Id="rId1863" Type="http://schemas.openxmlformats.org/officeDocument/2006/relationships/hyperlink" Target="http://hellotractor.com/?page_id=1089" TargetMode="External"/><Relationship Id="rId1309" Type="http://schemas.openxmlformats.org/officeDocument/2006/relationships/hyperlink" Target="https://agnext.com/" TargetMode="External"/><Relationship Id="rId1516" Type="http://schemas.openxmlformats.org/officeDocument/2006/relationships/hyperlink" Target="https://tracxn.com/companies/3QzbXSM_NP_bhcb7Cvg0yCsNu80sEo4G_xFg92DWHk8/foodstock.com.ng" TargetMode="External"/><Relationship Id="rId1723" Type="http://schemas.openxmlformats.org/officeDocument/2006/relationships/hyperlink" Target="https://tracxn.com/companies/6bkLhyf5fijQTsy-5NutBSaYnsFStHcMH89LbBw_Qj0/exabit.in" TargetMode="External"/><Relationship Id="rId1930" Type="http://schemas.openxmlformats.org/officeDocument/2006/relationships/hyperlink" Target="http://efishery.com/blog/?p=1" TargetMode="External"/><Relationship Id="rId15" Type="http://schemas.openxmlformats.org/officeDocument/2006/relationships/hyperlink" Target="https://greeneye.ag/" TargetMode="External"/><Relationship Id="rId2192" Type="http://schemas.openxmlformats.org/officeDocument/2006/relationships/hyperlink" Target="http://facebook.com/pages/algatech/1396097397309941" TargetMode="External"/><Relationship Id="rId164" Type="http://schemas.openxmlformats.org/officeDocument/2006/relationships/hyperlink" Target="https://eggoz.in/" TargetMode="External"/><Relationship Id="rId371" Type="http://schemas.openxmlformats.org/officeDocument/2006/relationships/hyperlink" Target="https://jaguzafarm.com/" TargetMode="External"/><Relationship Id="rId2052" Type="http://schemas.openxmlformats.org/officeDocument/2006/relationships/hyperlink" Target="https://www.skymetweather.com/" TargetMode="External"/><Relationship Id="rId469" Type="http://schemas.openxmlformats.org/officeDocument/2006/relationships/hyperlink" Target="https://tracxn.com/companies/nDn9TJnPhCOuAtuJfD5ovaifmVdNytznpdZ0GTzwCdY/plantarcbio.com" TargetMode="External"/><Relationship Id="rId676" Type="http://schemas.openxmlformats.org/officeDocument/2006/relationships/hyperlink" Target="https://tracxn.com/companies/V1YDvxBt7tae9Ok9ZzVJSgjbXsvdbrJwRck_cGpS4gI/zuzitech.com" TargetMode="External"/><Relationship Id="rId883" Type="http://schemas.openxmlformats.org/officeDocument/2006/relationships/hyperlink" Target="https://www.aliakbargroup.com/" TargetMode="External"/><Relationship Id="rId1099" Type="http://schemas.openxmlformats.org/officeDocument/2006/relationships/hyperlink" Target="https://tracxn.com/companies/v1EC0_KUjrcAnER7VStTm8HdvKdDu0quGax_3LdFrT8/zentronlabs.com" TargetMode="External"/><Relationship Id="rId231" Type="http://schemas.openxmlformats.org/officeDocument/2006/relationships/hyperlink" Target="https://linkedin.com/company/zimmer" TargetMode="External"/><Relationship Id="rId329" Type="http://schemas.openxmlformats.org/officeDocument/2006/relationships/hyperlink" Target="https://tracxn.com/companies/aFZXnTrnPcDTrlbDsOWnf5lvEFjS6Dqkacl7sHl6ITU/nutrition-technologies.com" TargetMode="External"/><Relationship Id="rId536" Type="http://schemas.openxmlformats.org/officeDocument/2006/relationships/hyperlink" Target="http://facebook.com/physizag" TargetMode="External"/><Relationship Id="rId1166" Type="http://schemas.openxmlformats.org/officeDocument/2006/relationships/hyperlink" Target="http://www.linkedin.com/vsearch/p?f_CC=9458287" TargetMode="External"/><Relationship Id="rId1373" Type="http://schemas.openxmlformats.org/officeDocument/2006/relationships/hyperlink" Target="https://tracxn.com/companies/8M1hxc7sqt17QXcokHrGb2DdvxEasGe-bqKcBgH14k0/tcloudit.com" TargetMode="External"/><Relationship Id="rId2217" Type="http://schemas.openxmlformats.org/officeDocument/2006/relationships/hyperlink" Target="http://www.linkedin.com/vsearch/p?f_CC=3090927" TargetMode="External"/><Relationship Id="rId743" Type="http://schemas.openxmlformats.org/officeDocument/2006/relationships/hyperlink" Target="https://tracxn.com/companies/OxDkWmxQiMBvhfrJopaxzJ3ettZl3nRFufdxfTQB2-Y/tevel-tech.com" TargetMode="External"/><Relationship Id="rId950" Type="http://schemas.openxmlformats.org/officeDocument/2006/relationships/hyperlink" Target="https://www.linkedin.com/company/agrofy" TargetMode="External"/><Relationship Id="rId1026" Type="http://schemas.openxmlformats.org/officeDocument/2006/relationships/hyperlink" Target="http://twitter.com/merakisan" TargetMode="External"/><Relationship Id="rId1580" Type="http://schemas.openxmlformats.org/officeDocument/2006/relationships/hyperlink" Target="https://tracxn.com/companies/olJViMLGi-KM6SrVTLuQINTG5KG5JWw5Jfb7w3EcGnU/mailiangwang.com" TargetMode="External"/><Relationship Id="rId1678" Type="http://schemas.openxmlformats.org/officeDocument/2006/relationships/hyperlink" Target="http://facebook.com/revofarmltd" TargetMode="External"/><Relationship Id="rId1885" Type="http://schemas.openxmlformats.org/officeDocument/2006/relationships/hyperlink" Target="http://www.linkedin.com/vsearch/p?f_CC=3624762" TargetMode="External"/><Relationship Id="rId603" Type="http://schemas.openxmlformats.org/officeDocument/2006/relationships/hyperlink" Target="https://www.eiwa.ag/" TargetMode="External"/><Relationship Id="rId810" Type="http://schemas.openxmlformats.org/officeDocument/2006/relationships/hyperlink" Target="http://facebook.com/farmerline" TargetMode="External"/><Relationship Id="rId908" Type="http://schemas.openxmlformats.org/officeDocument/2006/relationships/hyperlink" Target="http://linkedin.com/company/9443044" TargetMode="External"/><Relationship Id="rId1233" Type="http://schemas.openxmlformats.org/officeDocument/2006/relationships/hyperlink" Target="https://www.farmagain.in/" TargetMode="External"/><Relationship Id="rId1440" Type="http://schemas.openxmlformats.org/officeDocument/2006/relationships/hyperlink" Target="https://www.agronow.com.br/" TargetMode="External"/><Relationship Id="rId1538" Type="http://schemas.openxmlformats.org/officeDocument/2006/relationships/hyperlink" Target="https://tracxn.com/companies/UEKOZyfY46_BD9mPFqufmPgZ0xr9ki5krT5lQ9SxCVQ/xiangongshe.com" TargetMode="External"/><Relationship Id="rId1300" Type="http://schemas.openxmlformats.org/officeDocument/2006/relationships/hyperlink" Target="https://linkedin.com/company/greenfingers-mobile" TargetMode="External"/><Relationship Id="rId1745" Type="http://schemas.openxmlformats.org/officeDocument/2006/relationships/hyperlink" Target="https://tracxn.com/companies/BaUrkCclf4IopTCtgcqO4_6ElPMDtBi_Cmyrm3CgsyA/aus.co.in" TargetMode="External"/><Relationship Id="rId1952" Type="http://schemas.openxmlformats.org/officeDocument/2006/relationships/hyperlink" Target="http://www.leveking.com/" TargetMode="External"/><Relationship Id="rId37" Type="http://schemas.openxmlformats.org/officeDocument/2006/relationships/hyperlink" Target="https://aquaconnect.blue/" TargetMode="External"/><Relationship Id="rId1605" Type="http://schemas.openxmlformats.org/officeDocument/2006/relationships/hyperlink" Target="https://tracxn.com/companies/-3QXH061Vl3JOsEGOX4bps8kkQjgnVmuuU4Nzh21hW4/buscagro.cl" TargetMode="External"/><Relationship Id="rId1812" Type="http://schemas.openxmlformats.org/officeDocument/2006/relationships/hyperlink" Target="https://www.linkedin.com/in/nubesol-technologies-ba5020120" TargetMode="External"/><Relationship Id="rId186" Type="http://schemas.openxmlformats.org/officeDocument/2006/relationships/hyperlink" Target="http://www.fecnong.com/" TargetMode="External"/><Relationship Id="rId393" Type="http://schemas.openxmlformats.org/officeDocument/2006/relationships/hyperlink" Target="https://tracxn.com/companies/KH2Y5dNqE68fajPl_bwX9jtqqE6x8P9_FZ9hS0kkbZk/gira.com.br" TargetMode="External"/><Relationship Id="rId2074" Type="http://schemas.openxmlformats.org/officeDocument/2006/relationships/hyperlink" Target="http://linkedin.com/company/nrgene-ltd" TargetMode="External"/><Relationship Id="rId253" Type="http://schemas.openxmlformats.org/officeDocument/2006/relationships/hyperlink" Target="http://twitter.com/oko_insurance" TargetMode="External"/><Relationship Id="rId460" Type="http://schemas.openxmlformats.org/officeDocument/2006/relationships/hyperlink" Target="http://naturacropcare.com/blog-grid-3-columns" TargetMode="External"/><Relationship Id="rId698" Type="http://schemas.openxmlformats.org/officeDocument/2006/relationships/hyperlink" Target="http://linkedin.com/company/freshboxx" TargetMode="External"/><Relationship Id="rId1090" Type="http://schemas.openxmlformats.org/officeDocument/2006/relationships/hyperlink" Target="http://linkedin.com/company/green-agrevolution-private-limited" TargetMode="External"/><Relationship Id="rId2141" Type="http://schemas.openxmlformats.org/officeDocument/2006/relationships/hyperlink" Target="http://twitter.com/farmigo" TargetMode="External"/><Relationship Id="rId113" Type="http://schemas.openxmlformats.org/officeDocument/2006/relationships/hyperlink" Target="https://nuup.co/" TargetMode="External"/><Relationship Id="rId320" Type="http://schemas.openxmlformats.org/officeDocument/2006/relationships/hyperlink" Target="https://tracxn.com/companies/7sQaSGlU4K6JUsfZ1Cd3UgZJM26IP0LQvgLdS7XRMPE/jai-kisan.com" TargetMode="External"/><Relationship Id="rId558" Type="http://schemas.openxmlformats.org/officeDocument/2006/relationships/hyperlink" Target="http://twitter.com/gobasco1" TargetMode="External"/><Relationship Id="rId765" Type="http://schemas.openxmlformats.org/officeDocument/2006/relationships/hyperlink" Target="http://twitter.com/komaza" TargetMode="External"/><Relationship Id="rId972" Type="http://schemas.openxmlformats.org/officeDocument/2006/relationships/hyperlink" Target="http://www.em3agri.com/" TargetMode="External"/><Relationship Id="rId1188" Type="http://schemas.openxmlformats.org/officeDocument/2006/relationships/hyperlink" Target="http://fieldin.com/blog" TargetMode="External"/><Relationship Id="rId1395" Type="http://schemas.openxmlformats.org/officeDocument/2006/relationships/hyperlink" Target="http://facebook.com/ghalaniapp" TargetMode="External"/><Relationship Id="rId2001" Type="http://schemas.openxmlformats.org/officeDocument/2006/relationships/hyperlink" Target="https://tracxn.com/companies/Tj3yrhTrv9IRPzlYbHjvHZTNV1u41e1nfJSAOn1q8dA/rizobacter.com" TargetMode="External"/><Relationship Id="rId2239" Type="http://schemas.openxmlformats.org/officeDocument/2006/relationships/hyperlink" Target="http://facebook.com/barrixagrosciences" TargetMode="External"/><Relationship Id="rId418" Type="http://schemas.openxmlformats.org/officeDocument/2006/relationships/hyperlink" Target="https://tellurisbiotech.com/" TargetMode="External"/><Relationship Id="rId625" Type="http://schemas.openxmlformats.org/officeDocument/2006/relationships/hyperlink" Target="https://tracxn.com/companies/98zBr2X-ZCS1NOMFFtSX65gMwI5xY7EdRsvS_wLyu2o/habibigarden.com" TargetMode="External"/><Relationship Id="rId832" Type="http://schemas.openxmlformats.org/officeDocument/2006/relationships/hyperlink" Target="https://tracxn.com/companies/k-xiJGK6xfob4w4f2te3gxGMKye7HTcPf01XprYV6aA/equi-nom.com" TargetMode="External"/><Relationship Id="rId1048" Type="http://schemas.openxmlformats.org/officeDocument/2006/relationships/hyperlink" Target="https://tracxn.com/companies/Sn_o0y8SL0g9vR3KTpktLIxS3BRdCTjlaL0WMbDUJ0Q/cultivandofuturo.com" TargetMode="External"/><Relationship Id="rId1255" Type="http://schemas.openxmlformats.org/officeDocument/2006/relationships/hyperlink" Target="https://tracxn.com/companies/zkeef4RHUdYXTUtFQ33RQFWSwYE8_DeT9BTAOj3E-pc/livlush.in" TargetMode="External"/><Relationship Id="rId1462" Type="http://schemas.openxmlformats.org/officeDocument/2006/relationships/hyperlink" Target="http://7gongli.com.cn/" TargetMode="External"/><Relationship Id="rId1115" Type="http://schemas.openxmlformats.org/officeDocument/2006/relationships/hyperlink" Target="https://www.linkedin.com/company/retailworx-india-private-limited" TargetMode="External"/><Relationship Id="rId1322" Type="http://schemas.openxmlformats.org/officeDocument/2006/relationships/hyperlink" Target="https://twitter.com/apolloagri" TargetMode="External"/><Relationship Id="rId1767" Type="http://schemas.openxmlformats.org/officeDocument/2006/relationships/hyperlink" Target="https://tracxn.com/companies/QX68dqmtJH97jRVLujlRo-Sh8AC_jjEo1NGrzmZTjqI/dachuwang.com" TargetMode="External"/><Relationship Id="rId1974" Type="http://schemas.openxmlformats.org/officeDocument/2006/relationships/hyperlink" Target="https://www.freshworld.in/" TargetMode="External"/><Relationship Id="rId59" Type="http://schemas.openxmlformats.org/officeDocument/2006/relationships/hyperlink" Target="http://atomicagro.com.br/blog" TargetMode="External"/><Relationship Id="rId1627" Type="http://schemas.openxmlformats.org/officeDocument/2006/relationships/hyperlink" Target="http://blog.farmdog.ag/" TargetMode="External"/><Relationship Id="rId1834" Type="http://schemas.openxmlformats.org/officeDocument/2006/relationships/hyperlink" Target="http://twitter.com/farmappweb" TargetMode="External"/><Relationship Id="rId2096" Type="http://schemas.openxmlformats.org/officeDocument/2006/relationships/hyperlink" Target="https://tracxn.com/companies/L4oYC6Gp_WG9VORWn5d2RsbODxPnClnDqUOcoiYTmzM/mfarm.co.ke" TargetMode="External"/><Relationship Id="rId1901" Type="http://schemas.openxmlformats.org/officeDocument/2006/relationships/hyperlink" Target="http://facebook.com/drygair" TargetMode="External"/><Relationship Id="rId275" Type="http://schemas.openxmlformats.org/officeDocument/2006/relationships/hyperlink" Target="http://www.hummingbird.in/" TargetMode="External"/><Relationship Id="rId482" Type="http://schemas.openxmlformats.org/officeDocument/2006/relationships/hyperlink" Target="http://bioestibas.com/blog" TargetMode="External"/><Relationship Id="rId2163" Type="http://schemas.openxmlformats.org/officeDocument/2006/relationships/hyperlink" Target="https://tracxn.com/companies/zmUxWIKyT4z6iSJP8bEHfaD9G5vAnXsk4rASCwcNs3I/ecozensolutions.com" TargetMode="External"/><Relationship Id="rId135" Type="http://schemas.openxmlformats.org/officeDocument/2006/relationships/hyperlink" Target="https://tracxn.com/companies/TNp5QfQyhhMH2wdDrvY3aCBEL7_2R-PMkJ4ySHLXJCk/mysmartfarms.com" TargetMode="External"/><Relationship Id="rId342" Type="http://schemas.openxmlformats.org/officeDocument/2006/relationships/hyperlink" Target="https://linkedin.com/company/agropro-brasil" TargetMode="External"/><Relationship Id="rId787" Type="http://schemas.openxmlformats.org/officeDocument/2006/relationships/hyperlink" Target="https://tracxn.com/companies/OLTQgU_2jqeZcU2ENarL27D8NqGo_dgEcbfOB17y9BQ/agreeta.com" TargetMode="External"/><Relationship Id="rId994" Type="http://schemas.openxmlformats.org/officeDocument/2006/relationships/hyperlink" Target="https://www.zappfresh.com/" TargetMode="External"/><Relationship Id="rId2023" Type="http://schemas.openxmlformats.org/officeDocument/2006/relationships/hyperlink" Target="https://tracxn.com/companies/Rb65qShUX_JWSeodaf2z02IRoGSZK2jurXKpy7rPpho/weather-risk.com" TargetMode="External"/><Relationship Id="rId2230" Type="http://schemas.openxmlformats.org/officeDocument/2006/relationships/hyperlink" Target="https://www.eruvaka.com/" TargetMode="External"/><Relationship Id="rId202" Type="http://schemas.openxmlformats.org/officeDocument/2006/relationships/hyperlink" Target="https://tracxn.com/companies/4EaxevJyqPkQEXfSVuKZnydTYqE8TgxQKwR95754Vjs/farmpal.co.in" TargetMode="External"/><Relationship Id="rId647" Type="http://schemas.openxmlformats.org/officeDocument/2006/relationships/hyperlink" Target="https://www.nestrom.com/" TargetMode="External"/><Relationship Id="rId854" Type="http://schemas.openxmlformats.org/officeDocument/2006/relationships/hyperlink" Target="https://tracxn.com/companies/CMWSBgPMw90KaL4G0COUGRmi7H3UQqDV85S0_l8AIQY/taranis.ag" TargetMode="External"/><Relationship Id="rId1277" Type="http://schemas.openxmlformats.org/officeDocument/2006/relationships/hyperlink" Target="https://linkedin.com/company/%E4%B8%9C%E8%8E%9E%E5%B8%82%E8%8A%9D%E9%BA%BB%E5%9C%B0%E7%BD%91%E7%BB%9C%E7%A7%91%E6%8A%80%E6%9C%89%E9%99%90%E5%85%AC%E5%8F%B8/about" TargetMode="External"/><Relationship Id="rId1484" Type="http://schemas.openxmlformats.org/officeDocument/2006/relationships/hyperlink" Target="http://buylfun.com/" TargetMode="External"/><Relationship Id="rId1691" Type="http://schemas.openxmlformats.org/officeDocument/2006/relationships/hyperlink" Target="https://tracxn.com/companies/UNb6wDEjwOmj6B8rH-ah_A2OaNH4pgZgr7R5-i1cCqI/aegro.com.br" TargetMode="External"/><Relationship Id="rId507" Type="http://schemas.openxmlformats.org/officeDocument/2006/relationships/hyperlink" Target="https://tracxn.com/companies/c2FSAQI0mhWthe453XMeCxc0mhQwju2LQaDD-BCoe-8/easykrishi.com" TargetMode="External"/><Relationship Id="rId714" Type="http://schemas.openxmlformats.org/officeDocument/2006/relationships/hyperlink" Target="http://farmersprideafrica.com/category/blog" TargetMode="External"/><Relationship Id="rId921" Type="http://schemas.openxmlformats.org/officeDocument/2006/relationships/hyperlink" Target="http://linkedin.com/company/green-robot-machinery" TargetMode="External"/><Relationship Id="rId1137" Type="http://schemas.openxmlformats.org/officeDocument/2006/relationships/hyperlink" Target="http://www.linkedin.com/vsearch/p?f_CC=2101713" TargetMode="External"/><Relationship Id="rId1344" Type="http://schemas.openxmlformats.org/officeDocument/2006/relationships/hyperlink" Target="https://tracxn.com/companies/Rt1wNAxkBVoTbu3Z76Su6FfH5NELxhl4GkrK0tWVYoE/paalak.in" TargetMode="External"/><Relationship Id="rId1551" Type="http://schemas.openxmlformats.org/officeDocument/2006/relationships/hyperlink" Target="http://facebook.com/igrowclub" TargetMode="External"/><Relationship Id="rId1789" Type="http://schemas.openxmlformats.org/officeDocument/2006/relationships/hyperlink" Target="http://kesucorp.com/" TargetMode="External"/><Relationship Id="rId1996" Type="http://schemas.openxmlformats.org/officeDocument/2006/relationships/hyperlink" Target="https://tracxn.com/companies/Lm_h5AAcN_RQHpFv9tf_X2eTLzoeXebBlnMKtWVH1c0/lessindustries.com" TargetMode="External"/><Relationship Id="rId50" Type="http://schemas.openxmlformats.org/officeDocument/2006/relationships/hyperlink" Target="http://laisanjin.cn/" TargetMode="External"/><Relationship Id="rId1204" Type="http://schemas.openxmlformats.org/officeDocument/2006/relationships/hyperlink" Target="http://linkedin.com/company/yuktiz-technologies-pvt-ltd" TargetMode="External"/><Relationship Id="rId1411" Type="http://schemas.openxmlformats.org/officeDocument/2006/relationships/hyperlink" Target="http://www.airag.cn/" TargetMode="External"/><Relationship Id="rId1649" Type="http://schemas.openxmlformats.org/officeDocument/2006/relationships/hyperlink" Target="https://facebook.com/liciousfoods" TargetMode="External"/><Relationship Id="rId1856" Type="http://schemas.openxmlformats.org/officeDocument/2006/relationships/hyperlink" Target="http://www.mshamba.net/" TargetMode="External"/><Relationship Id="rId1509" Type="http://schemas.openxmlformats.org/officeDocument/2006/relationships/hyperlink" Target="https://tracxn.com/companies/k-xiJGK6xfob4w4f2te3gxGMKye7HTcPf01XprYV6aA/equi-nom.com" TargetMode="External"/><Relationship Id="rId1716" Type="http://schemas.openxmlformats.org/officeDocument/2006/relationships/hyperlink" Target="http://facebook.com/em3agri" TargetMode="External"/><Relationship Id="rId1923" Type="http://schemas.openxmlformats.org/officeDocument/2006/relationships/hyperlink" Target="http://promip.agr.br/blog-promip" TargetMode="External"/><Relationship Id="rId297" Type="http://schemas.openxmlformats.org/officeDocument/2006/relationships/hyperlink" Target="http://linkedin.com/company/11164051" TargetMode="External"/><Relationship Id="rId2185" Type="http://schemas.openxmlformats.org/officeDocument/2006/relationships/hyperlink" Target="http://botanocap.com/" TargetMode="External"/><Relationship Id="rId157" Type="http://schemas.openxmlformats.org/officeDocument/2006/relationships/hyperlink" Target="https://linkedin.com/company/otipy" TargetMode="External"/><Relationship Id="rId364" Type="http://schemas.openxmlformats.org/officeDocument/2006/relationships/hyperlink" Target="https://tracxn.com/companies/cQKg1q1y1ak-ndj0TnKr-VQ3raDY-XuCwju9-9NQ4zg/jala.tech" TargetMode="External"/><Relationship Id="rId2045" Type="http://schemas.openxmlformats.org/officeDocument/2006/relationships/hyperlink" Target="https://tracxn.com/companies/1KvGVA9UatFckU_SgyhamfFN7YP4T_QSre_umGCB7mM/tech4farmers.com" TargetMode="External"/><Relationship Id="rId571" Type="http://schemas.openxmlformats.org/officeDocument/2006/relationships/hyperlink" Target="http://blog.aerobotics.co/" TargetMode="External"/><Relationship Id="rId669" Type="http://schemas.openxmlformats.org/officeDocument/2006/relationships/hyperlink" Target="https://tracxn.com/companies/xm6agTPHJTsy5TLoJUl2hGYlQ_MHN966ONWvP5vg6hU/tritonfoodworks.com" TargetMode="External"/><Relationship Id="rId876" Type="http://schemas.openxmlformats.org/officeDocument/2006/relationships/hyperlink" Target="http://facebook.com/lishaborakenya" TargetMode="External"/><Relationship Id="rId1299" Type="http://schemas.openxmlformats.org/officeDocument/2006/relationships/hyperlink" Target="https://greenfingersmobile.com/" TargetMode="External"/><Relationship Id="rId2252" Type="http://schemas.openxmlformats.org/officeDocument/2006/relationships/hyperlink" Target="http://facebook.com/pages/frontalrain-technologies/107119692688905" TargetMode="External"/><Relationship Id="rId224" Type="http://schemas.openxmlformats.org/officeDocument/2006/relationships/hyperlink" Target="https://genica.com.br/newsite/" TargetMode="External"/><Relationship Id="rId431" Type="http://schemas.openxmlformats.org/officeDocument/2006/relationships/hyperlink" Target="https://facebook.com/waycoolfoods" TargetMode="External"/><Relationship Id="rId529" Type="http://schemas.openxmlformats.org/officeDocument/2006/relationships/hyperlink" Target="https://twitter.com/greenfingersmo1" TargetMode="External"/><Relationship Id="rId736" Type="http://schemas.openxmlformats.org/officeDocument/2006/relationships/hyperlink" Target="https://linkedin.com/company/steak-tzartzar" TargetMode="External"/><Relationship Id="rId1061" Type="http://schemas.openxmlformats.org/officeDocument/2006/relationships/hyperlink" Target="https://tracxn.com/companies/gg4c66i_ij5AVcsDvIw7sFB31ck1OzEh_TTLdVgu3P8/mahyco.com" TargetMode="External"/><Relationship Id="rId1159" Type="http://schemas.openxmlformats.org/officeDocument/2006/relationships/hyperlink" Target="https://www.facebook.com/proximitydesigns/" TargetMode="External"/><Relationship Id="rId1366" Type="http://schemas.openxmlformats.org/officeDocument/2006/relationships/hyperlink" Target="https://www.freshboxx.in/" TargetMode="External"/><Relationship Id="rId2112" Type="http://schemas.openxmlformats.org/officeDocument/2006/relationships/hyperlink" Target="http://linkedin.com/company/jain-irrigation-systems-ltd-" TargetMode="External"/><Relationship Id="rId943" Type="http://schemas.openxmlformats.org/officeDocument/2006/relationships/hyperlink" Target="http://facebook.com/leafgrow" TargetMode="External"/><Relationship Id="rId1019" Type="http://schemas.openxmlformats.org/officeDocument/2006/relationships/hyperlink" Target="https://tracxn.com/companies/ngGwTiyLXqDE6QObaFfmQCLbVRjBT-Bp1GNe8f5J1cE/ninjacart.in" TargetMode="External"/><Relationship Id="rId1573" Type="http://schemas.openxmlformats.org/officeDocument/2006/relationships/hyperlink" Target="https://www.ugaoo.com/" TargetMode="External"/><Relationship Id="rId1780" Type="http://schemas.openxmlformats.org/officeDocument/2006/relationships/hyperlink" Target="http://cropin.com/blogs" TargetMode="External"/><Relationship Id="rId1878" Type="http://schemas.openxmlformats.org/officeDocument/2006/relationships/hyperlink" Target="http://linkedin.com/company/strider" TargetMode="External"/><Relationship Id="rId72" Type="http://schemas.openxmlformats.org/officeDocument/2006/relationships/hyperlink" Target="https://linkedin.com/company/chilibeli-pte-ltd/about" TargetMode="External"/><Relationship Id="rId803" Type="http://schemas.openxmlformats.org/officeDocument/2006/relationships/hyperlink" Target="http://5ufarm.com/" TargetMode="External"/><Relationship Id="rId1226" Type="http://schemas.openxmlformats.org/officeDocument/2006/relationships/hyperlink" Target="https://tracxn.com/companies/pmev_q6l96CRUePU67YJMgdn07cP1edKnSHkkpuYI_A/stellapps.com" TargetMode="External"/><Relationship Id="rId1433" Type="http://schemas.openxmlformats.org/officeDocument/2006/relationships/hyperlink" Target="https://tracxn.com/companies/5CBpnGh5RiFoAWyjWZL9gqxr8Tu8DCQVxo3e-o-ZX6M/trotrotractor.com" TargetMode="External"/><Relationship Id="rId1640" Type="http://schemas.openxmlformats.org/officeDocument/2006/relationships/hyperlink" Target="https://twitter.com/sea6energy" TargetMode="External"/><Relationship Id="rId1738" Type="http://schemas.openxmlformats.org/officeDocument/2006/relationships/hyperlink" Target="http://linkedin.com/company/living-box-project" TargetMode="External"/><Relationship Id="rId1500" Type="http://schemas.openxmlformats.org/officeDocument/2006/relationships/hyperlink" Target="https://www.linkedin.com/company/smartbeen" TargetMode="External"/><Relationship Id="rId1945" Type="http://schemas.openxmlformats.org/officeDocument/2006/relationships/hyperlink" Target="https://twitter.com/gramophone_ag" TargetMode="External"/><Relationship Id="rId1805" Type="http://schemas.openxmlformats.org/officeDocument/2006/relationships/hyperlink" Target="https://tracxn.com/companies/sJEw-u8hrxI_Am1-_uN-jzmjkZTlvJsGaS0qQ3I5eXE/ulinkorganics.com" TargetMode="External"/><Relationship Id="rId179" Type="http://schemas.openxmlformats.org/officeDocument/2006/relationships/hyperlink" Target="http://agrowaves.in/blog" TargetMode="External"/><Relationship Id="rId386" Type="http://schemas.openxmlformats.org/officeDocument/2006/relationships/hyperlink" Target="https://www.begreen.farm/" TargetMode="External"/><Relationship Id="rId593" Type="http://schemas.openxmlformats.org/officeDocument/2006/relationships/hyperlink" Target="https://tracxn.com/companies/iuTVjr_46lBwsWVpMTFNMaUU5oJstOHzTLNCLihZUww/freshokartz.com" TargetMode="External"/><Relationship Id="rId2067" Type="http://schemas.openxmlformats.org/officeDocument/2006/relationships/hyperlink" Target="https://www.origeneseeds.com/" TargetMode="External"/><Relationship Id="rId246" Type="http://schemas.openxmlformats.org/officeDocument/2006/relationships/hyperlink" Target="https://fasal.co/" TargetMode="External"/><Relationship Id="rId453" Type="http://schemas.openxmlformats.org/officeDocument/2006/relationships/hyperlink" Target="http://twitter.com/contact_ricult" TargetMode="External"/><Relationship Id="rId660" Type="http://schemas.openxmlformats.org/officeDocument/2006/relationships/hyperlink" Target="https://www.farmcrowdy.com/" TargetMode="External"/><Relationship Id="rId898" Type="http://schemas.openxmlformats.org/officeDocument/2006/relationships/hyperlink" Target="http://twitter.com/jivabhumi" TargetMode="External"/><Relationship Id="rId1083" Type="http://schemas.openxmlformats.org/officeDocument/2006/relationships/hyperlink" Target="https://www.efishery.com/" TargetMode="External"/><Relationship Id="rId1290" Type="http://schemas.openxmlformats.org/officeDocument/2006/relationships/hyperlink" Target="http://beehivesa.com/" TargetMode="External"/><Relationship Id="rId2134" Type="http://schemas.openxmlformats.org/officeDocument/2006/relationships/hyperlink" Target="http://facebook.com/pages/futuragene/173608519338440" TargetMode="External"/><Relationship Id="rId106" Type="http://schemas.openxmlformats.org/officeDocument/2006/relationships/hyperlink" Target="https://tracxn.com/companies/-kBulYs-dWUYgQKnfcYp3wVAE7CbLTRlFRxYAJN0Z3U/freshatheart.my" TargetMode="External"/><Relationship Id="rId313" Type="http://schemas.openxmlformats.org/officeDocument/2006/relationships/hyperlink" Target="https://www.occipitaltech.com/" TargetMode="External"/><Relationship Id="rId758" Type="http://schemas.openxmlformats.org/officeDocument/2006/relationships/hyperlink" Target="http://linkedin.com/company/gr%C3%A3o-direto" TargetMode="External"/><Relationship Id="rId965" Type="http://schemas.openxmlformats.org/officeDocument/2006/relationships/hyperlink" Target="http://facebook.com/fibsol" TargetMode="External"/><Relationship Id="rId1150" Type="http://schemas.openxmlformats.org/officeDocument/2006/relationships/hyperlink" Target="https://www.skymetweather.com/" TargetMode="External"/><Relationship Id="rId1388" Type="http://schemas.openxmlformats.org/officeDocument/2006/relationships/hyperlink" Target="https://www.cowlar.com/" TargetMode="External"/><Relationship Id="rId1595" Type="http://schemas.openxmlformats.org/officeDocument/2006/relationships/hyperlink" Target="http://www.fresh2ket.co/" TargetMode="External"/><Relationship Id="rId94" Type="http://schemas.openxmlformats.org/officeDocument/2006/relationships/hyperlink" Target="https://tracxn.com/companies/ZR1bbrVxBuLpLTAiuoUblPDnBH7kpil4p96DaTpxpGk/eliannc.com" TargetMode="External"/><Relationship Id="rId520" Type="http://schemas.openxmlformats.org/officeDocument/2006/relationships/hyperlink" Target="https://www.agreemarket.com/" TargetMode="External"/><Relationship Id="rId618" Type="http://schemas.openxmlformats.org/officeDocument/2006/relationships/hyperlink" Target="https://tracxn.com/companies/RKEKMfRmH1PQ_hEgu5_12QhJ1WIXqZjPpsQARPnSTx4/satsure.co" TargetMode="External"/><Relationship Id="rId825" Type="http://schemas.openxmlformats.org/officeDocument/2006/relationships/hyperlink" Target="https://biofishency.com/" TargetMode="External"/><Relationship Id="rId1248" Type="http://schemas.openxmlformats.org/officeDocument/2006/relationships/hyperlink" Target="https://tracxn.com/companies/yG1tnFials3y40o39p-TR3y2dQRktHYyDMhbe7d7ciY/twiga.ke" TargetMode="External"/><Relationship Id="rId1455" Type="http://schemas.openxmlformats.org/officeDocument/2006/relationships/hyperlink" Target="https://tracxn.com/companies/PNrRlxMFkk9LB9ZOU3LEFfiVSmuNOK3w67U2wdkGwdE/maoshucishen.com" TargetMode="External"/><Relationship Id="rId1662" Type="http://schemas.openxmlformats.org/officeDocument/2006/relationships/hyperlink" Target="https://tracxn.com/companies/rngYGOhCkvLAH_IBHh4sxcnNeIY991nHfyvNdqY2o-A/mosavali.org" TargetMode="External"/><Relationship Id="rId2201" Type="http://schemas.openxmlformats.org/officeDocument/2006/relationships/hyperlink" Target="http://www.advantaindia.com/" TargetMode="External"/><Relationship Id="rId1010" Type="http://schemas.openxmlformats.org/officeDocument/2006/relationships/hyperlink" Target="https://facebook.com/cropintech" TargetMode="External"/><Relationship Id="rId1108" Type="http://schemas.openxmlformats.org/officeDocument/2006/relationships/hyperlink" Target="https://www.boheco.org/" TargetMode="External"/><Relationship Id="rId1315" Type="http://schemas.openxmlformats.org/officeDocument/2006/relationships/hyperlink" Target="https://tracxn.com/companies/rjcFhAlqXjvvVodvt-zkyTD3VLCtRnv3F9yeTo3dlRY/gagogroup.cn" TargetMode="External"/><Relationship Id="rId1967" Type="http://schemas.openxmlformats.org/officeDocument/2006/relationships/hyperlink" Target="https://shellcatch.com/welcome/" TargetMode="External"/><Relationship Id="rId1522" Type="http://schemas.openxmlformats.org/officeDocument/2006/relationships/hyperlink" Target="https://www.linkedin.com/company/7956882?trk=prof-exp-company-name" TargetMode="External"/><Relationship Id="rId21" Type="http://schemas.openxmlformats.org/officeDocument/2006/relationships/hyperlink" Target="https://www.vegrow.in/" TargetMode="External"/><Relationship Id="rId2089" Type="http://schemas.openxmlformats.org/officeDocument/2006/relationships/hyperlink" Target="http://facebook.com/myagro.org" TargetMode="External"/><Relationship Id="rId268" Type="http://schemas.openxmlformats.org/officeDocument/2006/relationships/hyperlink" Target="https://linkedin.com/company/thekrishi/about" TargetMode="External"/><Relationship Id="rId475" Type="http://schemas.openxmlformats.org/officeDocument/2006/relationships/hyperlink" Target="https://tracxn.com/companies/SCSdPh2zeI0EWHcfBQr9hdCGPjz3PkOg5zcs3Yl0aoE/cultyvate.com" TargetMode="External"/><Relationship Id="rId682" Type="http://schemas.openxmlformats.org/officeDocument/2006/relationships/hyperlink" Target="http://nongtaowang.com/" TargetMode="External"/><Relationship Id="rId2156" Type="http://schemas.openxmlformats.org/officeDocument/2006/relationships/hyperlink" Target="https://www.eloancn.com/" TargetMode="External"/><Relationship Id="rId128" Type="http://schemas.openxmlformats.org/officeDocument/2006/relationships/hyperlink" Target="http://atlak.net/" TargetMode="External"/><Relationship Id="rId335" Type="http://schemas.openxmlformats.org/officeDocument/2006/relationships/hyperlink" Target="http://twitter.com/agri_app" TargetMode="External"/><Relationship Id="rId542" Type="http://schemas.openxmlformats.org/officeDocument/2006/relationships/hyperlink" Target="https://www.sensogenic.com/" TargetMode="External"/><Relationship Id="rId1172" Type="http://schemas.openxmlformats.org/officeDocument/2006/relationships/hyperlink" Target="http://www.linkedin.com/vsearch/p?f_CC=20582" TargetMode="External"/><Relationship Id="rId2016" Type="http://schemas.openxmlformats.org/officeDocument/2006/relationships/hyperlink" Target="http://blog.agronometrics.com/" TargetMode="External"/><Relationship Id="rId2223" Type="http://schemas.openxmlformats.org/officeDocument/2006/relationships/hyperlink" Target="https://tracxn.com/companies/ITXfotWYrzbub5X3B8EScXSKsAH9nIxJP2GQphW1oC8/greeniq.com" TargetMode="External"/><Relationship Id="rId402" Type="http://schemas.openxmlformats.org/officeDocument/2006/relationships/hyperlink" Target="https://linkedin.com/company/infishta/about" TargetMode="External"/><Relationship Id="rId1032" Type="http://schemas.openxmlformats.org/officeDocument/2006/relationships/hyperlink" Target="https://www.kilimo.com.ar/" TargetMode="External"/><Relationship Id="rId1989" Type="http://schemas.openxmlformats.org/officeDocument/2006/relationships/hyperlink" Target="http://facebook.com/myefarm" TargetMode="External"/><Relationship Id="rId1849" Type="http://schemas.openxmlformats.org/officeDocument/2006/relationships/hyperlink" Target="http://linkedin.com/company/agrosmart" TargetMode="External"/><Relationship Id="rId192" Type="http://schemas.openxmlformats.org/officeDocument/2006/relationships/hyperlink" Target="https://techshelta.com/" TargetMode="External"/><Relationship Id="rId1709" Type="http://schemas.openxmlformats.org/officeDocument/2006/relationships/hyperlink" Target="https://linkedin.com/company/bighaat-india" TargetMode="External"/><Relationship Id="rId1916" Type="http://schemas.openxmlformats.org/officeDocument/2006/relationships/hyperlink" Target="http://facebook.com/modisarapp" TargetMode="External"/><Relationship Id="rId2080" Type="http://schemas.openxmlformats.org/officeDocument/2006/relationships/hyperlink" Target="http://linkedin.com/company/netafim" TargetMode="External"/><Relationship Id="rId869" Type="http://schemas.openxmlformats.org/officeDocument/2006/relationships/hyperlink" Target="https://twitter.com/tierrademonte" TargetMode="External"/><Relationship Id="rId1499" Type="http://schemas.openxmlformats.org/officeDocument/2006/relationships/hyperlink" Target="http://smartbeen.com/" TargetMode="External"/><Relationship Id="rId729" Type="http://schemas.openxmlformats.org/officeDocument/2006/relationships/hyperlink" Target="https://tracxn.com/companies/ljD2_vlr72Jw-cIR2TJ64exDKeQTby1iCaqVizKa8dw/aibono.com" TargetMode="External"/><Relationship Id="rId1359" Type="http://schemas.openxmlformats.org/officeDocument/2006/relationships/hyperlink" Target="https://www.tradeghana.co/" TargetMode="External"/><Relationship Id="rId936" Type="http://schemas.openxmlformats.org/officeDocument/2006/relationships/hyperlink" Target="http://linkedin.com/company/eirene-solutions" TargetMode="External"/><Relationship Id="rId1219" Type="http://schemas.openxmlformats.org/officeDocument/2006/relationships/hyperlink" Target="https://tracxn.com/companies/zgmJ8W_8Q0opRAhO4WvMcMFUiMYkcEotP0y0ugTN2t4/barrix.in" TargetMode="External"/><Relationship Id="rId1566" Type="http://schemas.openxmlformats.org/officeDocument/2006/relationships/hyperlink" Target="http://www.yunfarm.cn/" TargetMode="External"/><Relationship Id="rId1773" Type="http://schemas.openxmlformats.org/officeDocument/2006/relationships/hyperlink" Target="https://www.greenonyx.biz/" TargetMode="External"/><Relationship Id="rId1980" Type="http://schemas.openxmlformats.org/officeDocument/2006/relationships/hyperlink" Target="http://www.qtlomics.com/" TargetMode="External"/><Relationship Id="rId65" Type="http://schemas.openxmlformats.org/officeDocument/2006/relationships/hyperlink" Target="https://linkedin.com/company/agrourbana/about" TargetMode="External"/><Relationship Id="rId1426" Type="http://schemas.openxmlformats.org/officeDocument/2006/relationships/hyperlink" Target="https://facebook.com/crofarm.co" TargetMode="External"/><Relationship Id="rId1633" Type="http://schemas.openxmlformats.org/officeDocument/2006/relationships/hyperlink" Target="http://mifugo.trade/" TargetMode="External"/><Relationship Id="rId1840" Type="http://schemas.openxmlformats.org/officeDocument/2006/relationships/hyperlink" Target="http://twitter.com/cultivandof" TargetMode="External"/><Relationship Id="rId1700" Type="http://schemas.openxmlformats.org/officeDocument/2006/relationships/hyperlink" Target="https://tracxn.com/companies/D7zICunVPceZWdzDRxGbTF50ZQifn4c0XpaRNhWwHxc/cropx.com" TargetMode="External"/><Relationship Id="rId379" Type="http://schemas.openxmlformats.org/officeDocument/2006/relationships/hyperlink" Target="http://facebook.com/khulaapp" TargetMode="External"/><Relationship Id="rId586" Type="http://schemas.openxmlformats.org/officeDocument/2006/relationships/hyperlink" Target="https://farmlink.in/" TargetMode="External"/><Relationship Id="rId793" Type="http://schemas.openxmlformats.org/officeDocument/2006/relationships/hyperlink" Target="https://www.livinfarms.com/" TargetMode="External"/><Relationship Id="rId2267" Type="http://schemas.openxmlformats.org/officeDocument/2006/relationships/hyperlink" Target="http://www.seedcogroup.com/" TargetMode="External"/><Relationship Id="rId239" Type="http://schemas.openxmlformats.org/officeDocument/2006/relationships/hyperlink" Target="https://tracxn.com/companies/CJlEIi9j-FB6zpEGbyWTxjyVLc8YT3VOLE_riaIIYO8/cricketone.asia" TargetMode="External"/><Relationship Id="rId446" Type="http://schemas.openxmlformats.org/officeDocument/2006/relationships/hyperlink" Target="http://linkedin.com/company/cowtribe" TargetMode="External"/><Relationship Id="rId653" Type="http://schemas.openxmlformats.org/officeDocument/2006/relationships/hyperlink" Target="https://facebook.com/lenterafrica" TargetMode="External"/><Relationship Id="rId1076" Type="http://schemas.openxmlformats.org/officeDocument/2006/relationships/hyperlink" Target="http://facebook.com/nilebot" TargetMode="External"/><Relationship Id="rId1283" Type="http://schemas.openxmlformats.org/officeDocument/2006/relationships/hyperlink" Target="http://twitter.com/synqe" TargetMode="External"/><Relationship Id="rId1490" Type="http://schemas.openxmlformats.org/officeDocument/2006/relationships/hyperlink" Target="https://twitter.com/theagrihub" TargetMode="External"/><Relationship Id="rId2127" Type="http://schemas.openxmlformats.org/officeDocument/2006/relationships/hyperlink" Target="http://linkedin.com/company/grow-fish-anywhere-gfa-ltd-" TargetMode="External"/><Relationship Id="rId306" Type="http://schemas.openxmlformats.org/officeDocument/2006/relationships/hyperlink" Target="http://digifarmz.com/blog" TargetMode="External"/><Relationship Id="rId860" Type="http://schemas.openxmlformats.org/officeDocument/2006/relationships/hyperlink" Target="https://tracxn.com/companies/If_JvYuqkXqkpxN6NBB-j71CrLf1FQIf7s4Pm5qsxOk/theflyingspark.com" TargetMode="External"/><Relationship Id="rId1143" Type="http://schemas.openxmlformats.org/officeDocument/2006/relationships/hyperlink" Target="http://www.linkedin.com/vsearch/p?f_CC=430100" TargetMode="External"/><Relationship Id="rId513" Type="http://schemas.openxmlformats.org/officeDocument/2006/relationships/hyperlink" Target="https://www.solinftec.com/" TargetMode="External"/><Relationship Id="rId720" Type="http://schemas.openxmlformats.org/officeDocument/2006/relationships/hyperlink" Target="https://www.linkedin.com/company/cowlar" TargetMode="External"/><Relationship Id="rId1350" Type="http://schemas.openxmlformats.org/officeDocument/2006/relationships/hyperlink" Target="https://www.crowde.co/" TargetMode="External"/><Relationship Id="rId1003" Type="http://schemas.openxmlformats.org/officeDocument/2006/relationships/hyperlink" Target="https://tracxn.com/companies/BaUrkCclf4IopTCtgcqO4_6ElPMDtBi_Cmyrm3CgsyA/aus.co.in" TargetMode="External"/><Relationship Id="rId1210" Type="http://schemas.openxmlformats.org/officeDocument/2006/relationships/hyperlink" Target="http://linkedin.com/company/eruvaka-technologies" TargetMode="External"/><Relationship Id="rId2191" Type="http://schemas.openxmlformats.org/officeDocument/2006/relationships/hyperlink" Target="https://twitter.com/algatech98" TargetMode="External"/><Relationship Id="rId163" Type="http://schemas.openxmlformats.org/officeDocument/2006/relationships/hyperlink" Target="https://tracxn.com/companies/EdP0qc0GbSrJGvalG6wDXmsGRn8JqEDJtGpQX9JSBEA/farmbee.in" TargetMode="External"/><Relationship Id="rId370" Type="http://schemas.openxmlformats.org/officeDocument/2006/relationships/hyperlink" Target="https://tracxn.com/companies/78RqFJ34lp6ebFuGThkn6hoJGLIvj-1VEH_SIJ4OOHY/scannerbovino.com" TargetMode="External"/><Relationship Id="rId2051" Type="http://schemas.openxmlformats.org/officeDocument/2006/relationships/hyperlink" Target="http://www.linkedin.com/vsearch/p?f_CC=2544428" TargetMode="External"/><Relationship Id="rId230" Type="http://schemas.openxmlformats.org/officeDocument/2006/relationships/hyperlink" Target="https://www.zimmerglobal.com/" TargetMode="External"/><Relationship Id="rId1677" Type="http://schemas.openxmlformats.org/officeDocument/2006/relationships/hyperlink" Target="http://twitter.com/revofarmltd" TargetMode="External"/><Relationship Id="rId1884" Type="http://schemas.openxmlformats.org/officeDocument/2006/relationships/hyperlink" Target="https://tracxn.com/companies/GuCUJry4nQXIDAZfbr68fXN3CrKyP3iIOfxh2trZq80/sumaagro.com" TargetMode="External"/><Relationship Id="rId907" Type="http://schemas.openxmlformats.org/officeDocument/2006/relationships/hyperlink" Target="https://www.instacrops.com/en/home/" TargetMode="External"/><Relationship Id="rId1537" Type="http://schemas.openxmlformats.org/officeDocument/2006/relationships/hyperlink" Target="http://xiangongshe.com/" TargetMode="External"/><Relationship Id="rId1744" Type="http://schemas.openxmlformats.org/officeDocument/2006/relationships/hyperlink" Target="https://facebook.com/aaravunmannedsystems" TargetMode="External"/><Relationship Id="rId1951" Type="http://schemas.openxmlformats.org/officeDocument/2006/relationships/hyperlink" Target="https://tracxn.com/companies/U9jGNTr-_C8Pt5o3gYbYvTSdSfqNqghbqIjGCexOWrU/suryapowermagic.com" TargetMode="External"/><Relationship Id="rId36" Type="http://schemas.openxmlformats.org/officeDocument/2006/relationships/hyperlink" Target="https://tracxn.com/companies/Iw7Tb-_ztQgeByNmhPxptV_hh0FXlifL6o9IMVbubs8/neerx.in" TargetMode="External"/><Relationship Id="rId1604" Type="http://schemas.openxmlformats.org/officeDocument/2006/relationships/hyperlink" Target="https://buscagro.cl/blog" TargetMode="External"/><Relationship Id="rId1811" Type="http://schemas.openxmlformats.org/officeDocument/2006/relationships/hyperlink" Target="http://nubesol.co.in/" TargetMode="External"/><Relationship Id="rId697" Type="http://schemas.openxmlformats.org/officeDocument/2006/relationships/hyperlink" Target="https://www.freshboxx.in/" TargetMode="External"/><Relationship Id="rId1187" Type="http://schemas.openxmlformats.org/officeDocument/2006/relationships/hyperlink" Target="https://facebook.com/fieldintech" TargetMode="External"/><Relationship Id="rId557" Type="http://schemas.openxmlformats.org/officeDocument/2006/relationships/hyperlink" Target="http://linkedin.com/company/13465673" TargetMode="External"/><Relationship Id="rId764" Type="http://schemas.openxmlformats.org/officeDocument/2006/relationships/hyperlink" Target="http://linkedin.com/company/komaza" TargetMode="External"/><Relationship Id="rId971" Type="http://schemas.openxmlformats.org/officeDocument/2006/relationships/hyperlink" Target="https://tracxn.com/companies/x9zmhuKaE9xULfTOpJtGd3u-2cy624Q0PulsrIZNX2A/bighaat.com" TargetMode="External"/><Relationship Id="rId1394" Type="http://schemas.openxmlformats.org/officeDocument/2006/relationships/hyperlink" Target="https://twitter.com/ghalaniapp" TargetMode="External"/><Relationship Id="rId2238" Type="http://schemas.openxmlformats.org/officeDocument/2006/relationships/hyperlink" Target="http://twitter.com/barrixagrosci" TargetMode="External"/><Relationship Id="rId417" Type="http://schemas.openxmlformats.org/officeDocument/2006/relationships/hyperlink" Target="https://tracxn.com/companies/oM2LWV1DBAibNdFTYpQUSbaeW9nT2DIze2xgZy2jluo/famunera.com" TargetMode="External"/><Relationship Id="rId624" Type="http://schemas.openxmlformats.org/officeDocument/2006/relationships/hyperlink" Target="https://www.habibigarden.com/" TargetMode="External"/><Relationship Id="rId831" Type="http://schemas.openxmlformats.org/officeDocument/2006/relationships/hyperlink" Target="https://equi-nom.com/" TargetMode="External"/><Relationship Id="rId1047" Type="http://schemas.openxmlformats.org/officeDocument/2006/relationships/hyperlink" Target="http://facebook.com/cultivandofuturo" TargetMode="External"/><Relationship Id="rId1254" Type="http://schemas.openxmlformats.org/officeDocument/2006/relationships/hyperlink" Target="http://facebook.com/livlushindia" TargetMode="External"/><Relationship Id="rId1461" Type="http://schemas.openxmlformats.org/officeDocument/2006/relationships/hyperlink" Target="https://tracxn.com/companies/FjkD1R-75Bhyfth0eKhmIDXv92nWboQSvkFp2NZcG1E/wobblebase.in" TargetMode="External"/><Relationship Id="rId1114" Type="http://schemas.openxmlformats.org/officeDocument/2006/relationships/hyperlink" Target="https://www.freshworld.in/" TargetMode="External"/><Relationship Id="rId1321" Type="http://schemas.openxmlformats.org/officeDocument/2006/relationships/hyperlink" Target="https://linkedin.com/company/apollo-agriculture/about" TargetMode="External"/><Relationship Id="rId2095" Type="http://schemas.openxmlformats.org/officeDocument/2006/relationships/hyperlink" Target="http://twitter.com/mfarm_ke" TargetMode="External"/><Relationship Id="rId274" Type="http://schemas.openxmlformats.org/officeDocument/2006/relationships/hyperlink" Target="http://www.linkedin.com/vsearch/p?f_CC=680573" TargetMode="External"/><Relationship Id="rId481" Type="http://schemas.openxmlformats.org/officeDocument/2006/relationships/hyperlink" Target="https://facebook.com/bioestibas" TargetMode="External"/><Relationship Id="rId2162" Type="http://schemas.openxmlformats.org/officeDocument/2006/relationships/hyperlink" Target="http://facebook.com/ecozensolutions" TargetMode="External"/><Relationship Id="rId134" Type="http://schemas.openxmlformats.org/officeDocument/2006/relationships/hyperlink" Target="http://mysmartfarms.com/blog" TargetMode="External"/><Relationship Id="rId341" Type="http://schemas.openxmlformats.org/officeDocument/2006/relationships/hyperlink" Target="http://www.agropromonitor.com.br/" TargetMode="External"/><Relationship Id="rId2022" Type="http://schemas.openxmlformats.org/officeDocument/2006/relationships/hyperlink" Target="http://facebook.com/wrlpage" TargetMode="External"/><Relationship Id="rId201" Type="http://schemas.openxmlformats.org/officeDocument/2006/relationships/hyperlink" Target="https://facebook.com/farmpaltechlogipvtltd" TargetMode="External"/><Relationship Id="rId1788" Type="http://schemas.openxmlformats.org/officeDocument/2006/relationships/hyperlink" Target="https://tracxn.com/companies/ngGwTiyLXqDE6QObaFfmQCLbVRjBT-Bp1GNe8f5J1cE/ninjacart.in" TargetMode="External"/><Relationship Id="rId1995" Type="http://schemas.openxmlformats.org/officeDocument/2006/relationships/hyperlink" Target="http://blog.lessindustries.com/" TargetMode="External"/><Relationship Id="rId1648" Type="http://schemas.openxmlformats.org/officeDocument/2006/relationships/hyperlink" Target="http://twitter.com/liciousfoods" TargetMode="External"/><Relationship Id="rId1508" Type="http://schemas.openxmlformats.org/officeDocument/2006/relationships/hyperlink" Target="https://equi-nom.com/" TargetMode="External"/><Relationship Id="rId1855" Type="http://schemas.openxmlformats.org/officeDocument/2006/relationships/hyperlink" Target="https://tracxn.com/companies/WlOrS5vp4Q5KfG3PAktRnuiYGVTmb27p9Rc_5-LQ-lA/ymt.com" TargetMode="External"/><Relationship Id="rId1715" Type="http://schemas.openxmlformats.org/officeDocument/2006/relationships/hyperlink" Target="http://twitter.com/em3agri" TargetMode="External"/><Relationship Id="rId1922" Type="http://schemas.openxmlformats.org/officeDocument/2006/relationships/hyperlink" Target="https://facebook.com/pages/promip/155794327790798" TargetMode="External"/><Relationship Id="rId668" Type="http://schemas.openxmlformats.org/officeDocument/2006/relationships/hyperlink" Target="http://facebook.com/tritonfoodworks" TargetMode="External"/><Relationship Id="rId875" Type="http://schemas.openxmlformats.org/officeDocument/2006/relationships/hyperlink" Target="http://twitter.com/lishabora" TargetMode="External"/><Relationship Id="rId1298" Type="http://schemas.openxmlformats.org/officeDocument/2006/relationships/hyperlink" Target="https://tracxn.com/companies/uc-o7TzpUR4Q_DrjK0K8YQYsyQmDA_OVqMLI_VGS0X8/swastiagro.com" TargetMode="External"/><Relationship Id="rId528" Type="http://schemas.openxmlformats.org/officeDocument/2006/relationships/hyperlink" Target="https://linkedin.com/company/greenfingers-mobile" TargetMode="External"/><Relationship Id="rId735" Type="http://schemas.openxmlformats.org/officeDocument/2006/relationships/hyperlink" Target="https://hargol.com/" TargetMode="External"/><Relationship Id="rId942" Type="http://schemas.openxmlformats.org/officeDocument/2006/relationships/hyperlink" Target="http://twitter.com/leafgrowhq" TargetMode="External"/><Relationship Id="rId1158" Type="http://schemas.openxmlformats.org/officeDocument/2006/relationships/hyperlink" Target="http://twitter.com/proximitydesign" TargetMode="External"/><Relationship Id="rId1365" Type="http://schemas.openxmlformats.org/officeDocument/2006/relationships/hyperlink" Target="https://tracxn.com/companies/K1e_1hBahk03ge3csTJlhRa3G-xTrrOqhxfYiPuB9FQ/zzb518.com" TargetMode="External"/><Relationship Id="rId1572" Type="http://schemas.openxmlformats.org/officeDocument/2006/relationships/hyperlink" Target="https://tracxn.com/companies/WHFR9DEXsqizOqwF98tV-gdgZ7vQbGCfLNU3Al7Wl1Y/limakilo.id" TargetMode="External"/><Relationship Id="rId2209" Type="http://schemas.openxmlformats.org/officeDocument/2006/relationships/hyperlink" Target="http://lisa.co.id/" TargetMode="External"/><Relationship Id="rId1018" Type="http://schemas.openxmlformats.org/officeDocument/2006/relationships/hyperlink" Target="http://ninjacart.in/blog" TargetMode="External"/><Relationship Id="rId1225" Type="http://schemas.openxmlformats.org/officeDocument/2006/relationships/hyperlink" Target="http://stellapps.com/blogs" TargetMode="External"/><Relationship Id="rId1432" Type="http://schemas.openxmlformats.org/officeDocument/2006/relationships/hyperlink" Target="https://facebook.com/trotrotractor" TargetMode="External"/><Relationship Id="rId71" Type="http://schemas.openxmlformats.org/officeDocument/2006/relationships/hyperlink" Target="https://www.chilibeli.com/" TargetMode="External"/><Relationship Id="rId802" Type="http://schemas.openxmlformats.org/officeDocument/2006/relationships/hyperlink" Target="https://tracxn.com/companies/gBJQ6asY3nbc8l4JaPdIFKAglfh6eCPDdefSBY202V8/agrocenta.com" TargetMode="External"/><Relationship Id="rId178" Type="http://schemas.openxmlformats.org/officeDocument/2006/relationships/hyperlink" Target="http://facebook.com/agrowave" TargetMode="External"/><Relationship Id="rId385" Type="http://schemas.openxmlformats.org/officeDocument/2006/relationships/hyperlink" Target="https://tracxn.com/companies/Tu3RtgoVYZMXNUx8mDPdb9fOt6GymzyvXD2rrcRRcCc/ifarmer.asia" TargetMode="External"/><Relationship Id="rId592" Type="http://schemas.openxmlformats.org/officeDocument/2006/relationships/hyperlink" Target="http://facebook.com/freshokartz" TargetMode="External"/><Relationship Id="rId2066" Type="http://schemas.openxmlformats.org/officeDocument/2006/relationships/hyperlink" Target="http://www.linkedin.com/vsearch/p?f_CC=847800" TargetMode="External"/><Relationship Id="rId2273" Type="http://schemas.openxmlformats.org/officeDocument/2006/relationships/drawing" Target="../drawings/drawing10.xml"/><Relationship Id="rId245" Type="http://schemas.openxmlformats.org/officeDocument/2006/relationships/hyperlink" Target="https://tracxn.com/companies/--hVNaDs0YQUaemsmdhBipzG7RhvJZ6YL56qxXv6IVU/agro2o.com" TargetMode="External"/><Relationship Id="rId452" Type="http://schemas.openxmlformats.org/officeDocument/2006/relationships/hyperlink" Target="http://linkedin.com/company/ricult" TargetMode="External"/><Relationship Id="rId1082" Type="http://schemas.openxmlformats.org/officeDocument/2006/relationships/hyperlink" Target="http://www.linkedin.com/vsearch/p?f_CC=3823004" TargetMode="External"/><Relationship Id="rId2133" Type="http://schemas.openxmlformats.org/officeDocument/2006/relationships/hyperlink" Target="http://twitter.com/futuragene" TargetMode="External"/><Relationship Id="rId105" Type="http://schemas.openxmlformats.org/officeDocument/2006/relationships/hyperlink" Target="https://freshatheart.my/" TargetMode="External"/><Relationship Id="rId312" Type="http://schemas.openxmlformats.org/officeDocument/2006/relationships/hyperlink" Target="https://tracxn.com/companies/uAGOzWMtn7V2gfE0Ukt3JIweghqwOaBfHPBWZQyWP-c/ynxbst.com" TargetMode="External"/><Relationship Id="rId2200" Type="http://schemas.openxmlformats.org/officeDocument/2006/relationships/hyperlink" Target="http://www.linkedin.com/vsearch/p?f_CC=555424" TargetMode="External"/><Relationship Id="rId1899" Type="http://schemas.openxmlformats.org/officeDocument/2006/relationships/hyperlink" Target="https://drygair.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https://economictimes.indiatimes.com/news/economy/finance/private-equity-vc-investments-hit-record-high-of-48-billion-in-2019-report/articleshow/74190932.cms?from=mdr" TargetMode="External"/><Relationship Id="rId7" Type="http://schemas.openxmlformats.org/officeDocument/2006/relationships/drawing" Target="../drawings/drawing4.xml"/><Relationship Id="rId2" Type="http://schemas.openxmlformats.org/officeDocument/2006/relationships/hyperlink" Target="https://www.statista.com/statistics/1095957/global-venture-capita-funding-value-by-region/" TargetMode="External"/><Relationship Id="rId1" Type="http://schemas.openxmlformats.org/officeDocument/2006/relationships/hyperlink" Target="https://www.mckinsey.com/~/media/McKinsey/Industries/Private%20Equity%20and%20Principal%20Investors/Our%20Insights/Private%20markets%20come%20of%20age/Private-markets-come-of-age-McKinsey-Global-Private-Markets-Review-2019-vF.ashx" TargetMode="External"/><Relationship Id="rId6" Type="http://schemas.openxmlformats.org/officeDocument/2006/relationships/printerSettings" Target="../printerSettings/printerSettings3.bin"/><Relationship Id="rId5" Type="http://schemas.openxmlformats.org/officeDocument/2006/relationships/hyperlink" Target="https://research.agfunder.com/2015/AgFunder-AgTech-Investing-Report-2015.pdf" TargetMode="External"/><Relationship Id="rId4" Type="http://schemas.openxmlformats.org/officeDocument/2006/relationships/hyperlink" Target="https://research.agfunder.com/2015/AgFunder-AgTech-Investing-Report-2015.pdf"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602BD-50E1-4689-820A-A84E1CED390B}">
  <sheetPr>
    <tabColor theme="0" tint="-0.499984740745262"/>
  </sheetPr>
  <dimension ref="B1:C6"/>
  <sheetViews>
    <sheetView showGridLines="0" tabSelected="1" zoomScale="74" workbookViewId="0">
      <selection activeCell="F24" sqref="F24"/>
    </sheetView>
  </sheetViews>
  <sheetFormatPr defaultColWidth="9.1796875" defaultRowHeight="14.5"/>
  <cols>
    <col min="1" max="1" width="3.81640625" style="69" customWidth="1"/>
    <col min="2" max="2" width="15.453125" style="69" customWidth="1"/>
    <col min="3" max="3" width="18.7265625" style="69" bestFit="1" customWidth="1"/>
    <col min="4" max="16384" width="9.1796875" style="69"/>
  </cols>
  <sheetData>
    <row r="1" spans="2:3" ht="3.75" customHeight="1"/>
    <row r="2" spans="2:3" ht="21">
      <c r="B2" s="70" t="s">
        <v>11005</v>
      </c>
    </row>
    <row r="3" spans="2:3" ht="18.5">
      <c r="B3" s="71" t="s">
        <v>11162</v>
      </c>
    </row>
    <row r="5" spans="2:3">
      <c r="B5" s="69" t="s">
        <v>11006</v>
      </c>
      <c r="C5" s="72" t="s">
        <v>11007</v>
      </c>
    </row>
    <row r="6" spans="2:3">
      <c r="B6" s="69" t="s">
        <v>11008</v>
      </c>
      <c r="C6" s="73">
        <f ca="1">TODAY()</f>
        <v>44410</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5CBCA-7E3D-402E-A4EB-4F825EFA848D}">
  <sheetPr>
    <tabColor theme="7" tint="0.59999389629810485"/>
  </sheetPr>
  <dimension ref="A2:P604"/>
  <sheetViews>
    <sheetView topLeftCell="A7" zoomScale="70" zoomScaleNormal="70" workbookViewId="0">
      <pane xSplit="2" ySplit="5" topLeftCell="C12" activePane="bottomRight" state="frozen"/>
      <selection activeCell="A7" sqref="A7"/>
      <selection pane="topRight" activeCell="C7" sqref="C7"/>
      <selection pane="bottomLeft" activeCell="A12" sqref="A12"/>
      <selection pane="bottomRight" activeCell="B12" sqref="B12"/>
    </sheetView>
  </sheetViews>
  <sheetFormatPr defaultColWidth="9.1796875" defaultRowHeight="13" outlineLevelRow="1"/>
  <cols>
    <col min="1" max="1" width="9.1796875" style="107"/>
    <col min="2" max="2" width="92" style="107" customWidth="1"/>
    <col min="3" max="3" width="56.7265625" style="107" customWidth="1"/>
    <col min="4" max="4" width="63.81640625" style="107" customWidth="1"/>
    <col min="5" max="5" width="28.7265625" style="107" customWidth="1"/>
    <col min="6" max="6" width="27.54296875" style="107" customWidth="1"/>
    <col min="7" max="16384" width="9.1796875" style="107"/>
  </cols>
  <sheetData>
    <row r="2" spans="1:16" s="69" customFormat="1" ht="14.5">
      <c r="B2" s="90" t="s">
        <v>11025</v>
      </c>
      <c r="D2" s="91"/>
    </row>
    <row r="3" spans="1:16" s="69" customFormat="1" ht="14.5" hidden="1" outlineLevel="1">
      <c r="B3" s="90" t="s">
        <v>11026</v>
      </c>
      <c r="D3" s="91"/>
    </row>
    <row r="4" spans="1:16" s="69" customFormat="1" ht="14.5" hidden="1" outlineLevel="1">
      <c r="B4" s="92" t="s">
        <v>11071</v>
      </c>
    </row>
    <row r="5" spans="1:16" s="69" customFormat="1" ht="14.5" hidden="1" outlineLevel="1">
      <c r="B5" s="92" t="s">
        <v>11072</v>
      </c>
    </row>
    <row r="6" spans="1:16" s="69" customFormat="1" ht="14.5" hidden="1" outlineLevel="1">
      <c r="B6" s="90" t="s">
        <v>11027</v>
      </c>
      <c r="C6" s="93"/>
      <c r="D6" s="93"/>
      <c r="E6" s="93"/>
      <c r="F6" s="93"/>
      <c r="G6" s="93"/>
      <c r="H6" s="93"/>
      <c r="I6" s="93"/>
      <c r="J6" s="93"/>
      <c r="K6" s="93"/>
      <c r="L6" s="93"/>
      <c r="M6" s="93"/>
      <c r="N6" s="93"/>
    </row>
    <row r="7" spans="1:16" s="69" customFormat="1" ht="14.5" outlineLevel="1">
      <c r="B7" s="253" t="s">
        <v>11073</v>
      </c>
      <c r="C7" s="253"/>
      <c r="D7" s="253"/>
      <c r="E7" s="253"/>
      <c r="F7" s="253"/>
      <c r="G7" s="93"/>
      <c r="H7" s="93"/>
      <c r="I7" s="93"/>
      <c r="J7" s="93"/>
      <c r="K7" s="93"/>
      <c r="L7" s="93"/>
      <c r="M7" s="93"/>
      <c r="N7" s="93"/>
    </row>
    <row r="8" spans="1:16" s="69" customFormat="1" ht="14.5">
      <c r="B8" s="94" t="s">
        <v>11028</v>
      </c>
      <c r="C8" s="183"/>
      <c r="D8" s="91"/>
      <c r="N8" s="91"/>
      <c r="O8" s="91"/>
      <c r="P8" s="91"/>
    </row>
    <row r="9" spans="1:16" s="69" customFormat="1" ht="14.5">
      <c r="B9" s="94"/>
      <c r="D9" s="91"/>
      <c r="N9" s="91"/>
      <c r="O9" s="91"/>
      <c r="P9" s="91"/>
    </row>
    <row r="10" spans="1:16" ht="14.5">
      <c r="B10" s="98" t="s">
        <v>11043</v>
      </c>
      <c r="C10" s="98"/>
      <c r="D10" s="98"/>
      <c r="E10" s="98"/>
      <c r="F10" s="98"/>
    </row>
    <row r="11" spans="1:16" ht="14.5">
      <c r="B11" s="102" t="s">
        <v>10969</v>
      </c>
      <c r="C11" s="109" t="s">
        <v>11086</v>
      </c>
      <c r="D11" s="109" t="s">
        <v>10472</v>
      </c>
      <c r="E11" s="109" t="s">
        <v>10473</v>
      </c>
      <c r="F11" s="204" t="s">
        <v>10468</v>
      </c>
    </row>
    <row r="12" spans="1:16" ht="14.5">
      <c r="A12" s="22"/>
      <c r="B12" s="103" t="s">
        <v>10842</v>
      </c>
      <c r="C12" s="144" t="s">
        <v>10974</v>
      </c>
      <c r="D12" s="104" t="s">
        <v>10975</v>
      </c>
      <c r="E12" s="103" t="s">
        <v>10972</v>
      </c>
      <c r="F12" s="103" t="s">
        <v>10973</v>
      </c>
    </row>
    <row r="13" spans="1:16" ht="14.5">
      <c r="A13" s="22"/>
      <c r="B13" s="103" t="s">
        <v>10846</v>
      </c>
      <c r="C13" s="144" t="s">
        <v>10974</v>
      </c>
      <c r="D13" s="104" t="s">
        <v>10976</v>
      </c>
      <c r="E13" s="103" t="s">
        <v>10982</v>
      </c>
      <c r="F13" s="103" t="s">
        <v>10981</v>
      </c>
    </row>
    <row r="14" spans="1:16" ht="14.5">
      <c r="A14" s="22"/>
      <c r="B14" s="103" t="s">
        <v>10821</v>
      </c>
      <c r="C14" s="144" t="s">
        <v>11163</v>
      </c>
      <c r="D14" s="104" t="s">
        <v>10971</v>
      </c>
      <c r="E14" s="103" t="s">
        <v>10972</v>
      </c>
      <c r="F14" s="103" t="s">
        <v>10973</v>
      </c>
    </row>
    <row r="15" spans="1:16" ht="14.5">
      <c r="A15" s="22"/>
      <c r="B15" s="103" t="s">
        <v>10759</v>
      </c>
      <c r="C15" s="144" t="s">
        <v>10978</v>
      </c>
      <c r="D15" s="104" t="s">
        <v>10979</v>
      </c>
      <c r="E15" s="103" t="s">
        <v>10980</v>
      </c>
      <c r="F15" s="103" t="s">
        <v>10981</v>
      </c>
    </row>
    <row r="16" spans="1:16" ht="14.5">
      <c r="A16" s="22"/>
      <c r="B16" s="103" t="s">
        <v>10861</v>
      </c>
      <c r="C16" s="144" t="s">
        <v>11002</v>
      </c>
      <c r="D16" s="104" t="s">
        <v>10987</v>
      </c>
      <c r="E16" s="103" t="s">
        <v>10980</v>
      </c>
      <c r="F16" s="103" t="s">
        <v>10981</v>
      </c>
    </row>
    <row r="17" spans="1:6" ht="14.5">
      <c r="A17" s="22"/>
      <c r="B17" s="103" t="s">
        <v>10718</v>
      </c>
      <c r="C17" s="144" t="s">
        <v>11164</v>
      </c>
      <c r="D17" s="104" t="s">
        <v>10983</v>
      </c>
      <c r="E17" s="103" t="s">
        <v>10982</v>
      </c>
      <c r="F17" s="103" t="s">
        <v>10973</v>
      </c>
    </row>
    <row r="18" spans="1:6" ht="14.5">
      <c r="A18" s="22"/>
      <c r="B18" s="103" t="s">
        <v>10963</v>
      </c>
      <c r="C18" s="144" t="s">
        <v>11116</v>
      </c>
      <c r="D18" s="104" t="s">
        <v>10984</v>
      </c>
      <c r="E18" s="103" t="s">
        <v>10985</v>
      </c>
      <c r="F18" s="103" t="s">
        <v>10977</v>
      </c>
    </row>
    <row r="19" spans="1:6" ht="14.5">
      <c r="A19" s="22"/>
      <c r="B19" s="103" t="s">
        <v>10819</v>
      </c>
      <c r="C19" s="144" t="s">
        <v>11163</v>
      </c>
      <c r="D19" s="104" t="s">
        <v>10971</v>
      </c>
      <c r="E19" s="103" t="s">
        <v>10985</v>
      </c>
      <c r="F19" s="103" t="s">
        <v>10973</v>
      </c>
    </row>
    <row r="20" spans="1:6" ht="14.5">
      <c r="A20" s="22"/>
      <c r="B20" s="103" t="s">
        <v>10774</v>
      </c>
      <c r="C20" s="144" t="s">
        <v>11087</v>
      </c>
      <c r="D20" s="104" t="s">
        <v>10986</v>
      </c>
      <c r="E20" s="103" t="s">
        <v>10982</v>
      </c>
      <c r="F20" s="103" t="s">
        <v>10973</v>
      </c>
    </row>
    <row r="21" spans="1:6" ht="14.5">
      <c r="A21" s="22"/>
      <c r="B21" s="103" t="s">
        <v>10776</v>
      </c>
      <c r="C21" s="144" t="s">
        <v>11165</v>
      </c>
      <c r="D21" s="104" t="s">
        <v>10988</v>
      </c>
      <c r="E21" s="103" t="s">
        <v>10985</v>
      </c>
      <c r="F21" s="103" t="s">
        <v>10958</v>
      </c>
    </row>
    <row r="22" spans="1:6" ht="14.5">
      <c r="A22" s="22"/>
      <c r="B22" s="103" t="s">
        <v>10770</v>
      </c>
      <c r="C22" s="144" t="s">
        <v>10974</v>
      </c>
      <c r="D22" s="104" t="s">
        <v>10976</v>
      </c>
      <c r="E22" s="103" t="s">
        <v>10982</v>
      </c>
      <c r="F22" s="103" t="s">
        <v>10981</v>
      </c>
    </row>
    <row r="23" spans="1:6" ht="14.5">
      <c r="A23" s="22"/>
      <c r="B23" s="103" t="s">
        <v>10852</v>
      </c>
      <c r="C23" s="144" t="s">
        <v>11163</v>
      </c>
      <c r="D23" s="104" t="s">
        <v>10958</v>
      </c>
      <c r="E23" s="103" t="s">
        <v>10982</v>
      </c>
      <c r="F23" s="103" t="s">
        <v>10973</v>
      </c>
    </row>
    <row r="24" spans="1:6" ht="14.5">
      <c r="A24" s="22"/>
      <c r="B24" s="103" t="s">
        <v>10784</v>
      </c>
      <c r="C24" s="144" t="s">
        <v>10974</v>
      </c>
      <c r="D24" s="104" t="s">
        <v>10976</v>
      </c>
      <c r="E24" s="103" t="s">
        <v>10982</v>
      </c>
      <c r="F24" s="103" t="s">
        <v>10981</v>
      </c>
    </row>
    <row r="25" spans="1:6" ht="14.5">
      <c r="A25" s="22"/>
      <c r="B25" s="103" t="s">
        <v>10766</v>
      </c>
      <c r="C25" s="144" t="s">
        <v>10989</v>
      </c>
      <c r="D25" s="104" t="s">
        <v>10990</v>
      </c>
      <c r="E25" s="103" t="s">
        <v>10982</v>
      </c>
      <c r="F25" s="103" t="s">
        <v>10981</v>
      </c>
    </row>
    <row r="26" spans="1:6" ht="14.5">
      <c r="A26" s="22"/>
      <c r="B26" s="103" t="s">
        <v>10712</v>
      </c>
      <c r="C26" s="144" t="s">
        <v>10992</v>
      </c>
      <c r="D26" s="104" t="s">
        <v>10991</v>
      </c>
      <c r="E26" s="103" t="s">
        <v>10980</v>
      </c>
      <c r="F26" s="103" t="s">
        <v>10977</v>
      </c>
    </row>
    <row r="27" spans="1:6" ht="14.5">
      <c r="A27" s="22"/>
      <c r="B27" s="103" t="s">
        <v>10993</v>
      </c>
      <c r="C27" s="210" t="s">
        <v>10994</v>
      </c>
      <c r="D27" s="106" t="s">
        <v>10995</v>
      </c>
      <c r="E27" s="105" t="s">
        <v>10982</v>
      </c>
      <c r="F27" s="105" t="s">
        <v>10977</v>
      </c>
    </row>
    <row r="28" spans="1:6" ht="14.5">
      <c r="A28" s="22"/>
      <c r="B28" s="103" t="s">
        <v>10715</v>
      </c>
      <c r="C28" s="210" t="s">
        <v>11168</v>
      </c>
      <c r="D28" s="106" t="s">
        <v>10996</v>
      </c>
      <c r="E28" s="105" t="s">
        <v>10982</v>
      </c>
      <c r="F28" s="105" t="s">
        <v>10977</v>
      </c>
    </row>
    <row r="29" spans="1:6" ht="14.5">
      <c r="A29" s="22"/>
      <c r="B29" s="103" t="s">
        <v>10765</v>
      </c>
      <c r="C29" s="144" t="s">
        <v>11169</v>
      </c>
      <c r="D29" s="106" t="s">
        <v>10986</v>
      </c>
      <c r="E29" s="105" t="s">
        <v>10982</v>
      </c>
      <c r="F29" s="105" t="s">
        <v>10977</v>
      </c>
    </row>
    <row r="30" spans="1:6" ht="14.5">
      <c r="A30" s="22"/>
      <c r="B30" s="103" t="s">
        <v>10517</v>
      </c>
      <c r="C30" s="144" t="s">
        <v>11163</v>
      </c>
      <c r="D30" s="104" t="s">
        <v>10958</v>
      </c>
      <c r="E30" s="103" t="s">
        <v>10982</v>
      </c>
      <c r="F30" s="103" t="s">
        <v>10973</v>
      </c>
    </row>
    <row r="31" spans="1:6" ht="14.5">
      <c r="A31" s="22"/>
      <c r="B31" s="103" t="s">
        <v>10706</v>
      </c>
      <c r="C31" s="144" t="s">
        <v>11166</v>
      </c>
      <c r="D31" s="104" t="s">
        <v>10984</v>
      </c>
      <c r="E31" s="105" t="s">
        <v>10982</v>
      </c>
      <c r="F31" s="103" t="s">
        <v>10973</v>
      </c>
    </row>
    <row r="32" spans="1:6" ht="14.5">
      <c r="A32" s="22"/>
      <c r="B32" s="103" t="s">
        <v>10726</v>
      </c>
      <c r="C32" s="144" t="s">
        <v>10992</v>
      </c>
      <c r="D32" s="104" t="s">
        <v>10991</v>
      </c>
      <c r="E32" s="103" t="s">
        <v>10980</v>
      </c>
      <c r="F32" s="103" t="s">
        <v>10977</v>
      </c>
    </row>
    <row r="33" spans="1:9" ht="14.5">
      <c r="A33" s="22"/>
      <c r="B33" s="103" t="s">
        <v>10961</v>
      </c>
      <c r="C33" s="144" t="s">
        <v>11169</v>
      </c>
      <c r="D33" s="106" t="s">
        <v>10986</v>
      </c>
      <c r="E33" s="105" t="s">
        <v>10982</v>
      </c>
      <c r="F33" s="105" t="s">
        <v>10977</v>
      </c>
    </row>
    <row r="34" spans="1:9" ht="14.5">
      <c r="A34" s="22"/>
      <c r="B34" s="103" t="s">
        <v>10965</v>
      </c>
      <c r="C34" s="144" t="s">
        <v>10997</v>
      </c>
      <c r="D34" s="104" t="s">
        <v>10998</v>
      </c>
      <c r="E34" s="105" t="s">
        <v>10982</v>
      </c>
      <c r="F34" s="103" t="s">
        <v>10981</v>
      </c>
    </row>
    <row r="35" spans="1:9" ht="14.5">
      <c r="A35" s="22"/>
      <c r="B35" s="103" t="s">
        <v>10966</v>
      </c>
      <c r="C35" s="144" t="s">
        <v>11167</v>
      </c>
      <c r="D35" s="104" t="s">
        <v>11123</v>
      </c>
      <c r="E35" s="105" t="s">
        <v>10982</v>
      </c>
      <c r="F35" s="105" t="s">
        <v>10977</v>
      </c>
    </row>
    <row r="36" spans="1:9" ht="14.5">
      <c r="A36" s="22"/>
      <c r="B36" s="103" t="s">
        <v>10780</v>
      </c>
      <c r="C36" s="210" t="s">
        <v>10999</v>
      </c>
      <c r="D36" s="106" t="s">
        <v>11000</v>
      </c>
      <c r="E36" s="105" t="s">
        <v>10980</v>
      </c>
      <c r="F36" s="105" t="s">
        <v>10977</v>
      </c>
    </row>
    <row r="37" spans="1:9" ht="14.5">
      <c r="A37" s="22"/>
      <c r="B37" s="103" t="s">
        <v>10848</v>
      </c>
      <c r="C37" s="144" t="s">
        <v>11163</v>
      </c>
      <c r="D37" s="104" t="s">
        <v>11001</v>
      </c>
      <c r="E37" s="105" t="s">
        <v>10985</v>
      </c>
      <c r="F37" s="105" t="s">
        <v>10977</v>
      </c>
    </row>
    <row r="38" spans="1:9" ht="14.5">
      <c r="A38" s="22"/>
      <c r="B38" s="103" t="s">
        <v>10870</v>
      </c>
      <c r="C38" s="144" t="s">
        <v>10999</v>
      </c>
      <c r="D38" s="106" t="s">
        <v>11000</v>
      </c>
      <c r="E38" s="105" t="s">
        <v>10980</v>
      </c>
      <c r="F38" s="105" t="s">
        <v>10977</v>
      </c>
    </row>
    <row r="39" spans="1:9" ht="14.5">
      <c r="A39" s="22"/>
      <c r="B39" s="103" t="s">
        <v>10813</v>
      </c>
      <c r="C39" s="210" t="s">
        <v>11002</v>
      </c>
      <c r="D39" s="106" t="s">
        <v>10996</v>
      </c>
      <c r="E39" s="105" t="s">
        <v>10980</v>
      </c>
      <c r="F39" s="105" t="s">
        <v>10977</v>
      </c>
    </row>
    <row r="40" spans="1:9" ht="14.5">
      <c r="B40" s="177" t="s">
        <v>10720</v>
      </c>
      <c r="C40" s="210" t="s">
        <v>11002</v>
      </c>
      <c r="D40" s="179" t="s">
        <v>10987</v>
      </c>
      <c r="E40" s="180" t="s">
        <v>10980</v>
      </c>
      <c r="F40" s="180" t="s">
        <v>10981</v>
      </c>
      <c r="H40" s="177"/>
      <c r="I40" s="177"/>
    </row>
    <row r="41" spans="1:9" ht="14.5">
      <c r="B41" s="177" t="s">
        <v>10768</v>
      </c>
      <c r="C41" s="210" t="s">
        <v>11167</v>
      </c>
      <c r="D41" s="179" t="s">
        <v>10996</v>
      </c>
      <c r="E41" s="178" t="s">
        <v>10982</v>
      </c>
      <c r="F41" s="180" t="s">
        <v>10977</v>
      </c>
      <c r="H41" s="177"/>
      <c r="I41" s="177"/>
    </row>
    <row r="42" spans="1:9" ht="14.5">
      <c r="B42" s="177" t="s">
        <v>10735</v>
      </c>
      <c r="C42" s="210" t="s">
        <v>10989</v>
      </c>
      <c r="D42" s="181" t="s">
        <v>11000</v>
      </c>
      <c r="E42" s="178" t="s">
        <v>10980</v>
      </c>
      <c r="F42" s="180" t="s">
        <v>10981</v>
      </c>
      <c r="H42" s="177"/>
      <c r="I42" s="177"/>
    </row>
    <row r="43" spans="1:9" ht="14.5">
      <c r="B43" s="177" t="s">
        <v>10709</v>
      </c>
      <c r="C43" s="144" t="s">
        <v>11112</v>
      </c>
      <c r="D43" s="182" t="s">
        <v>10991</v>
      </c>
      <c r="E43" s="180" t="s">
        <v>10980</v>
      </c>
      <c r="F43" s="180" t="s">
        <v>10977</v>
      </c>
      <c r="H43" s="177"/>
      <c r="I43" s="177"/>
    </row>
    <row r="44" spans="1:9" ht="14.5">
      <c r="B44" s="177" t="s">
        <v>10748</v>
      </c>
      <c r="C44" s="144" t="s">
        <v>11116</v>
      </c>
      <c r="D44" s="182" t="s">
        <v>10984</v>
      </c>
      <c r="E44" s="180" t="s">
        <v>10985</v>
      </c>
      <c r="F44" s="180" t="s">
        <v>10977</v>
      </c>
      <c r="H44" s="177"/>
      <c r="I44" s="177"/>
    </row>
    <row r="45" spans="1:9" ht="14.5">
      <c r="B45" s="177" t="s">
        <v>10794</v>
      </c>
      <c r="C45" s="210" t="s">
        <v>11167</v>
      </c>
      <c r="D45" s="179" t="s">
        <v>10996</v>
      </c>
      <c r="E45" s="178" t="s">
        <v>10982</v>
      </c>
      <c r="F45" s="180" t="s">
        <v>10977</v>
      </c>
      <c r="H45" s="177"/>
      <c r="I45" s="177"/>
    </row>
    <row r="46" spans="1:9" ht="14.5">
      <c r="B46" s="177" t="s">
        <v>10793</v>
      </c>
      <c r="C46" s="210" t="s">
        <v>11164</v>
      </c>
      <c r="D46" s="179" t="s">
        <v>10996</v>
      </c>
      <c r="E46" s="178" t="s">
        <v>10982</v>
      </c>
      <c r="F46" s="180" t="s">
        <v>10977</v>
      </c>
      <c r="H46" s="177"/>
      <c r="I46" s="177"/>
    </row>
    <row r="47" spans="1:9" ht="14.5">
      <c r="B47" s="177" t="s">
        <v>10728</v>
      </c>
      <c r="C47" s="210" t="s">
        <v>11002</v>
      </c>
      <c r="D47" s="179" t="s">
        <v>11115</v>
      </c>
      <c r="E47" s="180" t="s">
        <v>10980</v>
      </c>
      <c r="F47" s="180" t="s">
        <v>10981</v>
      </c>
      <c r="H47" s="177"/>
      <c r="I47" s="177"/>
    </row>
    <row r="48" spans="1:9" ht="14.5">
      <c r="B48" s="177" t="s">
        <v>10850</v>
      </c>
      <c r="C48" s="210" t="s">
        <v>11164</v>
      </c>
      <c r="D48" s="179" t="s">
        <v>10996</v>
      </c>
      <c r="E48" s="178" t="s">
        <v>10982</v>
      </c>
      <c r="F48" s="180" t="s">
        <v>10977</v>
      </c>
      <c r="H48" s="177"/>
      <c r="I48" s="177"/>
    </row>
    <row r="49" spans="1:9" ht="14.5">
      <c r="B49" s="177" t="s">
        <v>10857</v>
      </c>
      <c r="C49" s="210" t="s">
        <v>11165</v>
      </c>
      <c r="D49" s="177" t="s">
        <v>10987</v>
      </c>
      <c r="E49" s="180" t="s">
        <v>10980</v>
      </c>
      <c r="F49" s="180" t="s">
        <v>10981</v>
      </c>
      <c r="H49" s="177"/>
      <c r="I49" s="177"/>
    </row>
    <row r="50" spans="1:9" ht="14.5">
      <c r="B50" s="177" t="s">
        <v>10811</v>
      </c>
      <c r="C50" s="210" t="s">
        <v>11113</v>
      </c>
      <c r="D50" s="177" t="s">
        <v>11114</v>
      </c>
      <c r="E50" s="180" t="s">
        <v>10980</v>
      </c>
      <c r="F50" s="180" t="s">
        <v>10977</v>
      </c>
      <c r="H50" s="177"/>
      <c r="I50" s="177"/>
    </row>
    <row r="51" spans="1:9" ht="14.5">
      <c r="A51" s="22"/>
      <c r="B51" s="24" t="s">
        <v>10737</v>
      </c>
      <c r="C51" s="210" t="s">
        <v>11002</v>
      </c>
      <c r="D51" s="179" t="s">
        <v>11115</v>
      </c>
      <c r="E51" s="180" t="s">
        <v>10980</v>
      </c>
      <c r="F51" s="180" t="s">
        <v>10981</v>
      </c>
      <c r="H51" s="177"/>
      <c r="I51" s="177"/>
    </row>
    <row r="52" spans="1:9" ht="14.5">
      <c r="A52" s="22"/>
      <c r="B52" s="24" t="s">
        <v>10733</v>
      </c>
      <c r="C52" s="210" t="s">
        <v>10999</v>
      </c>
      <c r="D52" s="181" t="s">
        <v>11000</v>
      </c>
      <c r="E52" s="178" t="s">
        <v>10980</v>
      </c>
      <c r="F52" s="180" t="s">
        <v>10981</v>
      </c>
      <c r="H52" s="177"/>
      <c r="I52" s="177"/>
    </row>
    <row r="53" spans="1:9" ht="14.5">
      <c r="A53" s="22"/>
      <c r="B53" s="24" t="s">
        <v>10763</v>
      </c>
      <c r="C53" s="144" t="s">
        <v>10974</v>
      </c>
      <c r="D53" s="182" t="s">
        <v>10976</v>
      </c>
      <c r="E53" s="180" t="s">
        <v>10982</v>
      </c>
      <c r="F53" s="180" t="s">
        <v>10981</v>
      </c>
      <c r="H53" s="177"/>
      <c r="I53" s="177"/>
    </row>
    <row r="54" spans="1:9" ht="14.5">
      <c r="A54" s="22"/>
      <c r="B54" s="24" t="s">
        <v>10722</v>
      </c>
      <c r="C54" s="210" t="s">
        <v>11002</v>
      </c>
      <c r="D54" s="179" t="s">
        <v>10987</v>
      </c>
      <c r="E54" s="180" t="s">
        <v>10980</v>
      </c>
      <c r="F54" s="180" t="s">
        <v>10981</v>
      </c>
      <c r="H54" s="177"/>
      <c r="I54" s="177"/>
    </row>
    <row r="55" spans="1:9" ht="14.5">
      <c r="A55" s="22"/>
      <c r="B55" s="24" t="s">
        <v>10731</v>
      </c>
      <c r="C55" s="210" t="s">
        <v>10999</v>
      </c>
      <c r="D55" s="181" t="s">
        <v>11000</v>
      </c>
      <c r="E55" s="178" t="s">
        <v>10980</v>
      </c>
      <c r="F55" s="180" t="s">
        <v>10981</v>
      </c>
      <c r="H55" s="177"/>
      <c r="I55" s="177"/>
    </row>
    <row r="56" spans="1:9" ht="14.5">
      <c r="A56" s="22"/>
      <c r="B56" s="24" t="s">
        <v>10645</v>
      </c>
      <c r="C56" s="144" t="s">
        <v>11163</v>
      </c>
      <c r="D56" s="182" t="s">
        <v>10958</v>
      </c>
      <c r="E56" s="180" t="s">
        <v>10982</v>
      </c>
      <c r="F56" s="180" t="s">
        <v>10973</v>
      </c>
      <c r="H56" s="177"/>
      <c r="I56" s="177"/>
    </row>
    <row r="57" spans="1:9">
      <c r="B57" s="177"/>
      <c r="C57" s="177"/>
      <c r="D57" s="177"/>
      <c r="E57" s="177"/>
      <c r="F57" s="177"/>
      <c r="G57" s="177"/>
      <c r="H57" s="177"/>
      <c r="I57" s="177"/>
    </row>
    <row r="58" spans="1:9">
      <c r="B58" s="177"/>
      <c r="C58" s="177"/>
      <c r="D58" s="177"/>
      <c r="E58" s="177"/>
      <c r="F58" s="177"/>
      <c r="G58" s="177"/>
      <c r="H58" s="177"/>
      <c r="I58" s="177"/>
    </row>
    <row r="59" spans="1:9">
      <c r="B59" s="177"/>
      <c r="C59" s="177"/>
      <c r="D59" s="177"/>
      <c r="E59" s="177"/>
      <c r="F59" s="177"/>
      <c r="G59" s="177"/>
      <c r="H59" s="177"/>
      <c r="I59" s="177"/>
    </row>
    <row r="60" spans="1:9">
      <c r="B60" s="177"/>
      <c r="C60" s="177"/>
      <c r="D60" s="177"/>
      <c r="E60" s="177"/>
      <c r="F60" s="177"/>
      <c r="G60" s="177"/>
      <c r="H60" s="177"/>
      <c r="I60" s="177"/>
    </row>
    <row r="61" spans="1:9">
      <c r="B61" s="177"/>
      <c r="C61" s="177"/>
      <c r="D61" s="177"/>
      <c r="E61" s="177"/>
      <c r="F61" s="177"/>
      <c r="G61" s="177"/>
      <c r="H61" s="177"/>
      <c r="I61" s="177"/>
    </row>
    <row r="62" spans="1:9">
      <c r="B62" s="177"/>
      <c r="C62" s="177"/>
      <c r="D62" s="177"/>
      <c r="E62" s="177"/>
      <c r="F62" s="177"/>
      <c r="G62" s="177"/>
      <c r="H62" s="177"/>
      <c r="I62" s="177"/>
    </row>
    <row r="80" spans="2:2" ht="14.5">
      <c r="B80"/>
    </row>
    <row r="81" spans="2:2" ht="14.5">
      <c r="B81"/>
    </row>
    <row r="82" spans="2:2" ht="14.5">
      <c r="B82"/>
    </row>
    <row r="83" spans="2:2" ht="14.5">
      <c r="B83"/>
    </row>
    <row r="84" spans="2:2" ht="14.5">
      <c r="B84"/>
    </row>
    <row r="85" spans="2:2" ht="14.5">
      <c r="B85"/>
    </row>
    <row r="86" spans="2:2" ht="14.5">
      <c r="B86"/>
    </row>
    <row r="87" spans="2:2" ht="14.5">
      <c r="B87"/>
    </row>
    <row r="88" spans="2:2" ht="14.5">
      <c r="B88"/>
    </row>
    <row r="89" spans="2:2" ht="14.5">
      <c r="B89"/>
    </row>
    <row r="90" spans="2:2" ht="14.5">
      <c r="B90"/>
    </row>
    <row r="91" spans="2:2" ht="14.5">
      <c r="B91"/>
    </row>
    <row r="92" spans="2:2" ht="14.5">
      <c r="B92"/>
    </row>
    <row r="93" spans="2:2" ht="14.5">
      <c r="B93"/>
    </row>
    <row r="94" spans="2:2" ht="14.5">
      <c r="B94"/>
    </row>
    <row r="95" spans="2:2" ht="14.5">
      <c r="B95"/>
    </row>
    <row r="96" spans="2:2" ht="14.5">
      <c r="B96"/>
    </row>
    <row r="97" spans="2:2" ht="14.5">
      <c r="B97"/>
    </row>
    <row r="98" spans="2:2" ht="14.5">
      <c r="B98"/>
    </row>
    <row r="99" spans="2:2" ht="14.5">
      <c r="B99"/>
    </row>
    <row r="100" spans="2:2" ht="14.5">
      <c r="B100"/>
    </row>
    <row r="101" spans="2:2" ht="14.5">
      <c r="B101"/>
    </row>
    <row r="102" spans="2:2" ht="14.5">
      <c r="B102"/>
    </row>
    <row r="103" spans="2:2" ht="14.5">
      <c r="B103"/>
    </row>
    <row r="104" spans="2:2" ht="14.5">
      <c r="B104"/>
    </row>
    <row r="105" spans="2:2" ht="14.5">
      <c r="B105"/>
    </row>
    <row r="106" spans="2:2" ht="14.5">
      <c r="B106"/>
    </row>
    <row r="107" spans="2:2" ht="14.5">
      <c r="B107"/>
    </row>
    <row r="108" spans="2:2" ht="14.5">
      <c r="B108"/>
    </row>
    <row r="109" spans="2:2" ht="14.5">
      <c r="B109"/>
    </row>
    <row r="110" spans="2:2" ht="14.5">
      <c r="B110"/>
    </row>
    <row r="111" spans="2:2" ht="14.5">
      <c r="B111"/>
    </row>
    <row r="112" spans="2:2" ht="14.5">
      <c r="B112"/>
    </row>
    <row r="113" spans="2:2" ht="14.5">
      <c r="B113"/>
    </row>
    <row r="114" spans="2:2" ht="14.5">
      <c r="B114"/>
    </row>
    <row r="115" spans="2:2" ht="14.5">
      <c r="B115"/>
    </row>
    <row r="116" spans="2:2" ht="14.5">
      <c r="B116"/>
    </row>
    <row r="117" spans="2:2" ht="14.5">
      <c r="B117"/>
    </row>
    <row r="118" spans="2:2" ht="14.5">
      <c r="B118"/>
    </row>
    <row r="119" spans="2:2" ht="14.5">
      <c r="B119"/>
    </row>
    <row r="120" spans="2:2" ht="14.5">
      <c r="B120"/>
    </row>
    <row r="121" spans="2:2" ht="14.5">
      <c r="B121"/>
    </row>
    <row r="122" spans="2:2" ht="14.5">
      <c r="B122"/>
    </row>
    <row r="123" spans="2:2" ht="14.5">
      <c r="B123"/>
    </row>
    <row r="124" spans="2:2" ht="14.5">
      <c r="B124"/>
    </row>
    <row r="125" spans="2:2" ht="14.5">
      <c r="B125"/>
    </row>
    <row r="126" spans="2:2" ht="14.5">
      <c r="B126"/>
    </row>
    <row r="127" spans="2:2" ht="14.5">
      <c r="B127"/>
    </row>
    <row r="128" spans="2:2" ht="14.5">
      <c r="B128"/>
    </row>
    <row r="129" spans="2:2" ht="14.5">
      <c r="B129"/>
    </row>
    <row r="130" spans="2:2" ht="14.5">
      <c r="B130"/>
    </row>
    <row r="131" spans="2:2" ht="14.5">
      <c r="B131"/>
    </row>
    <row r="132" spans="2:2" ht="14.5">
      <c r="B132"/>
    </row>
    <row r="133" spans="2:2" ht="14.5">
      <c r="B133"/>
    </row>
    <row r="134" spans="2:2" ht="14.5">
      <c r="B134"/>
    </row>
    <row r="135" spans="2:2" ht="14.5">
      <c r="B135"/>
    </row>
    <row r="136" spans="2:2" ht="14.5">
      <c r="B136"/>
    </row>
    <row r="137" spans="2:2" ht="14.5">
      <c r="B137"/>
    </row>
    <row r="138" spans="2:2" ht="14.5">
      <c r="B138"/>
    </row>
    <row r="139" spans="2:2" ht="14.5">
      <c r="B139"/>
    </row>
    <row r="140" spans="2:2" ht="14.5">
      <c r="B140"/>
    </row>
    <row r="141" spans="2:2" ht="14.5">
      <c r="B141"/>
    </row>
    <row r="142" spans="2:2" ht="14.5">
      <c r="B142"/>
    </row>
    <row r="143" spans="2:2" ht="14.5">
      <c r="B143"/>
    </row>
    <row r="144" spans="2:2" ht="14.5">
      <c r="B144"/>
    </row>
    <row r="145" spans="2:2" ht="14.5">
      <c r="B145"/>
    </row>
    <row r="146" spans="2:2" ht="14.5">
      <c r="B146"/>
    </row>
    <row r="147" spans="2:2" ht="14.5">
      <c r="B147"/>
    </row>
    <row r="148" spans="2:2" ht="14.5">
      <c r="B148"/>
    </row>
    <row r="149" spans="2:2" ht="14.5">
      <c r="B149"/>
    </row>
    <row r="150" spans="2:2" ht="14.5">
      <c r="B150"/>
    </row>
    <row r="151" spans="2:2" ht="14.5">
      <c r="B151"/>
    </row>
    <row r="152" spans="2:2" ht="14.5">
      <c r="B152"/>
    </row>
    <row r="153" spans="2:2" ht="14.5">
      <c r="B153"/>
    </row>
    <row r="154" spans="2:2" ht="14.5">
      <c r="B154"/>
    </row>
    <row r="155" spans="2:2" ht="14.5">
      <c r="B155"/>
    </row>
    <row r="156" spans="2:2" ht="14.5">
      <c r="B156"/>
    </row>
    <row r="157" spans="2:2" ht="14.5">
      <c r="B157"/>
    </row>
    <row r="158" spans="2:2" ht="14.5">
      <c r="B158"/>
    </row>
    <row r="159" spans="2:2" ht="14.5">
      <c r="B159"/>
    </row>
    <row r="160" spans="2:2" ht="14.5">
      <c r="B160"/>
    </row>
    <row r="161" spans="2:2" ht="14.5">
      <c r="B161"/>
    </row>
    <row r="162" spans="2:2" ht="14.5">
      <c r="B162"/>
    </row>
    <row r="163" spans="2:2" ht="14.5">
      <c r="B163"/>
    </row>
    <row r="164" spans="2:2" ht="14.5">
      <c r="B164"/>
    </row>
    <row r="165" spans="2:2" ht="14.5">
      <c r="B165"/>
    </row>
    <row r="166" spans="2:2" ht="14.5">
      <c r="B166"/>
    </row>
    <row r="167" spans="2:2" ht="14.5">
      <c r="B167"/>
    </row>
    <row r="168" spans="2:2" ht="14.5">
      <c r="B168"/>
    </row>
    <row r="169" spans="2:2" ht="14.5">
      <c r="B169"/>
    </row>
    <row r="170" spans="2:2" ht="14.5">
      <c r="B170"/>
    </row>
    <row r="171" spans="2:2" ht="14.5">
      <c r="B171"/>
    </row>
    <row r="172" spans="2:2" ht="14.5">
      <c r="B172"/>
    </row>
    <row r="173" spans="2:2" ht="14.5">
      <c r="B173"/>
    </row>
    <row r="174" spans="2:2" ht="14.5">
      <c r="B174"/>
    </row>
    <row r="175" spans="2:2" ht="14.5">
      <c r="B175"/>
    </row>
    <row r="176" spans="2:2" ht="14.5">
      <c r="B176"/>
    </row>
    <row r="177" spans="2:2" ht="14.5">
      <c r="B177"/>
    </row>
    <row r="178" spans="2:2" ht="14.5">
      <c r="B178"/>
    </row>
    <row r="179" spans="2:2" ht="14.5">
      <c r="B179"/>
    </row>
    <row r="180" spans="2:2" ht="14.5">
      <c r="B180"/>
    </row>
    <row r="181" spans="2:2" ht="14.5">
      <c r="B181"/>
    </row>
    <row r="182" spans="2:2" ht="14.5">
      <c r="B182"/>
    </row>
    <row r="183" spans="2:2" ht="14.5">
      <c r="B183"/>
    </row>
    <row r="184" spans="2:2" ht="14.5">
      <c r="B184"/>
    </row>
    <row r="185" spans="2:2" ht="14.5">
      <c r="B185"/>
    </row>
    <row r="186" spans="2:2" ht="14.5">
      <c r="B186"/>
    </row>
    <row r="187" spans="2:2" ht="14.5">
      <c r="B187"/>
    </row>
    <row r="188" spans="2:2" ht="14.5">
      <c r="B188"/>
    </row>
    <row r="189" spans="2:2" ht="14.5">
      <c r="B189"/>
    </row>
    <row r="190" spans="2:2" ht="14.5">
      <c r="B190"/>
    </row>
    <row r="191" spans="2:2" ht="14.5">
      <c r="B191"/>
    </row>
    <row r="192" spans="2:2" ht="14.5">
      <c r="B192"/>
    </row>
    <row r="193" spans="2:2" ht="14.5">
      <c r="B193"/>
    </row>
    <row r="194" spans="2:2" ht="14.5">
      <c r="B194"/>
    </row>
    <row r="195" spans="2:2" ht="14.5">
      <c r="B195"/>
    </row>
    <row r="196" spans="2:2" ht="14.5">
      <c r="B196"/>
    </row>
    <row r="197" spans="2:2" ht="14.5">
      <c r="B197"/>
    </row>
    <row r="198" spans="2:2" ht="14.5">
      <c r="B198"/>
    </row>
    <row r="199" spans="2:2" ht="14.5">
      <c r="B199"/>
    </row>
    <row r="200" spans="2:2" ht="14.5">
      <c r="B200"/>
    </row>
    <row r="201" spans="2:2" ht="14.5">
      <c r="B201"/>
    </row>
    <row r="202" spans="2:2" ht="14.5">
      <c r="B202"/>
    </row>
    <row r="203" spans="2:2" ht="14.5">
      <c r="B203"/>
    </row>
    <row r="204" spans="2:2" ht="14.5">
      <c r="B204"/>
    </row>
    <row r="205" spans="2:2" ht="14.5">
      <c r="B205"/>
    </row>
    <row r="206" spans="2:2" ht="14.5">
      <c r="B206"/>
    </row>
    <row r="207" spans="2:2" ht="14.5">
      <c r="B207"/>
    </row>
    <row r="208" spans="2:2" ht="14.5">
      <c r="B208"/>
    </row>
    <row r="209" spans="2:2" ht="14.5">
      <c r="B209"/>
    </row>
    <row r="210" spans="2:2" ht="14.5">
      <c r="B210"/>
    </row>
    <row r="211" spans="2:2" ht="14.5">
      <c r="B211"/>
    </row>
    <row r="212" spans="2:2" ht="14.5">
      <c r="B212"/>
    </row>
    <row r="213" spans="2:2" ht="14.5">
      <c r="B213"/>
    </row>
    <row r="214" spans="2:2" ht="14.5">
      <c r="B214"/>
    </row>
    <row r="215" spans="2:2" ht="14.5">
      <c r="B215"/>
    </row>
    <row r="216" spans="2:2" ht="14.5">
      <c r="B216"/>
    </row>
    <row r="217" spans="2:2" ht="14.5">
      <c r="B217"/>
    </row>
    <row r="218" spans="2:2" ht="14.5">
      <c r="B218"/>
    </row>
    <row r="219" spans="2:2" ht="14.5">
      <c r="B219"/>
    </row>
    <row r="220" spans="2:2" ht="14.5">
      <c r="B220"/>
    </row>
    <row r="221" spans="2:2" ht="14.5">
      <c r="B221"/>
    </row>
    <row r="222" spans="2:2" ht="14.5">
      <c r="B222"/>
    </row>
    <row r="223" spans="2:2" ht="14.5">
      <c r="B223"/>
    </row>
    <row r="224" spans="2:2" ht="14.5">
      <c r="B224"/>
    </row>
    <row r="225" spans="2:2" ht="14.5">
      <c r="B225"/>
    </row>
    <row r="226" spans="2:2" ht="14.5">
      <c r="B226"/>
    </row>
    <row r="227" spans="2:2" ht="14.5">
      <c r="B227"/>
    </row>
    <row r="228" spans="2:2" ht="14.5">
      <c r="B228"/>
    </row>
    <row r="229" spans="2:2" ht="14.5">
      <c r="B229"/>
    </row>
    <row r="230" spans="2:2" ht="14.5">
      <c r="B230"/>
    </row>
    <row r="231" spans="2:2" ht="14.5">
      <c r="B231"/>
    </row>
    <row r="232" spans="2:2" ht="14.5">
      <c r="B232"/>
    </row>
    <row r="233" spans="2:2" ht="14.5">
      <c r="B233"/>
    </row>
    <row r="234" spans="2:2" ht="14.5">
      <c r="B234"/>
    </row>
    <row r="235" spans="2:2" ht="14.5">
      <c r="B235"/>
    </row>
    <row r="236" spans="2:2" ht="14.5">
      <c r="B236"/>
    </row>
    <row r="237" spans="2:2" ht="14.5">
      <c r="B237"/>
    </row>
    <row r="238" spans="2:2" ht="14.5">
      <c r="B238"/>
    </row>
    <row r="239" spans="2:2" ht="14.5">
      <c r="B239"/>
    </row>
    <row r="240" spans="2:2" ht="14.5">
      <c r="B240"/>
    </row>
    <row r="241" spans="2:2" ht="14.5">
      <c r="B241"/>
    </row>
    <row r="242" spans="2:2" ht="14.5">
      <c r="B242"/>
    </row>
    <row r="243" spans="2:2" ht="14.5">
      <c r="B243"/>
    </row>
    <row r="244" spans="2:2" ht="14.5">
      <c r="B244"/>
    </row>
    <row r="245" spans="2:2" ht="14.5">
      <c r="B245"/>
    </row>
    <row r="246" spans="2:2" ht="14.5">
      <c r="B246"/>
    </row>
    <row r="247" spans="2:2" ht="14.5">
      <c r="B247"/>
    </row>
    <row r="248" spans="2:2" ht="14.5">
      <c r="B248"/>
    </row>
    <row r="249" spans="2:2" ht="14.5">
      <c r="B249"/>
    </row>
    <row r="250" spans="2:2" ht="14.5">
      <c r="B250"/>
    </row>
    <row r="251" spans="2:2" ht="14.5">
      <c r="B251"/>
    </row>
    <row r="252" spans="2:2" ht="14.5">
      <c r="B252"/>
    </row>
    <row r="253" spans="2:2" ht="14.5">
      <c r="B253"/>
    </row>
    <row r="254" spans="2:2" ht="14.5">
      <c r="B254"/>
    </row>
    <row r="255" spans="2:2" ht="14.5">
      <c r="B255"/>
    </row>
    <row r="256" spans="2:2" ht="14.5">
      <c r="B256"/>
    </row>
    <row r="257" spans="2:2" ht="14.5">
      <c r="B257"/>
    </row>
    <row r="258" spans="2:2" ht="14.5">
      <c r="B258"/>
    </row>
    <row r="259" spans="2:2" ht="14.5">
      <c r="B259"/>
    </row>
    <row r="260" spans="2:2" ht="14.5">
      <c r="B260"/>
    </row>
    <row r="261" spans="2:2" ht="14.5">
      <c r="B261"/>
    </row>
    <row r="262" spans="2:2" ht="14.5">
      <c r="B262"/>
    </row>
    <row r="263" spans="2:2" ht="14.5">
      <c r="B263"/>
    </row>
    <row r="264" spans="2:2" ht="14.5">
      <c r="B264"/>
    </row>
    <row r="265" spans="2:2" ht="14.5">
      <c r="B265"/>
    </row>
    <row r="266" spans="2:2" ht="14.5">
      <c r="B266"/>
    </row>
    <row r="267" spans="2:2" ht="14.5">
      <c r="B267"/>
    </row>
    <row r="268" spans="2:2" ht="14.5">
      <c r="B268"/>
    </row>
    <row r="269" spans="2:2" ht="14.5">
      <c r="B269"/>
    </row>
    <row r="270" spans="2:2" ht="14.5">
      <c r="B270"/>
    </row>
    <row r="271" spans="2:2" ht="14.5">
      <c r="B271"/>
    </row>
    <row r="272" spans="2:2" ht="14.5">
      <c r="B272"/>
    </row>
    <row r="273" spans="2:2" ht="14.5">
      <c r="B273"/>
    </row>
    <row r="274" spans="2:2" ht="14.5">
      <c r="B274"/>
    </row>
    <row r="275" spans="2:2" ht="14.5">
      <c r="B275"/>
    </row>
    <row r="276" spans="2:2" ht="14.5">
      <c r="B276"/>
    </row>
    <row r="277" spans="2:2" ht="14.5">
      <c r="B277"/>
    </row>
    <row r="278" spans="2:2" ht="14.5">
      <c r="B278"/>
    </row>
    <row r="279" spans="2:2" ht="14.5">
      <c r="B279"/>
    </row>
    <row r="280" spans="2:2" ht="14.5">
      <c r="B280"/>
    </row>
    <row r="281" spans="2:2" ht="14.5">
      <c r="B281"/>
    </row>
    <row r="282" spans="2:2" ht="14.5">
      <c r="B282"/>
    </row>
    <row r="283" spans="2:2" ht="14.5">
      <c r="B283"/>
    </row>
    <row r="284" spans="2:2" ht="14.5">
      <c r="B284"/>
    </row>
    <row r="285" spans="2:2" ht="14.5">
      <c r="B285"/>
    </row>
    <row r="286" spans="2:2" ht="14.5">
      <c r="B286"/>
    </row>
    <row r="287" spans="2:2" ht="14.5">
      <c r="B287"/>
    </row>
    <row r="288" spans="2:2" ht="14.5">
      <c r="B288"/>
    </row>
    <row r="289" spans="2:2" ht="14.5">
      <c r="B289"/>
    </row>
    <row r="290" spans="2:2" ht="14.5">
      <c r="B290"/>
    </row>
    <row r="291" spans="2:2" ht="14.5">
      <c r="B291"/>
    </row>
    <row r="292" spans="2:2" ht="14.5">
      <c r="B292"/>
    </row>
    <row r="293" spans="2:2" ht="14.5">
      <c r="B293"/>
    </row>
    <row r="294" spans="2:2" ht="14.5">
      <c r="B294"/>
    </row>
    <row r="295" spans="2:2" ht="14.5">
      <c r="B295"/>
    </row>
    <row r="296" spans="2:2" ht="14.5">
      <c r="B296"/>
    </row>
    <row r="297" spans="2:2" ht="14.5">
      <c r="B297"/>
    </row>
    <row r="298" spans="2:2" ht="14.5">
      <c r="B298"/>
    </row>
    <row r="299" spans="2:2" ht="14.5">
      <c r="B299"/>
    </row>
    <row r="300" spans="2:2" ht="14.5">
      <c r="B300"/>
    </row>
    <row r="301" spans="2:2" ht="14.5">
      <c r="B301"/>
    </row>
    <row r="302" spans="2:2" ht="14.5">
      <c r="B302"/>
    </row>
    <row r="303" spans="2:2" ht="14.5">
      <c r="B303"/>
    </row>
    <row r="304" spans="2:2" ht="14.5">
      <c r="B304"/>
    </row>
    <row r="305" spans="2:2" ht="14.5">
      <c r="B305"/>
    </row>
    <row r="306" spans="2:2" ht="14.5">
      <c r="B306"/>
    </row>
    <row r="307" spans="2:2" ht="14.5">
      <c r="B307"/>
    </row>
    <row r="308" spans="2:2" ht="14.5">
      <c r="B308"/>
    </row>
    <row r="309" spans="2:2" ht="14.5">
      <c r="B309"/>
    </row>
    <row r="310" spans="2:2" ht="14.5">
      <c r="B310"/>
    </row>
    <row r="311" spans="2:2" ht="14.5">
      <c r="B311"/>
    </row>
    <row r="312" spans="2:2" ht="14.5">
      <c r="B312"/>
    </row>
    <row r="313" spans="2:2" ht="14.5">
      <c r="B313"/>
    </row>
    <row r="314" spans="2:2" ht="14.5">
      <c r="B314"/>
    </row>
    <row r="315" spans="2:2" ht="14.5">
      <c r="B315"/>
    </row>
    <row r="316" spans="2:2" ht="14.5">
      <c r="B316"/>
    </row>
    <row r="317" spans="2:2" ht="14.5">
      <c r="B317"/>
    </row>
    <row r="318" spans="2:2" ht="14.5">
      <c r="B318"/>
    </row>
    <row r="319" spans="2:2" ht="14.5">
      <c r="B319"/>
    </row>
    <row r="320" spans="2:2" ht="14.5">
      <c r="B320"/>
    </row>
    <row r="321" spans="2:2" ht="14.5">
      <c r="B321"/>
    </row>
    <row r="322" spans="2:2" ht="14.5">
      <c r="B322"/>
    </row>
    <row r="323" spans="2:2" ht="14.5">
      <c r="B323"/>
    </row>
    <row r="324" spans="2:2" ht="14.5">
      <c r="B324"/>
    </row>
    <row r="325" spans="2:2" ht="14.5">
      <c r="B325"/>
    </row>
    <row r="326" spans="2:2" ht="14.5">
      <c r="B326"/>
    </row>
    <row r="327" spans="2:2" ht="14.5">
      <c r="B327"/>
    </row>
    <row r="328" spans="2:2" ht="14.5">
      <c r="B328"/>
    </row>
    <row r="329" spans="2:2" ht="14.5">
      <c r="B329"/>
    </row>
    <row r="330" spans="2:2" ht="14.5">
      <c r="B330"/>
    </row>
    <row r="331" spans="2:2" ht="14.5">
      <c r="B331"/>
    </row>
    <row r="332" spans="2:2" ht="14.5">
      <c r="B332"/>
    </row>
    <row r="333" spans="2:2" ht="14.5">
      <c r="B333"/>
    </row>
    <row r="334" spans="2:2" ht="14.5">
      <c r="B334"/>
    </row>
    <row r="335" spans="2:2" ht="14.5">
      <c r="B335"/>
    </row>
    <row r="336" spans="2:2" ht="14.5">
      <c r="B336"/>
    </row>
    <row r="337" spans="2:2" ht="14.5">
      <c r="B337"/>
    </row>
    <row r="338" spans="2:2" ht="14.5">
      <c r="B338"/>
    </row>
    <row r="339" spans="2:2" ht="14.5">
      <c r="B339"/>
    </row>
    <row r="340" spans="2:2" ht="14.5">
      <c r="B340"/>
    </row>
    <row r="341" spans="2:2" ht="14.5">
      <c r="B341"/>
    </row>
    <row r="342" spans="2:2" ht="14.5">
      <c r="B342"/>
    </row>
    <row r="343" spans="2:2" ht="14.5">
      <c r="B343"/>
    </row>
    <row r="344" spans="2:2" ht="14.5">
      <c r="B344"/>
    </row>
    <row r="345" spans="2:2" ht="14.5">
      <c r="B345"/>
    </row>
    <row r="346" spans="2:2" ht="14.5">
      <c r="B346"/>
    </row>
    <row r="347" spans="2:2" ht="14.5">
      <c r="B347"/>
    </row>
    <row r="348" spans="2:2" ht="14.5">
      <c r="B348"/>
    </row>
    <row r="349" spans="2:2" ht="14.5">
      <c r="B349"/>
    </row>
    <row r="350" spans="2:2" ht="14.5">
      <c r="B350"/>
    </row>
    <row r="351" spans="2:2" ht="14.5">
      <c r="B351"/>
    </row>
    <row r="352" spans="2:2" ht="14.5">
      <c r="B352"/>
    </row>
    <row r="353" spans="2:2" ht="14.5">
      <c r="B353"/>
    </row>
    <row r="354" spans="2:2" ht="14.5">
      <c r="B354"/>
    </row>
    <row r="355" spans="2:2" ht="14.5">
      <c r="B355"/>
    </row>
    <row r="356" spans="2:2" ht="14.5">
      <c r="B356"/>
    </row>
    <row r="357" spans="2:2" ht="14.5">
      <c r="B357"/>
    </row>
    <row r="358" spans="2:2" ht="14.5">
      <c r="B358"/>
    </row>
    <row r="359" spans="2:2" ht="14.5">
      <c r="B359"/>
    </row>
    <row r="360" spans="2:2" ht="14.5">
      <c r="B360"/>
    </row>
    <row r="361" spans="2:2" ht="14.5">
      <c r="B361"/>
    </row>
    <row r="362" spans="2:2" ht="14.5">
      <c r="B362"/>
    </row>
    <row r="363" spans="2:2" ht="14.5">
      <c r="B363"/>
    </row>
    <row r="364" spans="2:2" ht="14.5">
      <c r="B364"/>
    </row>
    <row r="365" spans="2:2" ht="14.5">
      <c r="B365"/>
    </row>
    <row r="366" spans="2:2" ht="14.5">
      <c r="B366"/>
    </row>
    <row r="367" spans="2:2" ht="14.5">
      <c r="B367"/>
    </row>
    <row r="368" spans="2:2" ht="14.5">
      <c r="B368"/>
    </row>
    <row r="369" spans="2:2" ht="14.5">
      <c r="B369"/>
    </row>
    <row r="370" spans="2:2" ht="14.5">
      <c r="B370"/>
    </row>
    <row r="371" spans="2:2" ht="14.5">
      <c r="B371"/>
    </row>
    <row r="372" spans="2:2" ht="14.5">
      <c r="B372"/>
    </row>
    <row r="373" spans="2:2" ht="14.5">
      <c r="B373"/>
    </row>
    <row r="374" spans="2:2" ht="14.5">
      <c r="B374"/>
    </row>
    <row r="375" spans="2:2" ht="14.5">
      <c r="B375"/>
    </row>
    <row r="376" spans="2:2" ht="14.5">
      <c r="B376"/>
    </row>
    <row r="377" spans="2:2" ht="14.5">
      <c r="B377"/>
    </row>
    <row r="378" spans="2:2" ht="14.5">
      <c r="B378"/>
    </row>
    <row r="379" spans="2:2" ht="14.5">
      <c r="B379"/>
    </row>
    <row r="380" spans="2:2" ht="14.5">
      <c r="B380"/>
    </row>
    <row r="381" spans="2:2" ht="14.5">
      <c r="B381"/>
    </row>
    <row r="382" spans="2:2" ht="14.5">
      <c r="B382"/>
    </row>
    <row r="383" spans="2:2" ht="14.5">
      <c r="B383"/>
    </row>
    <row r="384" spans="2:2" ht="14.5">
      <c r="B384"/>
    </row>
    <row r="385" spans="2:2" ht="14.5">
      <c r="B385"/>
    </row>
    <row r="386" spans="2:2" ht="14.5">
      <c r="B386"/>
    </row>
    <row r="387" spans="2:2" ht="14.5">
      <c r="B387"/>
    </row>
    <row r="388" spans="2:2" ht="14.5">
      <c r="B388"/>
    </row>
    <row r="389" spans="2:2" ht="14.5">
      <c r="B389"/>
    </row>
    <row r="390" spans="2:2" ht="14.5">
      <c r="B390"/>
    </row>
    <row r="391" spans="2:2" ht="14.5">
      <c r="B391"/>
    </row>
    <row r="392" spans="2:2" ht="14.5">
      <c r="B392"/>
    </row>
    <row r="393" spans="2:2" ht="14.5">
      <c r="B393"/>
    </row>
    <row r="394" spans="2:2" ht="14.5">
      <c r="B394"/>
    </row>
    <row r="395" spans="2:2" ht="14.5">
      <c r="B395"/>
    </row>
    <row r="396" spans="2:2" ht="14.5">
      <c r="B396"/>
    </row>
    <row r="397" spans="2:2" ht="14.5">
      <c r="B397"/>
    </row>
    <row r="398" spans="2:2" ht="14.5">
      <c r="B398"/>
    </row>
    <row r="399" spans="2:2" ht="14.5">
      <c r="B399"/>
    </row>
    <row r="400" spans="2:2" ht="14.5">
      <c r="B400"/>
    </row>
    <row r="401" spans="2:2" ht="14.5">
      <c r="B401"/>
    </row>
    <row r="402" spans="2:2" ht="14.5">
      <c r="B402"/>
    </row>
    <row r="403" spans="2:2" ht="14.5">
      <c r="B403"/>
    </row>
    <row r="404" spans="2:2" ht="14.5">
      <c r="B404"/>
    </row>
    <row r="405" spans="2:2" ht="14.5">
      <c r="B405"/>
    </row>
    <row r="406" spans="2:2" ht="14.5">
      <c r="B406"/>
    </row>
    <row r="407" spans="2:2" ht="14.5">
      <c r="B407"/>
    </row>
    <row r="408" spans="2:2" ht="14.5">
      <c r="B408"/>
    </row>
    <row r="409" spans="2:2" ht="14.5">
      <c r="B409"/>
    </row>
    <row r="410" spans="2:2" ht="14.5">
      <c r="B410"/>
    </row>
    <row r="411" spans="2:2" ht="14.5">
      <c r="B411"/>
    </row>
    <row r="412" spans="2:2" ht="14.5">
      <c r="B412"/>
    </row>
    <row r="413" spans="2:2" ht="14.5">
      <c r="B413"/>
    </row>
    <row r="414" spans="2:2" ht="14.5">
      <c r="B414"/>
    </row>
    <row r="415" spans="2:2" ht="14.5">
      <c r="B415"/>
    </row>
    <row r="416" spans="2:2" ht="14.5">
      <c r="B416"/>
    </row>
    <row r="417" spans="2:2" ht="14.5">
      <c r="B417"/>
    </row>
    <row r="418" spans="2:2" ht="14.5">
      <c r="B418"/>
    </row>
    <row r="419" spans="2:2" ht="14.5">
      <c r="B419"/>
    </row>
    <row r="420" spans="2:2" ht="14.5">
      <c r="B420"/>
    </row>
    <row r="421" spans="2:2" ht="14.5">
      <c r="B421"/>
    </row>
    <row r="422" spans="2:2" ht="14.5">
      <c r="B422"/>
    </row>
    <row r="423" spans="2:2" ht="14.5">
      <c r="B423"/>
    </row>
    <row r="424" spans="2:2" ht="14.5">
      <c r="B424"/>
    </row>
    <row r="425" spans="2:2" ht="14.5">
      <c r="B425"/>
    </row>
    <row r="426" spans="2:2" ht="14.5">
      <c r="B426"/>
    </row>
    <row r="427" spans="2:2" ht="14.5">
      <c r="B427"/>
    </row>
    <row r="428" spans="2:2" ht="14.5">
      <c r="B428"/>
    </row>
    <row r="429" spans="2:2" ht="14.5">
      <c r="B429"/>
    </row>
    <row r="430" spans="2:2" ht="14.5">
      <c r="B430"/>
    </row>
    <row r="431" spans="2:2" ht="14.5">
      <c r="B431"/>
    </row>
    <row r="432" spans="2:2" ht="14.5">
      <c r="B432"/>
    </row>
    <row r="433" spans="2:2" ht="14.5">
      <c r="B433"/>
    </row>
    <row r="434" spans="2:2" ht="14.5">
      <c r="B434"/>
    </row>
    <row r="435" spans="2:2" ht="14.5">
      <c r="B435"/>
    </row>
    <row r="436" spans="2:2" ht="14.5">
      <c r="B436"/>
    </row>
    <row r="437" spans="2:2" ht="14.5">
      <c r="B437"/>
    </row>
    <row r="438" spans="2:2" ht="14.5">
      <c r="B438"/>
    </row>
    <row r="439" spans="2:2" ht="14.5">
      <c r="B439"/>
    </row>
    <row r="440" spans="2:2" ht="14.5">
      <c r="B440"/>
    </row>
    <row r="441" spans="2:2" ht="14.5">
      <c r="B441"/>
    </row>
    <row r="442" spans="2:2" ht="14.5">
      <c r="B442"/>
    </row>
    <row r="443" spans="2:2" ht="14.5">
      <c r="B443"/>
    </row>
    <row r="444" spans="2:2" ht="14.5">
      <c r="B444"/>
    </row>
    <row r="445" spans="2:2" ht="14.5">
      <c r="B445"/>
    </row>
    <row r="446" spans="2:2" ht="14.5">
      <c r="B446"/>
    </row>
    <row r="447" spans="2:2" ht="14.5">
      <c r="B447"/>
    </row>
    <row r="448" spans="2:2" ht="14.5">
      <c r="B448"/>
    </row>
    <row r="449" spans="2:2" ht="14.5">
      <c r="B449"/>
    </row>
    <row r="450" spans="2:2" ht="14.5">
      <c r="B450"/>
    </row>
    <row r="451" spans="2:2" ht="14.5">
      <c r="B451"/>
    </row>
    <row r="452" spans="2:2" ht="14.5">
      <c r="B452"/>
    </row>
    <row r="453" spans="2:2" ht="14.5">
      <c r="B453"/>
    </row>
    <row r="454" spans="2:2" ht="14.5">
      <c r="B454"/>
    </row>
    <row r="455" spans="2:2" ht="14.5">
      <c r="B455"/>
    </row>
    <row r="456" spans="2:2" ht="14.5">
      <c r="B456"/>
    </row>
    <row r="457" spans="2:2" ht="14.5">
      <c r="B457"/>
    </row>
    <row r="458" spans="2:2" ht="14.5">
      <c r="B458"/>
    </row>
    <row r="459" spans="2:2" ht="14.5">
      <c r="B459"/>
    </row>
    <row r="460" spans="2:2" ht="14.5">
      <c r="B460"/>
    </row>
    <row r="461" spans="2:2" ht="14.5">
      <c r="B461"/>
    </row>
    <row r="462" spans="2:2" ht="14.5">
      <c r="B462"/>
    </row>
    <row r="463" spans="2:2" ht="14.5">
      <c r="B463"/>
    </row>
    <row r="464" spans="2:2" ht="14.5">
      <c r="B464"/>
    </row>
    <row r="465" spans="2:2" ht="14.5">
      <c r="B465"/>
    </row>
    <row r="466" spans="2:2" ht="14.5">
      <c r="B466"/>
    </row>
    <row r="467" spans="2:2" ht="14.5">
      <c r="B467"/>
    </row>
    <row r="468" spans="2:2" ht="14.5">
      <c r="B468"/>
    </row>
    <row r="469" spans="2:2" ht="14.5">
      <c r="B469"/>
    </row>
    <row r="470" spans="2:2" ht="14.5">
      <c r="B470"/>
    </row>
    <row r="471" spans="2:2" ht="14.5">
      <c r="B471"/>
    </row>
    <row r="472" spans="2:2" ht="14.5">
      <c r="B472"/>
    </row>
    <row r="473" spans="2:2" ht="14.5">
      <c r="B473"/>
    </row>
    <row r="474" spans="2:2" ht="14.5">
      <c r="B474"/>
    </row>
    <row r="475" spans="2:2" ht="14.5">
      <c r="B475"/>
    </row>
    <row r="476" spans="2:2" ht="14.5">
      <c r="B476"/>
    </row>
    <row r="477" spans="2:2" ht="14.5">
      <c r="B477"/>
    </row>
    <row r="478" spans="2:2" ht="14.5">
      <c r="B478"/>
    </row>
    <row r="479" spans="2:2" ht="14.5">
      <c r="B479"/>
    </row>
    <row r="480" spans="2:2" ht="14.5">
      <c r="B480"/>
    </row>
    <row r="481" spans="2:2" ht="14.5">
      <c r="B481"/>
    </row>
    <row r="482" spans="2:2" ht="14.5">
      <c r="B482"/>
    </row>
    <row r="483" spans="2:2" ht="14.5">
      <c r="B483"/>
    </row>
    <row r="484" spans="2:2" ht="14.5">
      <c r="B484"/>
    </row>
    <row r="485" spans="2:2" ht="14.5">
      <c r="B485"/>
    </row>
    <row r="486" spans="2:2" ht="14.5">
      <c r="B486"/>
    </row>
    <row r="487" spans="2:2" ht="14.5">
      <c r="B487"/>
    </row>
    <row r="488" spans="2:2" ht="14.5">
      <c r="B488"/>
    </row>
    <row r="489" spans="2:2" ht="14.5">
      <c r="B489"/>
    </row>
    <row r="490" spans="2:2" ht="14.5">
      <c r="B490"/>
    </row>
    <row r="491" spans="2:2" ht="14.5">
      <c r="B491"/>
    </row>
    <row r="492" spans="2:2" ht="14.5">
      <c r="B492"/>
    </row>
    <row r="493" spans="2:2" ht="14.5">
      <c r="B493"/>
    </row>
    <row r="494" spans="2:2" ht="14.5">
      <c r="B494"/>
    </row>
    <row r="495" spans="2:2" ht="14.5">
      <c r="B495"/>
    </row>
    <row r="496" spans="2:2" ht="14.5">
      <c r="B496"/>
    </row>
    <row r="497" spans="2:2" ht="14.5">
      <c r="B497"/>
    </row>
    <row r="498" spans="2:2" ht="14.5">
      <c r="B498"/>
    </row>
    <row r="499" spans="2:2" ht="14.5">
      <c r="B499"/>
    </row>
    <row r="500" spans="2:2" ht="14.5">
      <c r="B500"/>
    </row>
    <row r="501" spans="2:2" ht="14.5">
      <c r="B501"/>
    </row>
    <row r="502" spans="2:2" ht="14.5">
      <c r="B502"/>
    </row>
    <row r="503" spans="2:2" ht="14.5">
      <c r="B503"/>
    </row>
    <row r="504" spans="2:2" ht="14.5">
      <c r="B504"/>
    </row>
    <row r="505" spans="2:2" ht="14.5">
      <c r="B505"/>
    </row>
    <row r="506" spans="2:2" ht="14.5">
      <c r="B506"/>
    </row>
    <row r="507" spans="2:2" ht="14.5">
      <c r="B507"/>
    </row>
    <row r="508" spans="2:2" ht="14.5">
      <c r="B508"/>
    </row>
    <row r="509" spans="2:2" ht="14.5">
      <c r="B509"/>
    </row>
    <row r="510" spans="2:2" ht="14.5">
      <c r="B510"/>
    </row>
    <row r="511" spans="2:2" ht="14.5">
      <c r="B511"/>
    </row>
    <row r="512" spans="2:2" ht="14.5">
      <c r="B512"/>
    </row>
    <row r="513" spans="2:2" ht="14.5">
      <c r="B513"/>
    </row>
    <row r="514" spans="2:2" ht="14.5">
      <c r="B514"/>
    </row>
    <row r="515" spans="2:2" ht="14.5">
      <c r="B515"/>
    </row>
    <row r="516" spans="2:2" ht="14.5">
      <c r="B516"/>
    </row>
    <row r="517" spans="2:2" ht="14.5">
      <c r="B517"/>
    </row>
    <row r="518" spans="2:2" ht="14.5">
      <c r="B518"/>
    </row>
    <row r="519" spans="2:2" ht="14.5">
      <c r="B519"/>
    </row>
    <row r="520" spans="2:2" ht="14.5">
      <c r="B520"/>
    </row>
    <row r="521" spans="2:2" ht="14.5">
      <c r="B521"/>
    </row>
    <row r="522" spans="2:2" ht="14.5">
      <c r="B522"/>
    </row>
    <row r="523" spans="2:2" ht="14.5">
      <c r="B523"/>
    </row>
    <row r="524" spans="2:2" ht="14.5">
      <c r="B524"/>
    </row>
    <row r="525" spans="2:2" ht="14.5">
      <c r="B525"/>
    </row>
    <row r="526" spans="2:2" ht="14.5">
      <c r="B526"/>
    </row>
    <row r="527" spans="2:2" ht="14.5">
      <c r="B527"/>
    </row>
    <row r="528" spans="2:2" ht="14.5">
      <c r="B528"/>
    </row>
    <row r="529" spans="2:2" ht="14.5">
      <c r="B529"/>
    </row>
    <row r="530" spans="2:2" ht="14.5">
      <c r="B530"/>
    </row>
    <row r="531" spans="2:2" ht="14.5">
      <c r="B531"/>
    </row>
    <row r="532" spans="2:2" ht="14.5">
      <c r="B532"/>
    </row>
    <row r="533" spans="2:2" ht="14.5">
      <c r="B533"/>
    </row>
    <row r="534" spans="2:2" ht="14.5">
      <c r="B534"/>
    </row>
    <row r="535" spans="2:2" ht="14.5">
      <c r="B535"/>
    </row>
    <row r="536" spans="2:2" ht="14.5">
      <c r="B536"/>
    </row>
    <row r="537" spans="2:2" ht="14.5">
      <c r="B537"/>
    </row>
    <row r="538" spans="2:2" ht="14.5">
      <c r="B538"/>
    </row>
    <row r="539" spans="2:2" ht="14.5">
      <c r="B539"/>
    </row>
    <row r="540" spans="2:2" ht="14.5">
      <c r="B540"/>
    </row>
    <row r="541" spans="2:2" ht="14.5">
      <c r="B541"/>
    </row>
    <row r="542" spans="2:2" ht="14.5">
      <c r="B542"/>
    </row>
    <row r="543" spans="2:2" ht="14.5">
      <c r="B543"/>
    </row>
    <row r="544" spans="2:2" ht="14.5">
      <c r="B544"/>
    </row>
    <row r="545" spans="2:2" ht="14.5">
      <c r="B545"/>
    </row>
    <row r="546" spans="2:2" ht="14.5">
      <c r="B546"/>
    </row>
    <row r="547" spans="2:2" ht="14.5">
      <c r="B547"/>
    </row>
    <row r="548" spans="2:2" ht="14.5">
      <c r="B548"/>
    </row>
    <row r="549" spans="2:2" ht="14.5">
      <c r="B549"/>
    </row>
    <row r="550" spans="2:2" ht="14.5">
      <c r="B550"/>
    </row>
    <row r="551" spans="2:2" ht="14.5">
      <c r="B551"/>
    </row>
    <row r="552" spans="2:2" ht="14.5">
      <c r="B552"/>
    </row>
    <row r="553" spans="2:2" ht="14.5">
      <c r="B553"/>
    </row>
    <row r="554" spans="2:2" ht="14.5">
      <c r="B554"/>
    </row>
    <row r="555" spans="2:2" ht="14.5">
      <c r="B555"/>
    </row>
    <row r="556" spans="2:2" ht="14.5">
      <c r="B556"/>
    </row>
    <row r="557" spans="2:2" ht="14.5">
      <c r="B557"/>
    </row>
    <row r="558" spans="2:2" ht="14.5">
      <c r="B558"/>
    </row>
    <row r="559" spans="2:2" ht="14.5">
      <c r="B559"/>
    </row>
    <row r="560" spans="2:2" ht="14.5">
      <c r="B560"/>
    </row>
    <row r="561" spans="2:2" ht="14.5">
      <c r="B561"/>
    </row>
    <row r="562" spans="2:2" ht="14.5">
      <c r="B562"/>
    </row>
    <row r="563" spans="2:2" ht="14.5">
      <c r="B563"/>
    </row>
    <row r="564" spans="2:2" ht="14.5">
      <c r="B564"/>
    </row>
    <row r="565" spans="2:2" ht="14.5">
      <c r="B565"/>
    </row>
    <row r="566" spans="2:2" ht="14.5">
      <c r="B566"/>
    </row>
    <row r="567" spans="2:2" ht="14.5">
      <c r="B567"/>
    </row>
    <row r="568" spans="2:2" ht="14.5">
      <c r="B568"/>
    </row>
    <row r="569" spans="2:2" ht="14.5">
      <c r="B569"/>
    </row>
    <row r="570" spans="2:2" ht="14.5">
      <c r="B570"/>
    </row>
    <row r="571" spans="2:2" ht="14.5">
      <c r="B571"/>
    </row>
    <row r="572" spans="2:2" ht="14.5">
      <c r="B572"/>
    </row>
    <row r="573" spans="2:2" ht="14.5">
      <c r="B573"/>
    </row>
    <row r="574" spans="2:2" ht="14.5">
      <c r="B574"/>
    </row>
    <row r="575" spans="2:2" ht="14.5">
      <c r="B575"/>
    </row>
    <row r="576" spans="2:2" ht="14.5">
      <c r="B576"/>
    </row>
    <row r="577" spans="2:2" ht="14.5">
      <c r="B577"/>
    </row>
    <row r="578" spans="2:2" ht="14.5">
      <c r="B578"/>
    </row>
    <row r="579" spans="2:2" ht="14.5">
      <c r="B579"/>
    </row>
    <row r="580" spans="2:2" ht="14.5">
      <c r="B580"/>
    </row>
    <row r="581" spans="2:2" ht="14.5">
      <c r="B581"/>
    </row>
    <row r="582" spans="2:2" ht="14.5">
      <c r="B582"/>
    </row>
    <row r="583" spans="2:2" ht="14.5">
      <c r="B583"/>
    </row>
    <row r="584" spans="2:2" ht="14.5">
      <c r="B584"/>
    </row>
    <row r="585" spans="2:2" ht="14.5">
      <c r="B585"/>
    </row>
    <row r="586" spans="2:2" ht="14.5">
      <c r="B586"/>
    </row>
    <row r="587" spans="2:2" ht="14.5">
      <c r="B587"/>
    </row>
    <row r="588" spans="2:2" ht="14.5">
      <c r="B588"/>
    </row>
    <row r="589" spans="2:2" ht="14.5">
      <c r="B589"/>
    </row>
    <row r="590" spans="2:2" ht="14.5">
      <c r="B590"/>
    </row>
    <row r="591" spans="2:2" ht="14.5">
      <c r="B591"/>
    </row>
    <row r="592" spans="2:2" ht="14.5">
      <c r="B592"/>
    </row>
    <row r="593" spans="2:2" ht="14.5">
      <c r="B593"/>
    </row>
    <row r="594" spans="2:2" ht="14.5">
      <c r="B594"/>
    </row>
    <row r="595" spans="2:2" ht="14.5">
      <c r="B595"/>
    </row>
    <row r="596" spans="2:2" ht="14.5">
      <c r="B596"/>
    </row>
    <row r="597" spans="2:2" ht="14.5">
      <c r="B597"/>
    </row>
    <row r="598" spans="2:2" ht="14.5">
      <c r="B598"/>
    </row>
    <row r="599" spans="2:2" ht="14.5">
      <c r="B599"/>
    </row>
    <row r="600" spans="2:2" ht="14.5">
      <c r="B600"/>
    </row>
    <row r="601" spans="2:2" ht="14.5">
      <c r="B601"/>
    </row>
    <row r="602" spans="2:2" ht="14.5">
      <c r="B602"/>
    </row>
    <row r="603" spans="2:2" ht="14.5">
      <c r="B603"/>
    </row>
    <row r="604" spans="2:2" ht="14.5">
      <c r="B604"/>
    </row>
  </sheetData>
  <mergeCells count="1">
    <mergeCell ref="B7:F7"/>
  </mergeCells>
  <conditionalFormatting sqref="B51:B57">
    <cfRule type="duplicateValues" dxfId="1" priority="3"/>
  </conditionalFormatting>
  <conditionalFormatting sqref="A51:A56">
    <cfRule type="duplicateValues" dxfId="0" priority="1"/>
  </conditionalFormatting>
  <pageMargins left="0.7" right="0.7" top="0.75" bottom="0.75" header="0.3" footer="0.3"/>
  <pageSetup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2:U891"/>
  <sheetViews>
    <sheetView showGridLines="0" topLeftCell="G122" workbookViewId="0">
      <selection activeCell="I161" sqref="I161"/>
    </sheetView>
  </sheetViews>
  <sheetFormatPr defaultRowHeight="14.5"/>
  <cols>
    <col min="1" max="1" width="9.1796875" style="20"/>
    <col min="3" max="3" width="12.1796875" customWidth="1"/>
    <col min="4" max="4" width="12.1796875" style="20" customWidth="1"/>
    <col min="5" max="5" width="19.1796875" customWidth="1"/>
    <col min="6" max="6" width="20.453125" customWidth="1"/>
    <col min="7" max="7" width="45.453125" customWidth="1"/>
    <col min="8" max="8" width="29" customWidth="1"/>
    <col min="9" max="9" width="54.453125" customWidth="1"/>
    <col min="10" max="10" width="31.26953125" customWidth="1"/>
    <col min="11" max="11" width="49.54296875" customWidth="1"/>
    <col min="12" max="12" width="12.1796875" customWidth="1"/>
    <col min="13" max="13" width="54.81640625" customWidth="1"/>
    <col min="14" max="14" width="19.453125" customWidth="1"/>
    <col min="15" max="16" width="55" customWidth="1"/>
    <col min="17" max="17" width="54.26953125" customWidth="1"/>
    <col min="18" max="18" width="16.1796875" customWidth="1"/>
    <col min="19" max="19" width="10.1796875" customWidth="1"/>
    <col min="20" max="20" width="15.1796875" customWidth="1"/>
    <col min="21" max="21" width="8.1796875" customWidth="1"/>
  </cols>
  <sheetData>
    <row r="2" spans="2:21" ht="26.15" customHeight="1">
      <c r="B2" s="1" t="s">
        <v>6</v>
      </c>
      <c r="C2" s="1" t="s">
        <v>7</v>
      </c>
      <c r="D2" s="1" t="s">
        <v>10448</v>
      </c>
      <c r="E2" s="1" t="s">
        <v>8</v>
      </c>
      <c r="F2" s="1" t="s">
        <v>9</v>
      </c>
      <c r="G2" s="1" t="s">
        <v>10</v>
      </c>
      <c r="H2" s="1" t="s">
        <v>11</v>
      </c>
      <c r="I2" s="1" t="s">
        <v>12</v>
      </c>
      <c r="J2" s="1" t="s">
        <v>13</v>
      </c>
      <c r="K2" s="1" t="s">
        <v>14</v>
      </c>
      <c r="L2" s="1" t="s">
        <v>15</v>
      </c>
      <c r="M2" s="1" t="s">
        <v>16</v>
      </c>
      <c r="N2" s="1" t="s">
        <v>17</v>
      </c>
      <c r="O2" s="1" t="s">
        <v>18</v>
      </c>
      <c r="P2" s="1" t="s">
        <v>19</v>
      </c>
      <c r="Q2" s="1" t="s">
        <v>20</v>
      </c>
      <c r="R2" s="1" t="s">
        <v>21</v>
      </c>
      <c r="S2" s="1" t="s">
        <v>22</v>
      </c>
      <c r="T2" s="1" t="s">
        <v>23</v>
      </c>
      <c r="U2" s="1" t="s">
        <v>24</v>
      </c>
    </row>
    <row r="3" spans="2:21" ht="26.15" hidden="1" customHeight="1">
      <c r="B3" s="2">
        <v>1</v>
      </c>
      <c r="C3" s="3">
        <v>44138</v>
      </c>
      <c r="D3" s="20">
        <v>2020</v>
      </c>
      <c r="E3" s="4" t="s">
        <v>25</v>
      </c>
      <c r="F3" s="5">
        <v>1000000</v>
      </c>
      <c r="G3" s="4" t="s">
        <v>26</v>
      </c>
      <c r="H3" s="4" t="s">
        <v>27</v>
      </c>
      <c r="I3" s="4" t="s">
        <v>28</v>
      </c>
      <c r="J3" s="4"/>
      <c r="K3" s="4" t="s">
        <v>29</v>
      </c>
      <c r="L3" s="2">
        <v>2015</v>
      </c>
      <c r="M3" s="4" t="s">
        <v>30</v>
      </c>
      <c r="N3" s="5">
        <v>30000000</v>
      </c>
      <c r="O3" s="4" t="s">
        <v>31</v>
      </c>
      <c r="P3" s="4" t="s">
        <v>32</v>
      </c>
      <c r="Q3" s="4" t="s">
        <v>33</v>
      </c>
      <c r="R3" s="4"/>
      <c r="S3" s="4"/>
      <c r="T3" s="4"/>
      <c r="U3" s="4"/>
    </row>
    <row r="4" spans="2:21" ht="26.15" hidden="1" customHeight="1">
      <c r="B4" s="2">
        <v>2</v>
      </c>
      <c r="C4" s="3">
        <v>44138</v>
      </c>
      <c r="D4" s="20">
        <v>2020</v>
      </c>
      <c r="E4" s="4" t="s">
        <v>34</v>
      </c>
      <c r="F4" s="5">
        <v>220000</v>
      </c>
      <c r="G4" s="4" t="s">
        <v>35</v>
      </c>
      <c r="H4" s="4" t="s">
        <v>36</v>
      </c>
      <c r="I4" s="4" t="s">
        <v>37</v>
      </c>
      <c r="J4" s="4"/>
      <c r="K4" s="4" t="s">
        <v>38</v>
      </c>
      <c r="L4" s="2">
        <v>2014</v>
      </c>
      <c r="M4" s="4" t="s">
        <v>39</v>
      </c>
      <c r="N4" s="5">
        <v>220000</v>
      </c>
      <c r="O4" s="4" t="s">
        <v>40</v>
      </c>
      <c r="P4" s="4" t="s">
        <v>41</v>
      </c>
      <c r="Q4" s="4"/>
      <c r="R4" s="4"/>
      <c r="S4" s="4"/>
      <c r="T4" s="4"/>
      <c r="U4" s="4"/>
    </row>
    <row r="5" spans="2:21" ht="26.15" hidden="1" customHeight="1">
      <c r="B5" s="2">
        <v>3</v>
      </c>
      <c r="C5" s="3">
        <v>44132</v>
      </c>
      <c r="D5" s="20">
        <v>2020</v>
      </c>
      <c r="E5" s="4" t="s">
        <v>34</v>
      </c>
      <c r="F5" s="5">
        <v>1273650</v>
      </c>
      <c r="G5" s="4" t="s">
        <v>42</v>
      </c>
      <c r="H5" s="4" t="s">
        <v>43</v>
      </c>
      <c r="I5" s="4" t="s">
        <v>44</v>
      </c>
      <c r="J5" s="4" t="s">
        <v>45</v>
      </c>
      <c r="K5" s="4" t="s">
        <v>46</v>
      </c>
      <c r="L5" s="2">
        <v>2017</v>
      </c>
      <c r="M5" s="4" t="s">
        <v>47</v>
      </c>
      <c r="N5" s="5">
        <v>3160468</v>
      </c>
      <c r="O5" s="4" t="s">
        <v>48</v>
      </c>
      <c r="P5" s="4" t="s">
        <v>49</v>
      </c>
      <c r="Q5" s="4"/>
      <c r="R5" s="4"/>
      <c r="S5" s="4"/>
      <c r="T5" s="4"/>
      <c r="U5" s="4"/>
    </row>
    <row r="6" spans="2:21" ht="26.15" hidden="1" customHeight="1">
      <c r="B6" s="2">
        <v>4</v>
      </c>
      <c r="C6" s="3">
        <v>44132</v>
      </c>
      <c r="D6" s="20">
        <v>2020</v>
      </c>
      <c r="E6" s="4" t="s">
        <v>34</v>
      </c>
      <c r="F6" s="5" t="s">
        <v>50</v>
      </c>
      <c r="G6" s="4" t="s">
        <v>51</v>
      </c>
      <c r="H6" s="4" t="s">
        <v>52</v>
      </c>
      <c r="I6" s="4" t="s">
        <v>53</v>
      </c>
      <c r="J6" s="4" t="s">
        <v>54</v>
      </c>
      <c r="K6" s="4" t="s">
        <v>55</v>
      </c>
      <c r="L6" s="2">
        <v>2019</v>
      </c>
      <c r="M6" s="4" t="s">
        <v>56</v>
      </c>
      <c r="N6" s="5"/>
      <c r="O6" s="4" t="s">
        <v>57</v>
      </c>
      <c r="P6" s="4" t="s">
        <v>58</v>
      </c>
      <c r="Q6" s="4"/>
      <c r="R6" s="4"/>
      <c r="S6" s="4"/>
      <c r="T6" s="4"/>
      <c r="U6" s="4"/>
    </row>
    <row r="7" spans="2:21" ht="26.15" hidden="1" customHeight="1">
      <c r="B7" s="2">
        <v>5</v>
      </c>
      <c r="C7" s="3">
        <v>44132</v>
      </c>
      <c r="D7" s="20">
        <v>2020</v>
      </c>
      <c r="E7" s="4" t="s">
        <v>34</v>
      </c>
      <c r="F7" s="5">
        <v>1400000</v>
      </c>
      <c r="G7" s="4" t="s">
        <v>59</v>
      </c>
      <c r="H7" s="4" t="s">
        <v>60</v>
      </c>
      <c r="I7" s="4" t="s">
        <v>61</v>
      </c>
      <c r="J7" s="4"/>
      <c r="K7" s="4" t="s">
        <v>62</v>
      </c>
      <c r="L7" s="2">
        <v>2016</v>
      </c>
      <c r="M7" s="4" t="s">
        <v>63</v>
      </c>
      <c r="N7" s="5">
        <v>1550000</v>
      </c>
      <c r="O7" s="4" t="s">
        <v>64</v>
      </c>
      <c r="P7" s="4" t="s">
        <v>65</v>
      </c>
      <c r="Q7" s="4"/>
      <c r="R7" s="4"/>
      <c r="S7" s="4"/>
      <c r="T7" s="4"/>
      <c r="U7" s="4"/>
    </row>
    <row r="8" spans="2:21" ht="26.15" customHeight="1">
      <c r="B8" s="2">
        <v>6</v>
      </c>
      <c r="C8" s="3">
        <v>44131</v>
      </c>
      <c r="D8" s="20">
        <v>2020</v>
      </c>
      <c r="E8" s="4" t="s">
        <v>25</v>
      </c>
      <c r="F8" s="5">
        <v>20000000</v>
      </c>
      <c r="G8" s="4" t="s">
        <v>66</v>
      </c>
      <c r="H8" s="4" t="s">
        <v>67</v>
      </c>
      <c r="I8" s="4" t="s">
        <v>68</v>
      </c>
      <c r="J8" s="4" t="s">
        <v>69</v>
      </c>
      <c r="K8" s="4" t="s">
        <v>70</v>
      </c>
      <c r="L8" s="2">
        <v>2016</v>
      </c>
      <c r="M8" s="4" t="s">
        <v>71</v>
      </c>
      <c r="N8" s="5">
        <v>31500000</v>
      </c>
      <c r="O8" s="4" t="s">
        <v>72</v>
      </c>
      <c r="P8" s="4" t="s">
        <v>73</v>
      </c>
      <c r="Q8" s="4"/>
      <c r="R8" s="4"/>
      <c r="S8" s="4"/>
      <c r="T8" s="4"/>
      <c r="U8" s="4"/>
    </row>
    <row r="9" spans="2:21" ht="26.15" hidden="1" customHeight="1">
      <c r="B9" s="2">
        <v>7</v>
      </c>
      <c r="C9" s="3">
        <v>44130</v>
      </c>
      <c r="D9" s="20">
        <v>2020</v>
      </c>
      <c r="E9" s="4" t="s">
        <v>25</v>
      </c>
      <c r="F9" s="5">
        <v>11000000</v>
      </c>
      <c r="G9" s="4" t="s">
        <v>74</v>
      </c>
      <c r="H9" s="4" t="s">
        <v>75</v>
      </c>
      <c r="I9" s="4" t="s">
        <v>76</v>
      </c>
      <c r="J9" s="4" t="s">
        <v>77</v>
      </c>
      <c r="K9" s="4" t="s">
        <v>78</v>
      </c>
      <c r="L9" s="2">
        <v>2015</v>
      </c>
      <c r="M9" s="4" t="s">
        <v>79</v>
      </c>
      <c r="N9" s="5">
        <v>36362460</v>
      </c>
      <c r="O9" s="4" t="s">
        <v>80</v>
      </c>
      <c r="P9" s="4" t="s">
        <v>81</v>
      </c>
      <c r="Q9" s="4"/>
      <c r="R9" s="4"/>
      <c r="S9" s="4"/>
      <c r="T9" s="4"/>
      <c r="U9" s="4"/>
    </row>
    <row r="10" spans="2:21" ht="26.15" hidden="1" customHeight="1">
      <c r="B10" s="2">
        <v>8</v>
      </c>
      <c r="C10" s="3">
        <v>44123</v>
      </c>
      <c r="D10" s="20">
        <v>2020</v>
      </c>
      <c r="E10" s="4" t="s">
        <v>34</v>
      </c>
      <c r="F10" s="5">
        <v>680328</v>
      </c>
      <c r="G10" s="4" t="s">
        <v>82</v>
      </c>
      <c r="H10" s="4" t="s">
        <v>83</v>
      </c>
      <c r="I10" s="4" t="s">
        <v>84</v>
      </c>
      <c r="J10" s="4"/>
      <c r="K10" s="4" t="s">
        <v>85</v>
      </c>
      <c r="L10" s="2"/>
      <c r="M10" s="4" t="s">
        <v>79</v>
      </c>
      <c r="N10" s="5">
        <v>680328</v>
      </c>
      <c r="O10" s="4" t="s">
        <v>86</v>
      </c>
      <c r="P10" s="4" t="s">
        <v>87</v>
      </c>
      <c r="Q10" s="4"/>
      <c r="R10" s="4"/>
      <c r="S10" s="4"/>
      <c r="T10" s="4"/>
      <c r="U10" s="4"/>
    </row>
    <row r="11" spans="2:21" ht="26.15" hidden="1" customHeight="1">
      <c r="B11" s="2">
        <v>9</v>
      </c>
      <c r="C11" s="3">
        <v>44117</v>
      </c>
      <c r="D11" s="20">
        <v>2020</v>
      </c>
      <c r="E11" s="4" t="s">
        <v>34</v>
      </c>
      <c r="F11" s="5" t="s">
        <v>50</v>
      </c>
      <c r="G11" s="4" t="s">
        <v>88</v>
      </c>
      <c r="H11" s="4" t="s">
        <v>89</v>
      </c>
      <c r="I11" s="4" t="s">
        <v>90</v>
      </c>
      <c r="J11" s="4"/>
      <c r="K11" s="4" t="s">
        <v>91</v>
      </c>
      <c r="L11" s="2">
        <v>2019</v>
      </c>
      <c r="M11" s="4" t="s">
        <v>92</v>
      </c>
      <c r="N11" s="5"/>
      <c r="O11" s="4" t="s">
        <v>93</v>
      </c>
      <c r="P11" s="4" t="s">
        <v>94</v>
      </c>
      <c r="Q11" s="4"/>
      <c r="R11" s="4"/>
      <c r="S11" s="4"/>
      <c r="T11" s="4"/>
      <c r="U11" s="4"/>
    </row>
    <row r="12" spans="2:21" ht="26.15" hidden="1" customHeight="1">
      <c r="B12" s="2">
        <v>10</v>
      </c>
      <c r="C12" s="3">
        <v>44116</v>
      </c>
      <c r="D12" s="20">
        <v>2020</v>
      </c>
      <c r="E12" s="4" t="s">
        <v>95</v>
      </c>
      <c r="F12" s="5" t="s">
        <v>50</v>
      </c>
      <c r="G12" s="4" t="s">
        <v>96</v>
      </c>
      <c r="H12" s="4" t="s">
        <v>97</v>
      </c>
      <c r="I12" s="4" t="s">
        <v>98</v>
      </c>
      <c r="J12" s="4"/>
      <c r="K12" s="4" t="s">
        <v>99</v>
      </c>
      <c r="L12" s="2">
        <v>2015</v>
      </c>
      <c r="M12" s="4" t="s">
        <v>79</v>
      </c>
      <c r="N12" s="5">
        <v>163285834</v>
      </c>
      <c r="O12" s="4" t="s">
        <v>100</v>
      </c>
      <c r="P12" s="4" t="s">
        <v>101</v>
      </c>
      <c r="Q12" s="4"/>
      <c r="R12" s="4"/>
      <c r="S12" s="4"/>
      <c r="T12" s="4"/>
      <c r="U12" s="4"/>
    </row>
    <row r="13" spans="2:21" ht="26.15" hidden="1" customHeight="1">
      <c r="B13" s="2">
        <v>11</v>
      </c>
      <c r="C13" s="3">
        <v>44111</v>
      </c>
      <c r="D13" s="20">
        <v>2020</v>
      </c>
      <c r="E13" s="4" t="s">
        <v>34</v>
      </c>
      <c r="F13" s="5">
        <v>1035150</v>
      </c>
      <c r="G13" s="4" t="s">
        <v>102</v>
      </c>
      <c r="H13" s="4" t="s">
        <v>103</v>
      </c>
      <c r="I13" s="4" t="s">
        <v>104</v>
      </c>
      <c r="J13" s="4"/>
      <c r="K13" s="4" t="s">
        <v>105</v>
      </c>
      <c r="L13" s="2">
        <v>2012</v>
      </c>
      <c r="M13" s="4" t="s">
        <v>106</v>
      </c>
      <c r="N13" s="5">
        <v>1035150</v>
      </c>
      <c r="O13" s="4" t="s">
        <v>107</v>
      </c>
      <c r="P13" s="4" t="s">
        <v>108</v>
      </c>
      <c r="Q13" s="4"/>
      <c r="R13" s="4"/>
      <c r="S13" s="4"/>
      <c r="T13" s="4"/>
      <c r="U13" s="4"/>
    </row>
    <row r="14" spans="2:21" ht="26.15" hidden="1" customHeight="1">
      <c r="B14" s="2">
        <v>12</v>
      </c>
      <c r="C14" s="3">
        <v>44111</v>
      </c>
      <c r="D14" s="20">
        <v>2020</v>
      </c>
      <c r="E14" s="4" t="s">
        <v>109</v>
      </c>
      <c r="F14" s="5">
        <v>4457650</v>
      </c>
      <c r="G14" s="4" t="s">
        <v>110</v>
      </c>
      <c r="H14" s="4" t="s">
        <v>111</v>
      </c>
      <c r="I14" s="4" t="s">
        <v>112</v>
      </c>
      <c r="J14" s="4"/>
      <c r="K14" s="4" t="s">
        <v>113</v>
      </c>
      <c r="L14" s="2">
        <v>2010</v>
      </c>
      <c r="M14" s="4" t="s">
        <v>79</v>
      </c>
      <c r="N14" s="5">
        <v>10726419</v>
      </c>
      <c r="O14" s="4" t="s">
        <v>114</v>
      </c>
      <c r="P14" s="4" t="s">
        <v>115</v>
      </c>
      <c r="Q14" s="4"/>
      <c r="R14" s="4"/>
      <c r="S14" s="4"/>
      <c r="T14" s="4"/>
      <c r="U14" s="4"/>
    </row>
    <row r="15" spans="2:21" ht="26.15" hidden="1" customHeight="1">
      <c r="B15" s="2">
        <v>13</v>
      </c>
      <c r="C15" s="3">
        <v>44109</v>
      </c>
      <c r="D15" s="20">
        <v>2020</v>
      </c>
      <c r="E15" s="4" t="s">
        <v>34</v>
      </c>
      <c r="F15" s="5">
        <v>1700000</v>
      </c>
      <c r="G15" s="4" t="s">
        <v>116</v>
      </c>
      <c r="H15" s="4" t="s">
        <v>117</v>
      </c>
      <c r="I15" s="4" t="s">
        <v>118</v>
      </c>
      <c r="J15" s="4" t="s">
        <v>119</v>
      </c>
      <c r="K15" s="4" t="s">
        <v>120</v>
      </c>
      <c r="L15" s="2">
        <v>2017</v>
      </c>
      <c r="M15" s="4" t="s">
        <v>121</v>
      </c>
      <c r="N15" s="5">
        <v>1700000</v>
      </c>
      <c r="O15" s="4" t="s">
        <v>122</v>
      </c>
      <c r="P15" s="4" t="s">
        <v>123</v>
      </c>
      <c r="Q15" s="4"/>
      <c r="R15" s="4"/>
      <c r="S15" s="4"/>
      <c r="T15" s="4"/>
      <c r="U15" s="4"/>
    </row>
    <row r="16" spans="2:21" ht="26.15" hidden="1" customHeight="1">
      <c r="B16" s="2">
        <v>14</v>
      </c>
      <c r="C16" s="3">
        <v>44102</v>
      </c>
      <c r="D16" s="20">
        <v>2020</v>
      </c>
      <c r="E16" s="4" t="s">
        <v>124</v>
      </c>
      <c r="F16" s="5">
        <v>500000</v>
      </c>
      <c r="G16" s="4" t="s">
        <v>125</v>
      </c>
      <c r="H16" s="4" t="s">
        <v>126</v>
      </c>
      <c r="I16" s="4"/>
      <c r="J16" s="4" t="s">
        <v>127</v>
      </c>
      <c r="K16" s="4" t="s">
        <v>127</v>
      </c>
      <c r="L16" s="2">
        <v>2017</v>
      </c>
      <c r="M16" s="4" t="s">
        <v>128</v>
      </c>
      <c r="N16" s="5">
        <v>532546</v>
      </c>
      <c r="O16" s="4" t="s">
        <v>129</v>
      </c>
      <c r="P16" s="4" t="s">
        <v>130</v>
      </c>
      <c r="Q16" s="4"/>
      <c r="R16" s="4"/>
      <c r="S16" s="4"/>
      <c r="T16" s="4"/>
      <c r="U16" s="4"/>
    </row>
    <row r="17" spans="2:21" ht="26.15" customHeight="1">
      <c r="B17" s="2">
        <v>15</v>
      </c>
      <c r="C17" s="3">
        <v>44096</v>
      </c>
      <c r="D17" s="20">
        <v>2020</v>
      </c>
      <c r="E17" s="4" t="s">
        <v>95</v>
      </c>
      <c r="F17" s="5">
        <v>23500000</v>
      </c>
      <c r="G17" s="4" t="s">
        <v>131</v>
      </c>
      <c r="H17" s="4" t="s">
        <v>132</v>
      </c>
      <c r="I17" s="4" t="s">
        <v>133</v>
      </c>
      <c r="J17" s="4"/>
      <c r="K17" s="4" t="s">
        <v>134</v>
      </c>
      <c r="L17" s="2">
        <v>1999</v>
      </c>
      <c r="M17" s="4" t="s">
        <v>135</v>
      </c>
      <c r="N17" s="5">
        <v>37500000</v>
      </c>
      <c r="O17" s="4" t="s">
        <v>136</v>
      </c>
      <c r="P17" s="4" t="s">
        <v>137</v>
      </c>
      <c r="Q17" s="4" t="s">
        <v>138</v>
      </c>
      <c r="R17" s="4"/>
      <c r="S17" s="4"/>
      <c r="T17" s="4"/>
      <c r="U17" s="4"/>
    </row>
    <row r="18" spans="2:21" ht="26.15" hidden="1" customHeight="1">
      <c r="B18" s="2">
        <v>16</v>
      </c>
      <c r="C18" s="3">
        <v>44092</v>
      </c>
      <c r="D18" s="20">
        <v>2020</v>
      </c>
      <c r="E18" s="4" t="s">
        <v>34</v>
      </c>
      <c r="F18" s="5">
        <v>2955090</v>
      </c>
      <c r="G18" s="4" t="s">
        <v>139</v>
      </c>
      <c r="H18" s="4" t="s">
        <v>140</v>
      </c>
      <c r="I18" s="4" t="s">
        <v>141</v>
      </c>
      <c r="J18" s="4"/>
      <c r="K18" s="4" t="s">
        <v>142</v>
      </c>
      <c r="L18" s="2">
        <v>2015</v>
      </c>
      <c r="M18" s="4" t="s">
        <v>143</v>
      </c>
      <c r="N18" s="5">
        <v>2955090</v>
      </c>
      <c r="O18" s="4" t="s">
        <v>144</v>
      </c>
      <c r="P18" s="4" t="s">
        <v>145</v>
      </c>
      <c r="Q18" s="4"/>
      <c r="R18" s="4"/>
      <c r="S18" s="4"/>
      <c r="T18" s="4"/>
      <c r="U18" s="4"/>
    </row>
    <row r="19" spans="2:21" ht="26.15" hidden="1" customHeight="1">
      <c r="B19" s="2">
        <v>17</v>
      </c>
      <c r="C19" s="3">
        <v>44090</v>
      </c>
      <c r="D19" s="20">
        <v>2020</v>
      </c>
      <c r="E19" s="4" t="s">
        <v>34</v>
      </c>
      <c r="F19" s="5">
        <v>475612</v>
      </c>
      <c r="G19" s="4" t="s">
        <v>146</v>
      </c>
      <c r="H19" s="4" t="s">
        <v>147</v>
      </c>
      <c r="I19" s="4" t="s">
        <v>148</v>
      </c>
      <c r="J19" s="4"/>
      <c r="K19" s="4" t="s">
        <v>149</v>
      </c>
      <c r="L19" s="2">
        <v>2015</v>
      </c>
      <c r="M19" s="4" t="s">
        <v>150</v>
      </c>
      <c r="N19" s="5">
        <v>883280</v>
      </c>
      <c r="O19" s="4" t="s">
        <v>151</v>
      </c>
      <c r="P19" s="4" t="s">
        <v>152</v>
      </c>
      <c r="Q19" s="4"/>
      <c r="R19" s="4"/>
      <c r="S19" s="4"/>
      <c r="T19" s="4"/>
      <c r="U19" s="4"/>
    </row>
    <row r="20" spans="2:21" ht="26.15" hidden="1" customHeight="1">
      <c r="B20" s="2">
        <v>18</v>
      </c>
      <c r="C20" s="3">
        <v>44070</v>
      </c>
      <c r="D20" s="20">
        <v>2020</v>
      </c>
      <c r="E20" s="4" t="s">
        <v>34</v>
      </c>
      <c r="F20" s="5">
        <v>2954680</v>
      </c>
      <c r="G20" s="4" t="s">
        <v>153</v>
      </c>
      <c r="H20" s="4" t="s">
        <v>154</v>
      </c>
      <c r="I20" s="4" t="s">
        <v>155</v>
      </c>
      <c r="J20" s="4"/>
      <c r="K20" s="4" t="s">
        <v>156</v>
      </c>
      <c r="L20" s="2">
        <v>2015</v>
      </c>
      <c r="M20" s="4" t="s">
        <v>157</v>
      </c>
      <c r="N20" s="5">
        <v>2954680</v>
      </c>
      <c r="O20" s="4" t="s">
        <v>158</v>
      </c>
      <c r="P20" s="4" t="s">
        <v>159</v>
      </c>
      <c r="Q20" s="4"/>
      <c r="R20" s="4"/>
      <c r="S20" s="4"/>
      <c r="T20" s="4"/>
      <c r="U20" s="4"/>
    </row>
    <row r="21" spans="2:21" ht="26.15" hidden="1" customHeight="1">
      <c r="B21" s="2">
        <v>19</v>
      </c>
      <c r="C21" s="3">
        <v>44067</v>
      </c>
      <c r="D21" s="20">
        <v>2020</v>
      </c>
      <c r="E21" s="4" t="s">
        <v>34</v>
      </c>
      <c r="F21" s="5">
        <v>1000000</v>
      </c>
      <c r="G21" s="4" t="s">
        <v>160</v>
      </c>
      <c r="H21" s="4" t="s">
        <v>161</v>
      </c>
      <c r="I21" s="4" t="s">
        <v>162</v>
      </c>
      <c r="J21" s="4"/>
      <c r="K21" s="4" t="s">
        <v>163</v>
      </c>
      <c r="L21" s="2">
        <v>2016</v>
      </c>
      <c r="M21" s="4" t="s">
        <v>128</v>
      </c>
      <c r="N21" s="5">
        <v>5866696</v>
      </c>
      <c r="O21" s="4" t="s">
        <v>164</v>
      </c>
      <c r="P21" s="4" t="s">
        <v>165</v>
      </c>
      <c r="Q21" s="4"/>
      <c r="R21" s="4"/>
      <c r="S21" s="4"/>
      <c r="T21" s="4"/>
      <c r="U21" s="4"/>
    </row>
    <row r="22" spans="2:21" ht="26.15" hidden="1" customHeight="1">
      <c r="B22" s="2">
        <v>20</v>
      </c>
      <c r="C22" s="3">
        <v>44067</v>
      </c>
      <c r="D22" s="20">
        <v>2020</v>
      </c>
      <c r="E22" s="4" t="s">
        <v>34</v>
      </c>
      <c r="F22" s="5">
        <v>1000000</v>
      </c>
      <c r="G22" s="4" t="s">
        <v>166</v>
      </c>
      <c r="H22" s="4" t="s">
        <v>167</v>
      </c>
      <c r="I22" s="4" t="s">
        <v>162</v>
      </c>
      <c r="J22" s="4"/>
      <c r="K22" s="4" t="s">
        <v>163</v>
      </c>
      <c r="L22" s="2">
        <v>2019</v>
      </c>
      <c r="M22" s="4" t="s">
        <v>128</v>
      </c>
      <c r="N22" s="5">
        <v>2500000</v>
      </c>
      <c r="O22" s="4" t="s">
        <v>168</v>
      </c>
      <c r="P22" s="4" t="s">
        <v>169</v>
      </c>
      <c r="Q22" s="4"/>
      <c r="R22" s="4"/>
      <c r="S22" s="4"/>
      <c r="T22" s="4"/>
      <c r="U22" s="4"/>
    </row>
    <row r="23" spans="2:21" ht="26.15" customHeight="1">
      <c r="B23" s="2">
        <v>21</v>
      </c>
      <c r="C23" s="3">
        <v>44067</v>
      </c>
      <c r="D23" s="20">
        <v>2020</v>
      </c>
      <c r="E23" s="4" t="s">
        <v>170</v>
      </c>
      <c r="F23" s="5" t="s">
        <v>50</v>
      </c>
      <c r="G23" s="4" t="s">
        <v>171</v>
      </c>
      <c r="H23" s="4" t="s">
        <v>172</v>
      </c>
      <c r="I23" s="4"/>
      <c r="J23" s="4"/>
      <c r="K23" s="4"/>
      <c r="L23" s="2">
        <v>2012</v>
      </c>
      <c r="M23" s="4" t="s">
        <v>173</v>
      </c>
      <c r="N23" s="5"/>
      <c r="O23" s="4" t="s">
        <v>174</v>
      </c>
      <c r="P23" s="4" t="s">
        <v>175</v>
      </c>
      <c r="Q23" s="4" t="s">
        <v>176</v>
      </c>
      <c r="R23" s="4"/>
      <c r="S23" s="4"/>
      <c r="T23" s="4"/>
      <c r="U23" s="4"/>
    </row>
    <row r="24" spans="2:21" ht="26.15" hidden="1" customHeight="1">
      <c r="B24" s="2">
        <v>22</v>
      </c>
      <c r="C24" s="3">
        <v>44067</v>
      </c>
      <c r="D24" s="20">
        <v>2020</v>
      </c>
      <c r="E24" s="4" t="s">
        <v>34</v>
      </c>
      <c r="F24" s="5" t="s">
        <v>50</v>
      </c>
      <c r="G24" s="4" t="s">
        <v>177</v>
      </c>
      <c r="H24" s="4" t="s">
        <v>178</v>
      </c>
      <c r="I24" s="4" t="s">
        <v>179</v>
      </c>
      <c r="J24" s="4"/>
      <c r="K24" s="4" t="s">
        <v>180</v>
      </c>
      <c r="L24" s="2">
        <v>2015</v>
      </c>
      <c r="M24" s="4" t="s">
        <v>181</v>
      </c>
      <c r="N24" s="5"/>
      <c r="O24" s="4" t="s">
        <v>182</v>
      </c>
      <c r="P24" s="4" t="s">
        <v>183</v>
      </c>
      <c r="Q24" s="4"/>
      <c r="R24" s="4"/>
      <c r="S24" s="4"/>
      <c r="T24" s="4"/>
      <c r="U24" s="4"/>
    </row>
    <row r="25" spans="2:21" ht="26.15" hidden="1" customHeight="1">
      <c r="B25" s="2">
        <v>23</v>
      </c>
      <c r="C25" s="3">
        <v>44063</v>
      </c>
      <c r="D25" s="20">
        <v>2020</v>
      </c>
      <c r="E25" s="4" t="s">
        <v>184</v>
      </c>
      <c r="F25" s="5">
        <v>114000</v>
      </c>
      <c r="G25" s="4" t="s">
        <v>185</v>
      </c>
      <c r="H25" s="4" t="s">
        <v>186</v>
      </c>
      <c r="I25" s="4" t="s">
        <v>187</v>
      </c>
      <c r="J25" s="4"/>
      <c r="K25" s="4"/>
      <c r="L25" s="2">
        <v>2015</v>
      </c>
      <c r="M25" s="4" t="s">
        <v>188</v>
      </c>
      <c r="N25" s="5">
        <v>65736870</v>
      </c>
      <c r="O25" s="4" t="s">
        <v>189</v>
      </c>
      <c r="P25" s="4" t="s">
        <v>190</v>
      </c>
      <c r="Q25" s="4"/>
      <c r="R25" s="4"/>
      <c r="S25" s="4"/>
      <c r="T25" s="4"/>
      <c r="U25" s="4"/>
    </row>
    <row r="26" spans="2:21" ht="26.15" hidden="1" customHeight="1">
      <c r="B26" s="2">
        <v>24</v>
      </c>
      <c r="C26" s="3">
        <v>44061</v>
      </c>
      <c r="D26" s="20">
        <v>2020</v>
      </c>
      <c r="E26" s="4" t="s">
        <v>34</v>
      </c>
      <c r="F26" s="5">
        <v>2000000</v>
      </c>
      <c r="G26" s="4" t="s">
        <v>191</v>
      </c>
      <c r="H26" s="4" t="s">
        <v>192</v>
      </c>
      <c r="I26" s="4" t="s">
        <v>193</v>
      </c>
      <c r="J26" s="4"/>
      <c r="K26" s="4" t="s">
        <v>194</v>
      </c>
      <c r="L26" s="2">
        <v>2015</v>
      </c>
      <c r="M26" s="4" t="s">
        <v>195</v>
      </c>
      <c r="N26" s="5">
        <v>5000000</v>
      </c>
      <c r="O26" s="4" t="s">
        <v>196</v>
      </c>
      <c r="P26" s="4" t="s">
        <v>197</v>
      </c>
      <c r="Q26" s="4"/>
      <c r="R26" s="4"/>
      <c r="S26" s="4"/>
      <c r="T26" s="4"/>
      <c r="U26" s="4"/>
    </row>
    <row r="27" spans="2:21" ht="26.15" hidden="1" customHeight="1">
      <c r="B27" s="2">
        <v>25</v>
      </c>
      <c r="C27" s="3">
        <v>44056</v>
      </c>
      <c r="D27" s="20">
        <v>2020</v>
      </c>
      <c r="E27" s="4" t="s">
        <v>34</v>
      </c>
      <c r="F27" s="5">
        <v>338300</v>
      </c>
      <c r="G27" s="4" t="s">
        <v>198</v>
      </c>
      <c r="H27" s="4" t="s">
        <v>199</v>
      </c>
      <c r="I27" s="4"/>
      <c r="J27" s="4"/>
      <c r="K27" s="4"/>
      <c r="L27" s="2">
        <v>2012</v>
      </c>
      <c r="M27" s="4" t="s">
        <v>200</v>
      </c>
      <c r="N27" s="5">
        <v>495862</v>
      </c>
      <c r="O27" s="4" t="s">
        <v>201</v>
      </c>
      <c r="P27" s="4" t="s">
        <v>202</v>
      </c>
      <c r="Q27" s="4"/>
      <c r="R27" s="4"/>
      <c r="S27" s="4"/>
      <c r="T27" s="4"/>
      <c r="U27" s="4"/>
    </row>
    <row r="28" spans="2:21" ht="26.15" hidden="1" customHeight="1">
      <c r="B28" s="2">
        <v>26</v>
      </c>
      <c r="C28" s="3">
        <v>44055</v>
      </c>
      <c r="D28" s="20">
        <v>2020</v>
      </c>
      <c r="E28" s="4" t="s">
        <v>109</v>
      </c>
      <c r="F28" s="5">
        <v>5500000</v>
      </c>
      <c r="G28" s="4" t="s">
        <v>203</v>
      </c>
      <c r="H28" s="4" t="s">
        <v>204</v>
      </c>
      <c r="I28" s="4" t="s">
        <v>205</v>
      </c>
      <c r="J28" s="4"/>
      <c r="K28" s="4" t="s">
        <v>206</v>
      </c>
      <c r="L28" s="2">
        <v>2016</v>
      </c>
      <c r="M28" s="4" t="s">
        <v>207</v>
      </c>
      <c r="N28" s="5">
        <v>5500000</v>
      </c>
      <c r="O28" s="4" t="s">
        <v>208</v>
      </c>
      <c r="P28" s="4" t="s">
        <v>209</v>
      </c>
      <c r="Q28" s="4"/>
      <c r="R28" s="4"/>
      <c r="S28" s="4"/>
      <c r="T28" s="4"/>
      <c r="U28" s="4"/>
    </row>
    <row r="29" spans="2:21" ht="26.15" hidden="1" customHeight="1">
      <c r="B29" s="2">
        <v>27</v>
      </c>
      <c r="C29" s="3">
        <v>44055</v>
      </c>
      <c r="D29" s="20">
        <v>2020</v>
      </c>
      <c r="E29" s="4" t="s">
        <v>25</v>
      </c>
      <c r="F29" s="5" t="s">
        <v>50</v>
      </c>
      <c r="G29" s="4" t="s">
        <v>210</v>
      </c>
      <c r="H29" s="4" t="s">
        <v>211</v>
      </c>
      <c r="I29" s="4" t="s">
        <v>212</v>
      </c>
      <c r="J29" s="4"/>
      <c r="K29" s="4" t="s">
        <v>213</v>
      </c>
      <c r="L29" s="2">
        <v>2013</v>
      </c>
      <c r="M29" s="4" t="s">
        <v>214</v>
      </c>
      <c r="N29" s="5">
        <v>4000000</v>
      </c>
      <c r="O29" s="4" t="s">
        <v>215</v>
      </c>
      <c r="P29" s="4" t="s">
        <v>216</v>
      </c>
      <c r="Q29" s="4"/>
      <c r="R29" s="4"/>
      <c r="S29" s="4"/>
      <c r="T29" s="4"/>
      <c r="U29" s="4"/>
    </row>
    <row r="30" spans="2:21" ht="26.15" hidden="1" customHeight="1">
      <c r="B30" s="2">
        <v>28</v>
      </c>
      <c r="C30" s="3">
        <v>44053</v>
      </c>
      <c r="D30" s="20">
        <v>2020</v>
      </c>
      <c r="E30" s="4" t="s">
        <v>34</v>
      </c>
      <c r="F30" s="5">
        <v>2000000</v>
      </c>
      <c r="G30" s="4" t="s">
        <v>217</v>
      </c>
      <c r="H30" s="4" t="s">
        <v>218</v>
      </c>
      <c r="I30" s="4" t="s">
        <v>219</v>
      </c>
      <c r="J30" s="4"/>
      <c r="K30" s="4" t="s">
        <v>220</v>
      </c>
      <c r="L30" s="2">
        <v>2015</v>
      </c>
      <c r="M30" s="4" t="s">
        <v>79</v>
      </c>
      <c r="N30" s="5">
        <v>2569628</v>
      </c>
      <c r="O30" s="4" t="s">
        <v>221</v>
      </c>
      <c r="P30" s="4" t="s">
        <v>222</v>
      </c>
      <c r="Q30" s="4"/>
      <c r="R30" s="4"/>
      <c r="S30" s="4"/>
      <c r="T30" s="4"/>
      <c r="U30" s="4"/>
    </row>
    <row r="31" spans="2:21" ht="26.15" hidden="1" customHeight="1">
      <c r="B31" s="2">
        <v>29</v>
      </c>
      <c r="C31" s="3">
        <v>44043</v>
      </c>
      <c r="D31" s="20">
        <v>2020</v>
      </c>
      <c r="E31" s="4" t="s">
        <v>34</v>
      </c>
      <c r="F31" s="5">
        <v>2854850</v>
      </c>
      <c r="G31" s="4" t="s">
        <v>223</v>
      </c>
      <c r="H31" s="4" t="s">
        <v>224</v>
      </c>
      <c r="I31" s="4"/>
      <c r="J31" s="4"/>
      <c r="K31" s="4"/>
      <c r="L31" s="2">
        <v>2016</v>
      </c>
      <c r="M31" s="4" t="s">
        <v>225</v>
      </c>
      <c r="N31" s="5">
        <v>2854850</v>
      </c>
      <c r="O31" s="4" t="s">
        <v>226</v>
      </c>
      <c r="P31" s="4" t="s">
        <v>227</v>
      </c>
      <c r="Q31" s="4"/>
      <c r="R31" s="4"/>
      <c r="S31" s="4"/>
      <c r="T31" s="4"/>
      <c r="U31" s="4"/>
    </row>
    <row r="32" spans="2:21" ht="26.15" hidden="1" customHeight="1">
      <c r="B32" s="2">
        <v>30</v>
      </c>
      <c r="C32" s="3">
        <v>44033</v>
      </c>
      <c r="D32" s="20">
        <v>2020</v>
      </c>
      <c r="E32" s="4" t="s">
        <v>95</v>
      </c>
      <c r="F32" s="5">
        <v>30000000</v>
      </c>
      <c r="G32" s="4" t="s">
        <v>228</v>
      </c>
      <c r="H32" s="4" t="s">
        <v>229</v>
      </c>
      <c r="I32" s="4" t="s">
        <v>230</v>
      </c>
      <c r="J32" s="4" t="s">
        <v>231</v>
      </c>
      <c r="K32" s="4" t="s">
        <v>232</v>
      </c>
      <c r="L32" s="2">
        <v>2015</v>
      </c>
      <c r="M32" s="4" t="s">
        <v>233</v>
      </c>
      <c r="N32" s="5">
        <v>60000000</v>
      </c>
      <c r="O32" s="4" t="s">
        <v>234</v>
      </c>
      <c r="P32" s="4" t="s">
        <v>235</v>
      </c>
      <c r="Q32" s="4"/>
      <c r="R32" s="4"/>
      <c r="S32" s="4"/>
      <c r="T32" s="4"/>
      <c r="U32" s="4"/>
    </row>
    <row r="33" spans="2:21" ht="26.15" hidden="1" customHeight="1">
      <c r="B33" s="2">
        <v>31</v>
      </c>
      <c r="C33" s="3">
        <v>44033</v>
      </c>
      <c r="D33" s="20">
        <v>2020</v>
      </c>
      <c r="E33" s="4" t="s">
        <v>34</v>
      </c>
      <c r="F33" s="5">
        <v>2500000</v>
      </c>
      <c r="G33" s="4" t="s">
        <v>236</v>
      </c>
      <c r="H33" s="4" t="s">
        <v>237</v>
      </c>
      <c r="I33" s="4" t="s">
        <v>238</v>
      </c>
      <c r="J33" s="4" t="s">
        <v>239</v>
      </c>
      <c r="K33" s="4" t="s">
        <v>240</v>
      </c>
      <c r="L33" s="2">
        <v>2020</v>
      </c>
      <c r="M33" s="4" t="s">
        <v>181</v>
      </c>
      <c r="N33" s="5">
        <v>2500000</v>
      </c>
      <c r="O33" s="4" t="s">
        <v>241</v>
      </c>
      <c r="P33" s="4" t="s">
        <v>242</v>
      </c>
      <c r="Q33" s="4"/>
      <c r="R33" s="4"/>
      <c r="S33" s="4"/>
      <c r="T33" s="4"/>
      <c r="U33" s="4"/>
    </row>
    <row r="34" spans="2:21" ht="26.15" customHeight="1">
      <c r="B34" s="2">
        <v>32</v>
      </c>
      <c r="C34" s="3">
        <v>44026</v>
      </c>
      <c r="D34" s="20">
        <v>2020</v>
      </c>
      <c r="E34" s="4" t="s">
        <v>109</v>
      </c>
      <c r="F34" s="5">
        <v>10000000</v>
      </c>
      <c r="G34" s="4" t="s">
        <v>243</v>
      </c>
      <c r="H34" s="4" t="s">
        <v>244</v>
      </c>
      <c r="I34" s="4" t="s">
        <v>245</v>
      </c>
      <c r="J34" s="4" t="s">
        <v>246</v>
      </c>
      <c r="K34" s="4" t="s">
        <v>247</v>
      </c>
      <c r="L34" s="2">
        <v>2018</v>
      </c>
      <c r="M34" s="4" t="s">
        <v>248</v>
      </c>
      <c r="N34" s="5">
        <v>10000000</v>
      </c>
      <c r="O34" s="4" t="s">
        <v>249</v>
      </c>
      <c r="P34" s="4" t="s">
        <v>250</v>
      </c>
      <c r="Q34" s="4"/>
      <c r="R34" s="4"/>
      <c r="S34" s="4"/>
      <c r="T34" s="4"/>
      <c r="U34" s="4"/>
    </row>
    <row r="35" spans="2:21" ht="26.15" hidden="1" customHeight="1">
      <c r="B35" s="2">
        <v>33</v>
      </c>
      <c r="C35" s="3">
        <v>44026</v>
      </c>
      <c r="D35" s="20">
        <v>2020</v>
      </c>
      <c r="E35" s="4" t="s">
        <v>25</v>
      </c>
      <c r="F35" s="5">
        <v>28000000</v>
      </c>
      <c r="G35" s="4" t="s">
        <v>251</v>
      </c>
      <c r="H35" s="4" t="s">
        <v>252</v>
      </c>
      <c r="I35" s="4" t="s">
        <v>253</v>
      </c>
      <c r="J35" s="4"/>
      <c r="K35" s="4" t="s">
        <v>254</v>
      </c>
      <c r="L35" s="2">
        <v>2006</v>
      </c>
      <c r="M35" s="4" t="s">
        <v>255</v>
      </c>
      <c r="N35" s="5">
        <v>37911025</v>
      </c>
      <c r="O35" s="4" t="s">
        <v>256</v>
      </c>
      <c r="P35" s="4" t="s">
        <v>257</v>
      </c>
      <c r="Q35" s="4" t="s">
        <v>258</v>
      </c>
      <c r="R35" s="4"/>
      <c r="S35" s="4"/>
      <c r="T35" s="4"/>
      <c r="U35" s="4"/>
    </row>
    <row r="36" spans="2:21" ht="26.15" hidden="1" customHeight="1">
      <c r="B36" s="2">
        <v>34</v>
      </c>
      <c r="C36" s="3">
        <v>44019</v>
      </c>
      <c r="D36" s="20">
        <v>2020</v>
      </c>
      <c r="E36" s="4" t="s">
        <v>34</v>
      </c>
      <c r="F36" s="5">
        <v>2000000</v>
      </c>
      <c r="G36" s="4" t="s">
        <v>259</v>
      </c>
      <c r="H36" s="4" t="s">
        <v>260</v>
      </c>
      <c r="I36" s="4" t="s">
        <v>261</v>
      </c>
      <c r="J36" s="4" t="s">
        <v>262</v>
      </c>
      <c r="K36" s="4" t="s">
        <v>263</v>
      </c>
      <c r="L36" s="2">
        <v>2013</v>
      </c>
      <c r="M36" s="4" t="s">
        <v>79</v>
      </c>
      <c r="N36" s="5">
        <v>5345286</v>
      </c>
      <c r="O36" s="4" t="s">
        <v>264</v>
      </c>
      <c r="P36" s="4" t="s">
        <v>265</v>
      </c>
      <c r="Q36" s="4"/>
      <c r="R36" s="4"/>
      <c r="S36" s="4"/>
      <c r="T36" s="4"/>
      <c r="U36" s="4"/>
    </row>
    <row r="37" spans="2:21" ht="26.15" hidden="1" customHeight="1">
      <c r="B37" s="2">
        <v>35</v>
      </c>
      <c r="C37" s="3">
        <v>44018</v>
      </c>
      <c r="D37" s="20">
        <v>2020</v>
      </c>
      <c r="E37" s="4" t="s">
        <v>25</v>
      </c>
      <c r="F37" s="5">
        <v>14000000</v>
      </c>
      <c r="G37" s="4" t="s">
        <v>266</v>
      </c>
      <c r="H37" s="4" t="s">
        <v>267</v>
      </c>
      <c r="I37" s="4" t="s">
        <v>268</v>
      </c>
      <c r="J37" s="4"/>
      <c r="K37" s="4" t="s">
        <v>269</v>
      </c>
      <c r="L37" s="2">
        <v>2008</v>
      </c>
      <c r="M37" s="4" t="s">
        <v>270</v>
      </c>
      <c r="N37" s="5">
        <v>14000000</v>
      </c>
      <c r="O37" s="4" t="s">
        <v>271</v>
      </c>
      <c r="P37" s="4" t="s">
        <v>272</v>
      </c>
      <c r="Q37" s="4"/>
      <c r="R37" s="4"/>
      <c r="S37" s="4"/>
      <c r="T37" s="4"/>
      <c r="U37" s="4"/>
    </row>
    <row r="38" spans="2:21" ht="26.15" hidden="1" customHeight="1">
      <c r="B38" s="2">
        <v>36</v>
      </c>
      <c r="C38" s="3">
        <v>44018</v>
      </c>
      <c r="D38" s="20">
        <v>2020</v>
      </c>
      <c r="E38" s="4" t="s">
        <v>34</v>
      </c>
      <c r="F38" s="5" t="s">
        <v>50</v>
      </c>
      <c r="G38" s="4" t="s">
        <v>273</v>
      </c>
      <c r="H38" s="4" t="s">
        <v>274</v>
      </c>
      <c r="I38" s="4" t="s">
        <v>275</v>
      </c>
      <c r="J38" s="4" t="s">
        <v>276</v>
      </c>
      <c r="K38" s="4" t="s">
        <v>277</v>
      </c>
      <c r="L38" s="2">
        <v>2019</v>
      </c>
      <c r="M38" s="4" t="s">
        <v>278</v>
      </c>
      <c r="N38" s="5"/>
      <c r="O38" s="4" t="s">
        <v>279</v>
      </c>
      <c r="P38" s="4" t="s">
        <v>280</v>
      </c>
      <c r="Q38" s="4"/>
      <c r="R38" s="4"/>
      <c r="S38" s="4"/>
      <c r="T38" s="4"/>
      <c r="U38" s="4"/>
    </row>
    <row r="39" spans="2:21" ht="26.15" hidden="1" customHeight="1">
      <c r="B39" s="2">
        <v>37</v>
      </c>
      <c r="C39" s="3">
        <v>44018</v>
      </c>
      <c r="D39" s="20">
        <v>2020</v>
      </c>
      <c r="E39" s="4" t="s">
        <v>34</v>
      </c>
      <c r="F39" s="5" t="s">
        <v>50</v>
      </c>
      <c r="G39" s="4" t="s">
        <v>281</v>
      </c>
      <c r="H39" s="4" t="s">
        <v>282</v>
      </c>
      <c r="I39" s="4" t="s">
        <v>283</v>
      </c>
      <c r="J39" s="4" t="s">
        <v>284</v>
      </c>
      <c r="K39" s="4" t="s">
        <v>285</v>
      </c>
      <c r="L39" s="2">
        <v>2018</v>
      </c>
      <c r="M39" s="4" t="s">
        <v>286</v>
      </c>
      <c r="N39" s="5"/>
      <c r="O39" s="4" t="s">
        <v>287</v>
      </c>
      <c r="P39" s="4" t="s">
        <v>288</v>
      </c>
      <c r="Q39" s="4"/>
      <c r="R39" s="4"/>
      <c r="S39" s="4"/>
      <c r="T39" s="4"/>
      <c r="U39" s="4"/>
    </row>
    <row r="40" spans="2:21" ht="26.15" hidden="1" customHeight="1">
      <c r="B40" s="2">
        <v>38</v>
      </c>
      <c r="C40" s="3">
        <v>44013</v>
      </c>
      <c r="D40" s="20">
        <v>2020</v>
      </c>
      <c r="E40" s="4" t="s">
        <v>289</v>
      </c>
      <c r="F40" s="5">
        <v>17000000</v>
      </c>
      <c r="G40" s="4" t="s">
        <v>290</v>
      </c>
      <c r="H40" s="4" t="s">
        <v>291</v>
      </c>
      <c r="I40" s="4"/>
      <c r="J40" s="4"/>
      <c r="K40" s="4"/>
      <c r="L40" s="2">
        <v>1983</v>
      </c>
      <c r="M40" s="4" t="s">
        <v>292</v>
      </c>
      <c r="N40" s="5"/>
      <c r="O40" s="4" t="s">
        <v>293</v>
      </c>
      <c r="P40" s="4" t="s">
        <v>294</v>
      </c>
      <c r="Q40" s="4" t="s">
        <v>295</v>
      </c>
      <c r="R40" s="4"/>
      <c r="S40" s="4"/>
      <c r="T40" s="4"/>
      <c r="U40" s="4"/>
    </row>
    <row r="41" spans="2:21" ht="26.15" hidden="1" customHeight="1">
      <c r="B41" s="2">
        <v>39</v>
      </c>
      <c r="C41" s="3">
        <v>44004</v>
      </c>
      <c r="D41" s="20">
        <v>2020</v>
      </c>
      <c r="E41" s="4" t="s">
        <v>34</v>
      </c>
      <c r="F41" s="5">
        <v>1000000</v>
      </c>
      <c r="G41" s="4" t="s">
        <v>296</v>
      </c>
      <c r="H41" s="4" t="s">
        <v>297</v>
      </c>
      <c r="I41" s="4" t="s">
        <v>298</v>
      </c>
      <c r="J41" s="4"/>
      <c r="K41" s="4"/>
      <c r="L41" s="2">
        <v>2018</v>
      </c>
      <c r="M41" s="4" t="s">
        <v>299</v>
      </c>
      <c r="N41" s="5">
        <v>1500000</v>
      </c>
      <c r="O41" s="4" t="s">
        <v>300</v>
      </c>
      <c r="P41" s="4" t="s">
        <v>301</v>
      </c>
      <c r="Q41" s="4"/>
      <c r="R41" s="4"/>
      <c r="S41" s="4"/>
      <c r="T41" s="4"/>
      <c r="U41" s="4"/>
    </row>
    <row r="42" spans="2:21" ht="26.15" hidden="1" customHeight="1">
      <c r="B42" s="2">
        <v>40</v>
      </c>
      <c r="C42" s="3">
        <v>43999</v>
      </c>
      <c r="D42" s="20">
        <v>2020</v>
      </c>
      <c r="E42" s="4" t="s">
        <v>302</v>
      </c>
      <c r="F42" s="5" t="s">
        <v>50</v>
      </c>
      <c r="G42" s="4" t="s">
        <v>303</v>
      </c>
      <c r="H42" s="4" t="s">
        <v>304</v>
      </c>
      <c r="I42" s="4" t="s">
        <v>305</v>
      </c>
      <c r="J42" s="4"/>
      <c r="K42" s="4"/>
      <c r="L42" s="2">
        <v>2011</v>
      </c>
      <c r="M42" s="4" t="s">
        <v>79</v>
      </c>
      <c r="N42" s="5">
        <v>19009146</v>
      </c>
      <c r="O42" s="4" t="s">
        <v>306</v>
      </c>
      <c r="P42" s="4" t="s">
        <v>307</v>
      </c>
      <c r="Q42" s="4"/>
      <c r="R42" s="4"/>
      <c r="S42" s="4"/>
      <c r="T42" s="4"/>
      <c r="U42" s="4"/>
    </row>
    <row r="43" spans="2:21" ht="26.15" hidden="1" customHeight="1">
      <c r="B43" s="2">
        <v>41</v>
      </c>
      <c r="C43" s="3">
        <v>43998</v>
      </c>
      <c r="D43" s="20">
        <v>2020</v>
      </c>
      <c r="E43" s="4" t="s">
        <v>34</v>
      </c>
      <c r="F43" s="5">
        <v>3958160</v>
      </c>
      <c r="G43" s="4" t="s">
        <v>308</v>
      </c>
      <c r="H43" s="4" t="s">
        <v>309</v>
      </c>
      <c r="I43" s="4" t="s">
        <v>310</v>
      </c>
      <c r="J43" s="4" t="s">
        <v>311</v>
      </c>
      <c r="K43" s="4" t="s">
        <v>312</v>
      </c>
      <c r="L43" s="2">
        <v>2017</v>
      </c>
      <c r="M43" s="4" t="s">
        <v>313</v>
      </c>
      <c r="N43" s="5">
        <v>6014060</v>
      </c>
      <c r="O43" s="4" t="s">
        <v>314</v>
      </c>
      <c r="P43" s="4" t="s">
        <v>315</v>
      </c>
      <c r="Q43" s="4"/>
      <c r="R43" s="4"/>
      <c r="S43" s="4"/>
      <c r="T43" s="4"/>
      <c r="U43" s="4"/>
    </row>
    <row r="44" spans="2:21" ht="26.15" hidden="1" customHeight="1">
      <c r="B44" s="2">
        <v>42</v>
      </c>
      <c r="C44" s="3">
        <v>43998</v>
      </c>
      <c r="D44" s="20">
        <v>2020</v>
      </c>
      <c r="E44" s="4" t="s">
        <v>34</v>
      </c>
      <c r="F44" s="5" t="s">
        <v>50</v>
      </c>
      <c r="G44" s="4" t="s">
        <v>316</v>
      </c>
      <c r="H44" s="4" t="s">
        <v>317</v>
      </c>
      <c r="I44" s="4" t="s">
        <v>283</v>
      </c>
      <c r="J44" s="4"/>
      <c r="K44" s="4" t="s">
        <v>285</v>
      </c>
      <c r="L44" s="2">
        <v>2017</v>
      </c>
      <c r="M44" s="4" t="s">
        <v>56</v>
      </c>
      <c r="N44" s="5"/>
      <c r="O44" s="4" t="s">
        <v>318</v>
      </c>
      <c r="P44" s="4" t="s">
        <v>319</v>
      </c>
      <c r="Q44" s="4"/>
      <c r="R44" s="4"/>
      <c r="S44" s="4"/>
      <c r="T44" s="4"/>
      <c r="U44" s="4"/>
    </row>
    <row r="45" spans="2:21" ht="26.15" hidden="1" customHeight="1">
      <c r="B45" s="2">
        <v>43</v>
      </c>
      <c r="C45" s="3">
        <v>43992</v>
      </c>
      <c r="D45" s="20">
        <v>2020</v>
      </c>
      <c r="E45" s="4" t="s">
        <v>289</v>
      </c>
      <c r="F45" s="5">
        <v>5500000</v>
      </c>
      <c r="G45" s="4" t="s">
        <v>185</v>
      </c>
      <c r="H45" s="4" t="s">
        <v>186</v>
      </c>
      <c r="I45" s="4" t="s">
        <v>320</v>
      </c>
      <c r="J45" s="4"/>
      <c r="K45" s="4"/>
      <c r="L45" s="2">
        <v>2015</v>
      </c>
      <c r="M45" s="4" t="s">
        <v>188</v>
      </c>
      <c r="N45" s="5">
        <v>65736870</v>
      </c>
      <c r="O45" s="4" t="s">
        <v>189</v>
      </c>
      <c r="P45" s="4" t="s">
        <v>190</v>
      </c>
      <c r="Q45" s="4" t="s">
        <v>321</v>
      </c>
      <c r="R45" s="4"/>
      <c r="S45" s="4"/>
      <c r="T45" s="4"/>
      <c r="U45" s="4"/>
    </row>
    <row r="46" spans="2:21" ht="26.15" hidden="1" customHeight="1">
      <c r="B46" s="2">
        <v>44</v>
      </c>
      <c r="C46" s="3">
        <v>43990</v>
      </c>
      <c r="D46" s="20">
        <v>2020</v>
      </c>
      <c r="E46" s="4" t="s">
        <v>34</v>
      </c>
      <c r="F46" s="5">
        <v>66424</v>
      </c>
      <c r="G46" s="4" t="s">
        <v>322</v>
      </c>
      <c r="H46" s="4" t="s">
        <v>323</v>
      </c>
      <c r="I46" s="4" t="s">
        <v>324</v>
      </c>
      <c r="J46" s="4" t="s">
        <v>325</v>
      </c>
      <c r="K46" s="4" t="s">
        <v>326</v>
      </c>
      <c r="L46" s="2">
        <v>2013</v>
      </c>
      <c r="M46" s="4" t="s">
        <v>79</v>
      </c>
      <c r="N46" s="5">
        <v>814923</v>
      </c>
      <c r="O46" s="4" t="s">
        <v>327</v>
      </c>
      <c r="P46" s="4" t="s">
        <v>328</v>
      </c>
      <c r="Q46" s="4"/>
      <c r="R46" s="4"/>
      <c r="S46" s="4"/>
      <c r="T46" s="4"/>
      <c r="U46" s="4"/>
    </row>
    <row r="47" spans="2:21" ht="26.15" hidden="1" customHeight="1">
      <c r="B47" s="2">
        <v>45</v>
      </c>
      <c r="C47" s="3">
        <v>43987</v>
      </c>
      <c r="D47" s="20">
        <v>2020</v>
      </c>
      <c r="E47" s="4" t="s">
        <v>34</v>
      </c>
      <c r="F47" s="5" t="s">
        <v>50</v>
      </c>
      <c r="G47" s="4" t="s">
        <v>329</v>
      </c>
      <c r="H47" s="4" t="s">
        <v>330</v>
      </c>
      <c r="I47" s="4" t="s">
        <v>331</v>
      </c>
      <c r="J47" s="4"/>
      <c r="K47" s="4" t="s">
        <v>332</v>
      </c>
      <c r="L47" s="2">
        <v>2015</v>
      </c>
      <c r="M47" s="4" t="s">
        <v>333</v>
      </c>
      <c r="N47" s="5">
        <v>1489730</v>
      </c>
      <c r="O47" s="4" t="s">
        <v>334</v>
      </c>
      <c r="P47" s="4" t="s">
        <v>335</v>
      </c>
      <c r="Q47" s="4"/>
      <c r="R47" s="4"/>
      <c r="S47" s="4"/>
      <c r="T47" s="4"/>
      <c r="U47" s="4"/>
    </row>
    <row r="48" spans="2:21" ht="26.15" hidden="1" customHeight="1">
      <c r="B48" s="2">
        <v>46</v>
      </c>
      <c r="C48" s="3">
        <v>43984</v>
      </c>
      <c r="D48" s="20">
        <v>2020</v>
      </c>
      <c r="E48" s="4" t="s">
        <v>34</v>
      </c>
      <c r="F48" s="5">
        <v>1000000</v>
      </c>
      <c r="G48" s="4" t="s">
        <v>160</v>
      </c>
      <c r="H48" s="4" t="s">
        <v>161</v>
      </c>
      <c r="I48" s="4" t="s">
        <v>336</v>
      </c>
      <c r="J48" s="4"/>
      <c r="K48" s="4" t="s">
        <v>337</v>
      </c>
      <c r="L48" s="2">
        <v>2016</v>
      </c>
      <c r="M48" s="4" t="s">
        <v>128</v>
      </c>
      <c r="N48" s="5">
        <v>5866696</v>
      </c>
      <c r="O48" s="4" t="s">
        <v>164</v>
      </c>
      <c r="P48" s="4" t="s">
        <v>165</v>
      </c>
      <c r="Q48" s="4"/>
      <c r="R48" s="4"/>
      <c r="S48" s="4"/>
      <c r="T48" s="4"/>
      <c r="U48" s="4"/>
    </row>
    <row r="49" spans="2:21" ht="26.15" hidden="1" customHeight="1">
      <c r="B49" s="2">
        <v>47</v>
      </c>
      <c r="C49" s="3">
        <v>43983</v>
      </c>
      <c r="D49" s="20">
        <v>2020</v>
      </c>
      <c r="E49" s="4" t="s">
        <v>34</v>
      </c>
      <c r="F49" s="5">
        <v>1000000</v>
      </c>
      <c r="G49" s="4" t="s">
        <v>166</v>
      </c>
      <c r="H49" s="4" t="s">
        <v>167</v>
      </c>
      <c r="I49" s="4" t="s">
        <v>336</v>
      </c>
      <c r="J49" s="4"/>
      <c r="K49" s="4" t="s">
        <v>337</v>
      </c>
      <c r="L49" s="2">
        <v>2019</v>
      </c>
      <c r="M49" s="4" t="s">
        <v>128</v>
      </c>
      <c r="N49" s="5">
        <v>2500000</v>
      </c>
      <c r="O49" s="4" t="s">
        <v>168</v>
      </c>
      <c r="P49" s="4" t="s">
        <v>169</v>
      </c>
      <c r="Q49" s="4"/>
      <c r="R49" s="4"/>
      <c r="S49" s="4"/>
      <c r="T49" s="4"/>
      <c r="U49" s="4"/>
    </row>
    <row r="50" spans="2:21" ht="26.15" customHeight="1">
      <c r="B50" s="2">
        <v>48</v>
      </c>
      <c r="C50" s="3">
        <v>43979</v>
      </c>
      <c r="D50" s="20">
        <v>2020</v>
      </c>
      <c r="E50" s="4" t="s">
        <v>34</v>
      </c>
      <c r="F50" s="5">
        <v>4000000</v>
      </c>
      <c r="G50" s="4" t="s">
        <v>338</v>
      </c>
      <c r="H50" s="4" t="s">
        <v>339</v>
      </c>
      <c r="I50" s="4" t="s">
        <v>340</v>
      </c>
      <c r="J50" s="4"/>
      <c r="K50" s="4" t="s">
        <v>341</v>
      </c>
      <c r="L50" s="2">
        <v>2017</v>
      </c>
      <c r="M50" s="4" t="s">
        <v>342</v>
      </c>
      <c r="N50" s="5">
        <v>4000000</v>
      </c>
      <c r="O50" s="4" t="s">
        <v>343</v>
      </c>
      <c r="P50" s="4" t="s">
        <v>344</v>
      </c>
      <c r="Q50" s="4"/>
      <c r="R50" s="4"/>
      <c r="S50" s="4"/>
      <c r="T50" s="4"/>
      <c r="U50" s="4"/>
    </row>
    <row r="51" spans="2:21" ht="26.15" hidden="1" customHeight="1">
      <c r="B51" s="2">
        <v>49</v>
      </c>
      <c r="C51" s="3">
        <v>43978</v>
      </c>
      <c r="D51" s="20">
        <v>2020</v>
      </c>
      <c r="E51" s="4" t="s">
        <v>109</v>
      </c>
      <c r="F51" s="5" t="s">
        <v>50</v>
      </c>
      <c r="G51" s="4" t="s">
        <v>345</v>
      </c>
      <c r="H51" s="4" t="s">
        <v>346</v>
      </c>
      <c r="I51" s="4" t="s">
        <v>347</v>
      </c>
      <c r="J51" s="4"/>
      <c r="K51" s="4" t="s">
        <v>348</v>
      </c>
      <c r="L51" s="2">
        <v>2016</v>
      </c>
      <c r="M51" s="4" t="s">
        <v>349</v>
      </c>
      <c r="N51" s="5">
        <v>8500000</v>
      </c>
      <c r="O51" s="4" t="s">
        <v>350</v>
      </c>
      <c r="P51" s="4" t="s">
        <v>351</v>
      </c>
      <c r="Q51" s="4" t="s">
        <v>352</v>
      </c>
      <c r="R51" s="4"/>
      <c r="S51" s="4"/>
      <c r="T51" s="4"/>
      <c r="U51" s="4"/>
    </row>
    <row r="52" spans="2:21" ht="26.15" customHeight="1">
      <c r="B52" s="2">
        <v>50</v>
      </c>
      <c r="C52" s="3">
        <v>43978</v>
      </c>
      <c r="D52" s="20">
        <v>2020</v>
      </c>
      <c r="E52" s="4" t="s">
        <v>109</v>
      </c>
      <c r="F52" s="5">
        <v>3000000</v>
      </c>
      <c r="G52" s="4" t="s">
        <v>353</v>
      </c>
      <c r="H52" s="4" t="s">
        <v>354</v>
      </c>
      <c r="I52" s="4" t="s">
        <v>355</v>
      </c>
      <c r="J52" s="4"/>
      <c r="K52" s="4" t="s">
        <v>356</v>
      </c>
      <c r="L52" s="2">
        <v>2013</v>
      </c>
      <c r="M52" s="4" t="s">
        <v>357</v>
      </c>
      <c r="N52" s="5">
        <v>9700000</v>
      </c>
      <c r="O52" s="4" t="s">
        <v>358</v>
      </c>
      <c r="P52" s="4" t="s">
        <v>359</v>
      </c>
      <c r="Q52" s="4"/>
      <c r="R52" s="4"/>
      <c r="S52" s="4"/>
      <c r="T52" s="4"/>
      <c r="U52" s="4"/>
    </row>
    <row r="53" spans="2:21" ht="26.15" hidden="1" customHeight="1">
      <c r="B53" s="2">
        <v>51</v>
      </c>
      <c r="C53" s="3">
        <v>43977</v>
      </c>
      <c r="D53" s="20">
        <v>2020</v>
      </c>
      <c r="E53" s="4" t="s">
        <v>124</v>
      </c>
      <c r="F53" s="5">
        <v>280183</v>
      </c>
      <c r="G53" s="4" t="s">
        <v>360</v>
      </c>
      <c r="H53" s="4" t="s">
        <v>361</v>
      </c>
      <c r="I53" s="4"/>
      <c r="J53" s="4"/>
      <c r="K53" s="4"/>
      <c r="L53" s="2">
        <v>2019</v>
      </c>
      <c r="M53" s="4" t="s">
        <v>362</v>
      </c>
      <c r="N53" s="5">
        <v>280183</v>
      </c>
      <c r="O53" s="4" t="s">
        <v>363</v>
      </c>
      <c r="P53" s="4" t="s">
        <v>364</v>
      </c>
      <c r="Q53" s="4"/>
      <c r="R53" s="4"/>
      <c r="S53" s="4"/>
      <c r="T53" s="4"/>
      <c r="U53" s="4"/>
    </row>
    <row r="54" spans="2:21" ht="26.15" customHeight="1">
      <c r="B54" s="2">
        <v>52</v>
      </c>
      <c r="C54" s="3">
        <v>43977</v>
      </c>
      <c r="D54" s="20">
        <v>2020</v>
      </c>
      <c r="E54" s="4" t="s">
        <v>34</v>
      </c>
      <c r="F54" s="5">
        <v>7000000</v>
      </c>
      <c r="G54" s="4" t="s">
        <v>365</v>
      </c>
      <c r="H54" s="4" t="s">
        <v>366</v>
      </c>
      <c r="I54" s="4" t="s">
        <v>367</v>
      </c>
      <c r="J54" s="4"/>
      <c r="K54" s="4" t="s">
        <v>368</v>
      </c>
      <c r="L54" s="2">
        <v>2017</v>
      </c>
      <c r="M54" s="4" t="s">
        <v>369</v>
      </c>
      <c r="N54" s="5">
        <v>7000000</v>
      </c>
      <c r="O54" s="4" t="s">
        <v>370</v>
      </c>
      <c r="P54" s="4" t="s">
        <v>371</v>
      </c>
      <c r="Q54" s="4" t="s">
        <v>372</v>
      </c>
      <c r="R54" s="4"/>
      <c r="S54" s="4"/>
      <c r="T54" s="4"/>
      <c r="U54" s="4"/>
    </row>
    <row r="55" spans="2:21" ht="26.15" hidden="1" customHeight="1">
      <c r="B55" s="2">
        <v>53</v>
      </c>
      <c r="C55" s="3">
        <v>43976</v>
      </c>
      <c r="D55" s="20">
        <v>2020</v>
      </c>
      <c r="E55" s="4" t="s">
        <v>124</v>
      </c>
      <c r="F55" s="5">
        <v>280450</v>
      </c>
      <c r="G55" s="4" t="s">
        <v>373</v>
      </c>
      <c r="H55" s="4" t="s">
        <v>374</v>
      </c>
      <c r="I55" s="4"/>
      <c r="J55" s="4"/>
      <c r="K55" s="4"/>
      <c r="L55" s="2">
        <v>2016</v>
      </c>
      <c r="M55" s="4" t="s">
        <v>375</v>
      </c>
      <c r="N55" s="5">
        <v>280450</v>
      </c>
      <c r="O55" s="4" t="s">
        <v>376</v>
      </c>
      <c r="P55" s="4" t="s">
        <v>377</v>
      </c>
      <c r="Q55" s="4"/>
      <c r="R55" s="4"/>
      <c r="S55" s="4"/>
      <c r="T55" s="4"/>
      <c r="U55" s="4"/>
    </row>
    <row r="56" spans="2:21" ht="26.15" hidden="1" customHeight="1">
      <c r="B56" s="2">
        <v>54</v>
      </c>
      <c r="C56" s="3">
        <v>43971</v>
      </c>
      <c r="D56" s="20">
        <v>2020</v>
      </c>
      <c r="E56" s="4" t="s">
        <v>25</v>
      </c>
      <c r="F56" s="5">
        <v>5463940</v>
      </c>
      <c r="G56" s="4" t="s">
        <v>378</v>
      </c>
      <c r="H56" s="4" t="s">
        <v>379</v>
      </c>
      <c r="I56" s="4" t="s">
        <v>380</v>
      </c>
      <c r="J56" s="4"/>
      <c r="K56" s="4" t="s">
        <v>381</v>
      </c>
      <c r="L56" s="2">
        <v>2014</v>
      </c>
      <c r="M56" s="4" t="s">
        <v>382</v>
      </c>
      <c r="N56" s="5">
        <v>10111973</v>
      </c>
      <c r="O56" s="4" t="s">
        <v>383</v>
      </c>
      <c r="P56" s="4" t="s">
        <v>384</v>
      </c>
      <c r="Q56" s="4"/>
      <c r="R56" s="4"/>
      <c r="S56" s="4"/>
      <c r="T56" s="4"/>
      <c r="U56" s="4"/>
    </row>
    <row r="57" spans="2:21" ht="26.15" hidden="1" customHeight="1">
      <c r="B57" s="2">
        <v>55</v>
      </c>
      <c r="C57" s="3">
        <v>43970</v>
      </c>
      <c r="D57" s="20">
        <v>2020</v>
      </c>
      <c r="E57" s="4" t="s">
        <v>109</v>
      </c>
      <c r="F57" s="5">
        <v>6000000</v>
      </c>
      <c r="G57" s="4" t="s">
        <v>385</v>
      </c>
      <c r="H57" s="4" t="s">
        <v>386</v>
      </c>
      <c r="I57" s="4" t="s">
        <v>387</v>
      </c>
      <c r="J57" s="4"/>
      <c r="K57" s="4" t="s">
        <v>388</v>
      </c>
      <c r="L57" s="2">
        <v>2016</v>
      </c>
      <c r="M57" s="4" t="s">
        <v>39</v>
      </c>
      <c r="N57" s="5">
        <v>14260613</v>
      </c>
      <c r="O57" s="4" t="s">
        <v>389</v>
      </c>
      <c r="P57" s="4" t="s">
        <v>390</v>
      </c>
      <c r="Q57" s="4"/>
      <c r="R57" s="4"/>
      <c r="S57" s="4"/>
      <c r="T57" s="4"/>
      <c r="U57" s="4"/>
    </row>
    <row r="58" spans="2:21" ht="26.15" customHeight="1">
      <c r="B58" s="2">
        <v>56</v>
      </c>
      <c r="C58" s="3">
        <v>43969</v>
      </c>
      <c r="D58" s="20">
        <v>2020</v>
      </c>
      <c r="E58" s="4" t="s">
        <v>170</v>
      </c>
      <c r="F58" s="5">
        <v>280000</v>
      </c>
      <c r="G58" s="4" t="s">
        <v>171</v>
      </c>
      <c r="H58" s="4" t="s">
        <v>172</v>
      </c>
      <c r="I58" s="4"/>
      <c r="J58" s="4"/>
      <c r="K58" s="4"/>
      <c r="L58" s="2">
        <v>2012</v>
      </c>
      <c r="M58" s="4" t="s">
        <v>173</v>
      </c>
      <c r="N58" s="5"/>
      <c r="O58" s="4" t="s">
        <v>174</v>
      </c>
      <c r="P58" s="4" t="s">
        <v>175</v>
      </c>
      <c r="Q58" s="4" t="s">
        <v>176</v>
      </c>
      <c r="R58" s="4"/>
      <c r="S58" s="4"/>
      <c r="T58" s="4"/>
      <c r="U58" s="4"/>
    </row>
    <row r="59" spans="2:21" ht="26.15" hidden="1" customHeight="1">
      <c r="B59" s="2">
        <v>57</v>
      </c>
      <c r="C59" s="3">
        <v>43969</v>
      </c>
      <c r="D59" s="20">
        <v>2020</v>
      </c>
      <c r="E59" s="4" t="s">
        <v>34</v>
      </c>
      <c r="F59" s="5">
        <v>331715</v>
      </c>
      <c r="G59" s="4" t="s">
        <v>391</v>
      </c>
      <c r="H59" s="4" t="s">
        <v>392</v>
      </c>
      <c r="I59" s="4" t="s">
        <v>393</v>
      </c>
      <c r="J59" s="4" t="s">
        <v>394</v>
      </c>
      <c r="K59" s="4"/>
      <c r="L59" s="2">
        <v>2017</v>
      </c>
      <c r="M59" s="4" t="s">
        <v>395</v>
      </c>
      <c r="N59" s="5">
        <v>751549</v>
      </c>
      <c r="O59" s="4" t="s">
        <v>396</v>
      </c>
      <c r="P59" s="4" t="s">
        <v>397</v>
      </c>
      <c r="Q59" s="4"/>
      <c r="R59" s="4"/>
      <c r="S59" s="4"/>
      <c r="T59" s="4"/>
      <c r="U59" s="4"/>
    </row>
    <row r="60" spans="2:21" ht="26.15" hidden="1" customHeight="1">
      <c r="B60" s="2">
        <v>58</v>
      </c>
      <c r="C60" s="3">
        <v>43964</v>
      </c>
      <c r="D60" s="20">
        <v>2020</v>
      </c>
      <c r="E60" s="4" t="s">
        <v>109</v>
      </c>
      <c r="F60" s="5">
        <v>112096</v>
      </c>
      <c r="G60" s="4" t="s">
        <v>398</v>
      </c>
      <c r="H60" s="4" t="s">
        <v>399</v>
      </c>
      <c r="I60" s="4" t="s">
        <v>400</v>
      </c>
      <c r="J60" s="4"/>
      <c r="K60" s="4" t="s">
        <v>401</v>
      </c>
      <c r="L60" s="2">
        <v>2017</v>
      </c>
      <c r="M60" s="4" t="s">
        <v>79</v>
      </c>
      <c r="N60" s="5">
        <v>6930813</v>
      </c>
      <c r="O60" s="4" t="s">
        <v>402</v>
      </c>
      <c r="P60" s="4" t="s">
        <v>403</v>
      </c>
      <c r="Q60" s="4"/>
      <c r="R60" s="4"/>
      <c r="S60" s="4"/>
      <c r="T60" s="4"/>
      <c r="U60" s="4"/>
    </row>
    <row r="61" spans="2:21" ht="26.15" hidden="1" customHeight="1">
      <c r="B61" s="2">
        <v>59</v>
      </c>
      <c r="C61" s="3">
        <v>43964</v>
      </c>
      <c r="D61" s="20">
        <v>2020</v>
      </c>
      <c r="E61" s="4" t="s">
        <v>109</v>
      </c>
      <c r="F61" s="5">
        <v>5900000</v>
      </c>
      <c r="G61" s="4" t="s">
        <v>404</v>
      </c>
      <c r="H61" s="4" t="s">
        <v>405</v>
      </c>
      <c r="I61" s="4" t="s">
        <v>406</v>
      </c>
      <c r="J61" s="4"/>
      <c r="K61" s="4" t="s">
        <v>407</v>
      </c>
      <c r="L61" s="2">
        <v>2016</v>
      </c>
      <c r="M61" s="4" t="s">
        <v>79</v>
      </c>
      <c r="N61" s="5">
        <v>8750809</v>
      </c>
      <c r="O61" s="4" t="s">
        <v>408</v>
      </c>
      <c r="P61" s="4" t="s">
        <v>409</v>
      </c>
      <c r="Q61" s="4" t="s">
        <v>410</v>
      </c>
      <c r="R61" s="4"/>
      <c r="S61" s="4"/>
      <c r="T61" s="4"/>
      <c r="U61" s="4"/>
    </row>
    <row r="62" spans="2:21" ht="26.15" hidden="1" customHeight="1">
      <c r="B62" s="2">
        <v>60</v>
      </c>
      <c r="C62" s="3">
        <v>43959</v>
      </c>
      <c r="D62" s="20">
        <v>2020</v>
      </c>
      <c r="E62" s="4" t="s">
        <v>109</v>
      </c>
      <c r="F62" s="5">
        <v>14100500</v>
      </c>
      <c r="G62" s="4" t="s">
        <v>411</v>
      </c>
      <c r="H62" s="4" t="s">
        <v>412</v>
      </c>
      <c r="I62" s="4" t="s">
        <v>413</v>
      </c>
      <c r="J62" s="4"/>
      <c r="K62" s="4" t="s">
        <v>414</v>
      </c>
      <c r="L62" s="2">
        <v>2017</v>
      </c>
      <c r="M62" s="4" t="s">
        <v>415</v>
      </c>
      <c r="N62" s="5">
        <v>14100500</v>
      </c>
      <c r="O62" s="4" t="s">
        <v>416</v>
      </c>
      <c r="P62" s="4" t="s">
        <v>417</v>
      </c>
      <c r="Q62" s="4"/>
      <c r="R62" s="4"/>
      <c r="S62" s="4"/>
      <c r="T62" s="4"/>
      <c r="U62" s="4"/>
    </row>
    <row r="63" spans="2:21" ht="26.15" hidden="1" customHeight="1">
      <c r="B63" s="2">
        <v>61</v>
      </c>
      <c r="C63" s="3">
        <v>43956</v>
      </c>
      <c r="D63" s="20">
        <v>2020</v>
      </c>
      <c r="E63" s="4" t="s">
        <v>302</v>
      </c>
      <c r="F63" s="5">
        <v>931607</v>
      </c>
      <c r="G63" s="4" t="s">
        <v>398</v>
      </c>
      <c r="H63" s="4" t="s">
        <v>399</v>
      </c>
      <c r="I63" s="4" t="s">
        <v>400</v>
      </c>
      <c r="J63" s="4"/>
      <c r="K63" s="4"/>
      <c r="L63" s="2">
        <v>2017</v>
      </c>
      <c r="M63" s="4" t="s">
        <v>79</v>
      </c>
      <c r="N63" s="5">
        <v>6930813</v>
      </c>
      <c r="O63" s="4" t="s">
        <v>402</v>
      </c>
      <c r="P63" s="4" t="s">
        <v>403</v>
      </c>
      <c r="Q63" s="4"/>
      <c r="R63" s="4"/>
      <c r="S63" s="4"/>
      <c r="T63" s="4"/>
      <c r="U63" s="4"/>
    </row>
    <row r="64" spans="2:21" ht="26.15" hidden="1" customHeight="1">
      <c r="B64" s="2">
        <v>62</v>
      </c>
      <c r="C64" s="3">
        <v>43956</v>
      </c>
      <c r="D64" s="20">
        <v>2020</v>
      </c>
      <c r="E64" s="4" t="s">
        <v>34</v>
      </c>
      <c r="F64" s="5" t="s">
        <v>50</v>
      </c>
      <c r="G64" s="4" t="s">
        <v>281</v>
      </c>
      <c r="H64" s="4" t="s">
        <v>282</v>
      </c>
      <c r="I64" s="4" t="s">
        <v>418</v>
      </c>
      <c r="J64" s="4"/>
      <c r="K64" s="4"/>
      <c r="L64" s="2">
        <v>2018</v>
      </c>
      <c r="M64" s="4" t="s">
        <v>286</v>
      </c>
      <c r="N64" s="5"/>
      <c r="O64" s="4" t="s">
        <v>287</v>
      </c>
      <c r="P64" s="4" t="s">
        <v>288</v>
      </c>
      <c r="Q64" s="4"/>
      <c r="R64" s="4"/>
      <c r="S64" s="4"/>
      <c r="T64" s="4"/>
      <c r="U64" s="4"/>
    </row>
    <row r="65" spans="2:21" ht="26.15" hidden="1" customHeight="1">
      <c r="B65" s="2">
        <v>63</v>
      </c>
      <c r="C65" s="3">
        <v>43941</v>
      </c>
      <c r="D65" s="20">
        <v>2020</v>
      </c>
      <c r="E65" s="4" t="s">
        <v>109</v>
      </c>
      <c r="F65" s="5">
        <v>12000000</v>
      </c>
      <c r="G65" s="4" t="s">
        <v>419</v>
      </c>
      <c r="H65" s="4" t="s">
        <v>420</v>
      </c>
      <c r="I65" s="4" t="s">
        <v>421</v>
      </c>
      <c r="J65" s="4"/>
      <c r="K65" s="4" t="s">
        <v>422</v>
      </c>
      <c r="L65" s="2">
        <v>2019</v>
      </c>
      <c r="M65" s="4" t="s">
        <v>128</v>
      </c>
      <c r="N65" s="5">
        <v>14591780</v>
      </c>
      <c r="O65" s="4" t="s">
        <v>423</v>
      </c>
      <c r="P65" s="4" t="s">
        <v>424</v>
      </c>
      <c r="Q65" s="4" t="s">
        <v>425</v>
      </c>
      <c r="R65" s="4"/>
      <c r="S65" s="4"/>
      <c r="T65" s="4"/>
      <c r="U65" s="4"/>
    </row>
    <row r="66" spans="2:21" ht="26.15" customHeight="1">
      <c r="B66" s="2">
        <v>64</v>
      </c>
      <c r="C66" s="3">
        <v>43937</v>
      </c>
      <c r="D66" s="20">
        <v>2020</v>
      </c>
      <c r="E66" s="4" t="s">
        <v>109</v>
      </c>
      <c r="F66" s="5">
        <v>3000000</v>
      </c>
      <c r="G66" s="4" t="s">
        <v>426</v>
      </c>
      <c r="H66" s="4" t="s">
        <v>427</v>
      </c>
      <c r="I66" s="4" t="s">
        <v>428</v>
      </c>
      <c r="J66" s="4"/>
      <c r="K66" s="4" t="s">
        <v>429</v>
      </c>
      <c r="L66" s="2">
        <v>2014</v>
      </c>
      <c r="M66" s="4" t="s">
        <v>173</v>
      </c>
      <c r="N66" s="5">
        <v>5000000</v>
      </c>
      <c r="O66" s="4" t="s">
        <v>430</v>
      </c>
      <c r="P66" s="4" t="s">
        <v>431</v>
      </c>
      <c r="Q66" s="4"/>
      <c r="R66" s="4"/>
      <c r="S66" s="4"/>
      <c r="T66" s="4"/>
      <c r="U66" s="4"/>
    </row>
    <row r="67" spans="2:21" ht="26.15" hidden="1" customHeight="1">
      <c r="B67" s="2">
        <v>65</v>
      </c>
      <c r="C67" s="3">
        <v>43936</v>
      </c>
      <c r="D67" s="20">
        <v>2020</v>
      </c>
      <c r="E67" s="4" t="s">
        <v>170</v>
      </c>
      <c r="F67" s="5">
        <v>19520500</v>
      </c>
      <c r="G67" s="4" t="s">
        <v>432</v>
      </c>
      <c r="H67" s="4" t="s">
        <v>433</v>
      </c>
      <c r="I67" s="4"/>
      <c r="J67" s="4"/>
      <c r="K67" s="4"/>
      <c r="L67" s="2">
        <v>1997</v>
      </c>
      <c r="M67" s="4" t="s">
        <v>278</v>
      </c>
      <c r="N67" s="5"/>
      <c r="O67" s="4" t="s">
        <v>434</v>
      </c>
      <c r="P67" s="4" t="s">
        <v>435</v>
      </c>
      <c r="Q67" s="4"/>
      <c r="R67" s="4"/>
      <c r="S67" s="4"/>
      <c r="T67" s="4"/>
      <c r="U67" s="4"/>
    </row>
    <row r="68" spans="2:21" ht="26.15" hidden="1" customHeight="1">
      <c r="B68" s="2">
        <v>66</v>
      </c>
      <c r="C68" s="3">
        <v>43935</v>
      </c>
      <c r="D68" s="20">
        <v>2020</v>
      </c>
      <c r="E68" s="4" t="s">
        <v>34</v>
      </c>
      <c r="F68" s="5">
        <v>194267</v>
      </c>
      <c r="G68" s="4" t="s">
        <v>436</v>
      </c>
      <c r="H68" s="4" t="s">
        <v>437</v>
      </c>
      <c r="I68" s="4" t="s">
        <v>438</v>
      </c>
      <c r="J68" s="4"/>
      <c r="K68" s="4" t="s">
        <v>439</v>
      </c>
      <c r="L68" s="2">
        <v>2016</v>
      </c>
      <c r="M68" s="4" t="s">
        <v>440</v>
      </c>
      <c r="N68" s="5">
        <v>194267</v>
      </c>
      <c r="O68" s="4" t="s">
        <v>441</v>
      </c>
      <c r="P68" s="4" t="s">
        <v>442</v>
      </c>
      <c r="Q68" s="4"/>
      <c r="R68" s="4"/>
      <c r="S68" s="4"/>
      <c r="T68" s="4"/>
      <c r="U68" s="4"/>
    </row>
    <row r="69" spans="2:21" ht="26.15" hidden="1" customHeight="1">
      <c r="B69" s="2">
        <v>67</v>
      </c>
      <c r="C69" s="3">
        <v>43934</v>
      </c>
      <c r="D69" s="20">
        <v>2020</v>
      </c>
      <c r="E69" s="4" t="s">
        <v>109</v>
      </c>
      <c r="F69" s="5">
        <v>3783830</v>
      </c>
      <c r="G69" s="4" t="s">
        <v>443</v>
      </c>
      <c r="H69" s="4" t="s">
        <v>444</v>
      </c>
      <c r="I69" s="4" t="s">
        <v>445</v>
      </c>
      <c r="J69" s="4"/>
      <c r="K69" s="4" t="s">
        <v>446</v>
      </c>
      <c r="L69" s="2">
        <v>2018</v>
      </c>
      <c r="M69" s="4" t="s">
        <v>56</v>
      </c>
      <c r="N69" s="5">
        <v>4804090</v>
      </c>
      <c r="O69" s="4" t="s">
        <v>447</v>
      </c>
      <c r="P69" s="4" t="s">
        <v>448</v>
      </c>
      <c r="Q69" s="4"/>
      <c r="R69" s="4"/>
      <c r="S69" s="4"/>
      <c r="T69" s="4"/>
      <c r="U69" s="4"/>
    </row>
    <row r="70" spans="2:21" ht="26.15" hidden="1" customHeight="1">
      <c r="B70" s="2">
        <v>68</v>
      </c>
      <c r="C70" s="3">
        <v>43930</v>
      </c>
      <c r="D70" s="20">
        <v>2020</v>
      </c>
      <c r="E70" s="4" t="s">
        <v>34</v>
      </c>
      <c r="F70" s="5">
        <v>659256</v>
      </c>
      <c r="G70" s="4" t="s">
        <v>160</v>
      </c>
      <c r="H70" s="4" t="s">
        <v>161</v>
      </c>
      <c r="I70" s="4" t="s">
        <v>449</v>
      </c>
      <c r="J70" s="4" t="s">
        <v>450</v>
      </c>
      <c r="K70" s="4" t="s">
        <v>451</v>
      </c>
      <c r="L70" s="2">
        <v>2016</v>
      </c>
      <c r="M70" s="4" t="s">
        <v>128</v>
      </c>
      <c r="N70" s="5">
        <v>5866696</v>
      </c>
      <c r="O70" s="4" t="s">
        <v>164</v>
      </c>
      <c r="P70" s="4" t="s">
        <v>165</v>
      </c>
      <c r="Q70" s="4"/>
      <c r="R70" s="4"/>
      <c r="S70" s="4"/>
      <c r="T70" s="4"/>
      <c r="U70" s="4"/>
    </row>
    <row r="71" spans="2:21" ht="26.15" hidden="1" customHeight="1">
      <c r="B71" s="2">
        <v>69</v>
      </c>
      <c r="C71" s="3">
        <v>43927</v>
      </c>
      <c r="D71" s="20">
        <v>2020</v>
      </c>
      <c r="E71" s="4" t="s">
        <v>109</v>
      </c>
      <c r="F71" s="5">
        <v>20600000</v>
      </c>
      <c r="G71" s="4" t="s">
        <v>452</v>
      </c>
      <c r="H71" s="4" t="s">
        <v>453</v>
      </c>
      <c r="I71" s="4" t="s">
        <v>454</v>
      </c>
      <c r="J71" s="4"/>
      <c r="K71" s="4"/>
      <c r="L71" s="2">
        <v>2016</v>
      </c>
      <c r="M71" s="4" t="s">
        <v>455</v>
      </c>
      <c r="N71" s="5">
        <v>28150000</v>
      </c>
      <c r="O71" s="4" t="s">
        <v>456</v>
      </c>
      <c r="P71" s="4" t="s">
        <v>457</v>
      </c>
      <c r="Q71" s="4"/>
      <c r="R71" s="4"/>
      <c r="S71" s="4"/>
      <c r="T71" s="4"/>
      <c r="U71" s="4"/>
    </row>
    <row r="72" spans="2:21" ht="26.15" hidden="1" customHeight="1">
      <c r="B72" s="2">
        <v>70</v>
      </c>
      <c r="C72" s="3">
        <v>43927</v>
      </c>
      <c r="D72" s="20">
        <v>2020</v>
      </c>
      <c r="E72" s="4" t="s">
        <v>109</v>
      </c>
      <c r="F72" s="5">
        <v>12000000</v>
      </c>
      <c r="G72" s="4" t="s">
        <v>458</v>
      </c>
      <c r="H72" s="4" t="s">
        <v>459</v>
      </c>
      <c r="I72" s="4" t="s">
        <v>460</v>
      </c>
      <c r="J72" s="4"/>
      <c r="K72" s="4" t="s">
        <v>461</v>
      </c>
      <c r="L72" s="2">
        <v>2012</v>
      </c>
      <c r="M72" s="4" t="s">
        <v>462</v>
      </c>
      <c r="N72" s="5">
        <v>16507907</v>
      </c>
      <c r="O72" s="4" t="s">
        <v>463</v>
      </c>
      <c r="P72" s="4" t="s">
        <v>464</v>
      </c>
      <c r="Q72" s="4" t="s">
        <v>465</v>
      </c>
      <c r="R72" s="4"/>
      <c r="S72" s="4"/>
      <c r="T72" s="4"/>
      <c r="U72" s="4"/>
    </row>
    <row r="73" spans="2:21" ht="26.15" customHeight="1">
      <c r="B73" s="2">
        <v>71</v>
      </c>
      <c r="C73" s="3">
        <v>43927</v>
      </c>
      <c r="D73" s="20">
        <v>2020</v>
      </c>
      <c r="E73" s="4" t="s">
        <v>184</v>
      </c>
      <c r="F73" s="5" t="s">
        <v>50</v>
      </c>
      <c r="G73" s="4" t="s">
        <v>466</v>
      </c>
      <c r="H73" s="4" t="s">
        <v>467</v>
      </c>
      <c r="I73" s="4" t="s">
        <v>468</v>
      </c>
      <c r="J73" s="4"/>
      <c r="K73" s="4"/>
      <c r="L73" s="2">
        <v>2017</v>
      </c>
      <c r="M73" s="4" t="s">
        <v>357</v>
      </c>
      <c r="N73" s="5">
        <v>3000000</v>
      </c>
      <c r="O73" s="4" t="s">
        <v>469</v>
      </c>
      <c r="P73" s="4" t="s">
        <v>470</v>
      </c>
      <c r="Q73" s="4"/>
      <c r="R73" s="4"/>
      <c r="S73" s="4"/>
      <c r="T73" s="4"/>
      <c r="U73" s="4"/>
    </row>
    <row r="74" spans="2:21" ht="26.15" customHeight="1">
      <c r="B74" s="2">
        <v>72</v>
      </c>
      <c r="C74" s="3">
        <v>43927</v>
      </c>
      <c r="D74" s="20">
        <v>2020</v>
      </c>
      <c r="E74" s="4" t="s">
        <v>109</v>
      </c>
      <c r="F74" s="5">
        <v>3000000</v>
      </c>
      <c r="G74" s="4" t="s">
        <v>466</v>
      </c>
      <c r="H74" s="4" t="s">
        <v>467</v>
      </c>
      <c r="I74" s="4" t="s">
        <v>471</v>
      </c>
      <c r="J74" s="4"/>
      <c r="K74" s="4"/>
      <c r="L74" s="2">
        <v>2017</v>
      </c>
      <c r="M74" s="4" t="s">
        <v>357</v>
      </c>
      <c r="N74" s="5">
        <v>3000000</v>
      </c>
      <c r="O74" s="4" t="s">
        <v>469</v>
      </c>
      <c r="P74" s="4" t="s">
        <v>470</v>
      </c>
      <c r="Q74" s="4" t="s">
        <v>472</v>
      </c>
      <c r="R74" s="4"/>
      <c r="S74" s="4"/>
      <c r="T74" s="4"/>
      <c r="U74" s="4"/>
    </row>
    <row r="75" spans="2:21" ht="26.15" hidden="1" customHeight="1">
      <c r="B75" s="2">
        <v>73</v>
      </c>
      <c r="C75" s="3">
        <v>43923</v>
      </c>
      <c r="D75" s="20">
        <v>2020</v>
      </c>
      <c r="E75" s="4" t="s">
        <v>289</v>
      </c>
      <c r="F75" s="5">
        <v>5000000</v>
      </c>
      <c r="G75" s="4" t="s">
        <v>473</v>
      </c>
      <c r="H75" s="4" t="s">
        <v>474</v>
      </c>
      <c r="I75" s="4" t="s">
        <v>321</v>
      </c>
      <c r="J75" s="4"/>
      <c r="K75" s="4"/>
      <c r="L75" s="2">
        <v>2014</v>
      </c>
      <c r="M75" s="4" t="s">
        <v>39</v>
      </c>
      <c r="N75" s="5">
        <v>46450000</v>
      </c>
      <c r="O75" s="4" t="s">
        <v>475</v>
      </c>
      <c r="P75" s="4" t="s">
        <v>476</v>
      </c>
      <c r="Q75" s="4"/>
      <c r="R75" s="4"/>
      <c r="S75" s="4"/>
      <c r="T75" s="4"/>
      <c r="U75" s="4"/>
    </row>
    <row r="76" spans="2:21" ht="26.15" hidden="1" customHeight="1">
      <c r="B76" s="2">
        <v>74</v>
      </c>
      <c r="C76" s="3">
        <v>43922</v>
      </c>
      <c r="D76" s="20">
        <v>2020</v>
      </c>
      <c r="E76" s="4" t="s">
        <v>34</v>
      </c>
      <c r="F76" s="5">
        <v>150000</v>
      </c>
      <c r="G76" s="4" t="s">
        <v>477</v>
      </c>
      <c r="H76" s="4" t="s">
        <v>478</v>
      </c>
      <c r="I76" s="4" t="s">
        <v>479</v>
      </c>
      <c r="J76" s="4"/>
      <c r="K76" s="4" t="s">
        <v>480</v>
      </c>
      <c r="L76" s="2">
        <v>2020</v>
      </c>
      <c r="M76" s="4" t="s">
        <v>79</v>
      </c>
      <c r="N76" s="5">
        <v>150000</v>
      </c>
      <c r="O76" s="4" t="s">
        <v>481</v>
      </c>
      <c r="P76" s="4" t="s">
        <v>482</v>
      </c>
      <c r="Q76" s="4"/>
      <c r="R76" s="4"/>
      <c r="S76" s="4"/>
      <c r="T76" s="4"/>
      <c r="U76" s="4"/>
    </row>
    <row r="77" spans="2:21" ht="26.15" hidden="1" customHeight="1">
      <c r="B77" s="2">
        <v>75</v>
      </c>
      <c r="C77" s="3">
        <v>43922</v>
      </c>
      <c r="D77" s="20">
        <v>2020</v>
      </c>
      <c r="E77" s="4" t="s">
        <v>109</v>
      </c>
      <c r="F77" s="5">
        <v>5000000</v>
      </c>
      <c r="G77" s="4" t="s">
        <v>110</v>
      </c>
      <c r="H77" s="4" t="s">
        <v>111</v>
      </c>
      <c r="I77" s="4" t="s">
        <v>483</v>
      </c>
      <c r="J77" s="4"/>
      <c r="K77" s="4" t="s">
        <v>484</v>
      </c>
      <c r="L77" s="2">
        <v>2010</v>
      </c>
      <c r="M77" s="4" t="s">
        <v>79</v>
      </c>
      <c r="N77" s="5">
        <v>10726419</v>
      </c>
      <c r="O77" s="4" t="s">
        <v>114</v>
      </c>
      <c r="P77" s="4" t="s">
        <v>115</v>
      </c>
      <c r="Q77" s="4"/>
      <c r="R77" s="4"/>
      <c r="S77" s="4"/>
      <c r="T77" s="4"/>
      <c r="U77" s="4"/>
    </row>
    <row r="78" spans="2:21" ht="26.15" hidden="1" customHeight="1">
      <c r="B78" s="2">
        <v>76</v>
      </c>
      <c r="C78" s="3">
        <v>43922</v>
      </c>
      <c r="D78" s="20">
        <v>2020</v>
      </c>
      <c r="E78" s="4" t="s">
        <v>109</v>
      </c>
      <c r="F78" s="5">
        <v>17000000</v>
      </c>
      <c r="G78" s="4" t="s">
        <v>485</v>
      </c>
      <c r="H78" s="4" t="s">
        <v>486</v>
      </c>
      <c r="I78" s="4" t="s">
        <v>487</v>
      </c>
      <c r="J78" s="4"/>
      <c r="K78" s="4" t="s">
        <v>488</v>
      </c>
      <c r="L78" s="2">
        <v>2015</v>
      </c>
      <c r="M78" s="4" t="s">
        <v>207</v>
      </c>
      <c r="N78" s="5">
        <v>29000000</v>
      </c>
      <c r="O78" s="4" t="s">
        <v>489</v>
      </c>
      <c r="P78" s="4" t="s">
        <v>490</v>
      </c>
      <c r="Q78" s="4"/>
      <c r="R78" s="4"/>
      <c r="S78" s="4"/>
      <c r="T78" s="4"/>
      <c r="U78" s="4"/>
    </row>
    <row r="79" spans="2:21" ht="26.15" hidden="1" customHeight="1">
      <c r="B79" s="2">
        <v>77</v>
      </c>
      <c r="C79" s="3">
        <v>43922</v>
      </c>
      <c r="D79" s="20">
        <v>2020</v>
      </c>
      <c r="E79" s="4" t="s">
        <v>34</v>
      </c>
      <c r="F79" s="5">
        <v>213680</v>
      </c>
      <c r="G79" s="4" t="s">
        <v>404</v>
      </c>
      <c r="H79" s="4" t="s">
        <v>405</v>
      </c>
      <c r="I79" s="4" t="s">
        <v>491</v>
      </c>
      <c r="J79" s="4"/>
      <c r="K79" s="4" t="s">
        <v>492</v>
      </c>
      <c r="L79" s="2">
        <v>2016</v>
      </c>
      <c r="M79" s="4" t="s">
        <v>79</v>
      </c>
      <c r="N79" s="5">
        <v>8750809</v>
      </c>
      <c r="O79" s="4" t="s">
        <v>408</v>
      </c>
      <c r="P79" s="4" t="s">
        <v>409</v>
      </c>
      <c r="Q79" s="4"/>
      <c r="R79" s="4"/>
      <c r="S79" s="4"/>
      <c r="T79" s="4"/>
      <c r="U79" s="4"/>
    </row>
    <row r="80" spans="2:21" ht="26.15" hidden="1" customHeight="1">
      <c r="B80" s="2">
        <v>78</v>
      </c>
      <c r="C80" s="3">
        <v>43909</v>
      </c>
      <c r="D80" s="20">
        <v>2020</v>
      </c>
      <c r="E80" s="4" t="s">
        <v>109</v>
      </c>
      <c r="F80" s="5">
        <v>10000000</v>
      </c>
      <c r="G80" s="4" t="s">
        <v>493</v>
      </c>
      <c r="H80" s="4" t="s">
        <v>494</v>
      </c>
      <c r="I80" s="4" t="s">
        <v>495</v>
      </c>
      <c r="J80" s="4"/>
      <c r="K80" s="4" t="s">
        <v>496</v>
      </c>
      <c r="L80" s="2">
        <v>2019</v>
      </c>
      <c r="M80" s="4" t="s">
        <v>497</v>
      </c>
      <c r="N80" s="5">
        <v>10000000</v>
      </c>
      <c r="O80" s="4" t="s">
        <v>498</v>
      </c>
      <c r="P80" s="4" t="s">
        <v>499</v>
      </c>
      <c r="Q80" s="4"/>
      <c r="R80" s="4"/>
      <c r="S80" s="4"/>
      <c r="T80" s="4"/>
      <c r="U80" s="4"/>
    </row>
    <row r="81" spans="2:21" ht="26.15" hidden="1" customHeight="1">
      <c r="B81" s="2">
        <v>79</v>
      </c>
      <c r="C81" s="3">
        <v>43908</v>
      </c>
      <c r="D81" s="20">
        <v>2020</v>
      </c>
      <c r="E81" s="4" t="s">
        <v>34</v>
      </c>
      <c r="F81" s="5">
        <v>3373115</v>
      </c>
      <c r="G81" s="4" t="s">
        <v>500</v>
      </c>
      <c r="H81" s="4" t="s">
        <v>501</v>
      </c>
      <c r="I81" s="4" t="s">
        <v>502</v>
      </c>
      <c r="J81" s="4" t="s">
        <v>503</v>
      </c>
      <c r="K81" s="4" t="s">
        <v>504</v>
      </c>
      <c r="L81" s="2">
        <v>2015</v>
      </c>
      <c r="M81" s="4" t="s">
        <v>56</v>
      </c>
      <c r="N81" s="5">
        <v>3493115</v>
      </c>
      <c r="O81" s="4" t="s">
        <v>505</v>
      </c>
      <c r="P81" s="4" t="s">
        <v>506</v>
      </c>
      <c r="Q81" s="4"/>
      <c r="R81" s="4"/>
      <c r="S81" s="4"/>
      <c r="T81" s="4"/>
      <c r="U81" s="4"/>
    </row>
    <row r="82" spans="2:21" ht="26.15" hidden="1" customHeight="1">
      <c r="B82" s="2">
        <v>80</v>
      </c>
      <c r="C82" s="3">
        <v>43901</v>
      </c>
      <c r="D82" s="20">
        <v>2020</v>
      </c>
      <c r="E82" s="4" t="s">
        <v>124</v>
      </c>
      <c r="F82" s="5" t="s">
        <v>50</v>
      </c>
      <c r="G82" s="4" t="s">
        <v>507</v>
      </c>
      <c r="H82" s="4" t="s">
        <v>508</v>
      </c>
      <c r="I82" s="4"/>
      <c r="J82" s="4" t="s">
        <v>509</v>
      </c>
      <c r="K82" s="4" t="s">
        <v>509</v>
      </c>
      <c r="L82" s="2">
        <v>2014</v>
      </c>
      <c r="M82" s="4" t="s">
        <v>47</v>
      </c>
      <c r="N82" s="5">
        <v>1000000</v>
      </c>
      <c r="O82" s="4" t="s">
        <v>510</v>
      </c>
      <c r="P82" s="4" t="s">
        <v>511</v>
      </c>
      <c r="Q82" s="4"/>
      <c r="R82" s="4"/>
      <c r="S82" s="4"/>
      <c r="T82" s="4"/>
      <c r="U82" s="4"/>
    </row>
    <row r="83" spans="2:21" ht="26.15" hidden="1" customHeight="1">
      <c r="B83" s="2">
        <v>81</v>
      </c>
      <c r="C83" s="3">
        <v>43901</v>
      </c>
      <c r="D83" s="20">
        <v>2020</v>
      </c>
      <c r="E83" s="4" t="s">
        <v>34</v>
      </c>
      <c r="F83" s="5">
        <v>100000</v>
      </c>
      <c r="G83" s="4" t="s">
        <v>512</v>
      </c>
      <c r="H83" s="4" t="s">
        <v>513</v>
      </c>
      <c r="I83" s="4" t="s">
        <v>514</v>
      </c>
      <c r="J83" s="4"/>
      <c r="K83" s="4" t="s">
        <v>515</v>
      </c>
      <c r="L83" s="2">
        <v>2014</v>
      </c>
      <c r="M83" s="4" t="s">
        <v>516</v>
      </c>
      <c r="N83" s="5">
        <v>400000</v>
      </c>
      <c r="O83" s="4" t="s">
        <v>517</v>
      </c>
      <c r="P83" s="4" t="s">
        <v>518</v>
      </c>
      <c r="Q83" s="4"/>
      <c r="R83" s="4"/>
      <c r="S83" s="4"/>
      <c r="T83" s="4"/>
      <c r="U83" s="4"/>
    </row>
    <row r="84" spans="2:21" ht="26.15" hidden="1" customHeight="1">
      <c r="B84" s="2">
        <v>82</v>
      </c>
      <c r="C84" s="3">
        <v>43899</v>
      </c>
      <c r="D84" s="20">
        <v>2020</v>
      </c>
      <c r="E84" s="4" t="s">
        <v>170</v>
      </c>
      <c r="F84" s="5">
        <v>42500000</v>
      </c>
      <c r="G84" s="4" t="s">
        <v>519</v>
      </c>
      <c r="H84" s="4" t="s">
        <v>520</v>
      </c>
      <c r="I84" s="4" t="s">
        <v>521</v>
      </c>
      <c r="J84" s="4"/>
      <c r="K84" s="4"/>
      <c r="L84" s="2">
        <v>2019</v>
      </c>
      <c r="M84" s="4" t="s">
        <v>30</v>
      </c>
      <c r="N84" s="5"/>
      <c r="O84" s="4" t="s">
        <v>522</v>
      </c>
      <c r="P84" s="4" t="s">
        <v>294</v>
      </c>
      <c r="Q84" s="4"/>
      <c r="R84" s="4"/>
      <c r="S84" s="4"/>
      <c r="T84" s="4"/>
      <c r="U84" s="4"/>
    </row>
    <row r="85" spans="2:21" ht="26.15" hidden="1" customHeight="1">
      <c r="B85" s="2">
        <v>83</v>
      </c>
      <c r="C85" s="3">
        <v>43894</v>
      </c>
      <c r="D85" s="20">
        <v>2020</v>
      </c>
      <c r="E85" s="4" t="s">
        <v>34</v>
      </c>
      <c r="F85" s="5">
        <v>450924</v>
      </c>
      <c r="G85" s="4" t="s">
        <v>523</v>
      </c>
      <c r="H85" s="4" t="s">
        <v>524</v>
      </c>
      <c r="I85" s="4" t="s">
        <v>525</v>
      </c>
      <c r="J85" s="4" t="s">
        <v>526</v>
      </c>
      <c r="K85" s="4"/>
      <c r="L85" s="2">
        <v>2016</v>
      </c>
      <c r="M85" s="4" t="s">
        <v>121</v>
      </c>
      <c r="N85" s="5">
        <v>452321</v>
      </c>
      <c r="O85" s="4" t="s">
        <v>116</v>
      </c>
      <c r="P85" s="4" t="s">
        <v>527</v>
      </c>
      <c r="Q85" s="4"/>
      <c r="R85" s="4"/>
      <c r="S85" s="4"/>
      <c r="T85" s="4"/>
      <c r="U85" s="4"/>
    </row>
    <row r="86" spans="2:21" ht="26.15" hidden="1" customHeight="1">
      <c r="B86" s="2">
        <v>84</v>
      </c>
      <c r="C86" s="3">
        <v>43889</v>
      </c>
      <c r="D86" s="20">
        <v>2020</v>
      </c>
      <c r="E86" s="4" t="s">
        <v>528</v>
      </c>
      <c r="F86" s="5" t="s">
        <v>50</v>
      </c>
      <c r="G86" s="4" t="s">
        <v>529</v>
      </c>
      <c r="H86" s="4" t="s">
        <v>530</v>
      </c>
      <c r="I86" s="4" t="s">
        <v>531</v>
      </c>
      <c r="J86" s="4"/>
      <c r="K86" s="4" t="s">
        <v>532</v>
      </c>
      <c r="L86" s="2">
        <v>1993</v>
      </c>
      <c r="M86" s="4" t="s">
        <v>195</v>
      </c>
      <c r="N86" s="5"/>
      <c r="O86" s="4" t="s">
        <v>533</v>
      </c>
      <c r="P86" s="4" t="s">
        <v>294</v>
      </c>
      <c r="Q86" s="4"/>
      <c r="R86" s="4"/>
      <c r="S86" s="4"/>
      <c r="T86" s="4"/>
      <c r="U86" s="4"/>
    </row>
    <row r="87" spans="2:21" ht="26.15" hidden="1" customHeight="1">
      <c r="B87" s="2">
        <v>85</v>
      </c>
      <c r="C87" s="3">
        <v>43874</v>
      </c>
      <c r="D87" s="20">
        <v>2020</v>
      </c>
      <c r="E87" s="4" t="s">
        <v>109</v>
      </c>
      <c r="F87" s="5">
        <v>5500000</v>
      </c>
      <c r="G87" s="4" t="s">
        <v>398</v>
      </c>
      <c r="H87" s="4" t="s">
        <v>399</v>
      </c>
      <c r="I87" s="4" t="s">
        <v>534</v>
      </c>
      <c r="J87" s="4"/>
      <c r="K87" s="4" t="s">
        <v>535</v>
      </c>
      <c r="L87" s="2">
        <v>2017</v>
      </c>
      <c r="M87" s="4" t="s">
        <v>79</v>
      </c>
      <c r="N87" s="5">
        <v>6930813</v>
      </c>
      <c r="O87" s="4" t="s">
        <v>402</v>
      </c>
      <c r="P87" s="4" t="s">
        <v>403</v>
      </c>
      <c r="Q87" s="4"/>
      <c r="R87" s="4"/>
      <c r="S87" s="4"/>
      <c r="T87" s="4"/>
      <c r="U87" s="4"/>
    </row>
    <row r="88" spans="2:21" ht="26.15" hidden="1" customHeight="1">
      <c r="B88" s="2">
        <v>86</v>
      </c>
      <c r="C88" s="3">
        <v>43872</v>
      </c>
      <c r="D88" s="20">
        <v>2020</v>
      </c>
      <c r="E88" s="4" t="s">
        <v>34</v>
      </c>
      <c r="F88" s="5" t="s">
        <v>50</v>
      </c>
      <c r="G88" s="4" t="s">
        <v>536</v>
      </c>
      <c r="H88" s="4" t="s">
        <v>537</v>
      </c>
      <c r="I88" s="4"/>
      <c r="J88" s="4"/>
      <c r="K88" s="4"/>
      <c r="L88" s="2">
        <v>2016</v>
      </c>
      <c r="M88" s="4" t="s">
        <v>538</v>
      </c>
      <c r="N88" s="5"/>
      <c r="O88" s="4" t="s">
        <v>539</v>
      </c>
      <c r="P88" s="4" t="s">
        <v>540</v>
      </c>
      <c r="Q88" s="4"/>
      <c r="R88" s="4"/>
      <c r="S88" s="4"/>
      <c r="T88" s="4"/>
      <c r="U88" s="4"/>
    </row>
    <row r="89" spans="2:21" ht="26.15" hidden="1" customHeight="1">
      <c r="B89" s="2">
        <v>87</v>
      </c>
      <c r="C89" s="3">
        <v>43867</v>
      </c>
      <c r="D89" s="20">
        <v>2020</v>
      </c>
      <c r="E89" s="4" t="s">
        <v>302</v>
      </c>
      <c r="F89" s="5" t="s">
        <v>50</v>
      </c>
      <c r="G89" s="4" t="s">
        <v>185</v>
      </c>
      <c r="H89" s="4" t="s">
        <v>186</v>
      </c>
      <c r="I89" s="4" t="s">
        <v>541</v>
      </c>
      <c r="J89" s="4"/>
      <c r="K89" s="4"/>
      <c r="L89" s="2">
        <v>2015</v>
      </c>
      <c r="M89" s="4" t="s">
        <v>188</v>
      </c>
      <c r="N89" s="5">
        <v>65736870</v>
      </c>
      <c r="O89" s="4" t="s">
        <v>189</v>
      </c>
      <c r="P89" s="4" t="s">
        <v>190</v>
      </c>
      <c r="Q89" s="4"/>
      <c r="R89" s="4"/>
      <c r="S89" s="4"/>
      <c r="T89" s="4"/>
      <c r="U89" s="4"/>
    </row>
    <row r="90" spans="2:21" ht="26.15" hidden="1" customHeight="1">
      <c r="B90" s="2">
        <v>88</v>
      </c>
      <c r="C90" s="3">
        <v>43867</v>
      </c>
      <c r="D90" s="20">
        <v>2020</v>
      </c>
      <c r="E90" s="4" t="s">
        <v>95</v>
      </c>
      <c r="F90" s="5">
        <v>35100200</v>
      </c>
      <c r="G90" s="4" t="s">
        <v>185</v>
      </c>
      <c r="H90" s="4" t="s">
        <v>186</v>
      </c>
      <c r="I90" s="4" t="s">
        <v>542</v>
      </c>
      <c r="J90" s="4"/>
      <c r="K90" s="4" t="s">
        <v>543</v>
      </c>
      <c r="L90" s="2">
        <v>2015</v>
      </c>
      <c r="M90" s="4" t="s">
        <v>188</v>
      </c>
      <c r="N90" s="5">
        <v>65736870</v>
      </c>
      <c r="O90" s="4" t="s">
        <v>189</v>
      </c>
      <c r="P90" s="4" t="s">
        <v>190</v>
      </c>
      <c r="Q90" s="4"/>
      <c r="R90" s="4"/>
      <c r="S90" s="4"/>
      <c r="T90" s="4"/>
      <c r="U90" s="4"/>
    </row>
    <row r="91" spans="2:21" ht="26.15" hidden="1" customHeight="1">
      <c r="B91" s="2">
        <v>89</v>
      </c>
      <c r="C91" s="3">
        <v>43865</v>
      </c>
      <c r="D91" s="20">
        <v>2020</v>
      </c>
      <c r="E91" s="4" t="s">
        <v>289</v>
      </c>
      <c r="F91" s="5">
        <v>20000000</v>
      </c>
      <c r="G91" s="4" t="s">
        <v>544</v>
      </c>
      <c r="H91" s="4" t="s">
        <v>545</v>
      </c>
      <c r="I91" s="4" t="s">
        <v>546</v>
      </c>
      <c r="J91" s="4"/>
      <c r="K91" s="4"/>
      <c r="L91" s="2">
        <v>2007</v>
      </c>
      <c r="M91" s="4" t="s">
        <v>547</v>
      </c>
      <c r="N91" s="5">
        <v>40000000</v>
      </c>
      <c r="O91" s="4" t="s">
        <v>548</v>
      </c>
      <c r="P91" s="4" t="s">
        <v>549</v>
      </c>
      <c r="Q91" s="4"/>
      <c r="R91" s="4"/>
      <c r="S91" s="4"/>
      <c r="T91" s="4"/>
      <c r="U91" s="4"/>
    </row>
    <row r="92" spans="2:21" ht="26.15" hidden="1" customHeight="1">
      <c r="B92" s="2">
        <v>90</v>
      </c>
      <c r="C92" s="3">
        <v>43865</v>
      </c>
      <c r="D92" s="20">
        <v>2020</v>
      </c>
      <c r="E92" s="4" t="s">
        <v>25</v>
      </c>
      <c r="F92" s="5">
        <v>40000000</v>
      </c>
      <c r="G92" s="4" t="s">
        <v>544</v>
      </c>
      <c r="H92" s="4" t="s">
        <v>545</v>
      </c>
      <c r="I92" s="4" t="s">
        <v>550</v>
      </c>
      <c r="J92" s="4"/>
      <c r="K92" s="4" t="s">
        <v>551</v>
      </c>
      <c r="L92" s="2">
        <v>2007</v>
      </c>
      <c r="M92" s="4" t="s">
        <v>547</v>
      </c>
      <c r="N92" s="5">
        <v>40000000</v>
      </c>
      <c r="O92" s="4" t="s">
        <v>548</v>
      </c>
      <c r="P92" s="4" t="s">
        <v>549</v>
      </c>
      <c r="Q92" s="4" t="s">
        <v>552</v>
      </c>
      <c r="R92" s="4"/>
      <c r="S92" s="4"/>
      <c r="T92" s="4"/>
      <c r="U92" s="4"/>
    </row>
    <row r="93" spans="2:21" ht="26.15" hidden="1" customHeight="1">
      <c r="B93" s="2">
        <v>91</v>
      </c>
      <c r="C93" s="3">
        <v>43864</v>
      </c>
      <c r="D93" s="20">
        <v>2020</v>
      </c>
      <c r="E93" s="4" t="s">
        <v>34</v>
      </c>
      <c r="F93" s="5">
        <v>348442</v>
      </c>
      <c r="G93" s="4" t="s">
        <v>553</v>
      </c>
      <c r="H93" s="4" t="s">
        <v>554</v>
      </c>
      <c r="I93" s="4"/>
      <c r="J93" s="4" t="s">
        <v>555</v>
      </c>
      <c r="K93" s="4" t="s">
        <v>555</v>
      </c>
      <c r="L93" s="2">
        <v>2017</v>
      </c>
      <c r="M93" s="4" t="s">
        <v>188</v>
      </c>
      <c r="N93" s="5">
        <v>348442</v>
      </c>
      <c r="O93" s="4" t="s">
        <v>556</v>
      </c>
      <c r="P93" s="4" t="s">
        <v>557</v>
      </c>
      <c r="Q93" s="4"/>
      <c r="R93" s="4"/>
      <c r="S93" s="4"/>
      <c r="T93" s="4"/>
      <c r="U93" s="4"/>
    </row>
    <row r="94" spans="2:21" ht="26.15" hidden="1" customHeight="1">
      <c r="B94" s="2">
        <v>92</v>
      </c>
      <c r="C94" s="3">
        <v>43860</v>
      </c>
      <c r="D94" s="20">
        <v>2020</v>
      </c>
      <c r="E94" s="4" t="s">
        <v>124</v>
      </c>
      <c r="F94" s="5">
        <v>575016</v>
      </c>
      <c r="G94" s="4" t="s">
        <v>558</v>
      </c>
      <c r="H94" s="4" t="s">
        <v>559</v>
      </c>
      <c r="I94" s="4"/>
      <c r="J94" s="4" t="s">
        <v>560</v>
      </c>
      <c r="K94" s="4" t="s">
        <v>561</v>
      </c>
      <c r="L94" s="2">
        <v>2013</v>
      </c>
      <c r="M94" s="4" t="s">
        <v>562</v>
      </c>
      <c r="N94" s="5">
        <v>575016</v>
      </c>
      <c r="O94" s="4" t="s">
        <v>563</v>
      </c>
      <c r="P94" s="4" t="s">
        <v>564</v>
      </c>
      <c r="Q94" s="4"/>
      <c r="R94" s="4"/>
      <c r="S94" s="4"/>
      <c r="T94" s="4"/>
      <c r="U94" s="4"/>
    </row>
    <row r="95" spans="2:21" ht="26.15" customHeight="1">
      <c r="B95" s="2">
        <v>93</v>
      </c>
      <c r="C95" s="3">
        <v>43860</v>
      </c>
      <c r="D95" s="20">
        <v>2020</v>
      </c>
      <c r="E95" s="4" t="s">
        <v>34</v>
      </c>
      <c r="F95" s="5">
        <v>3500000</v>
      </c>
      <c r="G95" s="4" t="s">
        <v>565</v>
      </c>
      <c r="H95" s="4" t="s">
        <v>566</v>
      </c>
      <c r="I95" s="4" t="s">
        <v>567</v>
      </c>
      <c r="J95" s="4"/>
      <c r="K95" s="4" t="s">
        <v>568</v>
      </c>
      <c r="L95" s="2">
        <v>2016</v>
      </c>
      <c r="M95" s="4" t="s">
        <v>569</v>
      </c>
      <c r="N95" s="5">
        <v>3500000</v>
      </c>
      <c r="O95" s="4" t="s">
        <v>570</v>
      </c>
      <c r="P95" s="4" t="s">
        <v>571</v>
      </c>
      <c r="Q95" s="4"/>
      <c r="R95" s="4"/>
      <c r="S95" s="4"/>
      <c r="T95" s="4"/>
      <c r="U95" s="4"/>
    </row>
    <row r="96" spans="2:21" ht="26.15" customHeight="1">
      <c r="B96" s="2">
        <v>94</v>
      </c>
      <c r="C96" s="3">
        <v>43860</v>
      </c>
      <c r="D96" s="20">
        <v>2020</v>
      </c>
      <c r="E96" s="4" t="s">
        <v>184</v>
      </c>
      <c r="F96" s="5">
        <v>2500000</v>
      </c>
      <c r="G96" s="4" t="s">
        <v>565</v>
      </c>
      <c r="H96" s="4" t="s">
        <v>566</v>
      </c>
      <c r="I96" s="4" t="s">
        <v>572</v>
      </c>
      <c r="J96" s="4"/>
      <c r="K96" s="4"/>
      <c r="L96" s="2">
        <v>2016</v>
      </c>
      <c r="M96" s="4" t="s">
        <v>569</v>
      </c>
      <c r="N96" s="5">
        <v>3500000</v>
      </c>
      <c r="O96" s="4" t="s">
        <v>570</v>
      </c>
      <c r="P96" s="4" t="s">
        <v>571</v>
      </c>
      <c r="Q96" s="4"/>
      <c r="R96" s="4"/>
      <c r="S96" s="4"/>
      <c r="T96" s="4"/>
      <c r="U96" s="4"/>
    </row>
    <row r="97" spans="2:21" ht="26.15" hidden="1" customHeight="1">
      <c r="B97" s="2">
        <v>95</v>
      </c>
      <c r="C97" s="3">
        <v>43853</v>
      </c>
      <c r="D97" s="20">
        <v>2020</v>
      </c>
      <c r="E97" s="4" t="s">
        <v>124</v>
      </c>
      <c r="F97" s="5">
        <v>309159</v>
      </c>
      <c r="G97" s="4" t="s">
        <v>573</v>
      </c>
      <c r="H97" s="4" t="s">
        <v>574</v>
      </c>
      <c r="I97" s="4" t="s">
        <v>575</v>
      </c>
      <c r="J97" s="4" t="s">
        <v>576</v>
      </c>
      <c r="K97" s="4" t="s">
        <v>577</v>
      </c>
      <c r="L97" s="2">
        <v>2017</v>
      </c>
      <c r="M97" s="4" t="s">
        <v>128</v>
      </c>
      <c r="N97" s="5">
        <v>365851</v>
      </c>
      <c r="O97" s="4" t="s">
        <v>578</v>
      </c>
      <c r="P97" s="4" t="s">
        <v>579</v>
      </c>
      <c r="Q97" s="4"/>
      <c r="R97" s="4"/>
      <c r="S97" s="4"/>
      <c r="T97" s="4"/>
      <c r="U97" s="4"/>
    </row>
    <row r="98" spans="2:21" ht="26.15" hidden="1" customHeight="1">
      <c r="B98" s="2">
        <v>96</v>
      </c>
      <c r="C98" s="3">
        <v>43853</v>
      </c>
      <c r="D98" s="20">
        <v>2020</v>
      </c>
      <c r="E98" s="4" t="s">
        <v>34</v>
      </c>
      <c r="F98" s="5">
        <v>714179</v>
      </c>
      <c r="G98" s="4" t="s">
        <v>580</v>
      </c>
      <c r="H98" s="4" t="s">
        <v>581</v>
      </c>
      <c r="I98" s="4" t="s">
        <v>582</v>
      </c>
      <c r="J98" s="4"/>
      <c r="K98" s="4" t="s">
        <v>583</v>
      </c>
      <c r="L98" s="2">
        <v>2017</v>
      </c>
      <c r="M98" s="4" t="s">
        <v>584</v>
      </c>
      <c r="N98" s="5">
        <v>714179</v>
      </c>
      <c r="O98" s="4" t="s">
        <v>585</v>
      </c>
      <c r="P98" s="4" t="s">
        <v>586</v>
      </c>
      <c r="Q98" s="4"/>
      <c r="R98" s="4"/>
      <c r="S98" s="4"/>
      <c r="T98" s="4"/>
      <c r="U98" s="4"/>
    </row>
    <row r="99" spans="2:21" ht="26.15" hidden="1" customHeight="1">
      <c r="B99" s="2">
        <v>97</v>
      </c>
      <c r="C99" s="3">
        <v>43846</v>
      </c>
      <c r="D99" s="20">
        <v>2020</v>
      </c>
      <c r="E99" s="4" t="s">
        <v>25</v>
      </c>
      <c r="F99" s="5">
        <v>23000000</v>
      </c>
      <c r="G99" s="4" t="s">
        <v>26</v>
      </c>
      <c r="H99" s="4" t="s">
        <v>27</v>
      </c>
      <c r="I99" s="4" t="s">
        <v>587</v>
      </c>
      <c r="J99" s="4"/>
      <c r="K99" s="4" t="s">
        <v>588</v>
      </c>
      <c r="L99" s="2">
        <v>2015</v>
      </c>
      <c r="M99" s="4" t="s">
        <v>30</v>
      </c>
      <c r="N99" s="5">
        <v>30000000</v>
      </c>
      <c r="O99" s="4" t="s">
        <v>31</v>
      </c>
      <c r="P99" s="4" t="s">
        <v>32</v>
      </c>
      <c r="Q99" s="4"/>
      <c r="R99" s="4"/>
      <c r="S99" s="4"/>
      <c r="T99" s="4"/>
      <c r="U99" s="4"/>
    </row>
    <row r="100" spans="2:21" ht="26.15" hidden="1" customHeight="1">
      <c r="B100" s="2">
        <v>98</v>
      </c>
      <c r="C100" s="3">
        <v>43837</v>
      </c>
      <c r="D100" s="20">
        <v>2020</v>
      </c>
      <c r="E100" s="4" t="s">
        <v>34</v>
      </c>
      <c r="F100" s="5">
        <v>74190</v>
      </c>
      <c r="G100" s="4" t="s">
        <v>589</v>
      </c>
      <c r="H100" s="4" t="s">
        <v>590</v>
      </c>
      <c r="I100" s="4" t="s">
        <v>591</v>
      </c>
      <c r="J100" s="4"/>
      <c r="K100" s="4" t="s">
        <v>592</v>
      </c>
      <c r="L100" s="2">
        <v>2017</v>
      </c>
      <c r="M100" s="4" t="s">
        <v>593</v>
      </c>
      <c r="N100" s="5">
        <v>74190</v>
      </c>
      <c r="O100" s="4" t="s">
        <v>594</v>
      </c>
      <c r="P100" s="4" t="s">
        <v>595</v>
      </c>
      <c r="Q100" s="4"/>
      <c r="R100" s="4"/>
      <c r="S100" s="4"/>
      <c r="T100" s="4"/>
      <c r="U100" s="4"/>
    </row>
    <row r="101" spans="2:21" ht="26.15" hidden="1" customHeight="1">
      <c r="B101" s="2">
        <v>99</v>
      </c>
      <c r="C101" s="3">
        <v>43835</v>
      </c>
      <c r="D101" s="20">
        <v>2020</v>
      </c>
      <c r="E101" s="4" t="s">
        <v>124</v>
      </c>
      <c r="F101" s="5">
        <v>100085</v>
      </c>
      <c r="G101" s="4" t="s">
        <v>596</v>
      </c>
      <c r="H101" s="4" t="s">
        <v>597</v>
      </c>
      <c r="I101" s="4"/>
      <c r="J101" s="4" t="s">
        <v>598</v>
      </c>
      <c r="K101" s="4" t="s">
        <v>598</v>
      </c>
      <c r="L101" s="2">
        <v>2019</v>
      </c>
      <c r="M101" s="4" t="s">
        <v>599</v>
      </c>
      <c r="N101" s="5">
        <v>100085</v>
      </c>
      <c r="O101" s="4" t="s">
        <v>600</v>
      </c>
      <c r="P101" s="4" t="s">
        <v>601</v>
      </c>
      <c r="Q101" s="4"/>
      <c r="R101" s="4"/>
      <c r="S101" s="4"/>
      <c r="T101" s="4"/>
      <c r="U101" s="4"/>
    </row>
    <row r="102" spans="2:21" ht="26.15" hidden="1" customHeight="1">
      <c r="B102" s="2">
        <v>100</v>
      </c>
      <c r="C102" s="3">
        <v>43832</v>
      </c>
      <c r="D102" s="20">
        <v>2020</v>
      </c>
      <c r="E102" s="4" t="s">
        <v>109</v>
      </c>
      <c r="F102" s="5" t="s">
        <v>50</v>
      </c>
      <c r="G102" s="4" t="s">
        <v>602</v>
      </c>
      <c r="H102" s="4" t="s">
        <v>603</v>
      </c>
      <c r="I102" s="4" t="s">
        <v>604</v>
      </c>
      <c r="J102" s="4"/>
      <c r="K102" s="4" t="s">
        <v>605</v>
      </c>
      <c r="L102" s="2">
        <v>2012</v>
      </c>
      <c r="M102" s="4" t="s">
        <v>382</v>
      </c>
      <c r="N102" s="5"/>
      <c r="O102" s="4" t="s">
        <v>606</v>
      </c>
      <c r="P102" s="4" t="s">
        <v>607</v>
      </c>
      <c r="Q102" s="4"/>
      <c r="R102" s="4"/>
      <c r="S102" s="4"/>
      <c r="T102" s="4"/>
      <c r="U102" s="4"/>
    </row>
    <row r="103" spans="2:21" ht="26.15" hidden="1" customHeight="1">
      <c r="B103" s="2">
        <v>101</v>
      </c>
      <c r="C103" s="3">
        <v>43831</v>
      </c>
      <c r="D103" s="20">
        <v>2020</v>
      </c>
      <c r="E103" s="4" t="s">
        <v>34</v>
      </c>
      <c r="F103" s="5">
        <v>595281</v>
      </c>
      <c r="G103" s="4" t="s">
        <v>42</v>
      </c>
      <c r="H103" s="4" t="s">
        <v>43</v>
      </c>
      <c r="I103" s="4" t="s">
        <v>608</v>
      </c>
      <c r="J103" s="4"/>
      <c r="K103" s="4" t="s">
        <v>609</v>
      </c>
      <c r="L103" s="2">
        <v>2017</v>
      </c>
      <c r="M103" s="4" t="s">
        <v>47</v>
      </c>
      <c r="N103" s="5">
        <v>3160468</v>
      </c>
      <c r="O103" s="4" t="s">
        <v>48</v>
      </c>
      <c r="P103" s="4" t="s">
        <v>49</v>
      </c>
      <c r="Q103" s="4"/>
      <c r="R103" s="4"/>
      <c r="S103" s="4"/>
      <c r="T103" s="4"/>
      <c r="U103" s="4"/>
    </row>
    <row r="104" spans="2:21" ht="26.15" hidden="1" customHeight="1">
      <c r="B104" s="2">
        <v>102</v>
      </c>
      <c r="C104" s="3">
        <v>43823</v>
      </c>
      <c r="D104" s="20">
        <v>2019</v>
      </c>
      <c r="E104" s="4" t="s">
        <v>25</v>
      </c>
      <c r="F104" s="5" t="s">
        <v>50</v>
      </c>
      <c r="G104" s="4" t="s">
        <v>610</v>
      </c>
      <c r="H104" s="4" t="s">
        <v>611</v>
      </c>
      <c r="I104" s="4"/>
      <c r="J104" s="4"/>
      <c r="K104" s="4"/>
      <c r="L104" s="2">
        <v>2011</v>
      </c>
      <c r="M104" s="4" t="s">
        <v>612</v>
      </c>
      <c r="N104" s="5">
        <v>1577228</v>
      </c>
      <c r="O104" s="4" t="s">
        <v>613</v>
      </c>
      <c r="P104" s="4" t="s">
        <v>614</v>
      </c>
      <c r="Q104" s="4"/>
      <c r="R104" s="4"/>
      <c r="S104" s="4"/>
      <c r="T104" s="4"/>
      <c r="U104" s="4"/>
    </row>
    <row r="105" spans="2:21" ht="26.15" hidden="1" customHeight="1">
      <c r="B105" s="2">
        <v>103</v>
      </c>
      <c r="C105" s="3">
        <v>43822</v>
      </c>
      <c r="D105" s="20">
        <v>2019</v>
      </c>
      <c r="E105" s="4" t="s">
        <v>109</v>
      </c>
      <c r="F105" s="5">
        <v>6000000</v>
      </c>
      <c r="G105" s="4" t="s">
        <v>615</v>
      </c>
      <c r="H105" s="4" t="s">
        <v>616</v>
      </c>
      <c r="I105" s="4" t="s">
        <v>617</v>
      </c>
      <c r="J105" s="4"/>
      <c r="K105" s="4" t="s">
        <v>618</v>
      </c>
      <c r="L105" s="2">
        <v>2004</v>
      </c>
      <c r="M105" s="4" t="s">
        <v>619</v>
      </c>
      <c r="N105" s="5">
        <v>6000000</v>
      </c>
      <c r="O105" s="4" t="s">
        <v>620</v>
      </c>
      <c r="P105" s="4" t="s">
        <v>621</v>
      </c>
      <c r="Q105" s="4"/>
      <c r="R105" s="4"/>
      <c r="S105" s="4"/>
      <c r="T105" s="4"/>
      <c r="U105" s="4"/>
    </row>
    <row r="106" spans="2:21" ht="26.15" hidden="1" customHeight="1">
      <c r="B106" s="2">
        <v>104</v>
      </c>
      <c r="C106" s="3">
        <v>43817</v>
      </c>
      <c r="D106" s="20">
        <v>2019</v>
      </c>
      <c r="E106" s="4" t="s">
        <v>289</v>
      </c>
      <c r="F106" s="5">
        <v>42235</v>
      </c>
      <c r="G106" s="4" t="s">
        <v>622</v>
      </c>
      <c r="H106" s="4" t="s">
        <v>623</v>
      </c>
      <c r="I106" s="4"/>
      <c r="J106" s="4" t="s">
        <v>624</v>
      </c>
      <c r="K106" s="4"/>
      <c r="L106" s="2">
        <v>2011</v>
      </c>
      <c r="M106" s="4" t="s">
        <v>79</v>
      </c>
      <c r="N106" s="5">
        <v>3574388</v>
      </c>
      <c r="O106" s="4" t="s">
        <v>625</v>
      </c>
      <c r="P106" s="4" t="s">
        <v>626</v>
      </c>
      <c r="Q106" s="4"/>
      <c r="R106" s="4"/>
      <c r="S106" s="4"/>
      <c r="T106" s="4"/>
      <c r="U106" s="4"/>
    </row>
    <row r="107" spans="2:21" ht="26.15" hidden="1" customHeight="1">
      <c r="B107" s="2">
        <v>105</v>
      </c>
      <c r="C107" s="3">
        <v>43816</v>
      </c>
      <c r="D107" s="20">
        <v>2019</v>
      </c>
      <c r="E107" s="4" t="s">
        <v>34</v>
      </c>
      <c r="F107" s="5">
        <v>197357</v>
      </c>
      <c r="G107" s="4" t="s">
        <v>398</v>
      </c>
      <c r="H107" s="4" t="s">
        <v>399</v>
      </c>
      <c r="I107" s="4"/>
      <c r="J107" s="4"/>
      <c r="K107" s="4"/>
      <c r="L107" s="2">
        <v>2017</v>
      </c>
      <c r="M107" s="4" t="s">
        <v>79</v>
      </c>
      <c r="N107" s="5">
        <v>6930813</v>
      </c>
      <c r="O107" s="4" t="s">
        <v>402</v>
      </c>
      <c r="P107" s="4" t="s">
        <v>403</v>
      </c>
      <c r="Q107" s="4"/>
      <c r="R107" s="4"/>
      <c r="S107" s="4"/>
      <c r="T107" s="4"/>
      <c r="U107" s="4"/>
    </row>
    <row r="108" spans="2:21" ht="26.15" hidden="1" customHeight="1">
      <c r="B108" s="2">
        <v>106</v>
      </c>
      <c r="C108" s="3">
        <v>43815</v>
      </c>
      <c r="D108" s="20">
        <v>2019</v>
      </c>
      <c r="E108" s="4" t="s">
        <v>627</v>
      </c>
      <c r="F108" s="5">
        <v>30000000</v>
      </c>
      <c r="G108" s="4" t="s">
        <v>628</v>
      </c>
      <c r="H108" s="4" t="s">
        <v>629</v>
      </c>
      <c r="I108" s="4" t="s">
        <v>630</v>
      </c>
      <c r="J108" s="4"/>
      <c r="K108" s="4" t="s">
        <v>631</v>
      </c>
      <c r="L108" s="2">
        <v>2015</v>
      </c>
      <c r="M108" s="4" t="s">
        <v>79</v>
      </c>
      <c r="N108" s="5">
        <v>94500000</v>
      </c>
      <c r="O108" s="4" t="s">
        <v>632</v>
      </c>
      <c r="P108" s="4" t="s">
        <v>633</v>
      </c>
      <c r="Q108" s="4"/>
      <c r="R108" s="4"/>
      <c r="S108" s="4"/>
      <c r="T108" s="4"/>
      <c r="U108" s="4"/>
    </row>
    <row r="109" spans="2:21" ht="26.15" customHeight="1">
      <c r="B109" s="2">
        <v>107</v>
      </c>
      <c r="C109" s="3">
        <v>43812</v>
      </c>
      <c r="D109" s="20">
        <v>2019</v>
      </c>
      <c r="E109" s="4" t="s">
        <v>25</v>
      </c>
      <c r="F109" s="5">
        <v>10000000</v>
      </c>
      <c r="G109" s="4" t="s">
        <v>634</v>
      </c>
      <c r="H109" s="4" t="s">
        <v>635</v>
      </c>
      <c r="I109" s="4" t="s">
        <v>636</v>
      </c>
      <c r="J109" s="4"/>
      <c r="K109" s="4" t="s">
        <v>637</v>
      </c>
      <c r="L109" s="2">
        <v>2012</v>
      </c>
      <c r="M109" s="4" t="s">
        <v>638</v>
      </c>
      <c r="N109" s="5">
        <v>17600000</v>
      </c>
      <c r="O109" s="4" t="s">
        <v>639</v>
      </c>
      <c r="P109" s="4" t="s">
        <v>640</v>
      </c>
      <c r="Q109" s="4"/>
      <c r="R109" s="4"/>
      <c r="S109" s="4"/>
      <c r="T109" s="4"/>
      <c r="U109" s="4"/>
    </row>
    <row r="110" spans="2:21" ht="26.15" hidden="1" customHeight="1">
      <c r="B110" s="2">
        <v>108</v>
      </c>
      <c r="C110" s="3">
        <v>43811</v>
      </c>
      <c r="D110" s="20">
        <v>2019</v>
      </c>
      <c r="E110" s="4" t="s">
        <v>109</v>
      </c>
      <c r="F110" s="5">
        <v>6000000</v>
      </c>
      <c r="G110" s="4" t="s">
        <v>641</v>
      </c>
      <c r="H110" s="4" t="s">
        <v>642</v>
      </c>
      <c r="I110" s="4" t="s">
        <v>643</v>
      </c>
      <c r="J110" s="4"/>
      <c r="K110" s="4" t="s">
        <v>644</v>
      </c>
      <c r="L110" s="2">
        <v>2009</v>
      </c>
      <c r="M110" s="4" t="s">
        <v>47</v>
      </c>
      <c r="N110" s="5">
        <v>10590520</v>
      </c>
      <c r="O110" s="4" t="s">
        <v>645</v>
      </c>
      <c r="P110" s="4" t="s">
        <v>646</v>
      </c>
      <c r="Q110" s="4"/>
      <c r="R110" s="4"/>
      <c r="S110" s="4"/>
      <c r="T110" s="4"/>
      <c r="U110" s="4"/>
    </row>
    <row r="111" spans="2:21" ht="26.15" hidden="1" customHeight="1">
      <c r="B111" s="2">
        <v>109</v>
      </c>
      <c r="C111" s="3">
        <v>43810</v>
      </c>
      <c r="D111" s="20">
        <v>2019</v>
      </c>
      <c r="E111" s="4" t="s">
        <v>95</v>
      </c>
      <c r="F111" s="5">
        <v>15186600</v>
      </c>
      <c r="G111" s="4" t="s">
        <v>96</v>
      </c>
      <c r="H111" s="4" t="s">
        <v>97</v>
      </c>
      <c r="I111" s="4" t="s">
        <v>647</v>
      </c>
      <c r="J111" s="4" t="s">
        <v>648</v>
      </c>
      <c r="K111" s="4" t="s">
        <v>649</v>
      </c>
      <c r="L111" s="2">
        <v>2015</v>
      </c>
      <c r="M111" s="4" t="s">
        <v>79</v>
      </c>
      <c r="N111" s="5">
        <v>163285834</v>
      </c>
      <c r="O111" s="4" t="s">
        <v>100</v>
      </c>
      <c r="P111" s="4" t="s">
        <v>101</v>
      </c>
      <c r="Q111" s="4"/>
      <c r="R111" s="4"/>
      <c r="S111" s="4"/>
      <c r="T111" s="4"/>
      <c r="U111" s="4"/>
    </row>
    <row r="112" spans="2:21" ht="26.15" hidden="1" customHeight="1">
      <c r="B112" s="2">
        <v>110</v>
      </c>
      <c r="C112" s="3">
        <v>43805</v>
      </c>
      <c r="D112" s="20">
        <v>2019</v>
      </c>
      <c r="E112" s="4" t="s">
        <v>109</v>
      </c>
      <c r="F112" s="5">
        <v>70048</v>
      </c>
      <c r="G112" s="4" t="s">
        <v>650</v>
      </c>
      <c r="H112" s="4" t="s">
        <v>651</v>
      </c>
      <c r="I112" s="4" t="s">
        <v>652</v>
      </c>
      <c r="J112" s="4"/>
      <c r="K112" s="4" t="s">
        <v>653</v>
      </c>
      <c r="L112" s="2">
        <v>2014</v>
      </c>
      <c r="M112" s="4" t="s">
        <v>79</v>
      </c>
      <c r="N112" s="5">
        <v>70048</v>
      </c>
      <c r="O112" s="4" t="s">
        <v>654</v>
      </c>
      <c r="P112" s="4" t="s">
        <v>655</v>
      </c>
      <c r="Q112" s="4"/>
      <c r="R112" s="4"/>
      <c r="S112" s="4"/>
      <c r="T112" s="4"/>
      <c r="U112" s="4"/>
    </row>
    <row r="113" spans="2:21" ht="26.15" hidden="1" customHeight="1">
      <c r="B113" s="2">
        <v>111</v>
      </c>
      <c r="C113" s="3">
        <v>43804</v>
      </c>
      <c r="D113" s="20">
        <v>2019</v>
      </c>
      <c r="E113" s="4" t="s">
        <v>34</v>
      </c>
      <c r="F113" s="5">
        <v>250000</v>
      </c>
      <c r="G113" s="4" t="s">
        <v>656</v>
      </c>
      <c r="H113" s="4" t="s">
        <v>657</v>
      </c>
      <c r="I113" s="4" t="s">
        <v>658</v>
      </c>
      <c r="J113" s="4"/>
      <c r="K113" s="4" t="s">
        <v>659</v>
      </c>
      <c r="L113" s="2">
        <v>2017</v>
      </c>
      <c r="M113" s="4" t="s">
        <v>39</v>
      </c>
      <c r="N113" s="5">
        <v>250000</v>
      </c>
      <c r="O113" s="4" t="s">
        <v>660</v>
      </c>
      <c r="P113" s="4" t="s">
        <v>661</v>
      </c>
      <c r="Q113" s="4"/>
      <c r="R113" s="4"/>
      <c r="S113" s="4"/>
      <c r="T113" s="4"/>
      <c r="U113" s="4"/>
    </row>
    <row r="114" spans="2:21" ht="26.15" hidden="1" customHeight="1">
      <c r="B114" s="2">
        <v>112</v>
      </c>
      <c r="C114" s="3">
        <v>43798</v>
      </c>
      <c r="D114" s="20">
        <v>2019</v>
      </c>
      <c r="E114" s="4" t="s">
        <v>302</v>
      </c>
      <c r="F114" s="5">
        <v>700124</v>
      </c>
      <c r="G114" s="4" t="s">
        <v>303</v>
      </c>
      <c r="H114" s="4" t="s">
        <v>304</v>
      </c>
      <c r="I114" s="4" t="s">
        <v>305</v>
      </c>
      <c r="J114" s="4"/>
      <c r="K114" s="4"/>
      <c r="L114" s="2">
        <v>2011</v>
      </c>
      <c r="M114" s="4" t="s">
        <v>79</v>
      </c>
      <c r="N114" s="5">
        <v>19009146</v>
      </c>
      <c r="O114" s="4" t="s">
        <v>306</v>
      </c>
      <c r="P114" s="4" t="s">
        <v>307</v>
      </c>
      <c r="Q114" s="4"/>
      <c r="R114" s="4"/>
      <c r="S114" s="4"/>
      <c r="T114" s="4"/>
      <c r="U114" s="4"/>
    </row>
    <row r="115" spans="2:21" ht="26.15" hidden="1" customHeight="1">
      <c r="B115" s="2">
        <v>113</v>
      </c>
      <c r="C115" s="3">
        <v>43798</v>
      </c>
      <c r="D115" s="20">
        <v>2019</v>
      </c>
      <c r="E115" s="4" t="s">
        <v>34</v>
      </c>
      <c r="F115" s="5">
        <v>150000</v>
      </c>
      <c r="G115" s="4" t="s">
        <v>59</v>
      </c>
      <c r="H115" s="4" t="s">
        <v>60</v>
      </c>
      <c r="I115" s="4" t="s">
        <v>662</v>
      </c>
      <c r="J115" s="4"/>
      <c r="K115" s="4" t="s">
        <v>663</v>
      </c>
      <c r="L115" s="2">
        <v>2016</v>
      </c>
      <c r="M115" s="4" t="s">
        <v>63</v>
      </c>
      <c r="N115" s="5">
        <v>1550000</v>
      </c>
      <c r="O115" s="4" t="s">
        <v>64</v>
      </c>
      <c r="P115" s="4" t="s">
        <v>65</v>
      </c>
      <c r="Q115" s="4"/>
      <c r="R115" s="4"/>
      <c r="S115" s="4"/>
      <c r="T115" s="4"/>
      <c r="U115" s="4"/>
    </row>
    <row r="116" spans="2:21" ht="26.15" hidden="1" customHeight="1">
      <c r="B116" s="2">
        <v>114</v>
      </c>
      <c r="C116" s="3">
        <v>43795</v>
      </c>
      <c r="D116" s="20">
        <v>2019</v>
      </c>
      <c r="E116" s="4" t="s">
        <v>109</v>
      </c>
      <c r="F116" s="5">
        <v>7710613</v>
      </c>
      <c r="G116" s="4" t="s">
        <v>385</v>
      </c>
      <c r="H116" s="4" t="s">
        <v>386</v>
      </c>
      <c r="I116" s="4"/>
      <c r="J116" s="4"/>
      <c r="K116" s="4"/>
      <c r="L116" s="2">
        <v>2016</v>
      </c>
      <c r="M116" s="4" t="s">
        <v>39</v>
      </c>
      <c r="N116" s="5">
        <v>14260613</v>
      </c>
      <c r="O116" s="4" t="s">
        <v>389</v>
      </c>
      <c r="P116" s="4" t="s">
        <v>390</v>
      </c>
      <c r="Q116" s="4"/>
      <c r="R116" s="4"/>
      <c r="S116" s="4"/>
      <c r="T116" s="4"/>
      <c r="U116" s="4"/>
    </row>
    <row r="117" spans="2:21" ht="26.15" hidden="1" customHeight="1">
      <c r="B117" s="2">
        <v>115</v>
      </c>
      <c r="C117" s="3">
        <v>43795</v>
      </c>
      <c r="D117" s="20">
        <v>2019</v>
      </c>
      <c r="E117" s="4" t="s">
        <v>184</v>
      </c>
      <c r="F117" s="5">
        <v>10000</v>
      </c>
      <c r="G117" s="4" t="s">
        <v>664</v>
      </c>
      <c r="H117" s="4" t="s">
        <v>665</v>
      </c>
      <c r="I117" s="4" t="s">
        <v>666</v>
      </c>
      <c r="J117" s="4"/>
      <c r="K117" s="4"/>
      <c r="L117" s="2">
        <v>2015</v>
      </c>
      <c r="M117" s="4" t="s">
        <v>382</v>
      </c>
      <c r="N117" s="5"/>
      <c r="O117" s="4" t="s">
        <v>667</v>
      </c>
      <c r="P117" s="4" t="s">
        <v>668</v>
      </c>
      <c r="Q117" s="4"/>
      <c r="R117" s="4"/>
      <c r="S117" s="4"/>
      <c r="T117" s="4"/>
      <c r="U117" s="4"/>
    </row>
    <row r="118" spans="2:21" ht="26.15" hidden="1" customHeight="1">
      <c r="B118" s="2">
        <v>116</v>
      </c>
      <c r="C118" s="3">
        <v>43789</v>
      </c>
      <c r="D118" s="20">
        <v>2019</v>
      </c>
      <c r="E118" s="4" t="s">
        <v>109</v>
      </c>
      <c r="F118" s="5">
        <v>4000000</v>
      </c>
      <c r="G118" s="4" t="s">
        <v>669</v>
      </c>
      <c r="H118" s="4" t="s">
        <v>670</v>
      </c>
      <c r="I118" s="4" t="s">
        <v>617</v>
      </c>
      <c r="J118" s="4"/>
      <c r="K118" s="4" t="s">
        <v>618</v>
      </c>
      <c r="L118" s="2">
        <v>2015</v>
      </c>
      <c r="M118" s="4" t="s">
        <v>181</v>
      </c>
      <c r="N118" s="5">
        <v>4000000</v>
      </c>
      <c r="O118" s="4" t="s">
        <v>671</v>
      </c>
      <c r="P118" s="4" t="s">
        <v>672</v>
      </c>
      <c r="Q118" s="4"/>
      <c r="R118" s="4"/>
      <c r="S118" s="4"/>
      <c r="T118" s="4"/>
      <c r="U118" s="4"/>
    </row>
    <row r="119" spans="2:21" ht="26.15" hidden="1" customHeight="1">
      <c r="B119" s="2">
        <v>117</v>
      </c>
      <c r="C119" s="3">
        <v>43783</v>
      </c>
      <c r="D119" s="20">
        <v>2019</v>
      </c>
      <c r="E119" s="4" t="s">
        <v>34</v>
      </c>
      <c r="F119" s="5">
        <v>1424460</v>
      </c>
      <c r="G119" s="4" t="s">
        <v>673</v>
      </c>
      <c r="H119" s="4" t="s">
        <v>674</v>
      </c>
      <c r="I119" s="4" t="s">
        <v>675</v>
      </c>
      <c r="J119" s="4"/>
      <c r="K119" s="4" t="s">
        <v>676</v>
      </c>
      <c r="L119" s="2">
        <v>2019</v>
      </c>
      <c r="M119" s="4" t="s">
        <v>677</v>
      </c>
      <c r="N119" s="5">
        <v>1424460</v>
      </c>
      <c r="O119" s="4" t="s">
        <v>678</v>
      </c>
      <c r="P119" s="4" t="s">
        <v>679</v>
      </c>
      <c r="Q119" s="4"/>
      <c r="R119" s="4"/>
      <c r="S119" s="4"/>
      <c r="T119" s="4"/>
      <c r="U119" s="4"/>
    </row>
    <row r="120" spans="2:21" ht="26.15" hidden="1" customHeight="1">
      <c r="B120" s="2">
        <v>118</v>
      </c>
      <c r="C120" s="3">
        <v>43778</v>
      </c>
      <c r="D120" s="20">
        <v>2019</v>
      </c>
      <c r="E120" s="4" t="s">
        <v>34</v>
      </c>
      <c r="F120" s="5">
        <v>20000</v>
      </c>
      <c r="G120" s="4" t="s">
        <v>680</v>
      </c>
      <c r="H120" s="4" t="s">
        <v>681</v>
      </c>
      <c r="I120" s="4" t="s">
        <v>682</v>
      </c>
      <c r="J120" s="4"/>
      <c r="K120" s="4" t="s">
        <v>683</v>
      </c>
      <c r="L120" s="2">
        <v>2016</v>
      </c>
      <c r="M120" s="4" t="s">
        <v>684</v>
      </c>
      <c r="N120" s="5">
        <v>20000</v>
      </c>
      <c r="O120" s="4" t="s">
        <v>685</v>
      </c>
      <c r="P120" s="4" t="s">
        <v>686</v>
      </c>
      <c r="Q120" s="4"/>
      <c r="R120" s="4"/>
      <c r="S120" s="4"/>
      <c r="T120" s="4"/>
      <c r="U120" s="4"/>
    </row>
    <row r="121" spans="2:21" ht="26.15" customHeight="1">
      <c r="B121" s="2">
        <v>119</v>
      </c>
      <c r="C121" s="3">
        <v>43774</v>
      </c>
      <c r="D121" s="20">
        <v>2019</v>
      </c>
      <c r="E121" s="4" t="s">
        <v>109</v>
      </c>
      <c r="F121" s="5">
        <v>8500000</v>
      </c>
      <c r="G121" s="4" t="s">
        <v>687</v>
      </c>
      <c r="H121" s="4" t="s">
        <v>688</v>
      </c>
      <c r="I121" s="4" t="s">
        <v>689</v>
      </c>
      <c r="J121" s="4"/>
      <c r="K121" s="4" t="s">
        <v>690</v>
      </c>
      <c r="L121" s="2">
        <v>2008</v>
      </c>
      <c r="M121" s="4" t="s">
        <v>691</v>
      </c>
      <c r="N121" s="5">
        <v>14500000</v>
      </c>
      <c r="O121" s="4" t="s">
        <v>692</v>
      </c>
      <c r="P121" s="4" t="s">
        <v>693</v>
      </c>
      <c r="Q121" s="4"/>
      <c r="R121" s="4"/>
      <c r="S121" s="4"/>
      <c r="T121" s="4"/>
      <c r="U121" s="4"/>
    </row>
    <row r="122" spans="2:21" ht="26.15" customHeight="1">
      <c r="B122" s="2">
        <v>120</v>
      </c>
      <c r="C122" s="3">
        <v>43769</v>
      </c>
      <c r="D122" s="20">
        <v>2019</v>
      </c>
      <c r="E122" s="4" t="s">
        <v>109</v>
      </c>
      <c r="F122" s="5">
        <v>3104590</v>
      </c>
      <c r="G122" s="4" t="s">
        <v>694</v>
      </c>
      <c r="H122" s="4" t="s">
        <v>695</v>
      </c>
      <c r="I122" s="4" t="s">
        <v>696</v>
      </c>
      <c r="J122" s="4"/>
      <c r="K122" s="4" t="s">
        <v>697</v>
      </c>
      <c r="L122" s="2">
        <v>2017</v>
      </c>
      <c r="M122" s="4" t="s">
        <v>698</v>
      </c>
      <c r="N122" s="5">
        <v>3104590</v>
      </c>
      <c r="O122" s="4" t="s">
        <v>699</v>
      </c>
      <c r="P122" s="4" t="s">
        <v>700</v>
      </c>
      <c r="Q122" s="4"/>
      <c r="R122" s="4"/>
      <c r="S122" s="4"/>
      <c r="T122" s="4"/>
      <c r="U122" s="4"/>
    </row>
    <row r="123" spans="2:21" ht="26.15" hidden="1" customHeight="1">
      <c r="B123" s="2">
        <v>121</v>
      </c>
      <c r="C123" s="3">
        <v>43769</v>
      </c>
      <c r="D123" s="20">
        <v>2019</v>
      </c>
      <c r="E123" s="4" t="s">
        <v>184</v>
      </c>
      <c r="F123" s="5" t="s">
        <v>50</v>
      </c>
      <c r="G123" s="4" t="s">
        <v>701</v>
      </c>
      <c r="H123" s="4" t="s">
        <v>702</v>
      </c>
      <c r="I123" s="4" t="s">
        <v>703</v>
      </c>
      <c r="J123" s="4"/>
      <c r="K123" s="4"/>
      <c r="L123" s="2">
        <v>2016</v>
      </c>
      <c r="M123" s="4" t="s">
        <v>704</v>
      </c>
      <c r="N123" s="5"/>
      <c r="O123" s="4" t="s">
        <v>705</v>
      </c>
      <c r="P123" s="4" t="s">
        <v>706</v>
      </c>
      <c r="Q123" s="4"/>
      <c r="R123" s="4"/>
      <c r="S123" s="4"/>
      <c r="T123" s="4"/>
      <c r="U123" s="4"/>
    </row>
    <row r="124" spans="2:21" ht="26.15" hidden="1" customHeight="1">
      <c r="B124" s="2">
        <v>122</v>
      </c>
      <c r="C124" s="3">
        <v>43768</v>
      </c>
      <c r="D124" s="20">
        <v>2019</v>
      </c>
      <c r="E124" s="4" t="s">
        <v>34</v>
      </c>
      <c r="F124" s="5">
        <v>1726330</v>
      </c>
      <c r="G124" s="4" t="s">
        <v>707</v>
      </c>
      <c r="H124" s="4" t="s">
        <v>708</v>
      </c>
      <c r="I124" s="4" t="s">
        <v>709</v>
      </c>
      <c r="J124" s="4"/>
      <c r="K124" s="4" t="s">
        <v>644</v>
      </c>
      <c r="L124" s="2">
        <v>2018</v>
      </c>
      <c r="M124" s="4" t="s">
        <v>79</v>
      </c>
      <c r="N124" s="5">
        <v>1819105</v>
      </c>
      <c r="O124" s="4" t="s">
        <v>710</v>
      </c>
      <c r="P124" s="4" t="s">
        <v>711</v>
      </c>
      <c r="Q124" s="4"/>
      <c r="R124" s="4"/>
      <c r="S124" s="4"/>
      <c r="T124" s="4"/>
      <c r="U124" s="4"/>
    </row>
    <row r="125" spans="2:21" ht="26.15" hidden="1" customHeight="1">
      <c r="B125" s="2">
        <v>123</v>
      </c>
      <c r="C125" s="3">
        <v>43768</v>
      </c>
      <c r="D125" s="20">
        <v>2019</v>
      </c>
      <c r="E125" s="4" t="s">
        <v>34</v>
      </c>
      <c r="F125" s="5">
        <v>1600000</v>
      </c>
      <c r="G125" s="4" t="s">
        <v>712</v>
      </c>
      <c r="H125" s="4" t="s">
        <v>713</v>
      </c>
      <c r="I125" s="4" t="s">
        <v>714</v>
      </c>
      <c r="J125" s="4"/>
      <c r="K125" s="4" t="s">
        <v>715</v>
      </c>
      <c r="L125" s="2">
        <v>2018</v>
      </c>
      <c r="M125" s="4" t="s">
        <v>79</v>
      </c>
      <c r="N125" s="5">
        <v>1720000</v>
      </c>
      <c r="O125" s="4" t="s">
        <v>710</v>
      </c>
      <c r="P125" s="4" t="s">
        <v>716</v>
      </c>
      <c r="Q125" s="4" t="s">
        <v>717</v>
      </c>
      <c r="R125" s="4"/>
      <c r="S125" s="4"/>
      <c r="T125" s="4"/>
      <c r="U125" s="4"/>
    </row>
    <row r="126" spans="2:21" ht="26.15" hidden="1" customHeight="1">
      <c r="B126" s="2">
        <v>124</v>
      </c>
      <c r="C126" s="3">
        <v>43766</v>
      </c>
      <c r="D126" s="20">
        <v>2019</v>
      </c>
      <c r="E126" s="4" t="s">
        <v>95</v>
      </c>
      <c r="F126" s="5">
        <v>30000000</v>
      </c>
      <c r="G126" s="4" t="s">
        <v>473</v>
      </c>
      <c r="H126" s="4" t="s">
        <v>474</v>
      </c>
      <c r="I126" s="4" t="s">
        <v>718</v>
      </c>
      <c r="J126" s="4"/>
      <c r="K126" s="4" t="s">
        <v>719</v>
      </c>
      <c r="L126" s="2">
        <v>2014</v>
      </c>
      <c r="M126" s="4" t="s">
        <v>39</v>
      </c>
      <c r="N126" s="5">
        <v>46450000</v>
      </c>
      <c r="O126" s="4" t="s">
        <v>475</v>
      </c>
      <c r="P126" s="4" t="s">
        <v>476</v>
      </c>
      <c r="Q126" s="4" t="s">
        <v>720</v>
      </c>
      <c r="R126" s="4"/>
      <c r="S126" s="4"/>
      <c r="T126" s="4"/>
      <c r="U126" s="4"/>
    </row>
    <row r="127" spans="2:21" ht="26.15" hidden="1" customHeight="1">
      <c r="B127" s="2">
        <v>125</v>
      </c>
      <c r="C127" s="3">
        <v>43763</v>
      </c>
      <c r="D127" s="20">
        <v>2019</v>
      </c>
      <c r="E127" s="4" t="s">
        <v>25</v>
      </c>
      <c r="F127" s="5">
        <v>1974340</v>
      </c>
      <c r="G127" s="4" t="s">
        <v>74</v>
      </c>
      <c r="H127" s="4" t="s">
        <v>75</v>
      </c>
      <c r="I127" s="4" t="s">
        <v>721</v>
      </c>
      <c r="J127" s="4" t="s">
        <v>77</v>
      </c>
      <c r="K127" s="4" t="s">
        <v>722</v>
      </c>
      <c r="L127" s="2">
        <v>2015</v>
      </c>
      <c r="M127" s="4" t="s">
        <v>79</v>
      </c>
      <c r="N127" s="5">
        <v>36362460</v>
      </c>
      <c r="O127" s="4" t="s">
        <v>80</v>
      </c>
      <c r="P127" s="4" t="s">
        <v>81</v>
      </c>
      <c r="Q127" s="4"/>
      <c r="R127" s="4"/>
      <c r="S127" s="4"/>
      <c r="T127" s="4"/>
      <c r="U127" s="4"/>
    </row>
    <row r="128" spans="2:21" ht="26.15" hidden="1" customHeight="1">
      <c r="B128" s="2">
        <v>126</v>
      </c>
      <c r="C128" s="3">
        <v>43762</v>
      </c>
      <c r="D128" s="20">
        <v>2019</v>
      </c>
      <c r="E128" s="4" t="s">
        <v>302</v>
      </c>
      <c r="F128" s="5">
        <v>4242190</v>
      </c>
      <c r="G128" s="4" t="s">
        <v>96</v>
      </c>
      <c r="H128" s="4" t="s">
        <v>97</v>
      </c>
      <c r="I128" s="4" t="s">
        <v>723</v>
      </c>
      <c r="J128" s="4"/>
      <c r="K128" s="4"/>
      <c r="L128" s="2">
        <v>2015</v>
      </c>
      <c r="M128" s="4" t="s">
        <v>79</v>
      </c>
      <c r="N128" s="5">
        <v>163285834</v>
      </c>
      <c r="O128" s="4" t="s">
        <v>100</v>
      </c>
      <c r="P128" s="4" t="s">
        <v>101</v>
      </c>
      <c r="Q128" s="4"/>
      <c r="R128" s="4"/>
      <c r="S128" s="4"/>
      <c r="T128" s="4"/>
      <c r="U128" s="4"/>
    </row>
    <row r="129" spans="2:21" ht="26.15" hidden="1" customHeight="1">
      <c r="B129" s="2">
        <v>127</v>
      </c>
      <c r="C129" s="3">
        <v>43761</v>
      </c>
      <c r="D129" s="20">
        <v>2019</v>
      </c>
      <c r="E129" s="4" t="s">
        <v>34</v>
      </c>
      <c r="F129" s="5">
        <v>494497</v>
      </c>
      <c r="G129" s="4" t="s">
        <v>724</v>
      </c>
      <c r="H129" s="4" t="s">
        <v>725</v>
      </c>
      <c r="I129" s="4" t="s">
        <v>726</v>
      </c>
      <c r="J129" s="4"/>
      <c r="K129" s="4" t="s">
        <v>727</v>
      </c>
      <c r="L129" s="2">
        <v>2015</v>
      </c>
      <c r="M129" s="4" t="s">
        <v>128</v>
      </c>
      <c r="N129" s="5">
        <v>739765</v>
      </c>
      <c r="O129" s="4" t="s">
        <v>728</v>
      </c>
      <c r="P129" s="4" t="s">
        <v>729</v>
      </c>
      <c r="Q129" s="4"/>
      <c r="R129" s="4"/>
      <c r="S129" s="4"/>
      <c r="T129" s="4"/>
      <c r="U129" s="4"/>
    </row>
    <row r="130" spans="2:21" ht="26.15" customHeight="1">
      <c r="B130" s="2">
        <v>128</v>
      </c>
      <c r="C130" s="3">
        <v>43756</v>
      </c>
      <c r="D130" s="20">
        <v>2019</v>
      </c>
      <c r="E130" s="4" t="s">
        <v>34</v>
      </c>
      <c r="F130" s="5" t="s">
        <v>50</v>
      </c>
      <c r="G130" s="4" t="s">
        <v>730</v>
      </c>
      <c r="H130" s="4" t="s">
        <v>731</v>
      </c>
      <c r="I130" s="4" t="s">
        <v>732</v>
      </c>
      <c r="J130" s="4"/>
      <c r="K130" s="4" t="s">
        <v>733</v>
      </c>
      <c r="L130" s="2">
        <v>2015</v>
      </c>
      <c r="M130" s="4" t="s">
        <v>734</v>
      </c>
      <c r="N130" s="5"/>
      <c r="O130" s="4" t="s">
        <v>735</v>
      </c>
      <c r="P130" s="4" t="s">
        <v>736</v>
      </c>
      <c r="Q130" s="4"/>
      <c r="R130" s="4"/>
      <c r="S130" s="4"/>
      <c r="T130" s="4"/>
      <c r="U130" s="4"/>
    </row>
    <row r="131" spans="2:21" ht="26.15" hidden="1" customHeight="1">
      <c r="B131" s="2">
        <v>129</v>
      </c>
      <c r="C131" s="3">
        <v>43751</v>
      </c>
      <c r="D131" s="20">
        <v>2019</v>
      </c>
      <c r="E131" s="4" t="s">
        <v>34</v>
      </c>
      <c r="F131" s="5" t="s">
        <v>50</v>
      </c>
      <c r="G131" s="4" t="s">
        <v>737</v>
      </c>
      <c r="H131" s="4" t="s">
        <v>738</v>
      </c>
      <c r="I131" s="4" t="s">
        <v>739</v>
      </c>
      <c r="J131" s="4"/>
      <c r="K131" s="4" t="s">
        <v>727</v>
      </c>
      <c r="L131" s="2">
        <v>2016</v>
      </c>
      <c r="M131" s="4" t="s">
        <v>740</v>
      </c>
      <c r="N131" s="5">
        <v>17990</v>
      </c>
      <c r="O131" s="4" t="s">
        <v>741</v>
      </c>
      <c r="P131" s="4" t="s">
        <v>742</v>
      </c>
      <c r="Q131" s="4"/>
      <c r="R131" s="4"/>
      <c r="S131" s="4"/>
      <c r="T131" s="4"/>
      <c r="U131" s="4"/>
    </row>
    <row r="132" spans="2:21" ht="26.15" hidden="1" customHeight="1">
      <c r="B132" s="2">
        <v>130</v>
      </c>
      <c r="C132" s="3">
        <v>43750</v>
      </c>
      <c r="D132" s="20">
        <v>2019</v>
      </c>
      <c r="E132" s="4" t="s">
        <v>25</v>
      </c>
      <c r="F132" s="5">
        <v>2386360</v>
      </c>
      <c r="G132" s="4" t="s">
        <v>743</v>
      </c>
      <c r="H132" s="4" t="s">
        <v>744</v>
      </c>
      <c r="I132" s="4" t="s">
        <v>745</v>
      </c>
      <c r="J132" s="4"/>
      <c r="K132" s="4" t="s">
        <v>746</v>
      </c>
      <c r="L132" s="2">
        <v>2013</v>
      </c>
      <c r="M132" s="4" t="s">
        <v>121</v>
      </c>
      <c r="N132" s="5">
        <v>17022002</v>
      </c>
      <c r="O132" s="4" t="s">
        <v>747</v>
      </c>
      <c r="P132" s="4" t="s">
        <v>748</v>
      </c>
      <c r="Q132" s="4"/>
      <c r="R132" s="4"/>
      <c r="S132" s="4"/>
      <c r="T132" s="4"/>
      <c r="U132" s="4"/>
    </row>
    <row r="133" spans="2:21" ht="26.15" hidden="1" customHeight="1">
      <c r="B133" s="2">
        <v>131</v>
      </c>
      <c r="C133" s="3">
        <v>43747</v>
      </c>
      <c r="D133" s="20">
        <v>2019</v>
      </c>
      <c r="E133" s="4" t="s">
        <v>34</v>
      </c>
      <c r="F133" s="5">
        <v>394129</v>
      </c>
      <c r="G133" s="4" t="s">
        <v>749</v>
      </c>
      <c r="H133" s="4" t="s">
        <v>750</v>
      </c>
      <c r="I133" s="4"/>
      <c r="J133" s="4"/>
      <c r="K133" s="4"/>
      <c r="L133" s="2">
        <v>2012</v>
      </c>
      <c r="M133" s="4" t="s">
        <v>79</v>
      </c>
      <c r="N133" s="5">
        <v>2740519</v>
      </c>
      <c r="O133" s="4" t="s">
        <v>751</v>
      </c>
      <c r="P133" s="4" t="s">
        <v>752</v>
      </c>
      <c r="Q133" s="4"/>
      <c r="R133" s="4"/>
      <c r="S133" s="4"/>
      <c r="T133" s="4"/>
      <c r="U133" s="4"/>
    </row>
    <row r="134" spans="2:21" ht="26.15" customHeight="1">
      <c r="B134" s="2">
        <v>132</v>
      </c>
      <c r="C134" s="3">
        <v>43747</v>
      </c>
      <c r="D134" s="20">
        <v>2019</v>
      </c>
      <c r="E134" s="4" t="s">
        <v>34</v>
      </c>
      <c r="F134" s="5">
        <v>1500000</v>
      </c>
      <c r="G134" s="4" t="s">
        <v>753</v>
      </c>
      <c r="H134" s="4" t="s">
        <v>754</v>
      </c>
      <c r="I134" s="4" t="s">
        <v>755</v>
      </c>
      <c r="J134" s="4"/>
      <c r="K134" s="4" t="s">
        <v>756</v>
      </c>
      <c r="L134" s="2">
        <v>2017</v>
      </c>
      <c r="M134" s="4" t="s">
        <v>369</v>
      </c>
      <c r="N134" s="5">
        <v>2200000</v>
      </c>
      <c r="O134" s="4" t="s">
        <v>757</v>
      </c>
      <c r="P134" s="4" t="s">
        <v>758</v>
      </c>
      <c r="Q134" s="4"/>
      <c r="R134" s="4"/>
      <c r="S134" s="4"/>
      <c r="T134" s="4"/>
      <c r="U134" s="4"/>
    </row>
    <row r="135" spans="2:21" ht="26.15" hidden="1" customHeight="1">
      <c r="B135" s="2">
        <v>133</v>
      </c>
      <c r="C135" s="3">
        <v>43747</v>
      </c>
      <c r="D135" s="20">
        <v>2019</v>
      </c>
      <c r="E135" s="4" t="s">
        <v>289</v>
      </c>
      <c r="F135" s="5" t="s">
        <v>50</v>
      </c>
      <c r="G135" s="4" t="s">
        <v>759</v>
      </c>
      <c r="H135" s="4" t="s">
        <v>760</v>
      </c>
      <c r="I135" s="4" t="s">
        <v>761</v>
      </c>
      <c r="J135" s="4"/>
      <c r="K135" s="4"/>
      <c r="L135" s="2">
        <v>2016</v>
      </c>
      <c r="M135" s="4" t="s">
        <v>762</v>
      </c>
      <c r="N135" s="5"/>
      <c r="O135" s="4" t="s">
        <v>763</v>
      </c>
      <c r="P135" s="4" t="s">
        <v>764</v>
      </c>
      <c r="Q135" s="4"/>
      <c r="R135" s="4"/>
      <c r="S135" s="4"/>
      <c r="T135" s="4"/>
      <c r="U135" s="4"/>
    </row>
    <row r="136" spans="2:21" ht="26.15" hidden="1" customHeight="1">
      <c r="B136" s="2">
        <v>134</v>
      </c>
      <c r="C136" s="3">
        <v>43747</v>
      </c>
      <c r="D136" s="20">
        <v>2019</v>
      </c>
      <c r="E136" s="4" t="s">
        <v>34</v>
      </c>
      <c r="F136" s="5" t="s">
        <v>50</v>
      </c>
      <c r="G136" s="4" t="s">
        <v>493</v>
      </c>
      <c r="H136" s="4" t="s">
        <v>494</v>
      </c>
      <c r="I136" s="4" t="s">
        <v>765</v>
      </c>
      <c r="J136" s="4"/>
      <c r="K136" s="4" t="s">
        <v>766</v>
      </c>
      <c r="L136" s="2">
        <v>2019</v>
      </c>
      <c r="M136" s="4" t="s">
        <v>497</v>
      </c>
      <c r="N136" s="5">
        <v>10000000</v>
      </c>
      <c r="O136" s="4" t="s">
        <v>498</v>
      </c>
      <c r="P136" s="4" t="s">
        <v>499</v>
      </c>
      <c r="Q136" s="4"/>
      <c r="R136" s="4"/>
      <c r="S136" s="4"/>
      <c r="T136" s="4"/>
      <c r="U136" s="4"/>
    </row>
    <row r="137" spans="2:21" ht="26.15" hidden="1" customHeight="1">
      <c r="B137" s="2">
        <v>135</v>
      </c>
      <c r="C137" s="3">
        <v>43747</v>
      </c>
      <c r="D137" s="20">
        <v>2019</v>
      </c>
      <c r="E137" s="4" t="s">
        <v>34</v>
      </c>
      <c r="F137" s="5">
        <v>2591780</v>
      </c>
      <c r="G137" s="4" t="s">
        <v>419</v>
      </c>
      <c r="H137" s="4" t="s">
        <v>420</v>
      </c>
      <c r="I137" s="4" t="s">
        <v>767</v>
      </c>
      <c r="J137" s="4" t="s">
        <v>768</v>
      </c>
      <c r="K137" s="4" t="s">
        <v>766</v>
      </c>
      <c r="L137" s="2">
        <v>2019</v>
      </c>
      <c r="M137" s="4" t="s">
        <v>128</v>
      </c>
      <c r="N137" s="5">
        <v>14591780</v>
      </c>
      <c r="O137" s="4" t="s">
        <v>423</v>
      </c>
      <c r="P137" s="4" t="s">
        <v>424</v>
      </c>
      <c r="Q137" s="4"/>
      <c r="R137" s="4"/>
      <c r="S137" s="4"/>
      <c r="T137" s="4"/>
      <c r="U137" s="4"/>
    </row>
    <row r="138" spans="2:21" ht="26.15" hidden="1" customHeight="1">
      <c r="B138" s="2">
        <v>136</v>
      </c>
      <c r="C138" s="3">
        <v>43742</v>
      </c>
      <c r="D138" s="20">
        <v>2019</v>
      </c>
      <c r="E138" s="4" t="s">
        <v>34</v>
      </c>
      <c r="F138" s="5" t="s">
        <v>50</v>
      </c>
      <c r="G138" s="4" t="s">
        <v>203</v>
      </c>
      <c r="H138" s="4" t="s">
        <v>204</v>
      </c>
      <c r="I138" s="4" t="s">
        <v>769</v>
      </c>
      <c r="J138" s="4"/>
      <c r="K138" s="4" t="s">
        <v>206</v>
      </c>
      <c r="L138" s="2">
        <v>2016</v>
      </c>
      <c r="M138" s="4" t="s">
        <v>207</v>
      </c>
      <c r="N138" s="5">
        <v>5500000</v>
      </c>
      <c r="O138" s="4" t="s">
        <v>208</v>
      </c>
      <c r="P138" s="4" t="s">
        <v>209</v>
      </c>
      <c r="Q138" s="4"/>
      <c r="R138" s="4"/>
      <c r="S138" s="4"/>
      <c r="T138" s="4"/>
      <c r="U138" s="4"/>
    </row>
    <row r="139" spans="2:21" ht="26.15" hidden="1" customHeight="1">
      <c r="B139" s="2">
        <v>137</v>
      </c>
      <c r="C139" s="3">
        <v>43742</v>
      </c>
      <c r="D139" s="20">
        <v>2019</v>
      </c>
      <c r="E139" s="4" t="s">
        <v>528</v>
      </c>
      <c r="F139" s="5">
        <v>26000000</v>
      </c>
      <c r="G139" s="4" t="s">
        <v>770</v>
      </c>
      <c r="H139" s="4" t="s">
        <v>771</v>
      </c>
      <c r="I139" s="4" t="s">
        <v>772</v>
      </c>
      <c r="J139" s="4"/>
      <c r="K139" s="4" t="s">
        <v>773</v>
      </c>
      <c r="L139" s="2">
        <v>1964</v>
      </c>
      <c r="M139" s="4" t="s">
        <v>774</v>
      </c>
      <c r="N139" s="5">
        <v>26000000</v>
      </c>
      <c r="O139" s="4" t="s">
        <v>775</v>
      </c>
      <c r="P139" s="4" t="s">
        <v>776</v>
      </c>
      <c r="Q139" s="4"/>
      <c r="R139" s="4"/>
      <c r="S139" s="4"/>
      <c r="T139" s="4"/>
      <c r="U139" s="4"/>
    </row>
    <row r="140" spans="2:21" ht="26.15" hidden="1" customHeight="1">
      <c r="B140" s="2">
        <v>138</v>
      </c>
      <c r="C140" s="3">
        <v>43740</v>
      </c>
      <c r="D140" s="20">
        <v>2019</v>
      </c>
      <c r="E140" s="4" t="s">
        <v>109</v>
      </c>
      <c r="F140" s="5">
        <v>1438880</v>
      </c>
      <c r="G140" s="4" t="s">
        <v>777</v>
      </c>
      <c r="H140" s="4" t="s">
        <v>778</v>
      </c>
      <c r="I140" s="4" t="s">
        <v>779</v>
      </c>
      <c r="J140" s="4"/>
      <c r="K140" s="4" t="s">
        <v>780</v>
      </c>
      <c r="L140" s="2">
        <v>2005</v>
      </c>
      <c r="M140" s="4" t="s">
        <v>47</v>
      </c>
      <c r="N140" s="5">
        <v>1438880</v>
      </c>
      <c r="O140" s="4" t="s">
        <v>781</v>
      </c>
      <c r="P140" s="4" t="s">
        <v>782</v>
      </c>
      <c r="Q140" s="4"/>
      <c r="R140" s="4"/>
      <c r="S140" s="4"/>
      <c r="T140" s="4"/>
      <c r="U140" s="4"/>
    </row>
    <row r="141" spans="2:21" ht="26.15" hidden="1" customHeight="1">
      <c r="B141" s="2">
        <v>139</v>
      </c>
      <c r="C141" s="3">
        <v>43740</v>
      </c>
      <c r="D141" s="20">
        <v>2019</v>
      </c>
      <c r="E141" s="4" t="s">
        <v>34</v>
      </c>
      <c r="F141" s="5">
        <v>480306</v>
      </c>
      <c r="G141" s="4" t="s">
        <v>783</v>
      </c>
      <c r="H141" s="4" t="s">
        <v>784</v>
      </c>
      <c r="I141" s="4" t="s">
        <v>785</v>
      </c>
      <c r="J141" s="4"/>
      <c r="K141" s="4" t="s">
        <v>786</v>
      </c>
      <c r="L141" s="2">
        <v>2016</v>
      </c>
      <c r="M141" s="4" t="s">
        <v>787</v>
      </c>
      <c r="N141" s="5">
        <v>736306</v>
      </c>
      <c r="O141" s="4" t="s">
        <v>788</v>
      </c>
      <c r="P141" s="4" t="s">
        <v>789</v>
      </c>
      <c r="Q141" s="4"/>
      <c r="R141" s="4"/>
      <c r="S141" s="4"/>
      <c r="T141" s="4"/>
      <c r="U141" s="4"/>
    </row>
    <row r="142" spans="2:21" ht="26.15" hidden="1" customHeight="1">
      <c r="B142" s="2">
        <v>140</v>
      </c>
      <c r="C142" s="3">
        <v>43739</v>
      </c>
      <c r="D142" s="20">
        <v>2019</v>
      </c>
      <c r="E142" s="4" t="s">
        <v>34</v>
      </c>
      <c r="F142" s="5">
        <v>150000</v>
      </c>
      <c r="G142" s="4" t="s">
        <v>790</v>
      </c>
      <c r="H142" s="4" t="s">
        <v>791</v>
      </c>
      <c r="I142" s="4" t="s">
        <v>479</v>
      </c>
      <c r="J142" s="4"/>
      <c r="K142" s="4"/>
      <c r="L142" s="2">
        <v>2016</v>
      </c>
      <c r="M142" s="4" t="s">
        <v>792</v>
      </c>
      <c r="N142" s="5">
        <v>150000</v>
      </c>
      <c r="O142" s="4" t="s">
        <v>793</v>
      </c>
      <c r="P142" s="4" t="s">
        <v>794</v>
      </c>
      <c r="Q142" s="4"/>
      <c r="R142" s="4"/>
      <c r="S142" s="4"/>
      <c r="T142" s="4"/>
      <c r="U142" s="4"/>
    </row>
    <row r="143" spans="2:21" ht="26.15" hidden="1" customHeight="1">
      <c r="B143" s="2">
        <v>141</v>
      </c>
      <c r="C143" s="3">
        <v>43739</v>
      </c>
      <c r="D143" s="20">
        <v>2019</v>
      </c>
      <c r="E143" s="4" t="s">
        <v>34</v>
      </c>
      <c r="F143" s="5" t="s">
        <v>50</v>
      </c>
      <c r="G143" s="4" t="s">
        <v>795</v>
      </c>
      <c r="H143" s="4" t="s">
        <v>796</v>
      </c>
      <c r="I143" s="4" t="s">
        <v>797</v>
      </c>
      <c r="J143" s="4"/>
      <c r="K143" s="4" t="s">
        <v>798</v>
      </c>
      <c r="L143" s="2">
        <v>2018</v>
      </c>
      <c r="M143" s="4" t="s">
        <v>128</v>
      </c>
      <c r="N143" s="5"/>
      <c r="O143" s="4" t="s">
        <v>799</v>
      </c>
      <c r="P143" s="4" t="s">
        <v>800</v>
      </c>
      <c r="Q143" s="4"/>
      <c r="R143" s="4"/>
      <c r="S143" s="4"/>
      <c r="T143" s="4"/>
      <c r="U143" s="4"/>
    </row>
    <row r="144" spans="2:21" ht="26.15" hidden="1" customHeight="1">
      <c r="B144" s="2">
        <v>142</v>
      </c>
      <c r="C144" s="3">
        <v>43739</v>
      </c>
      <c r="D144" s="20">
        <v>2019</v>
      </c>
      <c r="E144" s="4" t="s">
        <v>184</v>
      </c>
      <c r="F144" s="5">
        <v>20000</v>
      </c>
      <c r="G144" s="4" t="s">
        <v>801</v>
      </c>
      <c r="H144" s="4" t="s">
        <v>802</v>
      </c>
      <c r="I144" s="4" t="s">
        <v>803</v>
      </c>
      <c r="J144" s="4"/>
      <c r="K144" s="4"/>
      <c r="L144" s="2">
        <v>2016</v>
      </c>
      <c r="M144" s="4" t="s">
        <v>804</v>
      </c>
      <c r="N144" s="5"/>
      <c r="O144" s="4" t="s">
        <v>805</v>
      </c>
      <c r="P144" s="4" t="s">
        <v>806</v>
      </c>
      <c r="Q144" s="4"/>
      <c r="R144" s="4"/>
      <c r="S144" s="4"/>
      <c r="T144" s="4"/>
      <c r="U144" s="4"/>
    </row>
    <row r="145" spans="2:21" ht="26.15" hidden="1" customHeight="1">
      <c r="B145" s="2">
        <v>143</v>
      </c>
      <c r="C145" s="3">
        <v>43733</v>
      </c>
      <c r="D145" s="20">
        <v>2019</v>
      </c>
      <c r="E145" s="4" t="s">
        <v>34</v>
      </c>
      <c r="F145" s="5">
        <v>1100000</v>
      </c>
      <c r="G145" s="4" t="s">
        <v>807</v>
      </c>
      <c r="H145" s="4" t="s">
        <v>808</v>
      </c>
      <c r="I145" s="4" t="s">
        <v>809</v>
      </c>
      <c r="J145" s="4"/>
      <c r="K145" s="4" t="s">
        <v>644</v>
      </c>
      <c r="L145" s="2">
        <v>2017</v>
      </c>
      <c r="M145" s="4" t="s">
        <v>188</v>
      </c>
      <c r="N145" s="5">
        <v>1127847</v>
      </c>
      <c r="O145" s="4" t="s">
        <v>810</v>
      </c>
      <c r="P145" s="4" t="s">
        <v>811</v>
      </c>
      <c r="Q145" s="4"/>
      <c r="R145" s="4"/>
      <c r="S145" s="4"/>
      <c r="T145" s="4"/>
      <c r="U145" s="4"/>
    </row>
    <row r="146" spans="2:21" ht="26.15" hidden="1" customHeight="1">
      <c r="B146" s="2">
        <v>144</v>
      </c>
      <c r="C146" s="3">
        <v>43732</v>
      </c>
      <c r="D146" s="20">
        <v>2019</v>
      </c>
      <c r="E146" s="4" t="s">
        <v>25</v>
      </c>
      <c r="F146" s="5">
        <v>5644440</v>
      </c>
      <c r="G146" s="4" t="s">
        <v>185</v>
      </c>
      <c r="H146" s="4" t="s">
        <v>186</v>
      </c>
      <c r="I146" s="4" t="s">
        <v>812</v>
      </c>
      <c r="J146" s="4"/>
      <c r="K146" s="4" t="s">
        <v>813</v>
      </c>
      <c r="L146" s="2">
        <v>2015</v>
      </c>
      <c r="M146" s="4" t="s">
        <v>188</v>
      </c>
      <c r="N146" s="5">
        <v>65736870</v>
      </c>
      <c r="O146" s="4" t="s">
        <v>189</v>
      </c>
      <c r="P146" s="4" t="s">
        <v>190</v>
      </c>
      <c r="Q146" s="4"/>
      <c r="R146" s="4"/>
      <c r="S146" s="4"/>
      <c r="T146" s="4"/>
      <c r="U146" s="4"/>
    </row>
    <row r="147" spans="2:21" ht="26.15" customHeight="1">
      <c r="B147" s="2">
        <v>145</v>
      </c>
      <c r="C147" s="3">
        <v>43732</v>
      </c>
      <c r="D147" s="20">
        <v>2019</v>
      </c>
      <c r="E147" s="4" t="s">
        <v>109</v>
      </c>
      <c r="F147" s="5">
        <v>4000000</v>
      </c>
      <c r="G147" s="4" t="s">
        <v>814</v>
      </c>
      <c r="H147" s="4" t="s">
        <v>815</v>
      </c>
      <c r="I147" s="4" t="s">
        <v>816</v>
      </c>
      <c r="J147" s="4"/>
      <c r="K147" s="4" t="s">
        <v>817</v>
      </c>
      <c r="L147" s="2">
        <v>2016</v>
      </c>
      <c r="M147" s="4" t="s">
        <v>173</v>
      </c>
      <c r="N147" s="5">
        <v>4000000</v>
      </c>
      <c r="O147" s="4" t="s">
        <v>818</v>
      </c>
      <c r="P147" s="4" t="s">
        <v>819</v>
      </c>
      <c r="Q147" s="4"/>
      <c r="R147" s="4"/>
      <c r="S147" s="4"/>
      <c r="T147" s="4"/>
      <c r="U147" s="4"/>
    </row>
    <row r="148" spans="2:21" ht="26.15" hidden="1" customHeight="1">
      <c r="B148" s="2">
        <v>146</v>
      </c>
      <c r="C148" s="3">
        <v>43732</v>
      </c>
      <c r="D148" s="20">
        <v>2019</v>
      </c>
      <c r="E148" s="4" t="s">
        <v>34</v>
      </c>
      <c r="F148" s="5">
        <v>649111</v>
      </c>
      <c r="G148" s="4" t="s">
        <v>820</v>
      </c>
      <c r="H148" s="4" t="s">
        <v>821</v>
      </c>
      <c r="I148" s="4"/>
      <c r="J148" s="4" t="s">
        <v>822</v>
      </c>
      <c r="K148" s="4"/>
      <c r="L148" s="2">
        <v>2016</v>
      </c>
      <c r="M148" s="4" t="s">
        <v>56</v>
      </c>
      <c r="N148" s="5">
        <v>663059</v>
      </c>
      <c r="O148" s="4" t="s">
        <v>823</v>
      </c>
      <c r="P148" s="4" t="s">
        <v>824</v>
      </c>
      <c r="Q148" s="4"/>
      <c r="R148" s="4"/>
      <c r="S148" s="4"/>
      <c r="T148" s="4"/>
      <c r="U148" s="4"/>
    </row>
    <row r="149" spans="2:21" ht="26.15" hidden="1" customHeight="1">
      <c r="B149" s="2">
        <v>147</v>
      </c>
      <c r="C149" s="3">
        <v>43729</v>
      </c>
      <c r="D149" s="20">
        <v>2019</v>
      </c>
      <c r="E149" s="4" t="s">
        <v>124</v>
      </c>
      <c r="F149" s="5" t="s">
        <v>50</v>
      </c>
      <c r="G149" s="4" t="s">
        <v>825</v>
      </c>
      <c r="H149" s="4" t="s">
        <v>826</v>
      </c>
      <c r="I149" s="4"/>
      <c r="J149" s="4"/>
      <c r="K149" s="4"/>
      <c r="L149" s="2">
        <v>2019</v>
      </c>
      <c r="M149" s="4" t="s">
        <v>128</v>
      </c>
      <c r="N149" s="5"/>
      <c r="O149" s="4" t="s">
        <v>827</v>
      </c>
      <c r="P149" s="4" t="s">
        <v>828</v>
      </c>
      <c r="Q149" s="4"/>
      <c r="R149" s="4"/>
      <c r="S149" s="4"/>
      <c r="T149" s="4"/>
      <c r="U149" s="4"/>
    </row>
    <row r="150" spans="2:21" ht="26.15" hidden="1" customHeight="1">
      <c r="B150" s="2">
        <v>148</v>
      </c>
      <c r="C150" s="3">
        <v>43728</v>
      </c>
      <c r="D150" s="20">
        <v>2019</v>
      </c>
      <c r="E150" s="4" t="s">
        <v>34</v>
      </c>
      <c r="F150" s="5">
        <v>1000000</v>
      </c>
      <c r="G150" s="4" t="s">
        <v>829</v>
      </c>
      <c r="H150" s="4" t="s">
        <v>830</v>
      </c>
      <c r="I150" s="4" t="s">
        <v>831</v>
      </c>
      <c r="J150" s="4"/>
      <c r="K150" s="4" t="s">
        <v>832</v>
      </c>
      <c r="L150" s="2">
        <v>2015</v>
      </c>
      <c r="M150" s="4" t="s">
        <v>207</v>
      </c>
      <c r="N150" s="5">
        <v>1070000</v>
      </c>
      <c r="O150" s="4" t="s">
        <v>833</v>
      </c>
      <c r="P150" s="4" t="s">
        <v>834</v>
      </c>
      <c r="Q150" s="4"/>
      <c r="R150" s="4"/>
      <c r="S150" s="4"/>
      <c r="T150" s="4"/>
      <c r="U150" s="4"/>
    </row>
    <row r="151" spans="2:21" ht="26.15" hidden="1" customHeight="1">
      <c r="B151" s="2">
        <v>149</v>
      </c>
      <c r="C151" s="3">
        <v>43726</v>
      </c>
      <c r="D151" s="20">
        <v>2019</v>
      </c>
      <c r="E151" s="4" t="s">
        <v>34</v>
      </c>
      <c r="F151" s="5">
        <v>1073840</v>
      </c>
      <c r="G151" s="4" t="s">
        <v>835</v>
      </c>
      <c r="H151" s="4" t="s">
        <v>836</v>
      </c>
      <c r="I151" s="4" t="s">
        <v>837</v>
      </c>
      <c r="J151" s="4"/>
      <c r="K151" s="4" t="s">
        <v>838</v>
      </c>
      <c r="L151" s="2">
        <v>2017</v>
      </c>
      <c r="M151" s="4" t="s">
        <v>188</v>
      </c>
      <c r="N151" s="5">
        <v>1101687</v>
      </c>
      <c r="O151" s="4" t="s">
        <v>839</v>
      </c>
      <c r="P151" s="4" t="s">
        <v>840</v>
      </c>
      <c r="Q151" s="4"/>
      <c r="R151" s="4"/>
      <c r="S151" s="4"/>
      <c r="T151" s="4"/>
      <c r="U151" s="4"/>
    </row>
    <row r="152" spans="2:21" ht="26.15" hidden="1" customHeight="1">
      <c r="B152" s="2">
        <v>150</v>
      </c>
      <c r="C152" s="3">
        <v>43725</v>
      </c>
      <c r="D152" s="20">
        <v>2019</v>
      </c>
      <c r="E152" s="4" t="s">
        <v>34</v>
      </c>
      <c r="F152" s="5">
        <v>1750000</v>
      </c>
      <c r="G152" s="4" t="s">
        <v>452</v>
      </c>
      <c r="H152" s="4" t="s">
        <v>453</v>
      </c>
      <c r="I152" s="4" t="s">
        <v>841</v>
      </c>
      <c r="J152" s="4"/>
      <c r="K152" s="4" t="s">
        <v>842</v>
      </c>
      <c r="L152" s="2">
        <v>2016</v>
      </c>
      <c r="M152" s="4" t="s">
        <v>455</v>
      </c>
      <c r="N152" s="5">
        <v>28150000</v>
      </c>
      <c r="O152" s="4" t="s">
        <v>456</v>
      </c>
      <c r="P152" s="4" t="s">
        <v>457</v>
      </c>
      <c r="Q152" s="4"/>
      <c r="R152" s="4"/>
      <c r="S152" s="4"/>
      <c r="T152" s="4"/>
      <c r="U152" s="4"/>
    </row>
    <row r="153" spans="2:21" ht="26.15" customHeight="1">
      <c r="B153" s="2">
        <v>151</v>
      </c>
      <c r="C153" s="3">
        <v>43720</v>
      </c>
      <c r="D153" s="20">
        <v>2019</v>
      </c>
      <c r="E153" s="4" t="s">
        <v>184</v>
      </c>
      <c r="F153" s="5">
        <v>14087</v>
      </c>
      <c r="G153" s="4" t="s">
        <v>243</v>
      </c>
      <c r="H153" s="4" t="s">
        <v>244</v>
      </c>
      <c r="I153" s="4" t="s">
        <v>703</v>
      </c>
      <c r="J153" s="4"/>
      <c r="K153" s="4"/>
      <c r="L153" s="2">
        <v>2018</v>
      </c>
      <c r="M153" s="4" t="s">
        <v>248</v>
      </c>
      <c r="N153" s="5">
        <v>10000000</v>
      </c>
      <c r="O153" s="4" t="s">
        <v>249</v>
      </c>
      <c r="P153" s="4" t="s">
        <v>250</v>
      </c>
      <c r="Q153" s="4"/>
      <c r="R153" s="4"/>
      <c r="S153" s="4"/>
      <c r="T153" s="4"/>
      <c r="U153" s="4"/>
    </row>
    <row r="154" spans="2:21" ht="26.15" hidden="1" customHeight="1">
      <c r="B154" s="2">
        <v>152</v>
      </c>
      <c r="C154" s="3">
        <v>43718</v>
      </c>
      <c r="D154" s="20">
        <v>2019</v>
      </c>
      <c r="E154" s="4" t="s">
        <v>34</v>
      </c>
      <c r="F154" s="5" t="s">
        <v>50</v>
      </c>
      <c r="G154" s="4" t="s">
        <v>843</v>
      </c>
      <c r="H154" s="4" t="s">
        <v>844</v>
      </c>
      <c r="I154" s="4" t="s">
        <v>845</v>
      </c>
      <c r="J154" s="4"/>
      <c r="K154" s="4" t="s">
        <v>727</v>
      </c>
      <c r="L154" s="2">
        <v>2015</v>
      </c>
      <c r="M154" s="4" t="s">
        <v>846</v>
      </c>
      <c r="N154" s="5"/>
      <c r="O154" s="4" t="s">
        <v>847</v>
      </c>
      <c r="P154" s="4" t="s">
        <v>848</v>
      </c>
      <c r="Q154" s="4"/>
      <c r="R154" s="4"/>
      <c r="S154" s="4"/>
      <c r="T154" s="4"/>
      <c r="U154" s="4"/>
    </row>
    <row r="155" spans="2:21" ht="26.15" customHeight="1">
      <c r="B155" s="2">
        <v>153</v>
      </c>
      <c r="C155" s="3">
        <v>43713</v>
      </c>
      <c r="D155" s="20">
        <v>2019</v>
      </c>
      <c r="E155" s="4" t="s">
        <v>109</v>
      </c>
      <c r="F155" s="5">
        <v>12000000</v>
      </c>
      <c r="G155" s="4" t="s">
        <v>849</v>
      </c>
      <c r="H155" s="4" t="s">
        <v>850</v>
      </c>
      <c r="I155" s="4" t="s">
        <v>851</v>
      </c>
      <c r="J155" s="4"/>
      <c r="K155" s="4" t="s">
        <v>852</v>
      </c>
      <c r="L155" s="2">
        <v>2013</v>
      </c>
      <c r="M155" s="4" t="s">
        <v>853</v>
      </c>
      <c r="N155" s="5">
        <v>18000000</v>
      </c>
      <c r="O155" s="4" t="s">
        <v>854</v>
      </c>
      <c r="P155" s="4" t="s">
        <v>855</v>
      </c>
      <c r="Q155" s="4"/>
      <c r="R155" s="4"/>
      <c r="S155" s="4"/>
      <c r="T155" s="4"/>
      <c r="U155" s="4"/>
    </row>
    <row r="156" spans="2:21" ht="26.15" hidden="1" customHeight="1">
      <c r="B156" s="2">
        <v>154</v>
      </c>
      <c r="C156" s="3">
        <v>43712</v>
      </c>
      <c r="D156" s="20">
        <v>2019</v>
      </c>
      <c r="E156" s="4" t="s">
        <v>109</v>
      </c>
      <c r="F156" s="5">
        <v>5800000</v>
      </c>
      <c r="G156" s="4" t="s">
        <v>856</v>
      </c>
      <c r="H156" s="4" t="s">
        <v>857</v>
      </c>
      <c r="I156" s="4" t="s">
        <v>858</v>
      </c>
      <c r="J156" s="4"/>
      <c r="K156" s="4" t="s">
        <v>859</v>
      </c>
      <c r="L156" s="2">
        <v>2014</v>
      </c>
      <c r="M156" s="4" t="s">
        <v>860</v>
      </c>
      <c r="N156" s="5">
        <v>7000000</v>
      </c>
      <c r="O156" s="4" t="s">
        <v>861</v>
      </c>
      <c r="P156" s="4" t="s">
        <v>862</v>
      </c>
      <c r="Q156" s="4"/>
      <c r="R156" s="4"/>
      <c r="S156" s="4"/>
      <c r="T156" s="4"/>
      <c r="U156" s="4"/>
    </row>
    <row r="157" spans="2:21" ht="26.15" hidden="1" customHeight="1">
      <c r="B157" s="2">
        <v>155</v>
      </c>
      <c r="C157" s="3">
        <v>43712</v>
      </c>
      <c r="D157" s="20">
        <v>2019</v>
      </c>
      <c r="E157" s="4" t="s">
        <v>289</v>
      </c>
      <c r="F157" s="5">
        <v>131755</v>
      </c>
      <c r="G157" s="4" t="s">
        <v>863</v>
      </c>
      <c r="H157" s="4" t="s">
        <v>864</v>
      </c>
      <c r="I157" s="4" t="s">
        <v>865</v>
      </c>
      <c r="J157" s="4"/>
      <c r="K157" s="4"/>
      <c r="L157" s="2">
        <v>2015</v>
      </c>
      <c r="M157" s="4" t="s">
        <v>866</v>
      </c>
      <c r="N157" s="5"/>
      <c r="O157" s="4" t="s">
        <v>867</v>
      </c>
      <c r="P157" s="4" t="s">
        <v>868</v>
      </c>
      <c r="Q157" s="4"/>
      <c r="R157" s="4"/>
      <c r="S157" s="4"/>
      <c r="T157" s="4"/>
      <c r="U157" s="4"/>
    </row>
    <row r="158" spans="2:21" ht="26.15" hidden="1" customHeight="1">
      <c r="B158" s="2">
        <v>156</v>
      </c>
      <c r="C158" s="3">
        <v>43708</v>
      </c>
      <c r="D158" s="20">
        <v>2019</v>
      </c>
      <c r="E158" s="4" t="s">
        <v>34</v>
      </c>
      <c r="F158" s="5">
        <v>13948</v>
      </c>
      <c r="G158" s="4" t="s">
        <v>820</v>
      </c>
      <c r="H158" s="4" t="s">
        <v>821</v>
      </c>
      <c r="I158" s="4" t="s">
        <v>869</v>
      </c>
      <c r="J158" s="4"/>
      <c r="K158" s="4" t="s">
        <v>870</v>
      </c>
      <c r="L158" s="2">
        <v>2016</v>
      </c>
      <c r="M158" s="4" t="s">
        <v>56</v>
      </c>
      <c r="N158" s="5">
        <v>663059</v>
      </c>
      <c r="O158" s="4" t="s">
        <v>823</v>
      </c>
      <c r="P158" s="4" t="s">
        <v>824</v>
      </c>
      <c r="Q158" s="4"/>
      <c r="R158" s="4"/>
      <c r="S158" s="4"/>
      <c r="T158" s="4"/>
      <c r="U158" s="4"/>
    </row>
    <row r="159" spans="2:21" ht="26.15" hidden="1" customHeight="1">
      <c r="B159" s="2">
        <v>157</v>
      </c>
      <c r="C159" s="3">
        <v>43707</v>
      </c>
      <c r="D159" s="20">
        <v>2019</v>
      </c>
      <c r="E159" s="4" t="s">
        <v>109</v>
      </c>
      <c r="F159" s="5" t="s">
        <v>50</v>
      </c>
      <c r="G159" s="4" t="s">
        <v>871</v>
      </c>
      <c r="H159" s="4" t="s">
        <v>872</v>
      </c>
      <c r="I159" s="4" t="s">
        <v>873</v>
      </c>
      <c r="J159" s="4"/>
      <c r="K159" s="4" t="s">
        <v>874</v>
      </c>
      <c r="L159" s="2">
        <v>2013</v>
      </c>
      <c r="M159" s="4" t="s">
        <v>875</v>
      </c>
      <c r="N159" s="5"/>
      <c r="O159" s="4" t="s">
        <v>876</v>
      </c>
      <c r="P159" s="4" t="s">
        <v>877</v>
      </c>
      <c r="Q159" s="4"/>
      <c r="R159" s="4"/>
      <c r="S159" s="4"/>
      <c r="T159" s="4"/>
      <c r="U159" s="4"/>
    </row>
    <row r="160" spans="2:21" ht="26.15" hidden="1" customHeight="1">
      <c r="B160" s="2">
        <v>158</v>
      </c>
      <c r="C160" s="3">
        <v>43701</v>
      </c>
      <c r="D160" s="20">
        <v>2019</v>
      </c>
      <c r="E160" s="4" t="s">
        <v>109</v>
      </c>
      <c r="F160" s="5">
        <v>2226700</v>
      </c>
      <c r="G160" s="4" t="s">
        <v>878</v>
      </c>
      <c r="H160" s="4" t="s">
        <v>879</v>
      </c>
      <c r="I160" s="4" t="s">
        <v>880</v>
      </c>
      <c r="J160" s="4" t="s">
        <v>881</v>
      </c>
      <c r="K160" s="4" t="s">
        <v>882</v>
      </c>
      <c r="L160" s="2">
        <v>2015</v>
      </c>
      <c r="M160" s="4" t="s">
        <v>56</v>
      </c>
      <c r="N160" s="5">
        <v>9059375</v>
      </c>
      <c r="O160" s="4" t="s">
        <v>883</v>
      </c>
      <c r="P160" s="4" t="s">
        <v>884</v>
      </c>
      <c r="Q160" s="4"/>
      <c r="R160" s="4"/>
      <c r="S160" s="4"/>
      <c r="T160" s="4"/>
      <c r="U160" s="4"/>
    </row>
    <row r="161" spans="2:21" ht="26.15" customHeight="1">
      <c r="B161" s="2">
        <v>159</v>
      </c>
      <c r="C161" s="3">
        <v>43698</v>
      </c>
      <c r="D161" s="20">
        <v>2019</v>
      </c>
      <c r="E161" s="4" t="s">
        <v>109</v>
      </c>
      <c r="F161" s="5">
        <v>10000000</v>
      </c>
      <c r="G161" s="4" t="s">
        <v>885</v>
      </c>
      <c r="H161" s="4" t="s">
        <v>886</v>
      </c>
      <c r="I161" s="4" t="s">
        <v>887</v>
      </c>
      <c r="J161" s="4"/>
      <c r="K161" s="4" t="s">
        <v>888</v>
      </c>
      <c r="L161" s="2">
        <v>2013</v>
      </c>
      <c r="M161" s="4" t="s">
        <v>369</v>
      </c>
      <c r="N161" s="5">
        <v>30000000</v>
      </c>
      <c r="O161" s="4" t="s">
        <v>889</v>
      </c>
      <c r="P161" s="4" t="s">
        <v>890</v>
      </c>
      <c r="Q161" s="4"/>
      <c r="R161" s="4"/>
      <c r="S161" s="4"/>
      <c r="T161" s="4"/>
      <c r="U161" s="4"/>
    </row>
    <row r="162" spans="2:21" ht="26.15" hidden="1" customHeight="1">
      <c r="B162" s="2">
        <v>160</v>
      </c>
      <c r="C162" s="3">
        <v>43685</v>
      </c>
      <c r="D162" s="20">
        <v>2019</v>
      </c>
      <c r="E162" s="4" t="s">
        <v>25</v>
      </c>
      <c r="F162" s="5" t="s">
        <v>50</v>
      </c>
      <c r="G162" s="4" t="s">
        <v>891</v>
      </c>
      <c r="H162" s="4" t="s">
        <v>892</v>
      </c>
      <c r="I162" s="4" t="s">
        <v>893</v>
      </c>
      <c r="J162" s="4"/>
      <c r="K162" s="4"/>
      <c r="L162" s="2">
        <v>2017</v>
      </c>
      <c r="M162" s="4" t="s">
        <v>894</v>
      </c>
      <c r="N162" s="5"/>
      <c r="O162" s="4" t="s">
        <v>895</v>
      </c>
      <c r="P162" s="4" t="s">
        <v>896</v>
      </c>
      <c r="Q162" s="4"/>
      <c r="R162" s="4"/>
      <c r="S162" s="4"/>
      <c r="T162" s="4"/>
      <c r="U162" s="4"/>
    </row>
    <row r="163" spans="2:21" ht="26.15" hidden="1" customHeight="1">
      <c r="B163" s="2">
        <v>161</v>
      </c>
      <c r="C163" s="3">
        <v>43683</v>
      </c>
      <c r="D163" s="20">
        <v>2019</v>
      </c>
      <c r="E163" s="4" t="s">
        <v>109</v>
      </c>
      <c r="F163" s="5">
        <v>3500000</v>
      </c>
      <c r="G163" s="4" t="s">
        <v>897</v>
      </c>
      <c r="H163" s="4" t="s">
        <v>898</v>
      </c>
      <c r="I163" s="4" t="s">
        <v>899</v>
      </c>
      <c r="J163" s="4" t="s">
        <v>900</v>
      </c>
      <c r="K163" s="4" t="s">
        <v>901</v>
      </c>
      <c r="L163" s="2">
        <v>2016</v>
      </c>
      <c r="M163" s="4" t="s">
        <v>902</v>
      </c>
      <c r="N163" s="5">
        <v>8062080</v>
      </c>
      <c r="O163" s="4" t="s">
        <v>903</v>
      </c>
      <c r="P163" s="4" t="s">
        <v>904</v>
      </c>
      <c r="Q163" s="4"/>
      <c r="R163" s="4"/>
      <c r="S163" s="4"/>
      <c r="T163" s="4"/>
      <c r="U163" s="4"/>
    </row>
    <row r="164" spans="2:21" ht="26.15" hidden="1" customHeight="1">
      <c r="B164" s="2">
        <v>162</v>
      </c>
      <c r="C164" s="3">
        <v>43678</v>
      </c>
      <c r="D164" s="20">
        <v>2019</v>
      </c>
      <c r="E164" s="4" t="s">
        <v>184</v>
      </c>
      <c r="F164" s="5" t="s">
        <v>50</v>
      </c>
      <c r="G164" s="4" t="s">
        <v>905</v>
      </c>
      <c r="H164" s="4" t="s">
        <v>906</v>
      </c>
      <c r="I164" s="4" t="s">
        <v>907</v>
      </c>
      <c r="J164" s="4"/>
      <c r="K164" s="4"/>
      <c r="L164" s="2">
        <v>2017</v>
      </c>
      <c r="M164" s="4" t="s">
        <v>79</v>
      </c>
      <c r="N164" s="5"/>
      <c r="O164" s="4" t="s">
        <v>908</v>
      </c>
      <c r="P164" s="4" t="s">
        <v>909</v>
      </c>
      <c r="Q164" s="4"/>
      <c r="R164" s="4"/>
      <c r="S164" s="4"/>
      <c r="T164" s="4"/>
      <c r="U164" s="4"/>
    </row>
    <row r="165" spans="2:21" ht="26.15" hidden="1" customHeight="1">
      <c r="B165" s="2">
        <v>163</v>
      </c>
      <c r="C165" s="3">
        <v>43678</v>
      </c>
      <c r="D165" s="20">
        <v>2019</v>
      </c>
      <c r="E165" s="4" t="s">
        <v>184</v>
      </c>
      <c r="F165" s="5" t="s">
        <v>50</v>
      </c>
      <c r="G165" s="4" t="s">
        <v>910</v>
      </c>
      <c r="H165" s="4" t="s">
        <v>911</v>
      </c>
      <c r="I165" s="4" t="s">
        <v>907</v>
      </c>
      <c r="J165" s="4"/>
      <c r="K165" s="4"/>
      <c r="L165" s="2">
        <v>2017</v>
      </c>
      <c r="M165" s="4" t="s">
        <v>79</v>
      </c>
      <c r="N165" s="5"/>
      <c r="O165" s="4" t="s">
        <v>912</v>
      </c>
      <c r="P165" s="4" t="s">
        <v>913</v>
      </c>
      <c r="Q165" s="4"/>
      <c r="R165" s="4"/>
      <c r="S165" s="4"/>
      <c r="T165" s="4"/>
      <c r="U165" s="4"/>
    </row>
    <row r="166" spans="2:21" ht="26.15" hidden="1" customHeight="1">
      <c r="B166" s="2">
        <v>164</v>
      </c>
      <c r="C166" s="3">
        <v>43678</v>
      </c>
      <c r="D166" s="20">
        <v>2019</v>
      </c>
      <c r="E166" s="4" t="s">
        <v>184</v>
      </c>
      <c r="F166" s="5" t="s">
        <v>50</v>
      </c>
      <c r="G166" s="4" t="s">
        <v>914</v>
      </c>
      <c r="H166" s="4" t="s">
        <v>915</v>
      </c>
      <c r="I166" s="4" t="s">
        <v>907</v>
      </c>
      <c r="J166" s="4"/>
      <c r="K166" s="4"/>
      <c r="L166" s="2">
        <v>2018</v>
      </c>
      <c r="M166" s="4" t="s">
        <v>916</v>
      </c>
      <c r="N166" s="5"/>
      <c r="O166" s="4" t="s">
        <v>917</v>
      </c>
      <c r="P166" s="4" t="s">
        <v>918</v>
      </c>
      <c r="Q166" s="4"/>
      <c r="R166" s="4"/>
      <c r="S166" s="4"/>
      <c r="T166" s="4"/>
      <c r="U166" s="4"/>
    </row>
    <row r="167" spans="2:21" ht="26.15" customHeight="1">
      <c r="B167" s="2">
        <v>165</v>
      </c>
      <c r="C167" s="3">
        <v>43677</v>
      </c>
      <c r="D167" s="20">
        <v>2019</v>
      </c>
      <c r="E167" s="4" t="s">
        <v>34</v>
      </c>
      <c r="F167" s="5">
        <v>1500000</v>
      </c>
      <c r="G167" s="4" t="s">
        <v>919</v>
      </c>
      <c r="H167" s="4" t="s">
        <v>920</v>
      </c>
      <c r="I167" s="4"/>
      <c r="J167" s="4"/>
      <c r="K167" s="4"/>
      <c r="L167" s="2">
        <v>2016</v>
      </c>
      <c r="M167" s="4" t="s">
        <v>357</v>
      </c>
      <c r="N167" s="5">
        <v>2500000</v>
      </c>
      <c r="O167" s="4" t="s">
        <v>921</v>
      </c>
      <c r="P167" s="4" t="s">
        <v>922</v>
      </c>
      <c r="Q167" s="4"/>
      <c r="R167" s="4"/>
      <c r="S167" s="4"/>
      <c r="T167" s="4"/>
      <c r="U167" s="4"/>
    </row>
    <row r="168" spans="2:21" ht="26.15" hidden="1" customHeight="1">
      <c r="B168" s="2">
        <v>166</v>
      </c>
      <c r="C168" s="3">
        <v>43675</v>
      </c>
      <c r="D168" s="20">
        <v>2019</v>
      </c>
      <c r="E168" s="4" t="s">
        <v>109</v>
      </c>
      <c r="F168" s="5">
        <v>8500000</v>
      </c>
      <c r="G168" s="4" t="s">
        <v>345</v>
      </c>
      <c r="H168" s="4" t="s">
        <v>346</v>
      </c>
      <c r="I168" s="4" t="s">
        <v>923</v>
      </c>
      <c r="J168" s="4"/>
      <c r="K168" s="4" t="s">
        <v>924</v>
      </c>
      <c r="L168" s="2">
        <v>2016</v>
      </c>
      <c r="M168" s="4" t="s">
        <v>349</v>
      </c>
      <c r="N168" s="5">
        <v>8500000</v>
      </c>
      <c r="O168" s="4" t="s">
        <v>350</v>
      </c>
      <c r="P168" s="4" t="s">
        <v>351</v>
      </c>
      <c r="Q168" s="4" t="s">
        <v>352</v>
      </c>
      <c r="R168" s="4"/>
      <c r="S168" s="4"/>
      <c r="T168" s="4"/>
      <c r="U168" s="4"/>
    </row>
    <row r="169" spans="2:21" ht="26.15" hidden="1" customHeight="1">
      <c r="B169" s="2">
        <v>167</v>
      </c>
      <c r="C169" s="3">
        <v>43670</v>
      </c>
      <c r="D169" s="20">
        <v>2019</v>
      </c>
      <c r="E169" s="4" t="s">
        <v>34</v>
      </c>
      <c r="F169" s="5" t="s">
        <v>50</v>
      </c>
      <c r="G169" s="4" t="s">
        <v>398</v>
      </c>
      <c r="H169" s="4" t="s">
        <v>399</v>
      </c>
      <c r="I169" s="4" t="s">
        <v>925</v>
      </c>
      <c r="J169" s="4"/>
      <c r="K169" s="4" t="s">
        <v>926</v>
      </c>
      <c r="L169" s="2">
        <v>2017</v>
      </c>
      <c r="M169" s="4" t="s">
        <v>79</v>
      </c>
      <c r="N169" s="5">
        <v>6930813</v>
      </c>
      <c r="O169" s="4" t="s">
        <v>402</v>
      </c>
      <c r="P169" s="4" t="s">
        <v>403</v>
      </c>
      <c r="Q169" s="4"/>
      <c r="R169" s="4"/>
      <c r="S169" s="4"/>
      <c r="T169" s="4"/>
      <c r="U169" s="4"/>
    </row>
    <row r="170" spans="2:21" ht="26.15" hidden="1" customHeight="1">
      <c r="B170" s="2">
        <v>168</v>
      </c>
      <c r="C170" s="3">
        <v>43663</v>
      </c>
      <c r="D170" s="20">
        <v>2019</v>
      </c>
      <c r="E170" s="4" t="s">
        <v>34</v>
      </c>
      <c r="F170" s="5">
        <v>1020260</v>
      </c>
      <c r="G170" s="4" t="s">
        <v>443</v>
      </c>
      <c r="H170" s="4" t="s">
        <v>444</v>
      </c>
      <c r="I170" s="4" t="s">
        <v>927</v>
      </c>
      <c r="J170" s="4"/>
      <c r="K170" s="4" t="s">
        <v>928</v>
      </c>
      <c r="L170" s="2">
        <v>2018</v>
      </c>
      <c r="M170" s="4" t="s">
        <v>56</v>
      </c>
      <c r="N170" s="5">
        <v>4804090</v>
      </c>
      <c r="O170" s="4" t="s">
        <v>447</v>
      </c>
      <c r="P170" s="4" t="s">
        <v>448</v>
      </c>
      <c r="Q170" s="4"/>
      <c r="R170" s="4"/>
      <c r="S170" s="4"/>
      <c r="T170" s="4"/>
      <c r="U170" s="4"/>
    </row>
    <row r="171" spans="2:21" ht="26.15" hidden="1" customHeight="1">
      <c r="B171" s="2">
        <v>169</v>
      </c>
      <c r="C171" s="3">
        <v>43662</v>
      </c>
      <c r="D171" s="20">
        <v>2019</v>
      </c>
      <c r="E171" s="4" t="s">
        <v>124</v>
      </c>
      <c r="F171" s="5">
        <v>437878</v>
      </c>
      <c r="G171" s="4" t="s">
        <v>96</v>
      </c>
      <c r="H171" s="4" t="s">
        <v>97</v>
      </c>
      <c r="I171" s="4"/>
      <c r="J171" s="4" t="s">
        <v>929</v>
      </c>
      <c r="K171" s="4" t="s">
        <v>929</v>
      </c>
      <c r="L171" s="2">
        <v>2015</v>
      </c>
      <c r="M171" s="4" t="s">
        <v>79</v>
      </c>
      <c r="N171" s="5">
        <v>163285834</v>
      </c>
      <c r="O171" s="4" t="s">
        <v>100</v>
      </c>
      <c r="P171" s="4" t="s">
        <v>101</v>
      </c>
      <c r="Q171" s="4"/>
      <c r="R171" s="4"/>
      <c r="S171" s="4"/>
      <c r="T171" s="4"/>
      <c r="U171" s="4"/>
    </row>
    <row r="172" spans="2:21" ht="26.15" hidden="1" customHeight="1">
      <c r="B172" s="2">
        <v>170</v>
      </c>
      <c r="C172" s="3">
        <v>43661</v>
      </c>
      <c r="D172" s="20">
        <v>2019</v>
      </c>
      <c r="E172" s="4" t="s">
        <v>34</v>
      </c>
      <c r="F172" s="5">
        <v>534750</v>
      </c>
      <c r="G172" s="4" t="s">
        <v>930</v>
      </c>
      <c r="H172" s="4" t="s">
        <v>931</v>
      </c>
      <c r="I172" s="4" t="s">
        <v>932</v>
      </c>
      <c r="J172" s="4"/>
      <c r="K172" s="4" t="s">
        <v>933</v>
      </c>
      <c r="L172" s="2">
        <v>2016</v>
      </c>
      <c r="M172" s="4" t="s">
        <v>934</v>
      </c>
      <c r="N172" s="5">
        <v>534750</v>
      </c>
      <c r="O172" s="4" t="s">
        <v>935</v>
      </c>
      <c r="P172" s="4" t="s">
        <v>936</v>
      </c>
      <c r="Q172" s="4"/>
      <c r="R172" s="4"/>
      <c r="S172" s="4"/>
      <c r="T172" s="4"/>
      <c r="U172" s="4"/>
    </row>
    <row r="173" spans="2:21" ht="26.15" hidden="1" customHeight="1">
      <c r="B173" s="2">
        <v>171</v>
      </c>
      <c r="C173" s="3">
        <v>43661</v>
      </c>
      <c r="D173" s="20">
        <v>2019</v>
      </c>
      <c r="E173" s="4" t="s">
        <v>109</v>
      </c>
      <c r="F173" s="5">
        <v>1895380</v>
      </c>
      <c r="G173" s="4" t="s">
        <v>641</v>
      </c>
      <c r="H173" s="4" t="s">
        <v>642</v>
      </c>
      <c r="I173" s="4" t="s">
        <v>937</v>
      </c>
      <c r="J173" s="4"/>
      <c r="K173" s="4" t="s">
        <v>938</v>
      </c>
      <c r="L173" s="2">
        <v>2009</v>
      </c>
      <c r="M173" s="4" t="s">
        <v>47</v>
      </c>
      <c r="N173" s="5">
        <v>10590520</v>
      </c>
      <c r="O173" s="4" t="s">
        <v>645</v>
      </c>
      <c r="P173" s="4" t="s">
        <v>646</v>
      </c>
      <c r="Q173" s="4"/>
      <c r="R173" s="4"/>
      <c r="S173" s="4"/>
      <c r="T173" s="4"/>
      <c r="U173" s="4"/>
    </row>
    <row r="174" spans="2:21" ht="26.15" hidden="1" customHeight="1">
      <c r="B174" s="2">
        <v>172</v>
      </c>
      <c r="C174" s="3">
        <v>43658</v>
      </c>
      <c r="D174" s="20">
        <v>2019</v>
      </c>
      <c r="E174" s="4" t="s">
        <v>184</v>
      </c>
      <c r="F174" s="5">
        <v>27500</v>
      </c>
      <c r="G174" s="4" t="s">
        <v>939</v>
      </c>
      <c r="H174" s="4" t="s">
        <v>940</v>
      </c>
      <c r="I174" s="4" t="s">
        <v>941</v>
      </c>
      <c r="J174" s="4"/>
      <c r="K174" s="4"/>
      <c r="L174" s="2">
        <v>2017</v>
      </c>
      <c r="M174" s="4" t="s">
        <v>684</v>
      </c>
      <c r="N174" s="5"/>
      <c r="O174" s="4" t="s">
        <v>942</v>
      </c>
      <c r="P174" s="4" t="s">
        <v>943</v>
      </c>
      <c r="Q174" s="4"/>
      <c r="R174" s="4"/>
      <c r="S174" s="4"/>
      <c r="T174" s="4"/>
      <c r="U174" s="4"/>
    </row>
    <row r="175" spans="2:21" ht="26.15" hidden="1" customHeight="1">
      <c r="B175" s="2">
        <v>173</v>
      </c>
      <c r="C175" s="3">
        <v>43649</v>
      </c>
      <c r="D175" s="20">
        <v>2019</v>
      </c>
      <c r="E175" s="4" t="s">
        <v>34</v>
      </c>
      <c r="F175" s="5">
        <v>492991</v>
      </c>
      <c r="G175" s="4" t="s">
        <v>944</v>
      </c>
      <c r="H175" s="4" t="s">
        <v>945</v>
      </c>
      <c r="I175" s="4" t="s">
        <v>946</v>
      </c>
      <c r="J175" s="4"/>
      <c r="K175" s="4" t="s">
        <v>947</v>
      </c>
      <c r="L175" s="2">
        <v>2014</v>
      </c>
      <c r="M175" s="4" t="s">
        <v>47</v>
      </c>
      <c r="N175" s="5">
        <v>492991</v>
      </c>
      <c r="O175" s="4" t="s">
        <v>948</v>
      </c>
      <c r="P175" s="4" t="s">
        <v>949</v>
      </c>
      <c r="Q175" s="4"/>
      <c r="R175" s="4"/>
      <c r="S175" s="4"/>
      <c r="T175" s="4"/>
      <c r="U175" s="4"/>
    </row>
    <row r="176" spans="2:21" ht="26.15" customHeight="1">
      <c r="B176" s="2">
        <v>174</v>
      </c>
      <c r="C176" s="3">
        <v>43646</v>
      </c>
      <c r="D176" s="20">
        <v>2019</v>
      </c>
      <c r="E176" s="4" t="s">
        <v>109</v>
      </c>
      <c r="F176" s="5" t="s">
        <v>50</v>
      </c>
      <c r="G176" s="4" t="s">
        <v>950</v>
      </c>
      <c r="H176" s="4" t="s">
        <v>951</v>
      </c>
      <c r="I176" s="4" t="s">
        <v>952</v>
      </c>
      <c r="J176" s="4"/>
      <c r="K176" s="4" t="s">
        <v>953</v>
      </c>
      <c r="L176" s="2">
        <v>2014</v>
      </c>
      <c r="M176" s="4" t="s">
        <v>954</v>
      </c>
      <c r="N176" s="5"/>
      <c r="O176" s="4" t="s">
        <v>955</v>
      </c>
      <c r="P176" s="4" t="s">
        <v>956</v>
      </c>
      <c r="Q176" s="4"/>
      <c r="R176" s="4"/>
      <c r="S176" s="4"/>
      <c r="T176" s="4"/>
      <c r="U176" s="4"/>
    </row>
    <row r="177" spans="2:21" ht="26.15" hidden="1" customHeight="1">
      <c r="B177" s="2">
        <v>175</v>
      </c>
      <c r="C177" s="3">
        <v>43637</v>
      </c>
      <c r="D177" s="20">
        <v>2019</v>
      </c>
      <c r="E177" s="4" t="s">
        <v>124</v>
      </c>
      <c r="F177" s="5">
        <v>632340</v>
      </c>
      <c r="G177" s="4" t="s">
        <v>42</v>
      </c>
      <c r="H177" s="4" t="s">
        <v>43</v>
      </c>
      <c r="I177" s="4"/>
      <c r="J177" s="4" t="s">
        <v>957</v>
      </c>
      <c r="K177" s="4" t="s">
        <v>45</v>
      </c>
      <c r="L177" s="2">
        <v>2017</v>
      </c>
      <c r="M177" s="4" t="s">
        <v>47</v>
      </c>
      <c r="N177" s="5">
        <v>3160468</v>
      </c>
      <c r="O177" s="4" t="s">
        <v>48</v>
      </c>
      <c r="P177" s="4" t="s">
        <v>49</v>
      </c>
      <c r="Q177" s="4"/>
      <c r="R177" s="4"/>
      <c r="S177" s="4"/>
      <c r="T177" s="4"/>
      <c r="U177" s="4"/>
    </row>
    <row r="178" spans="2:21" ht="26.15" hidden="1" customHeight="1">
      <c r="B178" s="2">
        <v>176</v>
      </c>
      <c r="C178" s="3">
        <v>43635</v>
      </c>
      <c r="D178" s="20">
        <v>2019</v>
      </c>
      <c r="E178" s="4" t="s">
        <v>34</v>
      </c>
      <c r="F178" s="5" t="s">
        <v>50</v>
      </c>
      <c r="G178" s="4" t="s">
        <v>958</v>
      </c>
      <c r="H178" s="4" t="s">
        <v>959</v>
      </c>
      <c r="I178" s="4" t="s">
        <v>831</v>
      </c>
      <c r="J178" s="4"/>
      <c r="K178" s="4" t="s">
        <v>832</v>
      </c>
      <c r="L178" s="2">
        <v>2016</v>
      </c>
      <c r="M178" s="4" t="s">
        <v>960</v>
      </c>
      <c r="N178" s="5"/>
      <c r="O178" s="4" t="s">
        <v>961</v>
      </c>
      <c r="P178" s="4" t="s">
        <v>962</v>
      </c>
      <c r="Q178" s="4"/>
      <c r="R178" s="4"/>
      <c r="S178" s="4"/>
      <c r="T178" s="4"/>
      <c r="U178" s="4"/>
    </row>
    <row r="179" spans="2:21" ht="26.15" hidden="1" customHeight="1">
      <c r="B179" s="2">
        <v>177</v>
      </c>
      <c r="C179" s="3">
        <v>43634</v>
      </c>
      <c r="D179" s="20">
        <v>2019</v>
      </c>
      <c r="E179" s="4" t="s">
        <v>184</v>
      </c>
      <c r="F179" s="5" t="s">
        <v>50</v>
      </c>
      <c r="G179" s="4" t="s">
        <v>963</v>
      </c>
      <c r="H179" s="4" t="s">
        <v>964</v>
      </c>
      <c r="I179" s="4" t="s">
        <v>965</v>
      </c>
      <c r="J179" s="4"/>
      <c r="K179" s="4"/>
      <c r="L179" s="2">
        <v>2003</v>
      </c>
      <c r="M179" s="4" t="s">
        <v>966</v>
      </c>
      <c r="N179" s="5"/>
      <c r="O179" s="4" t="s">
        <v>967</v>
      </c>
      <c r="P179" s="4" t="s">
        <v>968</v>
      </c>
      <c r="Q179" s="4"/>
      <c r="R179" s="4"/>
      <c r="S179" s="4"/>
      <c r="T179" s="4"/>
      <c r="U179" s="4"/>
    </row>
    <row r="180" spans="2:21" ht="26.15" hidden="1" customHeight="1">
      <c r="B180" s="2">
        <v>178</v>
      </c>
      <c r="C180" s="3">
        <v>43634</v>
      </c>
      <c r="D180" s="20">
        <v>2019</v>
      </c>
      <c r="E180" s="4" t="s">
        <v>109</v>
      </c>
      <c r="F180" s="5">
        <v>50000</v>
      </c>
      <c r="G180" s="4" t="s">
        <v>897</v>
      </c>
      <c r="H180" s="4" t="s">
        <v>898</v>
      </c>
      <c r="I180" s="4" t="s">
        <v>969</v>
      </c>
      <c r="J180" s="4"/>
      <c r="K180" s="4" t="s">
        <v>970</v>
      </c>
      <c r="L180" s="2">
        <v>2016</v>
      </c>
      <c r="M180" s="4" t="s">
        <v>902</v>
      </c>
      <c r="N180" s="5">
        <v>8062080</v>
      </c>
      <c r="O180" s="4" t="s">
        <v>903</v>
      </c>
      <c r="P180" s="4" t="s">
        <v>904</v>
      </c>
      <c r="Q180" s="4"/>
      <c r="R180" s="4"/>
      <c r="S180" s="4"/>
      <c r="T180" s="4"/>
      <c r="U180" s="4"/>
    </row>
    <row r="181" spans="2:21" ht="26.15" hidden="1" customHeight="1">
      <c r="B181" s="2">
        <v>179</v>
      </c>
      <c r="C181" s="3">
        <v>43633</v>
      </c>
      <c r="D181" s="20">
        <v>2019</v>
      </c>
      <c r="E181" s="4" t="s">
        <v>95</v>
      </c>
      <c r="F181" s="5">
        <v>8874410</v>
      </c>
      <c r="G181" s="4" t="s">
        <v>96</v>
      </c>
      <c r="H181" s="4" t="s">
        <v>97</v>
      </c>
      <c r="I181" s="4" t="s">
        <v>971</v>
      </c>
      <c r="J181" s="4" t="s">
        <v>929</v>
      </c>
      <c r="K181" s="4" t="s">
        <v>972</v>
      </c>
      <c r="L181" s="2">
        <v>2015</v>
      </c>
      <c r="M181" s="4" t="s">
        <v>79</v>
      </c>
      <c r="N181" s="5">
        <v>163285834</v>
      </c>
      <c r="O181" s="4" t="s">
        <v>100</v>
      </c>
      <c r="P181" s="4" t="s">
        <v>101</v>
      </c>
      <c r="Q181" s="4"/>
      <c r="R181" s="4"/>
      <c r="S181" s="4"/>
      <c r="T181" s="4"/>
      <c r="U181" s="4"/>
    </row>
    <row r="182" spans="2:21" ht="26.15" customHeight="1">
      <c r="B182" s="2">
        <v>180</v>
      </c>
      <c r="C182" s="3">
        <v>43629</v>
      </c>
      <c r="D182" s="20">
        <v>2019</v>
      </c>
      <c r="E182" s="4" t="s">
        <v>184</v>
      </c>
      <c r="F182" s="5">
        <v>1700000</v>
      </c>
      <c r="G182" s="4" t="s">
        <v>353</v>
      </c>
      <c r="H182" s="4" t="s">
        <v>354</v>
      </c>
      <c r="I182" s="4" t="s">
        <v>973</v>
      </c>
      <c r="J182" s="4"/>
      <c r="K182" s="4"/>
      <c r="L182" s="2">
        <v>2013</v>
      </c>
      <c r="M182" s="4" t="s">
        <v>357</v>
      </c>
      <c r="N182" s="5">
        <v>9700000</v>
      </c>
      <c r="O182" s="4" t="s">
        <v>358</v>
      </c>
      <c r="P182" s="4" t="s">
        <v>359</v>
      </c>
      <c r="Q182" s="4"/>
      <c r="R182" s="4"/>
      <c r="S182" s="4"/>
      <c r="T182" s="4"/>
      <c r="U182" s="4"/>
    </row>
    <row r="183" spans="2:21" ht="26.15" hidden="1" customHeight="1">
      <c r="B183" s="2">
        <v>181</v>
      </c>
      <c r="C183" s="3">
        <v>43628</v>
      </c>
      <c r="D183" s="20">
        <v>2019</v>
      </c>
      <c r="E183" s="4" t="s">
        <v>25</v>
      </c>
      <c r="F183" s="5">
        <v>12954300</v>
      </c>
      <c r="G183" s="4" t="s">
        <v>74</v>
      </c>
      <c r="H183" s="4" t="s">
        <v>75</v>
      </c>
      <c r="I183" s="4" t="s">
        <v>974</v>
      </c>
      <c r="J183" s="4" t="s">
        <v>975</v>
      </c>
      <c r="K183" s="4" t="s">
        <v>78</v>
      </c>
      <c r="L183" s="2">
        <v>2015</v>
      </c>
      <c r="M183" s="4" t="s">
        <v>79</v>
      </c>
      <c r="N183" s="5">
        <v>36362460</v>
      </c>
      <c r="O183" s="4" t="s">
        <v>80</v>
      </c>
      <c r="P183" s="4" t="s">
        <v>81</v>
      </c>
      <c r="Q183" s="4"/>
      <c r="R183" s="4"/>
      <c r="S183" s="4"/>
      <c r="T183" s="4"/>
      <c r="U183" s="4"/>
    </row>
    <row r="184" spans="2:21" ht="26.15" hidden="1" customHeight="1">
      <c r="B184" s="2">
        <v>182</v>
      </c>
      <c r="C184" s="3">
        <v>43619</v>
      </c>
      <c r="D184" s="20">
        <v>2019</v>
      </c>
      <c r="E184" s="4" t="s">
        <v>302</v>
      </c>
      <c r="F184" s="5">
        <v>2871620</v>
      </c>
      <c r="G184" s="4" t="s">
        <v>96</v>
      </c>
      <c r="H184" s="4" t="s">
        <v>97</v>
      </c>
      <c r="I184" s="4" t="s">
        <v>723</v>
      </c>
      <c r="J184" s="4"/>
      <c r="K184" s="4"/>
      <c r="L184" s="2">
        <v>2015</v>
      </c>
      <c r="M184" s="4" t="s">
        <v>79</v>
      </c>
      <c r="N184" s="5">
        <v>163285834</v>
      </c>
      <c r="O184" s="4" t="s">
        <v>100</v>
      </c>
      <c r="P184" s="4" t="s">
        <v>101</v>
      </c>
      <c r="Q184" s="4"/>
      <c r="R184" s="4"/>
      <c r="S184" s="4"/>
      <c r="T184" s="4"/>
      <c r="U184" s="4"/>
    </row>
    <row r="185" spans="2:21" ht="26.15" hidden="1" customHeight="1">
      <c r="B185" s="2">
        <v>183</v>
      </c>
      <c r="C185" s="3">
        <v>43617</v>
      </c>
      <c r="D185" s="20">
        <v>2019</v>
      </c>
      <c r="E185" s="4" t="s">
        <v>184</v>
      </c>
      <c r="F185" s="5" t="s">
        <v>50</v>
      </c>
      <c r="G185" s="4" t="s">
        <v>976</v>
      </c>
      <c r="H185" s="4" t="s">
        <v>977</v>
      </c>
      <c r="I185" s="4" t="s">
        <v>907</v>
      </c>
      <c r="J185" s="4"/>
      <c r="K185" s="4"/>
      <c r="L185" s="2">
        <v>2019</v>
      </c>
      <c r="M185" s="4" t="s">
        <v>79</v>
      </c>
      <c r="N185" s="5"/>
      <c r="O185" s="4" t="s">
        <v>978</v>
      </c>
      <c r="P185" s="4" t="s">
        <v>979</v>
      </c>
      <c r="Q185" s="4"/>
      <c r="R185" s="4"/>
      <c r="S185" s="4"/>
      <c r="T185" s="4"/>
      <c r="U185" s="4"/>
    </row>
    <row r="186" spans="2:21" ht="26.15" hidden="1" customHeight="1">
      <c r="B186" s="2">
        <v>184</v>
      </c>
      <c r="C186" s="3">
        <v>43615</v>
      </c>
      <c r="D186" s="20">
        <v>2019</v>
      </c>
      <c r="E186" s="4" t="s">
        <v>109</v>
      </c>
      <c r="F186" s="5" t="s">
        <v>50</v>
      </c>
      <c r="G186" s="4" t="s">
        <v>980</v>
      </c>
      <c r="H186" s="4" t="s">
        <v>981</v>
      </c>
      <c r="I186" s="4" t="s">
        <v>982</v>
      </c>
      <c r="J186" s="4"/>
      <c r="K186" s="4" t="s">
        <v>983</v>
      </c>
      <c r="L186" s="2">
        <v>2012</v>
      </c>
      <c r="M186" s="4" t="s">
        <v>181</v>
      </c>
      <c r="N186" s="5">
        <v>987327</v>
      </c>
      <c r="O186" s="4" t="s">
        <v>984</v>
      </c>
      <c r="P186" s="4" t="s">
        <v>435</v>
      </c>
      <c r="Q186" s="4"/>
      <c r="R186" s="4"/>
      <c r="S186" s="4"/>
      <c r="T186" s="4"/>
      <c r="U186" s="4"/>
    </row>
    <row r="187" spans="2:21" ht="26.15" hidden="1" customHeight="1">
      <c r="B187" s="2">
        <v>185</v>
      </c>
      <c r="C187" s="3">
        <v>43615</v>
      </c>
      <c r="D187" s="20">
        <v>2019</v>
      </c>
      <c r="E187" s="4" t="s">
        <v>124</v>
      </c>
      <c r="F187" s="5">
        <v>136390</v>
      </c>
      <c r="G187" s="4" t="s">
        <v>985</v>
      </c>
      <c r="H187" s="4" t="s">
        <v>986</v>
      </c>
      <c r="I187" s="4"/>
      <c r="J187" s="4" t="s">
        <v>987</v>
      </c>
      <c r="K187" s="4" t="s">
        <v>988</v>
      </c>
      <c r="L187" s="2">
        <v>2017</v>
      </c>
      <c r="M187" s="4" t="s">
        <v>47</v>
      </c>
      <c r="N187" s="5">
        <v>136390</v>
      </c>
      <c r="O187" s="4" t="s">
        <v>989</v>
      </c>
      <c r="P187" s="4" t="s">
        <v>990</v>
      </c>
      <c r="Q187" s="4"/>
      <c r="R187" s="4"/>
      <c r="S187" s="4"/>
      <c r="T187" s="4"/>
      <c r="U187" s="4"/>
    </row>
    <row r="188" spans="2:21" ht="26.15" hidden="1" customHeight="1">
      <c r="B188" s="2">
        <v>186</v>
      </c>
      <c r="C188" s="3">
        <v>43615</v>
      </c>
      <c r="D188" s="20">
        <v>2019</v>
      </c>
      <c r="E188" s="4" t="s">
        <v>289</v>
      </c>
      <c r="F188" s="5">
        <v>157428</v>
      </c>
      <c r="G188" s="4" t="s">
        <v>991</v>
      </c>
      <c r="H188" s="4" t="s">
        <v>992</v>
      </c>
      <c r="I188" s="4"/>
      <c r="J188" s="4" t="s">
        <v>993</v>
      </c>
      <c r="K188" s="4"/>
      <c r="L188" s="2">
        <v>2014</v>
      </c>
      <c r="M188" s="4" t="s">
        <v>128</v>
      </c>
      <c r="N188" s="5">
        <v>1570818</v>
      </c>
      <c r="O188" s="4" t="s">
        <v>994</v>
      </c>
      <c r="P188" s="4" t="s">
        <v>995</v>
      </c>
      <c r="Q188" s="4"/>
      <c r="R188" s="4"/>
      <c r="S188" s="4"/>
      <c r="T188" s="4"/>
      <c r="U188" s="4"/>
    </row>
    <row r="189" spans="2:21" ht="26.15" hidden="1" customHeight="1">
      <c r="B189" s="2">
        <v>187</v>
      </c>
      <c r="C189" s="3">
        <v>43613</v>
      </c>
      <c r="D189" s="20">
        <v>2019</v>
      </c>
      <c r="E189" s="4" t="s">
        <v>34</v>
      </c>
      <c r="F189" s="5">
        <v>2000000</v>
      </c>
      <c r="G189" s="4" t="s">
        <v>996</v>
      </c>
      <c r="H189" s="4" t="s">
        <v>997</v>
      </c>
      <c r="I189" s="4" t="s">
        <v>998</v>
      </c>
      <c r="J189" s="4" t="s">
        <v>999</v>
      </c>
      <c r="K189" s="4" t="s">
        <v>1000</v>
      </c>
      <c r="L189" s="2">
        <v>2018</v>
      </c>
      <c r="M189" s="4" t="s">
        <v>313</v>
      </c>
      <c r="N189" s="5">
        <v>2000000</v>
      </c>
      <c r="O189" s="4" t="s">
        <v>1001</v>
      </c>
      <c r="P189" s="4" t="s">
        <v>1002</v>
      </c>
      <c r="Q189" s="4"/>
      <c r="R189" s="4"/>
      <c r="S189" s="4"/>
      <c r="T189" s="4"/>
      <c r="U189" s="4"/>
    </row>
    <row r="190" spans="2:21" ht="26.15" customHeight="1">
      <c r="B190" s="2">
        <v>188</v>
      </c>
      <c r="C190" s="3">
        <v>43613</v>
      </c>
      <c r="D190" s="20">
        <v>2019</v>
      </c>
      <c r="E190" s="4" t="s">
        <v>109</v>
      </c>
      <c r="F190" s="5">
        <v>6000000</v>
      </c>
      <c r="G190" s="4" t="s">
        <v>687</v>
      </c>
      <c r="H190" s="4" t="s">
        <v>688</v>
      </c>
      <c r="I190" s="4" t="s">
        <v>1003</v>
      </c>
      <c r="J190" s="4"/>
      <c r="K190" s="4" t="s">
        <v>690</v>
      </c>
      <c r="L190" s="2">
        <v>2008</v>
      </c>
      <c r="M190" s="4" t="s">
        <v>691</v>
      </c>
      <c r="N190" s="5">
        <v>14500000</v>
      </c>
      <c r="O190" s="4" t="s">
        <v>692</v>
      </c>
      <c r="P190" s="4" t="s">
        <v>693</v>
      </c>
      <c r="Q190" s="4"/>
      <c r="R190" s="4"/>
      <c r="S190" s="4"/>
      <c r="T190" s="4"/>
      <c r="U190" s="4"/>
    </row>
    <row r="191" spans="2:21" ht="26.15" hidden="1" customHeight="1">
      <c r="B191" s="2">
        <v>189</v>
      </c>
      <c r="C191" s="3">
        <v>43612</v>
      </c>
      <c r="D191" s="20">
        <v>2019</v>
      </c>
      <c r="E191" s="4" t="s">
        <v>109</v>
      </c>
      <c r="F191" s="5">
        <v>10000000</v>
      </c>
      <c r="G191" s="4" t="s">
        <v>485</v>
      </c>
      <c r="H191" s="4" t="s">
        <v>486</v>
      </c>
      <c r="I191" s="4" t="s">
        <v>1004</v>
      </c>
      <c r="J191" s="4"/>
      <c r="K191" s="4" t="s">
        <v>924</v>
      </c>
      <c r="L191" s="2">
        <v>2015</v>
      </c>
      <c r="M191" s="4" t="s">
        <v>207</v>
      </c>
      <c r="N191" s="5">
        <v>29000000</v>
      </c>
      <c r="O191" s="4" t="s">
        <v>489</v>
      </c>
      <c r="P191" s="4" t="s">
        <v>490</v>
      </c>
      <c r="Q191" s="4"/>
      <c r="R191" s="4"/>
      <c r="S191" s="4"/>
      <c r="T191" s="4"/>
      <c r="U191" s="4"/>
    </row>
    <row r="192" spans="2:21" ht="26.15" customHeight="1">
      <c r="B192" s="2">
        <v>190</v>
      </c>
      <c r="C192" s="3">
        <v>43608</v>
      </c>
      <c r="D192" s="20">
        <v>2019</v>
      </c>
      <c r="E192" s="4" t="s">
        <v>184</v>
      </c>
      <c r="F192" s="5">
        <v>2010000</v>
      </c>
      <c r="G192" s="4" t="s">
        <v>1005</v>
      </c>
      <c r="H192" s="4" t="s">
        <v>1006</v>
      </c>
      <c r="I192" s="4" t="s">
        <v>1007</v>
      </c>
      <c r="J192" s="4"/>
      <c r="K192" s="4"/>
      <c r="L192" s="2">
        <v>1965</v>
      </c>
      <c r="M192" s="4" t="s">
        <v>369</v>
      </c>
      <c r="N192" s="5"/>
      <c r="O192" s="4" t="s">
        <v>1008</v>
      </c>
      <c r="P192" s="4" t="s">
        <v>1009</v>
      </c>
      <c r="Q192" s="4"/>
      <c r="R192" s="4"/>
      <c r="S192" s="4"/>
      <c r="T192" s="4"/>
      <c r="U192" s="4"/>
    </row>
    <row r="193" spans="2:21" ht="26.15" hidden="1" customHeight="1">
      <c r="B193" s="2">
        <v>191</v>
      </c>
      <c r="C193" s="3">
        <v>43606</v>
      </c>
      <c r="D193" s="20">
        <v>2019</v>
      </c>
      <c r="E193" s="4" t="s">
        <v>184</v>
      </c>
      <c r="F193" s="5" t="s">
        <v>50</v>
      </c>
      <c r="G193" s="4" t="s">
        <v>308</v>
      </c>
      <c r="H193" s="4" t="s">
        <v>309</v>
      </c>
      <c r="I193" s="4" t="s">
        <v>1010</v>
      </c>
      <c r="J193" s="4"/>
      <c r="K193" s="4"/>
      <c r="L193" s="2">
        <v>2017</v>
      </c>
      <c r="M193" s="4" t="s">
        <v>313</v>
      </c>
      <c r="N193" s="5">
        <v>6014060</v>
      </c>
      <c r="O193" s="4" t="s">
        <v>314</v>
      </c>
      <c r="P193" s="4" t="s">
        <v>315</v>
      </c>
      <c r="Q193" s="4"/>
      <c r="R193" s="4"/>
      <c r="S193" s="4"/>
      <c r="T193" s="4"/>
      <c r="U193" s="4"/>
    </row>
    <row r="194" spans="2:21" ht="26.15" hidden="1" customHeight="1">
      <c r="B194" s="2">
        <v>192</v>
      </c>
      <c r="C194" s="3">
        <v>43605</v>
      </c>
      <c r="D194" s="20">
        <v>2019</v>
      </c>
      <c r="E194" s="4" t="s">
        <v>34</v>
      </c>
      <c r="F194" s="5">
        <v>100000</v>
      </c>
      <c r="G194" s="4" t="s">
        <v>1011</v>
      </c>
      <c r="H194" s="4" t="s">
        <v>1012</v>
      </c>
      <c r="I194" s="4" t="s">
        <v>1013</v>
      </c>
      <c r="J194" s="4"/>
      <c r="K194" s="4" t="s">
        <v>1014</v>
      </c>
      <c r="L194" s="2">
        <v>2017</v>
      </c>
      <c r="M194" s="4" t="s">
        <v>1015</v>
      </c>
      <c r="N194" s="5">
        <v>100000</v>
      </c>
      <c r="O194" s="4" t="s">
        <v>1016</v>
      </c>
      <c r="P194" s="4" t="s">
        <v>1017</v>
      </c>
      <c r="Q194" s="4"/>
      <c r="R194" s="4"/>
      <c r="S194" s="4"/>
      <c r="T194" s="4"/>
      <c r="U194" s="4"/>
    </row>
    <row r="195" spans="2:21" ht="26.15" hidden="1" customHeight="1">
      <c r="B195" s="2">
        <v>193</v>
      </c>
      <c r="C195" s="3">
        <v>43602</v>
      </c>
      <c r="D195" s="20">
        <v>2019</v>
      </c>
      <c r="E195" s="4" t="s">
        <v>184</v>
      </c>
      <c r="F195" s="5">
        <v>40000</v>
      </c>
      <c r="G195" s="4" t="s">
        <v>1018</v>
      </c>
      <c r="H195" s="4" t="s">
        <v>1019</v>
      </c>
      <c r="I195" s="4" t="s">
        <v>1020</v>
      </c>
      <c r="J195" s="4"/>
      <c r="K195" s="4"/>
      <c r="L195" s="2">
        <v>2017</v>
      </c>
      <c r="M195" s="4" t="s">
        <v>56</v>
      </c>
      <c r="N195" s="5"/>
      <c r="O195" s="4" t="s">
        <v>1021</v>
      </c>
      <c r="P195" s="4" t="s">
        <v>1022</v>
      </c>
      <c r="Q195" s="4"/>
      <c r="R195" s="4"/>
      <c r="S195" s="4"/>
      <c r="T195" s="4"/>
      <c r="U195" s="4"/>
    </row>
    <row r="196" spans="2:21" ht="26.15" customHeight="1">
      <c r="B196" s="2">
        <v>194</v>
      </c>
      <c r="C196" s="3">
        <v>43601</v>
      </c>
      <c r="D196" s="20">
        <v>2019</v>
      </c>
      <c r="E196" s="4" t="s">
        <v>170</v>
      </c>
      <c r="F196" s="5">
        <v>1149710</v>
      </c>
      <c r="G196" s="4" t="s">
        <v>171</v>
      </c>
      <c r="H196" s="4" t="s">
        <v>172</v>
      </c>
      <c r="I196" s="4"/>
      <c r="J196" s="4"/>
      <c r="K196" s="4"/>
      <c r="L196" s="2">
        <v>2012</v>
      </c>
      <c r="M196" s="4" t="s">
        <v>173</v>
      </c>
      <c r="N196" s="5"/>
      <c r="O196" s="4" t="s">
        <v>174</v>
      </c>
      <c r="P196" s="4" t="s">
        <v>175</v>
      </c>
      <c r="Q196" s="4"/>
      <c r="R196" s="4"/>
      <c r="S196" s="4"/>
      <c r="T196" s="4"/>
      <c r="U196" s="4"/>
    </row>
    <row r="197" spans="2:21" ht="26.15" hidden="1" customHeight="1">
      <c r="B197" s="2">
        <v>195</v>
      </c>
      <c r="C197" s="3">
        <v>43600</v>
      </c>
      <c r="D197" s="20">
        <v>2019</v>
      </c>
      <c r="E197" s="4" t="s">
        <v>302</v>
      </c>
      <c r="F197" s="5">
        <v>2834610</v>
      </c>
      <c r="G197" s="4" t="s">
        <v>458</v>
      </c>
      <c r="H197" s="4" t="s">
        <v>459</v>
      </c>
      <c r="I197" s="4" t="s">
        <v>723</v>
      </c>
      <c r="J197" s="4"/>
      <c r="K197" s="4"/>
      <c r="L197" s="2">
        <v>2012</v>
      </c>
      <c r="M197" s="4" t="s">
        <v>462</v>
      </c>
      <c r="N197" s="5">
        <v>16507907</v>
      </c>
      <c r="O197" s="4" t="s">
        <v>463</v>
      </c>
      <c r="P197" s="4" t="s">
        <v>464</v>
      </c>
      <c r="Q197" s="4"/>
      <c r="R197" s="4"/>
      <c r="S197" s="4"/>
      <c r="T197" s="4"/>
      <c r="U197" s="4"/>
    </row>
    <row r="198" spans="2:21" ht="26.15" hidden="1" customHeight="1">
      <c r="B198" s="2">
        <v>196</v>
      </c>
      <c r="C198" s="3">
        <v>43600</v>
      </c>
      <c r="D198" s="20">
        <v>2019</v>
      </c>
      <c r="E198" s="4" t="s">
        <v>124</v>
      </c>
      <c r="F198" s="5">
        <v>56692</v>
      </c>
      <c r="G198" s="4" t="s">
        <v>573</v>
      </c>
      <c r="H198" s="4" t="s">
        <v>574</v>
      </c>
      <c r="I198" s="4"/>
      <c r="J198" s="4" t="s">
        <v>1023</v>
      </c>
      <c r="K198" s="4" t="s">
        <v>1023</v>
      </c>
      <c r="L198" s="2">
        <v>2017</v>
      </c>
      <c r="M198" s="4" t="s">
        <v>128</v>
      </c>
      <c r="N198" s="5">
        <v>365851</v>
      </c>
      <c r="O198" s="4" t="s">
        <v>578</v>
      </c>
      <c r="P198" s="4" t="s">
        <v>579</v>
      </c>
      <c r="Q198" s="4"/>
      <c r="R198" s="4"/>
      <c r="S198" s="4"/>
      <c r="T198" s="4"/>
      <c r="U198" s="4"/>
    </row>
    <row r="199" spans="2:21" ht="26.15" hidden="1" customHeight="1">
      <c r="B199" s="2">
        <v>197</v>
      </c>
      <c r="C199" s="3">
        <v>43600</v>
      </c>
      <c r="D199" s="20">
        <v>2019</v>
      </c>
      <c r="E199" s="4" t="s">
        <v>34</v>
      </c>
      <c r="F199" s="5">
        <v>1900000</v>
      </c>
      <c r="G199" s="4" t="s">
        <v>1024</v>
      </c>
      <c r="H199" s="4" t="s">
        <v>1025</v>
      </c>
      <c r="I199" s="4" t="s">
        <v>1026</v>
      </c>
      <c r="J199" s="4"/>
      <c r="K199" s="4" t="s">
        <v>1027</v>
      </c>
      <c r="L199" s="2">
        <v>2013</v>
      </c>
      <c r="M199" s="4" t="s">
        <v>1028</v>
      </c>
      <c r="N199" s="5">
        <v>1900000</v>
      </c>
      <c r="O199" s="4" t="s">
        <v>1029</v>
      </c>
      <c r="P199" s="4" t="s">
        <v>1030</v>
      </c>
      <c r="Q199" s="4"/>
      <c r="R199" s="4"/>
      <c r="S199" s="4"/>
      <c r="T199" s="4"/>
      <c r="U199" s="4"/>
    </row>
    <row r="200" spans="2:21" ht="26.15" hidden="1" customHeight="1">
      <c r="B200" s="2">
        <v>198</v>
      </c>
      <c r="C200" s="3">
        <v>43598</v>
      </c>
      <c r="D200" s="20">
        <v>2019</v>
      </c>
      <c r="E200" s="4" t="s">
        <v>34</v>
      </c>
      <c r="F200" s="5" t="s">
        <v>50</v>
      </c>
      <c r="G200" s="4" t="s">
        <v>1031</v>
      </c>
      <c r="H200" s="4" t="s">
        <v>1032</v>
      </c>
      <c r="I200" s="4" t="s">
        <v>1033</v>
      </c>
      <c r="J200" s="4"/>
      <c r="K200" s="4" t="s">
        <v>1034</v>
      </c>
      <c r="L200" s="2">
        <v>2017</v>
      </c>
      <c r="M200" s="4" t="s">
        <v>1035</v>
      </c>
      <c r="N200" s="5"/>
      <c r="O200" s="4" t="s">
        <v>1036</v>
      </c>
      <c r="P200" s="4" t="s">
        <v>1037</v>
      </c>
      <c r="Q200" s="4"/>
      <c r="R200" s="4"/>
      <c r="S200" s="4"/>
      <c r="T200" s="4"/>
      <c r="U200" s="4"/>
    </row>
    <row r="201" spans="2:21" ht="26.15" hidden="1" customHeight="1">
      <c r="B201" s="2">
        <v>199</v>
      </c>
      <c r="C201" s="3">
        <v>43591</v>
      </c>
      <c r="D201" s="20">
        <v>2019</v>
      </c>
      <c r="E201" s="4" t="s">
        <v>34</v>
      </c>
      <c r="F201" s="5" t="s">
        <v>50</v>
      </c>
      <c r="G201" s="4" t="s">
        <v>1038</v>
      </c>
      <c r="H201" s="4" t="s">
        <v>1039</v>
      </c>
      <c r="I201" s="4" t="s">
        <v>1040</v>
      </c>
      <c r="J201" s="4"/>
      <c r="K201" s="4" t="s">
        <v>1041</v>
      </c>
      <c r="L201" s="2">
        <v>2017</v>
      </c>
      <c r="M201" s="4" t="s">
        <v>1042</v>
      </c>
      <c r="N201" s="5"/>
      <c r="O201" s="4" t="s">
        <v>1043</v>
      </c>
      <c r="P201" s="4" t="s">
        <v>1044</v>
      </c>
      <c r="Q201" s="4"/>
      <c r="R201" s="4"/>
      <c r="S201" s="4"/>
      <c r="T201" s="4"/>
      <c r="U201" s="4"/>
    </row>
    <row r="202" spans="2:21" ht="26.15" customHeight="1">
      <c r="B202" s="2">
        <v>200</v>
      </c>
      <c r="C202" s="3">
        <v>43591</v>
      </c>
      <c r="D202" s="20">
        <v>2019</v>
      </c>
      <c r="E202" s="4" t="s">
        <v>109</v>
      </c>
      <c r="F202" s="5">
        <v>4500000</v>
      </c>
      <c r="G202" s="4" t="s">
        <v>1045</v>
      </c>
      <c r="H202" s="4" t="s">
        <v>1046</v>
      </c>
      <c r="I202" s="4" t="s">
        <v>1047</v>
      </c>
      <c r="J202" s="4" t="s">
        <v>1048</v>
      </c>
      <c r="K202" s="4" t="s">
        <v>1049</v>
      </c>
      <c r="L202" s="2">
        <v>2016</v>
      </c>
      <c r="M202" s="4" t="s">
        <v>369</v>
      </c>
      <c r="N202" s="5">
        <v>9004795</v>
      </c>
      <c r="O202" s="4" t="s">
        <v>1050</v>
      </c>
      <c r="P202" s="4" t="s">
        <v>1051</v>
      </c>
      <c r="Q202" s="4"/>
      <c r="R202" s="4"/>
      <c r="S202" s="4"/>
      <c r="T202" s="4"/>
      <c r="U202" s="4"/>
    </row>
    <row r="203" spans="2:21" ht="26.15" hidden="1" customHeight="1">
      <c r="B203" s="2">
        <v>201</v>
      </c>
      <c r="C203" s="3">
        <v>43591</v>
      </c>
      <c r="D203" s="20">
        <v>2019</v>
      </c>
      <c r="E203" s="4" t="s">
        <v>34</v>
      </c>
      <c r="F203" s="5">
        <v>100000</v>
      </c>
      <c r="G203" s="4" t="s">
        <v>1052</v>
      </c>
      <c r="H203" s="4" t="s">
        <v>1053</v>
      </c>
      <c r="I203" s="4" t="s">
        <v>1054</v>
      </c>
      <c r="J203" s="4"/>
      <c r="K203" s="4" t="s">
        <v>1055</v>
      </c>
      <c r="L203" s="2">
        <v>2015</v>
      </c>
      <c r="M203" s="4" t="s">
        <v>299</v>
      </c>
      <c r="N203" s="5">
        <v>100000</v>
      </c>
      <c r="O203" s="4" t="s">
        <v>1056</v>
      </c>
      <c r="P203" s="4" t="s">
        <v>1057</v>
      </c>
      <c r="Q203" s="4"/>
      <c r="R203" s="4"/>
      <c r="S203" s="4"/>
      <c r="T203" s="4"/>
      <c r="U203" s="4"/>
    </row>
    <row r="204" spans="2:21" ht="26.15" hidden="1" customHeight="1">
      <c r="B204" s="2">
        <v>202</v>
      </c>
      <c r="C204" s="3">
        <v>43587</v>
      </c>
      <c r="D204" s="20">
        <v>2019</v>
      </c>
      <c r="E204" s="4" t="s">
        <v>124</v>
      </c>
      <c r="F204" s="5">
        <v>64533</v>
      </c>
      <c r="G204" s="4" t="s">
        <v>1058</v>
      </c>
      <c r="H204" s="4" t="s">
        <v>1059</v>
      </c>
      <c r="I204" s="4"/>
      <c r="J204" s="4" t="s">
        <v>1060</v>
      </c>
      <c r="K204" s="4" t="s">
        <v>1060</v>
      </c>
      <c r="L204" s="2">
        <v>2017</v>
      </c>
      <c r="M204" s="4" t="s">
        <v>313</v>
      </c>
      <c r="N204" s="5">
        <v>101208</v>
      </c>
      <c r="O204" s="4" t="s">
        <v>1061</v>
      </c>
      <c r="P204" s="4" t="s">
        <v>1062</v>
      </c>
      <c r="Q204" s="4"/>
      <c r="R204" s="4"/>
      <c r="S204" s="4"/>
      <c r="T204" s="4"/>
      <c r="U204" s="4"/>
    </row>
    <row r="205" spans="2:21" ht="26.15" hidden="1" customHeight="1">
      <c r="B205" s="2">
        <v>203</v>
      </c>
      <c r="C205" s="3">
        <v>43587</v>
      </c>
      <c r="D205" s="20">
        <v>2019</v>
      </c>
      <c r="E205" s="4" t="s">
        <v>184</v>
      </c>
      <c r="F205" s="5">
        <v>10000</v>
      </c>
      <c r="G205" s="4" t="s">
        <v>1063</v>
      </c>
      <c r="H205" s="4" t="s">
        <v>1064</v>
      </c>
      <c r="I205" s="4" t="s">
        <v>1065</v>
      </c>
      <c r="J205" s="4"/>
      <c r="K205" s="4"/>
      <c r="L205" s="2">
        <v>2016</v>
      </c>
      <c r="M205" s="4" t="s">
        <v>79</v>
      </c>
      <c r="N205" s="5"/>
      <c r="O205" s="4" t="s">
        <v>1066</v>
      </c>
      <c r="P205" s="4" t="s">
        <v>1067</v>
      </c>
      <c r="Q205" s="4"/>
      <c r="R205" s="4"/>
      <c r="S205" s="4"/>
      <c r="T205" s="4"/>
      <c r="U205" s="4"/>
    </row>
    <row r="206" spans="2:21" ht="26.15" hidden="1" customHeight="1">
      <c r="B206" s="2">
        <v>204</v>
      </c>
      <c r="C206" s="3">
        <v>43584</v>
      </c>
      <c r="D206" s="20">
        <v>2019</v>
      </c>
      <c r="E206" s="4" t="s">
        <v>289</v>
      </c>
      <c r="F206" s="5">
        <v>16000000</v>
      </c>
      <c r="G206" s="4" t="s">
        <v>290</v>
      </c>
      <c r="H206" s="4" t="s">
        <v>291</v>
      </c>
      <c r="I206" s="4"/>
      <c r="J206" s="4"/>
      <c r="K206" s="4"/>
      <c r="L206" s="2">
        <v>1983</v>
      </c>
      <c r="M206" s="4" t="s">
        <v>292</v>
      </c>
      <c r="N206" s="5"/>
      <c r="O206" s="4" t="s">
        <v>293</v>
      </c>
      <c r="P206" s="4" t="s">
        <v>294</v>
      </c>
      <c r="Q206" s="4" t="s">
        <v>1068</v>
      </c>
      <c r="R206" s="4"/>
      <c r="S206" s="4"/>
      <c r="T206" s="4"/>
      <c r="U206" s="4"/>
    </row>
    <row r="207" spans="2:21" ht="26.15" hidden="1" customHeight="1">
      <c r="B207" s="2">
        <v>205</v>
      </c>
      <c r="C207" s="3">
        <v>43580</v>
      </c>
      <c r="D207" s="20">
        <v>2019</v>
      </c>
      <c r="E207" s="4" t="s">
        <v>34</v>
      </c>
      <c r="F207" s="5" t="s">
        <v>50</v>
      </c>
      <c r="G207" s="4" t="s">
        <v>553</v>
      </c>
      <c r="H207" s="4" t="s">
        <v>554</v>
      </c>
      <c r="I207" s="4" t="s">
        <v>1069</v>
      </c>
      <c r="J207" s="4"/>
      <c r="K207" s="4" t="s">
        <v>1070</v>
      </c>
      <c r="L207" s="2">
        <v>2017</v>
      </c>
      <c r="M207" s="4" t="s">
        <v>188</v>
      </c>
      <c r="N207" s="5">
        <v>348442</v>
      </c>
      <c r="O207" s="4" t="s">
        <v>556</v>
      </c>
      <c r="P207" s="4" t="s">
        <v>557</v>
      </c>
      <c r="Q207" s="4"/>
      <c r="R207" s="4"/>
      <c r="S207" s="4"/>
      <c r="T207" s="4"/>
      <c r="U207" s="4"/>
    </row>
    <row r="208" spans="2:21" ht="26.15" hidden="1" customHeight="1">
      <c r="B208" s="2">
        <v>206</v>
      </c>
      <c r="C208" s="3">
        <v>43579</v>
      </c>
      <c r="D208" s="20">
        <v>2019</v>
      </c>
      <c r="E208" s="4" t="s">
        <v>95</v>
      </c>
      <c r="F208" s="5">
        <v>89500000</v>
      </c>
      <c r="G208" s="4" t="s">
        <v>96</v>
      </c>
      <c r="H208" s="4" t="s">
        <v>97</v>
      </c>
      <c r="I208" s="4" t="s">
        <v>1071</v>
      </c>
      <c r="J208" s="4"/>
      <c r="K208" s="4" t="s">
        <v>1072</v>
      </c>
      <c r="L208" s="2">
        <v>2015</v>
      </c>
      <c r="M208" s="4" t="s">
        <v>79</v>
      </c>
      <c r="N208" s="5">
        <v>163285834</v>
      </c>
      <c r="O208" s="4" t="s">
        <v>100</v>
      </c>
      <c r="P208" s="4" t="s">
        <v>101</v>
      </c>
      <c r="Q208" s="4" t="s">
        <v>1073</v>
      </c>
      <c r="R208" s="4"/>
      <c r="S208" s="4"/>
      <c r="T208" s="4"/>
      <c r="U208" s="4"/>
    </row>
    <row r="209" spans="2:21" ht="26.15" hidden="1" customHeight="1">
      <c r="B209" s="2">
        <v>207</v>
      </c>
      <c r="C209" s="3">
        <v>43575</v>
      </c>
      <c r="D209" s="20">
        <v>2019</v>
      </c>
      <c r="E209" s="4" t="s">
        <v>124</v>
      </c>
      <c r="F209" s="5" t="s">
        <v>50</v>
      </c>
      <c r="G209" s="4" t="s">
        <v>59</v>
      </c>
      <c r="H209" s="4" t="s">
        <v>60</v>
      </c>
      <c r="I209" s="4"/>
      <c r="J209" s="4" t="s">
        <v>1074</v>
      </c>
      <c r="K209" s="4" t="s">
        <v>1074</v>
      </c>
      <c r="L209" s="2">
        <v>2016</v>
      </c>
      <c r="M209" s="4" t="s">
        <v>63</v>
      </c>
      <c r="N209" s="5">
        <v>1550000</v>
      </c>
      <c r="O209" s="4" t="s">
        <v>64</v>
      </c>
      <c r="P209" s="4" t="s">
        <v>65</v>
      </c>
      <c r="Q209" s="4"/>
      <c r="R209" s="4"/>
      <c r="S209" s="4"/>
      <c r="T209" s="4"/>
      <c r="U209" s="4"/>
    </row>
    <row r="210" spans="2:21" ht="26.15" hidden="1" customHeight="1">
      <c r="B210" s="2">
        <v>208</v>
      </c>
      <c r="C210" s="3">
        <v>43573</v>
      </c>
      <c r="D210" s="20">
        <v>2019</v>
      </c>
      <c r="E210" s="4" t="s">
        <v>109</v>
      </c>
      <c r="F210" s="5" t="s">
        <v>50</v>
      </c>
      <c r="G210" s="4" t="s">
        <v>1075</v>
      </c>
      <c r="H210" s="4" t="s">
        <v>1076</v>
      </c>
      <c r="I210" s="4" t="s">
        <v>1077</v>
      </c>
      <c r="J210" s="4"/>
      <c r="K210" s="4" t="s">
        <v>1078</v>
      </c>
      <c r="L210" s="2">
        <v>2016</v>
      </c>
      <c r="M210" s="4" t="s">
        <v>278</v>
      </c>
      <c r="N210" s="5"/>
      <c r="O210" s="4" t="s">
        <v>1079</v>
      </c>
      <c r="P210" s="4" t="s">
        <v>1080</v>
      </c>
      <c r="Q210" s="4" t="s">
        <v>1081</v>
      </c>
      <c r="R210" s="4"/>
      <c r="S210" s="4"/>
      <c r="T210" s="4"/>
      <c r="U210" s="4"/>
    </row>
    <row r="211" spans="2:21" ht="26.15" hidden="1" customHeight="1">
      <c r="B211" s="2">
        <v>209</v>
      </c>
      <c r="C211" s="3">
        <v>43572</v>
      </c>
      <c r="D211" s="20">
        <v>2019</v>
      </c>
      <c r="E211" s="4" t="s">
        <v>34</v>
      </c>
      <c r="F211" s="5">
        <v>120000</v>
      </c>
      <c r="G211" s="4" t="s">
        <v>1082</v>
      </c>
      <c r="H211" s="4" t="s">
        <v>1083</v>
      </c>
      <c r="I211" s="4" t="s">
        <v>1084</v>
      </c>
      <c r="J211" s="4"/>
      <c r="K211" s="4" t="s">
        <v>1085</v>
      </c>
      <c r="L211" s="2">
        <v>2016</v>
      </c>
      <c r="M211" s="4" t="s">
        <v>1086</v>
      </c>
      <c r="N211" s="5">
        <v>120000</v>
      </c>
      <c r="O211" s="4" t="s">
        <v>1087</v>
      </c>
      <c r="P211" s="4" t="s">
        <v>1088</v>
      </c>
      <c r="Q211" s="4"/>
      <c r="R211" s="4"/>
      <c r="S211" s="4"/>
      <c r="T211" s="4"/>
      <c r="U211" s="4"/>
    </row>
    <row r="212" spans="2:21" ht="26.15" hidden="1" customHeight="1">
      <c r="B212" s="2">
        <v>210</v>
      </c>
      <c r="C212" s="3">
        <v>43566</v>
      </c>
      <c r="D212" s="20">
        <v>2019</v>
      </c>
      <c r="E212" s="4" t="s">
        <v>34</v>
      </c>
      <c r="F212" s="5">
        <v>86599</v>
      </c>
      <c r="G212" s="4" t="s">
        <v>42</v>
      </c>
      <c r="H212" s="4" t="s">
        <v>43</v>
      </c>
      <c r="I212" s="4" t="s">
        <v>1089</v>
      </c>
      <c r="J212" s="4" t="s">
        <v>1090</v>
      </c>
      <c r="K212" s="4" t="s">
        <v>1091</v>
      </c>
      <c r="L212" s="2">
        <v>2017</v>
      </c>
      <c r="M212" s="4" t="s">
        <v>47</v>
      </c>
      <c r="N212" s="5">
        <v>3160468</v>
      </c>
      <c r="O212" s="4" t="s">
        <v>48</v>
      </c>
      <c r="P212" s="4" t="s">
        <v>49</v>
      </c>
      <c r="Q212" s="4"/>
      <c r="R212" s="4"/>
      <c r="S212" s="4"/>
      <c r="T212" s="4"/>
      <c r="U212" s="4"/>
    </row>
    <row r="213" spans="2:21" ht="26.15" hidden="1" customHeight="1">
      <c r="B213" s="2">
        <v>211</v>
      </c>
      <c r="C213" s="3">
        <v>43565</v>
      </c>
      <c r="D213" s="20">
        <v>2019</v>
      </c>
      <c r="E213" s="4" t="s">
        <v>109</v>
      </c>
      <c r="F213" s="5">
        <v>2012080</v>
      </c>
      <c r="G213" s="4" t="s">
        <v>897</v>
      </c>
      <c r="H213" s="4" t="s">
        <v>898</v>
      </c>
      <c r="I213" s="4" t="s">
        <v>1092</v>
      </c>
      <c r="J213" s="4"/>
      <c r="K213" s="4" t="s">
        <v>1093</v>
      </c>
      <c r="L213" s="2">
        <v>2016</v>
      </c>
      <c r="M213" s="4" t="s">
        <v>902</v>
      </c>
      <c r="N213" s="5">
        <v>8062080</v>
      </c>
      <c r="O213" s="4" t="s">
        <v>903</v>
      </c>
      <c r="P213" s="4" t="s">
        <v>904</v>
      </c>
      <c r="Q213" s="4"/>
      <c r="R213" s="4"/>
      <c r="S213" s="4"/>
      <c r="T213" s="4"/>
      <c r="U213" s="4"/>
    </row>
    <row r="214" spans="2:21" ht="26.15" hidden="1" customHeight="1">
      <c r="B214" s="2">
        <v>212</v>
      </c>
      <c r="C214" s="3">
        <v>43559</v>
      </c>
      <c r="D214" s="20">
        <v>2019</v>
      </c>
      <c r="E214" s="4" t="s">
        <v>34</v>
      </c>
      <c r="F214" s="5">
        <v>100000</v>
      </c>
      <c r="G214" s="4" t="s">
        <v>1094</v>
      </c>
      <c r="H214" s="4" t="s">
        <v>1095</v>
      </c>
      <c r="I214" s="4" t="s">
        <v>514</v>
      </c>
      <c r="J214" s="4"/>
      <c r="K214" s="4" t="s">
        <v>515</v>
      </c>
      <c r="L214" s="2">
        <v>2013</v>
      </c>
      <c r="M214" s="4" t="s">
        <v>278</v>
      </c>
      <c r="N214" s="5">
        <v>100000</v>
      </c>
      <c r="O214" s="4" t="s">
        <v>1096</v>
      </c>
      <c r="P214" s="4" t="s">
        <v>1097</v>
      </c>
      <c r="Q214" s="4"/>
      <c r="R214" s="4"/>
      <c r="S214" s="4"/>
      <c r="T214" s="4"/>
      <c r="U214" s="4"/>
    </row>
    <row r="215" spans="2:21" ht="26.15" hidden="1" customHeight="1">
      <c r="B215" s="2">
        <v>213</v>
      </c>
      <c r="C215" s="3">
        <v>43558</v>
      </c>
      <c r="D215" s="20">
        <v>2019</v>
      </c>
      <c r="E215" s="4" t="s">
        <v>34</v>
      </c>
      <c r="F215" s="5">
        <v>2021980</v>
      </c>
      <c r="G215" s="4" t="s">
        <v>404</v>
      </c>
      <c r="H215" s="4" t="s">
        <v>405</v>
      </c>
      <c r="I215" s="4" t="s">
        <v>1098</v>
      </c>
      <c r="J215" s="4"/>
      <c r="K215" s="4" t="s">
        <v>1099</v>
      </c>
      <c r="L215" s="2">
        <v>2016</v>
      </c>
      <c r="M215" s="4" t="s">
        <v>79</v>
      </c>
      <c r="N215" s="5">
        <v>8750809</v>
      </c>
      <c r="O215" s="4" t="s">
        <v>408</v>
      </c>
      <c r="P215" s="4" t="s">
        <v>409</v>
      </c>
      <c r="Q215" s="4"/>
      <c r="R215" s="4"/>
      <c r="S215" s="4"/>
      <c r="T215" s="4"/>
      <c r="U215" s="4"/>
    </row>
    <row r="216" spans="2:21" ht="26.15" customHeight="1">
      <c r="B216" s="2">
        <v>214</v>
      </c>
      <c r="C216" s="3">
        <v>43557</v>
      </c>
      <c r="D216" s="20">
        <v>2019</v>
      </c>
      <c r="E216" s="4" t="s">
        <v>170</v>
      </c>
      <c r="F216" s="5">
        <v>4253253</v>
      </c>
      <c r="G216" s="4" t="s">
        <v>1100</v>
      </c>
      <c r="H216" s="4" t="s">
        <v>1101</v>
      </c>
      <c r="I216" s="4"/>
      <c r="J216" s="4" t="s">
        <v>1102</v>
      </c>
      <c r="K216" s="4"/>
      <c r="L216" s="2">
        <v>2015</v>
      </c>
      <c r="M216" s="4" t="s">
        <v>1103</v>
      </c>
      <c r="N216" s="5">
        <v>2000000</v>
      </c>
      <c r="O216" s="4" t="s">
        <v>1104</v>
      </c>
      <c r="P216" s="4" t="s">
        <v>1105</v>
      </c>
      <c r="Q216" s="4"/>
      <c r="R216" s="4"/>
      <c r="S216" s="4"/>
      <c r="T216" s="4"/>
      <c r="U216" s="4"/>
    </row>
    <row r="217" spans="2:21" ht="26.15" hidden="1" customHeight="1">
      <c r="B217" s="2">
        <v>215</v>
      </c>
      <c r="C217" s="3">
        <v>43556</v>
      </c>
      <c r="D217" s="20">
        <v>2019</v>
      </c>
      <c r="E217" s="4" t="s">
        <v>34</v>
      </c>
      <c r="F217" s="5">
        <v>1489730</v>
      </c>
      <c r="G217" s="4" t="s">
        <v>329</v>
      </c>
      <c r="H217" s="4" t="s">
        <v>330</v>
      </c>
      <c r="I217" s="4" t="s">
        <v>1106</v>
      </c>
      <c r="J217" s="4"/>
      <c r="K217" s="4" t="s">
        <v>1107</v>
      </c>
      <c r="L217" s="2">
        <v>2015</v>
      </c>
      <c r="M217" s="4" t="s">
        <v>333</v>
      </c>
      <c r="N217" s="5">
        <v>1489730</v>
      </c>
      <c r="O217" s="4" t="s">
        <v>334</v>
      </c>
      <c r="P217" s="4" t="s">
        <v>335</v>
      </c>
      <c r="Q217" s="4"/>
      <c r="R217" s="4"/>
      <c r="S217" s="4"/>
      <c r="T217" s="4"/>
      <c r="U217" s="4"/>
    </row>
    <row r="218" spans="2:21" ht="26.15" hidden="1" customHeight="1">
      <c r="B218" s="2">
        <v>216</v>
      </c>
      <c r="C218" s="3">
        <v>43556</v>
      </c>
      <c r="D218" s="20">
        <v>2019</v>
      </c>
      <c r="E218" s="4" t="s">
        <v>109</v>
      </c>
      <c r="F218" s="5" t="s">
        <v>50</v>
      </c>
      <c r="G218" s="4" t="s">
        <v>1108</v>
      </c>
      <c r="H218" s="4" t="s">
        <v>1109</v>
      </c>
      <c r="I218" s="4" t="s">
        <v>1110</v>
      </c>
      <c r="J218" s="4"/>
      <c r="K218" s="4" t="s">
        <v>1111</v>
      </c>
      <c r="L218" s="2">
        <v>2015</v>
      </c>
      <c r="M218" s="4" t="s">
        <v>1112</v>
      </c>
      <c r="N218" s="5"/>
      <c r="O218" s="4" t="s">
        <v>1113</v>
      </c>
      <c r="P218" s="4" t="s">
        <v>1114</v>
      </c>
      <c r="Q218" s="4"/>
      <c r="R218" s="4"/>
      <c r="S218" s="4"/>
      <c r="T218" s="4"/>
      <c r="U218" s="4"/>
    </row>
    <row r="219" spans="2:21" ht="26.15" hidden="1" customHeight="1">
      <c r="B219" s="2">
        <v>217</v>
      </c>
      <c r="C219" s="3">
        <v>43554</v>
      </c>
      <c r="D219" s="20">
        <v>2019</v>
      </c>
      <c r="E219" s="4" t="s">
        <v>289</v>
      </c>
      <c r="F219" s="5">
        <v>1152780</v>
      </c>
      <c r="G219" s="4" t="s">
        <v>1115</v>
      </c>
      <c r="H219" s="4" t="s">
        <v>1116</v>
      </c>
      <c r="I219" s="4" t="s">
        <v>1117</v>
      </c>
      <c r="J219" s="4"/>
      <c r="K219" s="4"/>
      <c r="L219" s="2">
        <v>2009</v>
      </c>
      <c r="M219" s="4" t="s">
        <v>313</v>
      </c>
      <c r="N219" s="5">
        <v>14634837</v>
      </c>
      <c r="O219" s="4" t="s">
        <v>1118</v>
      </c>
      <c r="P219" s="4" t="s">
        <v>1119</v>
      </c>
      <c r="Q219" s="4"/>
      <c r="R219" s="4"/>
      <c r="S219" s="4"/>
      <c r="T219" s="4"/>
      <c r="U219" s="4"/>
    </row>
    <row r="220" spans="2:21" ht="26.15" hidden="1" customHeight="1">
      <c r="B220" s="2">
        <v>218</v>
      </c>
      <c r="C220" s="3">
        <v>43553</v>
      </c>
      <c r="D220" s="20">
        <v>2019</v>
      </c>
      <c r="E220" s="4" t="s">
        <v>95</v>
      </c>
      <c r="F220" s="5" t="s">
        <v>50</v>
      </c>
      <c r="G220" s="4" t="s">
        <v>1120</v>
      </c>
      <c r="H220" s="4" t="s">
        <v>1121</v>
      </c>
      <c r="I220" s="4" t="s">
        <v>1122</v>
      </c>
      <c r="J220" s="4"/>
      <c r="K220" s="4" t="s">
        <v>1123</v>
      </c>
      <c r="L220" s="2">
        <v>2014</v>
      </c>
      <c r="M220" s="4" t="s">
        <v>894</v>
      </c>
      <c r="N220" s="5">
        <v>73326732</v>
      </c>
      <c r="O220" s="4" t="s">
        <v>1124</v>
      </c>
      <c r="P220" s="4" t="s">
        <v>1125</v>
      </c>
      <c r="Q220" s="4"/>
      <c r="R220" s="4"/>
      <c r="S220" s="4"/>
      <c r="T220" s="4"/>
      <c r="U220" s="4"/>
    </row>
    <row r="221" spans="2:21" ht="26.15" hidden="1" customHeight="1">
      <c r="B221" s="2">
        <v>219</v>
      </c>
      <c r="C221" s="3">
        <v>43552</v>
      </c>
      <c r="D221" s="20">
        <v>2019</v>
      </c>
      <c r="E221" s="4" t="s">
        <v>34</v>
      </c>
      <c r="F221" s="5">
        <v>216833</v>
      </c>
      <c r="G221" s="4" t="s">
        <v>1126</v>
      </c>
      <c r="H221" s="4" t="s">
        <v>1127</v>
      </c>
      <c r="I221" s="4" t="s">
        <v>1128</v>
      </c>
      <c r="J221" s="4"/>
      <c r="K221" s="4" t="s">
        <v>1129</v>
      </c>
      <c r="L221" s="2">
        <v>2013</v>
      </c>
      <c r="M221" s="4" t="s">
        <v>47</v>
      </c>
      <c r="N221" s="5">
        <v>264994</v>
      </c>
      <c r="O221" s="4" t="s">
        <v>1130</v>
      </c>
      <c r="P221" s="4" t="s">
        <v>968</v>
      </c>
      <c r="Q221" s="4"/>
      <c r="R221" s="4"/>
      <c r="S221" s="4"/>
      <c r="T221" s="4"/>
      <c r="U221" s="4"/>
    </row>
    <row r="222" spans="2:21" ht="26.15" customHeight="1">
      <c r="B222" s="2">
        <v>220</v>
      </c>
      <c r="C222" s="3">
        <v>43551</v>
      </c>
      <c r="D222" s="20">
        <v>2019</v>
      </c>
      <c r="E222" s="4" t="s">
        <v>109</v>
      </c>
      <c r="F222" s="5">
        <v>2400000</v>
      </c>
      <c r="G222" s="4" t="s">
        <v>1131</v>
      </c>
      <c r="H222" s="4" t="s">
        <v>1132</v>
      </c>
      <c r="I222" s="4" t="s">
        <v>1133</v>
      </c>
      <c r="J222" s="4"/>
      <c r="K222" s="4" t="s">
        <v>1134</v>
      </c>
      <c r="L222" s="2">
        <v>2013</v>
      </c>
      <c r="M222" s="4" t="s">
        <v>357</v>
      </c>
      <c r="N222" s="5">
        <v>2400000</v>
      </c>
      <c r="O222" s="4" t="s">
        <v>1135</v>
      </c>
      <c r="P222" s="4" t="s">
        <v>1136</v>
      </c>
      <c r="Q222" s="4"/>
      <c r="R222" s="4"/>
      <c r="S222" s="4"/>
      <c r="T222" s="4"/>
      <c r="U222" s="4"/>
    </row>
    <row r="223" spans="2:21" ht="26.15" hidden="1" customHeight="1">
      <c r="B223" s="2">
        <v>221</v>
      </c>
      <c r="C223" s="3">
        <v>43551</v>
      </c>
      <c r="D223" s="20">
        <v>2019</v>
      </c>
      <c r="E223" s="4" t="s">
        <v>109</v>
      </c>
      <c r="F223" s="5">
        <v>14893400</v>
      </c>
      <c r="G223" s="4" t="s">
        <v>1137</v>
      </c>
      <c r="H223" s="4" t="s">
        <v>1138</v>
      </c>
      <c r="I223" s="4" t="s">
        <v>1139</v>
      </c>
      <c r="J223" s="4"/>
      <c r="K223" s="4" t="s">
        <v>1140</v>
      </c>
      <c r="L223" s="2">
        <v>2016</v>
      </c>
      <c r="M223" s="4" t="s">
        <v>1141</v>
      </c>
      <c r="N223" s="5">
        <v>14893400</v>
      </c>
      <c r="O223" s="4" t="s">
        <v>1142</v>
      </c>
      <c r="P223" s="4" t="s">
        <v>1143</v>
      </c>
      <c r="Q223" s="4" t="s">
        <v>1144</v>
      </c>
      <c r="R223" s="4"/>
      <c r="S223" s="4"/>
      <c r="T223" s="4"/>
      <c r="U223" s="4"/>
    </row>
    <row r="224" spans="2:21" ht="26.15" hidden="1" customHeight="1">
      <c r="B224" s="2">
        <v>222</v>
      </c>
      <c r="C224" s="3">
        <v>43545</v>
      </c>
      <c r="D224" s="20">
        <v>2019</v>
      </c>
      <c r="E224" s="4" t="s">
        <v>34</v>
      </c>
      <c r="F224" s="5">
        <v>72624</v>
      </c>
      <c r="G224" s="4" t="s">
        <v>707</v>
      </c>
      <c r="H224" s="4" t="s">
        <v>708</v>
      </c>
      <c r="I224" s="4" t="s">
        <v>1145</v>
      </c>
      <c r="J224" s="4"/>
      <c r="K224" s="4" t="s">
        <v>1146</v>
      </c>
      <c r="L224" s="2">
        <v>2018</v>
      </c>
      <c r="M224" s="4" t="s">
        <v>79</v>
      </c>
      <c r="N224" s="5">
        <v>1819105</v>
      </c>
      <c r="O224" s="4" t="s">
        <v>710</v>
      </c>
      <c r="P224" s="4" t="s">
        <v>711</v>
      </c>
      <c r="Q224" s="4"/>
      <c r="R224" s="4"/>
      <c r="S224" s="4"/>
      <c r="T224" s="4"/>
      <c r="U224" s="4"/>
    </row>
    <row r="225" spans="2:21" ht="26.15" hidden="1" customHeight="1">
      <c r="B225" s="2">
        <v>223</v>
      </c>
      <c r="C225" s="3">
        <v>43545</v>
      </c>
      <c r="D225" s="20">
        <v>2019</v>
      </c>
      <c r="E225" s="4" t="s">
        <v>34</v>
      </c>
      <c r="F225" s="5">
        <v>1000000</v>
      </c>
      <c r="G225" s="4" t="s">
        <v>1147</v>
      </c>
      <c r="H225" s="4" t="s">
        <v>1148</v>
      </c>
      <c r="I225" s="4" t="s">
        <v>1149</v>
      </c>
      <c r="J225" s="4"/>
      <c r="K225" s="4" t="s">
        <v>1150</v>
      </c>
      <c r="L225" s="2">
        <v>2016</v>
      </c>
      <c r="M225" s="4" t="s">
        <v>1151</v>
      </c>
      <c r="N225" s="5">
        <v>2000000</v>
      </c>
      <c r="O225" s="4" t="s">
        <v>1152</v>
      </c>
      <c r="P225" s="4" t="s">
        <v>1153</v>
      </c>
      <c r="Q225" s="4"/>
      <c r="R225" s="4"/>
      <c r="S225" s="4"/>
      <c r="T225" s="4"/>
      <c r="U225" s="4"/>
    </row>
    <row r="226" spans="2:21" ht="26.15" hidden="1" customHeight="1">
      <c r="B226" s="2">
        <v>224</v>
      </c>
      <c r="C226" s="3">
        <v>43544</v>
      </c>
      <c r="D226" s="20">
        <v>2019</v>
      </c>
      <c r="E226" s="4" t="s">
        <v>34</v>
      </c>
      <c r="F226" s="5">
        <v>108836</v>
      </c>
      <c r="G226" s="4" t="s">
        <v>1154</v>
      </c>
      <c r="H226" s="4" t="s">
        <v>1155</v>
      </c>
      <c r="I226" s="4" t="s">
        <v>1156</v>
      </c>
      <c r="J226" s="4" t="s">
        <v>1157</v>
      </c>
      <c r="K226" s="4" t="s">
        <v>1158</v>
      </c>
      <c r="L226" s="2">
        <v>2017</v>
      </c>
      <c r="M226" s="4" t="s">
        <v>79</v>
      </c>
      <c r="N226" s="5">
        <v>108836</v>
      </c>
      <c r="O226" s="4" t="s">
        <v>1159</v>
      </c>
      <c r="P226" s="4" t="s">
        <v>1160</v>
      </c>
      <c r="Q226" s="4"/>
      <c r="R226" s="4"/>
      <c r="S226" s="4"/>
      <c r="T226" s="4"/>
      <c r="U226" s="4"/>
    </row>
    <row r="227" spans="2:21" ht="26.15" hidden="1" customHeight="1">
      <c r="B227" s="2">
        <v>225</v>
      </c>
      <c r="C227" s="3">
        <v>43544</v>
      </c>
      <c r="D227" s="20">
        <v>2019</v>
      </c>
      <c r="E227" s="4" t="s">
        <v>34</v>
      </c>
      <c r="F227" s="5">
        <v>25000</v>
      </c>
      <c r="G227" s="4" t="s">
        <v>1161</v>
      </c>
      <c r="H227" s="4" t="s">
        <v>1162</v>
      </c>
      <c r="I227" s="4" t="s">
        <v>1163</v>
      </c>
      <c r="J227" s="4"/>
      <c r="K227" s="4" t="s">
        <v>1164</v>
      </c>
      <c r="L227" s="2">
        <v>2017</v>
      </c>
      <c r="M227" s="4" t="s">
        <v>1165</v>
      </c>
      <c r="N227" s="5">
        <v>25000</v>
      </c>
      <c r="O227" s="4" t="s">
        <v>1166</v>
      </c>
      <c r="P227" s="4" t="s">
        <v>1167</v>
      </c>
      <c r="Q227" s="4"/>
      <c r="R227" s="4"/>
      <c r="S227" s="4"/>
      <c r="T227" s="4"/>
      <c r="U227" s="4"/>
    </row>
    <row r="228" spans="2:21" ht="26.15" hidden="1" customHeight="1">
      <c r="B228" s="2">
        <v>226</v>
      </c>
      <c r="C228" s="3">
        <v>43541</v>
      </c>
      <c r="D228" s="20">
        <v>2019</v>
      </c>
      <c r="E228" s="4" t="s">
        <v>34</v>
      </c>
      <c r="F228" s="5">
        <v>4346310</v>
      </c>
      <c r="G228" s="4" t="s">
        <v>458</v>
      </c>
      <c r="H228" s="4" t="s">
        <v>459</v>
      </c>
      <c r="I228" s="4" t="s">
        <v>1168</v>
      </c>
      <c r="J228" s="4" t="s">
        <v>1169</v>
      </c>
      <c r="K228" s="4" t="s">
        <v>1170</v>
      </c>
      <c r="L228" s="2">
        <v>2012</v>
      </c>
      <c r="M228" s="4" t="s">
        <v>462</v>
      </c>
      <c r="N228" s="5">
        <v>16507907</v>
      </c>
      <c r="O228" s="4" t="s">
        <v>463</v>
      </c>
      <c r="P228" s="4" t="s">
        <v>464</v>
      </c>
      <c r="Q228" s="4"/>
      <c r="R228" s="4"/>
      <c r="S228" s="4"/>
      <c r="T228" s="4"/>
      <c r="U228" s="4"/>
    </row>
    <row r="229" spans="2:21" ht="26.15" hidden="1" customHeight="1">
      <c r="B229" s="2">
        <v>227</v>
      </c>
      <c r="C229" s="3">
        <v>43536</v>
      </c>
      <c r="D229" s="20">
        <v>2019</v>
      </c>
      <c r="E229" s="4" t="s">
        <v>95</v>
      </c>
      <c r="F229" s="5">
        <v>31182200</v>
      </c>
      <c r="G229" s="4" t="s">
        <v>1171</v>
      </c>
      <c r="H229" s="4" t="s">
        <v>1172</v>
      </c>
      <c r="I229" s="4" t="s">
        <v>1173</v>
      </c>
      <c r="J229" s="4"/>
      <c r="K229" s="4" t="s">
        <v>1174</v>
      </c>
      <c r="L229" s="2">
        <v>2008</v>
      </c>
      <c r="M229" s="4" t="s">
        <v>47</v>
      </c>
      <c r="N229" s="5">
        <v>47182672</v>
      </c>
      <c r="O229" s="4" t="s">
        <v>1175</v>
      </c>
      <c r="P229" s="4" t="s">
        <v>1176</v>
      </c>
      <c r="Q229" s="4" t="s">
        <v>1177</v>
      </c>
      <c r="R229" s="4"/>
      <c r="S229" s="4"/>
      <c r="T229" s="4"/>
      <c r="U229" s="4"/>
    </row>
    <row r="230" spans="2:21" ht="26.15" hidden="1" customHeight="1">
      <c r="B230" s="2">
        <v>228</v>
      </c>
      <c r="C230" s="3">
        <v>43535</v>
      </c>
      <c r="D230" s="20">
        <v>2019</v>
      </c>
      <c r="E230" s="4" t="s">
        <v>34</v>
      </c>
      <c r="F230" s="5">
        <v>2139340</v>
      </c>
      <c r="G230" s="4" t="s">
        <v>1178</v>
      </c>
      <c r="H230" s="4" t="s">
        <v>1179</v>
      </c>
      <c r="I230" s="4" t="s">
        <v>1180</v>
      </c>
      <c r="J230" s="4" t="s">
        <v>1181</v>
      </c>
      <c r="K230" s="4" t="s">
        <v>1182</v>
      </c>
      <c r="L230" s="2">
        <v>2015</v>
      </c>
      <c r="M230" s="4" t="s">
        <v>79</v>
      </c>
      <c r="N230" s="5">
        <v>2139340</v>
      </c>
      <c r="O230" s="4" t="s">
        <v>1183</v>
      </c>
      <c r="P230" s="4" t="s">
        <v>1184</v>
      </c>
      <c r="Q230" s="4" t="s">
        <v>1185</v>
      </c>
      <c r="R230" s="4"/>
      <c r="S230" s="4"/>
      <c r="T230" s="4"/>
      <c r="U230" s="4"/>
    </row>
    <row r="231" spans="2:21" ht="26.15" hidden="1" customHeight="1">
      <c r="B231" s="2">
        <v>229</v>
      </c>
      <c r="C231" s="3">
        <v>43531</v>
      </c>
      <c r="D231" s="20">
        <v>2019</v>
      </c>
      <c r="E231" s="4" t="s">
        <v>34</v>
      </c>
      <c r="F231" s="5">
        <v>1130430</v>
      </c>
      <c r="G231" s="4" t="s">
        <v>1186</v>
      </c>
      <c r="H231" s="4" t="s">
        <v>1187</v>
      </c>
      <c r="I231" s="4"/>
      <c r="J231" s="4"/>
      <c r="K231" s="4"/>
      <c r="L231" s="2">
        <v>2013</v>
      </c>
      <c r="M231" s="4" t="s">
        <v>1188</v>
      </c>
      <c r="N231" s="5">
        <v>1800000</v>
      </c>
      <c r="O231" s="4" t="s">
        <v>1189</v>
      </c>
      <c r="P231" s="4" t="s">
        <v>1190</v>
      </c>
      <c r="Q231" s="4"/>
      <c r="R231" s="4"/>
      <c r="S231" s="4"/>
      <c r="T231" s="4"/>
      <c r="U231" s="4"/>
    </row>
    <row r="232" spans="2:21" ht="26.15" hidden="1" customHeight="1">
      <c r="B232" s="2">
        <v>230</v>
      </c>
      <c r="C232" s="3">
        <v>43530</v>
      </c>
      <c r="D232" s="20">
        <v>2019</v>
      </c>
      <c r="E232" s="4" t="s">
        <v>34</v>
      </c>
      <c r="F232" s="5">
        <v>481083</v>
      </c>
      <c r="G232" s="4" t="s">
        <v>1191</v>
      </c>
      <c r="H232" s="4" t="s">
        <v>1192</v>
      </c>
      <c r="I232" s="4" t="s">
        <v>608</v>
      </c>
      <c r="J232" s="4" t="s">
        <v>1193</v>
      </c>
      <c r="K232" s="4" t="s">
        <v>609</v>
      </c>
      <c r="L232" s="2">
        <v>2017</v>
      </c>
      <c r="M232" s="4" t="s">
        <v>47</v>
      </c>
      <c r="N232" s="5">
        <v>567108</v>
      </c>
      <c r="O232" s="4" t="s">
        <v>1194</v>
      </c>
      <c r="P232" s="4" t="s">
        <v>1195</v>
      </c>
      <c r="Q232" s="4"/>
      <c r="R232" s="4"/>
      <c r="S232" s="4"/>
      <c r="T232" s="4"/>
      <c r="U232" s="4"/>
    </row>
    <row r="233" spans="2:21" ht="26.15" hidden="1" customHeight="1">
      <c r="B233" s="2">
        <v>231</v>
      </c>
      <c r="C233" s="3">
        <v>43529</v>
      </c>
      <c r="D233" s="20">
        <v>2019</v>
      </c>
      <c r="E233" s="4" t="s">
        <v>34</v>
      </c>
      <c r="F233" s="5">
        <v>25000</v>
      </c>
      <c r="G233" s="4" t="s">
        <v>1196</v>
      </c>
      <c r="H233" s="4" t="s">
        <v>1197</v>
      </c>
      <c r="I233" s="4" t="s">
        <v>1198</v>
      </c>
      <c r="J233" s="4"/>
      <c r="K233" s="4" t="s">
        <v>1199</v>
      </c>
      <c r="L233" s="2">
        <v>2016</v>
      </c>
      <c r="M233" s="4" t="s">
        <v>39</v>
      </c>
      <c r="N233" s="5">
        <v>652000</v>
      </c>
      <c r="O233" s="4" t="s">
        <v>389</v>
      </c>
      <c r="P233" s="4" t="s">
        <v>1200</v>
      </c>
      <c r="Q233" s="4"/>
      <c r="R233" s="4"/>
      <c r="S233" s="4"/>
      <c r="T233" s="4"/>
      <c r="U233" s="4"/>
    </row>
    <row r="234" spans="2:21" ht="26.15" hidden="1" customHeight="1">
      <c r="B234" s="2">
        <v>232</v>
      </c>
      <c r="C234" s="3">
        <v>43529</v>
      </c>
      <c r="D234" s="20">
        <v>2019</v>
      </c>
      <c r="E234" s="4" t="s">
        <v>289</v>
      </c>
      <c r="F234" s="5">
        <v>500000</v>
      </c>
      <c r="G234" s="4" t="s">
        <v>1147</v>
      </c>
      <c r="H234" s="4" t="s">
        <v>1148</v>
      </c>
      <c r="I234" s="4"/>
      <c r="J234" s="4"/>
      <c r="K234" s="4"/>
      <c r="L234" s="2">
        <v>2016</v>
      </c>
      <c r="M234" s="4" t="s">
        <v>1151</v>
      </c>
      <c r="N234" s="5">
        <v>2000000</v>
      </c>
      <c r="O234" s="4" t="s">
        <v>1152</v>
      </c>
      <c r="P234" s="4" t="s">
        <v>1153</v>
      </c>
      <c r="Q234" s="4"/>
      <c r="R234" s="4"/>
      <c r="S234" s="4"/>
      <c r="T234" s="4"/>
      <c r="U234" s="4"/>
    </row>
    <row r="235" spans="2:21" ht="26.15" hidden="1" customHeight="1">
      <c r="B235" s="2">
        <v>233</v>
      </c>
      <c r="C235" s="3">
        <v>43525</v>
      </c>
      <c r="D235" s="20">
        <v>2019</v>
      </c>
      <c r="E235" s="4" t="s">
        <v>34</v>
      </c>
      <c r="F235" s="5">
        <v>2055900</v>
      </c>
      <c r="G235" s="4" t="s">
        <v>308</v>
      </c>
      <c r="H235" s="4" t="s">
        <v>309</v>
      </c>
      <c r="I235" s="4" t="s">
        <v>1201</v>
      </c>
      <c r="J235" s="4" t="s">
        <v>1202</v>
      </c>
      <c r="K235" s="4" t="s">
        <v>928</v>
      </c>
      <c r="L235" s="2">
        <v>2017</v>
      </c>
      <c r="M235" s="4" t="s">
        <v>313</v>
      </c>
      <c r="N235" s="5">
        <v>6014060</v>
      </c>
      <c r="O235" s="4" t="s">
        <v>314</v>
      </c>
      <c r="P235" s="4" t="s">
        <v>315</v>
      </c>
      <c r="Q235" s="4"/>
      <c r="R235" s="4"/>
      <c r="S235" s="4"/>
      <c r="T235" s="4"/>
      <c r="U235" s="4"/>
    </row>
    <row r="236" spans="2:21" ht="26.15" hidden="1" customHeight="1">
      <c r="B236" s="2">
        <v>234</v>
      </c>
      <c r="C236" s="3">
        <v>43523</v>
      </c>
      <c r="D236" s="20">
        <v>2019</v>
      </c>
      <c r="E236" s="4" t="s">
        <v>109</v>
      </c>
      <c r="F236" s="5">
        <v>2000000</v>
      </c>
      <c r="G236" s="4" t="s">
        <v>378</v>
      </c>
      <c r="H236" s="4" t="s">
        <v>379</v>
      </c>
      <c r="I236" s="4" t="s">
        <v>1203</v>
      </c>
      <c r="J236" s="4"/>
      <c r="K236" s="4" t="s">
        <v>1204</v>
      </c>
      <c r="L236" s="2">
        <v>2014</v>
      </c>
      <c r="M236" s="4" t="s">
        <v>382</v>
      </c>
      <c r="N236" s="5">
        <v>10111973</v>
      </c>
      <c r="O236" s="4" t="s">
        <v>383</v>
      </c>
      <c r="P236" s="4" t="s">
        <v>384</v>
      </c>
      <c r="Q236" s="4"/>
      <c r="R236" s="4"/>
      <c r="S236" s="4"/>
      <c r="T236" s="4"/>
      <c r="U236" s="4"/>
    </row>
    <row r="237" spans="2:21" ht="26.15" hidden="1" customHeight="1">
      <c r="B237" s="2">
        <v>235</v>
      </c>
      <c r="C237" s="3">
        <v>43503</v>
      </c>
      <c r="D237" s="20">
        <v>2019</v>
      </c>
      <c r="E237" s="4" t="s">
        <v>109</v>
      </c>
      <c r="F237" s="5">
        <v>697943</v>
      </c>
      <c r="G237" s="4" t="s">
        <v>878</v>
      </c>
      <c r="H237" s="4" t="s">
        <v>879</v>
      </c>
      <c r="I237" s="4" t="s">
        <v>880</v>
      </c>
      <c r="J237" s="4"/>
      <c r="K237" s="4"/>
      <c r="L237" s="2">
        <v>2015</v>
      </c>
      <c r="M237" s="4" t="s">
        <v>56</v>
      </c>
      <c r="N237" s="5">
        <v>9059375</v>
      </c>
      <c r="O237" s="4" t="s">
        <v>883</v>
      </c>
      <c r="P237" s="4" t="s">
        <v>884</v>
      </c>
      <c r="Q237" s="4"/>
      <c r="R237" s="4"/>
      <c r="S237" s="4"/>
      <c r="T237" s="4"/>
      <c r="U237" s="4"/>
    </row>
    <row r="238" spans="2:21" ht="26.15" hidden="1" customHeight="1">
      <c r="B238" s="2">
        <v>236</v>
      </c>
      <c r="C238" s="3">
        <v>43500</v>
      </c>
      <c r="D238" s="20">
        <v>2019</v>
      </c>
      <c r="E238" s="4" t="s">
        <v>34</v>
      </c>
      <c r="F238" s="5" t="s">
        <v>50</v>
      </c>
      <c r="G238" s="4" t="s">
        <v>1205</v>
      </c>
      <c r="H238" s="4" t="s">
        <v>1206</v>
      </c>
      <c r="I238" s="4" t="s">
        <v>1207</v>
      </c>
      <c r="J238" s="4"/>
      <c r="K238" s="4" t="s">
        <v>1208</v>
      </c>
      <c r="L238" s="2">
        <v>2014</v>
      </c>
      <c r="M238" s="4" t="s">
        <v>39</v>
      </c>
      <c r="N238" s="5"/>
      <c r="O238" s="4" t="s">
        <v>1209</v>
      </c>
      <c r="P238" s="4" t="s">
        <v>1210</v>
      </c>
      <c r="Q238" s="4"/>
      <c r="R238" s="4"/>
      <c r="S238" s="4"/>
      <c r="T238" s="4"/>
      <c r="U238" s="4"/>
    </row>
    <row r="239" spans="2:21" ht="26.15" hidden="1" customHeight="1">
      <c r="B239" s="2">
        <v>237</v>
      </c>
      <c r="C239" s="3">
        <v>43497</v>
      </c>
      <c r="D239" s="20">
        <v>2019</v>
      </c>
      <c r="E239" s="4" t="s">
        <v>34</v>
      </c>
      <c r="F239" s="5">
        <v>1496022</v>
      </c>
      <c r="G239" s="4" t="s">
        <v>1211</v>
      </c>
      <c r="H239" s="4" t="s">
        <v>1212</v>
      </c>
      <c r="I239" s="4" t="s">
        <v>1213</v>
      </c>
      <c r="J239" s="4"/>
      <c r="K239" s="4" t="s">
        <v>1214</v>
      </c>
      <c r="L239" s="2">
        <v>2013</v>
      </c>
      <c r="M239" s="4" t="s">
        <v>1215</v>
      </c>
      <c r="N239" s="5">
        <v>1496022</v>
      </c>
      <c r="O239" s="4" t="s">
        <v>1216</v>
      </c>
      <c r="P239" s="4" t="s">
        <v>1217</v>
      </c>
      <c r="Q239" s="4"/>
      <c r="R239" s="4"/>
      <c r="S239" s="4"/>
      <c r="T239" s="4"/>
      <c r="U239" s="4"/>
    </row>
    <row r="240" spans="2:21" ht="26.15" hidden="1" customHeight="1">
      <c r="B240" s="2">
        <v>238</v>
      </c>
      <c r="C240" s="3">
        <v>43491</v>
      </c>
      <c r="D240" s="20">
        <v>2019</v>
      </c>
      <c r="E240" s="4" t="s">
        <v>109</v>
      </c>
      <c r="F240" s="5">
        <v>3000000</v>
      </c>
      <c r="G240" s="4" t="s">
        <v>1218</v>
      </c>
      <c r="H240" s="4" t="s">
        <v>1219</v>
      </c>
      <c r="I240" s="4" t="s">
        <v>1220</v>
      </c>
      <c r="J240" s="4"/>
      <c r="K240" s="4" t="s">
        <v>1221</v>
      </c>
      <c r="L240" s="2">
        <v>2018</v>
      </c>
      <c r="M240" s="4" t="s">
        <v>1222</v>
      </c>
      <c r="N240" s="5">
        <v>3000000</v>
      </c>
      <c r="O240" s="4" t="s">
        <v>1223</v>
      </c>
      <c r="P240" s="4" t="s">
        <v>1224</v>
      </c>
      <c r="Q240" s="4"/>
      <c r="R240" s="4"/>
      <c r="S240" s="4"/>
      <c r="T240" s="4"/>
      <c r="U240" s="4"/>
    </row>
    <row r="241" spans="2:21" ht="26.15" hidden="1" customHeight="1">
      <c r="B241" s="2">
        <v>239</v>
      </c>
      <c r="C241" s="3">
        <v>43487</v>
      </c>
      <c r="D241" s="20">
        <v>2019</v>
      </c>
      <c r="E241" s="4" t="s">
        <v>34</v>
      </c>
      <c r="F241" s="5" t="s">
        <v>50</v>
      </c>
      <c r="G241" s="4" t="s">
        <v>1225</v>
      </c>
      <c r="H241" s="4" t="s">
        <v>1226</v>
      </c>
      <c r="I241" s="4" t="s">
        <v>1227</v>
      </c>
      <c r="J241" s="4"/>
      <c r="K241" s="4" t="s">
        <v>1228</v>
      </c>
      <c r="L241" s="2">
        <v>2017</v>
      </c>
      <c r="M241" s="4" t="s">
        <v>313</v>
      </c>
      <c r="N241" s="5"/>
      <c r="O241" s="4" t="s">
        <v>1229</v>
      </c>
      <c r="P241" s="4" t="s">
        <v>1230</v>
      </c>
      <c r="Q241" s="4"/>
      <c r="R241" s="4"/>
      <c r="S241" s="4"/>
      <c r="T241" s="4"/>
      <c r="U241" s="4"/>
    </row>
    <row r="242" spans="2:21" ht="26.15" hidden="1" customHeight="1">
      <c r="B242" s="2">
        <v>240</v>
      </c>
      <c r="C242" s="3">
        <v>43487</v>
      </c>
      <c r="D242" s="20">
        <v>2019</v>
      </c>
      <c r="E242" s="4" t="s">
        <v>34</v>
      </c>
      <c r="F242" s="5" t="s">
        <v>50</v>
      </c>
      <c r="G242" s="4" t="s">
        <v>1231</v>
      </c>
      <c r="H242" s="4" t="s">
        <v>1232</v>
      </c>
      <c r="I242" s="4" t="s">
        <v>1227</v>
      </c>
      <c r="J242" s="4"/>
      <c r="K242" s="4" t="s">
        <v>1228</v>
      </c>
      <c r="L242" s="2">
        <v>2017</v>
      </c>
      <c r="M242" s="4" t="s">
        <v>313</v>
      </c>
      <c r="N242" s="5"/>
      <c r="O242" s="4" t="s">
        <v>1233</v>
      </c>
      <c r="P242" s="4" t="s">
        <v>1234</v>
      </c>
      <c r="Q242" s="4"/>
      <c r="R242" s="4"/>
      <c r="S242" s="4"/>
      <c r="T242" s="4"/>
      <c r="U242" s="4"/>
    </row>
    <row r="243" spans="2:21" ht="26.15" hidden="1" customHeight="1">
      <c r="B243" s="2">
        <v>241</v>
      </c>
      <c r="C243" s="3">
        <v>43487</v>
      </c>
      <c r="D243" s="20">
        <v>2019</v>
      </c>
      <c r="E243" s="4" t="s">
        <v>34</v>
      </c>
      <c r="F243" s="5" t="s">
        <v>50</v>
      </c>
      <c r="G243" s="4" t="s">
        <v>1235</v>
      </c>
      <c r="H243" s="4" t="s">
        <v>1236</v>
      </c>
      <c r="I243" s="4" t="s">
        <v>1227</v>
      </c>
      <c r="J243" s="4"/>
      <c r="K243" s="4" t="s">
        <v>1228</v>
      </c>
      <c r="L243" s="2">
        <v>2014</v>
      </c>
      <c r="M243" s="4" t="s">
        <v>56</v>
      </c>
      <c r="N243" s="5"/>
      <c r="O243" s="4" t="s">
        <v>1237</v>
      </c>
      <c r="P243" s="4" t="s">
        <v>1238</v>
      </c>
      <c r="Q243" s="4"/>
      <c r="R243" s="4"/>
      <c r="S243" s="4"/>
      <c r="T243" s="4"/>
      <c r="U243" s="4"/>
    </row>
    <row r="244" spans="2:21" ht="26.15" hidden="1" customHeight="1">
      <c r="B244" s="2">
        <v>242</v>
      </c>
      <c r="C244" s="3">
        <v>43486</v>
      </c>
      <c r="D244" s="20">
        <v>2019</v>
      </c>
      <c r="E244" s="4" t="s">
        <v>34</v>
      </c>
      <c r="F244" s="5">
        <v>2000000</v>
      </c>
      <c r="G244" s="4" t="s">
        <v>1239</v>
      </c>
      <c r="H244" s="4" t="s">
        <v>1240</v>
      </c>
      <c r="I244" s="4" t="s">
        <v>1241</v>
      </c>
      <c r="J244" s="4"/>
      <c r="K244" s="4" t="s">
        <v>1242</v>
      </c>
      <c r="L244" s="2">
        <v>2016</v>
      </c>
      <c r="M244" s="4" t="s">
        <v>1243</v>
      </c>
      <c r="N244" s="5">
        <v>4352191</v>
      </c>
      <c r="O244" s="4" t="s">
        <v>1244</v>
      </c>
      <c r="P244" s="4" t="s">
        <v>1245</v>
      </c>
      <c r="Q244" s="4"/>
      <c r="R244" s="4"/>
      <c r="S244" s="4"/>
      <c r="T244" s="4"/>
      <c r="U244" s="4"/>
    </row>
    <row r="245" spans="2:21" ht="26.15" customHeight="1">
      <c r="B245" s="2">
        <v>243</v>
      </c>
      <c r="C245" s="3">
        <v>43481</v>
      </c>
      <c r="D245" s="20">
        <v>2019</v>
      </c>
      <c r="E245" s="4" t="s">
        <v>109</v>
      </c>
      <c r="F245" s="5">
        <v>11500000</v>
      </c>
      <c r="G245" s="4" t="s">
        <v>1246</v>
      </c>
      <c r="H245" s="4" t="s">
        <v>1247</v>
      </c>
      <c r="I245" s="4" t="s">
        <v>1248</v>
      </c>
      <c r="J245" s="4" t="s">
        <v>1249</v>
      </c>
      <c r="K245" s="4" t="s">
        <v>1250</v>
      </c>
      <c r="L245" s="2">
        <v>2017</v>
      </c>
      <c r="M245" s="4" t="s">
        <v>1251</v>
      </c>
      <c r="N245" s="5">
        <v>15000000</v>
      </c>
      <c r="O245" s="4" t="s">
        <v>1252</v>
      </c>
      <c r="P245" s="4" t="s">
        <v>1253</v>
      </c>
      <c r="Q245" s="4"/>
      <c r="R245" s="4"/>
      <c r="S245" s="4"/>
      <c r="T245" s="4"/>
      <c r="U245" s="4"/>
    </row>
    <row r="246" spans="2:21" ht="26.15" hidden="1" customHeight="1">
      <c r="B246" s="2">
        <v>244</v>
      </c>
      <c r="C246" s="3">
        <v>43480</v>
      </c>
      <c r="D246" s="20">
        <v>2019</v>
      </c>
      <c r="E246" s="4" t="s">
        <v>25</v>
      </c>
      <c r="F246" s="5">
        <v>16975700</v>
      </c>
      <c r="G246" s="4" t="s">
        <v>185</v>
      </c>
      <c r="H246" s="4" t="s">
        <v>186</v>
      </c>
      <c r="I246" s="4" t="s">
        <v>1254</v>
      </c>
      <c r="J246" s="4"/>
      <c r="K246" s="4" t="s">
        <v>813</v>
      </c>
      <c r="L246" s="2">
        <v>2015</v>
      </c>
      <c r="M246" s="4" t="s">
        <v>188</v>
      </c>
      <c r="N246" s="5">
        <v>65736870</v>
      </c>
      <c r="O246" s="4" t="s">
        <v>189</v>
      </c>
      <c r="P246" s="4" t="s">
        <v>190</v>
      </c>
      <c r="Q246" s="4"/>
      <c r="R246" s="4"/>
      <c r="S246" s="4"/>
      <c r="T246" s="4"/>
      <c r="U246" s="4"/>
    </row>
    <row r="247" spans="2:21" ht="26.15" hidden="1" customHeight="1">
      <c r="B247" s="2">
        <v>245</v>
      </c>
      <c r="C247" s="3">
        <v>43480</v>
      </c>
      <c r="D247" s="20">
        <v>2019</v>
      </c>
      <c r="E247" s="4" t="s">
        <v>289</v>
      </c>
      <c r="F247" s="5" t="s">
        <v>50</v>
      </c>
      <c r="G247" s="4" t="s">
        <v>185</v>
      </c>
      <c r="H247" s="4" t="s">
        <v>186</v>
      </c>
      <c r="I247" s="4" t="s">
        <v>1255</v>
      </c>
      <c r="J247" s="4"/>
      <c r="K247" s="4"/>
      <c r="L247" s="2">
        <v>2015</v>
      </c>
      <c r="M247" s="4" t="s">
        <v>188</v>
      </c>
      <c r="N247" s="5">
        <v>65736870</v>
      </c>
      <c r="O247" s="4" t="s">
        <v>189</v>
      </c>
      <c r="P247" s="4" t="s">
        <v>190</v>
      </c>
      <c r="Q247" s="4"/>
      <c r="R247" s="4"/>
      <c r="S247" s="4"/>
      <c r="T247" s="4"/>
      <c r="U247" s="4"/>
    </row>
    <row r="248" spans="2:21" ht="26.15" hidden="1" customHeight="1">
      <c r="B248" s="2">
        <v>246</v>
      </c>
      <c r="C248" s="3">
        <v>43480</v>
      </c>
      <c r="D248" s="20">
        <v>2019</v>
      </c>
      <c r="E248" s="4" t="s">
        <v>184</v>
      </c>
      <c r="F248" s="5">
        <v>80000</v>
      </c>
      <c r="G248" s="4" t="s">
        <v>1256</v>
      </c>
      <c r="H248" s="4" t="s">
        <v>1257</v>
      </c>
      <c r="I248" s="4" t="s">
        <v>1020</v>
      </c>
      <c r="J248" s="4"/>
      <c r="K248" s="4"/>
      <c r="L248" s="2">
        <v>2016</v>
      </c>
      <c r="M248" s="4" t="s">
        <v>1258</v>
      </c>
      <c r="N248" s="5"/>
      <c r="O248" s="4" t="s">
        <v>1259</v>
      </c>
      <c r="P248" s="4" t="s">
        <v>1260</v>
      </c>
      <c r="Q248" s="4"/>
      <c r="R248" s="4"/>
      <c r="S248" s="4"/>
      <c r="T248" s="4"/>
      <c r="U248" s="4"/>
    </row>
    <row r="249" spans="2:21" ht="26.15" hidden="1" customHeight="1">
      <c r="B249" s="2">
        <v>247</v>
      </c>
      <c r="C249" s="3">
        <v>43479</v>
      </c>
      <c r="D249" s="20">
        <v>2019</v>
      </c>
      <c r="E249" s="4" t="s">
        <v>34</v>
      </c>
      <c r="F249" s="5">
        <v>923440</v>
      </c>
      <c r="G249" s="4" t="s">
        <v>160</v>
      </c>
      <c r="H249" s="4" t="s">
        <v>161</v>
      </c>
      <c r="I249" s="4" t="s">
        <v>1261</v>
      </c>
      <c r="J249" s="4" t="s">
        <v>1262</v>
      </c>
      <c r="K249" s="4" t="s">
        <v>1263</v>
      </c>
      <c r="L249" s="2">
        <v>2016</v>
      </c>
      <c r="M249" s="4" t="s">
        <v>128</v>
      </c>
      <c r="N249" s="5">
        <v>5866696</v>
      </c>
      <c r="O249" s="4" t="s">
        <v>164</v>
      </c>
      <c r="P249" s="4" t="s">
        <v>165</v>
      </c>
      <c r="Q249" s="4" t="s">
        <v>1264</v>
      </c>
      <c r="R249" s="4"/>
      <c r="S249" s="4"/>
      <c r="T249" s="4"/>
      <c r="U249" s="4"/>
    </row>
    <row r="250" spans="2:21" ht="26.15" hidden="1" customHeight="1">
      <c r="B250" s="2">
        <v>248</v>
      </c>
      <c r="C250" s="3">
        <v>43476</v>
      </c>
      <c r="D250" s="20">
        <v>2019</v>
      </c>
      <c r="E250" s="4" t="s">
        <v>34</v>
      </c>
      <c r="F250" s="5">
        <v>482957</v>
      </c>
      <c r="G250" s="4" t="s">
        <v>42</v>
      </c>
      <c r="H250" s="4" t="s">
        <v>43</v>
      </c>
      <c r="I250" s="4" t="s">
        <v>608</v>
      </c>
      <c r="J250" s="4"/>
      <c r="K250" s="4" t="s">
        <v>609</v>
      </c>
      <c r="L250" s="2">
        <v>2017</v>
      </c>
      <c r="M250" s="4" t="s">
        <v>47</v>
      </c>
      <c r="N250" s="5">
        <v>3160468</v>
      </c>
      <c r="O250" s="4" t="s">
        <v>48</v>
      </c>
      <c r="P250" s="4" t="s">
        <v>49</v>
      </c>
      <c r="Q250" s="4"/>
      <c r="R250" s="4"/>
      <c r="S250" s="4"/>
      <c r="T250" s="4"/>
      <c r="U250" s="4"/>
    </row>
    <row r="251" spans="2:21" ht="26.15" hidden="1" customHeight="1">
      <c r="B251" s="2">
        <v>249</v>
      </c>
      <c r="C251" s="3">
        <v>43469</v>
      </c>
      <c r="D251" s="20">
        <v>2019</v>
      </c>
      <c r="E251" s="4" t="s">
        <v>109</v>
      </c>
      <c r="F251" s="5">
        <v>428051</v>
      </c>
      <c r="G251" s="4" t="s">
        <v>878</v>
      </c>
      <c r="H251" s="4" t="s">
        <v>879</v>
      </c>
      <c r="I251" s="4" t="s">
        <v>880</v>
      </c>
      <c r="J251" s="4"/>
      <c r="K251" s="4" t="s">
        <v>882</v>
      </c>
      <c r="L251" s="2">
        <v>2015</v>
      </c>
      <c r="M251" s="4" t="s">
        <v>56</v>
      </c>
      <c r="N251" s="5">
        <v>9059375</v>
      </c>
      <c r="O251" s="4" t="s">
        <v>883</v>
      </c>
      <c r="P251" s="4" t="s">
        <v>884</v>
      </c>
      <c r="Q251" s="4"/>
      <c r="R251" s="4"/>
      <c r="S251" s="4"/>
      <c r="T251" s="4"/>
      <c r="U251" s="4"/>
    </row>
    <row r="252" spans="2:21" ht="26.15" hidden="1" customHeight="1">
      <c r="B252" s="2">
        <v>250</v>
      </c>
      <c r="C252" s="3">
        <v>43467</v>
      </c>
      <c r="D252" s="20">
        <v>2019</v>
      </c>
      <c r="E252" s="4" t="s">
        <v>95</v>
      </c>
      <c r="F252" s="5" t="s">
        <v>50</v>
      </c>
      <c r="G252" s="4" t="s">
        <v>1265</v>
      </c>
      <c r="H252" s="4" t="s">
        <v>1266</v>
      </c>
      <c r="I252" s="4" t="s">
        <v>1267</v>
      </c>
      <c r="J252" s="4"/>
      <c r="K252" s="4" t="s">
        <v>1123</v>
      </c>
      <c r="L252" s="2">
        <v>2011</v>
      </c>
      <c r="M252" s="4" t="s">
        <v>278</v>
      </c>
      <c r="N252" s="5">
        <v>20000000</v>
      </c>
      <c r="O252" s="4" t="s">
        <v>1268</v>
      </c>
      <c r="P252" s="4" t="s">
        <v>1269</v>
      </c>
      <c r="Q252" s="4"/>
      <c r="R252" s="4"/>
      <c r="S252" s="4"/>
      <c r="T252" s="4"/>
      <c r="U252" s="4"/>
    </row>
    <row r="253" spans="2:21" ht="26.15" hidden="1" customHeight="1">
      <c r="B253" s="2">
        <v>251</v>
      </c>
      <c r="C253" s="3">
        <v>43466</v>
      </c>
      <c r="D253" s="20">
        <v>2019</v>
      </c>
      <c r="E253" s="4" t="s">
        <v>34</v>
      </c>
      <c r="F253" s="5">
        <v>500000</v>
      </c>
      <c r="G253" s="4" t="s">
        <v>166</v>
      </c>
      <c r="H253" s="4" t="s">
        <v>167</v>
      </c>
      <c r="I253" s="4"/>
      <c r="J253" s="4"/>
      <c r="K253" s="4"/>
      <c r="L253" s="2">
        <v>2019</v>
      </c>
      <c r="M253" s="4" t="s">
        <v>128</v>
      </c>
      <c r="N253" s="5">
        <v>2500000</v>
      </c>
      <c r="O253" s="4" t="s">
        <v>168</v>
      </c>
      <c r="P253" s="4" t="s">
        <v>169</v>
      </c>
      <c r="Q253" s="4"/>
      <c r="R253" s="4"/>
      <c r="S253" s="4"/>
      <c r="T253" s="4"/>
      <c r="U253" s="4"/>
    </row>
    <row r="254" spans="2:21" ht="26.15" hidden="1" customHeight="1">
      <c r="B254" s="2">
        <v>252</v>
      </c>
      <c r="C254" s="3">
        <v>43461</v>
      </c>
      <c r="D254" s="20">
        <v>2018</v>
      </c>
      <c r="E254" s="4" t="s">
        <v>25</v>
      </c>
      <c r="F254" s="5">
        <v>1000000</v>
      </c>
      <c r="G254" s="4" t="s">
        <v>96</v>
      </c>
      <c r="H254" s="4" t="s">
        <v>97</v>
      </c>
      <c r="I254" s="4" t="s">
        <v>1270</v>
      </c>
      <c r="J254" s="4"/>
      <c r="K254" s="4" t="s">
        <v>1271</v>
      </c>
      <c r="L254" s="2">
        <v>2015</v>
      </c>
      <c r="M254" s="4" t="s">
        <v>79</v>
      </c>
      <c r="N254" s="5">
        <v>163285834</v>
      </c>
      <c r="O254" s="4" t="s">
        <v>100</v>
      </c>
      <c r="P254" s="4" t="s">
        <v>101</v>
      </c>
      <c r="Q254" s="4"/>
      <c r="R254" s="4"/>
      <c r="S254" s="4"/>
      <c r="T254" s="4"/>
      <c r="U254" s="4"/>
    </row>
    <row r="255" spans="2:21" ht="26.15" hidden="1" customHeight="1">
      <c r="B255" s="2">
        <v>253</v>
      </c>
      <c r="C255" s="3">
        <v>43461</v>
      </c>
      <c r="D255" s="20">
        <v>2018</v>
      </c>
      <c r="E255" s="4" t="s">
        <v>124</v>
      </c>
      <c r="F255" s="5">
        <v>35857</v>
      </c>
      <c r="G255" s="4" t="s">
        <v>1191</v>
      </c>
      <c r="H255" s="4" t="s">
        <v>1192</v>
      </c>
      <c r="I255" s="4"/>
      <c r="J255" s="4" t="s">
        <v>1272</v>
      </c>
      <c r="K255" s="4" t="s">
        <v>1273</v>
      </c>
      <c r="L255" s="2">
        <v>2017</v>
      </c>
      <c r="M255" s="4" t="s">
        <v>47</v>
      </c>
      <c r="N255" s="5">
        <v>567108</v>
      </c>
      <c r="O255" s="4" t="s">
        <v>1194</v>
      </c>
      <c r="P255" s="4" t="s">
        <v>1195</v>
      </c>
      <c r="Q255" s="4"/>
      <c r="R255" s="4"/>
      <c r="S255" s="4"/>
      <c r="T255" s="4"/>
      <c r="U255" s="4"/>
    </row>
    <row r="256" spans="2:21" ht="26.15" customHeight="1">
      <c r="B256" s="2">
        <v>254</v>
      </c>
      <c r="C256" s="3">
        <v>43460</v>
      </c>
      <c r="D256" s="20">
        <v>2018</v>
      </c>
      <c r="E256" s="4" t="s">
        <v>109</v>
      </c>
      <c r="F256" s="5">
        <v>500000</v>
      </c>
      <c r="G256" s="4" t="s">
        <v>885</v>
      </c>
      <c r="H256" s="4" t="s">
        <v>886</v>
      </c>
      <c r="I256" s="4" t="s">
        <v>1274</v>
      </c>
      <c r="J256" s="4"/>
      <c r="K256" s="4" t="s">
        <v>1275</v>
      </c>
      <c r="L256" s="2">
        <v>2013</v>
      </c>
      <c r="M256" s="4" t="s">
        <v>369</v>
      </c>
      <c r="N256" s="5">
        <v>30000000</v>
      </c>
      <c r="O256" s="4" t="s">
        <v>889</v>
      </c>
      <c r="P256" s="4" t="s">
        <v>890</v>
      </c>
      <c r="Q256" s="4"/>
      <c r="R256" s="4"/>
      <c r="S256" s="4"/>
      <c r="T256" s="4"/>
      <c r="U256" s="4"/>
    </row>
    <row r="257" spans="2:21" ht="26.15" hidden="1" customHeight="1">
      <c r="B257" s="2">
        <v>255</v>
      </c>
      <c r="C257" s="3">
        <v>43458</v>
      </c>
      <c r="D257" s="20">
        <v>2018</v>
      </c>
      <c r="E257" s="4" t="s">
        <v>34</v>
      </c>
      <c r="F257" s="5">
        <v>274805</v>
      </c>
      <c r="G257" s="4" t="s">
        <v>1276</v>
      </c>
      <c r="H257" s="4" t="s">
        <v>1277</v>
      </c>
      <c r="I257" s="4"/>
      <c r="J257" s="4"/>
      <c r="K257" s="4"/>
      <c r="L257" s="2">
        <v>2018</v>
      </c>
      <c r="M257" s="4" t="s">
        <v>1278</v>
      </c>
      <c r="N257" s="5">
        <v>274805</v>
      </c>
      <c r="O257" s="4" t="s">
        <v>1279</v>
      </c>
      <c r="P257" s="4" t="s">
        <v>1280</v>
      </c>
      <c r="Q257" s="4" t="s">
        <v>1281</v>
      </c>
      <c r="R257" s="4"/>
      <c r="S257" s="4"/>
      <c r="T257" s="4"/>
      <c r="U257" s="4"/>
    </row>
    <row r="258" spans="2:21" ht="26.15" hidden="1" customHeight="1">
      <c r="B258" s="2">
        <v>256</v>
      </c>
      <c r="C258" s="3">
        <v>43455</v>
      </c>
      <c r="D258" s="20">
        <v>2018</v>
      </c>
      <c r="E258" s="4" t="s">
        <v>184</v>
      </c>
      <c r="F258" s="5">
        <v>250000</v>
      </c>
      <c r="G258" s="4" t="s">
        <v>1282</v>
      </c>
      <c r="H258" s="4" t="s">
        <v>1283</v>
      </c>
      <c r="I258" s="4" t="s">
        <v>1284</v>
      </c>
      <c r="J258" s="4"/>
      <c r="K258" s="4"/>
      <c r="L258" s="2">
        <v>2015</v>
      </c>
      <c r="M258" s="4" t="s">
        <v>1285</v>
      </c>
      <c r="N258" s="5">
        <v>650000</v>
      </c>
      <c r="O258" s="4" t="s">
        <v>1286</v>
      </c>
      <c r="P258" s="4" t="s">
        <v>1287</v>
      </c>
      <c r="Q258" s="4"/>
      <c r="R258" s="4"/>
      <c r="S258" s="4"/>
      <c r="T258" s="4"/>
      <c r="U258" s="4"/>
    </row>
    <row r="259" spans="2:21" ht="26.15" hidden="1" customHeight="1">
      <c r="B259" s="2">
        <v>257</v>
      </c>
      <c r="C259" s="3">
        <v>43452</v>
      </c>
      <c r="D259" s="20">
        <v>2018</v>
      </c>
      <c r="E259" s="4" t="s">
        <v>34</v>
      </c>
      <c r="F259" s="5">
        <v>195480</v>
      </c>
      <c r="G259" s="4" t="s">
        <v>1288</v>
      </c>
      <c r="H259" s="4" t="s">
        <v>1289</v>
      </c>
      <c r="I259" s="4" t="s">
        <v>1290</v>
      </c>
      <c r="J259" s="4" t="s">
        <v>1291</v>
      </c>
      <c r="K259" s="4" t="s">
        <v>1292</v>
      </c>
      <c r="L259" s="2">
        <v>2016</v>
      </c>
      <c r="M259" s="4" t="s">
        <v>313</v>
      </c>
      <c r="N259" s="5">
        <v>195480</v>
      </c>
      <c r="O259" s="4" t="s">
        <v>1293</v>
      </c>
      <c r="P259" s="4" t="s">
        <v>1294</v>
      </c>
      <c r="Q259" s="4"/>
      <c r="R259" s="4"/>
      <c r="S259" s="4"/>
      <c r="T259" s="4"/>
      <c r="U259" s="4"/>
    </row>
    <row r="260" spans="2:21" ht="26.15" hidden="1" customHeight="1">
      <c r="B260" s="2">
        <v>258</v>
      </c>
      <c r="C260" s="3">
        <v>43448</v>
      </c>
      <c r="D260" s="20">
        <v>2018</v>
      </c>
      <c r="E260" s="4" t="s">
        <v>34</v>
      </c>
      <c r="F260" s="5">
        <v>650000</v>
      </c>
      <c r="G260" s="4" t="s">
        <v>1282</v>
      </c>
      <c r="H260" s="4" t="s">
        <v>1283</v>
      </c>
      <c r="I260" s="4" t="s">
        <v>1295</v>
      </c>
      <c r="J260" s="4"/>
      <c r="K260" s="4"/>
      <c r="L260" s="2">
        <v>2015</v>
      </c>
      <c r="M260" s="4" t="s">
        <v>1285</v>
      </c>
      <c r="N260" s="5">
        <v>650000</v>
      </c>
      <c r="O260" s="4" t="s">
        <v>1286</v>
      </c>
      <c r="P260" s="4" t="s">
        <v>1287</v>
      </c>
      <c r="Q260" s="4"/>
      <c r="R260" s="4"/>
      <c r="S260" s="4"/>
      <c r="T260" s="4"/>
      <c r="U260" s="4"/>
    </row>
    <row r="261" spans="2:21" ht="26.15" hidden="1" customHeight="1">
      <c r="B261" s="2">
        <v>259</v>
      </c>
      <c r="C261" s="3">
        <v>43448</v>
      </c>
      <c r="D261" s="20">
        <v>2018</v>
      </c>
      <c r="E261" s="4" t="s">
        <v>34</v>
      </c>
      <c r="F261" s="5" t="s">
        <v>50</v>
      </c>
      <c r="G261" s="4" t="s">
        <v>1296</v>
      </c>
      <c r="H261" s="4" t="s">
        <v>1297</v>
      </c>
      <c r="I261" s="4" t="s">
        <v>1298</v>
      </c>
      <c r="J261" s="4"/>
      <c r="K261" s="4" t="s">
        <v>1299</v>
      </c>
      <c r="L261" s="2">
        <v>2009</v>
      </c>
      <c r="M261" s="4" t="s">
        <v>1300</v>
      </c>
      <c r="N261" s="5"/>
      <c r="O261" s="4" t="s">
        <v>1301</v>
      </c>
      <c r="P261" s="4" t="s">
        <v>1302</v>
      </c>
      <c r="Q261" s="4"/>
      <c r="R261" s="4"/>
      <c r="S261" s="4"/>
      <c r="T261" s="4"/>
      <c r="U261" s="4"/>
    </row>
    <row r="262" spans="2:21" ht="26.15" hidden="1" customHeight="1">
      <c r="B262" s="2">
        <v>260</v>
      </c>
      <c r="C262" s="3">
        <v>43446</v>
      </c>
      <c r="D262" s="20">
        <v>2018</v>
      </c>
      <c r="E262" s="4" t="s">
        <v>25</v>
      </c>
      <c r="F262" s="5">
        <v>34739400</v>
      </c>
      <c r="G262" s="4" t="s">
        <v>96</v>
      </c>
      <c r="H262" s="4" t="s">
        <v>97</v>
      </c>
      <c r="I262" s="4" t="s">
        <v>1303</v>
      </c>
      <c r="J262" s="4" t="s">
        <v>1304</v>
      </c>
      <c r="K262" s="4" t="s">
        <v>1305</v>
      </c>
      <c r="L262" s="2">
        <v>2015</v>
      </c>
      <c r="M262" s="4" t="s">
        <v>79</v>
      </c>
      <c r="N262" s="5">
        <v>163285834</v>
      </c>
      <c r="O262" s="4" t="s">
        <v>100</v>
      </c>
      <c r="P262" s="4" t="s">
        <v>101</v>
      </c>
      <c r="Q262" s="4" t="s">
        <v>1306</v>
      </c>
      <c r="R262" s="4"/>
      <c r="S262" s="4"/>
      <c r="T262" s="4"/>
      <c r="U262" s="4"/>
    </row>
    <row r="263" spans="2:21" ht="26.15" hidden="1" customHeight="1">
      <c r="B263" s="2">
        <v>261</v>
      </c>
      <c r="C263" s="3">
        <v>43446</v>
      </c>
      <c r="D263" s="20">
        <v>2018</v>
      </c>
      <c r="E263" s="4" t="s">
        <v>34</v>
      </c>
      <c r="F263" s="5">
        <v>1121360</v>
      </c>
      <c r="G263" s="4" t="s">
        <v>398</v>
      </c>
      <c r="H263" s="4" t="s">
        <v>399</v>
      </c>
      <c r="I263" s="4" t="s">
        <v>925</v>
      </c>
      <c r="J263" s="4" t="s">
        <v>1307</v>
      </c>
      <c r="K263" s="4" t="s">
        <v>1308</v>
      </c>
      <c r="L263" s="2">
        <v>2017</v>
      </c>
      <c r="M263" s="4" t="s">
        <v>79</v>
      </c>
      <c r="N263" s="5">
        <v>6930813</v>
      </c>
      <c r="O263" s="4" t="s">
        <v>402</v>
      </c>
      <c r="P263" s="4" t="s">
        <v>403</v>
      </c>
      <c r="Q263" s="4"/>
      <c r="R263" s="4"/>
      <c r="S263" s="4"/>
      <c r="T263" s="4"/>
      <c r="U263" s="4"/>
    </row>
    <row r="264" spans="2:21" ht="26.15" hidden="1" customHeight="1">
      <c r="B264" s="2">
        <v>262</v>
      </c>
      <c r="C264" s="3">
        <v>43444</v>
      </c>
      <c r="D264" s="20">
        <v>2018</v>
      </c>
      <c r="E264" s="4" t="s">
        <v>1309</v>
      </c>
      <c r="F264" s="5">
        <v>25000000</v>
      </c>
      <c r="G264" s="4" t="s">
        <v>628</v>
      </c>
      <c r="H264" s="4" t="s">
        <v>629</v>
      </c>
      <c r="I264" s="4" t="s">
        <v>1310</v>
      </c>
      <c r="J264" s="4"/>
      <c r="K264" s="4" t="s">
        <v>1311</v>
      </c>
      <c r="L264" s="2">
        <v>2015</v>
      </c>
      <c r="M264" s="4" t="s">
        <v>79</v>
      </c>
      <c r="N264" s="5">
        <v>94500000</v>
      </c>
      <c r="O264" s="4" t="s">
        <v>632</v>
      </c>
      <c r="P264" s="4" t="s">
        <v>633</v>
      </c>
      <c r="Q264" s="4" t="s">
        <v>1073</v>
      </c>
      <c r="R264" s="4"/>
      <c r="S264" s="4"/>
      <c r="T264" s="4"/>
      <c r="U264" s="4"/>
    </row>
    <row r="265" spans="2:21" ht="26.15" hidden="1" customHeight="1">
      <c r="B265" s="2">
        <v>263</v>
      </c>
      <c r="C265" s="3">
        <v>43443</v>
      </c>
      <c r="D265" s="20">
        <v>2018</v>
      </c>
      <c r="E265" s="4" t="s">
        <v>184</v>
      </c>
      <c r="F265" s="5" t="s">
        <v>50</v>
      </c>
      <c r="G265" s="4" t="s">
        <v>1312</v>
      </c>
      <c r="H265" s="4" t="s">
        <v>1313</v>
      </c>
      <c r="I265" s="4" t="s">
        <v>1314</v>
      </c>
      <c r="J265" s="4"/>
      <c r="K265" s="4"/>
      <c r="L265" s="2">
        <v>2013</v>
      </c>
      <c r="M265" s="4" t="s">
        <v>704</v>
      </c>
      <c r="N265" s="5"/>
      <c r="O265" s="4" t="s">
        <v>1315</v>
      </c>
      <c r="P265" s="4" t="s">
        <v>1316</v>
      </c>
      <c r="Q265" s="4"/>
      <c r="R265" s="4"/>
      <c r="S265" s="4"/>
      <c r="T265" s="4"/>
      <c r="U265" s="4"/>
    </row>
    <row r="266" spans="2:21" ht="26.15" hidden="1" customHeight="1">
      <c r="B266" s="2">
        <v>264</v>
      </c>
      <c r="C266" s="3">
        <v>43438</v>
      </c>
      <c r="D266" s="20">
        <v>2018</v>
      </c>
      <c r="E266" s="4" t="s">
        <v>34</v>
      </c>
      <c r="F266" s="5" t="s">
        <v>50</v>
      </c>
      <c r="G266" s="4" t="s">
        <v>1317</v>
      </c>
      <c r="H266" s="4" t="s">
        <v>1318</v>
      </c>
      <c r="I266" s="4" t="s">
        <v>1319</v>
      </c>
      <c r="J266" s="4"/>
      <c r="K266" s="4"/>
      <c r="L266" s="2">
        <v>2014</v>
      </c>
      <c r="M266" s="4" t="s">
        <v>1320</v>
      </c>
      <c r="N266" s="5"/>
      <c r="O266" s="4" t="s">
        <v>1321</v>
      </c>
      <c r="P266" s="4" t="s">
        <v>435</v>
      </c>
      <c r="Q266" s="4"/>
      <c r="R266" s="4"/>
      <c r="S266" s="4"/>
      <c r="T266" s="4"/>
      <c r="U266" s="4"/>
    </row>
    <row r="267" spans="2:21" ht="26.15" hidden="1" customHeight="1">
      <c r="B267" s="2">
        <v>265</v>
      </c>
      <c r="C267" s="3">
        <v>43434</v>
      </c>
      <c r="D267" s="20">
        <v>2018</v>
      </c>
      <c r="E267" s="4" t="s">
        <v>34</v>
      </c>
      <c r="F267" s="5">
        <v>778495</v>
      </c>
      <c r="G267" s="4" t="s">
        <v>1322</v>
      </c>
      <c r="H267" s="4" t="s">
        <v>1323</v>
      </c>
      <c r="I267" s="4" t="s">
        <v>1324</v>
      </c>
      <c r="J267" s="4"/>
      <c r="K267" s="4" t="s">
        <v>1325</v>
      </c>
      <c r="L267" s="2">
        <v>2010</v>
      </c>
      <c r="M267" s="4" t="s">
        <v>1326</v>
      </c>
      <c r="N267" s="5">
        <v>778495</v>
      </c>
      <c r="O267" s="4" t="s">
        <v>1327</v>
      </c>
      <c r="P267" s="4" t="s">
        <v>1328</v>
      </c>
      <c r="Q267" s="4"/>
      <c r="R267" s="4"/>
      <c r="S267" s="4"/>
      <c r="T267" s="4"/>
      <c r="U267" s="4"/>
    </row>
    <row r="268" spans="2:21" ht="26.15" hidden="1" customHeight="1">
      <c r="B268" s="2">
        <v>266</v>
      </c>
      <c r="C268" s="3">
        <v>43430</v>
      </c>
      <c r="D268" s="20">
        <v>2018</v>
      </c>
      <c r="E268" s="4" t="s">
        <v>34</v>
      </c>
      <c r="F268" s="5">
        <v>21261</v>
      </c>
      <c r="G268" s="4" t="s">
        <v>1058</v>
      </c>
      <c r="H268" s="4" t="s">
        <v>1059</v>
      </c>
      <c r="I268" s="4"/>
      <c r="J268" s="4"/>
      <c r="K268" s="4"/>
      <c r="L268" s="2">
        <v>2017</v>
      </c>
      <c r="M268" s="4" t="s">
        <v>313</v>
      </c>
      <c r="N268" s="5">
        <v>101208</v>
      </c>
      <c r="O268" s="4" t="s">
        <v>1061</v>
      </c>
      <c r="P268" s="4" t="s">
        <v>1062</v>
      </c>
      <c r="Q268" s="4"/>
      <c r="R268" s="4"/>
      <c r="S268" s="4"/>
      <c r="T268" s="4"/>
      <c r="U268" s="4"/>
    </row>
    <row r="269" spans="2:21" ht="26.15" hidden="1" customHeight="1">
      <c r="B269" s="2">
        <v>267</v>
      </c>
      <c r="C269" s="3">
        <v>43430</v>
      </c>
      <c r="D269" s="20">
        <v>2018</v>
      </c>
      <c r="E269" s="4" t="s">
        <v>34</v>
      </c>
      <c r="F269" s="5">
        <v>300000</v>
      </c>
      <c r="G269" s="4" t="s">
        <v>512</v>
      </c>
      <c r="H269" s="4" t="s">
        <v>513</v>
      </c>
      <c r="I269" s="4" t="s">
        <v>1329</v>
      </c>
      <c r="J269" s="4"/>
      <c r="K269" s="4"/>
      <c r="L269" s="2">
        <v>2014</v>
      </c>
      <c r="M269" s="4" t="s">
        <v>516</v>
      </c>
      <c r="N269" s="5">
        <v>400000</v>
      </c>
      <c r="O269" s="4" t="s">
        <v>517</v>
      </c>
      <c r="P269" s="4" t="s">
        <v>518</v>
      </c>
      <c r="Q269" s="4"/>
      <c r="R269" s="4"/>
      <c r="S269" s="4"/>
      <c r="T269" s="4"/>
      <c r="U269" s="4"/>
    </row>
    <row r="270" spans="2:21" ht="26.15" hidden="1" customHeight="1">
      <c r="B270" s="2">
        <v>268</v>
      </c>
      <c r="C270" s="3">
        <v>43424</v>
      </c>
      <c r="D270" s="20">
        <v>2018</v>
      </c>
      <c r="E270" s="4" t="s">
        <v>25</v>
      </c>
      <c r="F270" s="5">
        <v>8113650</v>
      </c>
      <c r="G270" s="4" t="s">
        <v>1330</v>
      </c>
      <c r="H270" s="4" t="s">
        <v>1331</v>
      </c>
      <c r="I270" s="4" t="s">
        <v>1332</v>
      </c>
      <c r="J270" s="4"/>
      <c r="K270" s="4" t="s">
        <v>1333</v>
      </c>
      <c r="L270" s="2">
        <v>2010</v>
      </c>
      <c r="M270" s="4" t="s">
        <v>79</v>
      </c>
      <c r="N270" s="5">
        <v>15568800</v>
      </c>
      <c r="O270" s="4" t="s">
        <v>1334</v>
      </c>
      <c r="P270" s="4" t="s">
        <v>1335</v>
      </c>
      <c r="Q270" s="4"/>
      <c r="R270" s="4"/>
      <c r="S270" s="4"/>
      <c r="T270" s="4"/>
      <c r="U270" s="4"/>
    </row>
    <row r="271" spans="2:21" ht="26.15" hidden="1" customHeight="1">
      <c r="B271" s="2">
        <v>269</v>
      </c>
      <c r="C271" s="3">
        <v>43419</v>
      </c>
      <c r="D271" s="20">
        <v>2018</v>
      </c>
      <c r="E271" s="4" t="s">
        <v>25</v>
      </c>
      <c r="F271" s="5">
        <v>10000000</v>
      </c>
      <c r="G271" s="4" t="s">
        <v>473</v>
      </c>
      <c r="H271" s="4" t="s">
        <v>474</v>
      </c>
      <c r="I271" s="4" t="s">
        <v>1336</v>
      </c>
      <c r="J271" s="4" t="s">
        <v>1337</v>
      </c>
      <c r="K271" s="4" t="s">
        <v>1338</v>
      </c>
      <c r="L271" s="2">
        <v>2014</v>
      </c>
      <c r="M271" s="4" t="s">
        <v>39</v>
      </c>
      <c r="N271" s="5">
        <v>46450000</v>
      </c>
      <c r="O271" s="4" t="s">
        <v>475</v>
      </c>
      <c r="P271" s="4" t="s">
        <v>476</v>
      </c>
      <c r="Q271" s="4"/>
      <c r="R271" s="4"/>
      <c r="S271" s="4"/>
      <c r="T271" s="4"/>
      <c r="U271" s="4"/>
    </row>
    <row r="272" spans="2:21" ht="26.15" hidden="1" customHeight="1">
      <c r="B272" s="2">
        <v>270</v>
      </c>
      <c r="C272" s="3">
        <v>43417</v>
      </c>
      <c r="D272" s="20">
        <v>2018</v>
      </c>
      <c r="E272" s="4" t="s">
        <v>109</v>
      </c>
      <c r="F272" s="5">
        <v>4000000</v>
      </c>
      <c r="G272" s="4" t="s">
        <v>210</v>
      </c>
      <c r="H272" s="4" t="s">
        <v>211</v>
      </c>
      <c r="I272" s="4" t="s">
        <v>1339</v>
      </c>
      <c r="J272" s="4"/>
      <c r="K272" s="4" t="s">
        <v>1340</v>
      </c>
      <c r="L272" s="2">
        <v>2013</v>
      </c>
      <c r="M272" s="4" t="s">
        <v>214</v>
      </c>
      <c r="N272" s="5">
        <v>4000000</v>
      </c>
      <c r="O272" s="4" t="s">
        <v>215</v>
      </c>
      <c r="P272" s="4" t="s">
        <v>216</v>
      </c>
      <c r="Q272" s="4"/>
      <c r="R272" s="4"/>
      <c r="S272" s="4"/>
      <c r="T272" s="4"/>
      <c r="U272" s="4"/>
    </row>
    <row r="273" spans="2:21" ht="26.15" hidden="1" customHeight="1">
      <c r="B273" s="2">
        <v>271</v>
      </c>
      <c r="C273" s="3">
        <v>43413</v>
      </c>
      <c r="D273" s="20">
        <v>2018</v>
      </c>
      <c r="E273" s="4" t="s">
        <v>95</v>
      </c>
      <c r="F273" s="5" t="s">
        <v>50</v>
      </c>
      <c r="G273" s="4" t="s">
        <v>1341</v>
      </c>
      <c r="H273" s="4" t="s">
        <v>1342</v>
      </c>
      <c r="I273" s="4" t="s">
        <v>1343</v>
      </c>
      <c r="J273" s="4"/>
      <c r="K273" s="4"/>
      <c r="L273" s="2">
        <v>2006</v>
      </c>
      <c r="M273" s="4" t="s">
        <v>1344</v>
      </c>
      <c r="N273" s="5"/>
      <c r="O273" s="4" t="s">
        <v>1345</v>
      </c>
      <c r="P273" s="4" t="s">
        <v>1346</v>
      </c>
      <c r="Q273" s="4"/>
      <c r="R273" s="4"/>
      <c r="S273" s="4"/>
      <c r="T273" s="4"/>
      <c r="U273" s="4"/>
    </row>
    <row r="274" spans="2:21" ht="26.15" hidden="1" customHeight="1">
      <c r="B274" s="2">
        <v>272</v>
      </c>
      <c r="C274" s="3">
        <v>43412</v>
      </c>
      <c r="D274" s="20">
        <v>2018</v>
      </c>
      <c r="E274" s="4" t="s">
        <v>34</v>
      </c>
      <c r="F274" s="5">
        <v>300000</v>
      </c>
      <c r="G274" s="4" t="s">
        <v>1347</v>
      </c>
      <c r="H274" s="4" t="s">
        <v>1348</v>
      </c>
      <c r="I274" s="4" t="s">
        <v>1349</v>
      </c>
      <c r="J274" s="4"/>
      <c r="K274" s="4"/>
      <c r="L274" s="2">
        <v>2016</v>
      </c>
      <c r="M274" s="4" t="s">
        <v>1350</v>
      </c>
      <c r="N274" s="5">
        <v>300000</v>
      </c>
      <c r="O274" s="4" t="s">
        <v>1351</v>
      </c>
      <c r="P274" s="4" t="s">
        <v>1352</v>
      </c>
      <c r="Q274" s="4"/>
      <c r="R274" s="4"/>
      <c r="S274" s="4"/>
      <c r="T274" s="4"/>
      <c r="U274" s="4"/>
    </row>
    <row r="275" spans="2:21" ht="26.15" hidden="1" customHeight="1">
      <c r="B275" s="2">
        <v>273</v>
      </c>
      <c r="C275" s="3">
        <v>43411</v>
      </c>
      <c r="D275" s="20">
        <v>2018</v>
      </c>
      <c r="E275" s="4" t="s">
        <v>184</v>
      </c>
      <c r="F275" s="5" t="s">
        <v>50</v>
      </c>
      <c r="G275" s="4" t="s">
        <v>1353</v>
      </c>
      <c r="H275" s="4" t="s">
        <v>1354</v>
      </c>
      <c r="I275" s="4" t="s">
        <v>703</v>
      </c>
      <c r="J275" s="4"/>
      <c r="K275" s="4"/>
      <c r="L275" s="2">
        <v>2013</v>
      </c>
      <c r="M275" s="4" t="s">
        <v>1355</v>
      </c>
      <c r="N275" s="5"/>
      <c r="O275" s="4" t="s">
        <v>1356</v>
      </c>
      <c r="P275" s="4" t="s">
        <v>1357</v>
      </c>
      <c r="Q275" s="4"/>
      <c r="R275" s="4"/>
      <c r="S275" s="4"/>
      <c r="T275" s="4"/>
      <c r="U275" s="4"/>
    </row>
    <row r="276" spans="2:21" ht="26.15" hidden="1" customHeight="1">
      <c r="B276" s="2">
        <v>274</v>
      </c>
      <c r="C276" s="3">
        <v>43410</v>
      </c>
      <c r="D276" s="20">
        <v>2018</v>
      </c>
      <c r="E276" s="4" t="s">
        <v>25</v>
      </c>
      <c r="F276" s="5">
        <v>20000000</v>
      </c>
      <c r="G276" s="4" t="s">
        <v>228</v>
      </c>
      <c r="H276" s="4" t="s">
        <v>229</v>
      </c>
      <c r="I276" s="4" t="s">
        <v>1358</v>
      </c>
      <c r="J276" s="4" t="s">
        <v>1359</v>
      </c>
      <c r="K276" s="4" t="s">
        <v>1360</v>
      </c>
      <c r="L276" s="2">
        <v>2015</v>
      </c>
      <c r="M276" s="4" t="s">
        <v>233</v>
      </c>
      <c r="N276" s="5">
        <v>60000000</v>
      </c>
      <c r="O276" s="4" t="s">
        <v>234</v>
      </c>
      <c r="P276" s="4" t="s">
        <v>235</v>
      </c>
      <c r="Q276" s="4"/>
      <c r="R276" s="4"/>
      <c r="S276" s="4"/>
      <c r="T276" s="4"/>
      <c r="U276" s="4"/>
    </row>
    <row r="277" spans="2:21" ht="26.15" hidden="1" customHeight="1">
      <c r="B277" s="2">
        <v>275</v>
      </c>
      <c r="C277" s="3">
        <v>43406</v>
      </c>
      <c r="D277" s="20">
        <v>2018</v>
      </c>
      <c r="E277" s="4" t="s">
        <v>34</v>
      </c>
      <c r="F277" s="5">
        <v>100000</v>
      </c>
      <c r="G277" s="4" t="s">
        <v>1361</v>
      </c>
      <c r="H277" s="4" t="s">
        <v>1362</v>
      </c>
      <c r="I277" s="4" t="s">
        <v>1363</v>
      </c>
      <c r="J277" s="4"/>
      <c r="K277" s="4" t="s">
        <v>1364</v>
      </c>
      <c r="L277" s="2">
        <v>2018</v>
      </c>
      <c r="M277" s="4" t="s">
        <v>1285</v>
      </c>
      <c r="N277" s="5">
        <v>100000</v>
      </c>
      <c r="O277" s="4" t="s">
        <v>1365</v>
      </c>
      <c r="P277" s="4" t="s">
        <v>1366</v>
      </c>
      <c r="Q277" s="4"/>
      <c r="R277" s="4"/>
      <c r="S277" s="4"/>
      <c r="T277" s="4"/>
      <c r="U277" s="4"/>
    </row>
    <row r="278" spans="2:21" ht="26.15" hidden="1" customHeight="1">
      <c r="B278" s="2">
        <v>276</v>
      </c>
      <c r="C278" s="3">
        <v>43405</v>
      </c>
      <c r="D278" s="20">
        <v>2018</v>
      </c>
      <c r="E278" s="4" t="s">
        <v>34</v>
      </c>
      <c r="F278" s="5">
        <v>100000</v>
      </c>
      <c r="G278" s="4" t="s">
        <v>1367</v>
      </c>
      <c r="H278" s="4" t="s">
        <v>1368</v>
      </c>
      <c r="I278" s="4" t="s">
        <v>1369</v>
      </c>
      <c r="J278" s="4"/>
      <c r="K278" s="4" t="s">
        <v>1370</v>
      </c>
      <c r="L278" s="2">
        <v>2018</v>
      </c>
      <c r="M278" s="4" t="s">
        <v>1285</v>
      </c>
      <c r="N278" s="5">
        <v>100000</v>
      </c>
      <c r="O278" s="4" t="s">
        <v>1371</v>
      </c>
      <c r="P278" s="4" t="s">
        <v>1372</v>
      </c>
      <c r="Q278" s="4" t="s">
        <v>1363</v>
      </c>
      <c r="R278" s="4"/>
      <c r="S278" s="4"/>
      <c r="T278" s="4"/>
      <c r="U278" s="4"/>
    </row>
    <row r="279" spans="2:21" ht="26.15" hidden="1" customHeight="1">
      <c r="B279" s="2">
        <v>277</v>
      </c>
      <c r="C279" s="3">
        <v>43405</v>
      </c>
      <c r="D279" s="20">
        <v>2018</v>
      </c>
      <c r="E279" s="4" t="s">
        <v>34</v>
      </c>
      <c r="F279" s="5">
        <v>100000</v>
      </c>
      <c r="G279" s="4" t="s">
        <v>1373</v>
      </c>
      <c r="H279" s="4" t="s">
        <v>1374</v>
      </c>
      <c r="I279" s="4" t="s">
        <v>1375</v>
      </c>
      <c r="J279" s="4"/>
      <c r="K279" s="4"/>
      <c r="L279" s="2">
        <v>2016</v>
      </c>
      <c r="M279" s="4" t="s">
        <v>1376</v>
      </c>
      <c r="N279" s="5">
        <v>100000</v>
      </c>
      <c r="O279" s="4" t="s">
        <v>1365</v>
      </c>
      <c r="P279" s="4" t="s">
        <v>1377</v>
      </c>
      <c r="Q279" s="4"/>
      <c r="R279" s="4"/>
      <c r="S279" s="4"/>
      <c r="T279" s="4"/>
      <c r="U279" s="4"/>
    </row>
    <row r="280" spans="2:21" ht="26.15" hidden="1" customHeight="1">
      <c r="B280" s="2">
        <v>278</v>
      </c>
      <c r="C280" s="3">
        <v>43405</v>
      </c>
      <c r="D280" s="20">
        <v>2018</v>
      </c>
      <c r="E280" s="4" t="s">
        <v>34</v>
      </c>
      <c r="F280" s="5">
        <v>243579</v>
      </c>
      <c r="G280" s="4" t="s">
        <v>391</v>
      </c>
      <c r="H280" s="4" t="s">
        <v>392</v>
      </c>
      <c r="I280" s="4" t="s">
        <v>1378</v>
      </c>
      <c r="J280" s="4" t="s">
        <v>1379</v>
      </c>
      <c r="K280" s="4" t="s">
        <v>1380</v>
      </c>
      <c r="L280" s="2">
        <v>2017</v>
      </c>
      <c r="M280" s="4" t="s">
        <v>395</v>
      </c>
      <c r="N280" s="5">
        <v>751549</v>
      </c>
      <c r="O280" s="4" t="s">
        <v>396</v>
      </c>
      <c r="P280" s="4" t="s">
        <v>397</v>
      </c>
      <c r="Q280" s="4"/>
      <c r="R280" s="4"/>
      <c r="S280" s="4"/>
      <c r="T280" s="4"/>
      <c r="U280" s="4"/>
    </row>
    <row r="281" spans="2:21" ht="26.15" hidden="1" customHeight="1">
      <c r="B281" s="2">
        <v>279</v>
      </c>
      <c r="C281" s="3">
        <v>43403</v>
      </c>
      <c r="D281" s="20">
        <v>2018</v>
      </c>
      <c r="E281" s="4" t="s">
        <v>184</v>
      </c>
      <c r="F281" s="5">
        <v>1090000</v>
      </c>
      <c r="G281" s="4" t="s">
        <v>385</v>
      </c>
      <c r="H281" s="4" t="s">
        <v>386</v>
      </c>
      <c r="I281" s="4" t="s">
        <v>1381</v>
      </c>
      <c r="J281" s="4"/>
      <c r="K281" s="4"/>
      <c r="L281" s="2">
        <v>2016</v>
      </c>
      <c r="M281" s="4" t="s">
        <v>39</v>
      </c>
      <c r="N281" s="5">
        <v>14260613</v>
      </c>
      <c r="O281" s="4" t="s">
        <v>389</v>
      </c>
      <c r="P281" s="4" t="s">
        <v>390</v>
      </c>
      <c r="Q281" s="4"/>
      <c r="R281" s="4"/>
      <c r="S281" s="4"/>
      <c r="T281" s="4"/>
      <c r="U281" s="4"/>
    </row>
    <row r="282" spans="2:21" ht="26.15" hidden="1" customHeight="1">
      <c r="B282" s="2">
        <v>280</v>
      </c>
      <c r="C282" s="3">
        <v>43403</v>
      </c>
      <c r="D282" s="20">
        <v>2018</v>
      </c>
      <c r="E282" s="4" t="s">
        <v>184</v>
      </c>
      <c r="F282" s="5">
        <v>692000</v>
      </c>
      <c r="G282" s="4" t="s">
        <v>963</v>
      </c>
      <c r="H282" s="4" t="s">
        <v>964</v>
      </c>
      <c r="I282" s="4" t="s">
        <v>1381</v>
      </c>
      <c r="J282" s="4"/>
      <c r="K282" s="4"/>
      <c r="L282" s="2">
        <v>2003</v>
      </c>
      <c r="M282" s="4" t="s">
        <v>966</v>
      </c>
      <c r="N282" s="5"/>
      <c r="O282" s="4" t="s">
        <v>967</v>
      </c>
      <c r="P282" s="4" t="s">
        <v>968</v>
      </c>
      <c r="Q282" s="4"/>
      <c r="R282" s="4"/>
      <c r="S282" s="4"/>
      <c r="T282" s="4"/>
      <c r="U282" s="4"/>
    </row>
    <row r="283" spans="2:21" ht="26.15" hidden="1" customHeight="1">
      <c r="B283" s="2">
        <v>281</v>
      </c>
      <c r="C283" s="3">
        <v>43397</v>
      </c>
      <c r="D283" s="20">
        <v>2018</v>
      </c>
      <c r="E283" s="4" t="s">
        <v>34</v>
      </c>
      <c r="F283" s="5" t="s">
        <v>50</v>
      </c>
      <c r="G283" s="4" t="s">
        <v>1382</v>
      </c>
      <c r="H283" s="4" t="s">
        <v>1383</v>
      </c>
      <c r="I283" s="4"/>
      <c r="J283" s="4"/>
      <c r="K283" s="4"/>
      <c r="L283" s="2">
        <v>2016</v>
      </c>
      <c r="M283" s="4" t="s">
        <v>1384</v>
      </c>
      <c r="N283" s="5"/>
      <c r="O283" s="4" t="s">
        <v>1385</v>
      </c>
      <c r="P283" s="4" t="s">
        <v>1386</v>
      </c>
      <c r="Q283" s="4"/>
      <c r="R283" s="4"/>
      <c r="S283" s="4"/>
      <c r="T283" s="4"/>
      <c r="U283" s="4"/>
    </row>
    <row r="284" spans="2:21" ht="26.15" hidden="1" customHeight="1">
      <c r="B284" s="2">
        <v>282</v>
      </c>
      <c r="C284" s="3">
        <v>43396</v>
      </c>
      <c r="D284" s="20">
        <v>2018</v>
      </c>
      <c r="E284" s="4" t="s">
        <v>124</v>
      </c>
      <c r="F284" s="5">
        <v>720349</v>
      </c>
      <c r="G284" s="4" t="s">
        <v>1387</v>
      </c>
      <c r="H284" s="4" t="s">
        <v>1388</v>
      </c>
      <c r="I284" s="4"/>
      <c r="J284" s="4"/>
      <c r="K284" s="4"/>
      <c r="L284" s="2">
        <v>2018</v>
      </c>
      <c r="M284" s="4" t="s">
        <v>894</v>
      </c>
      <c r="N284" s="5">
        <v>720349</v>
      </c>
      <c r="O284" s="4" t="s">
        <v>1389</v>
      </c>
      <c r="P284" s="4" t="s">
        <v>1390</v>
      </c>
      <c r="Q284" s="4"/>
      <c r="R284" s="4"/>
      <c r="S284" s="4"/>
      <c r="T284" s="4"/>
      <c r="U284" s="4"/>
    </row>
    <row r="285" spans="2:21" ht="26.15" hidden="1" customHeight="1">
      <c r="B285" s="2">
        <v>283</v>
      </c>
      <c r="C285" s="3">
        <v>43389</v>
      </c>
      <c r="D285" s="20">
        <v>2018</v>
      </c>
      <c r="E285" s="4" t="s">
        <v>289</v>
      </c>
      <c r="F285" s="5">
        <v>1500000</v>
      </c>
      <c r="G285" s="4" t="s">
        <v>266</v>
      </c>
      <c r="H285" s="4" t="s">
        <v>267</v>
      </c>
      <c r="I285" s="4" t="s">
        <v>1391</v>
      </c>
      <c r="J285" s="4"/>
      <c r="K285" s="4"/>
      <c r="L285" s="2">
        <v>2008</v>
      </c>
      <c r="M285" s="4" t="s">
        <v>270</v>
      </c>
      <c r="N285" s="5">
        <v>14000000</v>
      </c>
      <c r="O285" s="4" t="s">
        <v>271</v>
      </c>
      <c r="P285" s="4" t="s">
        <v>272</v>
      </c>
      <c r="Q285" s="4"/>
      <c r="R285" s="4"/>
      <c r="S285" s="4"/>
      <c r="T285" s="4"/>
      <c r="U285" s="4"/>
    </row>
    <row r="286" spans="2:21" ht="26.15" hidden="1" customHeight="1">
      <c r="B286" s="2">
        <v>284</v>
      </c>
      <c r="C286" s="3">
        <v>43389</v>
      </c>
      <c r="D286" s="20">
        <v>2018</v>
      </c>
      <c r="E286" s="4" t="s">
        <v>34</v>
      </c>
      <c r="F286" s="5">
        <v>75000</v>
      </c>
      <c r="G286" s="4" t="s">
        <v>1392</v>
      </c>
      <c r="H286" s="4" t="s">
        <v>1393</v>
      </c>
      <c r="I286" s="4" t="s">
        <v>1394</v>
      </c>
      <c r="J286" s="4"/>
      <c r="K286" s="4" t="s">
        <v>1395</v>
      </c>
      <c r="L286" s="2">
        <v>2015</v>
      </c>
      <c r="M286" s="4" t="s">
        <v>1396</v>
      </c>
      <c r="N286" s="5">
        <v>75000</v>
      </c>
      <c r="O286" s="4" t="s">
        <v>1397</v>
      </c>
      <c r="P286" s="4" t="s">
        <v>1398</v>
      </c>
      <c r="Q286" s="4"/>
      <c r="R286" s="4"/>
      <c r="S286" s="4"/>
      <c r="T286" s="4"/>
      <c r="U286" s="4"/>
    </row>
    <row r="287" spans="2:21" ht="26.15" hidden="1" customHeight="1">
      <c r="B287" s="2">
        <v>285</v>
      </c>
      <c r="C287" s="3">
        <v>43389</v>
      </c>
      <c r="D287" s="20">
        <v>2018</v>
      </c>
      <c r="E287" s="4" t="s">
        <v>109</v>
      </c>
      <c r="F287" s="5">
        <v>216721</v>
      </c>
      <c r="G287" s="4" t="s">
        <v>622</v>
      </c>
      <c r="H287" s="4" t="s">
        <v>623</v>
      </c>
      <c r="I287" s="4" t="s">
        <v>1399</v>
      </c>
      <c r="J287" s="4"/>
      <c r="K287" s="4" t="s">
        <v>1400</v>
      </c>
      <c r="L287" s="2">
        <v>2011</v>
      </c>
      <c r="M287" s="4" t="s">
        <v>79</v>
      </c>
      <c r="N287" s="5">
        <v>3574388</v>
      </c>
      <c r="O287" s="4" t="s">
        <v>625</v>
      </c>
      <c r="P287" s="4" t="s">
        <v>626</v>
      </c>
      <c r="Q287" s="4"/>
      <c r="R287" s="4"/>
      <c r="S287" s="4"/>
      <c r="T287" s="4"/>
      <c r="U287" s="4"/>
    </row>
    <row r="288" spans="2:21" ht="26.15" hidden="1" customHeight="1">
      <c r="B288" s="2">
        <v>286</v>
      </c>
      <c r="C288" s="3">
        <v>43389</v>
      </c>
      <c r="D288" s="20">
        <v>2018</v>
      </c>
      <c r="E288" s="4" t="s">
        <v>34</v>
      </c>
      <c r="F288" s="5">
        <v>176086</v>
      </c>
      <c r="G288" s="4" t="s">
        <v>146</v>
      </c>
      <c r="H288" s="4" t="s">
        <v>147</v>
      </c>
      <c r="I288" s="4" t="s">
        <v>1401</v>
      </c>
      <c r="J288" s="4" t="s">
        <v>1402</v>
      </c>
      <c r="K288" s="4" t="s">
        <v>1403</v>
      </c>
      <c r="L288" s="2">
        <v>2015</v>
      </c>
      <c r="M288" s="4" t="s">
        <v>150</v>
      </c>
      <c r="N288" s="5">
        <v>883280</v>
      </c>
      <c r="O288" s="4" t="s">
        <v>151</v>
      </c>
      <c r="P288" s="4" t="s">
        <v>152</v>
      </c>
      <c r="Q288" s="4" t="s">
        <v>1404</v>
      </c>
      <c r="R288" s="4"/>
      <c r="S288" s="4"/>
      <c r="T288" s="4"/>
      <c r="U288" s="4"/>
    </row>
    <row r="289" spans="2:21" ht="26.15" hidden="1" customHeight="1">
      <c r="B289" s="2">
        <v>287</v>
      </c>
      <c r="C289" s="3">
        <v>43388</v>
      </c>
      <c r="D289" s="20">
        <v>2018</v>
      </c>
      <c r="E289" s="4" t="s">
        <v>34</v>
      </c>
      <c r="F289" s="5" t="s">
        <v>50</v>
      </c>
      <c r="G289" s="4" t="s">
        <v>829</v>
      </c>
      <c r="H289" s="4" t="s">
        <v>830</v>
      </c>
      <c r="I289" s="4" t="s">
        <v>1405</v>
      </c>
      <c r="J289" s="4"/>
      <c r="K289" s="4" t="s">
        <v>1406</v>
      </c>
      <c r="L289" s="2">
        <v>2015</v>
      </c>
      <c r="M289" s="4" t="s">
        <v>207</v>
      </c>
      <c r="N289" s="5">
        <v>1070000</v>
      </c>
      <c r="O289" s="4" t="s">
        <v>833</v>
      </c>
      <c r="P289" s="4" t="s">
        <v>834</v>
      </c>
      <c r="Q289" s="4"/>
      <c r="R289" s="4"/>
      <c r="S289" s="4"/>
      <c r="T289" s="4"/>
      <c r="U289" s="4"/>
    </row>
    <row r="290" spans="2:21" ht="26.15" hidden="1" customHeight="1">
      <c r="B290" s="2">
        <v>288</v>
      </c>
      <c r="C290" s="3">
        <v>43382</v>
      </c>
      <c r="D290" s="20">
        <v>2018</v>
      </c>
      <c r="E290" s="4" t="s">
        <v>170</v>
      </c>
      <c r="F290" s="5" t="s">
        <v>50</v>
      </c>
      <c r="G290" s="4" t="s">
        <v>1407</v>
      </c>
      <c r="H290" s="4" t="s">
        <v>1408</v>
      </c>
      <c r="I290" s="4"/>
      <c r="J290" s="4"/>
      <c r="K290" s="4"/>
      <c r="L290" s="2">
        <v>1969</v>
      </c>
      <c r="M290" s="4" t="s">
        <v>313</v>
      </c>
      <c r="N290" s="5"/>
      <c r="O290" s="4" t="s">
        <v>1409</v>
      </c>
      <c r="P290" s="4" t="s">
        <v>672</v>
      </c>
      <c r="Q290" s="4"/>
      <c r="R290" s="4"/>
      <c r="S290" s="4"/>
      <c r="T290" s="4"/>
      <c r="U290" s="4"/>
    </row>
    <row r="291" spans="2:21" ht="26.15" hidden="1" customHeight="1">
      <c r="B291" s="2">
        <v>289</v>
      </c>
      <c r="C291" s="3">
        <v>43382</v>
      </c>
      <c r="D291" s="20">
        <v>2018</v>
      </c>
      <c r="E291" s="4" t="s">
        <v>1410</v>
      </c>
      <c r="F291" s="5">
        <v>600000000</v>
      </c>
      <c r="G291" s="4" t="s">
        <v>1411</v>
      </c>
      <c r="H291" s="4" t="s">
        <v>1412</v>
      </c>
      <c r="I291" s="4" t="s">
        <v>1413</v>
      </c>
      <c r="J291" s="4"/>
      <c r="K291" s="4" t="s">
        <v>1414</v>
      </c>
      <c r="L291" s="2">
        <v>2014</v>
      </c>
      <c r="M291" s="4" t="s">
        <v>278</v>
      </c>
      <c r="N291" s="5">
        <v>1303000000</v>
      </c>
      <c r="O291" s="4" t="s">
        <v>1415</v>
      </c>
      <c r="P291" s="4" t="s">
        <v>1416</v>
      </c>
      <c r="Q291" s="4"/>
      <c r="R291" s="4"/>
      <c r="S291" s="4"/>
      <c r="T291" s="4"/>
      <c r="U291" s="4"/>
    </row>
    <row r="292" spans="2:21" ht="26.15" hidden="1" customHeight="1">
      <c r="B292" s="2">
        <v>290</v>
      </c>
      <c r="C292" s="3">
        <v>43379</v>
      </c>
      <c r="D292" s="20">
        <v>2018</v>
      </c>
      <c r="E292" s="4" t="s">
        <v>109</v>
      </c>
      <c r="F292" s="5">
        <v>2800000</v>
      </c>
      <c r="G292" s="4" t="s">
        <v>1417</v>
      </c>
      <c r="H292" s="4" t="s">
        <v>1418</v>
      </c>
      <c r="I292" s="4" t="s">
        <v>1419</v>
      </c>
      <c r="J292" s="4" t="s">
        <v>1420</v>
      </c>
      <c r="K292" s="4" t="s">
        <v>1421</v>
      </c>
      <c r="L292" s="2">
        <v>2015</v>
      </c>
      <c r="M292" s="4" t="s">
        <v>157</v>
      </c>
      <c r="N292" s="5">
        <v>2800000</v>
      </c>
      <c r="O292" s="4" t="s">
        <v>1422</v>
      </c>
      <c r="P292" s="4" t="s">
        <v>1423</v>
      </c>
      <c r="Q292" s="4"/>
      <c r="R292" s="4"/>
      <c r="S292" s="4"/>
      <c r="T292" s="4"/>
      <c r="U292" s="4"/>
    </row>
    <row r="293" spans="2:21" ht="26.15" hidden="1" customHeight="1">
      <c r="B293" s="2">
        <v>291</v>
      </c>
      <c r="C293" s="3">
        <v>43370</v>
      </c>
      <c r="D293" s="20">
        <v>2018</v>
      </c>
      <c r="E293" s="4" t="s">
        <v>25</v>
      </c>
      <c r="F293" s="5">
        <v>7270620</v>
      </c>
      <c r="G293" s="4" t="s">
        <v>1424</v>
      </c>
      <c r="H293" s="4" t="s">
        <v>1425</v>
      </c>
      <c r="I293" s="4" t="s">
        <v>1426</v>
      </c>
      <c r="J293" s="4"/>
      <c r="K293" s="4"/>
      <c r="L293" s="2">
        <v>2004</v>
      </c>
      <c r="M293" s="4" t="s">
        <v>1427</v>
      </c>
      <c r="N293" s="5">
        <v>7270620</v>
      </c>
      <c r="O293" s="4" t="s">
        <v>1428</v>
      </c>
      <c r="P293" s="4" t="s">
        <v>1429</v>
      </c>
      <c r="Q293" s="4"/>
      <c r="R293" s="4"/>
      <c r="S293" s="4"/>
      <c r="T293" s="4"/>
      <c r="U293" s="4"/>
    </row>
    <row r="294" spans="2:21" ht="26.15" hidden="1" customHeight="1">
      <c r="B294" s="2">
        <v>292</v>
      </c>
      <c r="C294" s="3">
        <v>43369</v>
      </c>
      <c r="D294" s="20">
        <v>2018</v>
      </c>
      <c r="E294" s="4" t="s">
        <v>95</v>
      </c>
      <c r="F294" s="5">
        <v>25000000</v>
      </c>
      <c r="G294" s="4" t="s">
        <v>628</v>
      </c>
      <c r="H294" s="4" t="s">
        <v>629</v>
      </c>
      <c r="I294" s="4" t="s">
        <v>1430</v>
      </c>
      <c r="J294" s="4" t="s">
        <v>1431</v>
      </c>
      <c r="K294" s="4" t="s">
        <v>1432</v>
      </c>
      <c r="L294" s="2">
        <v>2015</v>
      </c>
      <c r="M294" s="4" t="s">
        <v>79</v>
      </c>
      <c r="N294" s="5">
        <v>94500000</v>
      </c>
      <c r="O294" s="4" t="s">
        <v>632</v>
      </c>
      <c r="P294" s="4" t="s">
        <v>633</v>
      </c>
      <c r="Q294" s="4" t="s">
        <v>1433</v>
      </c>
      <c r="R294" s="4"/>
      <c r="S294" s="4"/>
      <c r="T294" s="4"/>
      <c r="U294" s="4"/>
    </row>
    <row r="295" spans="2:21" ht="26.15" hidden="1" customHeight="1">
      <c r="B295" s="2">
        <v>293</v>
      </c>
      <c r="C295" s="3">
        <v>43368</v>
      </c>
      <c r="D295" s="20">
        <v>2018</v>
      </c>
      <c r="E295" s="4" t="s">
        <v>34</v>
      </c>
      <c r="F295" s="5">
        <v>1475750</v>
      </c>
      <c r="G295" s="4" t="s">
        <v>1434</v>
      </c>
      <c r="H295" s="4" t="s">
        <v>1435</v>
      </c>
      <c r="I295" s="4" t="s">
        <v>1436</v>
      </c>
      <c r="J295" s="4"/>
      <c r="K295" s="4"/>
      <c r="L295" s="2">
        <v>2015</v>
      </c>
      <c r="M295" s="4" t="s">
        <v>584</v>
      </c>
      <c r="N295" s="5">
        <v>1475750</v>
      </c>
      <c r="O295" s="4" t="s">
        <v>1437</v>
      </c>
      <c r="P295" s="4" t="s">
        <v>1438</v>
      </c>
      <c r="Q295" s="4"/>
      <c r="R295" s="4"/>
      <c r="S295" s="4"/>
      <c r="T295" s="4"/>
      <c r="U295" s="4"/>
    </row>
    <row r="296" spans="2:21" ht="26.15" hidden="1" customHeight="1">
      <c r="B296" s="2">
        <v>294</v>
      </c>
      <c r="C296" s="3">
        <v>43362</v>
      </c>
      <c r="D296" s="20">
        <v>2018</v>
      </c>
      <c r="E296" s="4" t="s">
        <v>184</v>
      </c>
      <c r="F296" s="5">
        <v>100000</v>
      </c>
      <c r="G296" s="4" t="s">
        <v>1011</v>
      </c>
      <c r="H296" s="4" t="s">
        <v>1012</v>
      </c>
      <c r="I296" s="4" t="s">
        <v>1439</v>
      </c>
      <c r="J296" s="4"/>
      <c r="K296" s="4"/>
      <c r="L296" s="2">
        <v>2017</v>
      </c>
      <c r="M296" s="4" t="s">
        <v>1015</v>
      </c>
      <c r="N296" s="5">
        <v>100000</v>
      </c>
      <c r="O296" s="4" t="s">
        <v>1016</v>
      </c>
      <c r="P296" s="4" t="s">
        <v>1017</v>
      </c>
      <c r="Q296" s="4"/>
      <c r="R296" s="4"/>
      <c r="S296" s="4"/>
      <c r="T296" s="4"/>
      <c r="U296" s="4"/>
    </row>
    <row r="297" spans="2:21" ht="26.15" customHeight="1">
      <c r="B297" s="2">
        <v>295</v>
      </c>
      <c r="C297" s="3">
        <v>43360</v>
      </c>
      <c r="D297" s="20">
        <v>2018</v>
      </c>
      <c r="E297" s="4" t="s">
        <v>34</v>
      </c>
      <c r="F297" s="5">
        <v>2000000</v>
      </c>
      <c r="G297" s="4" t="s">
        <v>1100</v>
      </c>
      <c r="H297" s="4" t="s">
        <v>1101</v>
      </c>
      <c r="I297" s="4" t="s">
        <v>1440</v>
      </c>
      <c r="J297" s="4"/>
      <c r="K297" s="4" t="s">
        <v>1441</v>
      </c>
      <c r="L297" s="2">
        <v>2015</v>
      </c>
      <c r="M297" s="4" t="s">
        <v>1103</v>
      </c>
      <c r="N297" s="5">
        <v>2000000</v>
      </c>
      <c r="O297" s="4" t="s">
        <v>1104</v>
      </c>
      <c r="P297" s="4" t="s">
        <v>1105</v>
      </c>
      <c r="Q297" s="4"/>
      <c r="R297" s="4"/>
      <c r="S297" s="4"/>
      <c r="T297" s="4"/>
      <c r="U297" s="4"/>
    </row>
    <row r="298" spans="2:21" ht="26.15" hidden="1" customHeight="1">
      <c r="B298" s="2">
        <v>296</v>
      </c>
      <c r="C298" s="3">
        <v>43356</v>
      </c>
      <c r="D298" s="20">
        <v>2018</v>
      </c>
      <c r="E298" s="4" t="s">
        <v>528</v>
      </c>
      <c r="F298" s="5" t="s">
        <v>50</v>
      </c>
      <c r="G298" s="4" t="s">
        <v>1442</v>
      </c>
      <c r="H298" s="4" t="s">
        <v>1443</v>
      </c>
      <c r="I298" s="4" t="s">
        <v>1444</v>
      </c>
      <c r="J298" s="4"/>
      <c r="K298" s="4"/>
      <c r="L298" s="2">
        <v>2001</v>
      </c>
      <c r="M298" s="4" t="s">
        <v>1445</v>
      </c>
      <c r="N298" s="5"/>
      <c r="O298" s="4" t="s">
        <v>1446</v>
      </c>
      <c r="P298" s="4" t="s">
        <v>1447</v>
      </c>
      <c r="Q298" s="4"/>
      <c r="R298" s="4"/>
      <c r="S298" s="4"/>
      <c r="T298" s="4"/>
      <c r="U298" s="4"/>
    </row>
    <row r="299" spans="2:21" ht="26.15" hidden="1" customHeight="1">
      <c r="B299" s="2">
        <v>297</v>
      </c>
      <c r="C299" s="3">
        <v>43355</v>
      </c>
      <c r="D299" s="20">
        <v>2018</v>
      </c>
      <c r="E299" s="4" t="s">
        <v>184</v>
      </c>
      <c r="F299" s="5" t="s">
        <v>50</v>
      </c>
      <c r="G299" s="4" t="s">
        <v>1448</v>
      </c>
      <c r="H299" s="4" t="s">
        <v>1449</v>
      </c>
      <c r="I299" s="4" t="s">
        <v>907</v>
      </c>
      <c r="J299" s="4"/>
      <c r="K299" s="4"/>
      <c r="L299" s="2">
        <v>2016</v>
      </c>
      <c r="M299" s="4" t="s">
        <v>1450</v>
      </c>
      <c r="N299" s="5">
        <v>114859</v>
      </c>
      <c r="O299" s="4" t="s">
        <v>1451</v>
      </c>
      <c r="P299" s="4" t="s">
        <v>1452</v>
      </c>
      <c r="Q299" s="4"/>
      <c r="R299" s="4"/>
      <c r="S299" s="4"/>
      <c r="T299" s="4"/>
      <c r="U299" s="4"/>
    </row>
    <row r="300" spans="2:21" ht="26.15" hidden="1" customHeight="1">
      <c r="B300" s="2">
        <v>298</v>
      </c>
      <c r="C300" s="3">
        <v>43354</v>
      </c>
      <c r="D300" s="20">
        <v>2018</v>
      </c>
      <c r="E300" s="4" t="s">
        <v>184</v>
      </c>
      <c r="F300" s="5" t="s">
        <v>50</v>
      </c>
      <c r="G300" s="4" t="s">
        <v>1453</v>
      </c>
      <c r="H300" s="4" t="s">
        <v>1454</v>
      </c>
      <c r="I300" s="4" t="s">
        <v>907</v>
      </c>
      <c r="J300" s="4"/>
      <c r="K300" s="4"/>
      <c r="L300" s="2">
        <v>2017</v>
      </c>
      <c r="M300" s="4" t="s">
        <v>79</v>
      </c>
      <c r="N300" s="5"/>
      <c r="O300" s="4" t="s">
        <v>1455</v>
      </c>
      <c r="P300" s="4" t="s">
        <v>1456</v>
      </c>
      <c r="Q300" s="4"/>
      <c r="R300" s="4"/>
      <c r="S300" s="4"/>
      <c r="T300" s="4"/>
      <c r="U300" s="4"/>
    </row>
    <row r="301" spans="2:21" ht="26.15" hidden="1" customHeight="1">
      <c r="B301" s="2">
        <v>299</v>
      </c>
      <c r="C301" s="3">
        <v>43353</v>
      </c>
      <c r="D301" s="20">
        <v>2018</v>
      </c>
      <c r="E301" s="4" t="s">
        <v>34</v>
      </c>
      <c r="F301" s="5" t="s">
        <v>50</v>
      </c>
      <c r="G301" s="4" t="s">
        <v>1457</v>
      </c>
      <c r="H301" s="4" t="s">
        <v>1458</v>
      </c>
      <c r="I301" s="4" t="s">
        <v>1459</v>
      </c>
      <c r="J301" s="4"/>
      <c r="K301" s="4"/>
      <c r="L301" s="2">
        <v>2018</v>
      </c>
      <c r="M301" s="4" t="s">
        <v>704</v>
      </c>
      <c r="N301" s="5"/>
      <c r="O301" s="4" t="s">
        <v>1460</v>
      </c>
      <c r="P301" s="4" t="s">
        <v>1461</v>
      </c>
      <c r="Q301" s="4"/>
      <c r="R301" s="4"/>
      <c r="S301" s="4"/>
      <c r="T301" s="4"/>
      <c r="U301" s="4"/>
    </row>
    <row r="302" spans="2:21" ht="26.15" hidden="1" customHeight="1">
      <c r="B302" s="2">
        <v>300</v>
      </c>
      <c r="C302" s="3">
        <v>43348</v>
      </c>
      <c r="D302" s="20">
        <v>2018</v>
      </c>
      <c r="E302" s="4" t="s">
        <v>34</v>
      </c>
      <c r="F302" s="5">
        <v>699674</v>
      </c>
      <c r="G302" s="4" t="s">
        <v>749</v>
      </c>
      <c r="H302" s="4" t="s">
        <v>750</v>
      </c>
      <c r="I302" s="4"/>
      <c r="J302" s="4"/>
      <c r="K302" s="4"/>
      <c r="L302" s="2">
        <v>2012</v>
      </c>
      <c r="M302" s="4" t="s">
        <v>79</v>
      </c>
      <c r="N302" s="5">
        <v>2740519</v>
      </c>
      <c r="O302" s="4" t="s">
        <v>751</v>
      </c>
      <c r="P302" s="4" t="s">
        <v>752</v>
      </c>
      <c r="Q302" s="4"/>
      <c r="R302" s="4"/>
      <c r="S302" s="4"/>
      <c r="T302" s="4"/>
      <c r="U302" s="4"/>
    </row>
    <row r="303" spans="2:21" ht="26.15" hidden="1" customHeight="1">
      <c r="B303" s="2">
        <v>301</v>
      </c>
      <c r="C303" s="3">
        <v>43342</v>
      </c>
      <c r="D303" s="20">
        <v>2018</v>
      </c>
      <c r="E303" s="4" t="s">
        <v>34</v>
      </c>
      <c r="F303" s="5">
        <v>732942</v>
      </c>
      <c r="G303" s="4" t="s">
        <v>1462</v>
      </c>
      <c r="H303" s="4" t="s">
        <v>1463</v>
      </c>
      <c r="I303" s="4"/>
      <c r="J303" s="4"/>
      <c r="K303" s="4"/>
      <c r="L303" s="2">
        <v>2015</v>
      </c>
      <c r="M303" s="4" t="s">
        <v>894</v>
      </c>
      <c r="N303" s="5">
        <v>732942</v>
      </c>
      <c r="O303" s="4" t="s">
        <v>1464</v>
      </c>
      <c r="P303" s="4" t="s">
        <v>1465</v>
      </c>
      <c r="Q303" s="4"/>
      <c r="R303" s="4"/>
      <c r="S303" s="4"/>
      <c r="T303" s="4"/>
      <c r="U303" s="4"/>
    </row>
    <row r="304" spans="2:21" ht="26.15" hidden="1" customHeight="1">
      <c r="B304" s="2">
        <v>302</v>
      </c>
      <c r="C304" s="3">
        <v>43341</v>
      </c>
      <c r="D304" s="20">
        <v>2018</v>
      </c>
      <c r="E304" s="4" t="s">
        <v>34</v>
      </c>
      <c r="F304" s="5">
        <v>107546</v>
      </c>
      <c r="G304" s="4" t="s">
        <v>217</v>
      </c>
      <c r="H304" s="4" t="s">
        <v>218</v>
      </c>
      <c r="I304" s="4" t="s">
        <v>1466</v>
      </c>
      <c r="J304" s="4"/>
      <c r="K304" s="4" t="s">
        <v>1467</v>
      </c>
      <c r="L304" s="2">
        <v>2015</v>
      </c>
      <c r="M304" s="4" t="s">
        <v>79</v>
      </c>
      <c r="N304" s="5">
        <v>2569628</v>
      </c>
      <c r="O304" s="4" t="s">
        <v>221</v>
      </c>
      <c r="P304" s="4" t="s">
        <v>222</v>
      </c>
      <c r="Q304" s="4"/>
      <c r="R304" s="4"/>
      <c r="S304" s="4"/>
      <c r="T304" s="4"/>
      <c r="U304" s="4"/>
    </row>
    <row r="305" spans="2:21" ht="26.15" hidden="1" customHeight="1">
      <c r="B305" s="2">
        <v>303</v>
      </c>
      <c r="C305" s="3">
        <v>43337</v>
      </c>
      <c r="D305" s="20">
        <v>2018</v>
      </c>
      <c r="E305" s="4" t="s">
        <v>34</v>
      </c>
      <c r="F305" s="5">
        <v>27847</v>
      </c>
      <c r="G305" s="4" t="s">
        <v>835</v>
      </c>
      <c r="H305" s="4" t="s">
        <v>836</v>
      </c>
      <c r="I305" s="4" t="s">
        <v>1468</v>
      </c>
      <c r="J305" s="4"/>
      <c r="K305" s="4" t="s">
        <v>1469</v>
      </c>
      <c r="L305" s="2">
        <v>2017</v>
      </c>
      <c r="M305" s="4" t="s">
        <v>188</v>
      </c>
      <c r="N305" s="5">
        <v>1101687</v>
      </c>
      <c r="O305" s="4" t="s">
        <v>839</v>
      </c>
      <c r="P305" s="4" t="s">
        <v>840</v>
      </c>
      <c r="Q305" s="4"/>
      <c r="R305" s="4"/>
      <c r="S305" s="4"/>
      <c r="T305" s="4"/>
      <c r="U305" s="4"/>
    </row>
    <row r="306" spans="2:21" ht="26.15" hidden="1" customHeight="1">
      <c r="B306" s="2">
        <v>304</v>
      </c>
      <c r="C306" s="3">
        <v>43337</v>
      </c>
      <c r="D306" s="20">
        <v>2018</v>
      </c>
      <c r="E306" s="4" t="s">
        <v>34</v>
      </c>
      <c r="F306" s="5">
        <v>27847</v>
      </c>
      <c r="G306" s="4" t="s">
        <v>807</v>
      </c>
      <c r="H306" s="4" t="s">
        <v>808</v>
      </c>
      <c r="I306" s="4" t="s">
        <v>1468</v>
      </c>
      <c r="J306" s="4"/>
      <c r="K306" s="4" t="s">
        <v>1469</v>
      </c>
      <c r="L306" s="2">
        <v>2017</v>
      </c>
      <c r="M306" s="4" t="s">
        <v>188</v>
      </c>
      <c r="N306" s="5">
        <v>1127847</v>
      </c>
      <c r="O306" s="4" t="s">
        <v>810</v>
      </c>
      <c r="P306" s="4" t="s">
        <v>811</v>
      </c>
      <c r="Q306" s="4"/>
      <c r="R306" s="4"/>
      <c r="S306" s="4"/>
      <c r="T306" s="4"/>
      <c r="U306" s="4"/>
    </row>
    <row r="307" spans="2:21" ht="26.15" hidden="1" customHeight="1">
      <c r="B307" s="2">
        <v>305</v>
      </c>
      <c r="C307" s="3">
        <v>43336</v>
      </c>
      <c r="D307" s="20">
        <v>2018</v>
      </c>
      <c r="E307" s="4" t="s">
        <v>109</v>
      </c>
      <c r="F307" s="5">
        <v>7273280</v>
      </c>
      <c r="G307" s="4" t="s">
        <v>1470</v>
      </c>
      <c r="H307" s="4" t="s">
        <v>1471</v>
      </c>
      <c r="I307" s="4" t="s">
        <v>1472</v>
      </c>
      <c r="J307" s="4"/>
      <c r="K307" s="4"/>
      <c r="L307" s="2">
        <v>2014</v>
      </c>
      <c r="M307" s="4" t="s">
        <v>1473</v>
      </c>
      <c r="N307" s="5">
        <v>7273280</v>
      </c>
      <c r="O307" s="4" t="s">
        <v>1474</v>
      </c>
      <c r="P307" s="4" t="s">
        <v>1475</v>
      </c>
      <c r="Q307" s="4"/>
      <c r="R307" s="4"/>
      <c r="S307" s="4"/>
      <c r="T307" s="4"/>
      <c r="U307" s="4"/>
    </row>
    <row r="308" spans="2:21" ht="26.15" hidden="1" customHeight="1">
      <c r="B308" s="2">
        <v>306</v>
      </c>
      <c r="C308" s="3">
        <v>43335</v>
      </c>
      <c r="D308" s="20">
        <v>2018</v>
      </c>
      <c r="E308" s="4" t="s">
        <v>25</v>
      </c>
      <c r="F308" s="5" t="s">
        <v>50</v>
      </c>
      <c r="G308" s="4" t="s">
        <v>1476</v>
      </c>
      <c r="H308" s="4" t="s">
        <v>1477</v>
      </c>
      <c r="I308" s="4" t="s">
        <v>1478</v>
      </c>
      <c r="J308" s="4"/>
      <c r="K308" s="4"/>
      <c r="L308" s="2">
        <v>2014</v>
      </c>
      <c r="M308" s="4" t="s">
        <v>1479</v>
      </c>
      <c r="N308" s="5">
        <v>6141730</v>
      </c>
      <c r="O308" s="4" t="s">
        <v>1480</v>
      </c>
      <c r="P308" s="4" t="s">
        <v>1481</v>
      </c>
      <c r="Q308" s="4"/>
      <c r="R308" s="4"/>
      <c r="S308" s="4"/>
      <c r="T308" s="4"/>
      <c r="U308" s="4"/>
    </row>
    <row r="309" spans="2:21" ht="26.15" hidden="1" customHeight="1">
      <c r="B309" s="2">
        <v>307</v>
      </c>
      <c r="C309" s="3">
        <v>43332</v>
      </c>
      <c r="D309" s="20">
        <v>2018</v>
      </c>
      <c r="E309" s="4" t="s">
        <v>25</v>
      </c>
      <c r="F309" s="5">
        <v>29085600</v>
      </c>
      <c r="G309" s="4" t="s">
        <v>1120</v>
      </c>
      <c r="H309" s="4" t="s">
        <v>1121</v>
      </c>
      <c r="I309" s="4" t="s">
        <v>1482</v>
      </c>
      <c r="J309" s="4"/>
      <c r="K309" s="4"/>
      <c r="L309" s="2">
        <v>2014</v>
      </c>
      <c r="M309" s="4" t="s">
        <v>894</v>
      </c>
      <c r="N309" s="5">
        <v>73326732</v>
      </c>
      <c r="O309" s="4" t="s">
        <v>1124</v>
      </c>
      <c r="P309" s="4" t="s">
        <v>1125</v>
      </c>
      <c r="Q309" s="4"/>
      <c r="R309" s="4"/>
      <c r="S309" s="4"/>
      <c r="T309" s="4"/>
      <c r="U309" s="4"/>
    </row>
    <row r="310" spans="2:21" ht="26.15" hidden="1" customHeight="1">
      <c r="B310" s="2">
        <v>308</v>
      </c>
      <c r="C310" s="3">
        <v>43326</v>
      </c>
      <c r="D310" s="20">
        <v>2018</v>
      </c>
      <c r="E310" s="4" t="s">
        <v>109</v>
      </c>
      <c r="F310" s="5" t="s">
        <v>50</v>
      </c>
      <c r="G310" s="4" t="s">
        <v>1483</v>
      </c>
      <c r="H310" s="4" t="s">
        <v>1484</v>
      </c>
      <c r="I310" s="4" t="s">
        <v>1485</v>
      </c>
      <c r="J310" s="4"/>
      <c r="K310" s="4" t="s">
        <v>1486</v>
      </c>
      <c r="L310" s="2">
        <v>2013</v>
      </c>
      <c r="M310" s="4" t="s">
        <v>1487</v>
      </c>
      <c r="N310" s="5"/>
      <c r="O310" s="4" t="s">
        <v>1488</v>
      </c>
      <c r="P310" s="4" t="s">
        <v>1489</v>
      </c>
      <c r="Q310" s="4"/>
      <c r="R310" s="4"/>
      <c r="S310" s="4"/>
      <c r="T310" s="4"/>
      <c r="U310" s="4"/>
    </row>
    <row r="311" spans="2:21" ht="26.15" hidden="1" customHeight="1">
      <c r="B311" s="2">
        <v>309</v>
      </c>
      <c r="C311" s="3">
        <v>43325</v>
      </c>
      <c r="D311" s="20">
        <v>2018</v>
      </c>
      <c r="E311" s="4" t="s">
        <v>34</v>
      </c>
      <c r="F311" s="5">
        <v>274776</v>
      </c>
      <c r="G311" s="4" t="s">
        <v>1490</v>
      </c>
      <c r="H311" s="4" t="s">
        <v>1491</v>
      </c>
      <c r="I311" s="4" t="s">
        <v>1492</v>
      </c>
      <c r="J311" s="4" t="s">
        <v>1493</v>
      </c>
      <c r="K311" s="4" t="s">
        <v>1467</v>
      </c>
      <c r="L311" s="2">
        <v>2016</v>
      </c>
      <c r="M311" s="4" t="s">
        <v>1494</v>
      </c>
      <c r="N311" s="5">
        <v>774776</v>
      </c>
      <c r="O311" s="4" t="s">
        <v>1495</v>
      </c>
      <c r="P311" s="4" t="s">
        <v>1496</v>
      </c>
      <c r="Q311" s="4"/>
      <c r="R311" s="4"/>
      <c r="S311" s="4"/>
      <c r="T311" s="4"/>
      <c r="U311" s="4"/>
    </row>
    <row r="312" spans="2:21" ht="26.15" hidden="1" customHeight="1">
      <c r="B312" s="2">
        <v>310</v>
      </c>
      <c r="C312" s="3">
        <v>43323</v>
      </c>
      <c r="D312" s="20">
        <v>2018</v>
      </c>
      <c r="E312" s="4" t="s">
        <v>34</v>
      </c>
      <c r="F312" s="5">
        <v>696265</v>
      </c>
      <c r="G312" s="4" t="s">
        <v>991</v>
      </c>
      <c r="H312" s="4" t="s">
        <v>992</v>
      </c>
      <c r="I312" s="4" t="s">
        <v>1497</v>
      </c>
      <c r="J312" s="4" t="s">
        <v>1498</v>
      </c>
      <c r="K312" s="4" t="s">
        <v>1499</v>
      </c>
      <c r="L312" s="2">
        <v>2014</v>
      </c>
      <c r="M312" s="4" t="s">
        <v>128</v>
      </c>
      <c r="N312" s="5">
        <v>1570818</v>
      </c>
      <c r="O312" s="4" t="s">
        <v>994</v>
      </c>
      <c r="P312" s="4" t="s">
        <v>995</v>
      </c>
      <c r="Q312" s="4"/>
      <c r="R312" s="4"/>
      <c r="S312" s="4"/>
      <c r="T312" s="4"/>
      <c r="U312" s="4"/>
    </row>
    <row r="313" spans="2:21" ht="26.15" hidden="1" customHeight="1">
      <c r="B313" s="2">
        <v>311</v>
      </c>
      <c r="C313" s="3">
        <v>43322</v>
      </c>
      <c r="D313" s="20">
        <v>2018</v>
      </c>
      <c r="E313" s="4" t="s">
        <v>34</v>
      </c>
      <c r="F313" s="5">
        <v>611924</v>
      </c>
      <c r="G313" s="4" t="s">
        <v>1500</v>
      </c>
      <c r="H313" s="4" t="s">
        <v>1501</v>
      </c>
      <c r="I313" s="4" t="s">
        <v>1502</v>
      </c>
      <c r="J313" s="4"/>
      <c r="K313" s="4" t="s">
        <v>1407</v>
      </c>
      <c r="L313" s="2">
        <v>2004</v>
      </c>
      <c r="M313" s="4" t="s">
        <v>56</v>
      </c>
      <c r="N313" s="5">
        <v>2111924</v>
      </c>
      <c r="O313" s="4" t="s">
        <v>1503</v>
      </c>
      <c r="P313" s="4" t="s">
        <v>1504</v>
      </c>
      <c r="Q313" s="4"/>
      <c r="R313" s="4"/>
      <c r="S313" s="4"/>
      <c r="T313" s="4"/>
      <c r="U313" s="4"/>
    </row>
    <row r="314" spans="2:21" ht="26.15" hidden="1" customHeight="1">
      <c r="B314" s="2">
        <v>312</v>
      </c>
      <c r="C314" s="3">
        <v>43315</v>
      </c>
      <c r="D314" s="20">
        <v>2018</v>
      </c>
      <c r="E314" s="4" t="s">
        <v>184</v>
      </c>
      <c r="F314" s="5" t="s">
        <v>50</v>
      </c>
      <c r="G314" s="4" t="s">
        <v>1505</v>
      </c>
      <c r="H314" s="4" t="s">
        <v>1506</v>
      </c>
      <c r="I314" s="4"/>
      <c r="J314" s="4"/>
      <c r="K314" s="4"/>
      <c r="L314" s="2">
        <v>2014</v>
      </c>
      <c r="M314" s="4" t="s">
        <v>1507</v>
      </c>
      <c r="N314" s="5"/>
      <c r="O314" s="4" t="s">
        <v>1508</v>
      </c>
      <c r="P314" s="4" t="s">
        <v>1509</v>
      </c>
      <c r="Q314" s="4"/>
      <c r="R314" s="4"/>
      <c r="S314" s="4"/>
      <c r="T314" s="4"/>
      <c r="U314" s="4"/>
    </row>
    <row r="315" spans="2:21" ht="26.15" customHeight="1">
      <c r="B315" s="2">
        <v>313</v>
      </c>
      <c r="C315" s="3">
        <v>43313</v>
      </c>
      <c r="D315" s="20">
        <v>2018</v>
      </c>
      <c r="E315" s="4" t="s">
        <v>34</v>
      </c>
      <c r="F315" s="5" t="s">
        <v>50</v>
      </c>
      <c r="G315" s="4" t="s">
        <v>1510</v>
      </c>
      <c r="H315" s="4" t="s">
        <v>1511</v>
      </c>
      <c r="I315" s="4" t="s">
        <v>1512</v>
      </c>
      <c r="J315" s="4"/>
      <c r="K315" s="4" t="s">
        <v>1513</v>
      </c>
      <c r="L315" s="2">
        <v>2015</v>
      </c>
      <c r="M315" s="4" t="s">
        <v>1514</v>
      </c>
      <c r="N315" s="5"/>
      <c r="O315" s="4" t="s">
        <v>1515</v>
      </c>
      <c r="P315" s="4" t="s">
        <v>1516</v>
      </c>
      <c r="Q315" s="4"/>
      <c r="R315" s="4"/>
      <c r="S315" s="4"/>
      <c r="T315" s="4"/>
      <c r="U315" s="4"/>
    </row>
    <row r="316" spans="2:21" ht="26.15" hidden="1" customHeight="1">
      <c r="B316" s="2">
        <v>314</v>
      </c>
      <c r="C316" s="3">
        <v>43312</v>
      </c>
      <c r="D316" s="20">
        <v>2018</v>
      </c>
      <c r="E316" s="4" t="s">
        <v>25</v>
      </c>
      <c r="F316" s="5">
        <v>4909570</v>
      </c>
      <c r="G316" s="4" t="s">
        <v>96</v>
      </c>
      <c r="H316" s="4" t="s">
        <v>97</v>
      </c>
      <c r="I316" s="4" t="s">
        <v>1517</v>
      </c>
      <c r="J316" s="4" t="s">
        <v>1518</v>
      </c>
      <c r="K316" s="4" t="s">
        <v>1519</v>
      </c>
      <c r="L316" s="2">
        <v>2015</v>
      </c>
      <c r="M316" s="4" t="s">
        <v>79</v>
      </c>
      <c r="N316" s="5">
        <v>163285834</v>
      </c>
      <c r="O316" s="4" t="s">
        <v>100</v>
      </c>
      <c r="P316" s="4" t="s">
        <v>101</v>
      </c>
      <c r="Q316" s="4"/>
      <c r="R316" s="4"/>
      <c r="S316" s="4"/>
      <c r="T316" s="4"/>
      <c r="U316" s="4"/>
    </row>
    <row r="317" spans="2:21" ht="26.15" hidden="1" customHeight="1">
      <c r="B317" s="2">
        <v>315</v>
      </c>
      <c r="C317" s="3">
        <v>43310</v>
      </c>
      <c r="D317" s="20">
        <v>2018</v>
      </c>
      <c r="E317" s="4" t="s">
        <v>34</v>
      </c>
      <c r="F317" s="5">
        <v>1000000</v>
      </c>
      <c r="G317" s="4" t="s">
        <v>1520</v>
      </c>
      <c r="H317" s="4" t="s">
        <v>1521</v>
      </c>
      <c r="I317" s="4"/>
      <c r="J317" s="4"/>
      <c r="K317" s="4"/>
      <c r="L317" s="2">
        <v>2018</v>
      </c>
      <c r="M317" s="4" t="s">
        <v>1522</v>
      </c>
      <c r="N317" s="5">
        <v>1000000</v>
      </c>
      <c r="O317" s="4" t="s">
        <v>1523</v>
      </c>
      <c r="P317" s="4" t="s">
        <v>1524</v>
      </c>
      <c r="Q317" s="4"/>
      <c r="R317" s="4"/>
      <c r="S317" s="4"/>
      <c r="T317" s="4"/>
      <c r="U317" s="4"/>
    </row>
    <row r="318" spans="2:21" ht="26.15" hidden="1" customHeight="1">
      <c r="B318" s="2">
        <v>316</v>
      </c>
      <c r="C318" s="3">
        <v>43308</v>
      </c>
      <c r="D318" s="20">
        <v>2018</v>
      </c>
      <c r="E318" s="4" t="s">
        <v>289</v>
      </c>
      <c r="F318" s="5">
        <v>43688</v>
      </c>
      <c r="G318" s="4" t="s">
        <v>622</v>
      </c>
      <c r="H318" s="4" t="s">
        <v>623</v>
      </c>
      <c r="I318" s="4"/>
      <c r="J318" s="4" t="s">
        <v>624</v>
      </c>
      <c r="K318" s="4"/>
      <c r="L318" s="2">
        <v>2011</v>
      </c>
      <c r="M318" s="4" t="s">
        <v>79</v>
      </c>
      <c r="N318" s="5">
        <v>3574388</v>
      </c>
      <c r="O318" s="4" t="s">
        <v>625</v>
      </c>
      <c r="P318" s="4" t="s">
        <v>626</v>
      </c>
      <c r="Q318" s="4"/>
      <c r="R318" s="4"/>
      <c r="S318" s="4"/>
      <c r="T318" s="4"/>
      <c r="U318" s="4"/>
    </row>
    <row r="319" spans="2:21" ht="26.15" hidden="1" customHeight="1">
      <c r="B319" s="2">
        <v>317</v>
      </c>
      <c r="C319" s="3">
        <v>43305</v>
      </c>
      <c r="D319" s="20">
        <v>2018</v>
      </c>
      <c r="E319" s="4" t="s">
        <v>34</v>
      </c>
      <c r="F319" s="5">
        <v>1475230</v>
      </c>
      <c r="G319" s="4" t="s">
        <v>1525</v>
      </c>
      <c r="H319" s="4" t="s">
        <v>1526</v>
      </c>
      <c r="I319" s="4" t="s">
        <v>1527</v>
      </c>
      <c r="J319" s="4"/>
      <c r="K319" s="4"/>
      <c r="L319" s="2">
        <v>2015</v>
      </c>
      <c r="M319" s="4" t="s">
        <v>1528</v>
      </c>
      <c r="N319" s="5">
        <v>1475230</v>
      </c>
      <c r="O319" s="4" t="s">
        <v>1529</v>
      </c>
      <c r="P319" s="4" t="s">
        <v>1530</v>
      </c>
      <c r="Q319" s="4"/>
      <c r="R319" s="4"/>
      <c r="S319" s="4"/>
      <c r="T319" s="4"/>
      <c r="U319" s="4"/>
    </row>
    <row r="320" spans="2:21" ht="26.15" hidden="1" customHeight="1">
      <c r="B320" s="2">
        <v>318</v>
      </c>
      <c r="C320" s="3">
        <v>43304</v>
      </c>
      <c r="D320" s="20">
        <v>2018</v>
      </c>
      <c r="E320" s="4" t="s">
        <v>34</v>
      </c>
      <c r="F320" s="5" t="s">
        <v>50</v>
      </c>
      <c r="G320" s="4" t="s">
        <v>1531</v>
      </c>
      <c r="H320" s="4" t="s">
        <v>1532</v>
      </c>
      <c r="I320" s="4" t="s">
        <v>1533</v>
      </c>
      <c r="J320" s="4"/>
      <c r="K320" s="4" t="s">
        <v>1534</v>
      </c>
      <c r="L320" s="2">
        <v>2014</v>
      </c>
      <c r="M320" s="4" t="s">
        <v>762</v>
      </c>
      <c r="N320" s="5"/>
      <c r="O320" s="4" t="s">
        <v>1535</v>
      </c>
      <c r="P320" s="4" t="s">
        <v>1536</v>
      </c>
      <c r="Q320" s="4"/>
      <c r="R320" s="4"/>
      <c r="S320" s="4"/>
      <c r="T320" s="4"/>
      <c r="U320" s="4"/>
    </row>
    <row r="321" spans="2:21" ht="26.15" hidden="1" customHeight="1">
      <c r="B321" s="2">
        <v>319</v>
      </c>
      <c r="C321" s="3">
        <v>43304</v>
      </c>
      <c r="D321" s="20">
        <v>2018</v>
      </c>
      <c r="E321" s="4" t="s">
        <v>34</v>
      </c>
      <c r="F321" s="5">
        <v>627000</v>
      </c>
      <c r="G321" s="4" t="s">
        <v>1196</v>
      </c>
      <c r="H321" s="4" t="s">
        <v>1197</v>
      </c>
      <c r="I321" s="4" t="s">
        <v>1537</v>
      </c>
      <c r="J321" s="4"/>
      <c r="K321" s="4" t="s">
        <v>1538</v>
      </c>
      <c r="L321" s="2">
        <v>2016</v>
      </c>
      <c r="M321" s="4" t="s">
        <v>39</v>
      </c>
      <c r="N321" s="5">
        <v>652000</v>
      </c>
      <c r="O321" s="4" t="s">
        <v>389</v>
      </c>
      <c r="P321" s="4" t="s">
        <v>1200</v>
      </c>
      <c r="Q321" s="4"/>
      <c r="R321" s="4"/>
      <c r="S321" s="4"/>
      <c r="T321" s="4"/>
      <c r="U321" s="4"/>
    </row>
    <row r="322" spans="2:21" ht="26.15" hidden="1" customHeight="1">
      <c r="B322" s="2">
        <v>320</v>
      </c>
      <c r="C322" s="3">
        <v>43304</v>
      </c>
      <c r="D322" s="20">
        <v>2018</v>
      </c>
      <c r="E322" s="4" t="s">
        <v>109</v>
      </c>
      <c r="F322" s="5" t="s">
        <v>50</v>
      </c>
      <c r="G322" s="4" t="s">
        <v>1539</v>
      </c>
      <c r="H322" s="4" t="s">
        <v>1540</v>
      </c>
      <c r="I322" s="4" t="s">
        <v>1541</v>
      </c>
      <c r="J322" s="4"/>
      <c r="K322" s="4"/>
      <c r="L322" s="2">
        <v>2012</v>
      </c>
      <c r="M322" s="4" t="s">
        <v>39</v>
      </c>
      <c r="N322" s="5">
        <v>150000</v>
      </c>
      <c r="O322" s="4" t="s">
        <v>1542</v>
      </c>
      <c r="P322" s="4" t="s">
        <v>1543</v>
      </c>
      <c r="Q322" s="4"/>
      <c r="R322" s="4"/>
      <c r="S322" s="4"/>
      <c r="T322" s="4"/>
      <c r="U322" s="4"/>
    </row>
    <row r="323" spans="2:21" ht="26.15" hidden="1" customHeight="1">
      <c r="B323" s="2">
        <v>321</v>
      </c>
      <c r="C323" s="3">
        <v>43301</v>
      </c>
      <c r="D323" s="20">
        <v>2018</v>
      </c>
      <c r="E323" s="4" t="s">
        <v>25</v>
      </c>
      <c r="F323" s="5">
        <v>26610600</v>
      </c>
      <c r="G323" s="4" t="s">
        <v>1544</v>
      </c>
      <c r="H323" s="4" t="s">
        <v>1545</v>
      </c>
      <c r="I323" s="4" t="s">
        <v>1546</v>
      </c>
      <c r="J323" s="4"/>
      <c r="K323" s="4"/>
      <c r="L323" s="2">
        <v>2015</v>
      </c>
      <c r="M323" s="4" t="s">
        <v>1528</v>
      </c>
      <c r="N323" s="5">
        <v>62610600</v>
      </c>
      <c r="O323" s="4" t="s">
        <v>1547</v>
      </c>
      <c r="P323" s="4" t="s">
        <v>1416</v>
      </c>
      <c r="Q323" s="4" t="s">
        <v>1548</v>
      </c>
      <c r="R323" s="4"/>
      <c r="S323" s="4"/>
      <c r="T323" s="4"/>
      <c r="U323" s="4"/>
    </row>
    <row r="324" spans="2:21" ht="26.15" hidden="1" customHeight="1">
      <c r="B324" s="2">
        <v>322</v>
      </c>
      <c r="C324" s="3">
        <v>43300</v>
      </c>
      <c r="D324" s="20">
        <v>2018</v>
      </c>
      <c r="E324" s="4" t="s">
        <v>25</v>
      </c>
      <c r="F324" s="5" t="s">
        <v>50</v>
      </c>
      <c r="G324" s="4" t="s">
        <v>1549</v>
      </c>
      <c r="H324" s="4" t="s">
        <v>1550</v>
      </c>
      <c r="I324" s="4"/>
      <c r="J324" s="4"/>
      <c r="K324" s="4"/>
      <c r="L324" s="2">
        <v>2015</v>
      </c>
      <c r="M324" s="4" t="s">
        <v>1551</v>
      </c>
      <c r="N324" s="5"/>
      <c r="O324" s="4" t="s">
        <v>1552</v>
      </c>
      <c r="P324" s="4" t="s">
        <v>1553</v>
      </c>
      <c r="Q324" s="4"/>
      <c r="R324" s="4"/>
      <c r="S324" s="4"/>
      <c r="T324" s="4"/>
      <c r="U324" s="4"/>
    </row>
    <row r="325" spans="2:21" ht="26.15" hidden="1" customHeight="1">
      <c r="B325" s="2">
        <v>323</v>
      </c>
      <c r="C325" s="3">
        <v>43296</v>
      </c>
      <c r="D325" s="20">
        <v>2018</v>
      </c>
      <c r="E325" s="4" t="s">
        <v>34</v>
      </c>
      <c r="F325" s="5">
        <v>218911</v>
      </c>
      <c r="G325" s="4" t="s">
        <v>1554</v>
      </c>
      <c r="H325" s="4" t="s">
        <v>1555</v>
      </c>
      <c r="I325" s="4" t="s">
        <v>1556</v>
      </c>
      <c r="J325" s="4" t="s">
        <v>1557</v>
      </c>
      <c r="K325" s="4"/>
      <c r="L325" s="2">
        <v>2013</v>
      </c>
      <c r="M325" s="4" t="s">
        <v>188</v>
      </c>
      <c r="N325" s="5">
        <v>234941</v>
      </c>
      <c r="O325" s="4" t="s">
        <v>1558</v>
      </c>
      <c r="P325" s="4" t="s">
        <v>1559</v>
      </c>
      <c r="Q325" s="4"/>
      <c r="R325" s="4"/>
      <c r="S325" s="4"/>
      <c r="T325" s="4"/>
      <c r="U325" s="4"/>
    </row>
    <row r="326" spans="2:21" ht="26.15" hidden="1" customHeight="1">
      <c r="B326" s="2">
        <v>324</v>
      </c>
      <c r="C326" s="3">
        <v>43294</v>
      </c>
      <c r="D326" s="20">
        <v>2018</v>
      </c>
      <c r="E326" s="4" t="s">
        <v>109</v>
      </c>
      <c r="F326" s="5">
        <v>2000000</v>
      </c>
      <c r="G326" s="4" t="s">
        <v>378</v>
      </c>
      <c r="H326" s="4" t="s">
        <v>379</v>
      </c>
      <c r="I326" s="4" t="s">
        <v>1560</v>
      </c>
      <c r="J326" s="4" t="s">
        <v>1561</v>
      </c>
      <c r="K326" s="4" t="s">
        <v>1562</v>
      </c>
      <c r="L326" s="2">
        <v>2014</v>
      </c>
      <c r="M326" s="4" t="s">
        <v>382</v>
      </c>
      <c r="N326" s="5">
        <v>10111973</v>
      </c>
      <c r="O326" s="4" t="s">
        <v>383</v>
      </c>
      <c r="P326" s="4" t="s">
        <v>384</v>
      </c>
      <c r="Q326" s="4"/>
      <c r="R326" s="4"/>
      <c r="S326" s="4"/>
      <c r="T326" s="4"/>
      <c r="U326" s="4"/>
    </row>
    <row r="327" spans="2:21" ht="26.15" hidden="1" customHeight="1">
      <c r="B327" s="2">
        <v>325</v>
      </c>
      <c r="C327" s="3">
        <v>43294</v>
      </c>
      <c r="D327" s="20">
        <v>2018</v>
      </c>
      <c r="E327" s="4" t="s">
        <v>109</v>
      </c>
      <c r="F327" s="5" t="s">
        <v>50</v>
      </c>
      <c r="G327" s="4" t="s">
        <v>891</v>
      </c>
      <c r="H327" s="4" t="s">
        <v>892</v>
      </c>
      <c r="I327" s="4"/>
      <c r="J327" s="4"/>
      <c r="K327" s="4"/>
      <c r="L327" s="2">
        <v>2017</v>
      </c>
      <c r="M327" s="4" t="s">
        <v>894</v>
      </c>
      <c r="N327" s="5"/>
      <c r="O327" s="4" t="s">
        <v>895</v>
      </c>
      <c r="P327" s="4" t="s">
        <v>896</v>
      </c>
      <c r="Q327" s="4"/>
      <c r="R327" s="4"/>
      <c r="S327" s="4"/>
      <c r="T327" s="4"/>
      <c r="U327" s="4"/>
    </row>
    <row r="328" spans="2:21" ht="26.15" hidden="1" customHeight="1">
      <c r="B328" s="2">
        <v>326</v>
      </c>
      <c r="C328" s="3">
        <v>43292</v>
      </c>
      <c r="D328" s="20">
        <v>2018</v>
      </c>
      <c r="E328" s="4" t="s">
        <v>289</v>
      </c>
      <c r="F328" s="5">
        <v>250000</v>
      </c>
      <c r="G328" s="4" t="s">
        <v>385</v>
      </c>
      <c r="H328" s="4" t="s">
        <v>386</v>
      </c>
      <c r="I328" s="4" t="s">
        <v>1563</v>
      </c>
      <c r="J328" s="4"/>
      <c r="K328" s="4"/>
      <c r="L328" s="2">
        <v>2016</v>
      </c>
      <c r="M328" s="4" t="s">
        <v>39</v>
      </c>
      <c r="N328" s="5">
        <v>14260613</v>
      </c>
      <c r="O328" s="4" t="s">
        <v>389</v>
      </c>
      <c r="P328" s="4" t="s">
        <v>390</v>
      </c>
      <c r="Q328" s="4"/>
      <c r="R328" s="4"/>
      <c r="S328" s="4"/>
      <c r="T328" s="4"/>
      <c r="U328" s="4"/>
    </row>
    <row r="329" spans="2:21" ht="26.15" hidden="1" customHeight="1">
      <c r="B329" s="2">
        <v>327</v>
      </c>
      <c r="C329" s="3">
        <v>43292</v>
      </c>
      <c r="D329" s="20">
        <v>2018</v>
      </c>
      <c r="E329" s="4" t="s">
        <v>184</v>
      </c>
      <c r="F329" s="5">
        <v>250000</v>
      </c>
      <c r="G329" s="4" t="s">
        <v>385</v>
      </c>
      <c r="H329" s="4" t="s">
        <v>386</v>
      </c>
      <c r="I329" s="4" t="s">
        <v>187</v>
      </c>
      <c r="J329" s="4"/>
      <c r="K329" s="4"/>
      <c r="L329" s="2">
        <v>2016</v>
      </c>
      <c r="M329" s="4" t="s">
        <v>39</v>
      </c>
      <c r="N329" s="5">
        <v>14260613</v>
      </c>
      <c r="O329" s="4" t="s">
        <v>389</v>
      </c>
      <c r="P329" s="4" t="s">
        <v>390</v>
      </c>
      <c r="Q329" s="4"/>
      <c r="R329" s="4"/>
      <c r="S329" s="4"/>
      <c r="T329" s="4"/>
      <c r="U329" s="4"/>
    </row>
    <row r="330" spans="2:21" ht="26.15" customHeight="1">
      <c r="B330" s="2">
        <v>328</v>
      </c>
      <c r="C330" s="3">
        <v>43292</v>
      </c>
      <c r="D330" s="20">
        <v>2018</v>
      </c>
      <c r="E330" s="4" t="s">
        <v>184</v>
      </c>
      <c r="F330" s="5" t="s">
        <v>50</v>
      </c>
      <c r="G330" s="4" t="s">
        <v>1564</v>
      </c>
      <c r="H330" s="4" t="s">
        <v>1565</v>
      </c>
      <c r="I330" s="4" t="s">
        <v>1566</v>
      </c>
      <c r="J330" s="4"/>
      <c r="K330" s="4"/>
      <c r="L330" s="2">
        <v>2014</v>
      </c>
      <c r="M330" s="4" t="s">
        <v>1567</v>
      </c>
      <c r="N330" s="5"/>
      <c r="O330" s="4" t="s">
        <v>1568</v>
      </c>
      <c r="P330" s="4" t="s">
        <v>1569</v>
      </c>
      <c r="Q330" s="4"/>
      <c r="R330" s="4"/>
      <c r="S330" s="4"/>
      <c r="T330" s="4"/>
      <c r="U330" s="4"/>
    </row>
    <row r="331" spans="2:21" ht="26.15" customHeight="1">
      <c r="B331" s="2">
        <v>329</v>
      </c>
      <c r="C331" s="3">
        <v>43292</v>
      </c>
      <c r="D331" s="20">
        <v>2018</v>
      </c>
      <c r="E331" s="4" t="s">
        <v>109</v>
      </c>
      <c r="F331" s="5" t="s">
        <v>50</v>
      </c>
      <c r="G331" s="4" t="s">
        <v>1564</v>
      </c>
      <c r="H331" s="4" t="s">
        <v>1565</v>
      </c>
      <c r="I331" s="4"/>
      <c r="J331" s="4"/>
      <c r="K331" s="4"/>
      <c r="L331" s="2">
        <v>2014</v>
      </c>
      <c r="M331" s="4" t="s">
        <v>1567</v>
      </c>
      <c r="N331" s="5"/>
      <c r="O331" s="4" t="s">
        <v>1568</v>
      </c>
      <c r="P331" s="4" t="s">
        <v>1569</v>
      </c>
      <c r="Q331" s="4"/>
      <c r="R331" s="4"/>
      <c r="S331" s="4"/>
      <c r="T331" s="4"/>
      <c r="U331" s="4"/>
    </row>
    <row r="332" spans="2:21" ht="26.15" hidden="1" customHeight="1">
      <c r="B332" s="2">
        <v>330</v>
      </c>
      <c r="C332" s="3">
        <v>43286</v>
      </c>
      <c r="D332" s="20">
        <v>2018</v>
      </c>
      <c r="E332" s="4" t="s">
        <v>34</v>
      </c>
      <c r="F332" s="5">
        <v>469800</v>
      </c>
      <c r="G332" s="4" t="s">
        <v>404</v>
      </c>
      <c r="H332" s="4" t="s">
        <v>405</v>
      </c>
      <c r="I332" s="4" t="s">
        <v>869</v>
      </c>
      <c r="J332" s="4" t="s">
        <v>1570</v>
      </c>
      <c r="K332" s="4" t="s">
        <v>870</v>
      </c>
      <c r="L332" s="2">
        <v>2016</v>
      </c>
      <c r="M332" s="4" t="s">
        <v>79</v>
      </c>
      <c r="N332" s="5">
        <v>8750809</v>
      </c>
      <c r="O332" s="4" t="s">
        <v>408</v>
      </c>
      <c r="P332" s="4" t="s">
        <v>409</v>
      </c>
      <c r="Q332" s="4"/>
      <c r="R332" s="4"/>
      <c r="S332" s="4"/>
      <c r="T332" s="4"/>
      <c r="U332" s="4"/>
    </row>
    <row r="333" spans="2:21" ht="26.15" hidden="1" customHeight="1">
      <c r="B333" s="2">
        <v>331</v>
      </c>
      <c r="C333" s="3">
        <v>43285</v>
      </c>
      <c r="D333" s="20">
        <v>2018</v>
      </c>
      <c r="E333" s="4" t="s">
        <v>109</v>
      </c>
      <c r="F333" s="5" t="s">
        <v>50</v>
      </c>
      <c r="G333" s="4" t="s">
        <v>871</v>
      </c>
      <c r="H333" s="4" t="s">
        <v>872</v>
      </c>
      <c r="I333" s="4" t="s">
        <v>1571</v>
      </c>
      <c r="J333" s="4"/>
      <c r="K333" s="4" t="s">
        <v>1572</v>
      </c>
      <c r="L333" s="2">
        <v>2013</v>
      </c>
      <c r="M333" s="4" t="s">
        <v>875</v>
      </c>
      <c r="N333" s="5"/>
      <c r="O333" s="4" t="s">
        <v>876</v>
      </c>
      <c r="P333" s="4" t="s">
        <v>877</v>
      </c>
      <c r="Q333" s="4" t="s">
        <v>1573</v>
      </c>
      <c r="R333" s="4"/>
      <c r="S333" s="4"/>
      <c r="T333" s="4"/>
      <c r="U333" s="4"/>
    </row>
    <row r="334" spans="2:21" ht="26.15" hidden="1" customHeight="1">
      <c r="B334" s="2">
        <v>332</v>
      </c>
      <c r="C334" s="3">
        <v>43282</v>
      </c>
      <c r="D334" s="20">
        <v>2018</v>
      </c>
      <c r="E334" s="4" t="s">
        <v>34</v>
      </c>
      <c r="F334" s="5" t="s">
        <v>50</v>
      </c>
      <c r="G334" s="4" t="s">
        <v>1205</v>
      </c>
      <c r="H334" s="4" t="s">
        <v>1206</v>
      </c>
      <c r="I334" s="4" t="s">
        <v>1533</v>
      </c>
      <c r="J334" s="4"/>
      <c r="K334" s="4"/>
      <c r="L334" s="2">
        <v>2014</v>
      </c>
      <c r="M334" s="4" t="s">
        <v>39</v>
      </c>
      <c r="N334" s="5"/>
      <c r="O334" s="4" t="s">
        <v>1209</v>
      </c>
      <c r="P334" s="4" t="s">
        <v>1210</v>
      </c>
      <c r="Q334" s="4"/>
      <c r="R334" s="4"/>
      <c r="S334" s="4"/>
      <c r="T334" s="4"/>
      <c r="U334" s="4"/>
    </row>
    <row r="335" spans="2:21" ht="26.15" hidden="1" customHeight="1">
      <c r="B335" s="2">
        <v>333</v>
      </c>
      <c r="C335" s="3">
        <v>43277</v>
      </c>
      <c r="D335" s="20">
        <v>2018</v>
      </c>
      <c r="E335" s="4" t="s">
        <v>124</v>
      </c>
      <c r="F335" s="5">
        <v>176255</v>
      </c>
      <c r="G335" s="4" t="s">
        <v>391</v>
      </c>
      <c r="H335" s="4" t="s">
        <v>392</v>
      </c>
      <c r="I335" s="4"/>
      <c r="J335" s="4" t="s">
        <v>1574</v>
      </c>
      <c r="K335" s="4" t="s">
        <v>1575</v>
      </c>
      <c r="L335" s="2">
        <v>2017</v>
      </c>
      <c r="M335" s="4" t="s">
        <v>395</v>
      </c>
      <c r="N335" s="5">
        <v>751549</v>
      </c>
      <c r="O335" s="4" t="s">
        <v>396</v>
      </c>
      <c r="P335" s="4" t="s">
        <v>397</v>
      </c>
      <c r="Q335" s="4"/>
      <c r="R335" s="4"/>
      <c r="S335" s="4"/>
      <c r="T335" s="4"/>
      <c r="U335" s="4"/>
    </row>
    <row r="336" spans="2:21" ht="26.15" customHeight="1">
      <c r="B336" s="2">
        <v>334</v>
      </c>
      <c r="C336" s="3">
        <v>43270</v>
      </c>
      <c r="D336" s="20">
        <v>2018</v>
      </c>
      <c r="E336" s="4" t="s">
        <v>34</v>
      </c>
      <c r="F336" s="5">
        <v>3000000</v>
      </c>
      <c r="G336" s="4" t="s">
        <v>1576</v>
      </c>
      <c r="H336" s="4" t="s">
        <v>1577</v>
      </c>
      <c r="I336" s="4" t="s">
        <v>1566</v>
      </c>
      <c r="J336" s="4"/>
      <c r="K336" s="4"/>
      <c r="L336" s="2">
        <v>2016</v>
      </c>
      <c r="M336" s="4" t="s">
        <v>1578</v>
      </c>
      <c r="N336" s="5">
        <v>3000000</v>
      </c>
      <c r="O336" s="4" t="s">
        <v>1579</v>
      </c>
      <c r="P336" s="4" t="s">
        <v>1580</v>
      </c>
      <c r="Q336" s="4"/>
      <c r="R336" s="4"/>
      <c r="S336" s="4"/>
      <c r="T336" s="4"/>
      <c r="U336" s="4"/>
    </row>
    <row r="337" spans="2:21" ht="26.15" hidden="1" customHeight="1">
      <c r="B337" s="2">
        <v>335</v>
      </c>
      <c r="C337" s="3">
        <v>43269</v>
      </c>
      <c r="D337" s="20">
        <v>2018</v>
      </c>
      <c r="E337" s="4" t="s">
        <v>34</v>
      </c>
      <c r="F337" s="5">
        <v>100000</v>
      </c>
      <c r="G337" s="4" t="s">
        <v>1581</v>
      </c>
      <c r="H337" s="4" t="s">
        <v>1582</v>
      </c>
      <c r="I337" s="4" t="s">
        <v>785</v>
      </c>
      <c r="J337" s="4"/>
      <c r="K337" s="4"/>
      <c r="L337" s="2">
        <v>2014</v>
      </c>
      <c r="M337" s="4" t="s">
        <v>1583</v>
      </c>
      <c r="N337" s="5">
        <v>1150000</v>
      </c>
      <c r="O337" s="4" t="s">
        <v>1584</v>
      </c>
      <c r="P337" s="4" t="s">
        <v>1585</v>
      </c>
      <c r="Q337" s="4"/>
      <c r="R337" s="4"/>
      <c r="S337" s="4"/>
      <c r="T337" s="4"/>
      <c r="U337" s="4"/>
    </row>
    <row r="338" spans="2:21" ht="26.15" hidden="1" customHeight="1">
      <c r="B338" s="2">
        <v>336</v>
      </c>
      <c r="C338" s="3">
        <v>43269</v>
      </c>
      <c r="D338" s="20">
        <v>2018</v>
      </c>
      <c r="E338" s="4" t="s">
        <v>34</v>
      </c>
      <c r="F338" s="5">
        <v>100000</v>
      </c>
      <c r="G338" s="4" t="s">
        <v>1586</v>
      </c>
      <c r="H338" s="4" t="s">
        <v>1587</v>
      </c>
      <c r="I338" s="4" t="s">
        <v>785</v>
      </c>
      <c r="J338" s="4"/>
      <c r="K338" s="4" t="s">
        <v>786</v>
      </c>
      <c r="L338" s="2">
        <v>2014</v>
      </c>
      <c r="M338" s="4" t="s">
        <v>1588</v>
      </c>
      <c r="N338" s="5">
        <v>1600000</v>
      </c>
      <c r="O338" s="4" t="s">
        <v>1589</v>
      </c>
      <c r="P338" s="4" t="s">
        <v>1590</v>
      </c>
      <c r="Q338" s="4"/>
      <c r="R338" s="4"/>
      <c r="S338" s="4"/>
      <c r="T338" s="4"/>
      <c r="U338" s="4"/>
    </row>
    <row r="339" spans="2:21" ht="26.15" hidden="1" customHeight="1">
      <c r="B339" s="2">
        <v>337</v>
      </c>
      <c r="C339" s="3">
        <v>43269</v>
      </c>
      <c r="D339" s="20">
        <v>2018</v>
      </c>
      <c r="E339" s="4" t="s">
        <v>34</v>
      </c>
      <c r="F339" s="5">
        <v>100000</v>
      </c>
      <c r="G339" s="4" t="s">
        <v>1591</v>
      </c>
      <c r="H339" s="4" t="s">
        <v>1592</v>
      </c>
      <c r="I339" s="4" t="s">
        <v>785</v>
      </c>
      <c r="J339" s="4"/>
      <c r="K339" s="4"/>
      <c r="L339" s="2">
        <v>2017</v>
      </c>
      <c r="M339" s="4" t="s">
        <v>1588</v>
      </c>
      <c r="N339" s="5">
        <v>100000</v>
      </c>
      <c r="O339" s="4" t="s">
        <v>1593</v>
      </c>
      <c r="P339" s="4" t="s">
        <v>1594</v>
      </c>
      <c r="Q339" s="4"/>
      <c r="R339" s="4"/>
      <c r="S339" s="4"/>
      <c r="T339" s="4"/>
      <c r="U339" s="4"/>
    </row>
    <row r="340" spans="2:21" ht="26.15" hidden="1" customHeight="1">
      <c r="B340" s="2">
        <v>338</v>
      </c>
      <c r="C340" s="3">
        <v>43257</v>
      </c>
      <c r="D340" s="20">
        <v>2018</v>
      </c>
      <c r="E340" s="4" t="s">
        <v>109</v>
      </c>
      <c r="F340" s="5">
        <v>2653460</v>
      </c>
      <c r="G340" s="4" t="s">
        <v>1595</v>
      </c>
      <c r="H340" s="4" t="s">
        <v>1596</v>
      </c>
      <c r="I340" s="4" t="s">
        <v>1597</v>
      </c>
      <c r="J340" s="4"/>
      <c r="K340" s="4"/>
      <c r="L340" s="2">
        <v>2013</v>
      </c>
      <c r="M340" s="4" t="s">
        <v>1598</v>
      </c>
      <c r="N340" s="5">
        <v>2653460</v>
      </c>
      <c r="O340" s="4" t="s">
        <v>1599</v>
      </c>
      <c r="P340" s="4" t="s">
        <v>1447</v>
      </c>
      <c r="Q340" s="4"/>
      <c r="R340" s="4"/>
      <c r="S340" s="4"/>
      <c r="T340" s="4"/>
      <c r="U340" s="4"/>
    </row>
    <row r="341" spans="2:21" ht="26.15" hidden="1" customHeight="1">
      <c r="B341" s="2">
        <v>339</v>
      </c>
      <c r="C341" s="3">
        <v>43256</v>
      </c>
      <c r="D341" s="20">
        <v>2018</v>
      </c>
      <c r="E341" s="4" t="s">
        <v>34</v>
      </c>
      <c r="F341" s="5">
        <v>1850000</v>
      </c>
      <c r="G341" s="4" t="s">
        <v>191</v>
      </c>
      <c r="H341" s="4" t="s">
        <v>192</v>
      </c>
      <c r="I341" s="4" t="s">
        <v>1600</v>
      </c>
      <c r="J341" s="4"/>
      <c r="K341" s="4" t="s">
        <v>1601</v>
      </c>
      <c r="L341" s="2">
        <v>2015</v>
      </c>
      <c r="M341" s="4" t="s">
        <v>195</v>
      </c>
      <c r="N341" s="5">
        <v>5000000</v>
      </c>
      <c r="O341" s="4" t="s">
        <v>196</v>
      </c>
      <c r="P341" s="4" t="s">
        <v>197</v>
      </c>
      <c r="Q341" s="4"/>
      <c r="R341" s="4"/>
      <c r="S341" s="4"/>
      <c r="T341" s="4"/>
      <c r="U341" s="4"/>
    </row>
    <row r="342" spans="2:21" ht="26.15" hidden="1" customHeight="1">
      <c r="B342" s="2">
        <v>340</v>
      </c>
      <c r="C342" s="3">
        <v>43252</v>
      </c>
      <c r="D342" s="20">
        <v>2018</v>
      </c>
      <c r="E342" s="4" t="s">
        <v>34</v>
      </c>
      <c r="F342" s="5" t="s">
        <v>50</v>
      </c>
      <c r="G342" s="4" t="s">
        <v>1602</v>
      </c>
      <c r="H342" s="4" t="s">
        <v>1603</v>
      </c>
      <c r="I342" s="4"/>
      <c r="J342" s="4"/>
      <c r="K342" s="4"/>
      <c r="L342" s="2">
        <v>2014</v>
      </c>
      <c r="M342" s="4" t="s">
        <v>128</v>
      </c>
      <c r="N342" s="5"/>
      <c r="O342" s="4" t="s">
        <v>1604</v>
      </c>
      <c r="P342" s="4" t="s">
        <v>1605</v>
      </c>
      <c r="Q342" s="4" t="s">
        <v>1606</v>
      </c>
      <c r="R342" s="4"/>
      <c r="S342" s="4"/>
      <c r="T342" s="4"/>
      <c r="U342" s="4"/>
    </row>
    <row r="343" spans="2:21" ht="26.15" hidden="1" customHeight="1">
      <c r="B343" s="2">
        <v>341</v>
      </c>
      <c r="C343" s="3">
        <v>43252</v>
      </c>
      <c r="D343" s="20">
        <v>2018</v>
      </c>
      <c r="E343" s="4" t="s">
        <v>34</v>
      </c>
      <c r="F343" s="5" t="s">
        <v>50</v>
      </c>
      <c r="G343" s="4" t="s">
        <v>1607</v>
      </c>
      <c r="H343" s="4" t="s">
        <v>1608</v>
      </c>
      <c r="I343" s="4" t="s">
        <v>703</v>
      </c>
      <c r="J343" s="4"/>
      <c r="K343" s="4" t="s">
        <v>1609</v>
      </c>
      <c r="L343" s="2">
        <v>2015</v>
      </c>
      <c r="M343" s="4" t="s">
        <v>1610</v>
      </c>
      <c r="N343" s="5"/>
      <c r="O343" s="4" t="s">
        <v>1611</v>
      </c>
      <c r="P343" s="4" t="s">
        <v>1612</v>
      </c>
      <c r="Q343" s="4"/>
      <c r="R343" s="4"/>
      <c r="S343" s="4"/>
      <c r="T343" s="4"/>
      <c r="U343" s="4"/>
    </row>
    <row r="344" spans="2:21" ht="26.15" hidden="1" customHeight="1">
      <c r="B344" s="2">
        <v>342</v>
      </c>
      <c r="C344" s="3">
        <v>43252</v>
      </c>
      <c r="D344" s="20">
        <v>2018</v>
      </c>
      <c r="E344" s="4" t="s">
        <v>184</v>
      </c>
      <c r="F344" s="5">
        <v>3182</v>
      </c>
      <c r="G344" s="4" t="s">
        <v>191</v>
      </c>
      <c r="H344" s="4" t="s">
        <v>192</v>
      </c>
      <c r="I344" s="4" t="s">
        <v>803</v>
      </c>
      <c r="J344" s="4"/>
      <c r="K344" s="4"/>
      <c r="L344" s="2">
        <v>2015</v>
      </c>
      <c r="M344" s="4" t="s">
        <v>195</v>
      </c>
      <c r="N344" s="5">
        <v>5000000</v>
      </c>
      <c r="O344" s="4" t="s">
        <v>196</v>
      </c>
      <c r="P344" s="4" t="s">
        <v>197</v>
      </c>
      <c r="Q344" s="4"/>
      <c r="R344" s="4"/>
      <c r="S344" s="4"/>
      <c r="T344" s="4"/>
      <c r="U344" s="4"/>
    </row>
    <row r="345" spans="2:21" ht="26.15" hidden="1" customHeight="1">
      <c r="B345" s="2">
        <v>343</v>
      </c>
      <c r="C345" s="3">
        <v>43252</v>
      </c>
      <c r="D345" s="20">
        <v>2018</v>
      </c>
      <c r="E345" s="4" t="s">
        <v>34</v>
      </c>
      <c r="F345" s="5" t="s">
        <v>50</v>
      </c>
      <c r="G345" s="4" t="s">
        <v>1613</v>
      </c>
      <c r="H345" s="4" t="s">
        <v>1614</v>
      </c>
      <c r="I345" s="4" t="s">
        <v>703</v>
      </c>
      <c r="J345" s="4"/>
      <c r="K345" s="4" t="s">
        <v>1609</v>
      </c>
      <c r="L345" s="2">
        <v>2016</v>
      </c>
      <c r="M345" s="4" t="s">
        <v>1615</v>
      </c>
      <c r="N345" s="5"/>
      <c r="O345" s="4" t="s">
        <v>1616</v>
      </c>
      <c r="P345" s="4" t="s">
        <v>1617</v>
      </c>
      <c r="Q345" s="4"/>
      <c r="R345" s="4"/>
      <c r="S345" s="4"/>
      <c r="T345" s="4"/>
      <c r="U345" s="4"/>
    </row>
    <row r="346" spans="2:21" ht="26.15" hidden="1" customHeight="1">
      <c r="B346" s="2">
        <v>344</v>
      </c>
      <c r="C346" s="3">
        <v>43252</v>
      </c>
      <c r="D346" s="20">
        <v>2018</v>
      </c>
      <c r="E346" s="4" t="s">
        <v>34</v>
      </c>
      <c r="F346" s="5" t="s">
        <v>50</v>
      </c>
      <c r="G346" s="4" t="s">
        <v>177</v>
      </c>
      <c r="H346" s="4" t="s">
        <v>178</v>
      </c>
      <c r="I346" s="4" t="s">
        <v>1618</v>
      </c>
      <c r="J346" s="4"/>
      <c r="K346" s="4" t="s">
        <v>1619</v>
      </c>
      <c r="L346" s="2">
        <v>2015</v>
      </c>
      <c r="M346" s="4" t="s">
        <v>181</v>
      </c>
      <c r="N346" s="5"/>
      <c r="O346" s="4" t="s">
        <v>182</v>
      </c>
      <c r="P346" s="4" t="s">
        <v>183</v>
      </c>
      <c r="Q346" s="4"/>
      <c r="R346" s="4"/>
      <c r="S346" s="4"/>
      <c r="T346" s="4"/>
      <c r="U346" s="4"/>
    </row>
    <row r="347" spans="2:21" ht="26.15" hidden="1" customHeight="1">
      <c r="B347" s="2">
        <v>345</v>
      </c>
      <c r="C347" s="3">
        <v>43252</v>
      </c>
      <c r="D347" s="20">
        <v>2018</v>
      </c>
      <c r="E347" s="4" t="s">
        <v>109</v>
      </c>
      <c r="F347" s="5">
        <v>1577228</v>
      </c>
      <c r="G347" s="4" t="s">
        <v>610</v>
      </c>
      <c r="H347" s="4" t="s">
        <v>611</v>
      </c>
      <c r="I347" s="4" t="s">
        <v>1620</v>
      </c>
      <c r="J347" s="4"/>
      <c r="K347" s="4" t="s">
        <v>1621</v>
      </c>
      <c r="L347" s="2">
        <v>2011</v>
      </c>
      <c r="M347" s="4" t="s">
        <v>612</v>
      </c>
      <c r="N347" s="5">
        <v>1577228</v>
      </c>
      <c r="O347" s="4" t="s">
        <v>613</v>
      </c>
      <c r="P347" s="4" t="s">
        <v>614</v>
      </c>
      <c r="Q347" s="4"/>
      <c r="R347" s="4"/>
      <c r="S347" s="4"/>
      <c r="T347" s="4"/>
      <c r="U347" s="4"/>
    </row>
    <row r="348" spans="2:21" ht="26.15" hidden="1" customHeight="1">
      <c r="B348" s="2">
        <v>346</v>
      </c>
      <c r="C348" s="3">
        <v>43252</v>
      </c>
      <c r="D348" s="20">
        <v>2018</v>
      </c>
      <c r="E348" s="4" t="s">
        <v>34</v>
      </c>
      <c r="F348" s="5">
        <v>50000</v>
      </c>
      <c r="G348" s="4" t="s">
        <v>1622</v>
      </c>
      <c r="H348" s="4" t="s">
        <v>1623</v>
      </c>
      <c r="I348" s="4" t="s">
        <v>1624</v>
      </c>
      <c r="J348" s="4"/>
      <c r="K348" s="4" t="s">
        <v>1625</v>
      </c>
      <c r="L348" s="2">
        <v>2018</v>
      </c>
      <c r="M348" s="4" t="s">
        <v>1285</v>
      </c>
      <c r="N348" s="5">
        <v>50000</v>
      </c>
      <c r="O348" s="4" t="s">
        <v>1626</v>
      </c>
      <c r="P348" s="4" t="s">
        <v>1627</v>
      </c>
      <c r="Q348" s="4"/>
      <c r="R348" s="4"/>
      <c r="S348" s="4"/>
      <c r="T348" s="4"/>
      <c r="U348" s="4"/>
    </row>
    <row r="349" spans="2:21" ht="26.15" hidden="1" customHeight="1">
      <c r="B349" s="2">
        <v>347</v>
      </c>
      <c r="C349" s="3">
        <v>43251</v>
      </c>
      <c r="D349" s="20">
        <v>2018</v>
      </c>
      <c r="E349" s="4" t="s">
        <v>25</v>
      </c>
      <c r="F349" s="5">
        <v>14000000</v>
      </c>
      <c r="G349" s="4" t="s">
        <v>303</v>
      </c>
      <c r="H349" s="4" t="s">
        <v>304</v>
      </c>
      <c r="I349" s="4" t="s">
        <v>1628</v>
      </c>
      <c r="J349" s="4" t="s">
        <v>1629</v>
      </c>
      <c r="K349" s="4" t="s">
        <v>1630</v>
      </c>
      <c r="L349" s="2">
        <v>2011</v>
      </c>
      <c r="M349" s="4" t="s">
        <v>79</v>
      </c>
      <c r="N349" s="5">
        <v>19009146</v>
      </c>
      <c r="O349" s="4" t="s">
        <v>306</v>
      </c>
      <c r="P349" s="4" t="s">
        <v>307</v>
      </c>
      <c r="Q349" s="4"/>
      <c r="R349" s="4"/>
      <c r="S349" s="4"/>
      <c r="T349" s="4"/>
      <c r="U349" s="4"/>
    </row>
    <row r="350" spans="2:21" ht="26.15" hidden="1" customHeight="1">
      <c r="B350" s="2">
        <v>348</v>
      </c>
      <c r="C350" s="3">
        <v>43250</v>
      </c>
      <c r="D350" s="20">
        <v>2018</v>
      </c>
      <c r="E350" s="4" t="s">
        <v>34</v>
      </c>
      <c r="F350" s="5">
        <v>294730</v>
      </c>
      <c r="G350" s="4" t="s">
        <v>1631</v>
      </c>
      <c r="H350" s="4" t="s">
        <v>1632</v>
      </c>
      <c r="I350" s="4"/>
      <c r="J350" s="4"/>
      <c r="K350" s="4"/>
      <c r="L350" s="2">
        <v>2016</v>
      </c>
      <c r="M350" s="4" t="s">
        <v>63</v>
      </c>
      <c r="N350" s="5">
        <v>294730</v>
      </c>
      <c r="O350" s="4" t="s">
        <v>1633</v>
      </c>
      <c r="P350" s="4" t="s">
        <v>1634</v>
      </c>
      <c r="Q350" s="4"/>
      <c r="R350" s="4"/>
      <c r="S350" s="4"/>
      <c r="T350" s="4"/>
      <c r="U350" s="4"/>
    </row>
    <row r="351" spans="2:21" ht="26.15" customHeight="1">
      <c r="B351" s="2">
        <v>349</v>
      </c>
      <c r="C351" s="3">
        <v>43247</v>
      </c>
      <c r="D351" s="20">
        <v>2018</v>
      </c>
      <c r="E351" s="4" t="s">
        <v>34</v>
      </c>
      <c r="F351" s="5" t="s">
        <v>50</v>
      </c>
      <c r="G351" s="4" t="s">
        <v>1635</v>
      </c>
      <c r="H351" s="4" t="s">
        <v>1636</v>
      </c>
      <c r="I351" s="4" t="s">
        <v>797</v>
      </c>
      <c r="J351" s="4"/>
      <c r="K351" s="4" t="s">
        <v>798</v>
      </c>
      <c r="L351" s="2">
        <v>2017</v>
      </c>
      <c r="M351" s="4" t="s">
        <v>369</v>
      </c>
      <c r="N351" s="5"/>
      <c r="O351" s="4" t="s">
        <v>1637</v>
      </c>
      <c r="P351" s="4" t="s">
        <v>1638</v>
      </c>
      <c r="Q351" s="4"/>
      <c r="R351" s="4"/>
      <c r="S351" s="4"/>
      <c r="T351" s="4"/>
      <c r="U351" s="4"/>
    </row>
    <row r="352" spans="2:21" ht="26.15" hidden="1" customHeight="1">
      <c r="B352" s="2">
        <v>350</v>
      </c>
      <c r="C352" s="3">
        <v>43243</v>
      </c>
      <c r="D352" s="20">
        <v>2018</v>
      </c>
      <c r="E352" s="4" t="s">
        <v>34</v>
      </c>
      <c r="F352" s="5">
        <v>627744</v>
      </c>
      <c r="G352" s="4" t="s">
        <v>1639</v>
      </c>
      <c r="H352" s="4" t="s">
        <v>1640</v>
      </c>
      <c r="I352" s="4" t="s">
        <v>1641</v>
      </c>
      <c r="J352" s="4"/>
      <c r="K352" s="4"/>
      <c r="L352" s="2">
        <v>2016</v>
      </c>
      <c r="M352" s="4" t="s">
        <v>1642</v>
      </c>
      <c r="N352" s="5">
        <v>627744</v>
      </c>
      <c r="O352" s="4" t="s">
        <v>1643</v>
      </c>
      <c r="P352" s="4" t="s">
        <v>1644</v>
      </c>
      <c r="Q352" s="4"/>
      <c r="R352" s="4"/>
      <c r="S352" s="4"/>
      <c r="T352" s="4"/>
      <c r="U352" s="4"/>
    </row>
    <row r="353" spans="2:21" ht="26.15" customHeight="1">
      <c r="B353" s="2">
        <v>351</v>
      </c>
      <c r="C353" s="3">
        <v>43241</v>
      </c>
      <c r="D353" s="20">
        <v>2018</v>
      </c>
      <c r="E353" s="4" t="s">
        <v>109</v>
      </c>
      <c r="F353" s="5">
        <v>11100000</v>
      </c>
      <c r="G353" s="4" t="s">
        <v>1645</v>
      </c>
      <c r="H353" s="4" t="s">
        <v>1646</v>
      </c>
      <c r="I353" s="4" t="s">
        <v>1647</v>
      </c>
      <c r="J353" s="4"/>
      <c r="K353" s="4" t="s">
        <v>1648</v>
      </c>
      <c r="L353" s="2">
        <v>2008</v>
      </c>
      <c r="M353" s="4" t="s">
        <v>698</v>
      </c>
      <c r="N353" s="5">
        <v>20810000</v>
      </c>
      <c r="O353" s="4" t="s">
        <v>1649</v>
      </c>
      <c r="P353" s="4" t="s">
        <v>1650</v>
      </c>
      <c r="Q353" s="4" t="s">
        <v>1651</v>
      </c>
      <c r="R353" s="4"/>
      <c r="S353" s="4"/>
      <c r="T353" s="4"/>
      <c r="U353" s="4"/>
    </row>
    <row r="354" spans="2:21" ht="26.15" hidden="1" customHeight="1">
      <c r="B354" s="2">
        <v>352</v>
      </c>
      <c r="C354" s="3">
        <v>43238</v>
      </c>
      <c r="D354" s="20">
        <v>2018</v>
      </c>
      <c r="E354" s="4" t="s">
        <v>95</v>
      </c>
      <c r="F354" s="5">
        <v>31408700</v>
      </c>
      <c r="G354" s="4" t="s">
        <v>1652</v>
      </c>
      <c r="H354" s="4" t="s">
        <v>1653</v>
      </c>
      <c r="I354" s="4" t="s">
        <v>1654</v>
      </c>
      <c r="J354" s="4"/>
      <c r="K354" s="4"/>
      <c r="L354" s="2">
        <v>2015</v>
      </c>
      <c r="M354" s="4" t="s">
        <v>1655</v>
      </c>
      <c r="N354" s="5">
        <v>41586600</v>
      </c>
      <c r="O354" s="4" t="s">
        <v>1656</v>
      </c>
      <c r="P354" s="4" t="s">
        <v>1657</v>
      </c>
      <c r="Q354" s="4"/>
      <c r="R354" s="4"/>
      <c r="S354" s="4"/>
      <c r="T354" s="4"/>
      <c r="U354" s="4"/>
    </row>
    <row r="355" spans="2:21" ht="26.15" hidden="1" customHeight="1">
      <c r="B355" s="2">
        <v>353</v>
      </c>
      <c r="C355" s="3">
        <v>43236</v>
      </c>
      <c r="D355" s="20">
        <v>2018</v>
      </c>
      <c r="E355" s="4" t="s">
        <v>34</v>
      </c>
      <c r="F355" s="5">
        <v>36777</v>
      </c>
      <c r="G355" s="4" t="s">
        <v>1658</v>
      </c>
      <c r="H355" s="4" t="s">
        <v>1659</v>
      </c>
      <c r="I355" s="4" t="s">
        <v>1660</v>
      </c>
      <c r="J355" s="4"/>
      <c r="K355" s="4" t="s">
        <v>1661</v>
      </c>
      <c r="L355" s="2">
        <v>2015</v>
      </c>
      <c r="M355" s="4" t="s">
        <v>56</v>
      </c>
      <c r="N355" s="5">
        <v>36777</v>
      </c>
      <c r="O355" s="4" t="s">
        <v>1662</v>
      </c>
      <c r="P355" s="4" t="s">
        <v>1663</v>
      </c>
      <c r="Q355" s="4"/>
      <c r="R355" s="4"/>
      <c r="S355" s="4"/>
      <c r="T355" s="4"/>
      <c r="U355" s="4"/>
    </row>
    <row r="356" spans="2:21" ht="26.15" hidden="1" customHeight="1">
      <c r="B356" s="2">
        <v>354</v>
      </c>
      <c r="C356" s="3">
        <v>43234</v>
      </c>
      <c r="D356" s="20">
        <v>2018</v>
      </c>
      <c r="E356" s="4" t="s">
        <v>34</v>
      </c>
      <c r="F356" s="5">
        <v>850000</v>
      </c>
      <c r="G356" s="4" t="s">
        <v>1581</v>
      </c>
      <c r="H356" s="4" t="s">
        <v>1582</v>
      </c>
      <c r="I356" s="4" t="s">
        <v>1664</v>
      </c>
      <c r="J356" s="4"/>
      <c r="K356" s="4" t="s">
        <v>1665</v>
      </c>
      <c r="L356" s="2">
        <v>2014</v>
      </c>
      <c r="M356" s="4" t="s">
        <v>1583</v>
      </c>
      <c r="N356" s="5">
        <v>1150000</v>
      </c>
      <c r="O356" s="4" t="s">
        <v>1584</v>
      </c>
      <c r="P356" s="4" t="s">
        <v>1585</v>
      </c>
      <c r="Q356" s="4"/>
      <c r="R356" s="4"/>
      <c r="S356" s="4"/>
      <c r="T356" s="4"/>
      <c r="U356" s="4"/>
    </row>
    <row r="357" spans="2:21" ht="26.15" hidden="1" customHeight="1">
      <c r="B357" s="2">
        <v>355</v>
      </c>
      <c r="C357" s="3">
        <v>43231</v>
      </c>
      <c r="D357" s="20">
        <v>2018</v>
      </c>
      <c r="E357" s="4" t="s">
        <v>34</v>
      </c>
      <c r="F357" s="5">
        <v>951381</v>
      </c>
      <c r="G357" s="4" t="s">
        <v>1666</v>
      </c>
      <c r="H357" s="4" t="s">
        <v>1667</v>
      </c>
      <c r="I357" s="4" t="s">
        <v>1668</v>
      </c>
      <c r="J357" s="4"/>
      <c r="K357" s="4" t="s">
        <v>1669</v>
      </c>
      <c r="L357" s="2">
        <v>2016</v>
      </c>
      <c r="M357" s="4" t="s">
        <v>47</v>
      </c>
      <c r="N357" s="5">
        <v>951381</v>
      </c>
      <c r="O357" s="4" t="s">
        <v>1670</v>
      </c>
      <c r="P357" s="4" t="s">
        <v>1671</v>
      </c>
      <c r="Q357" s="4"/>
      <c r="R357" s="4"/>
      <c r="S357" s="4"/>
      <c r="T357" s="4"/>
      <c r="U357" s="4"/>
    </row>
    <row r="358" spans="2:21" ht="26.15" hidden="1" customHeight="1">
      <c r="B358" s="2">
        <v>356</v>
      </c>
      <c r="C358" s="3">
        <v>43231</v>
      </c>
      <c r="D358" s="20">
        <v>2018</v>
      </c>
      <c r="E358" s="4" t="s">
        <v>109</v>
      </c>
      <c r="F358" s="5">
        <v>386498</v>
      </c>
      <c r="G358" s="4" t="s">
        <v>1672</v>
      </c>
      <c r="H358" s="4" t="s">
        <v>1673</v>
      </c>
      <c r="I358" s="4" t="s">
        <v>1674</v>
      </c>
      <c r="J358" s="4"/>
      <c r="K358" s="4"/>
      <c r="L358" s="2">
        <v>2017</v>
      </c>
      <c r="M358" s="4" t="s">
        <v>181</v>
      </c>
      <c r="N358" s="5">
        <v>5386498</v>
      </c>
      <c r="O358" s="4" t="s">
        <v>1675</v>
      </c>
      <c r="P358" s="4" t="s">
        <v>1676</v>
      </c>
      <c r="Q358" s="4"/>
      <c r="R358" s="4"/>
      <c r="S358" s="4"/>
      <c r="T358" s="4"/>
      <c r="U358" s="4"/>
    </row>
    <row r="359" spans="2:21" ht="26.15" hidden="1" customHeight="1">
      <c r="B359" s="2">
        <v>357</v>
      </c>
      <c r="C359" s="3">
        <v>43228</v>
      </c>
      <c r="D359" s="20">
        <v>2018</v>
      </c>
      <c r="E359" s="4" t="s">
        <v>34</v>
      </c>
      <c r="F359" s="5">
        <v>200000</v>
      </c>
      <c r="G359" s="4" t="s">
        <v>1581</v>
      </c>
      <c r="H359" s="4" t="s">
        <v>1582</v>
      </c>
      <c r="I359" s="4" t="s">
        <v>1677</v>
      </c>
      <c r="J359" s="4"/>
      <c r="K359" s="4" t="s">
        <v>1678</v>
      </c>
      <c r="L359" s="2">
        <v>2014</v>
      </c>
      <c r="M359" s="4" t="s">
        <v>1583</v>
      </c>
      <c r="N359" s="5">
        <v>1150000</v>
      </c>
      <c r="O359" s="4" t="s">
        <v>1584</v>
      </c>
      <c r="P359" s="4" t="s">
        <v>1585</v>
      </c>
      <c r="Q359" s="4"/>
      <c r="R359" s="4"/>
      <c r="S359" s="4"/>
      <c r="T359" s="4"/>
      <c r="U359" s="4"/>
    </row>
    <row r="360" spans="2:21" ht="26.15" customHeight="1">
      <c r="B360" s="2">
        <v>358</v>
      </c>
      <c r="C360" s="3">
        <v>43227</v>
      </c>
      <c r="D360" s="20">
        <v>2018</v>
      </c>
      <c r="E360" s="4" t="s">
        <v>95</v>
      </c>
      <c r="F360" s="5">
        <v>10000000</v>
      </c>
      <c r="G360" s="4" t="s">
        <v>1679</v>
      </c>
      <c r="H360" s="4" t="s">
        <v>1680</v>
      </c>
      <c r="I360" s="4" t="s">
        <v>1681</v>
      </c>
      <c r="J360" s="4"/>
      <c r="K360" s="4" t="s">
        <v>1682</v>
      </c>
      <c r="L360" s="2">
        <v>2006</v>
      </c>
      <c r="M360" s="4" t="s">
        <v>135</v>
      </c>
      <c r="N360" s="5">
        <v>40000000</v>
      </c>
      <c r="O360" s="4" t="s">
        <v>1683</v>
      </c>
      <c r="P360" s="4" t="s">
        <v>1684</v>
      </c>
      <c r="Q360" s="4"/>
      <c r="R360" s="4"/>
      <c r="S360" s="4"/>
      <c r="T360" s="4"/>
      <c r="U360" s="4"/>
    </row>
    <row r="361" spans="2:21" ht="26.15" hidden="1" customHeight="1">
      <c r="B361" s="2">
        <v>359</v>
      </c>
      <c r="C361" s="3">
        <v>43225</v>
      </c>
      <c r="D361" s="20">
        <v>2018</v>
      </c>
      <c r="E361" s="4" t="s">
        <v>34</v>
      </c>
      <c r="F361" s="5">
        <v>716422</v>
      </c>
      <c r="G361" s="4" t="s">
        <v>1685</v>
      </c>
      <c r="H361" s="4" t="s">
        <v>1686</v>
      </c>
      <c r="I361" s="4" t="s">
        <v>1687</v>
      </c>
      <c r="J361" s="4" t="s">
        <v>1688</v>
      </c>
      <c r="K361" s="4" t="s">
        <v>1689</v>
      </c>
      <c r="L361" s="2">
        <v>2013</v>
      </c>
      <c r="M361" s="4" t="s">
        <v>79</v>
      </c>
      <c r="N361" s="5">
        <v>2257449</v>
      </c>
      <c r="O361" s="4" t="s">
        <v>1690</v>
      </c>
      <c r="P361" s="4" t="s">
        <v>1691</v>
      </c>
      <c r="Q361" s="4"/>
      <c r="R361" s="4"/>
      <c r="S361" s="4"/>
      <c r="T361" s="4"/>
      <c r="U361" s="4"/>
    </row>
    <row r="362" spans="2:21" ht="26.15" hidden="1" customHeight="1">
      <c r="B362" s="2">
        <v>360</v>
      </c>
      <c r="C362" s="3">
        <v>43224</v>
      </c>
      <c r="D362" s="20">
        <v>2018</v>
      </c>
      <c r="E362" s="4" t="s">
        <v>184</v>
      </c>
      <c r="F362" s="5">
        <v>40000</v>
      </c>
      <c r="G362" s="4" t="s">
        <v>1692</v>
      </c>
      <c r="H362" s="4" t="s">
        <v>1693</v>
      </c>
      <c r="I362" s="4" t="s">
        <v>1020</v>
      </c>
      <c r="J362" s="4"/>
      <c r="K362" s="4"/>
      <c r="L362" s="2">
        <v>2017</v>
      </c>
      <c r="M362" s="4" t="s">
        <v>1285</v>
      </c>
      <c r="N362" s="5"/>
      <c r="O362" s="4" t="s">
        <v>1365</v>
      </c>
      <c r="P362" s="4" t="s">
        <v>1694</v>
      </c>
      <c r="Q362" s="4"/>
      <c r="R362" s="4"/>
      <c r="S362" s="4"/>
      <c r="T362" s="4"/>
      <c r="U362" s="4"/>
    </row>
    <row r="363" spans="2:21" ht="26.15" hidden="1" customHeight="1">
      <c r="B363" s="2">
        <v>361</v>
      </c>
      <c r="C363" s="3">
        <v>43224</v>
      </c>
      <c r="D363" s="20">
        <v>2018</v>
      </c>
      <c r="E363" s="4" t="s">
        <v>34</v>
      </c>
      <c r="F363" s="5" t="s">
        <v>50</v>
      </c>
      <c r="G363" s="4" t="s">
        <v>891</v>
      </c>
      <c r="H363" s="4" t="s">
        <v>892</v>
      </c>
      <c r="I363" s="4"/>
      <c r="J363" s="4"/>
      <c r="K363" s="4"/>
      <c r="L363" s="2">
        <v>2017</v>
      </c>
      <c r="M363" s="4" t="s">
        <v>894</v>
      </c>
      <c r="N363" s="5"/>
      <c r="O363" s="4" t="s">
        <v>895</v>
      </c>
      <c r="P363" s="4" t="s">
        <v>896</v>
      </c>
      <c r="Q363" s="4"/>
      <c r="R363" s="4"/>
      <c r="S363" s="4"/>
      <c r="T363" s="4"/>
      <c r="U363" s="4"/>
    </row>
    <row r="364" spans="2:21" ht="26.15" hidden="1" customHeight="1">
      <c r="B364" s="2">
        <v>362</v>
      </c>
      <c r="C364" s="3">
        <v>43223</v>
      </c>
      <c r="D364" s="20">
        <v>2018</v>
      </c>
      <c r="E364" s="4" t="s">
        <v>34</v>
      </c>
      <c r="F364" s="5">
        <v>74832</v>
      </c>
      <c r="G364" s="4" t="s">
        <v>458</v>
      </c>
      <c r="H364" s="4" t="s">
        <v>459</v>
      </c>
      <c r="I364" s="4" t="s">
        <v>1695</v>
      </c>
      <c r="J364" s="4"/>
      <c r="K364" s="4" t="s">
        <v>1696</v>
      </c>
      <c r="L364" s="2">
        <v>2012</v>
      </c>
      <c r="M364" s="4" t="s">
        <v>462</v>
      </c>
      <c r="N364" s="5">
        <v>16507907</v>
      </c>
      <c r="O364" s="4" t="s">
        <v>463</v>
      </c>
      <c r="P364" s="4" t="s">
        <v>464</v>
      </c>
      <c r="Q364" s="4"/>
      <c r="R364" s="4"/>
      <c r="S364" s="4"/>
      <c r="T364" s="4"/>
      <c r="U364" s="4"/>
    </row>
    <row r="365" spans="2:21" ht="26.15" customHeight="1">
      <c r="B365" s="2">
        <v>363</v>
      </c>
      <c r="C365" s="3">
        <v>43222</v>
      </c>
      <c r="D365" s="20">
        <v>2018</v>
      </c>
      <c r="E365" s="4" t="s">
        <v>109</v>
      </c>
      <c r="F365" s="5" t="s">
        <v>50</v>
      </c>
      <c r="G365" s="4" t="s">
        <v>885</v>
      </c>
      <c r="H365" s="4" t="s">
        <v>886</v>
      </c>
      <c r="I365" s="4" t="s">
        <v>1697</v>
      </c>
      <c r="J365" s="4"/>
      <c r="K365" s="4" t="s">
        <v>1698</v>
      </c>
      <c r="L365" s="2">
        <v>2013</v>
      </c>
      <c r="M365" s="4" t="s">
        <v>369</v>
      </c>
      <c r="N365" s="5">
        <v>30000000</v>
      </c>
      <c r="O365" s="4" t="s">
        <v>889</v>
      </c>
      <c r="P365" s="4" t="s">
        <v>890</v>
      </c>
      <c r="Q365" s="4"/>
      <c r="R365" s="4"/>
      <c r="S365" s="4"/>
      <c r="T365" s="4"/>
      <c r="U365" s="4"/>
    </row>
    <row r="366" spans="2:21" ht="26.15" hidden="1" customHeight="1">
      <c r="B366" s="2">
        <v>364</v>
      </c>
      <c r="C366" s="3">
        <v>43221</v>
      </c>
      <c r="D366" s="20">
        <v>2018</v>
      </c>
      <c r="E366" s="4" t="s">
        <v>184</v>
      </c>
      <c r="F366" s="5">
        <v>8143</v>
      </c>
      <c r="G366" s="4" t="s">
        <v>1699</v>
      </c>
      <c r="H366" s="4" t="s">
        <v>1700</v>
      </c>
      <c r="I366" s="4" t="s">
        <v>1701</v>
      </c>
      <c r="J366" s="4"/>
      <c r="K366" s="4"/>
      <c r="L366" s="2">
        <v>2019</v>
      </c>
      <c r="M366" s="4" t="s">
        <v>1702</v>
      </c>
      <c r="N366" s="5"/>
      <c r="O366" s="4" t="s">
        <v>1703</v>
      </c>
      <c r="P366" s="4" t="s">
        <v>1704</v>
      </c>
      <c r="Q366" s="4"/>
      <c r="R366" s="4"/>
      <c r="S366" s="4"/>
      <c r="T366" s="4"/>
      <c r="U366" s="4"/>
    </row>
    <row r="367" spans="2:21" ht="26.15" hidden="1" customHeight="1">
      <c r="B367" s="2">
        <v>365</v>
      </c>
      <c r="C367" s="3">
        <v>43220</v>
      </c>
      <c r="D367" s="20">
        <v>2018</v>
      </c>
      <c r="E367" s="4" t="s">
        <v>25</v>
      </c>
      <c r="F367" s="5">
        <v>5439750</v>
      </c>
      <c r="G367" s="4" t="s">
        <v>1705</v>
      </c>
      <c r="H367" s="4" t="s">
        <v>1706</v>
      </c>
      <c r="I367" s="4" t="s">
        <v>1707</v>
      </c>
      <c r="J367" s="4"/>
      <c r="K367" s="4" t="s">
        <v>1708</v>
      </c>
      <c r="L367" s="2">
        <v>2012</v>
      </c>
      <c r="M367" s="4" t="s">
        <v>1709</v>
      </c>
      <c r="N367" s="5">
        <v>6780764</v>
      </c>
      <c r="O367" s="4" t="s">
        <v>1710</v>
      </c>
      <c r="P367" s="4" t="s">
        <v>1711</v>
      </c>
      <c r="Q367" s="4"/>
      <c r="R367" s="4"/>
      <c r="S367" s="4"/>
      <c r="T367" s="4"/>
      <c r="U367" s="4"/>
    </row>
    <row r="368" spans="2:21" ht="26.15" hidden="1" customHeight="1">
      <c r="B368" s="2">
        <v>366</v>
      </c>
      <c r="C368" s="3">
        <v>43218</v>
      </c>
      <c r="D368" s="20">
        <v>2018</v>
      </c>
      <c r="E368" s="4" t="s">
        <v>124</v>
      </c>
      <c r="F368" s="5">
        <v>7489</v>
      </c>
      <c r="G368" s="4" t="s">
        <v>1126</v>
      </c>
      <c r="H368" s="4" t="s">
        <v>1127</v>
      </c>
      <c r="I368" s="4"/>
      <c r="J368" s="4" t="s">
        <v>1712</v>
      </c>
      <c r="K368" s="4" t="s">
        <v>1712</v>
      </c>
      <c r="L368" s="2">
        <v>2013</v>
      </c>
      <c r="M368" s="4" t="s">
        <v>47</v>
      </c>
      <c r="N368" s="5">
        <v>264994</v>
      </c>
      <c r="O368" s="4" t="s">
        <v>1130</v>
      </c>
      <c r="P368" s="4" t="s">
        <v>968</v>
      </c>
      <c r="Q368" s="4"/>
      <c r="R368" s="4"/>
      <c r="S368" s="4"/>
      <c r="T368" s="4"/>
      <c r="U368" s="4"/>
    </row>
    <row r="369" spans="2:21" ht="26.15" hidden="1" customHeight="1">
      <c r="B369" s="2">
        <v>367</v>
      </c>
      <c r="C369" s="3">
        <v>43213</v>
      </c>
      <c r="D369" s="20">
        <v>2018</v>
      </c>
      <c r="E369" s="4" t="s">
        <v>34</v>
      </c>
      <c r="F369" s="5" t="s">
        <v>50</v>
      </c>
      <c r="G369" s="4" t="s">
        <v>485</v>
      </c>
      <c r="H369" s="4" t="s">
        <v>486</v>
      </c>
      <c r="I369" s="4" t="s">
        <v>1713</v>
      </c>
      <c r="J369" s="4"/>
      <c r="K369" s="4" t="s">
        <v>1714</v>
      </c>
      <c r="L369" s="2">
        <v>2015</v>
      </c>
      <c r="M369" s="4" t="s">
        <v>207</v>
      </c>
      <c r="N369" s="5">
        <v>29000000</v>
      </c>
      <c r="O369" s="4" t="s">
        <v>489</v>
      </c>
      <c r="P369" s="4" t="s">
        <v>490</v>
      </c>
      <c r="Q369" s="4"/>
      <c r="R369" s="4"/>
      <c r="S369" s="4"/>
      <c r="T369" s="4"/>
      <c r="U369" s="4"/>
    </row>
    <row r="370" spans="2:21" ht="26.15" hidden="1" customHeight="1">
      <c r="B370" s="2">
        <v>368</v>
      </c>
      <c r="C370" s="3">
        <v>43213</v>
      </c>
      <c r="D370" s="20">
        <v>2018</v>
      </c>
      <c r="E370" s="4" t="s">
        <v>34</v>
      </c>
      <c r="F370" s="5">
        <v>38123</v>
      </c>
      <c r="G370" s="4" t="s">
        <v>991</v>
      </c>
      <c r="H370" s="4" t="s">
        <v>992</v>
      </c>
      <c r="I370" s="4" t="s">
        <v>1715</v>
      </c>
      <c r="J370" s="4" t="s">
        <v>1716</v>
      </c>
      <c r="K370" s="4" t="s">
        <v>1717</v>
      </c>
      <c r="L370" s="2">
        <v>2014</v>
      </c>
      <c r="M370" s="4" t="s">
        <v>128</v>
      </c>
      <c r="N370" s="5">
        <v>1570818</v>
      </c>
      <c r="O370" s="4" t="s">
        <v>994</v>
      </c>
      <c r="P370" s="4" t="s">
        <v>995</v>
      </c>
      <c r="Q370" s="4"/>
      <c r="R370" s="4"/>
      <c r="S370" s="4"/>
      <c r="T370" s="4"/>
      <c r="U370" s="4"/>
    </row>
    <row r="371" spans="2:21" ht="26.15" hidden="1" customHeight="1">
      <c r="B371" s="2">
        <v>369</v>
      </c>
      <c r="C371" s="3">
        <v>43210</v>
      </c>
      <c r="D371" s="20">
        <v>2018</v>
      </c>
      <c r="E371" s="4" t="s">
        <v>34</v>
      </c>
      <c r="F371" s="5" t="s">
        <v>50</v>
      </c>
      <c r="G371" s="4" t="s">
        <v>1718</v>
      </c>
      <c r="H371" s="4" t="s">
        <v>1719</v>
      </c>
      <c r="I371" s="4" t="s">
        <v>1720</v>
      </c>
      <c r="J371" s="4"/>
      <c r="K371" s="4"/>
      <c r="L371" s="2">
        <v>2016</v>
      </c>
      <c r="M371" s="4" t="s">
        <v>1721</v>
      </c>
      <c r="N371" s="5"/>
      <c r="O371" s="4" t="s">
        <v>1722</v>
      </c>
      <c r="P371" s="4" t="s">
        <v>1723</v>
      </c>
      <c r="Q371" s="4"/>
      <c r="R371" s="4"/>
      <c r="S371" s="4"/>
      <c r="T371" s="4"/>
      <c r="U371" s="4"/>
    </row>
    <row r="372" spans="2:21" ht="26.15" hidden="1" customHeight="1">
      <c r="B372" s="2">
        <v>370</v>
      </c>
      <c r="C372" s="3">
        <v>43208</v>
      </c>
      <c r="D372" s="20">
        <v>2018</v>
      </c>
      <c r="E372" s="4" t="s">
        <v>34</v>
      </c>
      <c r="F372" s="5">
        <v>100000</v>
      </c>
      <c r="G372" s="4" t="s">
        <v>1724</v>
      </c>
      <c r="H372" s="4" t="s">
        <v>1725</v>
      </c>
      <c r="I372" s="4" t="s">
        <v>514</v>
      </c>
      <c r="J372" s="4"/>
      <c r="K372" s="4" t="s">
        <v>515</v>
      </c>
      <c r="L372" s="2">
        <v>2015</v>
      </c>
      <c r="M372" s="4" t="s">
        <v>787</v>
      </c>
      <c r="N372" s="5">
        <v>810223</v>
      </c>
      <c r="O372" s="4" t="s">
        <v>1726</v>
      </c>
      <c r="P372" s="4" t="s">
        <v>1727</v>
      </c>
      <c r="Q372" s="4"/>
      <c r="R372" s="4"/>
      <c r="S372" s="4"/>
      <c r="T372" s="4"/>
      <c r="U372" s="4"/>
    </row>
    <row r="373" spans="2:21" ht="26.15" hidden="1" customHeight="1">
      <c r="B373" s="2">
        <v>371</v>
      </c>
      <c r="C373" s="3">
        <v>43208</v>
      </c>
      <c r="D373" s="20">
        <v>2018</v>
      </c>
      <c r="E373" s="4" t="s">
        <v>109</v>
      </c>
      <c r="F373" s="5" t="s">
        <v>50</v>
      </c>
      <c r="G373" s="4" t="s">
        <v>1728</v>
      </c>
      <c r="H373" s="4" t="s">
        <v>1729</v>
      </c>
      <c r="I373" s="4" t="s">
        <v>1730</v>
      </c>
      <c r="J373" s="4"/>
      <c r="K373" s="4" t="s">
        <v>1731</v>
      </c>
      <c r="L373" s="2">
        <v>2015</v>
      </c>
      <c r="M373" s="4" t="s">
        <v>1732</v>
      </c>
      <c r="N373" s="5"/>
      <c r="O373" s="4" t="s">
        <v>1733</v>
      </c>
      <c r="P373" s="4" t="s">
        <v>1734</v>
      </c>
      <c r="Q373" s="4"/>
      <c r="R373" s="4"/>
      <c r="S373" s="4"/>
      <c r="T373" s="4"/>
      <c r="U373" s="4"/>
    </row>
    <row r="374" spans="2:21" ht="26.15" hidden="1" customHeight="1">
      <c r="B374" s="2">
        <v>372</v>
      </c>
      <c r="C374" s="3">
        <v>43206</v>
      </c>
      <c r="D374" s="20">
        <v>2018</v>
      </c>
      <c r="E374" s="4" t="s">
        <v>34</v>
      </c>
      <c r="F374" s="5">
        <v>120000</v>
      </c>
      <c r="G374" s="4" t="s">
        <v>712</v>
      </c>
      <c r="H374" s="4" t="s">
        <v>713</v>
      </c>
      <c r="I374" s="4" t="s">
        <v>1735</v>
      </c>
      <c r="J374" s="4"/>
      <c r="K374" s="4" t="s">
        <v>1736</v>
      </c>
      <c r="L374" s="2">
        <v>2018</v>
      </c>
      <c r="M374" s="4" t="s">
        <v>79</v>
      </c>
      <c r="N374" s="5">
        <v>1720000</v>
      </c>
      <c r="O374" s="4" t="s">
        <v>710</v>
      </c>
      <c r="P374" s="4" t="s">
        <v>716</v>
      </c>
      <c r="Q374" s="4"/>
      <c r="R374" s="4"/>
      <c r="S374" s="4"/>
      <c r="T374" s="4"/>
      <c r="U374" s="4"/>
    </row>
    <row r="375" spans="2:21" ht="26.15" hidden="1" customHeight="1">
      <c r="B375" s="2">
        <v>373</v>
      </c>
      <c r="C375" s="3">
        <v>43205</v>
      </c>
      <c r="D375" s="20">
        <v>2018</v>
      </c>
      <c r="E375" s="4" t="s">
        <v>34</v>
      </c>
      <c r="F375" s="5" t="s">
        <v>50</v>
      </c>
      <c r="G375" s="4" t="s">
        <v>664</v>
      </c>
      <c r="H375" s="4" t="s">
        <v>665</v>
      </c>
      <c r="I375" s="4" t="s">
        <v>1737</v>
      </c>
      <c r="J375" s="4"/>
      <c r="K375" s="4"/>
      <c r="L375" s="2">
        <v>2015</v>
      </c>
      <c r="M375" s="4" t="s">
        <v>382</v>
      </c>
      <c r="N375" s="5"/>
      <c r="O375" s="4" t="s">
        <v>667</v>
      </c>
      <c r="P375" s="4" t="s">
        <v>668</v>
      </c>
      <c r="Q375" s="4"/>
      <c r="R375" s="4"/>
      <c r="S375" s="4"/>
      <c r="T375" s="4"/>
      <c r="U375" s="4"/>
    </row>
    <row r="376" spans="2:21" ht="26.15" hidden="1" customHeight="1">
      <c r="B376" s="2">
        <v>374</v>
      </c>
      <c r="C376" s="3">
        <v>43203</v>
      </c>
      <c r="D376" s="20">
        <v>2018</v>
      </c>
      <c r="E376" s="4" t="s">
        <v>184</v>
      </c>
      <c r="F376" s="5">
        <v>15000</v>
      </c>
      <c r="G376" s="4" t="s">
        <v>1738</v>
      </c>
      <c r="H376" s="4" t="s">
        <v>1739</v>
      </c>
      <c r="I376" s="4" t="s">
        <v>1020</v>
      </c>
      <c r="J376" s="4"/>
      <c r="K376" s="4"/>
      <c r="L376" s="2">
        <v>2018</v>
      </c>
      <c r="M376" s="4" t="s">
        <v>1740</v>
      </c>
      <c r="N376" s="5"/>
      <c r="O376" s="4" t="s">
        <v>763</v>
      </c>
      <c r="P376" s="4" t="s">
        <v>1741</v>
      </c>
      <c r="Q376" s="4"/>
      <c r="R376" s="4"/>
      <c r="S376" s="4"/>
      <c r="T376" s="4"/>
      <c r="U376" s="4"/>
    </row>
    <row r="377" spans="2:21" ht="26.15" hidden="1" customHeight="1">
      <c r="B377" s="2">
        <v>375</v>
      </c>
      <c r="C377" s="3">
        <v>43203</v>
      </c>
      <c r="D377" s="20">
        <v>2018</v>
      </c>
      <c r="E377" s="4" t="s">
        <v>109</v>
      </c>
      <c r="F377" s="5">
        <v>885610</v>
      </c>
      <c r="G377" s="4" t="s">
        <v>1742</v>
      </c>
      <c r="H377" s="4" t="s">
        <v>1743</v>
      </c>
      <c r="I377" s="4" t="s">
        <v>1744</v>
      </c>
      <c r="J377" s="4"/>
      <c r="K377" s="4"/>
      <c r="L377" s="2">
        <v>2014</v>
      </c>
      <c r="M377" s="4" t="s">
        <v>1745</v>
      </c>
      <c r="N377" s="5">
        <v>885610</v>
      </c>
      <c r="O377" s="4" t="s">
        <v>1746</v>
      </c>
      <c r="P377" s="4" t="s">
        <v>1747</v>
      </c>
      <c r="Q377" s="4"/>
      <c r="R377" s="4"/>
      <c r="S377" s="4"/>
      <c r="T377" s="4"/>
      <c r="U377" s="4"/>
    </row>
    <row r="378" spans="2:21" ht="26.15" hidden="1" customHeight="1">
      <c r="B378" s="2">
        <v>376</v>
      </c>
      <c r="C378" s="3">
        <v>43202</v>
      </c>
      <c r="D378" s="20">
        <v>2018</v>
      </c>
      <c r="E378" s="4" t="s">
        <v>95</v>
      </c>
      <c r="F378" s="5" t="s">
        <v>50</v>
      </c>
      <c r="G378" s="4" t="s">
        <v>1748</v>
      </c>
      <c r="H378" s="4" t="s">
        <v>1749</v>
      </c>
      <c r="I378" s="4" t="s">
        <v>1750</v>
      </c>
      <c r="J378" s="4"/>
      <c r="K378" s="4" t="s">
        <v>1751</v>
      </c>
      <c r="L378" s="2">
        <v>2014</v>
      </c>
      <c r="M378" s="4" t="s">
        <v>1222</v>
      </c>
      <c r="N378" s="5">
        <v>14470000</v>
      </c>
      <c r="O378" s="4" t="s">
        <v>1752</v>
      </c>
      <c r="P378" s="4" t="s">
        <v>1753</v>
      </c>
      <c r="Q378" s="4"/>
      <c r="R378" s="4"/>
      <c r="S378" s="4"/>
      <c r="T378" s="4"/>
      <c r="U378" s="4"/>
    </row>
    <row r="379" spans="2:21" ht="26.15" hidden="1" customHeight="1">
      <c r="B379" s="2">
        <v>377</v>
      </c>
      <c r="C379" s="3">
        <v>43195</v>
      </c>
      <c r="D379" s="20">
        <v>2018</v>
      </c>
      <c r="E379" s="4" t="s">
        <v>34</v>
      </c>
      <c r="F379" s="5">
        <v>20152</v>
      </c>
      <c r="G379" s="4" t="s">
        <v>707</v>
      </c>
      <c r="H379" s="4" t="s">
        <v>708</v>
      </c>
      <c r="I379" s="4" t="s">
        <v>1735</v>
      </c>
      <c r="J379" s="4"/>
      <c r="K379" s="4" t="s">
        <v>1736</v>
      </c>
      <c r="L379" s="2">
        <v>2018</v>
      </c>
      <c r="M379" s="4" t="s">
        <v>79</v>
      </c>
      <c r="N379" s="5">
        <v>1819105</v>
      </c>
      <c r="O379" s="4" t="s">
        <v>710</v>
      </c>
      <c r="P379" s="4" t="s">
        <v>711</v>
      </c>
      <c r="Q379" s="4"/>
      <c r="R379" s="4"/>
      <c r="S379" s="4"/>
      <c r="T379" s="4"/>
      <c r="U379" s="4"/>
    </row>
    <row r="380" spans="2:21" ht="26.15" hidden="1" customHeight="1">
      <c r="B380" s="2">
        <v>378</v>
      </c>
      <c r="C380" s="3">
        <v>43193</v>
      </c>
      <c r="D380" s="20">
        <v>2018</v>
      </c>
      <c r="E380" s="4" t="s">
        <v>34</v>
      </c>
      <c r="F380" s="5">
        <v>460973</v>
      </c>
      <c r="G380" s="4" t="s">
        <v>1754</v>
      </c>
      <c r="H380" s="4" t="s">
        <v>1755</v>
      </c>
      <c r="I380" s="4" t="s">
        <v>1756</v>
      </c>
      <c r="J380" s="4" t="s">
        <v>1757</v>
      </c>
      <c r="K380" s="4"/>
      <c r="L380" s="2">
        <v>2013</v>
      </c>
      <c r="M380" s="4" t="s">
        <v>313</v>
      </c>
      <c r="N380" s="5">
        <v>1437605</v>
      </c>
      <c r="O380" s="4" t="s">
        <v>1758</v>
      </c>
      <c r="P380" s="4" t="s">
        <v>1759</v>
      </c>
      <c r="Q380" s="4"/>
      <c r="R380" s="4"/>
      <c r="S380" s="4"/>
      <c r="T380" s="4"/>
      <c r="U380" s="4"/>
    </row>
    <row r="381" spans="2:21" ht="26.15" hidden="1" customHeight="1">
      <c r="B381" s="2">
        <v>379</v>
      </c>
      <c r="C381" s="3">
        <v>43190</v>
      </c>
      <c r="D381" s="20">
        <v>2018</v>
      </c>
      <c r="E381" s="4" t="s">
        <v>109</v>
      </c>
      <c r="F381" s="5">
        <v>3966120</v>
      </c>
      <c r="G381" s="4" t="s">
        <v>185</v>
      </c>
      <c r="H381" s="4" t="s">
        <v>186</v>
      </c>
      <c r="I381" s="4" t="s">
        <v>1760</v>
      </c>
      <c r="J381" s="4" t="s">
        <v>1761</v>
      </c>
      <c r="K381" s="4" t="s">
        <v>1762</v>
      </c>
      <c r="L381" s="2">
        <v>2015</v>
      </c>
      <c r="M381" s="4" t="s">
        <v>188</v>
      </c>
      <c r="N381" s="5">
        <v>65736870</v>
      </c>
      <c r="O381" s="4" t="s">
        <v>189</v>
      </c>
      <c r="P381" s="4" t="s">
        <v>190</v>
      </c>
      <c r="Q381" s="4"/>
      <c r="R381" s="4"/>
      <c r="S381" s="4"/>
      <c r="T381" s="4"/>
      <c r="U381" s="4"/>
    </row>
    <row r="382" spans="2:21" ht="26.15" hidden="1" customHeight="1">
      <c r="B382" s="2">
        <v>380</v>
      </c>
      <c r="C382" s="3">
        <v>43190</v>
      </c>
      <c r="D382" s="20">
        <v>2018</v>
      </c>
      <c r="E382" s="4" t="s">
        <v>124</v>
      </c>
      <c r="F382" s="5">
        <v>215216</v>
      </c>
      <c r="G382" s="4" t="s">
        <v>1763</v>
      </c>
      <c r="H382" s="4" t="s">
        <v>1764</v>
      </c>
      <c r="I382" s="4"/>
      <c r="J382" s="4" t="s">
        <v>1765</v>
      </c>
      <c r="K382" s="4" t="s">
        <v>1766</v>
      </c>
      <c r="L382" s="2">
        <v>2006</v>
      </c>
      <c r="M382" s="4" t="s">
        <v>47</v>
      </c>
      <c r="N382" s="5">
        <v>9099055</v>
      </c>
      <c r="O382" s="4" t="s">
        <v>1767</v>
      </c>
      <c r="P382" s="4" t="s">
        <v>1768</v>
      </c>
      <c r="Q382" s="4"/>
      <c r="R382" s="4"/>
      <c r="S382" s="4"/>
      <c r="T382" s="4"/>
      <c r="U382" s="4"/>
    </row>
    <row r="383" spans="2:21" ht="26.15" hidden="1" customHeight="1">
      <c r="B383" s="2">
        <v>381</v>
      </c>
      <c r="C383" s="3">
        <v>43189</v>
      </c>
      <c r="D383" s="20">
        <v>2018</v>
      </c>
      <c r="E383" s="4" t="s">
        <v>109</v>
      </c>
      <c r="F383" s="5">
        <v>153626</v>
      </c>
      <c r="G383" s="4" t="s">
        <v>641</v>
      </c>
      <c r="H383" s="4" t="s">
        <v>642</v>
      </c>
      <c r="I383" s="4" t="s">
        <v>1769</v>
      </c>
      <c r="J383" s="4"/>
      <c r="K383" s="4" t="s">
        <v>1770</v>
      </c>
      <c r="L383" s="2">
        <v>2009</v>
      </c>
      <c r="M383" s="4" t="s">
        <v>47</v>
      </c>
      <c r="N383" s="5">
        <v>10590520</v>
      </c>
      <c r="O383" s="4" t="s">
        <v>645</v>
      </c>
      <c r="P383" s="4" t="s">
        <v>646</v>
      </c>
      <c r="Q383" s="4" t="s">
        <v>1771</v>
      </c>
      <c r="R383" s="4"/>
      <c r="S383" s="4"/>
      <c r="T383" s="4"/>
      <c r="U383" s="4"/>
    </row>
    <row r="384" spans="2:21" ht="26.15" hidden="1" customHeight="1">
      <c r="B384" s="2">
        <v>382</v>
      </c>
      <c r="C384" s="3">
        <v>43187</v>
      </c>
      <c r="D384" s="20">
        <v>2018</v>
      </c>
      <c r="E384" s="4" t="s">
        <v>34</v>
      </c>
      <c r="F384" s="5">
        <v>2329080</v>
      </c>
      <c r="G384" s="4" t="s">
        <v>1239</v>
      </c>
      <c r="H384" s="4" t="s">
        <v>1240</v>
      </c>
      <c r="I384" s="4" t="s">
        <v>643</v>
      </c>
      <c r="J384" s="4" t="s">
        <v>1772</v>
      </c>
      <c r="K384" s="4" t="s">
        <v>644</v>
      </c>
      <c r="L384" s="2">
        <v>2016</v>
      </c>
      <c r="M384" s="4" t="s">
        <v>1243</v>
      </c>
      <c r="N384" s="5">
        <v>4352191</v>
      </c>
      <c r="O384" s="4" t="s">
        <v>1244</v>
      </c>
      <c r="P384" s="4" t="s">
        <v>1245</v>
      </c>
      <c r="Q384" s="4"/>
      <c r="R384" s="4"/>
      <c r="S384" s="4"/>
      <c r="T384" s="4"/>
      <c r="U384" s="4"/>
    </row>
    <row r="385" spans="2:21" ht="26.15" hidden="1" customHeight="1">
      <c r="B385" s="2">
        <v>383</v>
      </c>
      <c r="C385" s="3">
        <v>43178</v>
      </c>
      <c r="D385" s="20">
        <v>2018</v>
      </c>
      <c r="E385" s="4" t="s">
        <v>184</v>
      </c>
      <c r="F385" s="5">
        <v>2300000</v>
      </c>
      <c r="G385" s="4" t="s">
        <v>1773</v>
      </c>
      <c r="H385" s="4" t="s">
        <v>1774</v>
      </c>
      <c r="I385" s="4" t="s">
        <v>1775</v>
      </c>
      <c r="J385" s="4"/>
      <c r="K385" s="4"/>
      <c r="L385" s="2">
        <v>2016</v>
      </c>
      <c r="M385" s="4" t="s">
        <v>270</v>
      </c>
      <c r="N385" s="5"/>
      <c r="O385" s="4" t="s">
        <v>1776</v>
      </c>
      <c r="P385" s="4" t="s">
        <v>1777</v>
      </c>
      <c r="Q385" s="4"/>
      <c r="R385" s="4"/>
      <c r="S385" s="4"/>
      <c r="T385" s="4"/>
      <c r="U385" s="4"/>
    </row>
    <row r="386" spans="2:21" ht="26.15" hidden="1" customHeight="1">
      <c r="B386" s="2">
        <v>384</v>
      </c>
      <c r="C386" s="3">
        <v>43178</v>
      </c>
      <c r="D386" s="20">
        <v>2018</v>
      </c>
      <c r="E386" s="4" t="s">
        <v>34</v>
      </c>
      <c r="F386" s="5">
        <v>3068990</v>
      </c>
      <c r="G386" s="4" t="s">
        <v>878</v>
      </c>
      <c r="H386" s="4" t="s">
        <v>879</v>
      </c>
      <c r="I386" s="4" t="s">
        <v>880</v>
      </c>
      <c r="J386" s="4" t="s">
        <v>1778</v>
      </c>
      <c r="K386" s="4" t="s">
        <v>1778</v>
      </c>
      <c r="L386" s="2">
        <v>2015</v>
      </c>
      <c r="M386" s="4" t="s">
        <v>56</v>
      </c>
      <c r="N386" s="5">
        <v>9059375</v>
      </c>
      <c r="O386" s="4" t="s">
        <v>883</v>
      </c>
      <c r="P386" s="4" t="s">
        <v>884</v>
      </c>
      <c r="Q386" s="4"/>
      <c r="R386" s="4"/>
      <c r="S386" s="4"/>
      <c r="T386" s="4"/>
      <c r="U386" s="4"/>
    </row>
    <row r="387" spans="2:21" ht="26.15" hidden="1" customHeight="1">
      <c r="B387" s="2">
        <v>385</v>
      </c>
      <c r="C387" s="3">
        <v>43173</v>
      </c>
      <c r="D387" s="20">
        <v>2018</v>
      </c>
      <c r="E387" s="4" t="s">
        <v>109</v>
      </c>
      <c r="F387" s="5">
        <v>6000000</v>
      </c>
      <c r="G387" s="4" t="s">
        <v>26</v>
      </c>
      <c r="H387" s="4" t="s">
        <v>27</v>
      </c>
      <c r="I387" s="4" t="s">
        <v>1779</v>
      </c>
      <c r="J387" s="4"/>
      <c r="K387" s="4" t="s">
        <v>588</v>
      </c>
      <c r="L387" s="2">
        <v>2015</v>
      </c>
      <c r="M387" s="4" t="s">
        <v>30</v>
      </c>
      <c r="N387" s="5">
        <v>30000000</v>
      </c>
      <c r="O387" s="4" t="s">
        <v>31</v>
      </c>
      <c r="P387" s="4" t="s">
        <v>32</v>
      </c>
      <c r="Q387" s="4"/>
      <c r="R387" s="4"/>
      <c r="S387" s="4"/>
      <c r="T387" s="4"/>
      <c r="U387" s="4"/>
    </row>
    <row r="388" spans="2:21" ht="26.15" hidden="1" customHeight="1">
      <c r="B388" s="2">
        <v>386</v>
      </c>
      <c r="C388" s="3">
        <v>43173</v>
      </c>
      <c r="D388" s="20">
        <v>2018</v>
      </c>
      <c r="E388" s="4" t="s">
        <v>34</v>
      </c>
      <c r="F388" s="5" t="s">
        <v>50</v>
      </c>
      <c r="G388" s="4" t="s">
        <v>1780</v>
      </c>
      <c r="H388" s="4" t="s">
        <v>1781</v>
      </c>
      <c r="I388" s="4"/>
      <c r="J388" s="4"/>
      <c r="K388" s="4"/>
      <c r="L388" s="2">
        <v>2005</v>
      </c>
      <c r="M388" s="4" t="s">
        <v>1222</v>
      </c>
      <c r="N388" s="5"/>
      <c r="O388" s="4" t="s">
        <v>1782</v>
      </c>
      <c r="P388" s="4" t="s">
        <v>1783</v>
      </c>
      <c r="Q388" s="4"/>
      <c r="R388" s="4"/>
      <c r="S388" s="4"/>
      <c r="T388" s="4"/>
      <c r="U388" s="4"/>
    </row>
    <row r="389" spans="2:21" ht="26.15" hidden="1" customHeight="1">
      <c r="B389" s="2">
        <v>387</v>
      </c>
      <c r="C389" s="3">
        <v>43168</v>
      </c>
      <c r="D389" s="20">
        <v>2018</v>
      </c>
      <c r="E389" s="4" t="s">
        <v>124</v>
      </c>
      <c r="F389" s="5">
        <v>789189</v>
      </c>
      <c r="G389" s="4" t="s">
        <v>1784</v>
      </c>
      <c r="H389" s="4" t="s">
        <v>1785</v>
      </c>
      <c r="I389" s="4"/>
      <c r="J389" s="4"/>
      <c r="K389" s="4"/>
      <c r="L389" s="2">
        <v>2016</v>
      </c>
      <c r="M389" s="4" t="s">
        <v>894</v>
      </c>
      <c r="N389" s="5">
        <v>789189</v>
      </c>
      <c r="O389" s="4" t="s">
        <v>935</v>
      </c>
      <c r="P389" s="4" t="s">
        <v>936</v>
      </c>
      <c r="Q389" s="4"/>
      <c r="R389" s="4"/>
      <c r="S389" s="4"/>
      <c r="T389" s="4"/>
      <c r="U389" s="4"/>
    </row>
    <row r="390" spans="2:21" ht="26.15" hidden="1" customHeight="1">
      <c r="B390" s="2">
        <v>388</v>
      </c>
      <c r="C390" s="3">
        <v>43166</v>
      </c>
      <c r="D390" s="20">
        <v>2018</v>
      </c>
      <c r="E390" s="4" t="s">
        <v>34</v>
      </c>
      <c r="F390" s="5">
        <v>384566</v>
      </c>
      <c r="G390" s="4" t="s">
        <v>322</v>
      </c>
      <c r="H390" s="4" t="s">
        <v>323</v>
      </c>
      <c r="I390" s="4" t="s">
        <v>1786</v>
      </c>
      <c r="J390" s="4" t="s">
        <v>1787</v>
      </c>
      <c r="K390" s="4" t="s">
        <v>1788</v>
      </c>
      <c r="L390" s="2">
        <v>2013</v>
      </c>
      <c r="M390" s="4" t="s">
        <v>79</v>
      </c>
      <c r="N390" s="5">
        <v>814923</v>
      </c>
      <c r="O390" s="4" t="s">
        <v>327</v>
      </c>
      <c r="P390" s="4" t="s">
        <v>328</v>
      </c>
      <c r="Q390" s="4"/>
      <c r="R390" s="4"/>
      <c r="S390" s="4"/>
      <c r="T390" s="4"/>
      <c r="U390" s="4"/>
    </row>
    <row r="391" spans="2:21" ht="26.15" customHeight="1">
      <c r="B391" s="2">
        <v>389</v>
      </c>
      <c r="C391" s="3">
        <v>43165</v>
      </c>
      <c r="D391" s="20">
        <v>2018</v>
      </c>
      <c r="E391" s="4" t="s">
        <v>184</v>
      </c>
      <c r="F391" s="5">
        <v>123762</v>
      </c>
      <c r="G391" s="4" t="s">
        <v>1789</v>
      </c>
      <c r="H391" s="4" t="s">
        <v>1790</v>
      </c>
      <c r="I391" s="4" t="s">
        <v>1791</v>
      </c>
      <c r="J391" s="4"/>
      <c r="K391" s="4"/>
      <c r="L391" s="2">
        <v>2016</v>
      </c>
      <c r="M391" s="4" t="s">
        <v>369</v>
      </c>
      <c r="N391" s="5"/>
      <c r="O391" s="4" t="s">
        <v>1792</v>
      </c>
      <c r="P391" s="4" t="s">
        <v>1793</v>
      </c>
      <c r="Q391" s="4"/>
      <c r="R391" s="4"/>
      <c r="S391" s="4"/>
      <c r="T391" s="4"/>
      <c r="U391" s="4"/>
    </row>
    <row r="392" spans="2:21" ht="26.15" hidden="1" customHeight="1">
      <c r="B392" s="2">
        <v>390</v>
      </c>
      <c r="C392" s="3">
        <v>43165</v>
      </c>
      <c r="D392" s="20">
        <v>2018</v>
      </c>
      <c r="E392" s="4" t="s">
        <v>34</v>
      </c>
      <c r="F392" s="5">
        <v>1534240</v>
      </c>
      <c r="G392" s="4" t="s">
        <v>878</v>
      </c>
      <c r="H392" s="4" t="s">
        <v>879</v>
      </c>
      <c r="I392" s="4" t="s">
        <v>1794</v>
      </c>
      <c r="J392" s="4"/>
      <c r="K392" s="4"/>
      <c r="L392" s="2">
        <v>2015</v>
      </c>
      <c r="M392" s="4" t="s">
        <v>56</v>
      </c>
      <c r="N392" s="5">
        <v>9059375</v>
      </c>
      <c r="O392" s="4" t="s">
        <v>883</v>
      </c>
      <c r="P392" s="4" t="s">
        <v>884</v>
      </c>
      <c r="Q392" s="4"/>
      <c r="R392" s="4"/>
      <c r="S392" s="4"/>
      <c r="T392" s="4"/>
      <c r="U392" s="4"/>
    </row>
    <row r="393" spans="2:21" ht="26.15" hidden="1" customHeight="1">
      <c r="B393" s="2">
        <v>391</v>
      </c>
      <c r="C393" s="3">
        <v>43165</v>
      </c>
      <c r="D393" s="20">
        <v>2018</v>
      </c>
      <c r="E393" s="4" t="s">
        <v>34</v>
      </c>
      <c r="F393" s="5" t="s">
        <v>50</v>
      </c>
      <c r="G393" s="4" t="s">
        <v>1795</v>
      </c>
      <c r="H393" s="4" t="s">
        <v>1796</v>
      </c>
      <c r="I393" s="4" t="s">
        <v>1394</v>
      </c>
      <c r="J393" s="4"/>
      <c r="K393" s="4" t="s">
        <v>1395</v>
      </c>
      <c r="L393" s="2">
        <v>2015</v>
      </c>
      <c r="M393" s="4" t="s">
        <v>39</v>
      </c>
      <c r="N393" s="5"/>
      <c r="O393" s="4" t="s">
        <v>1797</v>
      </c>
      <c r="P393" s="4" t="s">
        <v>1798</v>
      </c>
      <c r="Q393" s="4"/>
      <c r="R393" s="4"/>
      <c r="S393" s="4"/>
      <c r="T393" s="4"/>
      <c r="U393" s="4"/>
    </row>
    <row r="394" spans="2:21" ht="26.15" hidden="1" customHeight="1">
      <c r="B394" s="2">
        <v>392</v>
      </c>
      <c r="C394" s="3">
        <v>43164</v>
      </c>
      <c r="D394" s="20">
        <v>2018</v>
      </c>
      <c r="E394" s="4" t="s">
        <v>302</v>
      </c>
      <c r="F394" s="5">
        <v>1100000</v>
      </c>
      <c r="G394" s="4" t="s">
        <v>96</v>
      </c>
      <c r="H394" s="4" t="s">
        <v>97</v>
      </c>
      <c r="I394" s="4" t="s">
        <v>723</v>
      </c>
      <c r="J394" s="4"/>
      <c r="K394" s="4"/>
      <c r="L394" s="2">
        <v>2015</v>
      </c>
      <c r="M394" s="4" t="s">
        <v>79</v>
      </c>
      <c r="N394" s="5">
        <v>163285834</v>
      </c>
      <c r="O394" s="4" t="s">
        <v>100</v>
      </c>
      <c r="P394" s="4" t="s">
        <v>101</v>
      </c>
      <c r="Q394" s="4"/>
      <c r="R394" s="4"/>
      <c r="S394" s="4"/>
      <c r="T394" s="4"/>
      <c r="U394" s="4"/>
    </row>
    <row r="395" spans="2:21" ht="26.15" hidden="1" customHeight="1">
      <c r="B395" s="2">
        <v>393</v>
      </c>
      <c r="C395" s="3">
        <v>43164</v>
      </c>
      <c r="D395" s="20">
        <v>2018</v>
      </c>
      <c r="E395" s="4" t="s">
        <v>34</v>
      </c>
      <c r="F395" s="5" t="s">
        <v>50</v>
      </c>
      <c r="G395" s="4" t="s">
        <v>1724</v>
      </c>
      <c r="H395" s="4" t="s">
        <v>1725</v>
      </c>
      <c r="I395" s="4" t="s">
        <v>1799</v>
      </c>
      <c r="J395" s="4"/>
      <c r="K395" s="4"/>
      <c r="L395" s="2">
        <v>2015</v>
      </c>
      <c r="M395" s="4" t="s">
        <v>787</v>
      </c>
      <c r="N395" s="5">
        <v>810223</v>
      </c>
      <c r="O395" s="4" t="s">
        <v>1726</v>
      </c>
      <c r="P395" s="4" t="s">
        <v>1727</v>
      </c>
      <c r="Q395" s="4"/>
      <c r="R395" s="4"/>
      <c r="S395" s="4"/>
      <c r="T395" s="4"/>
      <c r="U395" s="4"/>
    </row>
    <row r="396" spans="2:21" ht="26.15" hidden="1" customHeight="1">
      <c r="B396" s="2">
        <v>394</v>
      </c>
      <c r="C396" s="3">
        <v>43164</v>
      </c>
      <c r="D396" s="20">
        <v>2018</v>
      </c>
      <c r="E396" s="4" t="s">
        <v>34</v>
      </c>
      <c r="F396" s="5">
        <v>1000000</v>
      </c>
      <c r="G396" s="4" t="s">
        <v>897</v>
      </c>
      <c r="H396" s="4" t="s">
        <v>898</v>
      </c>
      <c r="I396" s="4" t="s">
        <v>1092</v>
      </c>
      <c r="J396" s="4"/>
      <c r="K396" s="4" t="s">
        <v>1093</v>
      </c>
      <c r="L396" s="2">
        <v>2016</v>
      </c>
      <c r="M396" s="4" t="s">
        <v>902</v>
      </c>
      <c r="N396" s="5">
        <v>8062080</v>
      </c>
      <c r="O396" s="4" t="s">
        <v>903</v>
      </c>
      <c r="P396" s="4" t="s">
        <v>904</v>
      </c>
      <c r="Q396" s="4"/>
      <c r="R396" s="4"/>
      <c r="S396" s="4"/>
      <c r="T396" s="4"/>
      <c r="U396" s="4"/>
    </row>
    <row r="397" spans="2:21" ht="26.15" hidden="1" customHeight="1">
      <c r="B397" s="2">
        <v>395</v>
      </c>
      <c r="C397" s="3">
        <v>43162</v>
      </c>
      <c r="D397" s="20">
        <v>2018</v>
      </c>
      <c r="E397" s="4" t="s">
        <v>124</v>
      </c>
      <c r="F397" s="5">
        <v>229800</v>
      </c>
      <c r="G397" s="4" t="s">
        <v>185</v>
      </c>
      <c r="H397" s="4" t="s">
        <v>186</v>
      </c>
      <c r="I397" s="4"/>
      <c r="J397" s="4" t="s">
        <v>1800</v>
      </c>
      <c r="K397" s="4" t="s">
        <v>1801</v>
      </c>
      <c r="L397" s="2">
        <v>2015</v>
      </c>
      <c r="M397" s="4" t="s">
        <v>188</v>
      </c>
      <c r="N397" s="5">
        <v>65736870</v>
      </c>
      <c r="O397" s="4" t="s">
        <v>189</v>
      </c>
      <c r="P397" s="4" t="s">
        <v>190</v>
      </c>
      <c r="Q397" s="4"/>
      <c r="R397" s="4"/>
      <c r="S397" s="4"/>
      <c r="T397" s="4"/>
      <c r="U397" s="4"/>
    </row>
    <row r="398" spans="2:21" ht="26.15" hidden="1" customHeight="1">
      <c r="B398" s="2">
        <v>396</v>
      </c>
      <c r="C398" s="3">
        <v>43161</v>
      </c>
      <c r="D398" s="20">
        <v>2018</v>
      </c>
      <c r="E398" s="4" t="s">
        <v>25</v>
      </c>
      <c r="F398" s="5" t="s">
        <v>50</v>
      </c>
      <c r="G398" s="4" t="s">
        <v>1476</v>
      </c>
      <c r="H398" s="4" t="s">
        <v>1477</v>
      </c>
      <c r="I398" s="4" t="s">
        <v>1478</v>
      </c>
      <c r="J398" s="4"/>
      <c r="K398" s="4"/>
      <c r="L398" s="2">
        <v>2014</v>
      </c>
      <c r="M398" s="4" t="s">
        <v>1479</v>
      </c>
      <c r="N398" s="5">
        <v>6141730</v>
      </c>
      <c r="O398" s="4" t="s">
        <v>1480</v>
      </c>
      <c r="P398" s="4" t="s">
        <v>1481</v>
      </c>
      <c r="Q398" s="4"/>
      <c r="R398" s="4"/>
      <c r="S398" s="4"/>
      <c r="T398" s="4"/>
      <c r="U398" s="4"/>
    </row>
    <row r="399" spans="2:21" ht="26.15" hidden="1" customHeight="1">
      <c r="B399" s="2">
        <v>397</v>
      </c>
      <c r="C399" s="3">
        <v>43160</v>
      </c>
      <c r="D399" s="20">
        <v>2018</v>
      </c>
      <c r="E399" s="4" t="s">
        <v>289</v>
      </c>
      <c r="F399" s="5">
        <v>300000000</v>
      </c>
      <c r="G399" s="4" t="s">
        <v>1407</v>
      </c>
      <c r="H399" s="4" t="s">
        <v>1408</v>
      </c>
      <c r="I399" s="4"/>
      <c r="J399" s="4"/>
      <c r="K399" s="4"/>
      <c r="L399" s="2">
        <v>1969</v>
      </c>
      <c r="M399" s="4" t="s">
        <v>313</v>
      </c>
      <c r="N399" s="5"/>
      <c r="O399" s="4" t="s">
        <v>1409</v>
      </c>
      <c r="P399" s="4" t="s">
        <v>672</v>
      </c>
      <c r="Q399" s="4"/>
      <c r="R399" s="4"/>
      <c r="S399" s="4"/>
      <c r="T399" s="4"/>
      <c r="U399" s="4"/>
    </row>
    <row r="400" spans="2:21" ht="26.15" customHeight="1">
      <c r="B400" s="2">
        <v>398</v>
      </c>
      <c r="C400" s="3">
        <v>43160</v>
      </c>
      <c r="D400" s="20">
        <v>2018</v>
      </c>
      <c r="E400" s="4" t="s">
        <v>34</v>
      </c>
      <c r="F400" s="5">
        <v>110000</v>
      </c>
      <c r="G400" s="4" t="s">
        <v>1802</v>
      </c>
      <c r="H400" s="4" t="s">
        <v>1803</v>
      </c>
      <c r="I400" s="4" t="s">
        <v>1804</v>
      </c>
      <c r="J400" s="4"/>
      <c r="K400" s="4" t="s">
        <v>1805</v>
      </c>
      <c r="L400" s="2">
        <v>2015</v>
      </c>
      <c r="M400" s="4" t="s">
        <v>369</v>
      </c>
      <c r="N400" s="5">
        <v>910000</v>
      </c>
      <c r="O400" s="4" t="s">
        <v>1806</v>
      </c>
      <c r="P400" s="4" t="s">
        <v>1807</v>
      </c>
      <c r="Q400" s="4"/>
      <c r="R400" s="4"/>
      <c r="S400" s="4"/>
      <c r="T400" s="4"/>
      <c r="U400" s="4"/>
    </row>
    <row r="401" spans="2:21" ht="26.15" hidden="1" customHeight="1">
      <c r="B401" s="2">
        <v>399</v>
      </c>
      <c r="C401" s="3">
        <v>43158</v>
      </c>
      <c r="D401" s="20">
        <v>2018</v>
      </c>
      <c r="E401" s="4" t="s">
        <v>184</v>
      </c>
      <c r="F401" s="5">
        <v>325000</v>
      </c>
      <c r="G401" s="4" t="s">
        <v>1147</v>
      </c>
      <c r="H401" s="4" t="s">
        <v>1148</v>
      </c>
      <c r="I401" s="4" t="s">
        <v>1808</v>
      </c>
      <c r="J401" s="4"/>
      <c r="K401" s="4"/>
      <c r="L401" s="2">
        <v>2016</v>
      </c>
      <c r="M401" s="4" t="s">
        <v>1151</v>
      </c>
      <c r="N401" s="5">
        <v>2000000</v>
      </c>
      <c r="O401" s="4" t="s">
        <v>1152</v>
      </c>
      <c r="P401" s="4" t="s">
        <v>1153</v>
      </c>
      <c r="Q401" s="4"/>
      <c r="R401" s="4"/>
      <c r="S401" s="4"/>
      <c r="T401" s="4"/>
      <c r="U401" s="4"/>
    </row>
    <row r="402" spans="2:21" ht="26.15" hidden="1" customHeight="1">
      <c r="B402" s="2">
        <v>400</v>
      </c>
      <c r="C402" s="3">
        <v>43157</v>
      </c>
      <c r="D402" s="20">
        <v>2018</v>
      </c>
      <c r="E402" s="4" t="s">
        <v>109</v>
      </c>
      <c r="F402" s="5">
        <v>5000000</v>
      </c>
      <c r="G402" s="4" t="s">
        <v>1672</v>
      </c>
      <c r="H402" s="4" t="s">
        <v>1673</v>
      </c>
      <c r="I402" s="4"/>
      <c r="J402" s="4"/>
      <c r="K402" s="4"/>
      <c r="L402" s="2">
        <v>2017</v>
      </c>
      <c r="M402" s="4" t="s">
        <v>181</v>
      </c>
      <c r="N402" s="5">
        <v>5386498</v>
      </c>
      <c r="O402" s="4" t="s">
        <v>1675</v>
      </c>
      <c r="P402" s="4" t="s">
        <v>1676</v>
      </c>
      <c r="Q402" s="4"/>
      <c r="R402" s="4"/>
      <c r="S402" s="4"/>
      <c r="T402" s="4"/>
      <c r="U402" s="4"/>
    </row>
    <row r="403" spans="2:21" ht="26.15" customHeight="1">
      <c r="B403" s="2">
        <v>401</v>
      </c>
      <c r="C403" s="3">
        <v>43157</v>
      </c>
      <c r="D403" s="20">
        <v>2018</v>
      </c>
      <c r="E403" s="4" t="s">
        <v>109</v>
      </c>
      <c r="F403" s="5">
        <v>4000000</v>
      </c>
      <c r="G403" s="4" t="s">
        <v>353</v>
      </c>
      <c r="H403" s="4" t="s">
        <v>354</v>
      </c>
      <c r="I403" s="4" t="s">
        <v>1809</v>
      </c>
      <c r="J403" s="4" t="s">
        <v>1810</v>
      </c>
      <c r="K403" s="4" t="s">
        <v>1811</v>
      </c>
      <c r="L403" s="2">
        <v>2013</v>
      </c>
      <c r="M403" s="4" t="s">
        <v>357</v>
      </c>
      <c r="N403" s="5">
        <v>9700000</v>
      </c>
      <c r="O403" s="4" t="s">
        <v>358</v>
      </c>
      <c r="P403" s="4" t="s">
        <v>359</v>
      </c>
      <c r="Q403" s="4"/>
      <c r="R403" s="4"/>
      <c r="S403" s="4"/>
      <c r="T403" s="4"/>
      <c r="U403" s="4"/>
    </row>
    <row r="404" spans="2:21" ht="26.15" hidden="1" customHeight="1">
      <c r="B404" s="2">
        <v>402</v>
      </c>
      <c r="C404" s="3">
        <v>43153</v>
      </c>
      <c r="D404" s="20">
        <v>2018</v>
      </c>
      <c r="E404" s="4" t="s">
        <v>25</v>
      </c>
      <c r="F404" s="5" t="s">
        <v>50</v>
      </c>
      <c r="G404" s="4" t="s">
        <v>544</v>
      </c>
      <c r="H404" s="4" t="s">
        <v>545</v>
      </c>
      <c r="I404" s="4" t="s">
        <v>1812</v>
      </c>
      <c r="J404" s="4"/>
      <c r="K404" s="4" t="s">
        <v>492</v>
      </c>
      <c r="L404" s="2">
        <v>2007</v>
      </c>
      <c r="M404" s="4" t="s">
        <v>547</v>
      </c>
      <c r="N404" s="5">
        <v>40000000</v>
      </c>
      <c r="O404" s="4" t="s">
        <v>548</v>
      </c>
      <c r="P404" s="4" t="s">
        <v>549</v>
      </c>
      <c r="Q404" s="4"/>
      <c r="R404" s="4"/>
      <c r="S404" s="4"/>
      <c r="T404" s="4"/>
      <c r="U404" s="4"/>
    </row>
    <row r="405" spans="2:21" ht="26.15" hidden="1" customHeight="1">
      <c r="B405" s="2">
        <v>403</v>
      </c>
      <c r="C405" s="3">
        <v>43152</v>
      </c>
      <c r="D405" s="20">
        <v>2018</v>
      </c>
      <c r="E405" s="4" t="s">
        <v>34</v>
      </c>
      <c r="F405" s="5">
        <v>15414</v>
      </c>
      <c r="G405" s="4" t="s">
        <v>1058</v>
      </c>
      <c r="H405" s="4" t="s">
        <v>1059</v>
      </c>
      <c r="I405" s="4" t="s">
        <v>1813</v>
      </c>
      <c r="J405" s="4"/>
      <c r="K405" s="4" t="s">
        <v>1814</v>
      </c>
      <c r="L405" s="2">
        <v>2017</v>
      </c>
      <c r="M405" s="4" t="s">
        <v>313</v>
      </c>
      <c r="N405" s="5">
        <v>101208</v>
      </c>
      <c r="O405" s="4" t="s">
        <v>1061</v>
      </c>
      <c r="P405" s="4" t="s">
        <v>1062</v>
      </c>
      <c r="Q405" s="4"/>
      <c r="R405" s="4"/>
      <c r="S405" s="4"/>
      <c r="T405" s="4"/>
      <c r="U405" s="4"/>
    </row>
    <row r="406" spans="2:21" ht="26.15" hidden="1" customHeight="1">
      <c r="B406" s="2">
        <v>404</v>
      </c>
      <c r="C406" s="3">
        <v>43151</v>
      </c>
      <c r="D406" s="20">
        <v>2018</v>
      </c>
      <c r="E406" s="4" t="s">
        <v>34</v>
      </c>
      <c r="F406" s="5">
        <v>500000</v>
      </c>
      <c r="G406" s="4" t="s">
        <v>1490</v>
      </c>
      <c r="H406" s="4" t="s">
        <v>1491</v>
      </c>
      <c r="I406" s="4" t="s">
        <v>1492</v>
      </c>
      <c r="J406" s="4" t="s">
        <v>1815</v>
      </c>
      <c r="K406" s="4" t="s">
        <v>1467</v>
      </c>
      <c r="L406" s="2">
        <v>2016</v>
      </c>
      <c r="M406" s="4" t="s">
        <v>1494</v>
      </c>
      <c r="N406" s="5">
        <v>774776</v>
      </c>
      <c r="O406" s="4" t="s">
        <v>1495</v>
      </c>
      <c r="P406" s="4" t="s">
        <v>1496</v>
      </c>
      <c r="Q406" s="4"/>
      <c r="R406" s="4"/>
      <c r="S406" s="4"/>
      <c r="T406" s="4"/>
      <c r="U406" s="4"/>
    </row>
    <row r="407" spans="2:21" ht="26.15" hidden="1" customHeight="1">
      <c r="B407" s="2">
        <v>405</v>
      </c>
      <c r="C407" s="3">
        <v>43150</v>
      </c>
      <c r="D407" s="20">
        <v>2018</v>
      </c>
      <c r="E407" s="4" t="s">
        <v>34</v>
      </c>
      <c r="F407" s="5">
        <v>350000</v>
      </c>
      <c r="G407" s="4" t="s">
        <v>1816</v>
      </c>
      <c r="H407" s="4" t="s">
        <v>1817</v>
      </c>
      <c r="I407" s="4" t="s">
        <v>1818</v>
      </c>
      <c r="J407" s="4"/>
      <c r="K407" s="4"/>
      <c r="L407" s="2">
        <v>2014</v>
      </c>
      <c r="M407" s="4" t="s">
        <v>1588</v>
      </c>
      <c r="N407" s="5">
        <v>350000</v>
      </c>
      <c r="O407" s="4" t="s">
        <v>1819</v>
      </c>
      <c r="P407" s="4" t="s">
        <v>1820</v>
      </c>
      <c r="Q407" s="4"/>
      <c r="R407" s="4"/>
      <c r="S407" s="4"/>
      <c r="T407" s="4"/>
      <c r="U407" s="4"/>
    </row>
    <row r="408" spans="2:21" ht="26.15" hidden="1" customHeight="1">
      <c r="B408" s="2">
        <v>406</v>
      </c>
      <c r="C408" s="3">
        <v>43141</v>
      </c>
      <c r="D408" s="20">
        <v>2018</v>
      </c>
      <c r="E408" s="4" t="s">
        <v>184</v>
      </c>
      <c r="F408" s="5" t="s">
        <v>50</v>
      </c>
      <c r="G408" s="4" t="s">
        <v>1554</v>
      </c>
      <c r="H408" s="4" t="s">
        <v>1555</v>
      </c>
      <c r="I408" s="4" t="s">
        <v>1821</v>
      </c>
      <c r="J408" s="4"/>
      <c r="K408" s="4"/>
      <c r="L408" s="2">
        <v>2013</v>
      </c>
      <c r="M408" s="4" t="s">
        <v>188</v>
      </c>
      <c r="N408" s="5">
        <v>234941</v>
      </c>
      <c r="O408" s="4" t="s">
        <v>1558</v>
      </c>
      <c r="P408" s="4" t="s">
        <v>1559</v>
      </c>
      <c r="Q408" s="4"/>
      <c r="R408" s="4"/>
      <c r="S408" s="4"/>
      <c r="T408" s="4"/>
      <c r="U408" s="4"/>
    </row>
    <row r="409" spans="2:21" ht="26.15" hidden="1" customHeight="1">
      <c r="B409" s="2">
        <v>407</v>
      </c>
      <c r="C409" s="3">
        <v>43128</v>
      </c>
      <c r="D409" s="20">
        <v>2018</v>
      </c>
      <c r="E409" s="4" t="s">
        <v>34</v>
      </c>
      <c r="F409" s="5" t="s">
        <v>50</v>
      </c>
      <c r="G409" s="4" t="s">
        <v>1082</v>
      </c>
      <c r="H409" s="4" t="s">
        <v>1083</v>
      </c>
      <c r="I409" s="4" t="s">
        <v>1822</v>
      </c>
      <c r="J409" s="4"/>
      <c r="K409" s="4" t="s">
        <v>1823</v>
      </c>
      <c r="L409" s="2">
        <v>2016</v>
      </c>
      <c r="M409" s="4" t="s">
        <v>1086</v>
      </c>
      <c r="N409" s="5">
        <v>120000</v>
      </c>
      <c r="O409" s="4" t="s">
        <v>1087</v>
      </c>
      <c r="P409" s="4" t="s">
        <v>1088</v>
      </c>
      <c r="Q409" s="4"/>
      <c r="R409" s="4"/>
      <c r="S409" s="4"/>
      <c r="T409" s="4"/>
      <c r="U409" s="4"/>
    </row>
    <row r="410" spans="2:21" ht="26.15" hidden="1" customHeight="1">
      <c r="B410" s="2">
        <v>408</v>
      </c>
      <c r="C410" s="3">
        <v>43127</v>
      </c>
      <c r="D410" s="20">
        <v>2018</v>
      </c>
      <c r="E410" s="4" t="s">
        <v>124</v>
      </c>
      <c r="F410" s="5">
        <v>50168</v>
      </c>
      <c r="G410" s="4" t="s">
        <v>1191</v>
      </c>
      <c r="H410" s="4" t="s">
        <v>1192</v>
      </c>
      <c r="I410" s="4"/>
      <c r="J410" s="4" t="s">
        <v>1824</v>
      </c>
      <c r="K410" s="4" t="s">
        <v>1824</v>
      </c>
      <c r="L410" s="2">
        <v>2017</v>
      </c>
      <c r="M410" s="4" t="s">
        <v>47</v>
      </c>
      <c r="N410" s="5">
        <v>567108</v>
      </c>
      <c r="O410" s="4" t="s">
        <v>1194</v>
      </c>
      <c r="P410" s="4" t="s">
        <v>1195</v>
      </c>
      <c r="Q410" s="4"/>
      <c r="R410" s="4"/>
      <c r="S410" s="4"/>
      <c r="T410" s="4"/>
      <c r="U410" s="4"/>
    </row>
    <row r="411" spans="2:21" ht="26.15" hidden="1" customHeight="1">
      <c r="B411" s="2">
        <v>409</v>
      </c>
      <c r="C411" s="3">
        <v>43127</v>
      </c>
      <c r="D411" s="20">
        <v>2018</v>
      </c>
      <c r="E411" s="4" t="s">
        <v>34</v>
      </c>
      <c r="F411" s="5">
        <v>89641</v>
      </c>
      <c r="G411" s="4" t="s">
        <v>42</v>
      </c>
      <c r="H411" s="4" t="s">
        <v>43</v>
      </c>
      <c r="I411" s="4" t="s">
        <v>1825</v>
      </c>
      <c r="J411" s="4" t="s">
        <v>1272</v>
      </c>
      <c r="K411" s="4" t="s">
        <v>1826</v>
      </c>
      <c r="L411" s="2">
        <v>2017</v>
      </c>
      <c r="M411" s="4" t="s">
        <v>47</v>
      </c>
      <c r="N411" s="5">
        <v>3160468</v>
      </c>
      <c r="O411" s="4" t="s">
        <v>48</v>
      </c>
      <c r="P411" s="4" t="s">
        <v>49</v>
      </c>
      <c r="Q411" s="4"/>
      <c r="R411" s="4"/>
      <c r="S411" s="4"/>
      <c r="T411" s="4"/>
      <c r="U411" s="4"/>
    </row>
    <row r="412" spans="2:21" ht="26.15" hidden="1" customHeight="1">
      <c r="B412" s="2">
        <v>410</v>
      </c>
      <c r="C412" s="3">
        <v>43127</v>
      </c>
      <c r="D412" s="20">
        <v>2018</v>
      </c>
      <c r="E412" s="4" t="s">
        <v>34</v>
      </c>
      <c r="F412" s="5">
        <v>157265</v>
      </c>
      <c r="G412" s="4" t="s">
        <v>1685</v>
      </c>
      <c r="H412" s="4" t="s">
        <v>1686</v>
      </c>
      <c r="I412" s="4" t="s">
        <v>1827</v>
      </c>
      <c r="J412" s="4" t="s">
        <v>1828</v>
      </c>
      <c r="K412" s="4" t="s">
        <v>1829</v>
      </c>
      <c r="L412" s="2">
        <v>2013</v>
      </c>
      <c r="M412" s="4" t="s">
        <v>79</v>
      </c>
      <c r="N412" s="5">
        <v>2257449</v>
      </c>
      <c r="O412" s="4" t="s">
        <v>1690</v>
      </c>
      <c r="P412" s="4" t="s">
        <v>1691</v>
      </c>
      <c r="Q412" s="4" t="s">
        <v>1830</v>
      </c>
      <c r="R412" s="4"/>
      <c r="S412" s="4"/>
      <c r="T412" s="4"/>
      <c r="U412" s="4"/>
    </row>
    <row r="413" spans="2:21" ht="26.15" hidden="1" customHeight="1">
      <c r="B413" s="2">
        <v>411</v>
      </c>
      <c r="C413" s="3">
        <v>43124</v>
      </c>
      <c r="D413" s="20">
        <v>2018</v>
      </c>
      <c r="E413" s="4" t="s">
        <v>25</v>
      </c>
      <c r="F413" s="5">
        <v>137976</v>
      </c>
      <c r="G413" s="4" t="s">
        <v>96</v>
      </c>
      <c r="H413" s="4" t="s">
        <v>97</v>
      </c>
      <c r="I413" s="4" t="s">
        <v>723</v>
      </c>
      <c r="J413" s="4"/>
      <c r="K413" s="4" t="s">
        <v>1831</v>
      </c>
      <c r="L413" s="2">
        <v>2015</v>
      </c>
      <c r="M413" s="4" t="s">
        <v>79</v>
      </c>
      <c r="N413" s="5">
        <v>163285834</v>
      </c>
      <c r="O413" s="4" t="s">
        <v>100</v>
      </c>
      <c r="P413" s="4" t="s">
        <v>101</v>
      </c>
      <c r="Q413" s="4"/>
      <c r="R413" s="4"/>
      <c r="S413" s="4"/>
      <c r="T413" s="4"/>
      <c r="U413" s="4"/>
    </row>
    <row r="414" spans="2:21" ht="26.15" hidden="1" customHeight="1">
      <c r="B414" s="2">
        <v>412</v>
      </c>
      <c r="C414" s="3">
        <v>43122</v>
      </c>
      <c r="D414" s="20">
        <v>2018</v>
      </c>
      <c r="E414" s="4" t="s">
        <v>25</v>
      </c>
      <c r="F414" s="5">
        <v>36000000</v>
      </c>
      <c r="G414" s="4" t="s">
        <v>1544</v>
      </c>
      <c r="H414" s="4" t="s">
        <v>1545</v>
      </c>
      <c r="I414" s="4" t="s">
        <v>1832</v>
      </c>
      <c r="J414" s="4"/>
      <c r="K414" s="4" t="s">
        <v>1833</v>
      </c>
      <c r="L414" s="2">
        <v>2015</v>
      </c>
      <c r="M414" s="4" t="s">
        <v>1528</v>
      </c>
      <c r="N414" s="5">
        <v>62610600</v>
      </c>
      <c r="O414" s="4" t="s">
        <v>1547</v>
      </c>
      <c r="P414" s="4" t="s">
        <v>1416</v>
      </c>
      <c r="Q414" s="4"/>
      <c r="R414" s="4"/>
      <c r="S414" s="4"/>
      <c r="T414" s="4"/>
      <c r="U414" s="4"/>
    </row>
    <row r="415" spans="2:21" ht="26.15" hidden="1" customHeight="1">
      <c r="B415" s="2">
        <v>413</v>
      </c>
      <c r="C415" s="3">
        <v>43122</v>
      </c>
      <c r="D415" s="20">
        <v>2018</v>
      </c>
      <c r="E415" s="4" t="s">
        <v>109</v>
      </c>
      <c r="F415" s="5">
        <v>782154</v>
      </c>
      <c r="G415" s="4" t="s">
        <v>641</v>
      </c>
      <c r="H415" s="4" t="s">
        <v>642</v>
      </c>
      <c r="I415" s="4" t="s">
        <v>643</v>
      </c>
      <c r="J415" s="4"/>
      <c r="K415" s="4" t="s">
        <v>644</v>
      </c>
      <c r="L415" s="2">
        <v>2009</v>
      </c>
      <c r="M415" s="4" t="s">
        <v>47</v>
      </c>
      <c r="N415" s="5">
        <v>10590520</v>
      </c>
      <c r="O415" s="4" t="s">
        <v>645</v>
      </c>
      <c r="P415" s="4" t="s">
        <v>646</v>
      </c>
      <c r="Q415" s="4" t="s">
        <v>1771</v>
      </c>
      <c r="R415" s="4"/>
      <c r="S415" s="4"/>
      <c r="T415" s="4"/>
      <c r="U415" s="4"/>
    </row>
    <row r="416" spans="2:21" ht="26.15" hidden="1" customHeight="1">
      <c r="B416" s="2">
        <v>414</v>
      </c>
      <c r="C416" s="3">
        <v>43122</v>
      </c>
      <c r="D416" s="20">
        <v>2018</v>
      </c>
      <c r="E416" s="4" t="s">
        <v>34</v>
      </c>
      <c r="F416" s="5">
        <v>1876540</v>
      </c>
      <c r="G416" s="4" t="s">
        <v>1834</v>
      </c>
      <c r="H416" s="4" t="s">
        <v>1835</v>
      </c>
      <c r="I416" s="4" t="s">
        <v>1744</v>
      </c>
      <c r="J416" s="4"/>
      <c r="K416" s="4"/>
      <c r="L416" s="2">
        <v>2015</v>
      </c>
      <c r="M416" s="4" t="s">
        <v>1836</v>
      </c>
      <c r="N416" s="5">
        <v>1875400</v>
      </c>
      <c r="O416" s="4" t="s">
        <v>1616</v>
      </c>
      <c r="P416" s="4" t="s">
        <v>294</v>
      </c>
      <c r="Q416" s="4"/>
      <c r="R416" s="4"/>
      <c r="S416" s="4"/>
      <c r="T416" s="4"/>
      <c r="U416" s="4"/>
    </row>
    <row r="417" spans="2:21" ht="26.15" hidden="1" customHeight="1">
      <c r="B417" s="2">
        <v>415</v>
      </c>
      <c r="C417" s="3">
        <v>43115</v>
      </c>
      <c r="D417" s="20">
        <v>2018</v>
      </c>
      <c r="E417" s="4" t="s">
        <v>34</v>
      </c>
      <c r="F417" s="5" t="s">
        <v>50</v>
      </c>
      <c r="G417" s="4" t="s">
        <v>1837</v>
      </c>
      <c r="H417" s="4" t="s">
        <v>1838</v>
      </c>
      <c r="I417" s="4"/>
      <c r="J417" s="4"/>
      <c r="K417" s="4"/>
      <c r="L417" s="2">
        <v>2014</v>
      </c>
      <c r="M417" s="4" t="s">
        <v>415</v>
      </c>
      <c r="N417" s="5"/>
      <c r="O417" s="4" t="s">
        <v>1839</v>
      </c>
      <c r="P417" s="4" t="s">
        <v>1840</v>
      </c>
      <c r="Q417" s="4"/>
      <c r="R417" s="4"/>
      <c r="S417" s="4"/>
      <c r="T417" s="4"/>
      <c r="U417" s="4"/>
    </row>
    <row r="418" spans="2:21" ht="26.15" hidden="1" customHeight="1">
      <c r="B418" s="2">
        <v>416</v>
      </c>
      <c r="C418" s="3">
        <v>43112</v>
      </c>
      <c r="D418" s="20">
        <v>2018</v>
      </c>
      <c r="E418" s="4" t="s">
        <v>109</v>
      </c>
      <c r="F418" s="5">
        <v>50229</v>
      </c>
      <c r="G418" s="4" t="s">
        <v>303</v>
      </c>
      <c r="H418" s="4" t="s">
        <v>304</v>
      </c>
      <c r="I418" s="4" t="s">
        <v>1841</v>
      </c>
      <c r="J418" s="4"/>
      <c r="K418" s="4" t="s">
        <v>1842</v>
      </c>
      <c r="L418" s="2">
        <v>2011</v>
      </c>
      <c r="M418" s="4" t="s">
        <v>79</v>
      </c>
      <c r="N418" s="5">
        <v>19009146</v>
      </c>
      <c r="O418" s="4" t="s">
        <v>306</v>
      </c>
      <c r="P418" s="4" t="s">
        <v>307</v>
      </c>
      <c r="Q418" s="4"/>
      <c r="R418" s="4"/>
      <c r="S418" s="4"/>
      <c r="T418" s="4"/>
      <c r="U418" s="4"/>
    </row>
    <row r="419" spans="2:21" ht="26.15" hidden="1" customHeight="1">
      <c r="B419" s="2">
        <v>417</v>
      </c>
      <c r="C419" s="3">
        <v>43111</v>
      </c>
      <c r="D419" s="20">
        <v>2018</v>
      </c>
      <c r="E419" s="4" t="s">
        <v>34</v>
      </c>
      <c r="F419" s="5" t="s">
        <v>50</v>
      </c>
      <c r="G419" s="4" t="s">
        <v>1312</v>
      </c>
      <c r="H419" s="4" t="s">
        <v>1313</v>
      </c>
      <c r="I419" s="4" t="s">
        <v>1843</v>
      </c>
      <c r="J419" s="4"/>
      <c r="K419" s="4" t="s">
        <v>1844</v>
      </c>
      <c r="L419" s="2">
        <v>2013</v>
      </c>
      <c r="M419" s="4" t="s">
        <v>704</v>
      </c>
      <c r="N419" s="5"/>
      <c r="O419" s="4" t="s">
        <v>1315</v>
      </c>
      <c r="P419" s="4" t="s">
        <v>1316</v>
      </c>
      <c r="Q419" s="4"/>
      <c r="R419" s="4"/>
      <c r="S419" s="4"/>
      <c r="T419" s="4"/>
      <c r="U419" s="4"/>
    </row>
    <row r="420" spans="2:21" ht="26.15" hidden="1" customHeight="1">
      <c r="B420" s="2">
        <v>418</v>
      </c>
      <c r="C420" s="3">
        <v>43111</v>
      </c>
      <c r="D420" s="20">
        <v>2018</v>
      </c>
      <c r="E420" s="4" t="s">
        <v>627</v>
      </c>
      <c r="F420" s="5">
        <v>450000000</v>
      </c>
      <c r="G420" s="4" t="s">
        <v>1411</v>
      </c>
      <c r="H420" s="4" t="s">
        <v>1412</v>
      </c>
      <c r="I420" s="4" t="s">
        <v>1845</v>
      </c>
      <c r="J420" s="4"/>
      <c r="K420" s="4" t="s">
        <v>1072</v>
      </c>
      <c r="L420" s="2">
        <v>2014</v>
      </c>
      <c r="M420" s="4" t="s">
        <v>278</v>
      </c>
      <c r="N420" s="5">
        <v>1303000000</v>
      </c>
      <c r="O420" s="4" t="s">
        <v>1415</v>
      </c>
      <c r="P420" s="4" t="s">
        <v>1416</v>
      </c>
      <c r="Q420" s="4"/>
      <c r="R420" s="4"/>
      <c r="S420" s="4"/>
      <c r="T420" s="4"/>
      <c r="U420" s="4"/>
    </row>
    <row r="421" spans="2:21" ht="26.15" hidden="1" customHeight="1">
      <c r="B421" s="2">
        <v>419</v>
      </c>
      <c r="C421" s="3">
        <v>43104</v>
      </c>
      <c r="D421" s="20">
        <v>2018</v>
      </c>
      <c r="E421" s="4" t="s">
        <v>124</v>
      </c>
      <c r="F421" s="5">
        <v>39403</v>
      </c>
      <c r="G421" s="4" t="s">
        <v>1846</v>
      </c>
      <c r="H421" s="4" t="s">
        <v>1847</v>
      </c>
      <c r="I421" s="4"/>
      <c r="J421" s="4" t="s">
        <v>1848</v>
      </c>
      <c r="K421" s="4" t="s">
        <v>1849</v>
      </c>
      <c r="L421" s="2">
        <v>2014</v>
      </c>
      <c r="M421" s="4" t="s">
        <v>79</v>
      </c>
      <c r="N421" s="5">
        <v>214702</v>
      </c>
      <c r="O421" s="4" t="s">
        <v>1850</v>
      </c>
      <c r="P421" s="4" t="s">
        <v>1851</v>
      </c>
      <c r="Q421" s="4"/>
      <c r="R421" s="4"/>
      <c r="S421" s="4"/>
      <c r="T421" s="4"/>
      <c r="U421" s="4"/>
    </row>
    <row r="422" spans="2:21" ht="26.15" customHeight="1">
      <c r="B422" s="2">
        <v>420</v>
      </c>
      <c r="C422" s="3">
        <v>43104</v>
      </c>
      <c r="D422" s="20">
        <v>2018</v>
      </c>
      <c r="E422" s="4" t="s">
        <v>302</v>
      </c>
      <c r="F422" s="5">
        <v>1500000</v>
      </c>
      <c r="G422" s="4" t="s">
        <v>885</v>
      </c>
      <c r="H422" s="4" t="s">
        <v>886</v>
      </c>
      <c r="I422" s="4" t="s">
        <v>1852</v>
      </c>
      <c r="J422" s="4"/>
      <c r="K422" s="4"/>
      <c r="L422" s="2">
        <v>2013</v>
      </c>
      <c r="M422" s="4" t="s">
        <v>369</v>
      </c>
      <c r="N422" s="5">
        <v>30000000</v>
      </c>
      <c r="O422" s="4" t="s">
        <v>889</v>
      </c>
      <c r="P422" s="4" t="s">
        <v>890</v>
      </c>
      <c r="Q422" s="4" t="s">
        <v>1853</v>
      </c>
      <c r="R422" s="4"/>
      <c r="S422" s="4"/>
      <c r="T422" s="4"/>
      <c r="U422" s="4"/>
    </row>
    <row r="423" spans="2:21" ht="26.15" hidden="1" customHeight="1">
      <c r="B423" s="2">
        <v>421</v>
      </c>
      <c r="C423" s="3">
        <v>43099</v>
      </c>
      <c r="D423" s="20">
        <v>2017</v>
      </c>
      <c r="E423" s="4" t="s">
        <v>184</v>
      </c>
      <c r="F423" s="5" t="s">
        <v>50</v>
      </c>
      <c r="G423" s="4" t="s">
        <v>1854</v>
      </c>
      <c r="H423" s="4" t="s">
        <v>1855</v>
      </c>
      <c r="I423" s="4" t="s">
        <v>907</v>
      </c>
      <c r="J423" s="4"/>
      <c r="K423" s="4"/>
      <c r="L423" s="2">
        <v>2015</v>
      </c>
      <c r="M423" s="4" t="s">
        <v>79</v>
      </c>
      <c r="N423" s="5"/>
      <c r="O423" s="4" t="s">
        <v>1856</v>
      </c>
      <c r="P423" s="4" t="s">
        <v>1857</v>
      </c>
      <c r="Q423" s="4"/>
      <c r="R423" s="4"/>
      <c r="S423" s="4"/>
      <c r="T423" s="4"/>
      <c r="U423" s="4"/>
    </row>
    <row r="424" spans="2:21" ht="26.15" hidden="1" customHeight="1">
      <c r="B424" s="2">
        <v>422</v>
      </c>
      <c r="C424" s="3">
        <v>43099</v>
      </c>
      <c r="D424" s="20">
        <v>2017</v>
      </c>
      <c r="E424" s="4" t="s">
        <v>184</v>
      </c>
      <c r="F424" s="5" t="s">
        <v>50</v>
      </c>
      <c r="G424" s="4" t="s">
        <v>1858</v>
      </c>
      <c r="H424" s="4" t="s">
        <v>1859</v>
      </c>
      <c r="I424" s="4" t="s">
        <v>907</v>
      </c>
      <c r="J424" s="4"/>
      <c r="K424" s="4"/>
      <c r="L424" s="2">
        <v>2016</v>
      </c>
      <c r="M424" s="4" t="s">
        <v>79</v>
      </c>
      <c r="N424" s="5"/>
      <c r="O424" s="4" t="s">
        <v>1860</v>
      </c>
      <c r="P424" s="4" t="s">
        <v>1861</v>
      </c>
      <c r="Q424" s="4"/>
      <c r="R424" s="4"/>
      <c r="S424" s="4"/>
      <c r="T424" s="4"/>
      <c r="U424" s="4"/>
    </row>
    <row r="425" spans="2:21" ht="26.15" hidden="1" customHeight="1">
      <c r="B425" s="2">
        <v>423</v>
      </c>
      <c r="C425" s="3">
        <v>43090</v>
      </c>
      <c r="D425" s="20">
        <v>2017</v>
      </c>
      <c r="E425" s="4" t="s">
        <v>124</v>
      </c>
      <c r="F425" s="5">
        <v>976632</v>
      </c>
      <c r="G425" s="4" t="s">
        <v>1754</v>
      </c>
      <c r="H425" s="4" t="s">
        <v>1755</v>
      </c>
      <c r="I425" s="4" t="s">
        <v>1862</v>
      </c>
      <c r="J425" s="4" t="s">
        <v>1863</v>
      </c>
      <c r="K425" s="4" t="s">
        <v>1864</v>
      </c>
      <c r="L425" s="2">
        <v>2013</v>
      </c>
      <c r="M425" s="4" t="s">
        <v>313</v>
      </c>
      <c r="N425" s="5">
        <v>1437605</v>
      </c>
      <c r="O425" s="4" t="s">
        <v>1758</v>
      </c>
      <c r="P425" s="4" t="s">
        <v>1759</v>
      </c>
      <c r="Q425" s="4"/>
      <c r="R425" s="4"/>
      <c r="S425" s="4"/>
      <c r="T425" s="4"/>
      <c r="U425" s="4"/>
    </row>
    <row r="426" spans="2:21" ht="26.15" hidden="1" customHeight="1">
      <c r="B426" s="2">
        <v>424</v>
      </c>
      <c r="C426" s="3">
        <v>43087</v>
      </c>
      <c r="D426" s="20">
        <v>2017</v>
      </c>
      <c r="E426" s="4" t="s">
        <v>34</v>
      </c>
      <c r="F426" s="5">
        <v>1000000</v>
      </c>
      <c r="G426" s="4" t="s">
        <v>1147</v>
      </c>
      <c r="H426" s="4" t="s">
        <v>1148</v>
      </c>
      <c r="I426" s="4" t="s">
        <v>1865</v>
      </c>
      <c r="J426" s="4" t="s">
        <v>1866</v>
      </c>
      <c r="K426" s="4" t="s">
        <v>1867</v>
      </c>
      <c r="L426" s="2">
        <v>2016</v>
      </c>
      <c r="M426" s="4" t="s">
        <v>1151</v>
      </c>
      <c r="N426" s="5">
        <v>2000000</v>
      </c>
      <c r="O426" s="4" t="s">
        <v>1152</v>
      </c>
      <c r="P426" s="4" t="s">
        <v>1153</v>
      </c>
      <c r="Q426" s="4"/>
      <c r="R426" s="4"/>
      <c r="S426" s="4"/>
      <c r="T426" s="4"/>
      <c r="U426" s="4"/>
    </row>
    <row r="427" spans="2:21" ht="26.15" hidden="1" customHeight="1">
      <c r="B427" s="2">
        <v>425</v>
      </c>
      <c r="C427" s="3">
        <v>43084</v>
      </c>
      <c r="D427" s="20">
        <v>2017</v>
      </c>
      <c r="E427" s="4" t="s">
        <v>95</v>
      </c>
      <c r="F427" s="5">
        <v>6269920</v>
      </c>
      <c r="G427" s="4" t="s">
        <v>1868</v>
      </c>
      <c r="H427" s="4" t="s">
        <v>1869</v>
      </c>
      <c r="I427" s="4" t="s">
        <v>1003</v>
      </c>
      <c r="J427" s="4"/>
      <c r="K427" s="4" t="s">
        <v>690</v>
      </c>
      <c r="L427" s="2">
        <v>2003</v>
      </c>
      <c r="M427" s="4" t="s">
        <v>121</v>
      </c>
      <c r="N427" s="5">
        <v>11768115</v>
      </c>
      <c r="O427" s="4" t="s">
        <v>1870</v>
      </c>
      <c r="P427" s="4" t="s">
        <v>1871</v>
      </c>
      <c r="Q427" s="4" t="s">
        <v>1872</v>
      </c>
      <c r="R427" s="4"/>
      <c r="S427" s="4"/>
      <c r="T427" s="4"/>
      <c r="U427" s="4"/>
    </row>
    <row r="428" spans="2:21" ht="26.15" hidden="1" customHeight="1">
      <c r="B428" s="2">
        <v>426</v>
      </c>
      <c r="C428" s="3">
        <v>43081</v>
      </c>
      <c r="D428" s="20">
        <v>2017</v>
      </c>
      <c r="E428" s="4" t="s">
        <v>184</v>
      </c>
      <c r="F428" s="5">
        <v>30000</v>
      </c>
      <c r="G428" s="4" t="s">
        <v>1873</v>
      </c>
      <c r="H428" s="4" t="s">
        <v>1874</v>
      </c>
      <c r="I428" s="4" t="s">
        <v>1020</v>
      </c>
      <c r="J428" s="4"/>
      <c r="K428" s="4"/>
      <c r="L428" s="2">
        <v>2016</v>
      </c>
      <c r="M428" s="4" t="s">
        <v>299</v>
      </c>
      <c r="N428" s="5"/>
      <c r="O428" s="4" t="s">
        <v>376</v>
      </c>
      <c r="P428" s="4" t="s">
        <v>1875</v>
      </c>
      <c r="Q428" s="4"/>
      <c r="R428" s="4"/>
      <c r="S428" s="4"/>
      <c r="T428" s="4"/>
      <c r="U428" s="4"/>
    </row>
    <row r="429" spans="2:21" ht="26.15" hidden="1" customHeight="1">
      <c r="B429" s="2">
        <v>427</v>
      </c>
      <c r="C429" s="3">
        <v>43081</v>
      </c>
      <c r="D429" s="20">
        <v>2017</v>
      </c>
      <c r="E429" s="4" t="s">
        <v>184</v>
      </c>
      <c r="F429" s="5">
        <v>30000</v>
      </c>
      <c r="G429" s="4" t="s">
        <v>1876</v>
      </c>
      <c r="H429" s="4" t="s">
        <v>1877</v>
      </c>
      <c r="I429" s="4" t="s">
        <v>1020</v>
      </c>
      <c r="J429" s="4"/>
      <c r="K429" s="4"/>
      <c r="L429" s="2">
        <v>2016</v>
      </c>
      <c r="M429" s="4" t="s">
        <v>1878</v>
      </c>
      <c r="N429" s="5"/>
      <c r="O429" s="4" t="s">
        <v>942</v>
      </c>
      <c r="P429" s="4" t="s">
        <v>1879</v>
      </c>
      <c r="Q429" s="4"/>
      <c r="R429" s="4"/>
      <c r="S429" s="4"/>
      <c r="T429" s="4"/>
      <c r="U429" s="4"/>
    </row>
    <row r="430" spans="2:21" ht="26.15" hidden="1" customHeight="1">
      <c r="B430" s="2">
        <v>428</v>
      </c>
      <c r="C430" s="3">
        <v>43081</v>
      </c>
      <c r="D430" s="20">
        <v>2017</v>
      </c>
      <c r="E430" s="4" t="s">
        <v>124</v>
      </c>
      <c r="F430" s="5">
        <v>7760</v>
      </c>
      <c r="G430" s="4" t="s">
        <v>1126</v>
      </c>
      <c r="H430" s="4" t="s">
        <v>1127</v>
      </c>
      <c r="I430" s="4"/>
      <c r="J430" s="4" t="s">
        <v>1712</v>
      </c>
      <c r="K430" s="4" t="s">
        <v>1712</v>
      </c>
      <c r="L430" s="2">
        <v>2013</v>
      </c>
      <c r="M430" s="4" t="s">
        <v>47</v>
      </c>
      <c r="N430" s="5">
        <v>264994</v>
      </c>
      <c r="O430" s="4" t="s">
        <v>1130</v>
      </c>
      <c r="P430" s="4" t="s">
        <v>968</v>
      </c>
      <c r="Q430" s="4"/>
      <c r="R430" s="4"/>
      <c r="S430" s="4"/>
      <c r="T430" s="4"/>
      <c r="U430" s="4"/>
    </row>
    <row r="431" spans="2:21" ht="26.15" hidden="1" customHeight="1">
      <c r="B431" s="2">
        <v>429</v>
      </c>
      <c r="C431" s="3">
        <v>43076</v>
      </c>
      <c r="D431" s="20">
        <v>2017</v>
      </c>
      <c r="E431" s="4" t="s">
        <v>184</v>
      </c>
      <c r="F431" s="5" t="s">
        <v>50</v>
      </c>
      <c r="G431" s="4" t="s">
        <v>1880</v>
      </c>
      <c r="H431" s="4" t="s">
        <v>1881</v>
      </c>
      <c r="I431" s="4" t="s">
        <v>703</v>
      </c>
      <c r="J431" s="4"/>
      <c r="K431" s="4"/>
      <c r="L431" s="2">
        <v>2015</v>
      </c>
      <c r="M431" s="4" t="s">
        <v>1882</v>
      </c>
      <c r="N431" s="5"/>
      <c r="O431" s="4" t="s">
        <v>1883</v>
      </c>
      <c r="P431" s="4" t="s">
        <v>1884</v>
      </c>
      <c r="Q431" s="4"/>
      <c r="R431" s="4"/>
      <c r="S431" s="4"/>
      <c r="T431" s="4"/>
      <c r="U431" s="4"/>
    </row>
    <row r="432" spans="2:21" ht="26.15" hidden="1" customHeight="1">
      <c r="B432" s="2">
        <v>430</v>
      </c>
      <c r="C432" s="3">
        <v>43075</v>
      </c>
      <c r="D432" s="20">
        <v>2017</v>
      </c>
      <c r="E432" s="4" t="s">
        <v>124</v>
      </c>
      <c r="F432" s="5">
        <v>69074</v>
      </c>
      <c r="G432" s="4" t="s">
        <v>1885</v>
      </c>
      <c r="H432" s="4" t="s">
        <v>1886</v>
      </c>
      <c r="I432" s="4"/>
      <c r="J432" s="4" t="s">
        <v>1887</v>
      </c>
      <c r="K432" s="4" t="s">
        <v>1888</v>
      </c>
      <c r="L432" s="2">
        <v>2013</v>
      </c>
      <c r="M432" s="4" t="s">
        <v>79</v>
      </c>
      <c r="N432" s="5">
        <v>133229</v>
      </c>
      <c r="O432" s="4" t="s">
        <v>1889</v>
      </c>
      <c r="P432" s="4" t="s">
        <v>1890</v>
      </c>
      <c r="Q432" s="4"/>
      <c r="R432" s="4"/>
      <c r="S432" s="4"/>
      <c r="T432" s="4"/>
      <c r="U432" s="4"/>
    </row>
    <row r="433" spans="2:21" ht="26.15" hidden="1" customHeight="1">
      <c r="B433" s="2">
        <v>431</v>
      </c>
      <c r="C433" s="3">
        <v>43070</v>
      </c>
      <c r="D433" s="20">
        <v>2017</v>
      </c>
      <c r="E433" s="4" t="s">
        <v>184</v>
      </c>
      <c r="F433" s="5" t="s">
        <v>50</v>
      </c>
      <c r="G433" s="4" t="s">
        <v>1891</v>
      </c>
      <c r="H433" s="4" t="s">
        <v>1892</v>
      </c>
      <c r="I433" s="4" t="s">
        <v>907</v>
      </c>
      <c r="J433" s="4"/>
      <c r="K433" s="4"/>
      <c r="L433" s="2">
        <v>2016</v>
      </c>
      <c r="M433" s="4" t="s">
        <v>79</v>
      </c>
      <c r="N433" s="5"/>
      <c r="O433" s="4" t="s">
        <v>1893</v>
      </c>
      <c r="P433" s="4" t="s">
        <v>1894</v>
      </c>
      <c r="Q433" s="4"/>
      <c r="R433" s="4"/>
      <c r="S433" s="4"/>
      <c r="T433" s="4"/>
      <c r="U433" s="4"/>
    </row>
    <row r="434" spans="2:21" ht="26.15" hidden="1" customHeight="1">
      <c r="B434" s="2">
        <v>432</v>
      </c>
      <c r="C434" s="3">
        <v>43070</v>
      </c>
      <c r="D434" s="20">
        <v>2017</v>
      </c>
      <c r="E434" s="4" t="s">
        <v>109</v>
      </c>
      <c r="F434" s="5">
        <v>10000000</v>
      </c>
      <c r="G434" s="4" t="s">
        <v>1895</v>
      </c>
      <c r="H434" s="4" t="s">
        <v>1896</v>
      </c>
      <c r="I434" s="4" t="s">
        <v>1897</v>
      </c>
      <c r="J434" s="4"/>
      <c r="K434" s="4" t="s">
        <v>1751</v>
      </c>
      <c r="L434" s="2">
        <v>2016</v>
      </c>
      <c r="M434" s="4" t="s">
        <v>278</v>
      </c>
      <c r="N434" s="5">
        <v>17346190</v>
      </c>
      <c r="O434" s="4" t="s">
        <v>1898</v>
      </c>
      <c r="P434" s="4" t="s">
        <v>1899</v>
      </c>
      <c r="Q434" s="4"/>
      <c r="R434" s="4"/>
      <c r="S434" s="4"/>
      <c r="T434" s="4"/>
      <c r="U434" s="4"/>
    </row>
    <row r="435" spans="2:21" ht="26.15" hidden="1" customHeight="1">
      <c r="B435" s="2">
        <v>433</v>
      </c>
      <c r="C435" s="3">
        <v>43069</v>
      </c>
      <c r="D435" s="20">
        <v>2017</v>
      </c>
      <c r="E435" s="4" t="s">
        <v>124</v>
      </c>
      <c r="F435" s="5">
        <v>69379</v>
      </c>
      <c r="G435" s="4" t="s">
        <v>878</v>
      </c>
      <c r="H435" s="4" t="s">
        <v>879</v>
      </c>
      <c r="I435" s="4"/>
      <c r="J435" s="4" t="s">
        <v>881</v>
      </c>
      <c r="K435" s="4" t="s">
        <v>881</v>
      </c>
      <c r="L435" s="2">
        <v>2015</v>
      </c>
      <c r="M435" s="4" t="s">
        <v>56</v>
      </c>
      <c r="N435" s="5">
        <v>9059375</v>
      </c>
      <c r="O435" s="4" t="s">
        <v>883</v>
      </c>
      <c r="P435" s="4" t="s">
        <v>884</v>
      </c>
      <c r="Q435" s="4"/>
      <c r="R435" s="4"/>
      <c r="S435" s="4"/>
      <c r="T435" s="4"/>
      <c r="U435" s="4"/>
    </row>
    <row r="436" spans="2:21" ht="26.15" hidden="1" customHeight="1">
      <c r="B436" s="2">
        <v>434</v>
      </c>
      <c r="C436" s="3">
        <v>43068</v>
      </c>
      <c r="D436" s="20">
        <v>2017</v>
      </c>
      <c r="E436" s="4" t="s">
        <v>109</v>
      </c>
      <c r="F436" s="5">
        <v>9911025</v>
      </c>
      <c r="G436" s="4" t="s">
        <v>251</v>
      </c>
      <c r="H436" s="4" t="s">
        <v>252</v>
      </c>
      <c r="I436" s="4"/>
      <c r="J436" s="4"/>
      <c r="K436" s="4"/>
      <c r="L436" s="2">
        <v>2006</v>
      </c>
      <c r="M436" s="4" t="s">
        <v>255</v>
      </c>
      <c r="N436" s="5">
        <v>37911025</v>
      </c>
      <c r="O436" s="4" t="s">
        <v>256</v>
      </c>
      <c r="P436" s="4" t="s">
        <v>257</v>
      </c>
      <c r="Q436" s="4"/>
      <c r="R436" s="4"/>
      <c r="S436" s="4"/>
      <c r="T436" s="4"/>
      <c r="U436" s="4"/>
    </row>
    <row r="437" spans="2:21" ht="26.15" customHeight="1">
      <c r="B437" s="2">
        <v>435</v>
      </c>
      <c r="C437" s="3">
        <v>43067</v>
      </c>
      <c r="D437" s="20">
        <v>2017</v>
      </c>
      <c r="E437" s="4" t="s">
        <v>34</v>
      </c>
      <c r="F437" s="5" t="s">
        <v>50</v>
      </c>
      <c r="G437" s="4" t="s">
        <v>1789</v>
      </c>
      <c r="H437" s="4" t="s">
        <v>1790</v>
      </c>
      <c r="I437" s="4" t="s">
        <v>952</v>
      </c>
      <c r="J437" s="4"/>
      <c r="K437" s="4"/>
      <c r="L437" s="2">
        <v>2016</v>
      </c>
      <c r="M437" s="4" t="s">
        <v>369</v>
      </c>
      <c r="N437" s="5"/>
      <c r="O437" s="4" t="s">
        <v>1792</v>
      </c>
      <c r="P437" s="4" t="s">
        <v>1793</v>
      </c>
      <c r="Q437" s="4"/>
      <c r="R437" s="4"/>
      <c r="S437" s="4"/>
      <c r="T437" s="4"/>
      <c r="U437" s="4"/>
    </row>
    <row r="438" spans="2:21" ht="26.15" customHeight="1">
      <c r="B438" s="2">
        <v>436</v>
      </c>
      <c r="C438" s="3">
        <v>43066</v>
      </c>
      <c r="D438" s="20">
        <v>2017</v>
      </c>
      <c r="E438" s="4" t="s">
        <v>34</v>
      </c>
      <c r="F438" s="5">
        <v>1500000</v>
      </c>
      <c r="G438" s="4" t="s">
        <v>1900</v>
      </c>
      <c r="H438" s="4" t="s">
        <v>1901</v>
      </c>
      <c r="I438" s="4" t="s">
        <v>1902</v>
      </c>
      <c r="J438" s="4"/>
      <c r="K438" s="4"/>
      <c r="L438" s="2">
        <v>2015</v>
      </c>
      <c r="M438" s="4" t="s">
        <v>357</v>
      </c>
      <c r="N438" s="5">
        <v>1500000</v>
      </c>
      <c r="O438" s="4" t="s">
        <v>1903</v>
      </c>
      <c r="P438" s="4" t="s">
        <v>1904</v>
      </c>
      <c r="Q438" s="4"/>
      <c r="R438" s="4"/>
      <c r="S438" s="4"/>
      <c r="T438" s="4"/>
      <c r="U438" s="4"/>
    </row>
    <row r="439" spans="2:21" ht="26.15" hidden="1" customHeight="1">
      <c r="B439" s="2">
        <v>437</v>
      </c>
      <c r="C439" s="3">
        <v>43063</v>
      </c>
      <c r="D439" s="20">
        <v>2017</v>
      </c>
      <c r="E439" s="4" t="s">
        <v>34</v>
      </c>
      <c r="F439" s="5">
        <v>57162</v>
      </c>
      <c r="G439" s="4" t="s">
        <v>1905</v>
      </c>
      <c r="H439" s="4" t="s">
        <v>1906</v>
      </c>
      <c r="I439" s="4" t="s">
        <v>1907</v>
      </c>
      <c r="J439" s="4" t="s">
        <v>1908</v>
      </c>
      <c r="K439" s="4" t="s">
        <v>1909</v>
      </c>
      <c r="L439" s="2">
        <v>2016</v>
      </c>
      <c r="M439" s="4" t="s">
        <v>79</v>
      </c>
      <c r="N439" s="5">
        <v>57163</v>
      </c>
      <c r="O439" s="4" t="s">
        <v>1910</v>
      </c>
      <c r="P439" s="4" t="s">
        <v>1911</v>
      </c>
      <c r="Q439" s="4"/>
      <c r="R439" s="4"/>
      <c r="S439" s="4"/>
      <c r="T439" s="4"/>
      <c r="U439" s="4"/>
    </row>
    <row r="440" spans="2:21" ht="26.15" hidden="1" customHeight="1">
      <c r="B440" s="2">
        <v>438</v>
      </c>
      <c r="C440" s="3">
        <v>43055</v>
      </c>
      <c r="D440" s="20">
        <v>2017</v>
      </c>
      <c r="E440" s="4" t="s">
        <v>34</v>
      </c>
      <c r="F440" s="5">
        <v>4500000</v>
      </c>
      <c r="G440" s="4" t="s">
        <v>452</v>
      </c>
      <c r="H440" s="4" t="s">
        <v>453</v>
      </c>
      <c r="I440" s="4"/>
      <c r="J440" s="4" t="s">
        <v>1912</v>
      </c>
      <c r="K440" s="4" t="s">
        <v>1912</v>
      </c>
      <c r="L440" s="2">
        <v>2016</v>
      </c>
      <c r="M440" s="4" t="s">
        <v>455</v>
      </c>
      <c r="N440" s="5">
        <v>28150000</v>
      </c>
      <c r="O440" s="4" t="s">
        <v>456</v>
      </c>
      <c r="P440" s="4" t="s">
        <v>457</v>
      </c>
      <c r="Q440" s="4"/>
      <c r="R440" s="4"/>
      <c r="S440" s="4"/>
      <c r="T440" s="4"/>
      <c r="U440" s="4"/>
    </row>
    <row r="441" spans="2:21" ht="26.15" hidden="1" customHeight="1">
      <c r="B441" s="2">
        <v>439</v>
      </c>
      <c r="C441" s="3">
        <v>43048</v>
      </c>
      <c r="D441" s="20">
        <v>2017</v>
      </c>
      <c r="E441" s="4" t="s">
        <v>34</v>
      </c>
      <c r="F441" s="5"/>
      <c r="G441" s="4" t="s">
        <v>1913</v>
      </c>
      <c r="H441" s="4" t="s">
        <v>1914</v>
      </c>
      <c r="I441" s="4" t="s">
        <v>1915</v>
      </c>
      <c r="J441" s="4"/>
      <c r="K441" s="4"/>
      <c r="L441" s="2">
        <v>2017</v>
      </c>
      <c r="M441" s="4" t="s">
        <v>1916</v>
      </c>
      <c r="N441" s="5"/>
      <c r="O441" s="4" t="s">
        <v>1917</v>
      </c>
      <c r="P441" s="4" t="s">
        <v>1918</v>
      </c>
      <c r="Q441" s="4"/>
      <c r="R441" s="4"/>
      <c r="S441" s="4"/>
      <c r="T441" s="4"/>
      <c r="U441" s="4"/>
    </row>
    <row r="442" spans="2:21" ht="26.15" hidden="1" customHeight="1">
      <c r="B442" s="2">
        <v>440</v>
      </c>
      <c r="C442" s="3">
        <v>43042</v>
      </c>
      <c r="D442" s="20">
        <v>2017</v>
      </c>
      <c r="E442" s="4" t="s">
        <v>34</v>
      </c>
      <c r="F442" s="5">
        <v>3071720</v>
      </c>
      <c r="G442" s="4" t="s">
        <v>1919</v>
      </c>
      <c r="H442" s="4" t="s">
        <v>1920</v>
      </c>
      <c r="I442" s="4" t="s">
        <v>1921</v>
      </c>
      <c r="J442" s="4"/>
      <c r="K442" s="4" t="s">
        <v>1922</v>
      </c>
      <c r="L442" s="2">
        <v>2014</v>
      </c>
      <c r="M442" s="4" t="s">
        <v>313</v>
      </c>
      <c r="N442" s="5">
        <v>3071720</v>
      </c>
      <c r="O442" s="4" t="s">
        <v>1923</v>
      </c>
      <c r="P442" s="4" t="s">
        <v>1924</v>
      </c>
      <c r="Q442" s="4"/>
      <c r="R442" s="4"/>
      <c r="S442" s="4"/>
      <c r="T442" s="4"/>
      <c r="U442" s="4"/>
    </row>
    <row r="443" spans="2:21" ht="26.15" hidden="1" customHeight="1">
      <c r="B443" s="2">
        <v>441</v>
      </c>
      <c r="C443" s="3">
        <v>43042</v>
      </c>
      <c r="D443" s="20">
        <v>2017</v>
      </c>
      <c r="E443" s="4" t="s">
        <v>124</v>
      </c>
      <c r="F443" s="5">
        <v>77306</v>
      </c>
      <c r="G443" s="4" t="s">
        <v>1448</v>
      </c>
      <c r="H443" s="4" t="s">
        <v>1449</v>
      </c>
      <c r="I443" s="4"/>
      <c r="J443" s="4" t="s">
        <v>1925</v>
      </c>
      <c r="K443" s="4" t="s">
        <v>1925</v>
      </c>
      <c r="L443" s="2">
        <v>2016</v>
      </c>
      <c r="M443" s="4" t="s">
        <v>1450</v>
      </c>
      <c r="N443" s="5">
        <v>114859</v>
      </c>
      <c r="O443" s="4" t="s">
        <v>1451</v>
      </c>
      <c r="P443" s="4" t="s">
        <v>1452</v>
      </c>
      <c r="Q443" s="4"/>
      <c r="R443" s="4"/>
      <c r="S443" s="4"/>
      <c r="T443" s="4"/>
      <c r="U443" s="4"/>
    </row>
    <row r="444" spans="2:21" ht="26.15" hidden="1" customHeight="1">
      <c r="B444" s="2">
        <v>442</v>
      </c>
      <c r="C444" s="3">
        <v>43040</v>
      </c>
      <c r="D444" s="20">
        <v>2017</v>
      </c>
      <c r="E444" s="4" t="s">
        <v>34</v>
      </c>
      <c r="F444" s="5">
        <v>878298</v>
      </c>
      <c r="G444" s="4" t="s">
        <v>1926</v>
      </c>
      <c r="H444" s="4" t="s">
        <v>1927</v>
      </c>
      <c r="I444" s="4" t="s">
        <v>1928</v>
      </c>
      <c r="J444" s="4"/>
      <c r="K444" s="4" t="s">
        <v>1929</v>
      </c>
      <c r="L444" s="2">
        <v>2017</v>
      </c>
      <c r="M444" s="4" t="s">
        <v>56</v>
      </c>
      <c r="N444" s="5">
        <v>878298</v>
      </c>
      <c r="O444" s="4" t="s">
        <v>1930</v>
      </c>
      <c r="P444" s="4" t="s">
        <v>1931</v>
      </c>
      <c r="Q444" s="4"/>
      <c r="R444" s="4"/>
      <c r="S444" s="4"/>
      <c r="T444" s="4"/>
      <c r="U444" s="4"/>
    </row>
    <row r="445" spans="2:21" ht="26.15" hidden="1" customHeight="1">
      <c r="B445" s="2">
        <v>443</v>
      </c>
      <c r="C445" s="3">
        <v>43040</v>
      </c>
      <c r="D445" s="20">
        <v>2017</v>
      </c>
      <c r="E445" s="4" t="s">
        <v>34</v>
      </c>
      <c r="F445" s="5">
        <v>755029</v>
      </c>
      <c r="G445" s="4" t="s">
        <v>1932</v>
      </c>
      <c r="H445" s="4" t="s">
        <v>1933</v>
      </c>
      <c r="I445" s="4"/>
      <c r="J445" s="4"/>
      <c r="K445" s="4"/>
      <c r="L445" s="2">
        <v>2017</v>
      </c>
      <c r="M445" s="4" t="s">
        <v>1528</v>
      </c>
      <c r="N445" s="5">
        <v>755029</v>
      </c>
      <c r="O445" s="4" t="s">
        <v>1934</v>
      </c>
      <c r="P445" s="4" t="s">
        <v>1935</v>
      </c>
      <c r="Q445" s="4"/>
      <c r="R445" s="4"/>
      <c r="S445" s="4"/>
      <c r="T445" s="4"/>
      <c r="U445" s="4"/>
    </row>
    <row r="446" spans="2:21" ht="26.15" hidden="1" customHeight="1">
      <c r="B446" s="2">
        <v>444</v>
      </c>
      <c r="C446" s="3">
        <v>43038</v>
      </c>
      <c r="D446" s="20">
        <v>2017</v>
      </c>
      <c r="E446" s="4" t="s">
        <v>34</v>
      </c>
      <c r="F446" s="5">
        <v>138631</v>
      </c>
      <c r="G446" s="4" t="s">
        <v>217</v>
      </c>
      <c r="H446" s="4" t="s">
        <v>218</v>
      </c>
      <c r="I446" s="4" t="s">
        <v>1466</v>
      </c>
      <c r="J446" s="4"/>
      <c r="K446" s="4" t="s">
        <v>1467</v>
      </c>
      <c r="L446" s="2">
        <v>2015</v>
      </c>
      <c r="M446" s="4" t="s">
        <v>79</v>
      </c>
      <c r="N446" s="5">
        <v>2569628</v>
      </c>
      <c r="O446" s="4" t="s">
        <v>221</v>
      </c>
      <c r="P446" s="4" t="s">
        <v>222</v>
      </c>
      <c r="Q446" s="4"/>
      <c r="R446" s="4"/>
      <c r="S446" s="4"/>
      <c r="T446" s="4"/>
      <c r="U446" s="4"/>
    </row>
    <row r="447" spans="2:21" ht="26.15" hidden="1" customHeight="1">
      <c r="B447" s="2">
        <v>445</v>
      </c>
      <c r="C447" s="3">
        <v>43035</v>
      </c>
      <c r="D447" s="20">
        <v>2017</v>
      </c>
      <c r="E447" s="4" t="s">
        <v>289</v>
      </c>
      <c r="F447" s="5">
        <v>560108</v>
      </c>
      <c r="G447" s="4" t="s">
        <v>1147</v>
      </c>
      <c r="H447" s="4" t="s">
        <v>1148</v>
      </c>
      <c r="I447" s="4"/>
      <c r="J447" s="4"/>
      <c r="K447" s="4"/>
      <c r="L447" s="2">
        <v>2016</v>
      </c>
      <c r="M447" s="4" t="s">
        <v>1151</v>
      </c>
      <c r="N447" s="5">
        <v>2000000</v>
      </c>
      <c r="O447" s="4" t="s">
        <v>1152</v>
      </c>
      <c r="P447" s="4" t="s">
        <v>1153</v>
      </c>
      <c r="Q447" s="4"/>
      <c r="R447" s="4"/>
      <c r="S447" s="4"/>
      <c r="T447" s="4"/>
      <c r="U447" s="4"/>
    </row>
    <row r="448" spans="2:21" ht="26.15" hidden="1" customHeight="1">
      <c r="B448" s="2">
        <v>446</v>
      </c>
      <c r="C448" s="3">
        <v>43033</v>
      </c>
      <c r="D448" s="20">
        <v>2017</v>
      </c>
      <c r="E448" s="4" t="s">
        <v>124</v>
      </c>
      <c r="F448" s="5">
        <v>766209</v>
      </c>
      <c r="G448" s="4" t="s">
        <v>1763</v>
      </c>
      <c r="H448" s="4" t="s">
        <v>1764</v>
      </c>
      <c r="I448" s="4"/>
      <c r="J448" s="4" t="s">
        <v>1936</v>
      </c>
      <c r="K448" s="4" t="s">
        <v>1937</v>
      </c>
      <c r="L448" s="2">
        <v>2006</v>
      </c>
      <c r="M448" s="4" t="s">
        <v>47</v>
      </c>
      <c r="N448" s="5">
        <v>9099055</v>
      </c>
      <c r="O448" s="4" t="s">
        <v>1767</v>
      </c>
      <c r="P448" s="4" t="s">
        <v>1768</v>
      </c>
      <c r="Q448" s="4"/>
      <c r="R448" s="4"/>
      <c r="S448" s="4"/>
      <c r="T448" s="4"/>
      <c r="U448" s="4"/>
    </row>
    <row r="449" spans="2:21" ht="26.15" customHeight="1">
      <c r="B449" s="2">
        <v>447</v>
      </c>
      <c r="C449" s="3">
        <v>43026</v>
      </c>
      <c r="D449" s="20">
        <v>2017</v>
      </c>
      <c r="E449" s="4" t="s">
        <v>109</v>
      </c>
      <c r="F449" s="5">
        <v>4000000</v>
      </c>
      <c r="G449" s="4" t="s">
        <v>634</v>
      </c>
      <c r="H449" s="4" t="s">
        <v>635</v>
      </c>
      <c r="I449" s="4" t="s">
        <v>1938</v>
      </c>
      <c r="J449" s="4"/>
      <c r="K449" s="4"/>
      <c r="L449" s="2">
        <v>2012</v>
      </c>
      <c r="M449" s="4" t="s">
        <v>638</v>
      </c>
      <c r="N449" s="5">
        <v>17600000</v>
      </c>
      <c r="O449" s="4" t="s">
        <v>639</v>
      </c>
      <c r="P449" s="4" t="s">
        <v>640</v>
      </c>
      <c r="Q449" s="4"/>
      <c r="R449" s="4"/>
      <c r="S449" s="4"/>
      <c r="T449" s="4"/>
      <c r="U449" s="4"/>
    </row>
    <row r="450" spans="2:21" ht="26.15" hidden="1" customHeight="1">
      <c r="B450" s="2">
        <v>448</v>
      </c>
      <c r="C450" s="3">
        <v>43018</v>
      </c>
      <c r="D450" s="20">
        <v>2017</v>
      </c>
      <c r="E450" s="4" t="s">
        <v>109</v>
      </c>
      <c r="F450" s="5">
        <v>9356810</v>
      </c>
      <c r="G450" s="4" t="s">
        <v>1939</v>
      </c>
      <c r="H450" s="4" t="s">
        <v>1940</v>
      </c>
      <c r="I450" s="4" t="s">
        <v>1941</v>
      </c>
      <c r="J450" s="4"/>
      <c r="K450" s="4"/>
      <c r="L450" s="2">
        <v>2015</v>
      </c>
      <c r="M450" s="4" t="s">
        <v>278</v>
      </c>
      <c r="N450" s="5">
        <v>9356810</v>
      </c>
      <c r="O450" s="4" t="s">
        <v>1942</v>
      </c>
      <c r="P450" s="4" t="s">
        <v>1943</v>
      </c>
      <c r="Q450" s="4"/>
      <c r="R450" s="4"/>
      <c r="S450" s="4"/>
      <c r="T450" s="4"/>
      <c r="U450" s="4"/>
    </row>
    <row r="451" spans="2:21" ht="26.15" hidden="1" customHeight="1">
      <c r="B451" s="2">
        <v>449</v>
      </c>
      <c r="C451" s="3">
        <v>43017</v>
      </c>
      <c r="D451" s="20">
        <v>2017</v>
      </c>
      <c r="E451" s="4" t="s">
        <v>34</v>
      </c>
      <c r="F451" s="5">
        <v>32546</v>
      </c>
      <c r="G451" s="4" t="s">
        <v>125</v>
      </c>
      <c r="H451" s="4" t="s">
        <v>126</v>
      </c>
      <c r="I451" s="4" t="s">
        <v>1944</v>
      </c>
      <c r="J451" s="4"/>
      <c r="K451" s="4" t="s">
        <v>1945</v>
      </c>
      <c r="L451" s="2">
        <v>2017</v>
      </c>
      <c r="M451" s="4" t="s">
        <v>128</v>
      </c>
      <c r="N451" s="5">
        <v>532546</v>
      </c>
      <c r="O451" s="4" t="s">
        <v>129</v>
      </c>
      <c r="P451" s="4" t="s">
        <v>130</v>
      </c>
      <c r="Q451" s="4"/>
      <c r="R451" s="4"/>
      <c r="S451" s="4"/>
      <c r="T451" s="4"/>
      <c r="U451" s="4"/>
    </row>
    <row r="452" spans="2:21" ht="26.15" hidden="1" customHeight="1">
      <c r="B452" s="2">
        <v>450</v>
      </c>
      <c r="C452" s="3">
        <v>43013</v>
      </c>
      <c r="D452" s="20">
        <v>2017</v>
      </c>
      <c r="E452" s="4" t="s">
        <v>109</v>
      </c>
      <c r="F452" s="5">
        <v>8000000</v>
      </c>
      <c r="G452" s="4" t="s">
        <v>1946</v>
      </c>
      <c r="H452" s="4" t="s">
        <v>1947</v>
      </c>
      <c r="I452" s="4" t="s">
        <v>1948</v>
      </c>
      <c r="J452" s="4" t="s">
        <v>1949</v>
      </c>
      <c r="K452" s="4" t="s">
        <v>1950</v>
      </c>
      <c r="L452" s="2">
        <v>2015</v>
      </c>
      <c r="M452" s="4" t="s">
        <v>79</v>
      </c>
      <c r="N452" s="5">
        <v>10693115</v>
      </c>
      <c r="O452" s="4" t="s">
        <v>1951</v>
      </c>
      <c r="P452" s="4" t="s">
        <v>1952</v>
      </c>
      <c r="Q452" s="4"/>
      <c r="R452" s="4"/>
      <c r="S452" s="4"/>
      <c r="T452" s="4"/>
      <c r="U452" s="4"/>
    </row>
    <row r="453" spans="2:21" ht="26.15" hidden="1" customHeight="1">
      <c r="B453" s="2">
        <v>451</v>
      </c>
      <c r="C453" s="3">
        <v>43012</v>
      </c>
      <c r="D453" s="20">
        <v>2017</v>
      </c>
      <c r="E453" s="4" t="s">
        <v>34</v>
      </c>
      <c r="F453" s="5">
        <v>317198</v>
      </c>
      <c r="G453" s="4" t="s">
        <v>1953</v>
      </c>
      <c r="H453" s="4" t="s">
        <v>1954</v>
      </c>
      <c r="I453" s="4"/>
      <c r="J453" s="4"/>
      <c r="K453" s="4"/>
      <c r="L453" s="2">
        <v>2008</v>
      </c>
      <c r="M453" s="4" t="s">
        <v>1955</v>
      </c>
      <c r="N453" s="5">
        <v>317198</v>
      </c>
      <c r="O453" s="4" t="s">
        <v>1956</v>
      </c>
      <c r="P453" s="4" t="s">
        <v>1957</v>
      </c>
      <c r="Q453" s="4"/>
      <c r="R453" s="4"/>
      <c r="S453" s="4"/>
      <c r="T453" s="4"/>
      <c r="U453" s="4"/>
    </row>
    <row r="454" spans="2:21" ht="26.15" hidden="1" customHeight="1">
      <c r="B454" s="2">
        <v>452</v>
      </c>
      <c r="C454" s="3">
        <v>43012</v>
      </c>
      <c r="D454" s="20">
        <v>2017</v>
      </c>
      <c r="E454" s="4" t="s">
        <v>184</v>
      </c>
      <c r="F454" s="5" t="s">
        <v>50</v>
      </c>
      <c r="G454" s="4" t="s">
        <v>1958</v>
      </c>
      <c r="H454" s="4" t="s">
        <v>1959</v>
      </c>
      <c r="I454" s="4" t="s">
        <v>703</v>
      </c>
      <c r="J454" s="4"/>
      <c r="K454" s="4"/>
      <c r="L454" s="2">
        <v>2014</v>
      </c>
      <c r="M454" s="4" t="s">
        <v>1960</v>
      </c>
      <c r="N454" s="5"/>
      <c r="O454" s="4" t="s">
        <v>1961</v>
      </c>
      <c r="P454" s="4" t="s">
        <v>1962</v>
      </c>
      <c r="Q454" s="4"/>
      <c r="R454" s="4"/>
      <c r="S454" s="4"/>
      <c r="T454" s="4"/>
      <c r="U454" s="4"/>
    </row>
    <row r="455" spans="2:21" ht="26.15" customHeight="1">
      <c r="B455" s="2">
        <v>453</v>
      </c>
      <c r="C455" s="3">
        <v>43006</v>
      </c>
      <c r="D455" s="20">
        <v>2017</v>
      </c>
      <c r="E455" s="4" t="s">
        <v>25</v>
      </c>
      <c r="F455" s="5">
        <v>11000000</v>
      </c>
      <c r="G455" s="4" t="s">
        <v>131</v>
      </c>
      <c r="H455" s="4" t="s">
        <v>132</v>
      </c>
      <c r="I455" s="4" t="s">
        <v>1963</v>
      </c>
      <c r="J455" s="4"/>
      <c r="K455" s="4" t="s">
        <v>1964</v>
      </c>
      <c r="L455" s="2">
        <v>1999</v>
      </c>
      <c r="M455" s="4" t="s">
        <v>135</v>
      </c>
      <c r="N455" s="5">
        <v>37500000</v>
      </c>
      <c r="O455" s="4" t="s">
        <v>136</v>
      </c>
      <c r="P455" s="4" t="s">
        <v>137</v>
      </c>
      <c r="Q455" s="4"/>
      <c r="R455" s="4"/>
      <c r="S455" s="4"/>
      <c r="T455" s="4"/>
      <c r="U455" s="4"/>
    </row>
    <row r="456" spans="2:21" ht="26.15" hidden="1" customHeight="1">
      <c r="B456" s="2">
        <v>454</v>
      </c>
      <c r="C456" s="3">
        <v>43003</v>
      </c>
      <c r="D456" s="20">
        <v>2017</v>
      </c>
      <c r="E456" s="4" t="s">
        <v>109</v>
      </c>
      <c r="F456" s="5">
        <v>1182560</v>
      </c>
      <c r="G456" s="4" t="s">
        <v>1330</v>
      </c>
      <c r="H456" s="4" t="s">
        <v>1331</v>
      </c>
      <c r="I456" s="4" t="s">
        <v>1965</v>
      </c>
      <c r="J456" s="4"/>
      <c r="K456" s="4"/>
      <c r="L456" s="2">
        <v>2010</v>
      </c>
      <c r="M456" s="4" t="s">
        <v>79</v>
      </c>
      <c r="N456" s="5">
        <v>15568800</v>
      </c>
      <c r="O456" s="4" t="s">
        <v>1334</v>
      </c>
      <c r="P456" s="4" t="s">
        <v>1335</v>
      </c>
      <c r="Q456" s="4"/>
      <c r="R456" s="4"/>
      <c r="S456" s="4"/>
      <c r="T456" s="4"/>
      <c r="U456" s="4"/>
    </row>
    <row r="457" spans="2:21" ht="26.15" hidden="1" customHeight="1">
      <c r="B457" s="2">
        <v>455</v>
      </c>
      <c r="C457" s="3">
        <v>42998</v>
      </c>
      <c r="D457" s="20">
        <v>2017</v>
      </c>
      <c r="E457" s="4" t="s">
        <v>34</v>
      </c>
      <c r="F457" s="5" t="s">
        <v>50</v>
      </c>
      <c r="G457" s="4" t="s">
        <v>82</v>
      </c>
      <c r="H457" s="4" t="s">
        <v>83</v>
      </c>
      <c r="I457" s="4" t="s">
        <v>1966</v>
      </c>
      <c r="J457" s="4"/>
      <c r="K457" s="4" t="s">
        <v>1967</v>
      </c>
      <c r="L457" s="2"/>
      <c r="M457" s="4" t="s">
        <v>79</v>
      </c>
      <c r="N457" s="5">
        <v>680328</v>
      </c>
      <c r="O457" s="4" t="s">
        <v>86</v>
      </c>
      <c r="P457" s="4" t="s">
        <v>87</v>
      </c>
      <c r="Q457" s="4"/>
      <c r="R457" s="4"/>
      <c r="S457" s="4"/>
      <c r="T457" s="4"/>
      <c r="U457" s="4"/>
    </row>
    <row r="458" spans="2:21" ht="26.15" hidden="1" customHeight="1">
      <c r="B458" s="2">
        <v>456</v>
      </c>
      <c r="C458" s="3">
        <v>42998</v>
      </c>
      <c r="D458" s="20">
        <v>2017</v>
      </c>
      <c r="E458" s="4" t="s">
        <v>124</v>
      </c>
      <c r="F458" s="5">
        <v>1397</v>
      </c>
      <c r="G458" s="4" t="s">
        <v>523</v>
      </c>
      <c r="H458" s="4" t="s">
        <v>524</v>
      </c>
      <c r="I458" s="4"/>
      <c r="J458" s="4" t="s">
        <v>1968</v>
      </c>
      <c r="K458" s="4" t="s">
        <v>1969</v>
      </c>
      <c r="L458" s="2">
        <v>2016</v>
      </c>
      <c r="M458" s="4" t="s">
        <v>121</v>
      </c>
      <c r="N458" s="5">
        <v>452321</v>
      </c>
      <c r="O458" s="4" t="s">
        <v>116</v>
      </c>
      <c r="P458" s="4" t="s">
        <v>527</v>
      </c>
      <c r="Q458" s="4"/>
      <c r="R458" s="4"/>
      <c r="S458" s="4"/>
      <c r="T458" s="4"/>
      <c r="U458" s="4"/>
    </row>
    <row r="459" spans="2:21" ht="26.15" customHeight="1">
      <c r="B459" s="2">
        <v>457</v>
      </c>
      <c r="C459" s="3">
        <v>42992</v>
      </c>
      <c r="D459" s="20">
        <v>2017</v>
      </c>
      <c r="E459" s="4" t="s">
        <v>34</v>
      </c>
      <c r="F459" s="5">
        <v>2000000</v>
      </c>
      <c r="G459" s="4" t="s">
        <v>1970</v>
      </c>
      <c r="H459" s="4" t="s">
        <v>1971</v>
      </c>
      <c r="I459" s="4" t="s">
        <v>1972</v>
      </c>
      <c r="J459" s="4"/>
      <c r="K459" s="4"/>
      <c r="L459" s="2">
        <v>2012</v>
      </c>
      <c r="M459" s="4" t="s">
        <v>954</v>
      </c>
      <c r="N459" s="5">
        <v>3000000</v>
      </c>
      <c r="O459" s="4" t="s">
        <v>1973</v>
      </c>
      <c r="P459" s="4" t="s">
        <v>1974</v>
      </c>
      <c r="Q459" s="4"/>
      <c r="R459" s="4"/>
      <c r="S459" s="4"/>
      <c r="T459" s="4"/>
      <c r="U459" s="4"/>
    </row>
    <row r="460" spans="2:21" ht="26.15" hidden="1" customHeight="1">
      <c r="B460" s="2">
        <v>458</v>
      </c>
      <c r="C460" s="3">
        <v>42991</v>
      </c>
      <c r="D460" s="20">
        <v>2017</v>
      </c>
      <c r="E460" s="4" t="s">
        <v>34</v>
      </c>
      <c r="F460" s="5">
        <v>17990</v>
      </c>
      <c r="G460" s="4" t="s">
        <v>737</v>
      </c>
      <c r="H460" s="4" t="s">
        <v>738</v>
      </c>
      <c r="I460" s="4" t="s">
        <v>1975</v>
      </c>
      <c r="J460" s="4"/>
      <c r="K460" s="4"/>
      <c r="L460" s="2">
        <v>2016</v>
      </c>
      <c r="M460" s="4" t="s">
        <v>740</v>
      </c>
      <c r="N460" s="5">
        <v>17990</v>
      </c>
      <c r="O460" s="4" t="s">
        <v>741</v>
      </c>
      <c r="P460" s="4" t="s">
        <v>742</v>
      </c>
      <c r="Q460" s="4"/>
      <c r="R460" s="4"/>
      <c r="S460" s="4"/>
      <c r="T460" s="4"/>
      <c r="U460" s="4"/>
    </row>
    <row r="461" spans="2:21" ht="26.15" hidden="1" customHeight="1">
      <c r="B461" s="2">
        <v>459</v>
      </c>
      <c r="C461" s="3">
        <v>42990</v>
      </c>
      <c r="D461" s="20">
        <v>2017</v>
      </c>
      <c r="E461" s="4" t="s">
        <v>34</v>
      </c>
      <c r="F461" s="5">
        <v>624977</v>
      </c>
      <c r="G461" s="4" t="s">
        <v>110</v>
      </c>
      <c r="H461" s="4" t="s">
        <v>111</v>
      </c>
      <c r="I461" s="4" t="s">
        <v>483</v>
      </c>
      <c r="J461" s="4"/>
      <c r="K461" s="4" t="s">
        <v>484</v>
      </c>
      <c r="L461" s="2">
        <v>2010</v>
      </c>
      <c r="M461" s="4" t="s">
        <v>79</v>
      </c>
      <c r="N461" s="5">
        <v>10726419</v>
      </c>
      <c r="O461" s="4" t="s">
        <v>114</v>
      </c>
      <c r="P461" s="4" t="s">
        <v>115</v>
      </c>
      <c r="Q461" s="4"/>
      <c r="R461" s="4"/>
      <c r="S461" s="4"/>
      <c r="T461" s="4"/>
      <c r="U461" s="4"/>
    </row>
    <row r="462" spans="2:21" ht="26.15" hidden="1" customHeight="1">
      <c r="B462" s="2">
        <v>460</v>
      </c>
      <c r="C462" s="3">
        <v>42989</v>
      </c>
      <c r="D462" s="20">
        <v>2017</v>
      </c>
      <c r="E462" s="4" t="s">
        <v>184</v>
      </c>
      <c r="F462" s="5">
        <v>150000</v>
      </c>
      <c r="G462" s="4" t="s">
        <v>177</v>
      </c>
      <c r="H462" s="4" t="s">
        <v>178</v>
      </c>
      <c r="I462" s="4" t="s">
        <v>703</v>
      </c>
      <c r="J462" s="4"/>
      <c r="K462" s="4"/>
      <c r="L462" s="2">
        <v>2015</v>
      </c>
      <c r="M462" s="4" t="s">
        <v>181</v>
      </c>
      <c r="N462" s="5"/>
      <c r="O462" s="4" t="s">
        <v>182</v>
      </c>
      <c r="P462" s="4" t="s">
        <v>183</v>
      </c>
      <c r="Q462" s="4"/>
      <c r="R462" s="4"/>
      <c r="S462" s="4"/>
      <c r="T462" s="4"/>
      <c r="U462" s="4"/>
    </row>
    <row r="463" spans="2:21" ht="26.15" hidden="1" customHeight="1">
      <c r="B463" s="2">
        <v>461</v>
      </c>
      <c r="C463" s="3">
        <v>42986</v>
      </c>
      <c r="D463" s="20">
        <v>2017</v>
      </c>
      <c r="E463" s="4" t="s">
        <v>34</v>
      </c>
      <c r="F463" s="5">
        <v>296585</v>
      </c>
      <c r="G463" s="4" t="s">
        <v>1976</v>
      </c>
      <c r="H463" s="4" t="s">
        <v>1977</v>
      </c>
      <c r="I463" s="4" t="s">
        <v>1978</v>
      </c>
      <c r="J463" s="4" t="s">
        <v>1979</v>
      </c>
      <c r="K463" s="4" t="s">
        <v>1980</v>
      </c>
      <c r="L463" s="2">
        <v>2017</v>
      </c>
      <c r="M463" s="4" t="s">
        <v>79</v>
      </c>
      <c r="N463" s="5">
        <v>296585</v>
      </c>
      <c r="O463" s="4" t="s">
        <v>1981</v>
      </c>
      <c r="P463" s="4" t="s">
        <v>1982</v>
      </c>
      <c r="Q463" s="4"/>
      <c r="R463" s="4"/>
      <c r="S463" s="4"/>
      <c r="T463" s="4"/>
      <c r="U463" s="4"/>
    </row>
    <row r="464" spans="2:21" ht="26.15" hidden="1" customHeight="1">
      <c r="B464" s="2">
        <v>462</v>
      </c>
      <c r="C464" s="3">
        <v>42986</v>
      </c>
      <c r="D464" s="20">
        <v>2017</v>
      </c>
      <c r="E464" s="4" t="s">
        <v>109</v>
      </c>
      <c r="F464" s="5" t="s">
        <v>50</v>
      </c>
      <c r="G464" s="4" t="s">
        <v>1983</v>
      </c>
      <c r="H464" s="4" t="s">
        <v>1984</v>
      </c>
      <c r="I464" s="4" t="s">
        <v>1985</v>
      </c>
      <c r="J464" s="4"/>
      <c r="K464" s="4"/>
      <c r="L464" s="2">
        <v>2013</v>
      </c>
      <c r="M464" s="4" t="s">
        <v>39</v>
      </c>
      <c r="N464" s="5"/>
      <c r="O464" s="4" t="s">
        <v>1986</v>
      </c>
      <c r="P464" s="4" t="s">
        <v>1987</v>
      </c>
      <c r="Q464" s="4"/>
      <c r="R464" s="4"/>
      <c r="S464" s="4"/>
      <c r="T464" s="4"/>
      <c r="U464" s="4"/>
    </row>
    <row r="465" spans="2:21" ht="26.15" hidden="1" customHeight="1">
      <c r="B465" s="2">
        <v>463</v>
      </c>
      <c r="C465" s="3">
        <v>42979</v>
      </c>
      <c r="D465" s="20">
        <v>2017</v>
      </c>
      <c r="E465" s="4" t="s">
        <v>34</v>
      </c>
      <c r="F465" s="5" t="s">
        <v>50</v>
      </c>
      <c r="G465" s="4" t="s">
        <v>1075</v>
      </c>
      <c r="H465" s="4" t="s">
        <v>1076</v>
      </c>
      <c r="I465" s="4"/>
      <c r="J465" s="4"/>
      <c r="K465" s="4"/>
      <c r="L465" s="2">
        <v>2016</v>
      </c>
      <c r="M465" s="4" t="s">
        <v>278</v>
      </c>
      <c r="N465" s="5"/>
      <c r="O465" s="4" t="s">
        <v>1079</v>
      </c>
      <c r="P465" s="4" t="s">
        <v>1080</v>
      </c>
      <c r="Q465" s="4"/>
      <c r="R465" s="4"/>
      <c r="S465" s="4"/>
      <c r="T465" s="4"/>
      <c r="U465" s="4"/>
    </row>
    <row r="466" spans="2:21" ht="26.15" customHeight="1">
      <c r="B466" s="2">
        <v>464</v>
      </c>
      <c r="C466" s="3">
        <v>42979</v>
      </c>
      <c r="D466" s="20">
        <v>2017</v>
      </c>
      <c r="E466" s="4" t="s">
        <v>34</v>
      </c>
      <c r="F466" s="5">
        <v>3200000</v>
      </c>
      <c r="G466" s="4" t="s">
        <v>1246</v>
      </c>
      <c r="H466" s="4" t="s">
        <v>1247</v>
      </c>
      <c r="I466" s="4" t="s">
        <v>1988</v>
      </c>
      <c r="J466" s="4" t="s">
        <v>1249</v>
      </c>
      <c r="K466" s="4" t="s">
        <v>1989</v>
      </c>
      <c r="L466" s="2">
        <v>2017</v>
      </c>
      <c r="M466" s="4" t="s">
        <v>1251</v>
      </c>
      <c r="N466" s="5">
        <v>15000000</v>
      </c>
      <c r="O466" s="4" t="s">
        <v>1252</v>
      </c>
      <c r="P466" s="4" t="s">
        <v>1253</v>
      </c>
      <c r="Q466" s="4"/>
      <c r="R466" s="4"/>
      <c r="S466" s="4"/>
      <c r="T466" s="4"/>
      <c r="U466" s="4"/>
    </row>
    <row r="467" spans="2:21" ht="26.15" hidden="1" customHeight="1">
      <c r="B467" s="2">
        <v>465</v>
      </c>
      <c r="C467" s="3">
        <v>42977</v>
      </c>
      <c r="D467" s="20">
        <v>2017</v>
      </c>
      <c r="E467" s="4" t="s">
        <v>184</v>
      </c>
      <c r="F467" s="5" t="s">
        <v>50</v>
      </c>
      <c r="G467" s="4" t="s">
        <v>1990</v>
      </c>
      <c r="H467" s="4" t="s">
        <v>1991</v>
      </c>
      <c r="I467" s="4" t="s">
        <v>907</v>
      </c>
      <c r="J467" s="4"/>
      <c r="K467" s="4"/>
      <c r="L467" s="2">
        <v>2014</v>
      </c>
      <c r="M467" s="4" t="s">
        <v>79</v>
      </c>
      <c r="N467" s="5"/>
      <c r="O467" s="4" t="s">
        <v>1992</v>
      </c>
      <c r="P467" s="4" t="s">
        <v>1993</v>
      </c>
      <c r="Q467" s="4"/>
      <c r="R467" s="4"/>
      <c r="S467" s="4"/>
      <c r="T467" s="4"/>
      <c r="U467" s="4"/>
    </row>
    <row r="468" spans="2:21" ht="26.15" hidden="1" customHeight="1">
      <c r="B468" s="2">
        <v>466</v>
      </c>
      <c r="C468" s="3">
        <v>42977</v>
      </c>
      <c r="D468" s="20">
        <v>2017</v>
      </c>
      <c r="E468" s="4" t="s">
        <v>184</v>
      </c>
      <c r="F468" s="5" t="s">
        <v>50</v>
      </c>
      <c r="G468" s="4" t="s">
        <v>1994</v>
      </c>
      <c r="H468" s="4" t="s">
        <v>1995</v>
      </c>
      <c r="I468" s="4" t="s">
        <v>907</v>
      </c>
      <c r="J468" s="4"/>
      <c r="K468" s="4"/>
      <c r="L468" s="2">
        <v>2014</v>
      </c>
      <c r="M468" s="4" t="s">
        <v>1996</v>
      </c>
      <c r="N468" s="5"/>
      <c r="O468" s="4" t="s">
        <v>1997</v>
      </c>
      <c r="P468" s="4" t="s">
        <v>1998</v>
      </c>
      <c r="Q468" s="4"/>
      <c r="R468" s="4"/>
      <c r="S468" s="4"/>
      <c r="T468" s="4"/>
      <c r="U468" s="4"/>
    </row>
    <row r="469" spans="2:21" ht="26.15" hidden="1" customHeight="1">
      <c r="B469" s="2">
        <v>467</v>
      </c>
      <c r="C469" s="3">
        <v>42972</v>
      </c>
      <c r="D469" s="20">
        <v>2017</v>
      </c>
      <c r="E469" s="4" t="s">
        <v>124</v>
      </c>
      <c r="F469" s="5">
        <v>156019</v>
      </c>
      <c r="G469" s="4" t="s">
        <v>1999</v>
      </c>
      <c r="H469" s="4" t="s">
        <v>2000</v>
      </c>
      <c r="I469" s="4"/>
      <c r="J469" s="4" t="s">
        <v>2001</v>
      </c>
      <c r="K469" s="4" t="s">
        <v>2002</v>
      </c>
      <c r="L469" s="2">
        <v>2007</v>
      </c>
      <c r="M469" s="4" t="s">
        <v>313</v>
      </c>
      <c r="N469" s="5">
        <v>205825</v>
      </c>
      <c r="O469" s="4" t="s">
        <v>2003</v>
      </c>
      <c r="P469" s="4" t="s">
        <v>2004</v>
      </c>
      <c r="Q469" s="4"/>
      <c r="R469" s="4"/>
      <c r="S469" s="4"/>
      <c r="T469" s="4"/>
      <c r="U469" s="4"/>
    </row>
    <row r="470" spans="2:21" ht="26.15" hidden="1" customHeight="1">
      <c r="B470" s="2">
        <v>468</v>
      </c>
      <c r="C470" s="3">
        <v>42972</v>
      </c>
      <c r="D470" s="20">
        <v>2017</v>
      </c>
      <c r="E470" s="4" t="s">
        <v>289</v>
      </c>
      <c r="F470" s="5" t="s">
        <v>50</v>
      </c>
      <c r="G470" s="4" t="s">
        <v>2005</v>
      </c>
      <c r="H470" s="4" t="s">
        <v>2006</v>
      </c>
      <c r="I470" s="4" t="s">
        <v>2007</v>
      </c>
      <c r="J470" s="4"/>
      <c r="K470" s="4"/>
      <c r="L470" s="2">
        <v>2014</v>
      </c>
      <c r="M470" s="4" t="s">
        <v>2008</v>
      </c>
      <c r="N470" s="5"/>
      <c r="O470" s="4" t="s">
        <v>2009</v>
      </c>
      <c r="P470" s="4" t="s">
        <v>2010</v>
      </c>
      <c r="Q470" s="4"/>
      <c r="R470" s="4"/>
      <c r="S470" s="4"/>
      <c r="T470" s="4"/>
      <c r="U470" s="4"/>
    </row>
    <row r="471" spans="2:21" ht="26.15" hidden="1" customHeight="1">
      <c r="B471" s="2">
        <v>469</v>
      </c>
      <c r="C471" s="3">
        <v>42961</v>
      </c>
      <c r="D471" s="20">
        <v>2017</v>
      </c>
      <c r="E471" s="4" t="s">
        <v>34</v>
      </c>
      <c r="F471" s="5" t="s">
        <v>50</v>
      </c>
      <c r="G471" s="4" t="s">
        <v>1094</v>
      </c>
      <c r="H471" s="4" t="s">
        <v>1095</v>
      </c>
      <c r="I471" s="4"/>
      <c r="J471" s="4"/>
      <c r="K471" s="4"/>
      <c r="L471" s="2">
        <v>2013</v>
      </c>
      <c r="M471" s="4" t="s">
        <v>278</v>
      </c>
      <c r="N471" s="5">
        <v>100000</v>
      </c>
      <c r="O471" s="4" t="s">
        <v>1096</v>
      </c>
      <c r="P471" s="4" t="s">
        <v>1097</v>
      </c>
      <c r="Q471" s="4"/>
      <c r="R471" s="4"/>
      <c r="S471" s="4"/>
      <c r="T471" s="4"/>
      <c r="U471" s="4"/>
    </row>
    <row r="472" spans="2:21" ht="26.15" hidden="1" customHeight="1">
      <c r="B472" s="2">
        <v>470</v>
      </c>
      <c r="C472" s="3">
        <v>42961</v>
      </c>
      <c r="D472" s="20">
        <v>2017</v>
      </c>
      <c r="E472" s="4" t="s">
        <v>109</v>
      </c>
      <c r="F472" s="5">
        <v>6305660</v>
      </c>
      <c r="G472" s="4" t="s">
        <v>1115</v>
      </c>
      <c r="H472" s="4" t="s">
        <v>1116</v>
      </c>
      <c r="I472" s="4" t="s">
        <v>2011</v>
      </c>
      <c r="J472" s="4"/>
      <c r="K472" s="4" t="s">
        <v>746</v>
      </c>
      <c r="L472" s="2">
        <v>2009</v>
      </c>
      <c r="M472" s="4" t="s">
        <v>313</v>
      </c>
      <c r="N472" s="5">
        <v>14634837</v>
      </c>
      <c r="O472" s="4" t="s">
        <v>1118</v>
      </c>
      <c r="P472" s="4" t="s">
        <v>1119</v>
      </c>
      <c r="Q472" s="4"/>
      <c r="R472" s="4"/>
      <c r="S472" s="4"/>
      <c r="T472" s="4"/>
      <c r="U472" s="4"/>
    </row>
    <row r="473" spans="2:21" ht="26.15" hidden="1" customHeight="1">
      <c r="B473" s="2">
        <v>471</v>
      </c>
      <c r="C473" s="3">
        <v>42957</v>
      </c>
      <c r="D473" s="20">
        <v>2017</v>
      </c>
      <c r="E473" s="4" t="s">
        <v>34</v>
      </c>
      <c r="F473" s="5">
        <v>2580220</v>
      </c>
      <c r="G473" s="4" t="s">
        <v>259</v>
      </c>
      <c r="H473" s="4" t="s">
        <v>260</v>
      </c>
      <c r="I473" s="4" t="s">
        <v>2012</v>
      </c>
      <c r="J473" s="4" t="s">
        <v>2013</v>
      </c>
      <c r="K473" s="4" t="s">
        <v>2014</v>
      </c>
      <c r="L473" s="2">
        <v>2013</v>
      </c>
      <c r="M473" s="4" t="s">
        <v>79</v>
      </c>
      <c r="N473" s="5">
        <v>5345286</v>
      </c>
      <c r="O473" s="4" t="s">
        <v>264</v>
      </c>
      <c r="P473" s="4" t="s">
        <v>265</v>
      </c>
      <c r="Q473" s="4"/>
      <c r="R473" s="4"/>
      <c r="S473" s="4"/>
      <c r="T473" s="4"/>
      <c r="U473" s="4"/>
    </row>
    <row r="474" spans="2:21" ht="26.15" hidden="1" customHeight="1">
      <c r="B474" s="2">
        <v>472</v>
      </c>
      <c r="C474" s="3">
        <v>42956</v>
      </c>
      <c r="D474" s="20">
        <v>2017</v>
      </c>
      <c r="E474" s="4" t="s">
        <v>34</v>
      </c>
      <c r="F474" s="5">
        <v>784000</v>
      </c>
      <c r="G474" s="4" t="s">
        <v>160</v>
      </c>
      <c r="H474" s="4" t="s">
        <v>161</v>
      </c>
      <c r="I474" s="4" t="s">
        <v>2015</v>
      </c>
      <c r="J474" s="4" t="s">
        <v>2016</v>
      </c>
      <c r="K474" s="4" t="s">
        <v>2017</v>
      </c>
      <c r="L474" s="2">
        <v>2016</v>
      </c>
      <c r="M474" s="4" t="s">
        <v>128</v>
      </c>
      <c r="N474" s="5">
        <v>5866696</v>
      </c>
      <c r="O474" s="4" t="s">
        <v>164</v>
      </c>
      <c r="P474" s="4" t="s">
        <v>165</v>
      </c>
      <c r="Q474" s="4" t="s">
        <v>1264</v>
      </c>
      <c r="R474" s="4"/>
      <c r="S474" s="4"/>
      <c r="T474" s="4"/>
      <c r="U474" s="4"/>
    </row>
    <row r="475" spans="2:21" ht="26.15" hidden="1" customHeight="1">
      <c r="B475" s="2">
        <v>473</v>
      </c>
      <c r="C475" s="3">
        <v>42955</v>
      </c>
      <c r="D475" s="20">
        <v>2017</v>
      </c>
      <c r="E475" s="4" t="s">
        <v>25</v>
      </c>
      <c r="F475" s="5">
        <v>10000000</v>
      </c>
      <c r="G475" s="4" t="s">
        <v>743</v>
      </c>
      <c r="H475" s="4" t="s">
        <v>744</v>
      </c>
      <c r="I475" s="4" t="s">
        <v>745</v>
      </c>
      <c r="J475" s="4"/>
      <c r="K475" s="4" t="s">
        <v>2018</v>
      </c>
      <c r="L475" s="2">
        <v>2013</v>
      </c>
      <c r="M475" s="4" t="s">
        <v>121</v>
      </c>
      <c r="N475" s="5">
        <v>17022002</v>
      </c>
      <c r="O475" s="4" t="s">
        <v>747</v>
      </c>
      <c r="P475" s="4" t="s">
        <v>748</v>
      </c>
      <c r="Q475" s="4"/>
      <c r="R475" s="4"/>
      <c r="S475" s="4"/>
      <c r="T475" s="4"/>
      <c r="U475" s="4"/>
    </row>
    <row r="476" spans="2:21" ht="26.15" customHeight="1">
      <c r="B476" s="2">
        <v>474</v>
      </c>
      <c r="C476" s="3">
        <v>42954</v>
      </c>
      <c r="D476" s="20">
        <v>2017</v>
      </c>
      <c r="E476" s="4" t="s">
        <v>109</v>
      </c>
      <c r="F476" s="5">
        <v>2504795</v>
      </c>
      <c r="G476" s="4" t="s">
        <v>1045</v>
      </c>
      <c r="H476" s="4" t="s">
        <v>1046</v>
      </c>
      <c r="I476" s="4"/>
      <c r="J476" s="4"/>
      <c r="K476" s="4"/>
      <c r="L476" s="2">
        <v>2016</v>
      </c>
      <c r="M476" s="4" t="s">
        <v>369</v>
      </c>
      <c r="N476" s="5">
        <v>9004795</v>
      </c>
      <c r="O476" s="4" t="s">
        <v>1050</v>
      </c>
      <c r="P476" s="4" t="s">
        <v>1051</v>
      </c>
      <c r="Q476" s="4"/>
      <c r="R476" s="4"/>
      <c r="S476" s="4"/>
      <c r="T476" s="4"/>
      <c r="U476" s="4"/>
    </row>
    <row r="477" spans="2:21" ht="26.15" hidden="1" customHeight="1">
      <c r="B477" s="2">
        <v>475</v>
      </c>
      <c r="C477" s="3">
        <v>42951</v>
      </c>
      <c r="D477" s="20">
        <v>2017</v>
      </c>
      <c r="E477" s="4" t="s">
        <v>124</v>
      </c>
      <c r="F477" s="5">
        <v>102028</v>
      </c>
      <c r="G477" s="4" t="s">
        <v>1846</v>
      </c>
      <c r="H477" s="4" t="s">
        <v>1847</v>
      </c>
      <c r="I477" s="4"/>
      <c r="J477" s="4" t="s">
        <v>2019</v>
      </c>
      <c r="K477" s="4" t="s">
        <v>2020</v>
      </c>
      <c r="L477" s="2">
        <v>2014</v>
      </c>
      <c r="M477" s="4" t="s">
        <v>79</v>
      </c>
      <c r="N477" s="5">
        <v>214702</v>
      </c>
      <c r="O477" s="4" t="s">
        <v>1850</v>
      </c>
      <c r="P477" s="4" t="s">
        <v>1851</v>
      </c>
      <c r="Q477" s="4"/>
      <c r="R477" s="4"/>
      <c r="S477" s="4"/>
      <c r="T477" s="4"/>
      <c r="U477" s="4"/>
    </row>
    <row r="478" spans="2:21" ht="26.15" hidden="1" customHeight="1">
      <c r="B478" s="2">
        <v>476</v>
      </c>
      <c r="C478" s="3">
        <v>42949</v>
      </c>
      <c r="D478" s="20">
        <v>2017</v>
      </c>
      <c r="E478" s="4" t="s">
        <v>109</v>
      </c>
      <c r="F478" s="5">
        <v>6300000</v>
      </c>
      <c r="G478" s="4" t="s">
        <v>473</v>
      </c>
      <c r="H478" s="4" t="s">
        <v>474</v>
      </c>
      <c r="I478" s="4" t="s">
        <v>2021</v>
      </c>
      <c r="J478" s="4"/>
      <c r="K478" s="4" t="s">
        <v>2022</v>
      </c>
      <c r="L478" s="2">
        <v>2014</v>
      </c>
      <c r="M478" s="4" t="s">
        <v>39</v>
      </c>
      <c r="N478" s="5">
        <v>46450000</v>
      </c>
      <c r="O478" s="4" t="s">
        <v>475</v>
      </c>
      <c r="P478" s="4" t="s">
        <v>476</v>
      </c>
      <c r="Q478" s="4"/>
      <c r="R478" s="4"/>
      <c r="S478" s="4"/>
      <c r="T478" s="4"/>
      <c r="U478" s="4"/>
    </row>
    <row r="479" spans="2:21" ht="26.15" hidden="1" customHeight="1">
      <c r="B479" s="2">
        <v>477</v>
      </c>
      <c r="C479" s="3">
        <v>42949</v>
      </c>
      <c r="D479" s="20">
        <v>2017</v>
      </c>
      <c r="E479" s="4" t="s">
        <v>289</v>
      </c>
      <c r="F479" s="5">
        <v>4000000</v>
      </c>
      <c r="G479" s="4" t="s">
        <v>473</v>
      </c>
      <c r="H479" s="4" t="s">
        <v>474</v>
      </c>
      <c r="I479" s="4" t="s">
        <v>2023</v>
      </c>
      <c r="J479" s="4"/>
      <c r="K479" s="4" t="s">
        <v>2022</v>
      </c>
      <c r="L479" s="2">
        <v>2014</v>
      </c>
      <c r="M479" s="4" t="s">
        <v>39</v>
      </c>
      <c r="N479" s="5">
        <v>46450000</v>
      </c>
      <c r="O479" s="4" t="s">
        <v>475</v>
      </c>
      <c r="P479" s="4" t="s">
        <v>476</v>
      </c>
      <c r="Q479" s="4"/>
      <c r="R479" s="4"/>
      <c r="S479" s="4"/>
      <c r="T479" s="4"/>
      <c r="U479" s="4"/>
    </row>
    <row r="480" spans="2:21" ht="26.15" hidden="1" customHeight="1">
      <c r="B480" s="2">
        <v>478</v>
      </c>
      <c r="C480" s="3">
        <v>42947</v>
      </c>
      <c r="D480" s="20">
        <v>2017</v>
      </c>
      <c r="E480" s="4" t="s">
        <v>184</v>
      </c>
      <c r="F480" s="5">
        <v>2000000</v>
      </c>
      <c r="G480" s="4" t="s">
        <v>473</v>
      </c>
      <c r="H480" s="4" t="s">
        <v>474</v>
      </c>
      <c r="I480" s="4" t="s">
        <v>2024</v>
      </c>
      <c r="J480" s="4"/>
      <c r="K480" s="4"/>
      <c r="L480" s="2">
        <v>2014</v>
      </c>
      <c r="M480" s="4" t="s">
        <v>39</v>
      </c>
      <c r="N480" s="5">
        <v>46450000</v>
      </c>
      <c r="O480" s="4" t="s">
        <v>475</v>
      </c>
      <c r="P480" s="4" t="s">
        <v>476</v>
      </c>
      <c r="Q480" s="4"/>
      <c r="R480" s="4"/>
      <c r="S480" s="4"/>
      <c r="T480" s="4"/>
      <c r="U480" s="4"/>
    </row>
    <row r="481" spans="2:21" ht="26.15" hidden="1" customHeight="1">
      <c r="B481" s="2">
        <v>479</v>
      </c>
      <c r="C481" s="3">
        <v>42943</v>
      </c>
      <c r="D481" s="20">
        <v>2017</v>
      </c>
      <c r="E481" s="4" t="s">
        <v>109</v>
      </c>
      <c r="F481" s="5">
        <v>2375000</v>
      </c>
      <c r="G481" s="4" t="s">
        <v>2025</v>
      </c>
      <c r="H481" s="4" t="s">
        <v>2026</v>
      </c>
      <c r="I481" s="4"/>
      <c r="J481" s="4"/>
      <c r="K481" s="4"/>
      <c r="L481" s="2">
        <v>2015</v>
      </c>
      <c r="M481" s="4" t="s">
        <v>2027</v>
      </c>
      <c r="N481" s="5">
        <v>2839000</v>
      </c>
      <c r="O481" s="4" t="s">
        <v>2028</v>
      </c>
      <c r="P481" s="4" t="s">
        <v>2029</v>
      </c>
      <c r="Q481" s="4"/>
      <c r="R481" s="4"/>
      <c r="S481" s="4"/>
      <c r="T481" s="4"/>
      <c r="U481" s="4"/>
    </row>
    <row r="482" spans="2:21" ht="26.15" customHeight="1">
      <c r="B482" s="2">
        <v>480</v>
      </c>
      <c r="C482" s="3">
        <v>42941</v>
      </c>
      <c r="D482" s="20">
        <v>2017</v>
      </c>
      <c r="E482" s="4" t="s">
        <v>25</v>
      </c>
      <c r="F482" s="5">
        <v>15000000</v>
      </c>
      <c r="G482" s="4" t="s">
        <v>2030</v>
      </c>
      <c r="H482" s="4" t="s">
        <v>2031</v>
      </c>
      <c r="I482" s="4" t="s">
        <v>2032</v>
      </c>
      <c r="J482" s="4"/>
      <c r="K482" s="4" t="s">
        <v>2033</v>
      </c>
      <c r="L482" s="2">
        <v>2013</v>
      </c>
      <c r="M482" s="4" t="s">
        <v>369</v>
      </c>
      <c r="N482" s="5">
        <v>22000000</v>
      </c>
      <c r="O482" s="4" t="s">
        <v>2034</v>
      </c>
      <c r="P482" s="4" t="s">
        <v>2035</v>
      </c>
      <c r="Q482" s="4"/>
      <c r="R482" s="4"/>
      <c r="S482" s="4"/>
      <c r="T482" s="4"/>
      <c r="U482" s="4"/>
    </row>
    <row r="483" spans="2:21" ht="26.15" hidden="1" customHeight="1">
      <c r="B483" s="2">
        <v>481</v>
      </c>
      <c r="C483" s="3">
        <v>42940</v>
      </c>
      <c r="D483" s="20">
        <v>2017</v>
      </c>
      <c r="E483" s="4" t="s">
        <v>109</v>
      </c>
      <c r="F483" s="5" t="s">
        <v>50</v>
      </c>
      <c r="G483" s="4" t="s">
        <v>544</v>
      </c>
      <c r="H483" s="4" t="s">
        <v>545</v>
      </c>
      <c r="I483" s="4" t="s">
        <v>2036</v>
      </c>
      <c r="J483" s="4"/>
      <c r="K483" s="4" t="s">
        <v>2037</v>
      </c>
      <c r="L483" s="2">
        <v>2007</v>
      </c>
      <c r="M483" s="4" t="s">
        <v>547</v>
      </c>
      <c r="N483" s="5">
        <v>40000000</v>
      </c>
      <c r="O483" s="4" t="s">
        <v>548</v>
      </c>
      <c r="P483" s="4" t="s">
        <v>549</v>
      </c>
      <c r="Q483" s="4"/>
      <c r="R483" s="4"/>
      <c r="S483" s="4"/>
      <c r="T483" s="4"/>
      <c r="U483" s="4"/>
    </row>
    <row r="484" spans="2:21" ht="26.15" customHeight="1">
      <c r="B484" s="2">
        <v>482</v>
      </c>
      <c r="C484" s="3">
        <v>42930</v>
      </c>
      <c r="D484" s="20">
        <v>2017</v>
      </c>
      <c r="E484" s="4" t="s">
        <v>34</v>
      </c>
      <c r="F484" s="5">
        <v>600000</v>
      </c>
      <c r="G484" s="4" t="s">
        <v>426</v>
      </c>
      <c r="H484" s="4" t="s">
        <v>427</v>
      </c>
      <c r="I484" s="4" t="s">
        <v>2038</v>
      </c>
      <c r="J484" s="4"/>
      <c r="K484" s="4"/>
      <c r="L484" s="2">
        <v>2014</v>
      </c>
      <c r="M484" s="4" t="s">
        <v>173</v>
      </c>
      <c r="N484" s="5">
        <v>5000000</v>
      </c>
      <c r="O484" s="4" t="s">
        <v>430</v>
      </c>
      <c r="P484" s="4" t="s">
        <v>431</v>
      </c>
      <c r="Q484" s="4"/>
      <c r="R484" s="4"/>
      <c r="S484" s="4"/>
      <c r="T484" s="4"/>
      <c r="U484" s="4"/>
    </row>
    <row r="485" spans="2:21" ht="26.15" hidden="1" customHeight="1">
      <c r="B485" s="2">
        <v>483</v>
      </c>
      <c r="C485" s="3">
        <v>42926</v>
      </c>
      <c r="D485" s="20">
        <v>2017</v>
      </c>
      <c r="E485" s="4" t="s">
        <v>109</v>
      </c>
      <c r="F485" s="5">
        <v>1976500</v>
      </c>
      <c r="G485" s="4" t="s">
        <v>303</v>
      </c>
      <c r="H485" s="4" t="s">
        <v>304</v>
      </c>
      <c r="I485" s="4" t="s">
        <v>2039</v>
      </c>
      <c r="J485" s="4" t="s">
        <v>1629</v>
      </c>
      <c r="K485" s="4" t="s">
        <v>928</v>
      </c>
      <c r="L485" s="2">
        <v>2011</v>
      </c>
      <c r="M485" s="4" t="s">
        <v>79</v>
      </c>
      <c r="N485" s="5">
        <v>19009146</v>
      </c>
      <c r="O485" s="4" t="s">
        <v>306</v>
      </c>
      <c r="P485" s="4" t="s">
        <v>307</v>
      </c>
      <c r="Q485" s="4"/>
      <c r="R485" s="4"/>
      <c r="S485" s="4"/>
      <c r="T485" s="4"/>
      <c r="U485" s="4"/>
    </row>
    <row r="486" spans="2:21" ht="26.15" hidden="1" customHeight="1">
      <c r="B486" s="2">
        <v>484</v>
      </c>
      <c r="C486" s="3">
        <v>42922</v>
      </c>
      <c r="D486" s="20">
        <v>2017</v>
      </c>
      <c r="E486" s="4" t="s">
        <v>109</v>
      </c>
      <c r="F486" s="5">
        <v>10000000</v>
      </c>
      <c r="G486" s="4" t="s">
        <v>2040</v>
      </c>
      <c r="H486" s="4" t="s">
        <v>2041</v>
      </c>
      <c r="I486" s="4" t="s">
        <v>2042</v>
      </c>
      <c r="J486" s="4"/>
      <c r="K486" s="4"/>
      <c r="L486" s="2">
        <v>2014</v>
      </c>
      <c r="M486" s="4" t="s">
        <v>2043</v>
      </c>
      <c r="N486" s="5">
        <v>10000000</v>
      </c>
      <c r="O486" s="4" t="s">
        <v>2044</v>
      </c>
      <c r="P486" s="4" t="s">
        <v>2045</v>
      </c>
      <c r="Q486" s="4"/>
      <c r="R486" s="4"/>
      <c r="S486" s="4"/>
      <c r="T486" s="4"/>
      <c r="U486" s="4"/>
    </row>
    <row r="487" spans="2:21" ht="26.15" hidden="1" customHeight="1">
      <c r="B487" s="2">
        <v>485</v>
      </c>
      <c r="C487" s="3">
        <v>42922</v>
      </c>
      <c r="D487" s="20">
        <v>2017</v>
      </c>
      <c r="E487" s="4" t="s">
        <v>109</v>
      </c>
      <c r="F487" s="5">
        <v>8473820</v>
      </c>
      <c r="G487" s="4" t="s">
        <v>74</v>
      </c>
      <c r="H487" s="4" t="s">
        <v>75</v>
      </c>
      <c r="I487" s="4" t="s">
        <v>2046</v>
      </c>
      <c r="J487" s="4"/>
      <c r="K487" s="4" t="s">
        <v>1242</v>
      </c>
      <c r="L487" s="2">
        <v>2015</v>
      </c>
      <c r="M487" s="4" t="s">
        <v>79</v>
      </c>
      <c r="N487" s="5">
        <v>36362460</v>
      </c>
      <c r="O487" s="4" t="s">
        <v>80</v>
      </c>
      <c r="P487" s="4" t="s">
        <v>81</v>
      </c>
      <c r="Q487" s="4"/>
      <c r="R487" s="4"/>
      <c r="S487" s="4"/>
      <c r="T487" s="4"/>
      <c r="U487" s="4"/>
    </row>
    <row r="488" spans="2:21" ht="26.15" hidden="1" customHeight="1">
      <c r="B488" s="2">
        <v>486</v>
      </c>
      <c r="C488" s="3">
        <v>42917</v>
      </c>
      <c r="D488" s="20">
        <v>2017</v>
      </c>
      <c r="E488" s="4" t="s">
        <v>34</v>
      </c>
      <c r="F488" s="5" t="s">
        <v>50</v>
      </c>
      <c r="G488" s="4" t="s">
        <v>2047</v>
      </c>
      <c r="H488" s="4" t="s">
        <v>2048</v>
      </c>
      <c r="I488" s="4" t="s">
        <v>2049</v>
      </c>
      <c r="J488" s="4"/>
      <c r="K488" s="4"/>
      <c r="L488" s="2">
        <v>2013</v>
      </c>
      <c r="M488" s="4" t="s">
        <v>2050</v>
      </c>
      <c r="N488" s="5"/>
      <c r="O488" s="4" t="s">
        <v>2051</v>
      </c>
      <c r="P488" s="4" t="s">
        <v>2052</v>
      </c>
      <c r="Q488" s="4"/>
      <c r="R488" s="4"/>
      <c r="S488" s="4"/>
      <c r="T488" s="4"/>
      <c r="U488" s="4"/>
    </row>
    <row r="489" spans="2:21" ht="26.15" hidden="1" customHeight="1">
      <c r="B489" s="2">
        <v>487</v>
      </c>
      <c r="C489" s="3">
        <v>42917</v>
      </c>
      <c r="D489" s="20">
        <v>2017</v>
      </c>
      <c r="E489" s="4" t="s">
        <v>34</v>
      </c>
      <c r="F489" s="5">
        <v>743193</v>
      </c>
      <c r="G489" s="4" t="s">
        <v>2053</v>
      </c>
      <c r="H489" s="4" t="s">
        <v>2054</v>
      </c>
      <c r="I489" s="4" t="s">
        <v>2055</v>
      </c>
      <c r="J489" s="4"/>
      <c r="K489" s="4" t="s">
        <v>2056</v>
      </c>
      <c r="L489" s="2">
        <v>2018</v>
      </c>
      <c r="M489" s="4" t="s">
        <v>2057</v>
      </c>
      <c r="N489" s="5">
        <v>743193</v>
      </c>
      <c r="O489" s="4" t="s">
        <v>2058</v>
      </c>
      <c r="P489" s="4" t="s">
        <v>2059</v>
      </c>
      <c r="Q489" s="4"/>
      <c r="R489" s="4"/>
      <c r="S489" s="4"/>
      <c r="T489" s="4"/>
      <c r="U489" s="4"/>
    </row>
    <row r="490" spans="2:21" ht="26.15" hidden="1" customHeight="1">
      <c r="B490" s="2">
        <v>488</v>
      </c>
      <c r="C490" s="3">
        <v>42916</v>
      </c>
      <c r="D490" s="20">
        <v>2017</v>
      </c>
      <c r="E490" s="4" t="s">
        <v>34</v>
      </c>
      <c r="F490" s="5">
        <v>23189</v>
      </c>
      <c r="G490" s="4" t="s">
        <v>2060</v>
      </c>
      <c r="H490" s="4" t="s">
        <v>2061</v>
      </c>
      <c r="I490" s="4" t="s">
        <v>907</v>
      </c>
      <c r="J490" s="4"/>
      <c r="K490" s="4"/>
      <c r="L490" s="2">
        <v>2016</v>
      </c>
      <c r="M490" s="4" t="s">
        <v>79</v>
      </c>
      <c r="N490" s="5">
        <v>23189</v>
      </c>
      <c r="O490" s="4" t="s">
        <v>2062</v>
      </c>
      <c r="P490" s="4" t="s">
        <v>2063</v>
      </c>
      <c r="Q490" s="4"/>
      <c r="R490" s="4"/>
      <c r="S490" s="4"/>
      <c r="T490" s="4"/>
      <c r="U490" s="4"/>
    </row>
    <row r="491" spans="2:21" ht="26.15" hidden="1" customHeight="1">
      <c r="B491" s="2">
        <v>489</v>
      </c>
      <c r="C491" s="3">
        <v>42908</v>
      </c>
      <c r="D491" s="20">
        <v>2017</v>
      </c>
      <c r="E491" s="4" t="s">
        <v>25</v>
      </c>
      <c r="F491" s="5">
        <v>44241132</v>
      </c>
      <c r="G491" s="4" t="s">
        <v>1120</v>
      </c>
      <c r="H491" s="4" t="s">
        <v>1121</v>
      </c>
      <c r="I491" s="4" t="s">
        <v>2064</v>
      </c>
      <c r="J491" s="4"/>
      <c r="K491" s="4" t="s">
        <v>2065</v>
      </c>
      <c r="L491" s="2">
        <v>2014</v>
      </c>
      <c r="M491" s="4" t="s">
        <v>894</v>
      </c>
      <c r="N491" s="5">
        <v>73326732</v>
      </c>
      <c r="O491" s="4" t="s">
        <v>1124</v>
      </c>
      <c r="P491" s="4" t="s">
        <v>1125</v>
      </c>
      <c r="Q491" s="4"/>
      <c r="R491" s="4"/>
      <c r="S491" s="4"/>
      <c r="T491" s="4"/>
      <c r="U491" s="4"/>
    </row>
    <row r="492" spans="2:21" ht="26.15" customHeight="1">
      <c r="B492" s="2">
        <v>490</v>
      </c>
      <c r="C492" s="3">
        <v>42908</v>
      </c>
      <c r="D492" s="20">
        <v>2017</v>
      </c>
      <c r="E492" s="4" t="s">
        <v>184</v>
      </c>
      <c r="F492" s="5">
        <v>111409</v>
      </c>
      <c r="G492" s="4" t="s">
        <v>1802</v>
      </c>
      <c r="H492" s="4" t="s">
        <v>1803</v>
      </c>
      <c r="I492" s="4" t="s">
        <v>1791</v>
      </c>
      <c r="J492" s="4"/>
      <c r="K492" s="4"/>
      <c r="L492" s="2">
        <v>2015</v>
      </c>
      <c r="M492" s="4" t="s">
        <v>369</v>
      </c>
      <c r="N492" s="5">
        <v>910000</v>
      </c>
      <c r="O492" s="4" t="s">
        <v>1806</v>
      </c>
      <c r="P492" s="4" t="s">
        <v>1807</v>
      </c>
      <c r="Q492" s="4"/>
      <c r="R492" s="4"/>
      <c r="S492" s="4"/>
      <c r="T492" s="4"/>
      <c r="U492" s="4"/>
    </row>
    <row r="493" spans="2:21" ht="26.15" hidden="1" customHeight="1">
      <c r="B493" s="2">
        <v>491</v>
      </c>
      <c r="C493" s="3">
        <v>42900</v>
      </c>
      <c r="D493" s="20">
        <v>2017</v>
      </c>
      <c r="E493" s="4" t="s">
        <v>184</v>
      </c>
      <c r="F493" s="5">
        <v>20000</v>
      </c>
      <c r="G493" s="4" t="s">
        <v>1282</v>
      </c>
      <c r="H493" s="4" t="s">
        <v>1283</v>
      </c>
      <c r="I493" s="4" t="s">
        <v>2066</v>
      </c>
      <c r="J493" s="4"/>
      <c r="K493" s="4"/>
      <c r="L493" s="2">
        <v>2015</v>
      </c>
      <c r="M493" s="4" t="s">
        <v>1285</v>
      </c>
      <c r="N493" s="5">
        <v>650000</v>
      </c>
      <c r="O493" s="4" t="s">
        <v>1286</v>
      </c>
      <c r="P493" s="4" t="s">
        <v>1287</v>
      </c>
      <c r="Q493" s="4"/>
      <c r="R493" s="4"/>
      <c r="S493" s="4"/>
      <c r="T493" s="4"/>
      <c r="U493" s="4"/>
    </row>
    <row r="494" spans="2:21" ht="26.15" hidden="1" customHeight="1">
      <c r="B494" s="2">
        <v>492</v>
      </c>
      <c r="C494" s="3">
        <v>42893</v>
      </c>
      <c r="D494" s="20">
        <v>2017</v>
      </c>
      <c r="E494" s="4" t="s">
        <v>34</v>
      </c>
      <c r="F494" s="5">
        <v>256000</v>
      </c>
      <c r="G494" s="4" t="s">
        <v>783</v>
      </c>
      <c r="H494" s="4" t="s">
        <v>784</v>
      </c>
      <c r="I494" s="4" t="s">
        <v>2067</v>
      </c>
      <c r="J494" s="4"/>
      <c r="K494" s="4"/>
      <c r="L494" s="2">
        <v>2016</v>
      </c>
      <c r="M494" s="4" t="s">
        <v>787</v>
      </c>
      <c r="N494" s="5">
        <v>736306</v>
      </c>
      <c r="O494" s="4" t="s">
        <v>788</v>
      </c>
      <c r="P494" s="4" t="s">
        <v>789</v>
      </c>
      <c r="Q494" s="4"/>
      <c r="R494" s="4"/>
      <c r="S494" s="4"/>
      <c r="T494" s="4"/>
      <c r="U494" s="4"/>
    </row>
    <row r="495" spans="2:21" ht="26.15" hidden="1" customHeight="1">
      <c r="B495" s="2">
        <v>493</v>
      </c>
      <c r="C495" s="3">
        <v>42892</v>
      </c>
      <c r="D495" s="20">
        <v>2017</v>
      </c>
      <c r="E495" s="4" t="s">
        <v>109</v>
      </c>
      <c r="F495" s="5">
        <v>7000000</v>
      </c>
      <c r="G495" s="4" t="s">
        <v>1895</v>
      </c>
      <c r="H495" s="4" t="s">
        <v>1896</v>
      </c>
      <c r="I495" s="4" t="s">
        <v>2068</v>
      </c>
      <c r="J495" s="4"/>
      <c r="K495" s="4"/>
      <c r="L495" s="2">
        <v>2016</v>
      </c>
      <c r="M495" s="4" t="s">
        <v>278</v>
      </c>
      <c r="N495" s="5">
        <v>17346190</v>
      </c>
      <c r="O495" s="4" t="s">
        <v>1898</v>
      </c>
      <c r="P495" s="4" t="s">
        <v>1899</v>
      </c>
      <c r="Q495" s="4"/>
      <c r="R495" s="4"/>
      <c r="S495" s="4"/>
      <c r="T495" s="4"/>
      <c r="U495" s="4"/>
    </row>
    <row r="496" spans="2:21" ht="26.15" hidden="1" customHeight="1">
      <c r="B496" s="2">
        <v>494</v>
      </c>
      <c r="C496" s="3">
        <v>42887</v>
      </c>
      <c r="D496" s="20">
        <v>2017</v>
      </c>
      <c r="E496" s="4" t="s">
        <v>34</v>
      </c>
      <c r="F496" s="5">
        <v>648033</v>
      </c>
      <c r="G496" s="4" t="s">
        <v>378</v>
      </c>
      <c r="H496" s="4" t="s">
        <v>379</v>
      </c>
      <c r="I496" s="4" t="s">
        <v>2069</v>
      </c>
      <c r="J496" s="4"/>
      <c r="K496" s="4" t="s">
        <v>2070</v>
      </c>
      <c r="L496" s="2">
        <v>2014</v>
      </c>
      <c r="M496" s="4" t="s">
        <v>382</v>
      </c>
      <c r="N496" s="5">
        <v>10111973</v>
      </c>
      <c r="O496" s="4" t="s">
        <v>383</v>
      </c>
      <c r="P496" s="4" t="s">
        <v>384</v>
      </c>
      <c r="Q496" s="4"/>
      <c r="R496" s="4"/>
      <c r="S496" s="4"/>
      <c r="T496" s="4"/>
      <c r="U496" s="4"/>
    </row>
    <row r="497" spans="2:21" ht="26.15" hidden="1" customHeight="1">
      <c r="B497" s="2">
        <v>495</v>
      </c>
      <c r="C497" s="3">
        <v>42887</v>
      </c>
      <c r="D497" s="20">
        <v>2017</v>
      </c>
      <c r="E497" s="4" t="s">
        <v>34</v>
      </c>
      <c r="F497" s="5" t="s">
        <v>50</v>
      </c>
      <c r="G497" s="4" t="s">
        <v>1082</v>
      </c>
      <c r="H497" s="4" t="s">
        <v>1083</v>
      </c>
      <c r="I497" s="4" t="s">
        <v>2071</v>
      </c>
      <c r="J497" s="4"/>
      <c r="K497" s="4" t="s">
        <v>2072</v>
      </c>
      <c r="L497" s="2">
        <v>2016</v>
      </c>
      <c r="M497" s="4" t="s">
        <v>1086</v>
      </c>
      <c r="N497" s="5">
        <v>120000</v>
      </c>
      <c r="O497" s="4" t="s">
        <v>1087</v>
      </c>
      <c r="P497" s="4" t="s">
        <v>1088</v>
      </c>
      <c r="Q497" s="4"/>
      <c r="R497" s="4"/>
      <c r="S497" s="4"/>
      <c r="T497" s="4"/>
      <c r="U497" s="4"/>
    </row>
    <row r="498" spans="2:21" ht="26.15" hidden="1" customHeight="1">
      <c r="B498" s="2">
        <v>496</v>
      </c>
      <c r="C498" s="3">
        <v>42887</v>
      </c>
      <c r="D498" s="20">
        <v>2017</v>
      </c>
      <c r="E498" s="4" t="s">
        <v>34</v>
      </c>
      <c r="F498" s="5">
        <v>120000</v>
      </c>
      <c r="G498" s="4" t="s">
        <v>2073</v>
      </c>
      <c r="H498" s="4" t="s">
        <v>2074</v>
      </c>
      <c r="I498" s="4" t="s">
        <v>479</v>
      </c>
      <c r="J498" s="4"/>
      <c r="K498" s="4"/>
      <c r="L498" s="2">
        <v>2015</v>
      </c>
      <c r="M498" s="4" t="s">
        <v>2075</v>
      </c>
      <c r="N498" s="5">
        <v>170000</v>
      </c>
      <c r="O498" s="4" t="s">
        <v>2076</v>
      </c>
      <c r="P498" s="4" t="s">
        <v>2077</v>
      </c>
      <c r="Q498" s="4"/>
      <c r="R498" s="4"/>
      <c r="S498" s="4"/>
      <c r="T498" s="4"/>
      <c r="U498" s="4"/>
    </row>
    <row r="499" spans="2:21" ht="26.15" hidden="1" customHeight="1">
      <c r="B499" s="2">
        <v>497</v>
      </c>
      <c r="C499" s="3">
        <v>42887</v>
      </c>
      <c r="D499" s="20">
        <v>2017</v>
      </c>
      <c r="E499" s="4" t="s">
        <v>184</v>
      </c>
      <c r="F499" s="5">
        <v>86513</v>
      </c>
      <c r="G499" s="4" t="s">
        <v>2078</v>
      </c>
      <c r="H499" s="4" t="s">
        <v>2079</v>
      </c>
      <c r="I499" s="4" t="s">
        <v>803</v>
      </c>
      <c r="J499" s="4"/>
      <c r="K499" s="4"/>
      <c r="L499" s="2">
        <v>2015</v>
      </c>
      <c r="M499" s="4" t="s">
        <v>2027</v>
      </c>
      <c r="N499" s="5"/>
      <c r="O499" s="4" t="s">
        <v>2080</v>
      </c>
      <c r="P499" s="4" t="s">
        <v>2081</v>
      </c>
      <c r="Q499" s="4"/>
      <c r="R499" s="4"/>
      <c r="S499" s="4"/>
      <c r="T499" s="4"/>
      <c r="U499" s="4"/>
    </row>
    <row r="500" spans="2:21" ht="26.15" hidden="1" customHeight="1">
      <c r="B500" s="2">
        <v>498</v>
      </c>
      <c r="C500" s="3">
        <v>42887</v>
      </c>
      <c r="D500" s="20">
        <v>2017</v>
      </c>
      <c r="E500" s="4" t="s">
        <v>184</v>
      </c>
      <c r="F500" s="5"/>
      <c r="G500" s="4" t="s">
        <v>1196</v>
      </c>
      <c r="H500" s="4" t="s">
        <v>1197</v>
      </c>
      <c r="I500" s="4" t="s">
        <v>2082</v>
      </c>
      <c r="J500" s="4"/>
      <c r="K500" s="4"/>
      <c r="L500" s="2">
        <v>2016</v>
      </c>
      <c r="M500" s="4" t="s">
        <v>39</v>
      </c>
      <c r="N500" s="5">
        <v>652000</v>
      </c>
      <c r="O500" s="4" t="s">
        <v>389</v>
      </c>
      <c r="P500" s="4" t="s">
        <v>1200</v>
      </c>
      <c r="Q500" s="4"/>
      <c r="R500" s="4"/>
      <c r="S500" s="4"/>
      <c r="T500" s="4"/>
      <c r="U500" s="4"/>
    </row>
    <row r="501" spans="2:21" ht="26.15" hidden="1" customHeight="1">
      <c r="B501" s="2">
        <v>499</v>
      </c>
      <c r="C501" s="3">
        <v>42887</v>
      </c>
      <c r="D501" s="20">
        <v>2017</v>
      </c>
      <c r="E501" s="4" t="s">
        <v>34</v>
      </c>
      <c r="F501" s="5">
        <v>50000</v>
      </c>
      <c r="G501" s="4" t="s">
        <v>2083</v>
      </c>
      <c r="H501" s="4" t="s">
        <v>2084</v>
      </c>
      <c r="I501" s="4" t="s">
        <v>2085</v>
      </c>
      <c r="J501" s="4"/>
      <c r="K501" s="4" t="s">
        <v>2086</v>
      </c>
      <c r="L501" s="2">
        <v>2016</v>
      </c>
      <c r="M501" s="4" t="s">
        <v>39</v>
      </c>
      <c r="N501" s="5">
        <v>50000</v>
      </c>
      <c r="O501" s="4" t="s">
        <v>2087</v>
      </c>
      <c r="P501" s="4" t="s">
        <v>1366</v>
      </c>
      <c r="Q501" s="4"/>
      <c r="R501" s="4"/>
      <c r="S501" s="4"/>
      <c r="T501" s="4"/>
      <c r="U501" s="4"/>
    </row>
    <row r="502" spans="2:21" ht="26.15" customHeight="1">
      <c r="B502" s="2">
        <v>500</v>
      </c>
      <c r="C502" s="3">
        <v>42887</v>
      </c>
      <c r="D502" s="20">
        <v>2017</v>
      </c>
      <c r="E502" s="4" t="s">
        <v>184</v>
      </c>
      <c r="F502" s="5" t="s">
        <v>50</v>
      </c>
      <c r="G502" s="4" t="s">
        <v>2088</v>
      </c>
      <c r="H502" s="4" t="s">
        <v>2089</v>
      </c>
      <c r="I502" s="4" t="s">
        <v>703</v>
      </c>
      <c r="J502" s="4"/>
      <c r="K502" s="4"/>
      <c r="L502" s="2">
        <v>2016</v>
      </c>
      <c r="M502" s="4" t="s">
        <v>638</v>
      </c>
      <c r="N502" s="5"/>
      <c r="O502" s="4" t="s">
        <v>2090</v>
      </c>
      <c r="P502" s="4" t="s">
        <v>2091</v>
      </c>
      <c r="Q502" s="4"/>
      <c r="R502" s="4"/>
      <c r="S502" s="4"/>
      <c r="T502" s="4"/>
      <c r="U502" s="4"/>
    </row>
    <row r="503" spans="2:21" ht="26.15" hidden="1" customHeight="1">
      <c r="B503" s="2">
        <v>501</v>
      </c>
      <c r="C503" s="3">
        <v>42887</v>
      </c>
      <c r="D503" s="20">
        <v>2017</v>
      </c>
      <c r="E503" s="4" t="s">
        <v>34</v>
      </c>
      <c r="F503" s="5">
        <v>120000</v>
      </c>
      <c r="G503" s="4" t="s">
        <v>2092</v>
      </c>
      <c r="H503" s="4" t="s">
        <v>2093</v>
      </c>
      <c r="I503" s="4" t="s">
        <v>479</v>
      </c>
      <c r="J503" s="4"/>
      <c r="K503" s="4"/>
      <c r="L503" s="2">
        <v>2015</v>
      </c>
      <c r="M503" s="4" t="s">
        <v>1285</v>
      </c>
      <c r="N503" s="5">
        <v>120000</v>
      </c>
      <c r="O503" s="4" t="s">
        <v>2094</v>
      </c>
      <c r="P503" s="4" t="s">
        <v>2095</v>
      </c>
      <c r="Q503" s="4"/>
      <c r="R503" s="4"/>
      <c r="S503" s="4"/>
      <c r="T503" s="4"/>
      <c r="U503" s="4"/>
    </row>
    <row r="504" spans="2:21" ht="26.15" hidden="1" customHeight="1">
      <c r="B504" s="2">
        <v>502</v>
      </c>
      <c r="C504" s="3">
        <v>42887</v>
      </c>
      <c r="D504" s="20">
        <v>2017</v>
      </c>
      <c r="E504" s="4" t="s">
        <v>109</v>
      </c>
      <c r="F504" s="5" t="s">
        <v>50</v>
      </c>
      <c r="G504" s="4" t="s">
        <v>1983</v>
      </c>
      <c r="H504" s="4" t="s">
        <v>1984</v>
      </c>
      <c r="I504" s="4" t="s">
        <v>2096</v>
      </c>
      <c r="J504" s="4"/>
      <c r="K504" s="4"/>
      <c r="L504" s="2">
        <v>2013</v>
      </c>
      <c r="M504" s="4" t="s">
        <v>39</v>
      </c>
      <c r="N504" s="5"/>
      <c r="O504" s="4" t="s">
        <v>1986</v>
      </c>
      <c r="P504" s="4" t="s">
        <v>1987</v>
      </c>
      <c r="Q504" s="4"/>
      <c r="R504" s="4"/>
      <c r="S504" s="4"/>
      <c r="T504" s="4"/>
      <c r="U504" s="4"/>
    </row>
    <row r="505" spans="2:21" ht="26.15" customHeight="1">
      <c r="B505" s="2">
        <v>503</v>
      </c>
      <c r="C505" s="3">
        <v>42887</v>
      </c>
      <c r="D505" s="20">
        <v>2017</v>
      </c>
      <c r="E505" s="4" t="s">
        <v>25</v>
      </c>
      <c r="F505" s="5">
        <v>5000000</v>
      </c>
      <c r="G505" s="4" t="s">
        <v>1679</v>
      </c>
      <c r="H505" s="4" t="s">
        <v>1680</v>
      </c>
      <c r="I505" s="4"/>
      <c r="J505" s="4"/>
      <c r="K505" s="4"/>
      <c r="L505" s="2">
        <v>2006</v>
      </c>
      <c r="M505" s="4" t="s">
        <v>135</v>
      </c>
      <c r="N505" s="5">
        <v>40000000</v>
      </c>
      <c r="O505" s="4" t="s">
        <v>1683</v>
      </c>
      <c r="P505" s="4" t="s">
        <v>1684</v>
      </c>
      <c r="Q505" s="4"/>
      <c r="R505" s="4"/>
      <c r="S505" s="4"/>
      <c r="T505" s="4"/>
      <c r="U505" s="4"/>
    </row>
    <row r="506" spans="2:21" ht="26.15" hidden="1" customHeight="1">
      <c r="B506" s="2">
        <v>504</v>
      </c>
      <c r="C506" s="3">
        <v>42887</v>
      </c>
      <c r="D506" s="20">
        <v>2017</v>
      </c>
      <c r="E506" s="4" t="s">
        <v>34</v>
      </c>
      <c r="F506" s="5" t="s">
        <v>50</v>
      </c>
      <c r="G506" s="4" t="s">
        <v>1685</v>
      </c>
      <c r="H506" s="4" t="s">
        <v>1686</v>
      </c>
      <c r="I506" s="4"/>
      <c r="J506" s="4"/>
      <c r="K506" s="4"/>
      <c r="L506" s="2">
        <v>2013</v>
      </c>
      <c r="M506" s="4" t="s">
        <v>79</v>
      </c>
      <c r="N506" s="5">
        <v>2257449</v>
      </c>
      <c r="O506" s="4" t="s">
        <v>1690</v>
      </c>
      <c r="P506" s="4" t="s">
        <v>1691</v>
      </c>
      <c r="Q506" s="4" t="s">
        <v>2097</v>
      </c>
      <c r="R506" s="4"/>
      <c r="S506" s="4"/>
      <c r="T506" s="4"/>
      <c r="U506" s="4"/>
    </row>
    <row r="507" spans="2:21" ht="26.15" customHeight="1">
      <c r="B507" s="2">
        <v>505</v>
      </c>
      <c r="C507" s="3">
        <v>42887</v>
      </c>
      <c r="D507" s="20">
        <v>2017</v>
      </c>
      <c r="E507" s="4" t="s">
        <v>34</v>
      </c>
      <c r="F507" s="5" t="s">
        <v>50</v>
      </c>
      <c r="G507" s="4" t="s">
        <v>2098</v>
      </c>
      <c r="H507" s="4" t="s">
        <v>2099</v>
      </c>
      <c r="I507" s="4" t="s">
        <v>703</v>
      </c>
      <c r="J507" s="4"/>
      <c r="K507" s="4" t="s">
        <v>1609</v>
      </c>
      <c r="L507" s="2">
        <v>2017</v>
      </c>
      <c r="M507" s="4" t="s">
        <v>954</v>
      </c>
      <c r="N507" s="5"/>
      <c r="O507" s="4" t="s">
        <v>2100</v>
      </c>
      <c r="P507" s="4" t="s">
        <v>2101</v>
      </c>
      <c r="Q507" s="4"/>
      <c r="R507" s="4"/>
      <c r="S507" s="4"/>
      <c r="T507" s="4"/>
      <c r="U507" s="4"/>
    </row>
    <row r="508" spans="2:21" ht="26.15" hidden="1" customHeight="1">
      <c r="B508" s="2">
        <v>506</v>
      </c>
      <c r="C508" s="3">
        <v>42885</v>
      </c>
      <c r="D508" s="20">
        <v>2017</v>
      </c>
      <c r="E508" s="4" t="s">
        <v>184</v>
      </c>
      <c r="F508" s="5">
        <v>10000</v>
      </c>
      <c r="G508" s="4" t="s">
        <v>2005</v>
      </c>
      <c r="H508" s="4" t="s">
        <v>2006</v>
      </c>
      <c r="I508" s="4" t="s">
        <v>2102</v>
      </c>
      <c r="J508" s="4"/>
      <c r="K508" s="4"/>
      <c r="L508" s="2">
        <v>2014</v>
      </c>
      <c r="M508" s="4" t="s">
        <v>2008</v>
      </c>
      <c r="N508" s="5"/>
      <c r="O508" s="4" t="s">
        <v>2009</v>
      </c>
      <c r="P508" s="4" t="s">
        <v>2010</v>
      </c>
      <c r="Q508" s="4"/>
      <c r="R508" s="4"/>
      <c r="S508" s="4"/>
      <c r="T508" s="4"/>
      <c r="U508" s="4"/>
    </row>
    <row r="509" spans="2:21" ht="26.15" hidden="1" customHeight="1">
      <c r="B509" s="2">
        <v>507</v>
      </c>
      <c r="C509" s="3">
        <v>42878</v>
      </c>
      <c r="D509" s="20">
        <v>2017</v>
      </c>
      <c r="E509" s="4" t="s">
        <v>184</v>
      </c>
      <c r="F509" s="5" t="s">
        <v>50</v>
      </c>
      <c r="G509" s="4" t="s">
        <v>2103</v>
      </c>
      <c r="H509" s="4" t="s">
        <v>2104</v>
      </c>
      <c r="I509" s="4" t="s">
        <v>703</v>
      </c>
      <c r="J509" s="4"/>
      <c r="K509" s="4"/>
      <c r="L509" s="2">
        <v>2015</v>
      </c>
      <c r="M509" s="4" t="s">
        <v>39</v>
      </c>
      <c r="N509" s="5"/>
      <c r="O509" s="4" t="s">
        <v>2105</v>
      </c>
      <c r="P509" s="4" t="s">
        <v>2106</v>
      </c>
      <c r="Q509" s="4"/>
      <c r="R509" s="4"/>
      <c r="S509" s="4"/>
      <c r="T509" s="4"/>
      <c r="U509" s="4"/>
    </row>
    <row r="510" spans="2:21" ht="26.15" hidden="1" customHeight="1">
      <c r="B510" s="2">
        <v>508</v>
      </c>
      <c r="C510" s="3">
        <v>42870</v>
      </c>
      <c r="D510" s="20">
        <v>2017</v>
      </c>
      <c r="E510" s="4" t="s">
        <v>302</v>
      </c>
      <c r="F510" s="5">
        <v>77612</v>
      </c>
      <c r="G510" s="4" t="s">
        <v>217</v>
      </c>
      <c r="H510" s="4" t="s">
        <v>218</v>
      </c>
      <c r="I510" s="4" t="s">
        <v>1466</v>
      </c>
      <c r="J510" s="4"/>
      <c r="K510" s="4"/>
      <c r="L510" s="2">
        <v>2015</v>
      </c>
      <c r="M510" s="4" t="s">
        <v>79</v>
      </c>
      <c r="N510" s="5">
        <v>2569628</v>
      </c>
      <c r="O510" s="4" t="s">
        <v>221</v>
      </c>
      <c r="P510" s="4" t="s">
        <v>222</v>
      </c>
      <c r="Q510" s="4"/>
      <c r="R510" s="4"/>
      <c r="S510" s="4"/>
      <c r="T510" s="4"/>
      <c r="U510" s="4"/>
    </row>
    <row r="511" spans="2:21" ht="26.15" hidden="1" customHeight="1">
      <c r="B511" s="2">
        <v>509</v>
      </c>
      <c r="C511" s="3">
        <v>42867</v>
      </c>
      <c r="D511" s="20">
        <v>2017</v>
      </c>
      <c r="E511" s="4" t="s">
        <v>184</v>
      </c>
      <c r="F511" s="5">
        <v>30000</v>
      </c>
      <c r="G511" s="4" t="s">
        <v>2107</v>
      </c>
      <c r="H511" s="4" t="s">
        <v>2108</v>
      </c>
      <c r="I511" s="4" t="s">
        <v>1020</v>
      </c>
      <c r="J511" s="4"/>
      <c r="K511" s="4"/>
      <c r="L511" s="2">
        <v>2016</v>
      </c>
      <c r="M511" s="4" t="s">
        <v>1583</v>
      </c>
      <c r="N511" s="5"/>
      <c r="O511" s="4" t="s">
        <v>2109</v>
      </c>
      <c r="P511" s="4" t="s">
        <v>2110</v>
      </c>
      <c r="Q511" s="4"/>
      <c r="R511" s="4"/>
      <c r="S511" s="4"/>
      <c r="T511" s="4"/>
      <c r="U511" s="4"/>
    </row>
    <row r="512" spans="2:21" ht="26.15" hidden="1" customHeight="1">
      <c r="B512" s="2">
        <v>510</v>
      </c>
      <c r="C512" s="3">
        <v>42867</v>
      </c>
      <c r="D512" s="20">
        <v>2017</v>
      </c>
      <c r="E512" s="4" t="s">
        <v>184</v>
      </c>
      <c r="F512" s="5">
        <v>30000</v>
      </c>
      <c r="G512" s="4" t="s">
        <v>1256</v>
      </c>
      <c r="H512" s="4" t="s">
        <v>1257</v>
      </c>
      <c r="I512" s="4" t="s">
        <v>1020</v>
      </c>
      <c r="J512" s="4"/>
      <c r="K512" s="4"/>
      <c r="L512" s="2">
        <v>2016</v>
      </c>
      <c r="M512" s="4" t="s">
        <v>1258</v>
      </c>
      <c r="N512" s="5"/>
      <c r="O512" s="4" t="s">
        <v>1259</v>
      </c>
      <c r="P512" s="4" t="s">
        <v>1260</v>
      </c>
      <c r="Q512" s="4"/>
      <c r="R512" s="4"/>
      <c r="S512" s="4"/>
      <c r="T512" s="4"/>
      <c r="U512" s="4"/>
    </row>
    <row r="513" spans="2:21" ht="26.15" customHeight="1">
      <c r="B513" s="2">
        <v>511</v>
      </c>
      <c r="C513" s="3">
        <v>42866</v>
      </c>
      <c r="D513" s="20">
        <v>2017</v>
      </c>
      <c r="E513" s="4" t="s">
        <v>184</v>
      </c>
      <c r="F513" s="5">
        <v>10000</v>
      </c>
      <c r="G513" s="4" t="s">
        <v>426</v>
      </c>
      <c r="H513" s="4" t="s">
        <v>427</v>
      </c>
      <c r="I513" s="4" t="s">
        <v>2111</v>
      </c>
      <c r="J513" s="4"/>
      <c r="K513" s="4"/>
      <c r="L513" s="2">
        <v>2014</v>
      </c>
      <c r="M513" s="4" t="s">
        <v>173</v>
      </c>
      <c r="N513" s="5">
        <v>5000000</v>
      </c>
      <c r="O513" s="4" t="s">
        <v>430</v>
      </c>
      <c r="P513" s="4" t="s">
        <v>431</v>
      </c>
      <c r="Q513" s="4"/>
      <c r="R513" s="4"/>
      <c r="S513" s="4"/>
      <c r="T513" s="4"/>
      <c r="U513" s="4"/>
    </row>
    <row r="514" spans="2:21" ht="26.15" hidden="1" customHeight="1">
      <c r="B514" s="2">
        <v>512</v>
      </c>
      <c r="C514" s="3">
        <v>42864</v>
      </c>
      <c r="D514" s="20">
        <v>2017</v>
      </c>
      <c r="E514" s="4" t="s">
        <v>184</v>
      </c>
      <c r="F514" s="5">
        <v>74400</v>
      </c>
      <c r="G514" s="4" t="s">
        <v>2112</v>
      </c>
      <c r="H514" s="4" t="s">
        <v>2113</v>
      </c>
      <c r="I514" s="4" t="s">
        <v>907</v>
      </c>
      <c r="J514" s="4"/>
      <c r="K514" s="4"/>
      <c r="L514" s="2">
        <v>2013</v>
      </c>
      <c r="M514" s="4" t="s">
        <v>79</v>
      </c>
      <c r="N514" s="5">
        <v>212000</v>
      </c>
      <c r="O514" s="4" t="s">
        <v>2114</v>
      </c>
      <c r="P514" s="4" t="s">
        <v>2115</v>
      </c>
      <c r="Q514" s="4"/>
      <c r="R514" s="4"/>
      <c r="S514" s="4"/>
      <c r="T514" s="4"/>
      <c r="U514" s="4"/>
    </row>
    <row r="515" spans="2:21" ht="26.15" hidden="1" customHeight="1">
      <c r="B515" s="2">
        <v>513</v>
      </c>
      <c r="C515" s="3">
        <v>42861</v>
      </c>
      <c r="D515" s="20">
        <v>2017</v>
      </c>
      <c r="E515" s="4" t="s">
        <v>109</v>
      </c>
      <c r="F515" s="5">
        <v>150000</v>
      </c>
      <c r="G515" s="4" t="s">
        <v>1539</v>
      </c>
      <c r="H515" s="4" t="s">
        <v>1540</v>
      </c>
      <c r="I515" s="4" t="s">
        <v>2116</v>
      </c>
      <c r="J515" s="4"/>
      <c r="K515" s="4"/>
      <c r="L515" s="2">
        <v>2012</v>
      </c>
      <c r="M515" s="4" t="s">
        <v>39</v>
      </c>
      <c r="N515" s="5">
        <v>150000</v>
      </c>
      <c r="O515" s="4" t="s">
        <v>1542</v>
      </c>
      <c r="P515" s="4" t="s">
        <v>1543</v>
      </c>
      <c r="Q515" s="4"/>
      <c r="R515" s="4"/>
      <c r="S515" s="4"/>
      <c r="T515" s="4"/>
      <c r="U515" s="4"/>
    </row>
    <row r="516" spans="2:21" ht="26.15" hidden="1" customHeight="1">
      <c r="B516" s="2">
        <v>514</v>
      </c>
      <c r="C516" s="3">
        <v>42860</v>
      </c>
      <c r="D516" s="20">
        <v>2017</v>
      </c>
      <c r="E516" s="4" t="s">
        <v>109</v>
      </c>
      <c r="F516" s="5" t="s">
        <v>50</v>
      </c>
      <c r="G516" s="4" t="s">
        <v>2117</v>
      </c>
      <c r="H516" s="4" t="s">
        <v>2118</v>
      </c>
      <c r="I516" s="4" t="s">
        <v>1485</v>
      </c>
      <c r="J516" s="4"/>
      <c r="K516" s="4" t="s">
        <v>1486</v>
      </c>
      <c r="L516" s="2">
        <v>2011</v>
      </c>
      <c r="M516" s="4" t="s">
        <v>516</v>
      </c>
      <c r="N516" s="5"/>
      <c r="O516" s="4" t="s">
        <v>2119</v>
      </c>
      <c r="P516" s="4" t="s">
        <v>2120</v>
      </c>
      <c r="Q516" s="4"/>
      <c r="R516" s="4"/>
      <c r="S516" s="4"/>
      <c r="T516" s="4"/>
      <c r="U516" s="4"/>
    </row>
    <row r="517" spans="2:21" ht="26.15" hidden="1" customHeight="1">
      <c r="B517" s="2">
        <v>515</v>
      </c>
      <c r="C517" s="3">
        <v>42859</v>
      </c>
      <c r="D517" s="20">
        <v>2017</v>
      </c>
      <c r="E517" s="4" t="s">
        <v>109</v>
      </c>
      <c r="F517" s="5">
        <v>7500000</v>
      </c>
      <c r="G517" s="4" t="s">
        <v>228</v>
      </c>
      <c r="H517" s="4" t="s">
        <v>229</v>
      </c>
      <c r="I517" s="4" t="s">
        <v>2121</v>
      </c>
      <c r="J517" s="4" t="s">
        <v>2122</v>
      </c>
      <c r="K517" s="4" t="s">
        <v>2123</v>
      </c>
      <c r="L517" s="2">
        <v>2015</v>
      </c>
      <c r="M517" s="4" t="s">
        <v>233</v>
      </c>
      <c r="N517" s="5">
        <v>60000000</v>
      </c>
      <c r="O517" s="4" t="s">
        <v>234</v>
      </c>
      <c r="P517" s="4" t="s">
        <v>235</v>
      </c>
      <c r="Q517" s="4"/>
      <c r="R517" s="4"/>
      <c r="S517" s="4"/>
      <c r="T517" s="4"/>
      <c r="U517" s="4"/>
    </row>
    <row r="518" spans="2:21" ht="26.15" hidden="1" customHeight="1">
      <c r="B518" s="2">
        <v>516</v>
      </c>
      <c r="C518" s="3">
        <v>42856</v>
      </c>
      <c r="D518" s="20">
        <v>2017</v>
      </c>
      <c r="E518" s="4" t="s">
        <v>34</v>
      </c>
      <c r="F518" s="5">
        <v>1500000</v>
      </c>
      <c r="G518" s="4" t="s">
        <v>897</v>
      </c>
      <c r="H518" s="4" t="s">
        <v>898</v>
      </c>
      <c r="I518" s="4"/>
      <c r="J518" s="4" t="s">
        <v>2124</v>
      </c>
      <c r="K518" s="4" t="s">
        <v>2125</v>
      </c>
      <c r="L518" s="2">
        <v>2016</v>
      </c>
      <c r="M518" s="4" t="s">
        <v>902</v>
      </c>
      <c r="N518" s="5">
        <v>8062080</v>
      </c>
      <c r="O518" s="4" t="s">
        <v>903</v>
      </c>
      <c r="P518" s="4" t="s">
        <v>904</v>
      </c>
      <c r="Q518" s="4"/>
      <c r="R518" s="4"/>
      <c r="S518" s="4"/>
      <c r="T518" s="4"/>
      <c r="U518" s="4"/>
    </row>
    <row r="519" spans="2:21" ht="26.15" hidden="1" customHeight="1">
      <c r="B519" s="2">
        <v>517</v>
      </c>
      <c r="C519" s="3">
        <v>42849</v>
      </c>
      <c r="D519" s="20">
        <v>2017</v>
      </c>
      <c r="E519" s="4" t="s">
        <v>34</v>
      </c>
      <c r="F519" s="5">
        <v>2907110</v>
      </c>
      <c r="G519" s="4" t="s">
        <v>2126</v>
      </c>
      <c r="H519" s="4" t="s">
        <v>2127</v>
      </c>
      <c r="I519" s="4"/>
      <c r="J519" s="4"/>
      <c r="K519" s="4"/>
      <c r="L519" s="2">
        <v>2015</v>
      </c>
      <c r="M519" s="4" t="s">
        <v>278</v>
      </c>
      <c r="N519" s="5">
        <v>2907110</v>
      </c>
      <c r="O519" s="4" t="s">
        <v>2128</v>
      </c>
      <c r="P519" s="4" t="s">
        <v>2129</v>
      </c>
      <c r="Q519" s="4"/>
      <c r="R519" s="4"/>
      <c r="S519" s="4"/>
      <c r="T519" s="4"/>
      <c r="U519" s="4"/>
    </row>
    <row r="520" spans="2:21" ht="26.15" customHeight="1">
      <c r="B520" s="2">
        <v>518</v>
      </c>
      <c r="C520" s="3">
        <v>42846</v>
      </c>
      <c r="D520" s="20">
        <v>2017</v>
      </c>
      <c r="E520" s="4" t="s">
        <v>34</v>
      </c>
      <c r="F520" s="5">
        <v>20000</v>
      </c>
      <c r="G520" s="4" t="s">
        <v>2130</v>
      </c>
      <c r="H520" s="4" t="s">
        <v>2131</v>
      </c>
      <c r="I520" s="4" t="s">
        <v>797</v>
      </c>
      <c r="J520" s="4"/>
      <c r="K520" s="4" t="s">
        <v>798</v>
      </c>
      <c r="L520" s="2">
        <v>2016</v>
      </c>
      <c r="M520" s="4" t="s">
        <v>369</v>
      </c>
      <c r="N520" s="5">
        <v>20000</v>
      </c>
      <c r="O520" s="4" t="s">
        <v>2132</v>
      </c>
      <c r="P520" s="4" t="s">
        <v>2133</v>
      </c>
      <c r="Q520" s="4"/>
      <c r="R520" s="4"/>
      <c r="S520" s="4"/>
      <c r="T520" s="4"/>
      <c r="U520" s="4"/>
    </row>
    <row r="521" spans="2:21" ht="26.15" hidden="1" customHeight="1">
      <c r="B521" s="2">
        <v>519</v>
      </c>
      <c r="C521" s="3">
        <v>42845</v>
      </c>
      <c r="D521" s="20">
        <v>2017</v>
      </c>
      <c r="E521" s="4" t="s">
        <v>34</v>
      </c>
      <c r="F521" s="5" t="s">
        <v>50</v>
      </c>
      <c r="G521" s="4" t="s">
        <v>1539</v>
      </c>
      <c r="H521" s="4" t="s">
        <v>1540</v>
      </c>
      <c r="I521" s="4" t="s">
        <v>2134</v>
      </c>
      <c r="J521" s="4"/>
      <c r="K521" s="4"/>
      <c r="L521" s="2">
        <v>2012</v>
      </c>
      <c r="M521" s="4" t="s">
        <v>39</v>
      </c>
      <c r="N521" s="5">
        <v>150000</v>
      </c>
      <c r="O521" s="4" t="s">
        <v>1542</v>
      </c>
      <c r="P521" s="4" t="s">
        <v>1543</v>
      </c>
      <c r="Q521" s="4"/>
      <c r="R521" s="4"/>
      <c r="S521" s="4"/>
      <c r="T521" s="4"/>
      <c r="U521" s="4"/>
    </row>
    <row r="522" spans="2:21" ht="26.15" hidden="1" customHeight="1">
      <c r="B522" s="2">
        <v>520</v>
      </c>
      <c r="C522" s="3">
        <v>42844</v>
      </c>
      <c r="D522" s="20">
        <v>2017</v>
      </c>
      <c r="E522" s="4" t="s">
        <v>109</v>
      </c>
      <c r="F522" s="5">
        <v>8958566</v>
      </c>
      <c r="G522" s="4" t="s">
        <v>2135</v>
      </c>
      <c r="H522" s="4" t="s">
        <v>2136</v>
      </c>
      <c r="I522" s="4"/>
      <c r="J522" s="4"/>
      <c r="K522" s="4"/>
      <c r="L522" s="2">
        <v>2016</v>
      </c>
      <c r="M522" s="4" t="s">
        <v>278</v>
      </c>
      <c r="N522" s="5">
        <v>8723870</v>
      </c>
      <c r="O522" s="4" t="s">
        <v>2137</v>
      </c>
      <c r="P522" s="4" t="s">
        <v>1386</v>
      </c>
      <c r="Q522" s="4"/>
      <c r="R522" s="4"/>
      <c r="S522" s="4"/>
      <c r="T522" s="4"/>
      <c r="U522" s="4"/>
    </row>
    <row r="523" spans="2:21" ht="26.15" hidden="1" customHeight="1">
      <c r="B523" s="2">
        <v>521</v>
      </c>
      <c r="C523" s="3">
        <v>42844</v>
      </c>
      <c r="D523" s="20">
        <v>2017</v>
      </c>
      <c r="E523" s="4" t="s">
        <v>25</v>
      </c>
      <c r="F523" s="5">
        <v>10177900</v>
      </c>
      <c r="G523" s="4" t="s">
        <v>1652</v>
      </c>
      <c r="H523" s="4" t="s">
        <v>1653</v>
      </c>
      <c r="I523" s="4" t="s">
        <v>2138</v>
      </c>
      <c r="J523" s="4"/>
      <c r="K523" s="4"/>
      <c r="L523" s="2">
        <v>2015</v>
      </c>
      <c r="M523" s="4" t="s">
        <v>1655</v>
      </c>
      <c r="N523" s="5">
        <v>41586600</v>
      </c>
      <c r="O523" s="4" t="s">
        <v>1656</v>
      </c>
      <c r="P523" s="4" t="s">
        <v>1657</v>
      </c>
      <c r="Q523" s="4"/>
      <c r="R523" s="4"/>
      <c r="S523" s="4"/>
      <c r="T523" s="4"/>
      <c r="U523" s="4"/>
    </row>
    <row r="524" spans="2:21" ht="26.15" hidden="1" customHeight="1">
      <c r="B524" s="2">
        <v>522</v>
      </c>
      <c r="C524" s="3">
        <v>42844</v>
      </c>
      <c r="D524" s="20">
        <v>2017</v>
      </c>
      <c r="E524" s="4" t="s">
        <v>34</v>
      </c>
      <c r="F524" s="5">
        <v>1453980</v>
      </c>
      <c r="G524" s="4" t="s">
        <v>2139</v>
      </c>
      <c r="H524" s="4" t="s">
        <v>2140</v>
      </c>
      <c r="I524" s="4" t="s">
        <v>2141</v>
      </c>
      <c r="J524" s="4"/>
      <c r="K524" s="4"/>
      <c r="L524" s="2">
        <v>2015</v>
      </c>
      <c r="M524" s="4" t="s">
        <v>1384</v>
      </c>
      <c r="N524" s="5">
        <v>3100000</v>
      </c>
      <c r="O524" s="4" t="s">
        <v>2142</v>
      </c>
      <c r="P524" s="4" t="s">
        <v>2143</v>
      </c>
      <c r="Q524" s="4"/>
      <c r="R524" s="4"/>
      <c r="S524" s="4"/>
      <c r="T524" s="4"/>
      <c r="U524" s="4"/>
    </row>
    <row r="525" spans="2:21" ht="26.15" hidden="1" customHeight="1">
      <c r="B525" s="2">
        <v>523</v>
      </c>
      <c r="C525" s="3">
        <v>42836</v>
      </c>
      <c r="D525" s="20">
        <v>2017</v>
      </c>
      <c r="E525" s="4" t="s">
        <v>34</v>
      </c>
      <c r="F525" s="5">
        <v>100000</v>
      </c>
      <c r="G525" s="4" t="s">
        <v>856</v>
      </c>
      <c r="H525" s="4" t="s">
        <v>857</v>
      </c>
      <c r="I525" s="4" t="s">
        <v>514</v>
      </c>
      <c r="J525" s="4"/>
      <c r="K525" s="4" t="s">
        <v>515</v>
      </c>
      <c r="L525" s="2">
        <v>2014</v>
      </c>
      <c r="M525" s="4" t="s">
        <v>860</v>
      </c>
      <c r="N525" s="5">
        <v>7000000</v>
      </c>
      <c r="O525" s="4" t="s">
        <v>861</v>
      </c>
      <c r="P525" s="4" t="s">
        <v>862</v>
      </c>
      <c r="Q525" s="4"/>
      <c r="R525" s="4"/>
      <c r="S525" s="4"/>
      <c r="T525" s="4"/>
      <c r="U525" s="4"/>
    </row>
    <row r="526" spans="2:21" ht="26.15" hidden="1" customHeight="1">
      <c r="B526" s="2">
        <v>524</v>
      </c>
      <c r="C526" s="3">
        <v>42836</v>
      </c>
      <c r="D526" s="20">
        <v>2017</v>
      </c>
      <c r="E526" s="4" t="s">
        <v>25</v>
      </c>
      <c r="F526" s="5">
        <v>5500000</v>
      </c>
      <c r="G526" s="4" t="s">
        <v>96</v>
      </c>
      <c r="H526" s="4" t="s">
        <v>97</v>
      </c>
      <c r="I526" s="4" t="s">
        <v>2144</v>
      </c>
      <c r="J526" s="4" t="s">
        <v>1518</v>
      </c>
      <c r="K526" s="4" t="s">
        <v>1308</v>
      </c>
      <c r="L526" s="2">
        <v>2015</v>
      </c>
      <c r="M526" s="4" t="s">
        <v>79</v>
      </c>
      <c r="N526" s="5">
        <v>163285834</v>
      </c>
      <c r="O526" s="4" t="s">
        <v>100</v>
      </c>
      <c r="P526" s="4" t="s">
        <v>101</v>
      </c>
      <c r="Q526" s="4"/>
      <c r="R526" s="4"/>
      <c r="S526" s="4"/>
      <c r="T526" s="4"/>
      <c r="U526" s="4"/>
    </row>
    <row r="527" spans="2:21" ht="26.15" customHeight="1">
      <c r="B527" s="2">
        <v>525</v>
      </c>
      <c r="C527" s="3">
        <v>42836</v>
      </c>
      <c r="D527" s="20">
        <v>2017</v>
      </c>
      <c r="E527" s="4" t="s">
        <v>34</v>
      </c>
      <c r="F527" s="5">
        <v>50000</v>
      </c>
      <c r="G527" s="4" t="s">
        <v>1802</v>
      </c>
      <c r="H527" s="4" t="s">
        <v>1803</v>
      </c>
      <c r="I527" s="4" t="s">
        <v>514</v>
      </c>
      <c r="J527" s="4"/>
      <c r="K527" s="4" t="s">
        <v>515</v>
      </c>
      <c r="L527" s="2">
        <v>2015</v>
      </c>
      <c r="M527" s="4" t="s">
        <v>369</v>
      </c>
      <c r="N527" s="5">
        <v>910000</v>
      </c>
      <c r="O527" s="4" t="s">
        <v>1806</v>
      </c>
      <c r="P527" s="4" t="s">
        <v>1807</v>
      </c>
      <c r="Q527" s="4"/>
      <c r="R527" s="4"/>
      <c r="S527" s="4"/>
      <c r="T527" s="4"/>
      <c r="U527" s="4"/>
    </row>
    <row r="528" spans="2:21" ht="26.15" hidden="1" customHeight="1">
      <c r="B528" s="2">
        <v>526</v>
      </c>
      <c r="C528" s="3">
        <v>42832</v>
      </c>
      <c r="D528" s="20">
        <v>2017</v>
      </c>
      <c r="E528" s="4" t="s">
        <v>34</v>
      </c>
      <c r="F528" s="5" t="s">
        <v>50</v>
      </c>
      <c r="G528" s="4" t="s">
        <v>203</v>
      </c>
      <c r="H528" s="4" t="s">
        <v>204</v>
      </c>
      <c r="I528" s="4" t="s">
        <v>2145</v>
      </c>
      <c r="J528" s="4"/>
      <c r="K528" s="4"/>
      <c r="L528" s="2">
        <v>2016</v>
      </c>
      <c r="M528" s="4" t="s">
        <v>207</v>
      </c>
      <c r="N528" s="5">
        <v>5500000</v>
      </c>
      <c r="O528" s="4" t="s">
        <v>208</v>
      </c>
      <c r="P528" s="4" t="s">
        <v>209</v>
      </c>
      <c r="Q528" s="4"/>
      <c r="R528" s="4"/>
      <c r="S528" s="4"/>
      <c r="T528" s="4"/>
      <c r="U528" s="4"/>
    </row>
    <row r="529" spans="2:21" ht="26.15" hidden="1" customHeight="1">
      <c r="B529" s="2">
        <v>527</v>
      </c>
      <c r="C529" s="3">
        <v>42831</v>
      </c>
      <c r="D529" s="20">
        <v>2017</v>
      </c>
      <c r="E529" s="4" t="s">
        <v>109</v>
      </c>
      <c r="F529" s="5" t="s">
        <v>50</v>
      </c>
      <c r="G529" s="4" t="s">
        <v>2146</v>
      </c>
      <c r="H529" s="4" t="s">
        <v>2147</v>
      </c>
      <c r="I529" s="4" t="s">
        <v>1744</v>
      </c>
      <c r="J529" s="4"/>
      <c r="K529" s="4"/>
      <c r="L529" s="2">
        <v>2015</v>
      </c>
      <c r="M529" s="4" t="s">
        <v>1326</v>
      </c>
      <c r="N529" s="5"/>
      <c r="O529" s="4" t="s">
        <v>2148</v>
      </c>
      <c r="P529" s="4" t="s">
        <v>2149</v>
      </c>
      <c r="Q529" s="4"/>
      <c r="R529" s="4"/>
      <c r="S529" s="4"/>
      <c r="T529" s="4"/>
      <c r="U529" s="4"/>
    </row>
    <row r="530" spans="2:21" ht="26.15" hidden="1" customHeight="1">
      <c r="B530" s="2">
        <v>528</v>
      </c>
      <c r="C530" s="3">
        <v>42829</v>
      </c>
      <c r="D530" s="20">
        <v>2017</v>
      </c>
      <c r="E530" s="4" t="s">
        <v>34</v>
      </c>
      <c r="F530" s="5">
        <v>637879</v>
      </c>
      <c r="G530" s="4" t="s">
        <v>2150</v>
      </c>
      <c r="H530" s="4" t="s">
        <v>2151</v>
      </c>
      <c r="I530" s="4" t="s">
        <v>1597</v>
      </c>
      <c r="J530" s="4"/>
      <c r="K530" s="4"/>
      <c r="L530" s="2">
        <v>2010</v>
      </c>
      <c r="M530" s="4" t="s">
        <v>2152</v>
      </c>
      <c r="N530" s="5">
        <v>637900</v>
      </c>
      <c r="O530" s="4" t="s">
        <v>2153</v>
      </c>
      <c r="P530" s="4" t="s">
        <v>2154</v>
      </c>
      <c r="Q530" s="4"/>
      <c r="R530" s="4"/>
      <c r="S530" s="4"/>
      <c r="T530" s="4"/>
      <c r="U530" s="4"/>
    </row>
    <row r="531" spans="2:21" ht="26.15" hidden="1" customHeight="1">
      <c r="B531" s="2">
        <v>529</v>
      </c>
      <c r="C531" s="3">
        <v>42829</v>
      </c>
      <c r="D531" s="20">
        <v>2017</v>
      </c>
      <c r="E531" s="4" t="s">
        <v>34</v>
      </c>
      <c r="F531" s="5">
        <v>2700000</v>
      </c>
      <c r="G531" s="4" t="s">
        <v>185</v>
      </c>
      <c r="H531" s="4" t="s">
        <v>186</v>
      </c>
      <c r="I531" s="4" t="s">
        <v>2155</v>
      </c>
      <c r="J531" s="4"/>
      <c r="K531" s="4" t="s">
        <v>746</v>
      </c>
      <c r="L531" s="2">
        <v>2015</v>
      </c>
      <c r="M531" s="4" t="s">
        <v>188</v>
      </c>
      <c r="N531" s="5">
        <v>65736870</v>
      </c>
      <c r="O531" s="4" t="s">
        <v>189</v>
      </c>
      <c r="P531" s="4" t="s">
        <v>190</v>
      </c>
      <c r="Q531" s="4"/>
      <c r="R531" s="4"/>
      <c r="S531" s="4"/>
      <c r="T531" s="4"/>
      <c r="U531" s="4"/>
    </row>
    <row r="532" spans="2:21" ht="26.15" hidden="1" customHeight="1">
      <c r="B532" s="2">
        <v>530</v>
      </c>
      <c r="C532" s="3">
        <v>42826</v>
      </c>
      <c r="D532" s="20">
        <v>2017</v>
      </c>
      <c r="E532" s="4" t="s">
        <v>34</v>
      </c>
      <c r="F532" s="5">
        <v>554867</v>
      </c>
      <c r="G532" s="4" t="s">
        <v>991</v>
      </c>
      <c r="H532" s="4" t="s">
        <v>992</v>
      </c>
      <c r="I532" s="4" t="s">
        <v>2156</v>
      </c>
      <c r="J532" s="4" t="s">
        <v>1716</v>
      </c>
      <c r="K532" s="4" t="s">
        <v>1717</v>
      </c>
      <c r="L532" s="2">
        <v>2014</v>
      </c>
      <c r="M532" s="4" t="s">
        <v>128</v>
      </c>
      <c r="N532" s="5">
        <v>1570818</v>
      </c>
      <c r="O532" s="4" t="s">
        <v>994</v>
      </c>
      <c r="P532" s="4" t="s">
        <v>995</v>
      </c>
      <c r="Q532" s="4"/>
      <c r="R532" s="4"/>
      <c r="S532" s="4"/>
      <c r="T532" s="4"/>
      <c r="U532" s="4"/>
    </row>
    <row r="533" spans="2:21" ht="26.15" hidden="1" customHeight="1">
      <c r="B533" s="2">
        <v>531</v>
      </c>
      <c r="C533" s="3">
        <v>42825</v>
      </c>
      <c r="D533" s="20">
        <v>2017</v>
      </c>
      <c r="E533" s="4" t="s">
        <v>34</v>
      </c>
      <c r="F533" s="5">
        <v>23111</v>
      </c>
      <c r="G533" s="4" t="s">
        <v>1239</v>
      </c>
      <c r="H533" s="4" t="s">
        <v>1240</v>
      </c>
      <c r="I533" s="4" t="s">
        <v>1660</v>
      </c>
      <c r="J533" s="4"/>
      <c r="K533" s="4" t="s">
        <v>1661</v>
      </c>
      <c r="L533" s="2">
        <v>2016</v>
      </c>
      <c r="M533" s="4" t="s">
        <v>1243</v>
      </c>
      <c r="N533" s="5">
        <v>4352191</v>
      </c>
      <c r="O533" s="4" t="s">
        <v>1244</v>
      </c>
      <c r="P533" s="4" t="s">
        <v>1245</v>
      </c>
      <c r="Q533" s="4"/>
      <c r="R533" s="4"/>
      <c r="S533" s="4"/>
      <c r="T533" s="4"/>
      <c r="U533" s="4"/>
    </row>
    <row r="534" spans="2:21" ht="26.15" hidden="1" customHeight="1">
      <c r="B534" s="2">
        <v>532</v>
      </c>
      <c r="C534" s="3">
        <v>42825</v>
      </c>
      <c r="D534" s="20">
        <v>2017</v>
      </c>
      <c r="E534" s="4" t="s">
        <v>124</v>
      </c>
      <c r="F534" s="5">
        <v>113399</v>
      </c>
      <c r="G534" s="4" t="s">
        <v>2157</v>
      </c>
      <c r="H534" s="4" t="s">
        <v>2158</v>
      </c>
      <c r="I534" s="4"/>
      <c r="J534" s="4" t="s">
        <v>2159</v>
      </c>
      <c r="K534" s="4" t="s">
        <v>2160</v>
      </c>
      <c r="L534" s="2">
        <v>2014</v>
      </c>
      <c r="M534" s="4" t="s">
        <v>79</v>
      </c>
      <c r="N534" s="5">
        <v>239863</v>
      </c>
      <c r="O534" s="4" t="s">
        <v>2161</v>
      </c>
      <c r="P534" s="4" t="s">
        <v>2162</v>
      </c>
      <c r="Q534" s="4"/>
      <c r="R534" s="4"/>
      <c r="S534" s="4"/>
      <c r="T534" s="4"/>
      <c r="U534" s="4"/>
    </row>
    <row r="535" spans="2:21" ht="26.15" hidden="1" customHeight="1">
      <c r="B535" s="2">
        <v>533</v>
      </c>
      <c r="C535" s="3">
        <v>42822</v>
      </c>
      <c r="D535" s="20">
        <v>2017</v>
      </c>
      <c r="E535" s="4" t="s">
        <v>25</v>
      </c>
      <c r="F535" s="5">
        <v>10277500</v>
      </c>
      <c r="G535" s="4" t="s">
        <v>628</v>
      </c>
      <c r="H535" s="4" t="s">
        <v>629</v>
      </c>
      <c r="I535" s="4" t="s">
        <v>2163</v>
      </c>
      <c r="J535" s="4" t="s">
        <v>1431</v>
      </c>
      <c r="K535" s="4" t="s">
        <v>2164</v>
      </c>
      <c r="L535" s="2">
        <v>2015</v>
      </c>
      <c r="M535" s="4" t="s">
        <v>79</v>
      </c>
      <c r="N535" s="5">
        <v>94500000</v>
      </c>
      <c r="O535" s="4" t="s">
        <v>632</v>
      </c>
      <c r="P535" s="4" t="s">
        <v>633</v>
      </c>
      <c r="Q535" s="4" t="s">
        <v>2165</v>
      </c>
      <c r="R535" s="4"/>
      <c r="S535" s="4"/>
      <c r="T535" s="4"/>
      <c r="U535" s="4"/>
    </row>
    <row r="536" spans="2:21" ht="26.15" customHeight="1">
      <c r="B536" s="2">
        <v>534</v>
      </c>
      <c r="C536" s="3">
        <v>42821</v>
      </c>
      <c r="D536" s="20">
        <v>2017</v>
      </c>
      <c r="E536" s="4" t="s">
        <v>34</v>
      </c>
      <c r="F536" s="5" t="s">
        <v>50</v>
      </c>
      <c r="G536" s="4" t="s">
        <v>753</v>
      </c>
      <c r="H536" s="4" t="s">
        <v>754</v>
      </c>
      <c r="I536" s="4" t="s">
        <v>2166</v>
      </c>
      <c r="J536" s="4"/>
      <c r="K536" s="4" t="s">
        <v>2167</v>
      </c>
      <c r="L536" s="2">
        <v>2017</v>
      </c>
      <c r="M536" s="4" t="s">
        <v>369</v>
      </c>
      <c r="N536" s="5">
        <v>2200000</v>
      </c>
      <c r="O536" s="4" t="s">
        <v>757</v>
      </c>
      <c r="P536" s="4" t="s">
        <v>758</v>
      </c>
      <c r="Q536" s="4"/>
      <c r="R536" s="4"/>
      <c r="S536" s="4"/>
      <c r="T536" s="4"/>
      <c r="U536" s="4"/>
    </row>
    <row r="537" spans="2:21" ht="26.15" hidden="1" customHeight="1">
      <c r="B537" s="2">
        <v>535</v>
      </c>
      <c r="C537" s="3">
        <v>42816</v>
      </c>
      <c r="D537" s="20">
        <v>2017</v>
      </c>
      <c r="E537" s="4" t="s">
        <v>289</v>
      </c>
      <c r="F537" s="5">
        <v>45000000</v>
      </c>
      <c r="G537" s="4" t="s">
        <v>290</v>
      </c>
      <c r="H537" s="4" t="s">
        <v>291</v>
      </c>
      <c r="I537" s="4" t="s">
        <v>2168</v>
      </c>
      <c r="J537" s="4"/>
      <c r="K537" s="4"/>
      <c r="L537" s="2">
        <v>1983</v>
      </c>
      <c r="M537" s="4" t="s">
        <v>292</v>
      </c>
      <c r="N537" s="5"/>
      <c r="O537" s="4" t="s">
        <v>293</v>
      </c>
      <c r="P537" s="4" t="s">
        <v>294</v>
      </c>
      <c r="Q537" s="4" t="s">
        <v>2169</v>
      </c>
      <c r="R537" s="4"/>
      <c r="S537" s="4"/>
      <c r="T537" s="4"/>
      <c r="U537" s="4"/>
    </row>
    <row r="538" spans="2:21" ht="26.15" hidden="1" customHeight="1">
      <c r="B538" s="2">
        <v>536</v>
      </c>
      <c r="C538" s="3">
        <v>42813</v>
      </c>
      <c r="D538" s="20">
        <v>2017</v>
      </c>
      <c r="E538" s="4" t="s">
        <v>34</v>
      </c>
      <c r="F538" s="5" t="s">
        <v>50</v>
      </c>
      <c r="G538" s="4" t="s">
        <v>2073</v>
      </c>
      <c r="H538" s="4" t="s">
        <v>2074</v>
      </c>
      <c r="I538" s="4" t="s">
        <v>2170</v>
      </c>
      <c r="J538" s="4"/>
      <c r="K538" s="4" t="s">
        <v>2171</v>
      </c>
      <c r="L538" s="2">
        <v>2015</v>
      </c>
      <c r="M538" s="4" t="s">
        <v>2075</v>
      </c>
      <c r="N538" s="5">
        <v>170000</v>
      </c>
      <c r="O538" s="4" t="s">
        <v>2076</v>
      </c>
      <c r="P538" s="4" t="s">
        <v>2077</v>
      </c>
      <c r="Q538" s="4"/>
      <c r="R538" s="4"/>
      <c r="S538" s="4"/>
      <c r="T538" s="4"/>
      <c r="U538" s="4"/>
    </row>
    <row r="539" spans="2:21" ht="26.15" hidden="1" customHeight="1">
      <c r="B539" s="2">
        <v>537</v>
      </c>
      <c r="C539" s="3">
        <v>42811</v>
      </c>
      <c r="D539" s="20">
        <v>2017</v>
      </c>
      <c r="E539" s="4" t="s">
        <v>34</v>
      </c>
      <c r="F539" s="5">
        <v>519964</v>
      </c>
      <c r="G539" s="4" t="s">
        <v>1946</v>
      </c>
      <c r="H539" s="4" t="s">
        <v>1947</v>
      </c>
      <c r="I539" s="4"/>
      <c r="J539" s="4" t="s">
        <v>2172</v>
      </c>
      <c r="K539" s="4" t="s">
        <v>2173</v>
      </c>
      <c r="L539" s="2">
        <v>2015</v>
      </c>
      <c r="M539" s="4" t="s">
        <v>79</v>
      </c>
      <c r="N539" s="5">
        <v>10693115</v>
      </c>
      <c r="O539" s="4" t="s">
        <v>1951</v>
      </c>
      <c r="P539" s="4" t="s">
        <v>1952</v>
      </c>
      <c r="Q539" s="4"/>
      <c r="R539" s="4"/>
      <c r="S539" s="4"/>
      <c r="T539" s="4"/>
      <c r="U539" s="4"/>
    </row>
    <row r="540" spans="2:21" ht="26.15" hidden="1" customHeight="1">
      <c r="B540" s="2">
        <v>538</v>
      </c>
      <c r="C540" s="3">
        <v>42810</v>
      </c>
      <c r="D540" s="20">
        <v>2017</v>
      </c>
      <c r="E540" s="4" t="s">
        <v>34</v>
      </c>
      <c r="F540" s="5">
        <v>245268</v>
      </c>
      <c r="G540" s="4" t="s">
        <v>724</v>
      </c>
      <c r="H540" s="4" t="s">
        <v>725</v>
      </c>
      <c r="I540" s="4" t="s">
        <v>2174</v>
      </c>
      <c r="J540" s="4" t="s">
        <v>2175</v>
      </c>
      <c r="K540" s="4" t="s">
        <v>2176</v>
      </c>
      <c r="L540" s="2">
        <v>2015</v>
      </c>
      <c r="M540" s="4" t="s">
        <v>128</v>
      </c>
      <c r="N540" s="5">
        <v>739765</v>
      </c>
      <c r="O540" s="4" t="s">
        <v>728</v>
      </c>
      <c r="P540" s="4" t="s">
        <v>729</v>
      </c>
      <c r="Q540" s="4" t="s">
        <v>2177</v>
      </c>
      <c r="R540" s="4"/>
      <c r="S540" s="4"/>
      <c r="T540" s="4"/>
      <c r="U540" s="4"/>
    </row>
    <row r="541" spans="2:21" ht="26.15" hidden="1" customHeight="1">
      <c r="B541" s="2">
        <v>539</v>
      </c>
      <c r="C541" s="3">
        <v>42801</v>
      </c>
      <c r="D541" s="20">
        <v>2017</v>
      </c>
      <c r="E541" s="4" t="s">
        <v>25</v>
      </c>
      <c r="F541" s="5">
        <v>10621400</v>
      </c>
      <c r="G541" s="4" t="s">
        <v>1171</v>
      </c>
      <c r="H541" s="4" t="s">
        <v>1172</v>
      </c>
      <c r="I541" s="4" t="s">
        <v>2178</v>
      </c>
      <c r="J541" s="4"/>
      <c r="K541" s="4" t="s">
        <v>1308</v>
      </c>
      <c r="L541" s="2">
        <v>2008</v>
      </c>
      <c r="M541" s="4" t="s">
        <v>47</v>
      </c>
      <c r="N541" s="5">
        <v>47182672</v>
      </c>
      <c r="O541" s="4" t="s">
        <v>1175</v>
      </c>
      <c r="P541" s="4" t="s">
        <v>1176</v>
      </c>
      <c r="Q541" s="4" t="s">
        <v>2179</v>
      </c>
      <c r="R541" s="4"/>
      <c r="S541" s="4"/>
      <c r="T541" s="4"/>
      <c r="U541" s="4"/>
    </row>
    <row r="542" spans="2:21" ht="26.15" hidden="1" customHeight="1">
      <c r="B542" s="2">
        <v>540</v>
      </c>
      <c r="C542" s="3">
        <v>42797</v>
      </c>
      <c r="D542" s="20">
        <v>2017</v>
      </c>
      <c r="E542" s="4" t="s">
        <v>34</v>
      </c>
      <c r="F542" s="5" t="s">
        <v>50</v>
      </c>
      <c r="G542" s="4" t="s">
        <v>664</v>
      </c>
      <c r="H542" s="4" t="s">
        <v>665</v>
      </c>
      <c r="I542" s="4"/>
      <c r="J542" s="4"/>
      <c r="K542" s="4"/>
      <c r="L542" s="2">
        <v>2015</v>
      </c>
      <c r="M542" s="4" t="s">
        <v>382</v>
      </c>
      <c r="N542" s="5"/>
      <c r="O542" s="4" t="s">
        <v>667</v>
      </c>
      <c r="P542" s="4" t="s">
        <v>668</v>
      </c>
      <c r="Q542" s="4"/>
      <c r="R542" s="4"/>
      <c r="S542" s="4"/>
      <c r="T542" s="4"/>
      <c r="U542" s="4"/>
    </row>
    <row r="543" spans="2:21" ht="26.15" hidden="1" customHeight="1">
      <c r="B543" s="2">
        <v>541</v>
      </c>
      <c r="C543" s="3">
        <v>42795</v>
      </c>
      <c r="D543" s="20">
        <v>2017</v>
      </c>
      <c r="E543" s="4" t="s">
        <v>34</v>
      </c>
      <c r="F543" s="5" t="s">
        <v>50</v>
      </c>
      <c r="G543" s="4" t="s">
        <v>1939</v>
      </c>
      <c r="H543" s="4" t="s">
        <v>1940</v>
      </c>
      <c r="I543" s="4" t="s">
        <v>2180</v>
      </c>
      <c r="J543" s="4"/>
      <c r="K543" s="4"/>
      <c r="L543" s="2">
        <v>2015</v>
      </c>
      <c r="M543" s="4" t="s">
        <v>278</v>
      </c>
      <c r="N543" s="5">
        <v>9356810</v>
      </c>
      <c r="O543" s="4" t="s">
        <v>1942</v>
      </c>
      <c r="P543" s="4" t="s">
        <v>1943</v>
      </c>
      <c r="Q543" s="4"/>
      <c r="R543" s="4"/>
      <c r="S543" s="4"/>
      <c r="T543" s="4"/>
      <c r="U543" s="4"/>
    </row>
    <row r="544" spans="2:21" ht="26.15" hidden="1" customHeight="1">
      <c r="B544" s="2">
        <v>542</v>
      </c>
      <c r="C544" s="3">
        <v>42794</v>
      </c>
      <c r="D544" s="20">
        <v>2017</v>
      </c>
      <c r="E544" s="4" t="s">
        <v>124</v>
      </c>
      <c r="F544" s="5" t="s">
        <v>50</v>
      </c>
      <c r="G544" s="4" t="s">
        <v>2181</v>
      </c>
      <c r="H544" s="4" t="s">
        <v>2182</v>
      </c>
      <c r="I544" s="4"/>
      <c r="J544" s="4" t="s">
        <v>2183</v>
      </c>
      <c r="K544" s="4"/>
      <c r="L544" s="2">
        <v>2016</v>
      </c>
      <c r="M544" s="4" t="s">
        <v>56</v>
      </c>
      <c r="N544" s="5"/>
      <c r="O544" s="4" t="s">
        <v>2184</v>
      </c>
      <c r="P544" s="4" t="s">
        <v>1691</v>
      </c>
      <c r="Q544" s="4"/>
      <c r="R544" s="4"/>
      <c r="S544" s="4"/>
      <c r="T544" s="4"/>
      <c r="U544" s="4"/>
    </row>
    <row r="545" spans="2:21" ht="26.15" hidden="1" customHeight="1">
      <c r="B545" s="2">
        <v>543</v>
      </c>
      <c r="C545" s="3">
        <v>42792</v>
      </c>
      <c r="D545" s="20">
        <v>2017</v>
      </c>
      <c r="E545" s="4" t="s">
        <v>528</v>
      </c>
      <c r="F545" s="5">
        <v>20000000</v>
      </c>
      <c r="G545" s="4" t="s">
        <v>2185</v>
      </c>
      <c r="H545" s="4" t="s">
        <v>2186</v>
      </c>
      <c r="I545" s="4"/>
      <c r="J545" s="4"/>
      <c r="K545" s="4"/>
      <c r="L545" s="2">
        <v>2012</v>
      </c>
      <c r="M545" s="4" t="s">
        <v>792</v>
      </c>
      <c r="N545" s="5">
        <v>20000000</v>
      </c>
      <c r="O545" s="4" t="s">
        <v>2187</v>
      </c>
      <c r="P545" s="4" t="s">
        <v>257</v>
      </c>
      <c r="Q545" s="4"/>
      <c r="R545" s="4"/>
      <c r="S545" s="4"/>
      <c r="T545" s="4"/>
      <c r="U545" s="4"/>
    </row>
    <row r="546" spans="2:21" ht="26.15" hidden="1" customHeight="1">
      <c r="B546" s="2">
        <v>544</v>
      </c>
      <c r="C546" s="3">
        <v>42789</v>
      </c>
      <c r="D546" s="20">
        <v>2017</v>
      </c>
      <c r="E546" s="4" t="s">
        <v>34</v>
      </c>
      <c r="F546" s="5">
        <v>387868</v>
      </c>
      <c r="G546" s="4" t="s">
        <v>878</v>
      </c>
      <c r="H546" s="4" t="s">
        <v>879</v>
      </c>
      <c r="I546" s="4"/>
      <c r="J546" s="4" t="s">
        <v>2188</v>
      </c>
      <c r="K546" s="4" t="s">
        <v>881</v>
      </c>
      <c r="L546" s="2">
        <v>2015</v>
      </c>
      <c r="M546" s="4" t="s">
        <v>56</v>
      </c>
      <c r="N546" s="5">
        <v>9059375</v>
      </c>
      <c r="O546" s="4" t="s">
        <v>883</v>
      </c>
      <c r="P546" s="4" t="s">
        <v>884</v>
      </c>
      <c r="Q546" s="4"/>
      <c r="R546" s="4"/>
      <c r="S546" s="4"/>
      <c r="T546" s="4"/>
      <c r="U546" s="4"/>
    </row>
    <row r="547" spans="2:21" ht="26.15" hidden="1" customHeight="1">
      <c r="B547" s="2">
        <v>545</v>
      </c>
      <c r="C547" s="3">
        <v>42774</v>
      </c>
      <c r="D547" s="20">
        <v>2017</v>
      </c>
      <c r="E547" s="4" t="s">
        <v>34</v>
      </c>
      <c r="F547" s="5" t="s">
        <v>50</v>
      </c>
      <c r="G547" s="4" t="s">
        <v>2189</v>
      </c>
      <c r="H547" s="4" t="s">
        <v>2190</v>
      </c>
      <c r="I547" s="4" t="s">
        <v>2191</v>
      </c>
      <c r="J547" s="4"/>
      <c r="K547" s="4"/>
      <c r="L547" s="2">
        <v>2011</v>
      </c>
      <c r="M547" s="4" t="s">
        <v>47</v>
      </c>
      <c r="N547" s="5"/>
      <c r="O547" s="4" t="s">
        <v>2192</v>
      </c>
      <c r="P547" s="4" t="s">
        <v>2193</v>
      </c>
      <c r="Q547" s="4"/>
      <c r="R547" s="4"/>
      <c r="S547" s="4"/>
      <c r="T547" s="4"/>
      <c r="U547" s="4"/>
    </row>
    <row r="548" spans="2:21" ht="26.15" hidden="1" customHeight="1">
      <c r="B548" s="2">
        <v>546</v>
      </c>
      <c r="C548" s="3">
        <v>42774</v>
      </c>
      <c r="D548" s="20">
        <v>2017</v>
      </c>
      <c r="E548" s="4" t="s">
        <v>34</v>
      </c>
      <c r="F548" s="5" t="s">
        <v>50</v>
      </c>
      <c r="G548" s="4" t="s">
        <v>1205</v>
      </c>
      <c r="H548" s="4" t="s">
        <v>1206</v>
      </c>
      <c r="I548" s="4" t="s">
        <v>1985</v>
      </c>
      <c r="J548" s="4"/>
      <c r="K548" s="4"/>
      <c r="L548" s="2">
        <v>2014</v>
      </c>
      <c r="M548" s="4" t="s">
        <v>39</v>
      </c>
      <c r="N548" s="5"/>
      <c r="O548" s="4" t="s">
        <v>1209</v>
      </c>
      <c r="P548" s="4" t="s">
        <v>1210</v>
      </c>
      <c r="Q548" s="4"/>
      <c r="R548" s="4"/>
      <c r="S548" s="4"/>
      <c r="T548" s="4"/>
      <c r="U548" s="4"/>
    </row>
    <row r="549" spans="2:21" ht="26.15" hidden="1" customHeight="1">
      <c r="B549" s="2">
        <v>547</v>
      </c>
      <c r="C549" s="3">
        <v>42755</v>
      </c>
      <c r="D549" s="20">
        <v>2017</v>
      </c>
      <c r="E549" s="4" t="s">
        <v>124</v>
      </c>
      <c r="F549" s="5">
        <v>100000</v>
      </c>
      <c r="G549" s="4" t="s">
        <v>2194</v>
      </c>
      <c r="H549" s="4" t="s">
        <v>2195</v>
      </c>
      <c r="I549" s="4"/>
      <c r="J549" s="4"/>
      <c r="K549" s="4"/>
      <c r="L549" s="2">
        <v>2016</v>
      </c>
      <c r="M549" s="4" t="s">
        <v>181</v>
      </c>
      <c r="N549" s="5">
        <v>100000</v>
      </c>
      <c r="O549" s="4" t="s">
        <v>2196</v>
      </c>
      <c r="P549" s="4" t="s">
        <v>2197</v>
      </c>
      <c r="Q549" s="4"/>
      <c r="R549" s="4"/>
      <c r="S549" s="4"/>
      <c r="T549" s="4"/>
      <c r="U549" s="4"/>
    </row>
    <row r="550" spans="2:21" ht="26.15" hidden="1" customHeight="1">
      <c r="B550" s="2">
        <v>548</v>
      </c>
      <c r="C550" s="3">
        <v>42755</v>
      </c>
      <c r="D550" s="20">
        <v>2017</v>
      </c>
      <c r="E550" s="4" t="s">
        <v>34</v>
      </c>
      <c r="F550" s="5" t="s">
        <v>50</v>
      </c>
      <c r="G550" s="4" t="s">
        <v>2198</v>
      </c>
      <c r="H550" s="4" t="s">
        <v>2199</v>
      </c>
      <c r="I550" s="4" t="s">
        <v>2200</v>
      </c>
      <c r="J550" s="4"/>
      <c r="K550" s="4"/>
      <c r="L550" s="2">
        <v>2015</v>
      </c>
      <c r="M550" s="4" t="s">
        <v>1188</v>
      </c>
      <c r="N550" s="5"/>
      <c r="O550" s="4" t="s">
        <v>2201</v>
      </c>
      <c r="P550" s="4" t="s">
        <v>2202</v>
      </c>
      <c r="Q550" s="4"/>
      <c r="R550" s="4"/>
      <c r="S550" s="4"/>
      <c r="T550" s="4"/>
      <c r="U550" s="4"/>
    </row>
    <row r="551" spans="2:21" ht="26.15" hidden="1" customHeight="1">
      <c r="B551" s="2">
        <v>549</v>
      </c>
      <c r="C551" s="3">
        <v>42753</v>
      </c>
      <c r="D551" s="20">
        <v>2017</v>
      </c>
      <c r="E551" s="4" t="s">
        <v>124</v>
      </c>
      <c r="F551" s="5" t="s">
        <v>50</v>
      </c>
      <c r="G551" s="4" t="s">
        <v>1685</v>
      </c>
      <c r="H551" s="4" t="s">
        <v>1686</v>
      </c>
      <c r="I551" s="4"/>
      <c r="J551" s="4"/>
      <c r="K551" s="4"/>
      <c r="L551" s="2">
        <v>2013</v>
      </c>
      <c r="M551" s="4" t="s">
        <v>79</v>
      </c>
      <c r="N551" s="5">
        <v>2257449</v>
      </c>
      <c r="O551" s="4" t="s">
        <v>1690</v>
      </c>
      <c r="P551" s="4" t="s">
        <v>1691</v>
      </c>
      <c r="Q551" s="4"/>
      <c r="R551" s="4"/>
      <c r="S551" s="4"/>
      <c r="T551" s="4"/>
      <c r="U551" s="4"/>
    </row>
    <row r="552" spans="2:21" ht="26.15" customHeight="1">
      <c r="B552" s="2">
        <v>550</v>
      </c>
      <c r="C552" s="3">
        <v>42751</v>
      </c>
      <c r="D552" s="20">
        <v>2017</v>
      </c>
      <c r="E552" s="4" t="s">
        <v>109</v>
      </c>
      <c r="F552" s="5" t="s">
        <v>50</v>
      </c>
      <c r="G552" s="4" t="s">
        <v>2203</v>
      </c>
      <c r="H552" s="4" t="s">
        <v>2204</v>
      </c>
      <c r="I552" s="4" t="s">
        <v>2205</v>
      </c>
      <c r="J552" s="4"/>
      <c r="K552" s="4" t="s">
        <v>2206</v>
      </c>
      <c r="L552" s="2">
        <v>2013</v>
      </c>
      <c r="M552" s="4" t="s">
        <v>2207</v>
      </c>
      <c r="N552" s="5">
        <v>450000</v>
      </c>
      <c r="O552" s="4" t="s">
        <v>2208</v>
      </c>
      <c r="P552" s="4" t="s">
        <v>2209</v>
      </c>
      <c r="Q552" s="4"/>
      <c r="R552" s="4"/>
      <c r="S552" s="4"/>
      <c r="T552" s="4"/>
      <c r="U552" s="4"/>
    </row>
    <row r="553" spans="2:21" ht="26.15" hidden="1" customHeight="1">
      <c r="B553" s="2">
        <v>551</v>
      </c>
      <c r="C553" s="3">
        <v>42751</v>
      </c>
      <c r="D553" s="20">
        <v>2017</v>
      </c>
      <c r="E553" s="4" t="s">
        <v>124</v>
      </c>
      <c r="F553" s="5">
        <v>49806</v>
      </c>
      <c r="G553" s="4" t="s">
        <v>1999</v>
      </c>
      <c r="H553" s="4" t="s">
        <v>2000</v>
      </c>
      <c r="I553" s="4"/>
      <c r="J553" s="4" t="s">
        <v>2210</v>
      </c>
      <c r="K553" s="4" t="s">
        <v>2210</v>
      </c>
      <c r="L553" s="2">
        <v>2007</v>
      </c>
      <c r="M553" s="4" t="s">
        <v>313</v>
      </c>
      <c r="N553" s="5">
        <v>205825</v>
      </c>
      <c r="O553" s="4" t="s">
        <v>2003</v>
      </c>
      <c r="P553" s="4" t="s">
        <v>2004</v>
      </c>
      <c r="Q553" s="4"/>
      <c r="R553" s="4"/>
      <c r="S553" s="4"/>
      <c r="T553" s="4"/>
      <c r="U553" s="4"/>
    </row>
    <row r="554" spans="2:21" ht="26.15" hidden="1" customHeight="1">
      <c r="B554" s="2">
        <v>552</v>
      </c>
      <c r="C554" s="3">
        <v>42741</v>
      </c>
      <c r="D554" s="20">
        <v>2017</v>
      </c>
      <c r="E554" s="4" t="s">
        <v>34</v>
      </c>
      <c r="F554" s="5" t="s">
        <v>50</v>
      </c>
      <c r="G554" s="4" t="s">
        <v>749</v>
      </c>
      <c r="H554" s="4" t="s">
        <v>750</v>
      </c>
      <c r="I554" s="4" t="s">
        <v>2211</v>
      </c>
      <c r="J554" s="4"/>
      <c r="K554" s="4" t="s">
        <v>2212</v>
      </c>
      <c r="L554" s="2">
        <v>2012</v>
      </c>
      <c r="M554" s="4" t="s">
        <v>79</v>
      </c>
      <c r="N554" s="5">
        <v>2740519</v>
      </c>
      <c r="O554" s="4" t="s">
        <v>751</v>
      </c>
      <c r="P554" s="4" t="s">
        <v>752</v>
      </c>
      <c r="Q554" s="4"/>
      <c r="R554" s="4"/>
      <c r="S554" s="4"/>
      <c r="T554" s="4"/>
      <c r="U554" s="4"/>
    </row>
    <row r="555" spans="2:21" ht="26.15" hidden="1" customHeight="1">
      <c r="B555" s="2">
        <v>553</v>
      </c>
      <c r="C555" s="3">
        <v>42740</v>
      </c>
      <c r="D555" s="20">
        <v>2017</v>
      </c>
      <c r="E555" s="4" t="s">
        <v>25</v>
      </c>
      <c r="F555" s="5">
        <v>14383400</v>
      </c>
      <c r="G555" s="4" t="s">
        <v>1748</v>
      </c>
      <c r="H555" s="4" t="s">
        <v>1749</v>
      </c>
      <c r="I555" s="4" t="s">
        <v>2213</v>
      </c>
      <c r="J555" s="4"/>
      <c r="K555" s="4" t="s">
        <v>2214</v>
      </c>
      <c r="L555" s="2">
        <v>2014</v>
      </c>
      <c r="M555" s="4" t="s">
        <v>1222</v>
      </c>
      <c r="N555" s="5">
        <v>14470000</v>
      </c>
      <c r="O555" s="4" t="s">
        <v>1752</v>
      </c>
      <c r="P555" s="4" t="s">
        <v>1753</v>
      </c>
      <c r="Q555" s="4"/>
      <c r="R555" s="4"/>
      <c r="S555" s="4"/>
      <c r="T555" s="4"/>
      <c r="U555" s="4"/>
    </row>
    <row r="556" spans="2:21" ht="26.15" hidden="1" customHeight="1">
      <c r="B556" s="2">
        <v>554</v>
      </c>
      <c r="C556" s="3">
        <v>42736</v>
      </c>
      <c r="D556" s="20">
        <v>2017</v>
      </c>
      <c r="E556" s="4" t="s">
        <v>124</v>
      </c>
      <c r="F556" s="5">
        <v>434828</v>
      </c>
      <c r="G556" s="4" t="s">
        <v>2215</v>
      </c>
      <c r="H556" s="4" t="s">
        <v>2216</v>
      </c>
      <c r="I556" s="4" t="s">
        <v>2217</v>
      </c>
      <c r="J556" s="4"/>
      <c r="K556" s="4"/>
      <c r="L556" s="2">
        <v>2015</v>
      </c>
      <c r="M556" s="4" t="s">
        <v>278</v>
      </c>
      <c r="N556" s="5">
        <v>434828</v>
      </c>
      <c r="O556" s="4" t="s">
        <v>2218</v>
      </c>
      <c r="P556" s="4" t="s">
        <v>2219</v>
      </c>
      <c r="Q556" s="4"/>
      <c r="R556" s="4"/>
      <c r="S556" s="4"/>
      <c r="T556" s="4"/>
      <c r="U556" s="4"/>
    </row>
    <row r="557" spans="2:21" ht="26.15" hidden="1" customHeight="1">
      <c r="B557" s="2">
        <v>555</v>
      </c>
      <c r="C557" s="3">
        <v>42736</v>
      </c>
      <c r="D557" s="20">
        <v>2017</v>
      </c>
      <c r="E557" s="4" t="s">
        <v>109</v>
      </c>
      <c r="F557" s="5">
        <v>4000000</v>
      </c>
      <c r="G557" s="4" t="s">
        <v>2220</v>
      </c>
      <c r="H557" s="4" t="s">
        <v>2221</v>
      </c>
      <c r="I557" s="4" t="s">
        <v>2222</v>
      </c>
      <c r="J557" s="4"/>
      <c r="K557" s="4" t="s">
        <v>2223</v>
      </c>
      <c r="L557" s="2">
        <v>2007</v>
      </c>
      <c r="M557" s="4" t="s">
        <v>313</v>
      </c>
      <c r="N557" s="5">
        <v>4000000</v>
      </c>
      <c r="O557" s="4" t="s">
        <v>2224</v>
      </c>
      <c r="P557" s="4" t="s">
        <v>2225</v>
      </c>
      <c r="Q557" s="4"/>
      <c r="R557" s="4"/>
      <c r="S557" s="4"/>
      <c r="T557" s="4"/>
      <c r="U557" s="4"/>
    </row>
    <row r="558" spans="2:21" ht="26.15" hidden="1" customHeight="1">
      <c r="B558" s="2">
        <v>556</v>
      </c>
      <c r="C558" s="3">
        <v>42726</v>
      </c>
      <c r="D558" s="20">
        <v>2016</v>
      </c>
      <c r="E558" s="4" t="s">
        <v>109</v>
      </c>
      <c r="F558" s="5">
        <v>9460000</v>
      </c>
      <c r="G558" s="4" t="s">
        <v>2226</v>
      </c>
      <c r="H558" s="4" t="s">
        <v>2227</v>
      </c>
      <c r="I558" s="4"/>
      <c r="J558" s="4"/>
      <c r="K558" s="4"/>
      <c r="L558" s="2">
        <v>2016</v>
      </c>
      <c r="M558" s="4" t="s">
        <v>792</v>
      </c>
      <c r="N558" s="5">
        <v>9460000</v>
      </c>
      <c r="O558" s="4" t="s">
        <v>2228</v>
      </c>
      <c r="P558" s="4" t="s">
        <v>2229</v>
      </c>
      <c r="Q558" s="4"/>
      <c r="R558" s="4"/>
      <c r="S558" s="4"/>
      <c r="T558" s="4"/>
      <c r="U558" s="4"/>
    </row>
    <row r="559" spans="2:21" ht="26.15" hidden="1" customHeight="1">
      <c r="B559" s="2">
        <v>557</v>
      </c>
      <c r="C559" s="3">
        <v>42725</v>
      </c>
      <c r="D559" s="20">
        <v>2016</v>
      </c>
      <c r="E559" s="4" t="s">
        <v>34</v>
      </c>
      <c r="F559" s="5">
        <v>323451</v>
      </c>
      <c r="G559" s="4" t="s">
        <v>217</v>
      </c>
      <c r="H559" s="4" t="s">
        <v>218</v>
      </c>
      <c r="I559" s="4" t="s">
        <v>1466</v>
      </c>
      <c r="J559" s="4"/>
      <c r="K559" s="4" t="s">
        <v>1467</v>
      </c>
      <c r="L559" s="2">
        <v>2015</v>
      </c>
      <c r="M559" s="4" t="s">
        <v>79</v>
      </c>
      <c r="N559" s="5">
        <v>2569628</v>
      </c>
      <c r="O559" s="4" t="s">
        <v>221</v>
      </c>
      <c r="P559" s="4" t="s">
        <v>222</v>
      </c>
      <c r="Q559" s="4"/>
      <c r="R559" s="4"/>
      <c r="S559" s="4"/>
      <c r="T559" s="4"/>
      <c r="U559" s="4"/>
    </row>
    <row r="560" spans="2:21" ht="26.15" hidden="1" customHeight="1">
      <c r="B560" s="2">
        <v>558</v>
      </c>
      <c r="C560" s="3">
        <v>42724</v>
      </c>
      <c r="D560" s="20">
        <v>2016</v>
      </c>
      <c r="E560" s="4" t="s">
        <v>34</v>
      </c>
      <c r="F560" s="5">
        <v>515613</v>
      </c>
      <c r="G560" s="4" t="s">
        <v>749</v>
      </c>
      <c r="H560" s="4" t="s">
        <v>750</v>
      </c>
      <c r="I560" s="4"/>
      <c r="J560" s="4"/>
      <c r="K560" s="4"/>
      <c r="L560" s="2">
        <v>2012</v>
      </c>
      <c r="M560" s="4" t="s">
        <v>79</v>
      </c>
      <c r="N560" s="5">
        <v>2740519</v>
      </c>
      <c r="O560" s="4" t="s">
        <v>751</v>
      </c>
      <c r="P560" s="4" t="s">
        <v>752</v>
      </c>
      <c r="Q560" s="4"/>
      <c r="R560" s="4"/>
      <c r="S560" s="4"/>
      <c r="T560" s="4"/>
      <c r="U560" s="4"/>
    </row>
    <row r="561" spans="2:21" ht="26.15" hidden="1" customHeight="1">
      <c r="B561" s="2">
        <v>559</v>
      </c>
      <c r="C561" s="3">
        <v>42705</v>
      </c>
      <c r="D561" s="20">
        <v>2016</v>
      </c>
      <c r="E561" s="4" t="s">
        <v>124</v>
      </c>
      <c r="F561" s="5">
        <v>714881</v>
      </c>
      <c r="G561" s="4" t="s">
        <v>1946</v>
      </c>
      <c r="H561" s="4" t="s">
        <v>1947</v>
      </c>
      <c r="I561" s="4"/>
      <c r="J561" s="4" t="s">
        <v>2230</v>
      </c>
      <c r="K561" s="4" t="s">
        <v>2231</v>
      </c>
      <c r="L561" s="2">
        <v>2015</v>
      </c>
      <c r="M561" s="4" t="s">
        <v>79</v>
      </c>
      <c r="N561" s="5">
        <v>10693115</v>
      </c>
      <c r="O561" s="4" t="s">
        <v>1951</v>
      </c>
      <c r="P561" s="4" t="s">
        <v>1952</v>
      </c>
      <c r="Q561" s="4"/>
      <c r="R561" s="4"/>
      <c r="S561" s="4"/>
      <c r="T561" s="4"/>
      <c r="U561" s="4"/>
    </row>
    <row r="562" spans="2:21" ht="26.15" hidden="1" customHeight="1">
      <c r="B562" s="2">
        <v>560</v>
      </c>
      <c r="C562" s="3">
        <v>42705</v>
      </c>
      <c r="D562" s="20">
        <v>2016</v>
      </c>
      <c r="E562" s="4" t="s">
        <v>109</v>
      </c>
      <c r="F562" s="5" t="s">
        <v>50</v>
      </c>
      <c r="G562" s="4" t="s">
        <v>2232</v>
      </c>
      <c r="H562" s="4" t="s">
        <v>2233</v>
      </c>
      <c r="I562" s="4" t="s">
        <v>2234</v>
      </c>
      <c r="J562" s="4"/>
      <c r="K562" s="4"/>
      <c r="L562" s="2">
        <v>1980</v>
      </c>
      <c r="M562" s="4" t="s">
        <v>1588</v>
      </c>
      <c r="N562" s="5"/>
      <c r="O562" s="4" t="s">
        <v>2235</v>
      </c>
      <c r="P562" s="4" t="s">
        <v>2236</v>
      </c>
      <c r="Q562" s="4"/>
      <c r="R562" s="4"/>
      <c r="S562" s="4"/>
      <c r="T562" s="4"/>
      <c r="U562" s="4"/>
    </row>
    <row r="563" spans="2:21" ht="26.15" hidden="1" customHeight="1">
      <c r="B563" s="2">
        <v>561</v>
      </c>
      <c r="C563" s="3">
        <v>42695</v>
      </c>
      <c r="D563" s="20">
        <v>2016</v>
      </c>
      <c r="E563" s="4" t="s">
        <v>109</v>
      </c>
      <c r="F563" s="5">
        <v>1800000</v>
      </c>
      <c r="G563" s="4" t="s">
        <v>2237</v>
      </c>
      <c r="H563" s="4" t="s">
        <v>2238</v>
      </c>
      <c r="I563" s="4" t="s">
        <v>2239</v>
      </c>
      <c r="J563" s="4"/>
      <c r="K563" s="4"/>
      <c r="L563" s="2">
        <v>2014</v>
      </c>
      <c r="M563" s="4" t="s">
        <v>278</v>
      </c>
      <c r="N563" s="5">
        <v>1800000</v>
      </c>
      <c r="O563" s="4" t="s">
        <v>2240</v>
      </c>
      <c r="P563" s="4" t="s">
        <v>2241</v>
      </c>
      <c r="Q563" s="4"/>
      <c r="R563" s="4"/>
      <c r="S563" s="4"/>
      <c r="T563" s="4"/>
      <c r="U563" s="4"/>
    </row>
    <row r="564" spans="2:21" ht="26.15" hidden="1" customHeight="1">
      <c r="B564" s="2">
        <v>562</v>
      </c>
      <c r="C564" s="3">
        <v>42684</v>
      </c>
      <c r="D564" s="20">
        <v>2016</v>
      </c>
      <c r="E564" s="4" t="s">
        <v>124</v>
      </c>
      <c r="F564" s="5">
        <v>145349</v>
      </c>
      <c r="G564" s="4" t="s">
        <v>404</v>
      </c>
      <c r="H564" s="4" t="s">
        <v>405</v>
      </c>
      <c r="I564" s="4"/>
      <c r="J564" s="4" t="s">
        <v>2242</v>
      </c>
      <c r="K564" s="4" t="s">
        <v>2243</v>
      </c>
      <c r="L564" s="2">
        <v>2016</v>
      </c>
      <c r="M564" s="4" t="s">
        <v>79</v>
      </c>
      <c r="N564" s="5">
        <v>8750809</v>
      </c>
      <c r="O564" s="4" t="s">
        <v>408</v>
      </c>
      <c r="P564" s="4" t="s">
        <v>409</v>
      </c>
      <c r="Q564" s="4"/>
      <c r="R564" s="4"/>
      <c r="S564" s="4"/>
      <c r="T564" s="4"/>
      <c r="U564" s="4"/>
    </row>
    <row r="565" spans="2:21" ht="26.15" customHeight="1">
      <c r="B565" s="2">
        <v>563</v>
      </c>
      <c r="C565" s="3">
        <v>42684</v>
      </c>
      <c r="D565" s="20">
        <v>2016</v>
      </c>
      <c r="E565" s="4" t="s">
        <v>184</v>
      </c>
      <c r="F565" s="5">
        <v>78820</v>
      </c>
      <c r="G565" s="4" t="s">
        <v>950</v>
      </c>
      <c r="H565" s="4" t="s">
        <v>951</v>
      </c>
      <c r="I565" s="4" t="s">
        <v>703</v>
      </c>
      <c r="J565" s="4"/>
      <c r="K565" s="4"/>
      <c r="L565" s="2">
        <v>2014</v>
      </c>
      <c r="M565" s="4" t="s">
        <v>954</v>
      </c>
      <c r="N565" s="5"/>
      <c r="O565" s="4" t="s">
        <v>955</v>
      </c>
      <c r="P565" s="4" t="s">
        <v>956</v>
      </c>
      <c r="Q565" s="4"/>
      <c r="R565" s="4"/>
      <c r="S565" s="4"/>
      <c r="T565" s="4"/>
      <c r="U565" s="4"/>
    </row>
    <row r="566" spans="2:21" ht="26.15" hidden="1" customHeight="1">
      <c r="B566" s="2">
        <v>564</v>
      </c>
      <c r="C566" s="3">
        <v>42679</v>
      </c>
      <c r="D566" s="20">
        <v>2016</v>
      </c>
      <c r="E566" s="4" t="s">
        <v>34</v>
      </c>
      <c r="F566" s="5">
        <v>550000</v>
      </c>
      <c r="G566" s="4" t="s">
        <v>385</v>
      </c>
      <c r="H566" s="4" t="s">
        <v>386</v>
      </c>
      <c r="I566" s="4" t="s">
        <v>2244</v>
      </c>
      <c r="J566" s="4"/>
      <c r="K566" s="4" t="s">
        <v>2245</v>
      </c>
      <c r="L566" s="2">
        <v>2016</v>
      </c>
      <c r="M566" s="4" t="s">
        <v>39</v>
      </c>
      <c r="N566" s="5">
        <v>14260613</v>
      </c>
      <c r="O566" s="4" t="s">
        <v>389</v>
      </c>
      <c r="P566" s="4" t="s">
        <v>390</v>
      </c>
      <c r="Q566" s="4"/>
      <c r="R566" s="4"/>
      <c r="S566" s="4"/>
      <c r="T566" s="4"/>
      <c r="U566" s="4"/>
    </row>
    <row r="567" spans="2:21" ht="26.15" hidden="1" customHeight="1">
      <c r="B567" s="2">
        <v>565</v>
      </c>
      <c r="C567" s="3">
        <v>42678</v>
      </c>
      <c r="D567" s="20">
        <v>2016</v>
      </c>
      <c r="E567" s="4" t="s">
        <v>109</v>
      </c>
      <c r="F567" s="5">
        <v>20000000</v>
      </c>
      <c r="G567" s="4" t="s">
        <v>2246</v>
      </c>
      <c r="H567" s="4" t="s">
        <v>2247</v>
      </c>
      <c r="I567" s="4" t="s">
        <v>2248</v>
      </c>
      <c r="J567" s="4"/>
      <c r="K567" s="4" t="s">
        <v>2249</v>
      </c>
      <c r="L567" s="2">
        <v>2014</v>
      </c>
      <c r="M567" s="4" t="s">
        <v>1732</v>
      </c>
      <c r="N567" s="5">
        <v>20000000</v>
      </c>
      <c r="O567" s="4" t="s">
        <v>2250</v>
      </c>
      <c r="P567" s="4" t="s">
        <v>2251</v>
      </c>
      <c r="Q567" s="4" t="s">
        <v>2252</v>
      </c>
      <c r="R567" s="4"/>
      <c r="S567" s="4"/>
      <c r="T567" s="4"/>
      <c r="U567" s="4"/>
    </row>
    <row r="568" spans="2:21" ht="26.15" hidden="1" customHeight="1">
      <c r="B568" s="2">
        <v>566</v>
      </c>
      <c r="C568" s="3">
        <v>42675</v>
      </c>
      <c r="D568" s="20">
        <v>2016</v>
      </c>
      <c r="E568" s="4" t="s">
        <v>95</v>
      </c>
      <c r="F568" s="5" t="s">
        <v>50</v>
      </c>
      <c r="G568" s="4" t="s">
        <v>1265</v>
      </c>
      <c r="H568" s="4" t="s">
        <v>1266</v>
      </c>
      <c r="I568" s="4" t="s">
        <v>2253</v>
      </c>
      <c r="J568" s="4"/>
      <c r="K568" s="4"/>
      <c r="L568" s="2">
        <v>2011</v>
      </c>
      <c r="M568" s="4" t="s">
        <v>278</v>
      </c>
      <c r="N568" s="5">
        <v>20000000</v>
      </c>
      <c r="O568" s="4" t="s">
        <v>1268</v>
      </c>
      <c r="P568" s="4" t="s">
        <v>1269</v>
      </c>
      <c r="Q568" s="4"/>
      <c r="R568" s="4"/>
      <c r="S568" s="4"/>
      <c r="T568" s="4"/>
      <c r="U568" s="4"/>
    </row>
    <row r="569" spans="2:21" ht="26.15" hidden="1" customHeight="1">
      <c r="B569" s="2">
        <v>567</v>
      </c>
      <c r="C569" s="3">
        <v>42675</v>
      </c>
      <c r="D569" s="20">
        <v>2016</v>
      </c>
      <c r="E569" s="4" t="s">
        <v>109</v>
      </c>
      <c r="F569" s="5" t="s">
        <v>50</v>
      </c>
      <c r="G569" s="4" t="s">
        <v>2254</v>
      </c>
      <c r="H569" s="4" t="s">
        <v>2255</v>
      </c>
      <c r="I569" s="4" t="s">
        <v>2256</v>
      </c>
      <c r="J569" s="4"/>
      <c r="K569" s="4"/>
      <c r="L569" s="2">
        <v>2016</v>
      </c>
      <c r="M569" s="4" t="s">
        <v>79</v>
      </c>
      <c r="N569" s="5"/>
      <c r="O569" s="4" t="s">
        <v>2257</v>
      </c>
      <c r="P569" s="4" t="s">
        <v>2258</v>
      </c>
      <c r="Q569" s="4"/>
      <c r="R569" s="4"/>
      <c r="S569" s="4"/>
      <c r="T569" s="4"/>
      <c r="U569" s="4"/>
    </row>
    <row r="570" spans="2:21" ht="26.15" hidden="1" customHeight="1">
      <c r="B570" s="2">
        <v>568</v>
      </c>
      <c r="C570" s="3">
        <v>42670</v>
      </c>
      <c r="D570" s="20">
        <v>2016</v>
      </c>
      <c r="E570" s="4" t="s">
        <v>109</v>
      </c>
      <c r="F570" s="5">
        <v>732883</v>
      </c>
      <c r="G570" s="4" t="s">
        <v>2259</v>
      </c>
      <c r="H570" s="4" t="s">
        <v>2260</v>
      </c>
      <c r="I570" s="4"/>
      <c r="J570" s="4"/>
      <c r="K570" s="4"/>
      <c r="L570" s="2">
        <v>1998</v>
      </c>
      <c r="M570" s="4" t="s">
        <v>181</v>
      </c>
      <c r="N570" s="5">
        <v>732883</v>
      </c>
      <c r="O570" s="4" t="s">
        <v>2261</v>
      </c>
      <c r="P570" s="4" t="s">
        <v>2262</v>
      </c>
      <c r="Q570" s="4"/>
      <c r="R570" s="4"/>
      <c r="S570" s="4"/>
      <c r="T570" s="4"/>
      <c r="U570" s="4"/>
    </row>
    <row r="571" spans="2:21" ht="26.15" hidden="1" customHeight="1">
      <c r="B571" s="2">
        <v>569</v>
      </c>
      <c r="C571" s="3">
        <v>42669</v>
      </c>
      <c r="D571" s="20">
        <v>2016</v>
      </c>
      <c r="E571" s="4" t="s">
        <v>34</v>
      </c>
      <c r="F571" s="5">
        <v>1100000</v>
      </c>
      <c r="G571" s="4" t="s">
        <v>452</v>
      </c>
      <c r="H571" s="4" t="s">
        <v>453</v>
      </c>
      <c r="I571" s="4" t="s">
        <v>2263</v>
      </c>
      <c r="J571" s="4"/>
      <c r="K571" s="4" t="s">
        <v>2264</v>
      </c>
      <c r="L571" s="2">
        <v>2016</v>
      </c>
      <c r="M571" s="4" t="s">
        <v>455</v>
      </c>
      <c r="N571" s="5">
        <v>28150000</v>
      </c>
      <c r="O571" s="4" t="s">
        <v>456</v>
      </c>
      <c r="P571" s="4" t="s">
        <v>457</v>
      </c>
      <c r="Q571" s="4"/>
      <c r="R571" s="4"/>
      <c r="S571" s="4"/>
      <c r="T571" s="4"/>
      <c r="U571" s="4"/>
    </row>
    <row r="572" spans="2:21" ht="26.15" hidden="1" customHeight="1">
      <c r="B572" s="2">
        <v>570</v>
      </c>
      <c r="C572" s="3">
        <v>42660</v>
      </c>
      <c r="D572" s="20">
        <v>2016</v>
      </c>
      <c r="E572" s="4" t="s">
        <v>124</v>
      </c>
      <c r="F572" s="5">
        <v>66459</v>
      </c>
      <c r="G572" s="4" t="s">
        <v>2157</v>
      </c>
      <c r="H572" s="4" t="s">
        <v>2158</v>
      </c>
      <c r="I572" s="4"/>
      <c r="J572" s="4" t="s">
        <v>2265</v>
      </c>
      <c r="K572" s="4" t="s">
        <v>2266</v>
      </c>
      <c r="L572" s="2">
        <v>2014</v>
      </c>
      <c r="M572" s="4" t="s">
        <v>79</v>
      </c>
      <c r="N572" s="5">
        <v>239863</v>
      </c>
      <c r="O572" s="4" t="s">
        <v>2161</v>
      </c>
      <c r="P572" s="4" t="s">
        <v>2162</v>
      </c>
      <c r="Q572" s="4"/>
      <c r="R572" s="4"/>
      <c r="S572" s="4"/>
      <c r="T572" s="4"/>
      <c r="U572" s="4"/>
    </row>
    <row r="573" spans="2:21" ht="26.15" customHeight="1">
      <c r="B573" s="2">
        <v>571</v>
      </c>
      <c r="C573" s="3">
        <v>42656</v>
      </c>
      <c r="D573" s="20">
        <v>2016</v>
      </c>
      <c r="E573" s="4" t="s">
        <v>34</v>
      </c>
      <c r="F573" s="5">
        <v>2000000</v>
      </c>
      <c r="G573" s="4" t="s">
        <v>1045</v>
      </c>
      <c r="H573" s="4" t="s">
        <v>1046</v>
      </c>
      <c r="I573" s="4" t="s">
        <v>2267</v>
      </c>
      <c r="J573" s="4" t="s">
        <v>2268</v>
      </c>
      <c r="K573" s="4" t="s">
        <v>2269</v>
      </c>
      <c r="L573" s="2">
        <v>2016</v>
      </c>
      <c r="M573" s="4" t="s">
        <v>369</v>
      </c>
      <c r="N573" s="5">
        <v>9004795</v>
      </c>
      <c r="O573" s="4" t="s">
        <v>1050</v>
      </c>
      <c r="P573" s="4" t="s">
        <v>1051</v>
      </c>
      <c r="Q573" s="4"/>
      <c r="R573" s="4"/>
      <c r="S573" s="4"/>
      <c r="T573" s="4"/>
      <c r="U573" s="4"/>
    </row>
    <row r="574" spans="2:21" ht="26.15" hidden="1" customHeight="1">
      <c r="B574" s="2">
        <v>572</v>
      </c>
      <c r="C574" s="3">
        <v>42652</v>
      </c>
      <c r="D574" s="20">
        <v>2016</v>
      </c>
      <c r="E574" s="4" t="s">
        <v>34</v>
      </c>
      <c r="F574" s="5" t="s">
        <v>50</v>
      </c>
      <c r="G574" s="4" t="s">
        <v>2157</v>
      </c>
      <c r="H574" s="4" t="s">
        <v>2158</v>
      </c>
      <c r="I574" s="4" t="s">
        <v>2270</v>
      </c>
      <c r="J574" s="4"/>
      <c r="K574" s="4"/>
      <c r="L574" s="2">
        <v>2014</v>
      </c>
      <c r="M574" s="4" t="s">
        <v>79</v>
      </c>
      <c r="N574" s="5">
        <v>239863</v>
      </c>
      <c r="O574" s="4" t="s">
        <v>2161</v>
      </c>
      <c r="P574" s="4" t="s">
        <v>2162</v>
      </c>
      <c r="Q574" s="4"/>
      <c r="R574" s="4"/>
      <c r="S574" s="4"/>
      <c r="T574" s="4"/>
      <c r="U574" s="4"/>
    </row>
    <row r="575" spans="2:21" ht="26.15" hidden="1" customHeight="1">
      <c r="B575" s="2">
        <v>573</v>
      </c>
      <c r="C575" s="3">
        <v>42650</v>
      </c>
      <c r="D575" s="20">
        <v>2016</v>
      </c>
      <c r="E575" s="4" t="s">
        <v>34</v>
      </c>
      <c r="F575" s="5">
        <v>50000</v>
      </c>
      <c r="G575" s="4" t="s">
        <v>2073</v>
      </c>
      <c r="H575" s="4" t="s">
        <v>2074</v>
      </c>
      <c r="I575" s="4"/>
      <c r="J575" s="4"/>
      <c r="K575" s="4"/>
      <c r="L575" s="2">
        <v>2015</v>
      </c>
      <c r="M575" s="4" t="s">
        <v>2075</v>
      </c>
      <c r="N575" s="5">
        <v>170000</v>
      </c>
      <c r="O575" s="4" t="s">
        <v>2076</v>
      </c>
      <c r="P575" s="4" t="s">
        <v>2077</v>
      </c>
      <c r="Q575" s="4"/>
      <c r="R575" s="4"/>
      <c r="S575" s="4"/>
      <c r="T575" s="4"/>
      <c r="U575" s="4"/>
    </row>
    <row r="576" spans="2:21" ht="26.15" hidden="1" customHeight="1">
      <c r="B576" s="2">
        <v>574</v>
      </c>
      <c r="C576" s="3">
        <v>42649</v>
      </c>
      <c r="D576" s="20">
        <v>2016</v>
      </c>
      <c r="E576" s="4" t="s">
        <v>289</v>
      </c>
      <c r="F576" s="5">
        <v>500000000</v>
      </c>
      <c r="G576" s="4" t="s">
        <v>1407</v>
      </c>
      <c r="H576" s="4" t="s">
        <v>1408</v>
      </c>
      <c r="I576" s="4"/>
      <c r="J576" s="4"/>
      <c r="K576" s="4"/>
      <c r="L576" s="2">
        <v>1969</v>
      </c>
      <c r="M576" s="4" t="s">
        <v>313</v>
      </c>
      <c r="N576" s="5"/>
      <c r="O576" s="4" t="s">
        <v>1409</v>
      </c>
      <c r="P576" s="4" t="s">
        <v>672</v>
      </c>
      <c r="Q576" s="4"/>
      <c r="R576" s="4"/>
      <c r="S576" s="4"/>
      <c r="T576" s="4"/>
      <c r="U576" s="4"/>
    </row>
    <row r="577" spans="2:21" ht="26.15" hidden="1" customHeight="1">
      <c r="B577" s="2">
        <v>575</v>
      </c>
      <c r="C577" s="3">
        <v>42646</v>
      </c>
      <c r="D577" s="20">
        <v>2016</v>
      </c>
      <c r="E577" s="4" t="s">
        <v>34</v>
      </c>
      <c r="F577" s="5">
        <v>418508</v>
      </c>
      <c r="G577" s="4" t="s">
        <v>2271</v>
      </c>
      <c r="H577" s="4" t="s">
        <v>2272</v>
      </c>
      <c r="I577" s="4" t="s">
        <v>2273</v>
      </c>
      <c r="J577" s="4" t="s">
        <v>2274</v>
      </c>
      <c r="K577" s="4" t="s">
        <v>2275</v>
      </c>
      <c r="L577" s="2">
        <v>2015</v>
      </c>
      <c r="M577" s="4" t="s">
        <v>313</v>
      </c>
      <c r="N577" s="5">
        <v>793956</v>
      </c>
      <c r="O577" s="4" t="s">
        <v>2276</v>
      </c>
      <c r="P577" s="4" t="s">
        <v>2277</v>
      </c>
      <c r="Q577" s="4"/>
      <c r="R577" s="4"/>
      <c r="S577" s="4"/>
      <c r="T577" s="4"/>
      <c r="U577" s="4"/>
    </row>
    <row r="578" spans="2:21" ht="26.15" hidden="1" customHeight="1">
      <c r="B578" s="2">
        <v>576</v>
      </c>
      <c r="C578" s="3">
        <v>42646</v>
      </c>
      <c r="D578" s="20">
        <v>2016</v>
      </c>
      <c r="E578" s="4" t="s">
        <v>124</v>
      </c>
      <c r="F578" s="5">
        <v>82292</v>
      </c>
      <c r="G578" s="4" t="s">
        <v>878</v>
      </c>
      <c r="H578" s="4" t="s">
        <v>879</v>
      </c>
      <c r="I578" s="4"/>
      <c r="J578" s="4" t="s">
        <v>2278</v>
      </c>
      <c r="K578" s="4" t="s">
        <v>2278</v>
      </c>
      <c r="L578" s="2">
        <v>2015</v>
      </c>
      <c r="M578" s="4" t="s">
        <v>56</v>
      </c>
      <c r="N578" s="5">
        <v>9059375</v>
      </c>
      <c r="O578" s="4" t="s">
        <v>883</v>
      </c>
      <c r="P578" s="4" t="s">
        <v>884</v>
      </c>
      <c r="Q578" s="4"/>
      <c r="R578" s="4"/>
      <c r="S578" s="4"/>
      <c r="T578" s="4"/>
      <c r="U578" s="4"/>
    </row>
    <row r="579" spans="2:21" ht="26.15" hidden="1" customHeight="1">
      <c r="B579" s="2">
        <v>577</v>
      </c>
      <c r="C579" s="3">
        <v>42644</v>
      </c>
      <c r="D579" s="20">
        <v>2016</v>
      </c>
      <c r="E579" s="4" t="s">
        <v>184</v>
      </c>
      <c r="F579" s="5">
        <v>89822</v>
      </c>
      <c r="G579" s="4" t="s">
        <v>1239</v>
      </c>
      <c r="H579" s="4" t="s">
        <v>1240</v>
      </c>
      <c r="I579" s="4" t="s">
        <v>907</v>
      </c>
      <c r="J579" s="4"/>
      <c r="K579" s="4"/>
      <c r="L579" s="2">
        <v>2016</v>
      </c>
      <c r="M579" s="4" t="s">
        <v>1243</v>
      </c>
      <c r="N579" s="5">
        <v>4352191</v>
      </c>
      <c r="O579" s="4" t="s">
        <v>1244</v>
      </c>
      <c r="P579" s="4" t="s">
        <v>1245</v>
      </c>
      <c r="Q579" s="4"/>
      <c r="R579" s="4"/>
      <c r="S579" s="4"/>
      <c r="T579" s="4"/>
      <c r="U579" s="4"/>
    </row>
    <row r="580" spans="2:21" ht="26.15" hidden="1" customHeight="1">
      <c r="B580" s="2">
        <v>578</v>
      </c>
      <c r="C580" s="3">
        <v>42643</v>
      </c>
      <c r="D580" s="20">
        <v>2016</v>
      </c>
      <c r="E580" s="4" t="s">
        <v>34</v>
      </c>
      <c r="F580" s="5">
        <v>50000</v>
      </c>
      <c r="G580" s="4" t="s">
        <v>2279</v>
      </c>
      <c r="H580" s="4" t="s">
        <v>2280</v>
      </c>
      <c r="I580" s="4" t="s">
        <v>1369</v>
      </c>
      <c r="J580" s="4"/>
      <c r="K580" s="4" t="s">
        <v>1370</v>
      </c>
      <c r="L580" s="2">
        <v>2016</v>
      </c>
      <c r="M580" s="4" t="s">
        <v>1285</v>
      </c>
      <c r="N580" s="5">
        <v>50000</v>
      </c>
      <c r="O580" s="4" t="s">
        <v>2281</v>
      </c>
      <c r="P580" s="4" t="s">
        <v>2282</v>
      </c>
      <c r="Q580" s="4"/>
      <c r="R580" s="4"/>
      <c r="S580" s="4"/>
      <c r="T580" s="4"/>
      <c r="U580" s="4"/>
    </row>
    <row r="581" spans="2:21" ht="26.15" hidden="1" customHeight="1">
      <c r="B581" s="2">
        <v>579</v>
      </c>
      <c r="C581" s="3">
        <v>42641</v>
      </c>
      <c r="D581" s="20">
        <v>2016</v>
      </c>
      <c r="E581" s="4" t="s">
        <v>34</v>
      </c>
      <c r="F581" s="5">
        <v>1000000</v>
      </c>
      <c r="G581" s="4" t="s">
        <v>507</v>
      </c>
      <c r="H581" s="4" t="s">
        <v>508</v>
      </c>
      <c r="I581" s="4" t="s">
        <v>2283</v>
      </c>
      <c r="J581" s="4"/>
      <c r="K581" s="4"/>
      <c r="L581" s="2">
        <v>2014</v>
      </c>
      <c r="M581" s="4" t="s">
        <v>47</v>
      </c>
      <c r="N581" s="5">
        <v>1000000</v>
      </c>
      <c r="O581" s="4" t="s">
        <v>510</v>
      </c>
      <c r="P581" s="4" t="s">
        <v>511</v>
      </c>
      <c r="Q581" s="4"/>
      <c r="R581" s="4"/>
      <c r="S581" s="4"/>
      <c r="T581" s="4"/>
      <c r="U581" s="4"/>
    </row>
    <row r="582" spans="2:21" ht="26.15" hidden="1" customHeight="1">
      <c r="B582" s="2">
        <v>580</v>
      </c>
      <c r="C582" s="3">
        <v>42634</v>
      </c>
      <c r="D582" s="20">
        <v>2016</v>
      </c>
      <c r="E582" s="4" t="s">
        <v>34</v>
      </c>
      <c r="F582" s="5">
        <v>446647</v>
      </c>
      <c r="G582" s="4" t="s">
        <v>2284</v>
      </c>
      <c r="H582" s="4" t="s">
        <v>2285</v>
      </c>
      <c r="I582" s="4"/>
      <c r="J582" s="4"/>
      <c r="K582" s="4"/>
      <c r="L582" s="2">
        <v>2015</v>
      </c>
      <c r="M582" s="4" t="s">
        <v>47</v>
      </c>
      <c r="N582" s="5">
        <v>446647</v>
      </c>
      <c r="O582" s="4" t="s">
        <v>2286</v>
      </c>
      <c r="P582" s="4" t="s">
        <v>2287</v>
      </c>
      <c r="Q582" s="4"/>
      <c r="R582" s="4"/>
      <c r="S582" s="4"/>
      <c r="T582" s="4"/>
      <c r="U582" s="4"/>
    </row>
    <row r="583" spans="2:21" ht="26.15" hidden="1" customHeight="1">
      <c r="B583" s="2">
        <v>581</v>
      </c>
      <c r="C583" s="3">
        <v>42622</v>
      </c>
      <c r="D583" s="20">
        <v>2016</v>
      </c>
      <c r="E583" s="4" t="s">
        <v>124</v>
      </c>
      <c r="F583" s="5">
        <v>37553</v>
      </c>
      <c r="G583" s="4" t="s">
        <v>1448</v>
      </c>
      <c r="H583" s="4" t="s">
        <v>1449</v>
      </c>
      <c r="I583" s="4"/>
      <c r="J583" s="4"/>
      <c r="K583" s="4"/>
      <c r="L583" s="2">
        <v>2016</v>
      </c>
      <c r="M583" s="4" t="s">
        <v>1450</v>
      </c>
      <c r="N583" s="5">
        <v>114859</v>
      </c>
      <c r="O583" s="4" t="s">
        <v>1451</v>
      </c>
      <c r="P583" s="4" t="s">
        <v>1452</v>
      </c>
      <c r="Q583" s="4"/>
      <c r="R583" s="4"/>
      <c r="S583" s="4"/>
      <c r="T583" s="4"/>
      <c r="U583" s="4"/>
    </row>
    <row r="584" spans="2:21" ht="26.15" hidden="1" customHeight="1">
      <c r="B584" s="2">
        <v>582</v>
      </c>
      <c r="C584" s="3">
        <v>42620</v>
      </c>
      <c r="D584" s="20">
        <v>2016</v>
      </c>
      <c r="E584" s="4" t="s">
        <v>34</v>
      </c>
      <c r="F584" s="5">
        <v>50000</v>
      </c>
      <c r="G584" s="4" t="s">
        <v>2288</v>
      </c>
      <c r="H584" s="4" t="s">
        <v>2288</v>
      </c>
      <c r="I584" s="4" t="s">
        <v>1369</v>
      </c>
      <c r="J584" s="4"/>
      <c r="K584" s="4"/>
      <c r="L584" s="2">
        <v>2016</v>
      </c>
      <c r="M584" s="4" t="s">
        <v>1285</v>
      </c>
      <c r="N584" s="5">
        <v>50000</v>
      </c>
      <c r="O584" s="4" t="s">
        <v>2289</v>
      </c>
      <c r="P584" s="4" t="s">
        <v>265</v>
      </c>
      <c r="Q584" s="4"/>
      <c r="R584" s="4"/>
      <c r="S584" s="4"/>
      <c r="T584" s="4"/>
      <c r="U584" s="4"/>
    </row>
    <row r="585" spans="2:21" ht="26.15" hidden="1" customHeight="1">
      <c r="B585" s="2">
        <v>583</v>
      </c>
      <c r="C585" s="3">
        <v>42614</v>
      </c>
      <c r="D585" s="20">
        <v>2016</v>
      </c>
      <c r="E585" s="4" t="s">
        <v>34</v>
      </c>
      <c r="F585" s="5" t="s">
        <v>50</v>
      </c>
      <c r="G585" s="4" t="s">
        <v>878</v>
      </c>
      <c r="H585" s="4" t="s">
        <v>879</v>
      </c>
      <c r="I585" s="4"/>
      <c r="J585" s="4"/>
      <c r="K585" s="4"/>
      <c r="L585" s="2">
        <v>2015</v>
      </c>
      <c r="M585" s="4" t="s">
        <v>56</v>
      </c>
      <c r="N585" s="5">
        <v>9059375</v>
      </c>
      <c r="O585" s="4" t="s">
        <v>883</v>
      </c>
      <c r="P585" s="4" t="s">
        <v>884</v>
      </c>
      <c r="Q585" s="4" t="s">
        <v>2097</v>
      </c>
      <c r="R585" s="4"/>
      <c r="S585" s="4"/>
      <c r="T585" s="4"/>
      <c r="U585" s="4"/>
    </row>
    <row r="586" spans="2:21" ht="26.15" hidden="1" customHeight="1">
      <c r="B586" s="2">
        <v>584</v>
      </c>
      <c r="C586" s="3">
        <v>42614</v>
      </c>
      <c r="D586" s="20">
        <v>2016</v>
      </c>
      <c r="E586" s="4" t="s">
        <v>25</v>
      </c>
      <c r="F586" s="5" t="s">
        <v>50</v>
      </c>
      <c r="G586" s="4" t="s">
        <v>2290</v>
      </c>
      <c r="H586" s="4" t="s">
        <v>2291</v>
      </c>
      <c r="I586" s="4"/>
      <c r="J586" s="4"/>
      <c r="K586" s="4"/>
      <c r="L586" s="2">
        <v>2012</v>
      </c>
      <c r="M586" s="4" t="s">
        <v>2292</v>
      </c>
      <c r="N586" s="5"/>
      <c r="O586" s="4" t="s">
        <v>2293</v>
      </c>
      <c r="P586" s="4" t="s">
        <v>2294</v>
      </c>
      <c r="Q586" s="4"/>
      <c r="R586" s="4"/>
      <c r="S586" s="4"/>
      <c r="T586" s="4"/>
      <c r="U586" s="4"/>
    </row>
    <row r="587" spans="2:21" ht="26.15" hidden="1" customHeight="1">
      <c r="B587" s="2">
        <v>585</v>
      </c>
      <c r="C587" s="3">
        <v>42614</v>
      </c>
      <c r="D587" s="20">
        <v>2016</v>
      </c>
      <c r="E587" s="4" t="s">
        <v>109</v>
      </c>
      <c r="F587" s="5" t="s">
        <v>50</v>
      </c>
      <c r="G587" s="4" t="s">
        <v>1728</v>
      </c>
      <c r="H587" s="4" t="s">
        <v>1729</v>
      </c>
      <c r="I587" s="4" t="s">
        <v>2295</v>
      </c>
      <c r="J587" s="4"/>
      <c r="K587" s="4"/>
      <c r="L587" s="2">
        <v>2015</v>
      </c>
      <c r="M587" s="4" t="s">
        <v>1732</v>
      </c>
      <c r="N587" s="5"/>
      <c r="O587" s="4" t="s">
        <v>1733</v>
      </c>
      <c r="P587" s="4" t="s">
        <v>1734</v>
      </c>
      <c r="Q587" s="4"/>
      <c r="R587" s="4"/>
      <c r="S587" s="4"/>
      <c r="T587" s="4"/>
      <c r="U587" s="4"/>
    </row>
    <row r="588" spans="2:21" ht="26.15" hidden="1" customHeight="1">
      <c r="B588" s="2">
        <v>586</v>
      </c>
      <c r="C588" s="3">
        <v>42607</v>
      </c>
      <c r="D588" s="20">
        <v>2016</v>
      </c>
      <c r="E588" s="4" t="s">
        <v>109</v>
      </c>
      <c r="F588" s="5" t="s">
        <v>50</v>
      </c>
      <c r="G588" s="4" t="s">
        <v>473</v>
      </c>
      <c r="H588" s="4" t="s">
        <v>474</v>
      </c>
      <c r="I588" s="4" t="s">
        <v>2296</v>
      </c>
      <c r="J588" s="4"/>
      <c r="K588" s="4" t="s">
        <v>2297</v>
      </c>
      <c r="L588" s="2">
        <v>2014</v>
      </c>
      <c r="M588" s="4" t="s">
        <v>39</v>
      </c>
      <c r="N588" s="5">
        <v>46450000</v>
      </c>
      <c r="O588" s="4" t="s">
        <v>475</v>
      </c>
      <c r="P588" s="4" t="s">
        <v>476</v>
      </c>
      <c r="Q588" s="4"/>
      <c r="R588" s="4"/>
      <c r="S588" s="4"/>
      <c r="T588" s="4"/>
      <c r="U588" s="4"/>
    </row>
    <row r="589" spans="2:21" ht="26.15" hidden="1" customHeight="1">
      <c r="B589" s="2">
        <v>587</v>
      </c>
      <c r="C589" s="3">
        <v>42605</v>
      </c>
      <c r="D589" s="20">
        <v>2016</v>
      </c>
      <c r="E589" s="4" t="s">
        <v>34</v>
      </c>
      <c r="F589" s="5">
        <v>300000</v>
      </c>
      <c r="G589" s="4" t="s">
        <v>2298</v>
      </c>
      <c r="H589" s="4" t="s">
        <v>2299</v>
      </c>
      <c r="I589" s="4" t="s">
        <v>2300</v>
      </c>
      <c r="J589" s="4"/>
      <c r="K589" s="4" t="s">
        <v>2301</v>
      </c>
      <c r="L589" s="2">
        <v>2016</v>
      </c>
      <c r="M589" s="4" t="s">
        <v>2302</v>
      </c>
      <c r="N589" s="5">
        <v>300000</v>
      </c>
      <c r="O589" s="4" t="s">
        <v>2303</v>
      </c>
      <c r="P589" s="4" t="s">
        <v>2304</v>
      </c>
      <c r="Q589" s="4"/>
      <c r="R589" s="4"/>
      <c r="S589" s="4"/>
      <c r="T589" s="4"/>
      <c r="U589" s="4"/>
    </row>
    <row r="590" spans="2:21" ht="26.15" hidden="1" customHeight="1">
      <c r="B590" s="2">
        <v>588</v>
      </c>
      <c r="C590" s="3">
        <v>42601</v>
      </c>
      <c r="D590" s="20">
        <v>2016</v>
      </c>
      <c r="E590" s="4" t="s">
        <v>34</v>
      </c>
      <c r="F590" s="5" t="s">
        <v>50</v>
      </c>
      <c r="G590" s="4" t="s">
        <v>1990</v>
      </c>
      <c r="H590" s="4" t="s">
        <v>1991</v>
      </c>
      <c r="I590" s="4" t="s">
        <v>652</v>
      </c>
      <c r="J590" s="4"/>
      <c r="K590" s="4"/>
      <c r="L590" s="2">
        <v>2014</v>
      </c>
      <c r="M590" s="4" t="s">
        <v>79</v>
      </c>
      <c r="N590" s="5"/>
      <c r="O590" s="4" t="s">
        <v>1992</v>
      </c>
      <c r="P590" s="4" t="s">
        <v>1993</v>
      </c>
      <c r="Q590" s="4"/>
      <c r="R590" s="4"/>
      <c r="S590" s="4"/>
      <c r="T590" s="4"/>
      <c r="U590" s="4"/>
    </row>
    <row r="591" spans="2:21" ht="26.15" hidden="1" customHeight="1">
      <c r="B591" s="2">
        <v>589</v>
      </c>
      <c r="C591" s="3">
        <v>42601</v>
      </c>
      <c r="D591" s="20">
        <v>2016</v>
      </c>
      <c r="E591" s="4" t="s">
        <v>34</v>
      </c>
      <c r="F591" s="5">
        <v>298912</v>
      </c>
      <c r="G591" s="4" t="s">
        <v>1685</v>
      </c>
      <c r="H591" s="4" t="s">
        <v>1686</v>
      </c>
      <c r="I591" s="4" t="s">
        <v>2305</v>
      </c>
      <c r="J591" s="4" t="s">
        <v>2306</v>
      </c>
      <c r="K591" s="4" t="s">
        <v>2307</v>
      </c>
      <c r="L591" s="2">
        <v>2013</v>
      </c>
      <c r="M591" s="4" t="s">
        <v>79</v>
      </c>
      <c r="N591" s="5">
        <v>2257449</v>
      </c>
      <c r="O591" s="4" t="s">
        <v>1690</v>
      </c>
      <c r="P591" s="4" t="s">
        <v>1691</v>
      </c>
      <c r="Q591" s="4"/>
      <c r="R591" s="4"/>
      <c r="S591" s="4"/>
      <c r="T591" s="4"/>
      <c r="U591" s="4"/>
    </row>
    <row r="592" spans="2:21" ht="26.15" customHeight="1">
      <c r="B592" s="2">
        <v>590</v>
      </c>
      <c r="C592" s="3">
        <v>42598</v>
      </c>
      <c r="D592" s="20">
        <v>2016</v>
      </c>
      <c r="E592" s="4" t="s">
        <v>34</v>
      </c>
      <c r="F592" s="5" t="s">
        <v>50</v>
      </c>
      <c r="G592" s="4" t="s">
        <v>426</v>
      </c>
      <c r="H592" s="4" t="s">
        <v>427</v>
      </c>
      <c r="I592" s="4" t="s">
        <v>2308</v>
      </c>
      <c r="J592" s="4"/>
      <c r="K592" s="4"/>
      <c r="L592" s="2">
        <v>2014</v>
      </c>
      <c r="M592" s="4" t="s">
        <v>173</v>
      </c>
      <c r="N592" s="5">
        <v>5000000</v>
      </c>
      <c r="O592" s="4" t="s">
        <v>430</v>
      </c>
      <c r="P592" s="4" t="s">
        <v>431</v>
      </c>
      <c r="Q592" s="4"/>
      <c r="R592" s="4"/>
      <c r="S592" s="4"/>
      <c r="T592" s="4"/>
      <c r="U592" s="4"/>
    </row>
    <row r="593" spans="2:21" ht="26.15" hidden="1" customHeight="1">
      <c r="B593" s="2">
        <v>591</v>
      </c>
      <c r="C593" s="3">
        <v>42592</v>
      </c>
      <c r="D593" s="20">
        <v>2016</v>
      </c>
      <c r="E593" s="4" t="s">
        <v>34</v>
      </c>
      <c r="F593" s="5">
        <v>149160</v>
      </c>
      <c r="G593" s="4" t="s">
        <v>878</v>
      </c>
      <c r="H593" s="4" t="s">
        <v>879</v>
      </c>
      <c r="I593" s="4"/>
      <c r="J593" s="4"/>
      <c r="K593" s="4"/>
      <c r="L593" s="2">
        <v>2015</v>
      </c>
      <c r="M593" s="4" t="s">
        <v>56</v>
      </c>
      <c r="N593" s="5">
        <v>9059375</v>
      </c>
      <c r="O593" s="4" t="s">
        <v>883</v>
      </c>
      <c r="P593" s="4" t="s">
        <v>884</v>
      </c>
      <c r="Q593" s="4"/>
      <c r="R593" s="4"/>
      <c r="S593" s="4"/>
      <c r="T593" s="4"/>
      <c r="U593" s="4"/>
    </row>
    <row r="594" spans="2:21" ht="26.15" hidden="1" customHeight="1">
      <c r="B594" s="2">
        <v>592</v>
      </c>
      <c r="C594" s="3">
        <v>42590</v>
      </c>
      <c r="D594" s="20">
        <v>2016</v>
      </c>
      <c r="E594" s="4" t="s">
        <v>1309</v>
      </c>
      <c r="F594" s="5">
        <v>15019200</v>
      </c>
      <c r="G594" s="4" t="s">
        <v>2309</v>
      </c>
      <c r="H594" s="4" t="s">
        <v>2310</v>
      </c>
      <c r="I594" s="4" t="s">
        <v>2311</v>
      </c>
      <c r="J594" s="4"/>
      <c r="K594" s="4"/>
      <c r="L594" s="2">
        <v>2009</v>
      </c>
      <c r="M594" s="4" t="s">
        <v>1732</v>
      </c>
      <c r="N594" s="5">
        <v>204990000</v>
      </c>
      <c r="O594" s="4" t="s">
        <v>2312</v>
      </c>
      <c r="P594" s="4" t="s">
        <v>2313</v>
      </c>
      <c r="Q594" s="4"/>
      <c r="R594" s="4"/>
      <c r="S594" s="4"/>
      <c r="T594" s="4"/>
      <c r="U594" s="4"/>
    </row>
    <row r="595" spans="2:21" ht="26.15" hidden="1" customHeight="1">
      <c r="B595" s="2">
        <v>593</v>
      </c>
      <c r="C595" s="3">
        <v>42583</v>
      </c>
      <c r="D595" s="20">
        <v>2016</v>
      </c>
      <c r="E595" s="4" t="s">
        <v>109</v>
      </c>
      <c r="F595" s="5">
        <v>1420730</v>
      </c>
      <c r="G595" s="4" t="s">
        <v>1330</v>
      </c>
      <c r="H595" s="4" t="s">
        <v>1331</v>
      </c>
      <c r="I595" s="4" t="s">
        <v>2314</v>
      </c>
      <c r="J595" s="4"/>
      <c r="K595" s="4"/>
      <c r="L595" s="2">
        <v>2010</v>
      </c>
      <c r="M595" s="4" t="s">
        <v>79</v>
      </c>
      <c r="N595" s="5">
        <v>15568800</v>
      </c>
      <c r="O595" s="4" t="s">
        <v>1334</v>
      </c>
      <c r="P595" s="4" t="s">
        <v>1335</v>
      </c>
      <c r="Q595" s="4"/>
      <c r="R595" s="4"/>
      <c r="S595" s="4"/>
      <c r="T595" s="4"/>
      <c r="U595" s="4"/>
    </row>
    <row r="596" spans="2:21" ht="26.15" hidden="1" customHeight="1">
      <c r="B596" s="2">
        <v>594</v>
      </c>
      <c r="C596" s="3">
        <v>42579</v>
      </c>
      <c r="D596" s="20">
        <v>2016</v>
      </c>
      <c r="E596" s="4" t="s">
        <v>34</v>
      </c>
      <c r="F596" s="5">
        <v>89088</v>
      </c>
      <c r="G596" s="4" t="s">
        <v>2315</v>
      </c>
      <c r="H596" s="4" t="s">
        <v>2316</v>
      </c>
      <c r="I596" s="4" t="s">
        <v>1466</v>
      </c>
      <c r="J596" s="4"/>
      <c r="K596" s="4" t="s">
        <v>1467</v>
      </c>
      <c r="L596" s="2">
        <v>2011</v>
      </c>
      <c r="M596" s="4" t="s">
        <v>188</v>
      </c>
      <c r="N596" s="5">
        <v>89088</v>
      </c>
      <c r="O596" s="4" t="s">
        <v>2317</v>
      </c>
      <c r="P596" s="4" t="s">
        <v>2318</v>
      </c>
      <c r="Q596" s="4"/>
      <c r="R596" s="4"/>
      <c r="S596" s="4"/>
      <c r="T596" s="4"/>
      <c r="U596" s="4"/>
    </row>
    <row r="597" spans="2:21" ht="26.15" hidden="1" customHeight="1">
      <c r="B597" s="2">
        <v>595</v>
      </c>
      <c r="C597" s="3">
        <v>42578</v>
      </c>
      <c r="D597" s="20">
        <v>2016</v>
      </c>
      <c r="E597" s="4" t="s">
        <v>184</v>
      </c>
      <c r="F597" s="5">
        <v>867788</v>
      </c>
      <c r="G597" s="4" t="s">
        <v>2319</v>
      </c>
      <c r="H597" s="4" t="s">
        <v>2320</v>
      </c>
      <c r="I597" s="4" t="s">
        <v>2321</v>
      </c>
      <c r="J597" s="4"/>
      <c r="K597" s="4"/>
      <c r="L597" s="2">
        <v>2007</v>
      </c>
      <c r="M597" s="4" t="s">
        <v>1285</v>
      </c>
      <c r="N597" s="5">
        <v>2750000</v>
      </c>
      <c r="O597" s="4" t="s">
        <v>2322</v>
      </c>
      <c r="P597" s="4" t="s">
        <v>2323</v>
      </c>
      <c r="Q597" s="4"/>
      <c r="R597" s="4"/>
      <c r="S597" s="4"/>
      <c r="T597" s="4"/>
      <c r="U597" s="4"/>
    </row>
    <row r="598" spans="2:21" ht="26.15" hidden="1" customHeight="1">
      <c r="B598" s="2">
        <v>596</v>
      </c>
      <c r="C598" s="3">
        <v>42572</v>
      </c>
      <c r="D598" s="20">
        <v>2016</v>
      </c>
      <c r="E598" s="4" t="s">
        <v>34</v>
      </c>
      <c r="F598" s="5" t="s">
        <v>50</v>
      </c>
      <c r="G598" s="4" t="s">
        <v>2324</v>
      </c>
      <c r="H598" s="4" t="s">
        <v>2325</v>
      </c>
      <c r="I598" s="4" t="s">
        <v>769</v>
      </c>
      <c r="J598" s="4"/>
      <c r="K598" s="4"/>
      <c r="L598" s="2">
        <v>2015</v>
      </c>
      <c r="M598" s="4" t="s">
        <v>2326</v>
      </c>
      <c r="N598" s="5"/>
      <c r="O598" s="4" t="s">
        <v>2327</v>
      </c>
      <c r="P598" s="4" t="s">
        <v>2328</v>
      </c>
      <c r="Q598" s="4"/>
      <c r="R598" s="4"/>
      <c r="S598" s="4"/>
      <c r="T598" s="4"/>
      <c r="U598" s="4"/>
    </row>
    <row r="599" spans="2:21" ht="26.15" hidden="1" customHeight="1">
      <c r="B599" s="2">
        <v>597</v>
      </c>
      <c r="C599" s="3">
        <v>42572</v>
      </c>
      <c r="D599" s="20">
        <v>2016</v>
      </c>
      <c r="E599" s="4" t="s">
        <v>34</v>
      </c>
      <c r="F599" s="5" t="s">
        <v>50</v>
      </c>
      <c r="G599" s="4" t="s">
        <v>2329</v>
      </c>
      <c r="H599" s="4" t="s">
        <v>2330</v>
      </c>
      <c r="I599" s="4" t="s">
        <v>2331</v>
      </c>
      <c r="J599" s="4"/>
      <c r="K599" s="4" t="s">
        <v>2332</v>
      </c>
      <c r="L599" s="2">
        <v>2015</v>
      </c>
      <c r="M599" s="4" t="s">
        <v>79</v>
      </c>
      <c r="N599" s="5">
        <v>89953</v>
      </c>
      <c r="O599" s="4" t="s">
        <v>2333</v>
      </c>
      <c r="P599" s="4" t="s">
        <v>2334</v>
      </c>
      <c r="Q599" s="4"/>
      <c r="R599" s="4"/>
      <c r="S599" s="4"/>
      <c r="T599" s="4"/>
      <c r="U599" s="4"/>
    </row>
    <row r="600" spans="2:21" ht="26.15" hidden="1" customHeight="1">
      <c r="B600" s="2">
        <v>598</v>
      </c>
      <c r="C600" s="3">
        <v>42571</v>
      </c>
      <c r="D600" s="20">
        <v>2016</v>
      </c>
      <c r="E600" s="4" t="s">
        <v>184</v>
      </c>
      <c r="F600" s="5">
        <v>21400</v>
      </c>
      <c r="G600" s="4" t="s">
        <v>2335</v>
      </c>
      <c r="H600" s="4" t="s">
        <v>2336</v>
      </c>
      <c r="I600" s="4" t="s">
        <v>2337</v>
      </c>
      <c r="J600" s="4"/>
      <c r="K600" s="4"/>
      <c r="L600" s="2">
        <v>2015</v>
      </c>
      <c r="M600" s="4" t="s">
        <v>2338</v>
      </c>
      <c r="N600" s="5"/>
      <c r="O600" s="4" t="s">
        <v>2339</v>
      </c>
      <c r="P600" s="4" t="s">
        <v>2340</v>
      </c>
      <c r="Q600" s="4"/>
      <c r="R600" s="4"/>
      <c r="S600" s="4"/>
      <c r="T600" s="4"/>
      <c r="U600" s="4"/>
    </row>
    <row r="601" spans="2:21" ht="26.15" hidden="1" customHeight="1">
      <c r="B601" s="2">
        <v>599</v>
      </c>
      <c r="C601" s="3">
        <v>42571</v>
      </c>
      <c r="D601" s="20">
        <v>2016</v>
      </c>
      <c r="E601" s="4" t="s">
        <v>109</v>
      </c>
      <c r="F601" s="5">
        <v>5971680</v>
      </c>
      <c r="G601" s="4" t="s">
        <v>2341</v>
      </c>
      <c r="H601" s="4" t="s">
        <v>2342</v>
      </c>
      <c r="I601" s="4" t="s">
        <v>2343</v>
      </c>
      <c r="J601" s="4"/>
      <c r="K601" s="4" t="s">
        <v>2344</v>
      </c>
      <c r="L601" s="2">
        <v>2015</v>
      </c>
      <c r="M601" s="4" t="s">
        <v>894</v>
      </c>
      <c r="N601" s="5">
        <v>5971680</v>
      </c>
      <c r="O601" s="4" t="s">
        <v>2345</v>
      </c>
      <c r="P601" s="4" t="s">
        <v>2346</v>
      </c>
      <c r="Q601" s="4"/>
      <c r="R601" s="4"/>
      <c r="S601" s="4"/>
      <c r="T601" s="4"/>
      <c r="U601" s="4"/>
    </row>
    <row r="602" spans="2:21" ht="26.15" hidden="1" customHeight="1">
      <c r="B602" s="2">
        <v>600</v>
      </c>
      <c r="C602" s="3">
        <v>42570</v>
      </c>
      <c r="D602" s="20">
        <v>2016</v>
      </c>
      <c r="E602" s="4" t="s">
        <v>109</v>
      </c>
      <c r="F602" s="5">
        <v>1200000</v>
      </c>
      <c r="G602" s="4" t="s">
        <v>2347</v>
      </c>
      <c r="H602" s="4" t="s">
        <v>2348</v>
      </c>
      <c r="I602" s="4" t="s">
        <v>2349</v>
      </c>
      <c r="J602" s="4"/>
      <c r="K602" s="4"/>
      <c r="L602" s="2">
        <v>2010</v>
      </c>
      <c r="M602" s="4" t="s">
        <v>1588</v>
      </c>
      <c r="N602" s="5">
        <v>2500000</v>
      </c>
      <c r="O602" s="4" t="s">
        <v>2350</v>
      </c>
      <c r="P602" s="4" t="s">
        <v>2351</v>
      </c>
      <c r="Q602" s="4"/>
      <c r="R602" s="4"/>
      <c r="S602" s="4"/>
      <c r="T602" s="4"/>
      <c r="U602" s="4"/>
    </row>
    <row r="603" spans="2:21" ht="26.15" customHeight="1">
      <c r="B603" s="2">
        <v>601</v>
      </c>
      <c r="C603" s="3">
        <v>42567</v>
      </c>
      <c r="D603" s="20">
        <v>2016</v>
      </c>
      <c r="E603" s="4" t="s">
        <v>109</v>
      </c>
      <c r="F603" s="5">
        <v>7000000</v>
      </c>
      <c r="G603" s="4" t="s">
        <v>2030</v>
      </c>
      <c r="H603" s="4" t="s">
        <v>2031</v>
      </c>
      <c r="I603" s="4" t="s">
        <v>2352</v>
      </c>
      <c r="J603" s="4"/>
      <c r="K603" s="4" t="s">
        <v>2353</v>
      </c>
      <c r="L603" s="2">
        <v>2013</v>
      </c>
      <c r="M603" s="4" t="s">
        <v>369</v>
      </c>
      <c r="N603" s="5">
        <v>22000000</v>
      </c>
      <c r="O603" s="4" t="s">
        <v>2034</v>
      </c>
      <c r="P603" s="4" t="s">
        <v>2035</v>
      </c>
      <c r="Q603" s="4"/>
      <c r="R603" s="4"/>
      <c r="S603" s="4"/>
      <c r="T603" s="4"/>
      <c r="U603" s="4"/>
    </row>
    <row r="604" spans="2:21" ht="26.15" hidden="1" customHeight="1">
      <c r="B604" s="2">
        <v>602</v>
      </c>
      <c r="C604" s="3">
        <v>42563</v>
      </c>
      <c r="D604" s="20">
        <v>2016</v>
      </c>
      <c r="E604" s="4" t="s">
        <v>34</v>
      </c>
      <c r="F604" s="5">
        <v>1960000</v>
      </c>
      <c r="G604" s="4" t="s">
        <v>74</v>
      </c>
      <c r="H604" s="4" t="s">
        <v>75</v>
      </c>
      <c r="I604" s="4" t="s">
        <v>2354</v>
      </c>
      <c r="J604" s="4"/>
      <c r="K604" s="4" t="s">
        <v>2355</v>
      </c>
      <c r="L604" s="2">
        <v>2015</v>
      </c>
      <c r="M604" s="4" t="s">
        <v>79</v>
      </c>
      <c r="N604" s="5">
        <v>36362460</v>
      </c>
      <c r="O604" s="4" t="s">
        <v>80</v>
      </c>
      <c r="P604" s="4" t="s">
        <v>81</v>
      </c>
      <c r="Q604" s="4"/>
      <c r="R604" s="4"/>
      <c r="S604" s="4"/>
      <c r="T604" s="4"/>
      <c r="U604" s="4"/>
    </row>
    <row r="605" spans="2:21" ht="26.15" hidden="1" customHeight="1">
      <c r="B605" s="2">
        <v>603</v>
      </c>
      <c r="C605" s="3">
        <v>42559</v>
      </c>
      <c r="D605" s="20">
        <v>2016</v>
      </c>
      <c r="E605" s="4" t="s">
        <v>34</v>
      </c>
      <c r="F605" s="5">
        <v>1500000</v>
      </c>
      <c r="G605" s="4" t="s">
        <v>160</v>
      </c>
      <c r="H605" s="4" t="s">
        <v>161</v>
      </c>
      <c r="I605" s="4" t="s">
        <v>2356</v>
      </c>
      <c r="J605" s="4" t="s">
        <v>2357</v>
      </c>
      <c r="K605" s="4" t="s">
        <v>2358</v>
      </c>
      <c r="L605" s="2">
        <v>2016</v>
      </c>
      <c r="M605" s="4" t="s">
        <v>128</v>
      </c>
      <c r="N605" s="5">
        <v>5866696</v>
      </c>
      <c r="O605" s="4" t="s">
        <v>164</v>
      </c>
      <c r="P605" s="4" t="s">
        <v>165</v>
      </c>
      <c r="Q605" s="4" t="s">
        <v>1264</v>
      </c>
      <c r="R605" s="4"/>
      <c r="S605" s="4"/>
      <c r="T605" s="4"/>
      <c r="U605" s="4"/>
    </row>
    <row r="606" spans="2:21" ht="26.15" hidden="1" customHeight="1">
      <c r="B606" s="2">
        <v>604</v>
      </c>
      <c r="C606" s="3">
        <v>42550</v>
      </c>
      <c r="D606" s="20">
        <v>2016</v>
      </c>
      <c r="E606" s="4" t="s">
        <v>109</v>
      </c>
      <c r="F606" s="5">
        <v>22500000</v>
      </c>
      <c r="G606" s="4" t="s">
        <v>2359</v>
      </c>
      <c r="H606" s="4" t="s">
        <v>2360</v>
      </c>
      <c r="I606" s="4"/>
      <c r="J606" s="4"/>
      <c r="K606" s="4"/>
      <c r="L606" s="2">
        <v>2014</v>
      </c>
      <c r="M606" s="4" t="s">
        <v>1528</v>
      </c>
      <c r="N606" s="5">
        <v>22500000</v>
      </c>
      <c r="O606" s="4" t="s">
        <v>2361</v>
      </c>
      <c r="P606" s="4" t="s">
        <v>2362</v>
      </c>
      <c r="Q606" s="4"/>
      <c r="R606" s="4"/>
      <c r="S606" s="4"/>
      <c r="T606" s="4"/>
      <c r="U606" s="4"/>
    </row>
    <row r="607" spans="2:21" ht="26.15" hidden="1" customHeight="1">
      <c r="B607" s="2">
        <v>605</v>
      </c>
      <c r="C607" s="3">
        <v>42545</v>
      </c>
      <c r="D607" s="20">
        <v>2016</v>
      </c>
      <c r="E607" s="4" t="s">
        <v>34</v>
      </c>
      <c r="F607" s="5" t="s">
        <v>50</v>
      </c>
      <c r="G607" s="4" t="s">
        <v>2363</v>
      </c>
      <c r="H607" s="4" t="s">
        <v>2364</v>
      </c>
      <c r="I607" s="4" t="s">
        <v>2365</v>
      </c>
      <c r="J607" s="4"/>
      <c r="K607" s="4" t="s">
        <v>2366</v>
      </c>
      <c r="L607" s="2">
        <v>2014</v>
      </c>
      <c r="M607" s="4" t="s">
        <v>960</v>
      </c>
      <c r="N607" s="5">
        <v>125000</v>
      </c>
      <c r="O607" s="4" t="s">
        <v>2367</v>
      </c>
      <c r="P607" s="4" t="s">
        <v>2368</v>
      </c>
      <c r="Q607" s="4"/>
      <c r="R607" s="4"/>
      <c r="S607" s="4"/>
      <c r="T607" s="4"/>
      <c r="U607" s="4"/>
    </row>
    <row r="608" spans="2:21" ht="26.15" hidden="1" customHeight="1">
      <c r="B608" s="2">
        <v>606</v>
      </c>
      <c r="C608" s="3">
        <v>42539</v>
      </c>
      <c r="D608" s="20">
        <v>2016</v>
      </c>
      <c r="E608" s="4" t="s">
        <v>34</v>
      </c>
      <c r="F608" s="5">
        <v>148638</v>
      </c>
      <c r="G608" s="4" t="s">
        <v>2369</v>
      </c>
      <c r="H608" s="4" t="s">
        <v>2370</v>
      </c>
      <c r="I608" s="4" t="s">
        <v>2371</v>
      </c>
      <c r="J608" s="4"/>
      <c r="K608" s="4" t="s">
        <v>653</v>
      </c>
      <c r="L608" s="2">
        <v>2013</v>
      </c>
      <c r="M608" s="4" t="s">
        <v>79</v>
      </c>
      <c r="N608" s="5">
        <v>223330</v>
      </c>
      <c r="O608" s="4" t="s">
        <v>2372</v>
      </c>
      <c r="P608" s="4" t="s">
        <v>2373</v>
      </c>
      <c r="Q608" s="4"/>
      <c r="R608" s="4"/>
      <c r="S608" s="4"/>
      <c r="T608" s="4"/>
      <c r="U608" s="4"/>
    </row>
    <row r="609" spans="2:21" ht="26.15" hidden="1" customHeight="1">
      <c r="B609" s="2">
        <v>607</v>
      </c>
      <c r="C609" s="3">
        <v>42536</v>
      </c>
      <c r="D609" s="20">
        <v>2016</v>
      </c>
      <c r="E609" s="4" t="s">
        <v>34</v>
      </c>
      <c r="F609" s="5">
        <v>1500000</v>
      </c>
      <c r="G609" s="4" t="s">
        <v>1500</v>
      </c>
      <c r="H609" s="4" t="s">
        <v>1501</v>
      </c>
      <c r="I609" s="4" t="s">
        <v>1502</v>
      </c>
      <c r="J609" s="4"/>
      <c r="K609" s="4" t="s">
        <v>1407</v>
      </c>
      <c r="L609" s="2">
        <v>2004</v>
      </c>
      <c r="M609" s="4" t="s">
        <v>56</v>
      </c>
      <c r="N609" s="5">
        <v>2111924</v>
      </c>
      <c r="O609" s="4" t="s">
        <v>1503</v>
      </c>
      <c r="P609" s="4" t="s">
        <v>1504</v>
      </c>
      <c r="Q609" s="4"/>
      <c r="R609" s="4"/>
      <c r="S609" s="4"/>
      <c r="T609" s="4"/>
      <c r="U609" s="4"/>
    </row>
    <row r="610" spans="2:21" ht="26.15" hidden="1" customHeight="1">
      <c r="B610" s="2">
        <v>608</v>
      </c>
      <c r="C610" s="3">
        <v>42531</v>
      </c>
      <c r="D610" s="20">
        <v>2016</v>
      </c>
      <c r="E610" s="4" t="s">
        <v>34</v>
      </c>
      <c r="F610" s="5">
        <v>194844</v>
      </c>
      <c r="G610" s="4" t="s">
        <v>1330</v>
      </c>
      <c r="H610" s="4" t="s">
        <v>1331</v>
      </c>
      <c r="I610" s="4" t="s">
        <v>2374</v>
      </c>
      <c r="J610" s="4"/>
      <c r="K610" s="4"/>
      <c r="L610" s="2">
        <v>2010</v>
      </c>
      <c r="M610" s="4" t="s">
        <v>79</v>
      </c>
      <c r="N610" s="5">
        <v>15568800</v>
      </c>
      <c r="O610" s="4" t="s">
        <v>1334</v>
      </c>
      <c r="P610" s="4" t="s">
        <v>1335</v>
      </c>
      <c r="Q610" s="4"/>
      <c r="R610" s="4"/>
      <c r="S610" s="4"/>
      <c r="T610" s="4"/>
      <c r="U610" s="4"/>
    </row>
    <row r="611" spans="2:21" ht="26.15" hidden="1" customHeight="1">
      <c r="B611" s="2">
        <v>609</v>
      </c>
      <c r="C611" s="3">
        <v>42529</v>
      </c>
      <c r="D611" s="20">
        <v>2016</v>
      </c>
      <c r="E611" s="4" t="s">
        <v>124</v>
      </c>
      <c r="F611" s="5">
        <v>32912</v>
      </c>
      <c r="G611" s="4" t="s">
        <v>1126</v>
      </c>
      <c r="H611" s="4" t="s">
        <v>1127</v>
      </c>
      <c r="I611" s="4"/>
      <c r="J611" s="4" t="s">
        <v>2375</v>
      </c>
      <c r="K611" s="4" t="s">
        <v>2376</v>
      </c>
      <c r="L611" s="2">
        <v>2013</v>
      </c>
      <c r="M611" s="4" t="s">
        <v>47</v>
      </c>
      <c r="N611" s="5">
        <v>264994</v>
      </c>
      <c r="O611" s="4" t="s">
        <v>1130</v>
      </c>
      <c r="P611" s="4" t="s">
        <v>968</v>
      </c>
      <c r="Q611" s="4"/>
      <c r="R611" s="4"/>
      <c r="S611" s="4"/>
      <c r="T611" s="4"/>
      <c r="U611" s="4"/>
    </row>
    <row r="612" spans="2:21" ht="26.15" hidden="1" customHeight="1">
      <c r="B612" s="2">
        <v>610</v>
      </c>
      <c r="C612" s="3">
        <v>42528</v>
      </c>
      <c r="D612" s="20">
        <v>2016</v>
      </c>
      <c r="E612" s="4" t="s">
        <v>34</v>
      </c>
      <c r="F612" s="5">
        <v>710223</v>
      </c>
      <c r="G612" s="4" t="s">
        <v>1724</v>
      </c>
      <c r="H612" s="4" t="s">
        <v>1725</v>
      </c>
      <c r="I612" s="4" t="s">
        <v>1744</v>
      </c>
      <c r="J612" s="4"/>
      <c r="K612" s="4"/>
      <c r="L612" s="2">
        <v>2015</v>
      </c>
      <c r="M612" s="4" t="s">
        <v>787</v>
      </c>
      <c r="N612" s="5">
        <v>810223</v>
      </c>
      <c r="O612" s="4" t="s">
        <v>1726</v>
      </c>
      <c r="P612" s="4" t="s">
        <v>1727</v>
      </c>
      <c r="Q612" s="4"/>
      <c r="R612" s="4"/>
      <c r="S612" s="4"/>
      <c r="T612" s="4"/>
      <c r="U612" s="4"/>
    </row>
    <row r="613" spans="2:21" ht="26.15" hidden="1" customHeight="1">
      <c r="B613" s="2">
        <v>611</v>
      </c>
      <c r="C613" s="3">
        <v>42527</v>
      </c>
      <c r="D613" s="20">
        <v>2016</v>
      </c>
      <c r="E613" s="4" t="s">
        <v>109</v>
      </c>
      <c r="F613" s="5">
        <v>5000000</v>
      </c>
      <c r="G613" s="4" t="s">
        <v>2377</v>
      </c>
      <c r="H613" s="4" t="s">
        <v>2378</v>
      </c>
      <c r="I613" s="4" t="s">
        <v>2379</v>
      </c>
      <c r="J613" s="4"/>
      <c r="K613" s="4"/>
      <c r="L613" s="2">
        <v>2014</v>
      </c>
      <c r="M613" s="4" t="s">
        <v>894</v>
      </c>
      <c r="N613" s="5">
        <v>5000000</v>
      </c>
      <c r="O613" s="4" t="s">
        <v>2380</v>
      </c>
      <c r="P613" s="4" t="s">
        <v>2381</v>
      </c>
      <c r="Q613" s="4"/>
      <c r="R613" s="4"/>
      <c r="S613" s="4"/>
      <c r="T613" s="4"/>
      <c r="U613" s="4"/>
    </row>
    <row r="614" spans="2:21" ht="26.15" hidden="1" customHeight="1">
      <c r="B614" s="2">
        <v>612</v>
      </c>
      <c r="C614" s="3">
        <v>42527</v>
      </c>
      <c r="D614" s="20">
        <v>2016</v>
      </c>
      <c r="E614" s="4" t="s">
        <v>34</v>
      </c>
      <c r="F614" s="5">
        <v>707614</v>
      </c>
      <c r="G614" s="4" t="s">
        <v>2382</v>
      </c>
      <c r="H614" s="4" t="s">
        <v>2383</v>
      </c>
      <c r="I614" s="4" t="s">
        <v>1744</v>
      </c>
      <c r="J614" s="4"/>
      <c r="K614" s="4"/>
      <c r="L614" s="2">
        <v>2013</v>
      </c>
      <c r="M614" s="4" t="s">
        <v>1836</v>
      </c>
      <c r="N614" s="5">
        <v>707610</v>
      </c>
      <c r="O614" s="4" t="s">
        <v>2384</v>
      </c>
      <c r="P614" s="4" t="s">
        <v>2385</v>
      </c>
      <c r="Q614" s="4"/>
      <c r="R614" s="4"/>
      <c r="S614" s="4"/>
      <c r="T614" s="4"/>
      <c r="U614" s="4"/>
    </row>
    <row r="615" spans="2:21" ht="26.15" hidden="1" customHeight="1">
      <c r="B615" s="2">
        <v>613</v>
      </c>
      <c r="C615" s="3">
        <v>42527</v>
      </c>
      <c r="D615" s="20">
        <v>2016</v>
      </c>
      <c r="E615" s="4" t="s">
        <v>109</v>
      </c>
      <c r="F615" s="5" t="s">
        <v>50</v>
      </c>
      <c r="G615" s="4" t="s">
        <v>2386</v>
      </c>
      <c r="H615" s="4" t="s">
        <v>2387</v>
      </c>
      <c r="I615" s="4" t="s">
        <v>2388</v>
      </c>
      <c r="J615" s="4"/>
      <c r="K615" s="4" t="s">
        <v>2389</v>
      </c>
      <c r="L615" s="2">
        <v>2013</v>
      </c>
      <c r="M615" s="4" t="s">
        <v>2390</v>
      </c>
      <c r="N615" s="5"/>
      <c r="O615" s="4" t="s">
        <v>2391</v>
      </c>
      <c r="P615" s="4" t="s">
        <v>2392</v>
      </c>
      <c r="Q615" s="4"/>
      <c r="R615" s="4"/>
      <c r="S615" s="4"/>
      <c r="T615" s="4"/>
      <c r="U615" s="4"/>
    </row>
    <row r="616" spans="2:21" ht="26.15" hidden="1" customHeight="1">
      <c r="B616" s="2">
        <v>614</v>
      </c>
      <c r="C616" s="3">
        <v>42526</v>
      </c>
      <c r="D616" s="20">
        <v>2016</v>
      </c>
      <c r="E616" s="4" t="s">
        <v>184</v>
      </c>
      <c r="F616" s="5">
        <v>3000</v>
      </c>
      <c r="G616" s="4" t="s">
        <v>2393</v>
      </c>
      <c r="H616" s="4" t="s">
        <v>2394</v>
      </c>
      <c r="I616" s="4" t="s">
        <v>2395</v>
      </c>
      <c r="J616" s="4"/>
      <c r="K616" s="4"/>
      <c r="L616" s="2">
        <v>2015</v>
      </c>
      <c r="M616" s="4" t="s">
        <v>39</v>
      </c>
      <c r="N616" s="5"/>
      <c r="O616" s="4" t="s">
        <v>2396</v>
      </c>
      <c r="P616" s="4" t="s">
        <v>2397</v>
      </c>
      <c r="Q616" s="4"/>
      <c r="R616" s="4"/>
      <c r="S616" s="4"/>
      <c r="T616" s="4"/>
      <c r="U616" s="4"/>
    </row>
    <row r="617" spans="2:21" ht="26.15" hidden="1" customHeight="1">
      <c r="B617" s="2">
        <v>615</v>
      </c>
      <c r="C617" s="3">
        <v>42525</v>
      </c>
      <c r="D617" s="20">
        <v>2016</v>
      </c>
      <c r="E617" s="4" t="s">
        <v>1309</v>
      </c>
      <c r="F617" s="5">
        <v>200000000</v>
      </c>
      <c r="G617" s="4" t="s">
        <v>1411</v>
      </c>
      <c r="H617" s="4" t="s">
        <v>1412</v>
      </c>
      <c r="I617" s="4"/>
      <c r="J617" s="4"/>
      <c r="K617" s="4"/>
      <c r="L617" s="2">
        <v>2014</v>
      </c>
      <c r="M617" s="4" t="s">
        <v>278</v>
      </c>
      <c r="N617" s="5">
        <v>1303000000</v>
      </c>
      <c r="O617" s="4" t="s">
        <v>1415</v>
      </c>
      <c r="P617" s="4" t="s">
        <v>1416</v>
      </c>
      <c r="Q617" s="4"/>
      <c r="R617" s="4"/>
      <c r="S617" s="4"/>
      <c r="T617" s="4"/>
      <c r="U617" s="4"/>
    </row>
    <row r="618" spans="2:21" ht="26.15" hidden="1" customHeight="1">
      <c r="B618" s="2">
        <v>616</v>
      </c>
      <c r="C618" s="3">
        <v>42523</v>
      </c>
      <c r="D618" s="20">
        <v>2016</v>
      </c>
      <c r="E618" s="4" t="s">
        <v>34</v>
      </c>
      <c r="F618" s="5">
        <v>281563</v>
      </c>
      <c r="G618" s="4" t="s">
        <v>991</v>
      </c>
      <c r="H618" s="4" t="s">
        <v>992</v>
      </c>
      <c r="I618" s="4" t="s">
        <v>2398</v>
      </c>
      <c r="J618" s="4" t="s">
        <v>1716</v>
      </c>
      <c r="K618" s="4"/>
      <c r="L618" s="2">
        <v>2014</v>
      </c>
      <c r="M618" s="4" t="s">
        <v>128</v>
      </c>
      <c r="N618" s="5">
        <v>1570818</v>
      </c>
      <c r="O618" s="4" t="s">
        <v>994</v>
      </c>
      <c r="P618" s="4" t="s">
        <v>995</v>
      </c>
      <c r="Q618" s="4"/>
      <c r="R618" s="4"/>
      <c r="S618" s="4"/>
      <c r="T618" s="4"/>
      <c r="U618" s="4"/>
    </row>
    <row r="619" spans="2:21" ht="26.15" hidden="1" customHeight="1">
      <c r="B619" s="2">
        <v>617</v>
      </c>
      <c r="C619" s="3">
        <v>42522</v>
      </c>
      <c r="D619" s="20">
        <v>2016</v>
      </c>
      <c r="E619" s="4" t="s">
        <v>184</v>
      </c>
      <c r="F619" s="5" t="s">
        <v>50</v>
      </c>
      <c r="G619" s="4" t="s">
        <v>458</v>
      </c>
      <c r="H619" s="4" t="s">
        <v>459</v>
      </c>
      <c r="I619" s="4"/>
      <c r="J619" s="4"/>
      <c r="K619" s="4"/>
      <c r="L619" s="2">
        <v>2012</v>
      </c>
      <c r="M619" s="4" t="s">
        <v>462</v>
      </c>
      <c r="N619" s="5">
        <v>16507907</v>
      </c>
      <c r="O619" s="4" t="s">
        <v>463</v>
      </c>
      <c r="P619" s="4" t="s">
        <v>464</v>
      </c>
      <c r="Q619" s="4"/>
      <c r="R619" s="4"/>
      <c r="S619" s="4"/>
      <c r="T619" s="4"/>
      <c r="U619" s="4"/>
    </row>
    <row r="620" spans="2:21" ht="26.15" hidden="1" customHeight="1">
      <c r="B620" s="2">
        <v>618</v>
      </c>
      <c r="C620" s="3">
        <v>42522</v>
      </c>
      <c r="D620" s="20">
        <v>2016</v>
      </c>
      <c r="E620" s="4" t="s">
        <v>34</v>
      </c>
      <c r="F620" s="5" t="s">
        <v>50</v>
      </c>
      <c r="G620" s="4" t="s">
        <v>2399</v>
      </c>
      <c r="H620" s="4" t="s">
        <v>2400</v>
      </c>
      <c r="I620" s="4" t="s">
        <v>2401</v>
      </c>
      <c r="J620" s="4"/>
      <c r="K620" s="4"/>
      <c r="L620" s="2">
        <v>2013</v>
      </c>
      <c r="M620" s="4" t="s">
        <v>79</v>
      </c>
      <c r="N620" s="5"/>
      <c r="O620" s="4" t="s">
        <v>2402</v>
      </c>
      <c r="P620" s="4" t="s">
        <v>2403</v>
      </c>
      <c r="Q620" s="4"/>
      <c r="R620" s="4"/>
      <c r="S620" s="4"/>
      <c r="T620" s="4"/>
      <c r="U620" s="4"/>
    </row>
    <row r="621" spans="2:21" ht="26.15" hidden="1" customHeight="1">
      <c r="B621" s="2">
        <v>619</v>
      </c>
      <c r="C621" s="3">
        <v>42522</v>
      </c>
      <c r="D621" s="20">
        <v>2016</v>
      </c>
      <c r="E621" s="4" t="s">
        <v>109</v>
      </c>
      <c r="F621" s="5">
        <v>4000000</v>
      </c>
      <c r="G621" s="4" t="s">
        <v>1330</v>
      </c>
      <c r="H621" s="4" t="s">
        <v>1331</v>
      </c>
      <c r="I621" s="4" t="s">
        <v>2404</v>
      </c>
      <c r="J621" s="4"/>
      <c r="K621" s="4"/>
      <c r="L621" s="2">
        <v>2010</v>
      </c>
      <c r="M621" s="4" t="s">
        <v>79</v>
      </c>
      <c r="N621" s="5">
        <v>15568800</v>
      </c>
      <c r="O621" s="4" t="s">
        <v>1334</v>
      </c>
      <c r="P621" s="4" t="s">
        <v>1335</v>
      </c>
      <c r="Q621" s="4"/>
      <c r="R621" s="4"/>
      <c r="S621" s="4"/>
      <c r="T621" s="4"/>
      <c r="U621" s="4"/>
    </row>
    <row r="622" spans="2:21" ht="26.15" hidden="1" customHeight="1">
      <c r="B622" s="2">
        <v>620</v>
      </c>
      <c r="C622" s="3">
        <v>42522</v>
      </c>
      <c r="D622" s="20">
        <v>2016</v>
      </c>
      <c r="E622" s="4" t="s">
        <v>184</v>
      </c>
      <c r="F622" s="5">
        <v>10000</v>
      </c>
      <c r="G622" s="4" t="s">
        <v>1990</v>
      </c>
      <c r="H622" s="4" t="s">
        <v>1991</v>
      </c>
      <c r="I622" s="4" t="s">
        <v>2405</v>
      </c>
      <c r="J622" s="4"/>
      <c r="K622" s="4"/>
      <c r="L622" s="2">
        <v>2014</v>
      </c>
      <c r="M622" s="4" t="s">
        <v>79</v>
      </c>
      <c r="N622" s="5"/>
      <c r="O622" s="4" t="s">
        <v>1992</v>
      </c>
      <c r="P622" s="4" t="s">
        <v>1993</v>
      </c>
      <c r="Q622" s="4"/>
      <c r="R622" s="4"/>
      <c r="S622" s="4"/>
      <c r="T622" s="4"/>
      <c r="U622" s="4"/>
    </row>
    <row r="623" spans="2:21" ht="26.15" hidden="1" customHeight="1">
      <c r="B623" s="2">
        <v>621</v>
      </c>
      <c r="C623" s="3">
        <v>42522</v>
      </c>
      <c r="D623" s="20">
        <v>2016</v>
      </c>
      <c r="E623" s="4" t="s">
        <v>109</v>
      </c>
      <c r="F623" s="5" t="s">
        <v>50</v>
      </c>
      <c r="G623" s="4" t="s">
        <v>2406</v>
      </c>
      <c r="H623" s="4" t="s">
        <v>2407</v>
      </c>
      <c r="I623" s="4" t="s">
        <v>2408</v>
      </c>
      <c r="J623" s="4"/>
      <c r="K623" s="4"/>
      <c r="L623" s="2">
        <v>2014</v>
      </c>
      <c r="M623" s="4" t="s">
        <v>278</v>
      </c>
      <c r="N623" s="5"/>
      <c r="O623" s="4" t="s">
        <v>2409</v>
      </c>
      <c r="P623" s="4" t="s">
        <v>2410</v>
      </c>
      <c r="Q623" s="4"/>
      <c r="R623" s="4"/>
      <c r="S623" s="4"/>
      <c r="T623" s="4"/>
      <c r="U623" s="4"/>
    </row>
    <row r="624" spans="2:21" ht="26.15" hidden="1" customHeight="1">
      <c r="B624" s="2">
        <v>622</v>
      </c>
      <c r="C624" s="3">
        <v>42522</v>
      </c>
      <c r="D624" s="20">
        <v>2016</v>
      </c>
      <c r="E624" s="4" t="s">
        <v>109</v>
      </c>
      <c r="F624" s="5" t="s">
        <v>50</v>
      </c>
      <c r="G624" s="4" t="s">
        <v>473</v>
      </c>
      <c r="H624" s="4" t="s">
        <v>474</v>
      </c>
      <c r="I624" s="4" t="s">
        <v>2411</v>
      </c>
      <c r="J624" s="4"/>
      <c r="K624" s="4" t="s">
        <v>2412</v>
      </c>
      <c r="L624" s="2">
        <v>2014</v>
      </c>
      <c r="M624" s="4" t="s">
        <v>39</v>
      </c>
      <c r="N624" s="5">
        <v>46450000</v>
      </c>
      <c r="O624" s="4" t="s">
        <v>475</v>
      </c>
      <c r="P624" s="4" t="s">
        <v>476</v>
      </c>
      <c r="Q624" s="4"/>
      <c r="R624" s="4"/>
      <c r="S624" s="4"/>
      <c r="T624" s="4"/>
      <c r="U624" s="4"/>
    </row>
    <row r="625" spans="2:21" ht="26.15" hidden="1" customHeight="1">
      <c r="B625" s="2">
        <v>623</v>
      </c>
      <c r="C625" s="3">
        <v>42522</v>
      </c>
      <c r="D625" s="20">
        <v>2016</v>
      </c>
      <c r="E625" s="4" t="s">
        <v>184</v>
      </c>
      <c r="F625" s="5">
        <v>50000</v>
      </c>
      <c r="G625" s="4" t="s">
        <v>2347</v>
      </c>
      <c r="H625" s="4" t="s">
        <v>2348</v>
      </c>
      <c r="I625" s="4" t="s">
        <v>2413</v>
      </c>
      <c r="J625" s="4"/>
      <c r="K625" s="4"/>
      <c r="L625" s="2">
        <v>2010</v>
      </c>
      <c r="M625" s="4" t="s">
        <v>1588</v>
      </c>
      <c r="N625" s="5">
        <v>2500000</v>
      </c>
      <c r="O625" s="4" t="s">
        <v>2350</v>
      </c>
      <c r="P625" s="4" t="s">
        <v>2351</v>
      </c>
      <c r="Q625" s="4"/>
      <c r="R625" s="4"/>
      <c r="S625" s="4"/>
      <c r="T625" s="4"/>
      <c r="U625" s="4"/>
    </row>
    <row r="626" spans="2:21" ht="26.15" hidden="1" customHeight="1">
      <c r="B626" s="2">
        <v>624</v>
      </c>
      <c r="C626" s="3">
        <v>42522</v>
      </c>
      <c r="D626" s="20">
        <v>2016</v>
      </c>
      <c r="E626" s="4" t="s">
        <v>124</v>
      </c>
      <c r="F626" s="5">
        <v>1670019</v>
      </c>
      <c r="G626" s="4" t="s">
        <v>2414</v>
      </c>
      <c r="H626" s="4" t="s">
        <v>2415</v>
      </c>
      <c r="I626" s="4"/>
      <c r="J626" s="4"/>
      <c r="K626" s="4"/>
      <c r="L626" s="2">
        <v>2011</v>
      </c>
      <c r="M626" s="4" t="s">
        <v>278</v>
      </c>
      <c r="N626" s="5">
        <v>1670019</v>
      </c>
      <c r="O626" s="4" t="s">
        <v>2416</v>
      </c>
      <c r="P626" s="4" t="s">
        <v>1734</v>
      </c>
      <c r="Q626" s="4"/>
      <c r="R626" s="4"/>
      <c r="S626" s="4"/>
      <c r="T626" s="4"/>
      <c r="U626" s="4"/>
    </row>
    <row r="627" spans="2:21" ht="26.15" hidden="1" customHeight="1">
      <c r="B627" s="2">
        <v>625</v>
      </c>
      <c r="C627" s="3">
        <v>42522</v>
      </c>
      <c r="D627" s="20">
        <v>2016</v>
      </c>
      <c r="E627" s="4" t="s">
        <v>34</v>
      </c>
      <c r="F627" s="5">
        <v>120000</v>
      </c>
      <c r="G627" s="4" t="s">
        <v>500</v>
      </c>
      <c r="H627" s="4" t="s">
        <v>501</v>
      </c>
      <c r="I627" s="4" t="s">
        <v>479</v>
      </c>
      <c r="J627" s="4"/>
      <c r="K627" s="4" t="s">
        <v>480</v>
      </c>
      <c r="L627" s="2">
        <v>2015</v>
      </c>
      <c r="M627" s="4" t="s">
        <v>56</v>
      </c>
      <c r="N627" s="5">
        <v>3493115</v>
      </c>
      <c r="O627" s="4" t="s">
        <v>505</v>
      </c>
      <c r="P627" s="4" t="s">
        <v>506</v>
      </c>
      <c r="Q627" s="4"/>
      <c r="R627" s="4"/>
      <c r="S627" s="4"/>
      <c r="T627" s="4"/>
      <c r="U627" s="4"/>
    </row>
    <row r="628" spans="2:21" ht="26.15" hidden="1" customHeight="1">
      <c r="B628" s="2">
        <v>626</v>
      </c>
      <c r="C628" s="3">
        <v>42522</v>
      </c>
      <c r="D628" s="20">
        <v>2016</v>
      </c>
      <c r="E628" s="4" t="s">
        <v>34</v>
      </c>
      <c r="F628" s="5" t="s">
        <v>50</v>
      </c>
      <c r="G628" s="4" t="s">
        <v>610</v>
      </c>
      <c r="H628" s="4" t="s">
        <v>611</v>
      </c>
      <c r="I628" s="4" t="s">
        <v>2417</v>
      </c>
      <c r="J628" s="4"/>
      <c r="K628" s="4" t="s">
        <v>2418</v>
      </c>
      <c r="L628" s="2">
        <v>2011</v>
      </c>
      <c r="M628" s="4" t="s">
        <v>612</v>
      </c>
      <c r="N628" s="5">
        <v>1577228</v>
      </c>
      <c r="O628" s="4" t="s">
        <v>613</v>
      </c>
      <c r="P628" s="4" t="s">
        <v>614</v>
      </c>
      <c r="Q628" s="4"/>
      <c r="R628" s="4"/>
      <c r="S628" s="4"/>
      <c r="T628" s="4"/>
      <c r="U628" s="4"/>
    </row>
    <row r="629" spans="2:21" ht="26.15" hidden="1" customHeight="1">
      <c r="B629" s="2">
        <v>627</v>
      </c>
      <c r="C629" s="3">
        <v>42522</v>
      </c>
      <c r="D629" s="20">
        <v>2016</v>
      </c>
      <c r="E629" s="4" t="s">
        <v>34</v>
      </c>
      <c r="F629" s="5">
        <v>70000</v>
      </c>
      <c r="G629" s="4" t="s">
        <v>829</v>
      </c>
      <c r="H629" s="4" t="s">
        <v>830</v>
      </c>
      <c r="I629" s="4"/>
      <c r="J629" s="4"/>
      <c r="K629" s="4"/>
      <c r="L629" s="2">
        <v>2015</v>
      </c>
      <c r="M629" s="4" t="s">
        <v>207</v>
      </c>
      <c r="N629" s="5">
        <v>1070000</v>
      </c>
      <c r="O629" s="4" t="s">
        <v>833</v>
      </c>
      <c r="P629" s="4" t="s">
        <v>834</v>
      </c>
      <c r="Q629" s="4"/>
      <c r="R629" s="4"/>
      <c r="S629" s="4"/>
      <c r="T629" s="4"/>
      <c r="U629" s="4"/>
    </row>
    <row r="630" spans="2:21" ht="26.15" hidden="1" customHeight="1">
      <c r="B630" s="2">
        <v>628</v>
      </c>
      <c r="C630" s="3">
        <v>42521</v>
      </c>
      <c r="D630" s="20">
        <v>2016</v>
      </c>
      <c r="E630" s="4" t="s">
        <v>34</v>
      </c>
      <c r="F630" s="5">
        <v>1000000</v>
      </c>
      <c r="G630" s="4" t="s">
        <v>2419</v>
      </c>
      <c r="H630" s="4" t="s">
        <v>2420</v>
      </c>
      <c r="I630" s="4" t="s">
        <v>2421</v>
      </c>
      <c r="J630" s="4"/>
      <c r="K630" s="4"/>
      <c r="L630" s="2">
        <v>2014</v>
      </c>
      <c r="M630" s="4" t="s">
        <v>1188</v>
      </c>
      <c r="N630" s="5">
        <v>1000000</v>
      </c>
      <c r="O630" s="4" t="s">
        <v>2422</v>
      </c>
      <c r="P630" s="4" t="s">
        <v>2423</v>
      </c>
      <c r="Q630" s="4"/>
      <c r="R630" s="4"/>
      <c r="S630" s="4"/>
      <c r="T630" s="4"/>
      <c r="U630" s="4"/>
    </row>
    <row r="631" spans="2:21" ht="26.15" hidden="1" customHeight="1">
      <c r="B631" s="2">
        <v>629</v>
      </c>
      <c r="C631" s="3">
        <v>42520</v>
      </c>
      <c r="D631" s="20">
        <v>2016</v>
      </c>
      <c r="E631" s="4" t="s">
        <v>34</v>
      </c>
      <c r="F631" s="5">
        <v>1458270</v>
      </c>
      <c r="G631" s="4" t="s">
        <v>1946</v>
      </c>
      <c r="H631" s="4" t="s">
        <v>1947</v>
      </c>
      <c r="I631" s="4" t="s">
        <v>2424</v>
      </c>
      <c r="J631" s="4"/>
      <c r="K631" s="4" t="s">
        <v>2425</v>
      </c>
      <c r="L631" s="2">
        <v>2015</v>
      </c>
      <c r="M631" s="4" t="s">
        <v>79</v>
      </c>
      <c r="N631" s="5">
        <v>10693115</v>
      </c>
      <c r="O631" s="4" t="s">
        <v>1951</v>
      </c>
      <c r="P631" s="4" t="s">
        <v>1952</v>
      </c>
      <c r="Q631" s="4"/>
      <c r="R631" s="4"/>
      <c r="S631" s="4"/>
      <c r="T631" s="4"/>
      <c r="U631" s="4"/>
    </row>
    <row r="632" spans="2:21" ht="26.15" hidden="1" customHeight="1">
      <c r="B632" s="2">
        <v>630</v>
      </c>
      <c r="C632" s="3">
        <v>42514</v>
      </c>
      <c r="D632" s="20">
        <v>2016</v>
      </c>
      <c r="E632" s="4" t="s">
        <v>34</v>
      </c>
      <c r="F632" s="5" t="s">
        <v>50</v>
      </c>
      <c r="G632" s="4" t="s">
        <v>2426</v>
      </c>
      <c r="H632" s="4" t="s">
        <v>2427</v>
      </c>
      <c r="I632" s="4" t="s">
        <v>769</v>
      </c>
      <c r="J632" s="4"/>
      <c r="K632" s="4" t="s">
        <v>206</v>
      </c>
      <c r="L632" s="2">
        <v>2016</v>
      </c>
      <c r="M632" s="4" t="s">
        <v>2390</v>
      </c>
      <c r="N632" s="5"/>
      <c r="O632" s="4" t="s">
        <v>2428</v>
      </c>
      <c r="P632" s="4" t="s">
        <v>2429</v>
      </c>
      <c r="Q632" s="4"/>
      <c r="R632" s="4"/>
      <c r="S632" s="4"/>
      <c r="T632" s="4"/>
      <c r="U632" s="4"/>
    </row>
    <row r="633" spans="2:21" ht="26.15" hidden="1" customHeight="1">
      <c r="B633" s="2">
        <v>631</v>
      </c>
      <c r="C633" s="3">
        <v>42509</v>
      </c>
      <c r="D633" s="20">
        <v>2016</v>
      </c>
      <c r="E633" s="4" t="s">
        <v>34</v>
      </c>
      <c r="F633" s="5">
        <v>1000000</v>
      </c>
      <c r="G633" s="4" t="s">
        <v>856</v>
      </c>
      <c r="H633" s="4" t="s">
        <v>857</v>
      </c>
      <c r="I633" s="4" t="s">
        <v>2430</v>
      </c>
      <c r="J633" s="4"/>
      <c r="K633" s="4" t="s">
        <v>588</v>
      </c>
      <c r="L633" s="2">
        <v>2014</v>
      </c>
      <c r="M633" s="4" t="s">
        <v>860</v>
      </c>
      <c r="N633" s="5">
        <v>7000000</v>
      </c>
      <c r="O633" s="4" t="s">
        <v>861</v>
      </c>
      <c r="P633" s="4" t="s">
        <v>862</v>
      </c>
      <c r="Q633" s="4"/>
      <c r="R633" s="4"/>
      <c r="S633" s="4"/>
      <c r="T633" s="4"/>
      <c r="U633" s="4"/>
    </row>
    <row r="634" spans="2:21" ht="26.15" hidden="1" customHeight="1">
      <c r="B634" s="2">
        <v>632</v>
      </c>
      <c r="C634" s="3">
        <v>42498</v>
      </c>
      <c r="D634" s="20">
        <v>2016</v>
      </c>
      <c r="E634" s="4" t="s">
        <v>109</v>
      </c>
      <c r="F634" s="5" t="s">
        <v>50</v>
      </c>
      <c r="G634" s="4" t="s">
        <v>1748</v>
      </c>
      <c r="H634" s="4" t="s">
        <v>1749</v>
      </c>
      <c r="I634" s="4" t="s">
        <v>2431</v>
      </c>
      <c r="J634" s="4"/>
      <c r="K634" s="4"/>
      <c r="L634" s="2">
        <v>2014</v>
      </c>
      <c r="M634" s="4" t="s">
        <v>1222</v>
      </c>
      <c r="N634" s="5">
        <v>14470000</v>
      </c>
      <c r="O634" s="4" t="s">
        <v>1752</v>
      </c>
      <c r="P634" s="4" t="s">
        <v>1753</v>
      </c>
      <c r="Q634" s="4"/>
      <c r="R634" s="4"/>
      <c r="S634" s="4"/>
      <c r="T634" s="4"/>
      <c r="U634" s="4"/>
    </row>
    <row r="635" spans="2:21" ht="26.15" hidden="1" customHeight="1">
      <c r="B635" s="2">
        <v>633</v>
      </c>
      <c r="C635" s="3">
        <v>42495</v>
      </c>
      <c r="D635" s="20">
        <v>2016</v>
      </c>
      <c r="E635" s="4" t="s">
        <v>109</v>
      </c>
      <c r="F635" s="5" t="s">
        <v>50</v>
      </c>
      <c r="G635" s="4" t="s">
        <v>2432</v>
      </c>
      <c r="H635" s="4" t="s">
        <v>2433</v>
      </c>
      <c r="I635" s="4" t="s">
        <v>2434</v>
      </c>
      <c r="J635" s="4"/>
      <c r="K635" s="4" t="s">
        <v>2435</v>
      </c>
      <c r="L635" s="2">
        <v>2013</v>
      </c>
      <c r="M635" s="4" t="s">
        <v>143</v>
      </c>
      <c r="N635" s="5">
        <v>5080000</v>
      </c>
      <c r="O635" s="4" t="s">
        <v>2436</v>
      </c>
      <c r="P635" s="4" t="s">
        <v>2437</v>
      </c>
      <c r="Q635" s="4"/>
      <c r="R635" s="4"/>
      <c r="S635" s="4"/>
      <c r="T635" s="4"/>
      <c r="U635" s="4"/>
    </row>
    <row r="636" spans="2:21" ht="26.15" hidden="1" customHeight="1">
      <c r="B636" s="2">
        <v>634</v>
      </c>
      <c r="C636" s="3">
        <v>42492</v>
      </c>
      <c r="D636" s="20">
        <v>2016</v>
      </c>
      <c r="E636" s="4" t="s">
        <v>34</v>
      </c>
      <c r="F636" s="5">
        <v>165066</v>
      </c>
      <c r="G636" s="4" t="s">
        <v>259</v>
      </c>
      <c r="H636" s="4" t="s">
        <v>260</v>
      </c>
      <c r="I636" s="4" t="s">
        <v>2438</v>
      </c>
      <c r="J636" s="4" t="s">
        <v>2439</v>
      </c>
      <c r="K636" s="4" t="s">
        <v>326</v>
      </c>
      <c r="L636" s="2">
        <v>2013</v>
      </c>
      <c r="M636" s="4" t="s">
        <v>79</v>
      </c>
      <c r="N636" s="5">
        <v>5345286</v>
      </c>
      <c r="O636" s="4" t="s">
        <v>264</v>
      </c>
      <c r="P636" s="4" t="s">
        <v>265</v>
      </c>
      <c r="Q636" s="4"/>
      <c r="R636" s="4"/>
      <c r="S636" s="4"/>
      <c r="T636" s="4"/>
      <c r="U636" s="4"/>
    </row>
    <row r="637" spans="2:21" ht="26.15" customHeight="1">
      <c r="B637" s="2">
        <v>635</v>
      </c>
      <c r="C637" s="3">
        <v>42491</v>
      </c>
      <c r="D637" s="20">
        <v>2016</v>
      </c>
      <c r="E637" s="4" t="s">
        <v>184</v>
      </c>
      <c r="F637" s="5">
        <v>55000</v>
      </c>
      <c r="G637" s="4" t="s">
        <v>2440</v>
      </c>
      <c r="H637" s="4" t="s">
        <v>2441</v>
      </c>
      <c r="I637" s="4" t="s">
        <v>155</v>
      </c>
      <c r="J637" s="4"/>
      <c r="K637" s="4"/>
      <c r="L637" s="2">
        <v>2013</v>
      </c>
      <c r="M637" s="4" t="s">
        <v>1251</v>
      </c>
      <c r="N637" s="5"/>
      <c r="O637" s="4" t="s">
        <v>2442</v>
      </c>
      <c r="P637" s="4" t="s">
        <v>2443</v>
      </c>
      <c r="Q637" s="4"/>
      <c r="R637" s="4"/>
      <c r="S637" s="4"/>
      <c r="T637" s="4"/>
      <c r="U637" s="4"/>
    </row>
    <row r="638" spans="2:21" ht="26.15" customHeight="1">
      <c r="B638" s="2">
        <v>636</v>
      </c>
      <c r="C638" s="3">
        <v>42491</v>
      </c>
      <c r="D638" s="20">
        <v>2016</v>
      </c>
      <c r="E638" s="4" t="s">
        <v>184</v>
      </c>
      <c r="F638" s="5">
        <v>57000</v>
      </c>
      <c r="G638" s="4" t="s">
        <v>2444</v>
      </c>
      <c r="H638" s="4" t="s">
        <v>2445</v>
      </c>
      <c r="I638" s="4" t="s">
        <v>155</v>
      </c>
      <c r="J638" s="4"/>
      <c r="K638" s="4"/>
      <c r="L638" s="2">
        <v>2010</v>
      </c>
      <c r="M638" s="4" t="s">
        <v>1251</v>
      </c>
      <c r="N638" s="5"/>
      <c r="O638" s="4" t="s">
        <v>2446</v>
      </c>
      <c r="P638" s="4" t="s">
        <v>2447</v>
      </c>
      <c r="Q638" s="4"/>
      <c r="R638" s="4"/>
      <c r="S638" s="4"/>
      <c r="T638" s="4"/>
      <c r="U638" s="4"/>
    </row>
    <row r="639" spans="2:21" ht="26.15" hidden="1" customHeight="1">
      <c r="B639" s="2">
        <v>637</v>
      </c>
      <c r="C639" s="3">
        <v>42489</v>
      </c>
      <c r="D639" s="20">
        <v>2016</v>
      </c>
      <c r="E639" s="4" t="s">
        <v>184</v>
      </c>
      <c r="F639" s="5">
        <v>33000</v>
      </c>
      <c r="G639" s="4" t="s">
        <v>2448</v>
      </c>
      <c r="H639" s="4" t="s">
        <v>2449</v>
      </c>
      <c r="I639" s="4" t="s">
        <v>1020</v>
      </c>
      <c r="J639" s="4"/>
      <c r="K639" s="4"/>
      <c r="L639" s="2">
        <v>2013</v>
      </c>
      <c r="M639" s="4" t="s">
        <v>2008</v>
      </c>
      <c r="N639" s="5"/>
      <c r="O639" s="4" t="s">
        <v>2450</v>
      </c>
      <c r="P639" s="4" t="s">
        <v>2451</v>
      </c>
      <c r="Q639" s="4"/>
      <c r="R639" s="4"/>
      <c r="S639" s="4"/>
      <c r="T639" s="4"/>
      <c r="U639" s="4"/>
    </row>
    <row r="640" spans="2:21" ht="26.15" hidden="1" customHeight="1">
      <c r="B640" s="2">
        <v>638</v>
      </c>
      <c r="C640" s="3">
        <v>42482</v>
      </c>
      <c r="D640" s="20">
        <v>2016</v>
      </c>
      <c r="E640" s="4" t="s">
        <v>109</v>
      </c>
      <c r="F640" s="5">
        <v>3012220</v>
      </c>
      <c r="G640" s="4" t="s">
        <v>628</v>
      </c>
      <c r="H640" s="4" t="s">
        <v>629</v>
      </c>
      <c r="I640" s="4" t="s">
        <v>2452</v>
      </c>
      <c r="J640" s="4"/>
      <c r="K640" s="4" t="s">
        <v>2164</v>
      </c>
      <c r="L640" s="2">
        <v>2015</v>
      </c>
      <c r="M640" s="4" t="s">
        <v>79</v>
      </c>
      <c r="N640" s="5">
        <v>94500000</v>
      </c>
      <c r="O640" s="4" t="s">
        <v>632</v>
      </c>
      <c r="P640" s="4" t="s">
        <v>633</v>
      </c>
      <c r="Q640" s="4"/>
      <c r="R640" s="4"/>
      <c r="S640" s="4"/>
      <c r="T640" s="4"/>
      <c r="U640" s="4"/>
    </row>
    <row r="641" spans="2:21" ht="26.15" hidden="1" customHeight="1">
      <c r="B641" s="2">
        <v>639</v>
      </c>
      <c r="C641" s="3">
        <v>42479</v>
      </c>
      <c r="D641" s="20">
        <v>2016</v>
      </c>
      <c r="E641" s="4" t="s">
        <v>124</v>
      </c>
      <c r="F641" s="5">
        <v>60005</v>
      </c>
      <c r="G641" s="4" t="s">
        <v>2157</v>
      </c>
      <c r="H641" s="4" t="s">
        <v>2158</v>
      </c>
      <c r="I641" s="4"/>
      <c r="J641" s="4" t="s">
        <v>2453</v>
      </c>
      <c r="K641" s="4" t="s">
        <v>2266</v>
      </c>
      <c r="L641" s="2">
        <v>2014</v>
      </c>
      <c r="M641" s="4" t="s">
        <v>79</v>
      </c>
      <c r="N641" s="5">
        <v>239863</v>
      </c>
      <c r="O641" s="4" t="s">
        <v>2161</v>
      </c>
      <c r="P641" s="4" t="s">
        <v>2162</v>
      </c>
      <c r="Q641" s="4"/>
      <c r="R641" s="4"/>
      <c r="S641" s="4"/>
      <c r="T641" s="4"/>
      <c r="U641" s="4"/>
    </row>
    <row r="642" spans="2:21" ht="26.15" hidden="1" customHeight="1">
      <c r="B642" s="2">
        <v>640</v>
      </c>
      <c r="C642" s="3">
        <v>42475</v>
      </c>
      <c r="D642" s="20">
        <v>2016</v>
      </c>
      <c r="E642" s="4" t="s">
        <v>124</v>
      </c>
      <c r="F642" s="5">
        <v>920000</v>
      </c>
      <c r="G642" s="4" t="s">
        <v>2454</v>
      </c>
      <c r="H642" s="4" t="s">
        <v>2455</v>
      </c>
      <c r="I642" s="4"/>
      <c r="J642" s="4"/>
      <c r="K642" s="4"/>
      <c r="L642" s="2">
        <v>2015</v>
      </c>
      <c r="M642" s="4" t="s">
        <v>2043</v>
      </c>
      <c r="N642" s="5">
        <v>920000</v>
      </c>
      <c r="O642" s="4" t="s">
        <v>2456</v>
      </c>
      <c r="P642" s="4" t="s">
        <v>2457</v>
      </c>
      <c r="Q642" s="4"/>
      <c r="R642" s="4"/>
      <c r="S642" s="4"/>
      <c r="T642" s="4"/>
      <c r="U642" s="4"/>
    </row>
    <row r="643" spans="2:21" ht="26.15" customHeight="1">
      <c r="B643" s="2">
        <v>641</v>
      </c>
      <c r="C643" s="3">
        <v>42473</v>
      </c>
      <c r="D643" s="20">
        <v>2016</v>
      </c>
      <c r="E643" s="4" t="s">
        <v>34</v>
      </c>
      <c r="F643" s="5">
        <v>1250000</v>
      </c>
      <c r="G643" s="4" t="s">
        <v>634</v>
      </c>
      <c r="H643" s="4" t="s">
        <v>635</v>
      </c>
      <c r="I643" s="4" t="s">
        <v>2458</v>
      </c>
      <c r="J643" s="4"/>
      <c r="K643" s="4"/>
      <c r="L643" s="2">
        <v>2012</v>
      </c>
      <c r="M643" s="4" t="s">
        <v>638</v>
      </c>
      <c r="N643" s="5">
        <v>17600000</v>
      </c>
      <c r="O643" s="4" t="s">
        <v>639</v>
      </c>
      <c r="P643" s="4" t="s">
        <v>640</v>
      </c>
      <c r="Q643" s="4"/>
      <c r="R643" s="4"/>
      <c r="S643" s="4"/>
      <c r="T643" s="4"/>
      <c r="U643" s="4"/>
    </row>
    <row r="644" spans="2:21" ht="26.15" customHeight="1">
      <c r="B644" s="2">
        <v>642</v>
      </c>
      <c r="C644" s="3">
        <v>42472</v>
      </c>
      <c r="D644" s="20">
        <v>2016</v>
      </c>
      <c r="E644" s="4" t="s">
        <v>109</v>
      </c>
      <c r="F644" s="5">
        <v>1000000</v>
      </c>
      <c r="G644" s="4" t="s">
        <v>885</v>
      </c>
      <c r="H644" s="4" t="s">
        <v>886</v>
      </c>
      <c r="I644" s="4" t="s">
        <v>2459</v>
      </c>
      <c r="J644" s="4"/>
      <c r="K644" s="4" t="s">
        <v>2460</v>
      </c>
      <c r="L644" s="2">
        <v>2013</v>
      </c>
      <c r="M644" s="4" t="s">
        <v>369</v>
      </c>
      <c r="N644" s="5">
        <v>30000000</v>
      </c>
      <c r="O644" s="4" t="s">
        <v>889</v>
      </c>
      <c r="P644" s="4" t="s">
        <v>890</v>
      </c>
      <c r="Q644" s="4"/>
      <c r="R644" s="4"/>
      <c r="S644" s="4"/>
      <c r="T644" s="4"/>
      <c r="U644" s="4"/>
    </row>
    <row r="645" spans="2:21" ht="26.15" hidden="1" customHeight="1">
      <c r="B645" s="2">
        <v>643</v>
      </c>
      <c r="C645" s="3">
        <v>42471</v>
      </c>
      <c r="D645" s="20">
        <v>2016</v>
      </c>
      <c r="E645" s="4" t="s">
        <v>34</v>
      </c>
      <c r="F645" s="5">
        <v>314748</v>
      </c>
      <c r="G645" s="4" t="s">
        <v>2461</v>
      </c>
      <c r="H645" s="4" t="s">
        <v>2462</v>
      </c>
      <c r="I645" s="4" t="s">
        <v>2463</v>
      </c>
      <c r="J645" s="4"/>
      <c r="K645" s="4" t="s">
        <v>2464</v>
      </c>
      <c r="L645" s="2">
        <v>2015</v>
      </c>
      <c r="M645" s="4" t="s">
        <v>56</v>
      </c>
      <c r="N645" s="5">
        <v>314748</v>
      </c>
      <c r="O645" s="4" t="s">
        <v>2465</v>
      </c>
      <c r="P645" s="4" t="s">
        <v>2466</v>
      </c>
      <c r="Q645" s="4"/>
      <c r="R645" s="4"/>
      <c r="S645" s="4"/>
      <c r="T645" s="4"/>
      <c r="U645" s="4"/>
    </row>
    <row r="646" spans="2:21" ht="26.15" hidden="1" customHeight="1">
      <c r="B646" s="2">
        <v>644</v>
      </c>
      <c r="C646" s="3">
        <v>42465</v>
      </c>
      <c r="D646" s="20">
        <v>2016</v>
      </c>
      <c r="E646" s="4" t="s">
        <v>34</v>
      </c>
      <c r="F646" s="5" t="s">
        <v>50</v>
      </c>
      <c r="G646" s="4" t="s">
        <v>2467</v>
      </c>
      <c r="H646" s="4" t="s">
        <v>2468</v>
      </c>
      <c r="I646" s="4" t="s">
        <v>797</v>
      </c>
      <c r="J646" s="4"/>
      <c r="K646" s="4" t="s">
        <v>798</v>
      </c>
      <c r="L646" s="2">
        <v>2012</v>
      </c>
      <c r="M646" s="4" t="s">
        <v>684</v>
      </c>
      <c r="N646" s="5"/>
      <c r="O646" s="4" t="s">
        <v>2469</v>
      </c>
      <c r="P646" s="4" t="s">
        <v>2470</v>
      </c>
      <c r="Q646" s="4"/>
      <c r="R646" s="4"/>
      <c r="S646" s="4"/>
      <c r="T646" s="4"/>
      <c r="U646" s="4"/>
    </row>
    <row r="647" spans="2:21" ht="26.15" hidden="1" customHeight="1">
      <c r="B647" s="2">
        <v>645</v>
      </c>
      <c r="C647" s="3">
        <v>42461</v>
      </c>
      <c r="D647" s="20">
        <v>2016</v>
      </c>
      <c r="E647" s="4" t="s">
        <v>124</v>
      </c>
      <c r="F647" s="5" t="s">
        <v>50</v>
      </c>
      <c r="G647" s="4" t="s">
        <v>329</v>
      </c>
      <c r="H647" s="4" t="s">
        <v>330</v>
      </c>
      <c r="I647" s="4"/>
      <c r="J647" s="4"/>
      <c r="K647" s="4"/>
      <c r="L647" s="2">
        <v>2015</v>
      </c>
      <c r="M647" s="4" t="s">
        <v>333</v>
      </c>
      <c r="N647" s="5">
        <v>1489730</v>
      </c>
      <c r="O647" s="4" t="s">
        <v>334</v>
      </c>
      <c r="P647" s="4" t="s">
        <v>335</v>
      </c>
      <c r="Q647" s="4"/>
      <c r="R647" s="4"/>
      <c r="S647" s="4"/>
      <c r="T647" s="4"/>
      <c r="U647" s="4"/>
    </row>
    <row r="648" spans="2:21" ht="26.15" hidden="1" customHeight="1">
      <c r="B648" s="2">
        <v>646</v>
      </c>
      <c r="C648" s="3">
        <v>42461</v>
      </c>
      <c r="D648" s="20">
        <v>2016</v>
      </c>
      <c r="E648" s="4" t="s">
        <v>184</v>
      </c>
      <c r="F648" s="5">
        <v>2000</v>
      </c>
      <c r="G648" s="4" t="s">
        <v>2146</v>
      </c>
      <c r="H648" s="4" t="s">
        <v>2147</v>
      </c>
      <c r="I648" s="4" t="s">
        <v>2471</v>
      </c>
      <c r="J648" s="4"/>
      <c r="K648" s="4"/>
      <c r="L648" s="2">
        <v>2015</v>
      </c>
      <c r="M648" s="4" t="s">
        <v>1326</v>
      </c>
      <c r="N648" s="5"/>
      <c r="O648" s="4" t="s">
        <v>2148</v>
      </c>
      <c r="P648" s="4" t="s">
        <v>2149</v>
      </c>
      <c r="Q648" s="4"/>
      <c r="R648" s="4"/>
      <c r="S648" s="4"/>
      <c r="T648" s="4"/>
      <c r="U648" s="4"/>
    </row>
    <row r="649" spans="2:21" ht="26.15" hidden="1" customHeight="1">
      <c r="B649" s="2">
        <v>647</v>
      </c>
      <c r="C649" s="3">
        <v>42461</v>
      </c>
      <c r="D649" s="20">
        <v>2016</v>
      </c>
      <c r="E649" s="4" t="s">
        <v>109</v>
      </c>
      <c r="F649" s="5">
        <v>4632223</v>
      </c>
      <c r="G649" s="4" t="s">
        <v>2472</v>
      </c>
      <c r="H649" s="4" t="s">
        <v>2473</v>
      </c>
      <c r="I649" s="4" t="s">
        <v>2474</v>
      </c>
      <c r="J649" s="4"/>
      <c r="K649" s="4" t="s">
        <v>2475</v>
      </c>
      <c r="L649" s="2">
        <v>2014</v>
      </c>
      <c r="M649" s="4" t="s">
        <v>278</v>
      </c>
      <c r="N649" s="5">
        <v>4632223</v>
      </c>
      <c r="O649" s="4" t="s">
        <v>2476</v>
      </c>
      <c r="P649" s="4" t="s">
        <v>2477</v>
      </c>
      <c r="Q649" s="4"/>
      <c r="R649" s="4"/>
      <c r="S649" s="4"/>
      <c r="T649" s="4"/>
      <c r="U649" s="4"/>
    </row>
    <row r="650" spans="2:21" ht="26.15" hidden="1" customHeight="1">
      <c r="B650" s="2">
        <v>648</v>
      </c>
      <c r="C650" s="3">
        <v>42459</v>
      </c>
      <c r="D650" s="20">
        <v>2016</v>
      </c>
      <c r="E650" s="4" t="s">
        <v>170</v>
      </c>
      <c r="F650" s="5">
        <v>120000000</v>
      </c>
      <c r="G650" s="4" t="s">
        <v>2478</v>
      </c>
      <c r="H650" s="4" t="s">
        <v>2479</v>
      </c>
      <c r="I650" s="4" t="s">
        <v>2480</v>
      </c>
      <c r="J650" s="4"/>
      <c r="K650" s="4"/>
      <c r="L650" s="2">
        <v>1963</v>
      </c>
      <c r="M650" s="4" t="s">
        <v>2481</v>
      </c>
      <c r="N650" s="5"/>
      <c r="O650" s="4" t="s">
        <v>2482</v>
      </c>
      <c r="P650" s="4" t="s">
        <v>2483</v>
      </c>
      <c r="Q650" s="4" t="s">
        <v>1771</v>
      </c>
      <c r="R650" s="4"/>
      <c r="S650" s="4"/>
      <c r="T650" s="4"/>
      <c r="U650" s="4"/>
    </row>
    <row r="651" spans="2:21" ht="26.15" hidden="1" customHeight="1">
      <c r="B651" s="2">
        <v>649</v>
      </c>
      <c r="C651" s="3">
        <v>42459</v>
      </c>
      <c r="D651" s="20">
        <v>2016</v>
      </c>
      <c r="E651" s="4" t="s">
        <v>34</v>
      </c>
      <c r="F651" s="5">
        <v>2000000</v>
      </c>
      <c r="G651" s="4" t="s">
        <v>228</v>
      </c>
      <c r="H651" s="4" t="s">
        <v>229</v>
      </c>
      <c r="I651" s="4" t="s">
        <v>2484</v>
      </c>
      <c r="J651" s="4" t="s">
        <v>2485</v>
      </c>
      <c r="K651" s="4" t="s">
        <v>2486</v>
      </c>
      <c r="L651" s="2">
        <v>2015</v>
      </c>
      <c r="M651" s="4" t="s">
        <v>233</v>
      </c>
      <c r="N651" s="5">
        <v>60000000</v>
      </c>
      <c r="O651" s="4" t="s">
        <v>234</v>
      </c>
      <c r="P651" s="4" t="s">
        <v>235</v>
      </c>
      <c r="Q651" s="4"/>
      <c r="R651" s="4"/>
      <c r="S651" s="4"/>
      <c r="T651" s="4"/>
      <c r="U651" s="4"/>
    </row>
    <row r="652" spans="2:21" ht="26.15" hidden="1" customHeight="1">
      <c r="B652" s="2">
        <v>650</v>
      </c>
      <c r="C652" s="3">
        <v>42459</v>
      </c>
      <c r="D652" s="20">
        <v>2016</v>
      </c>
      <c r="E652" s="4" t="s">
        <v>124</v>
      </c>
      <c r="F652" s="5">
        <v>2994729</v>
      </c>
      <c r="G652" s="4" t="s">
        <v>2487</v>
      </c>
      <c r="H652" s="4" t="s">
        <v>2488</v>
      </c>
      <c r="I652" s="4"/>
      <c r="J652" s="4"/>
      <c r="K652" s="4"/>
      <c r="L652" s="2">
        <v>2015</v>
      </c>
      <c r="M652" s="4" t="s">
        <v>1384</v>
      </c>
      <c r="N652" s="5">
        <v>2990000</v>
      </c>
      <c r="O652" s="4" t="s">
        <v>2489</v>
      </c>
      <c r="P652" s="4" t="s">
        <v>2490</v>
      </c>
      <c r="Q652" s="4"/>
      <c r="R652" s="4"/>
      <c r="S652" s="4"/>
      <c r="T652" s="4"/>
      <c r="U652" s="4"/>
    </row>
    <row r="653" spans="2:21" ht="26.15" hidden="1" customHeight="1">
      <c r="B653" s="2">
        <v>651</v>
      </c>
      <c r="C653" s="3">
        <v>42459</v>
      </c>
      <c r="D653" s="20">
        <v>2016</v>
      </c>
      <c r="E653" s="4" t="s">
        <v>34</v>
      </c>
      <c r="F653" s="5">
        <v>75000</v>
      </c>
      <c r="G653" s="4" t="s">
        <v>2491</v>
      </c>
      <c r="H653" s="4" t="s">
        <v>2492</v>
      </c>
      <c r="I653" s="4" t="s">
        <v>2493</v>
      </c>
      <c r="J653" s="4"/>
      <c r="K653" s="4"/>
      <c r="L653" s="2">
        <v>2016</v>
      </c>
      <c r="M653" s="4" t="s">
        <v>299</v>
      </c>
      <c r="N653" s="5">
        <v>75000</v>
      </c>
      <c r="O653" s="4" t="s">
        <v>2494</v>
      </c>
      <c r="P653" s="4" t="s">
        <v>2495</v>
      </c>
      <c r="Q653" s="4"/>
      <c r="R653" s="4"/>
      <c r="S653" s="4"/>
      <c r="T653" s="4"/>
      <c r="U653" s="4"/>
    </row>
    <row r="654" spans="2:21" ht="26.15" hidden="1" customHeight="1">
      <c r="B654" s="2">
        <v>652</v>
      </c>
      <c r="C654" s="3">
        <v>42458</v>
      </c>
      <c r="D654" s="20">
        <v>2016</v>
      </c>
      <c r="E654" s="4" t="s">
        <v>124</v>
      </c>
      <c r="F654" s="5" t="s">
        <v>50</v>
      </c>
      <c r="G654" s="4" t="s">
        <v>1652</v>
      </c>
      <c r="H654" s="4" t="s">
        <v>1653</v>
      </c>
      <c r="I654" s="4"/>
      <c r="J654" s="4"/>
      <c r="K654" s="4"/>
      <c r="L654" s="2">
        <v>2015</v>
      </c>
      <c r="M654" s="4" t="s">
        <v>1655</v>
      </c>
      <c r="N654" s="5">
        <v>41586600</v>
      </c>
      <c r="O654" s="4" t="s">
        <v>1656</v>
      </c>
      <c r="P654" s="4" t="s">
        <v>1657</v>
      </c>
      <c r="Q654" s="4"/>
      <c r="R654" s="4"/>
      <c r="S654" s="4"/>
      <c r="T654" s="4"/>
      <c r="U654" s="4"/>
    </row>
    <row r="655" spans="2:21" ht="26.15" hidden="1" customHeight="1">
      <c r="B655" s="2">
        <v>653</v>
      </c>
      <c r="C655" s="3">
        <v>42458</v>
      </c>
      <c r="D655" s="20">
        <v>2016</v>
      </c>
      <c r="E655" s="4" t="s">
        <v>1309</v>
      </c>
      <c r="F655" s="5">
        <v>100000000</v>
      </c>
      <c r="G655" s="4" t="s">
        <v>2309</v>
      </c>
      <c r="H655" s="4" t="s">
        <v>2310</v>
      </c>
      <c r="I655" s="4" t="s">
        <v>2496</v>
      </c>
      <c r="J655" s="4"/>
      <c r="K655" s="4" t="s">
        <v>2497</v>
      </c>
      <c r="L655" s="2">
        <v>2009</v>
      </c>
      <c r="M655" s="4" t="s">
        <v>1732</v>
      </c>
      <c r="N655" s="5">
        <v>204990000</v>
      </c>
      <c r="O655" s="4" t="s">
        <v>2312</v>
      </c>
      <c r="P655" s="4" t="s">
        <v>2313</v>
      </c>
      <c r="Q655" s="4"/>
      <c r="R655" s="4"/>
      <c r="S655" s="4"/>
      <c r="T655" s="4"/>
      <c r="U655" s="4"/>
    </row>
    <row r="656" spans="2:21" ht="26.15" hidden="1" customHeight="1">
      <c r="B656" s="2">
        <v>654</v>
      </c>
      <c r="C656" s="3">
        <v>42453</v>
      </c>
      <c r="D656" s="20">
        <v>2016</v>
      </c>
      <c r="E656" s="4" t="s">
        <v>34</v>
      </c>
      <c r="F656" s="5">
        <v>1120610</v>
      </c>
      <c r="G656" s="4" t="s">
        <v>185</v>
      </c>
      <c r="H656" s="4" t="s">
        <v>186</v>
      </c>
      <c r="I656" s="4" t="s">
        <v>2498</v>
      </c>
      <c r="J656" s="4" t="s">
        <v>2499</v>
      </c>
      <c r="K656" s="4" t="s">
        <v>1762</v>
      </c>
      <c r="L656" s="2">
        <v>2015</v>
      </c>
      <c r="M656" s="4" t="s">
        <v>188</v>
      </c>
      <c r="N656" s="5">
        <v>65736870</v>
      </c>
      <c r="O656" s="4" t="s">
        <v>189</v>
      </c>
      <c r="P656" s="4" t="s">
        <v>190</v>
      </c>
      <c r="Q656" s="4"/>
      <c r="R656" s="4"/>
      <c r="S656" s="4"/>
      <c r="T656" s="4"/>
      <c r="U656" s="4"/>
    </row>
    <row r="657" spans="2:21" ht="26.15" hidden="1" customHeight="1">
      <c r="B657" s="2">
        <v>655</v>
      </c>
      <c r="C657" s="3">
        <v>42450</v>
      </c>
      <c r="D657" s="20">
        <v>2016</v>
      </c>
      <c r="E657" s="4" t="s">
        <v>34</v>
      </c>
      <c r="F657" s="5" t="s">
        <v>50</v>
      </c>
      <c r="G657" s="4" t="s">
        <v>2341</v>
      </c>
      <c r="H657" s="4" t="s">
        <v>2342</v>
      </c>
      <c r="I657" s="4"/>
      <c r="J657" s="4"/>
      <c r="K657" s="4"/>
      <c r="L657" s="2">
        <v>2015</v>
      </c>
      <c r="M657" s="4" t="s">
        <v>894</v>
      </c>
      <c r="N657" s="5">
        <v>5971680</v>
      </c>
      <c r="O657" s="4" t="s">
        <v>2345</v>
      </c>
      <c r="P657" s="4" t="s">
        <v>2346</v>
      </c>
      <c r="Q657" s="4"/>
      <c r="R657" s="4"/>
      <c r="S657" s="4"/>
      <c r="T657" s="4"/>
      <c r="U657" s="4"/>
    </row>
    <row r="658" spans="2:21" ht="26.15" hidden="1" customHeight="1">
      <c r="B658" s="2">
        <v>656</v>
      </c>
      <c r="C658" s="3">
        <v>42438</v>
      </c>
      <c r="D658" s="20">
        <v>2016</v>
      </c>
      <c r="E658" s="4" t="s">
        <v>34</v>
      </c>
      <c r="F658" s="5" t="s">
        <v>50</v>
      </c>
      <c r="G658" s="4" t="s">
        <v>1505</v>
      </c>
      <c r="H658" s="4" t="s">
        <v>1506</v>
      </c>
      <c r="I658" s="4" t="s">
        <v>2500</v>
      </c>
      <c r="J658" s="4"/>
      <c r="K658" s="4"/>
      <c r="L658" s="2">
        <v>2014</v>
      </c>
      <c r="M658" s="4" t="s">
        <v>1507</v>
      </c>
      <c r="N658" s="5"/>
      <c r="O658" s="4" t="s">
        <v>1508</v>
      </c>
      <c r="P658" s="4" t="s">
        <v>1509</v>
      </c>
      <c r="Q658" s="4"/>
      <c r="R658" s="4"/>
      <c r="S658" s="4"/>
      <c r="T658" s="4"/>
      <c r="U658" s="4"/>
    </row>
    <row r="659" spans="2:21" ht="26.15" hidden="1" customHeight="1">
      <c r="B659" s="2">
        <v>657</v>
      </c>
      <c r="C659" s="3">
        <v>42436</v>
      </c>
      <c r="D659" s="20">
        <v>2016</v>
      </c>
      <c r="E659" s="4" t="s">
        <v>109</v>
      </c>
      <c r="F659" s="5">
        <v>3000000</v>
      </c>
      <c r="G659" s="4" t="s">
        <v>96</v>
      </c>
      <c r="H659" s="4" t="s">
        <v>97</v>
      </c>
      <c r="I659" s="4" t="s">
        <v>2501</v>
      </c>
      <c r="J659" s="4"/>
      <c r="K659" s="4" t="s">
        <v>1308</v>
      </c>
      <c r="L659" s="2">
        <v>2015</v>
      </c>
      <c r="M659" s="4" t="s">
        <v>79</v>
      </c>
      <c r="N659" s="5">
        <v>163285834</v>
      </c>
      <c r="O659" s="4" t="s">
        <v>100</v>
      </c>
      <c r="P659" s="4" t="s">
        <v>101</v>
      </c>
      <c r="Q659" s="4"/>
      <c r="R659" s="4"/>
      <c r="S659" s="4"/>
      <c r="T659" s="4"/>
      <c r="U659" s="4"/>
    </row>
    <row r="660" spans="2:21" ht="26.15" hidden="1" customHeight="1">
      <c r="B660" s="2">
        <v>658</v>
      </c>
      <c r="C660" s="3">
        <v>42431</v>
      </c>
      <c r="D660" s="20">
        <v>2016</v>
      </c>
      <c r="E660" s="4" t="s">
        <v>109</v>
      </c>
      <c r="F660" s="5" t="s">
        <v>50</v>
      </c>
      <c r="G660" s="4" t="s">
        <v>2502</v>
      </c>
      <c r="H660" s="4" t="s">
        <v>2503</v>
      </c>
      <c r="I660" s="4" t="s">
        <v>2504</v>
      </c>
      <c r="J660" s="4"/>
      <c r="K660" s="4"/>
      <c r="L660" s="2">
        <v>2015</v>
      </c>
      <c r="M660" s="4" t="s">
        <v>278</v>
      </c>
      <c r="N660" s="5">
        <v>781000</v>
      </c>
      <c r="O660" s="4" t="s">
        <v>2505</v>
      </c>
      <c r="P660" s="4" t="s">
        <v>2506</v>
      </c>
      <c r="Q660" s="4"/>
      <c r="R660" s="4"/>
      <c r="S660" s="4"/>
      <c r="T660" s="4"/>
      <c r="U660" s="4"/>
    </row>
    <row r="661" spans="2:21" ht="26.15" hidden="1" customHeight="1">
      <c r="B661" s="2">
        <v>659</v>
      </c>
      <c r="C661" s="3">
        <v>42431</v>
      </c>
      <c r="D661" s="20">
        <v>2016</v>
      </c>
      <c r="E661" s="4" t="s">
        <v>109</v>
      </c>
      <c r="F661" s="5">
        <v>734740</v>
      </c>
      <c r="G661" s="4" t="s">
        <v>641</v>
      </c>
      <c r="H661" s="4" t="s">
        <v>642</v>
      </c>
      <c r="I661" s="4" t="s">
        <v>643</v>
      </c>
      <c r="J661" s="4"/>
      <c r="K661" s="4" t="s">
        <v>644</v>
      </c>
      <c r="L661" s="2">
        <v>2009</v>
      </c>
      <c r="M661" s="4" t="s">
        <v>47</v>
      </c>
      <c r="N661" s="5">
        <v>10590520</v>
      </c>
      <c r="O661" s="4" t="s">
        <v>645</v>
      </c>
      <c r="P661" s="4" t="s">
        <v>646</v>
      </c>
      <c r="Q661" s="4"/>
      <c r="R661" s="4"/>
      <c r="S661" s="4"/>
      <c r="T661" s="4"/>
      <c r="U661" s="4"/>
    </row>
    <row r="662" spans="2:21" ht="26.15" hidden="1" customHeight="1">
      <c r="B662" s="2">
        <v>660</v>
      </c>
      <c r="C662" s="3">
        <v>42430</v>
      </c>
      <c r="D662" s="20">
        <v>2016</v>
      </c>
      <c r="E662" s="4" t="s">
        <v>109</v>
      </c>
      <c r="F662" s="5">
        <v>5000000</v>
      </c>
      <c r="G662" s="4" t="s">
        <v>1476</v>
      </c>
      <c r="H662" s="4" t="s">
        <v>1477</v>
      </c>
      <c r="I662" s="4" t="s">
        <v>2507</v>
      </c>
      <c r="J662" s="4"/>
      <c r="K662" s="4" t="s">
        <v>2508</v>
      </c>
      <c r="L662" s="2">
        <v>2014</v>
      </c>
      <c r="M662" s="4" t="s">
        <v>1479</v>
      </c>
      <c r="N662" s="5">
        <v>6141730</v>
      </c>
      <c r="O662" s="4" t="s">
        <v>1480</v>
      </c>
      <c r="P662" s="4" t="s">
        <v>1481</v>
      </c>
      <c r="Q662" s="4" t="s">
        <v>2507</v>
      </c>
      <c r="R662" s="4"/>
      <c r="S662" s="4"/>
      <c r="T662" s="4"/>
      <c r="U662" s="4"/>
    </row>
    <row r="663" spans="2:21" ht="26.15" customHeight="1">
      <c r="B663" s="2">
        <v>661</v>
      </c>
      <c r="C663" s="3">
        <v>42424</v>
      </c>
      <c r="D663" s="20">
        <v>2016</v>
      </c>
      <c r="E663" s="4" t="s">
        <v>34</v>
      </c>
      <c r="F663" s="5">
        <v>1000000</v>
      </c>
      <c r="G663" s="4" t="s">
        <v>353</v>
      </c>
      <c r="H663" s="4" t="s">
        <v>354</v>
      </c>
      <c r="I663" s="4" t="s">
        <v>2509</v>
      </c>
      <c r="J663" s="4"/>
      <c r="K663" s="4" t="s">
        <v>356</v>
      </c>
      <c r="L663" s="2">
        <v>2013</v>
      </c>
      <c r="M663" s="4" t="s">
        <v>357</v>
      </c>
      <c r="N663" s="5">
        <v>9700000</v>
      </c>
      <c r="O663" s="4" t="s">
        <v>358</v>
      </c>
      <c r="P663" s="4" t="s">
        <v>359</v>
      </c>
      <c r="Q663" s="4"/>
      <c r="R663" s="4"/>
      <c r="S663" s="4"/>
      <c r="T663" s="4"/>
      <c r="U663" s="4"/>
    </row>
    <row r="664" spans="2:21" ht="26.15" hidden="1" customHeight="1">
      <c r="B664" s="2">
        <v>662</v>
      </c>
      <c r="C664" s="3">
        <v>42423</v>
      </c>
      <c r="D664" s="20">
        <v>2016</v>
      </c>
      <c r="E664" s="4" t="s">
        <v>34</v>
      </c>
      <c r="F664" s="5">
        <v>363933</v>
      </c>
      <c r="G664" s="4" t="s">
        <v>322</v>
      </c>
      <c r="H664" s="4" t="s">
        <v>323</v>
      </c>
      <c r="I664" s="4" t="s">
        <v>2510</v>
      </c>
      <c r="J664" s="4" t="s">
        <v>2511</v>
      </c>
      <c r="K664" s="4" t="s">
        <v>326</v>
      </c>
      <c r="L664" s="2">
        <v>2013</v>
      </c>
      <c r="M664" s="4" t="s">
        <v>79</v>
      </c>
      <c r="N664" s="5">
        <v>814923</v>
      </c>
      <c r="O664" s="4" t="s">
        <v>327</v>
      </c>
      <c r="P664" s="4" t="s">
        <v>328</v>
      </c>
      <c r="Q664" s="4"/>
      <c r="R664" s="4"/>
      <c r="S664" s="4"/>
      <c r="T664" s="4"/>
      <c r="U664" s="4"/>
    </row>
    <row r="665" spans="2:21" ht="26.15" hidden="1" customHeight="1">
      <c r="B665" s="2">
        <v>663</v>
      </c>
      <c r="C665" s="3">
        <v>42415</v>
      </c>
      <c r="D665" s="20">
        <v>2016</v>
      </c>
      <c r="E665" s="4" t="s">
        <v>34</v>
      </c>
      <c r="F665" s="5">
        <v>73271</v>
      </c>
      <c r="G665" s="4" t="s">
        <v>1846</v>
      </c>
      <c r="H665" s="4" t="s">
        <v>1847</v>
      </c>
      <c r="I665" s="4" t="s">
        <v>2512</v>
      </c>
      <c r="J665" s="4" t="s">
        <v>2513</v>
      </c>
      <c r="K665" s="4" t="s">
        <v>2514</v>
      </c>
      <c r="L665" s="2">
        <v>2014</v>
      </c>
      <c r="M665" s="4" t="s">
        <v>79</v>
      </c>
      <c r="N665" s="5">
        <v>214702</v>
      </c>
      <c r="O665" s="4" t="s">
        <v>1850</v>
      </c>
      <c r="P665" s="4" t="s">
        <v>1851</v>
      </c>
      <c r="Q665" s="4"/>
      <c r="R665" s="4"/>
      <c r="S665" s="4"/>
      <c r="T665" s="4"/>
      <c r="U665" s="4"/>
    </row>
    <row r="666" spans="2:21" ht="26.15" hidden="1" customHeight="1">
      <c r="B666" s="2">
        <v>664</v>
      </c>
      <c r="C666" s="3">
        <v>42399</v>
      </c>
      <c r="D666" s="20">
        <v>2016</v>
      </c>
      <c r="E666" s="4" t="s">
        <v>124</v>
      </c>
      <c r="F666" s="5">
        <v>19126</v>
      </c>
      <c r="G666" s="4" t="s">
        <v>2112</v>
      </c>
      <c r="H666" s="4" t="s">
        <v>2113</v>
      </c>
      <c r="I666" s="4"/>
      <c r="J666" s="4" t="s">
        <v>2515</v>
      </c>
      <c r="K666" s="4"/>
      <c r="L666" s="2">
        <v>2013</v>
      </c>
      <c r="M666" s="4" t="s">
        <v>79</v>
      </c>
      <c r="N666" s="5">
        <v>212000</v>
      </c>
      <c r="O666" s="4" t="s">
        <v>2114</v>
      </c>
      <c r="P666" s="4" t="s">
        <v>2115</v>
      </c>
      <c r="Q666" s="4"/>
      <c r="R666" s="4"/>
      <c r="S666" s="4"/>
      <c r="T666" s="4"/>
      <c r="U666" s="4"/>
    </row>
    <row r="667" spans="2:21" ht="26.15" hidden="1" customHeight="1">
      <c r="B667" s="2">
        <v>665</v>
      </c>
      <c r="C667" s="3">
        <v>42398</v>
      </c>
      <c r="D667" s="20">
        <v>2016</v>
      </c>
      <c r="E667" s="4" t="s">
        <v>34</v>
      </c>
      <c r="F667" s="5">
        <v>152000</v>
      </c>
      <c r="G667" s="4" t="s">
        <v>2516</v>
      </c>
      <c r="H667" s="4" t="s">
        <v>2517</v>
      </c>
      <c r="I667" s="4"/>
      <c r="J667" s="4"/>
      <c r="K667" s="4"/>
      <c r="L667" s="2">
        <v>2015</v>
      </c>
      <c r="M667" s="4" t="s">
        <v>2043</v>
      </c>
      <c r="N667" s="5">
        <v>152000</v>
      </c>
      <c r="O667" s="4" t="s">
        <v>2518</v>
      </c>
      <c r="P667" s="4" t="s">
        <v>2519</v>
      </c>
      <c r="Q667" s="4"/>
      <c r="R667" s="4"/>
      <c r="S667" s="4"/>
      <c r="T667" s="4"/>
      <c r="U667" s="4"/>
    </row>
    <row r="668" spans="2:21" ht="26.15" hidden="1" customHeight="1">
      <c r="B668" s="2">
        <v>666</v>
      </c>
      <c r="C668" s="3">
        <v>42396</v>
      </c>
      <c r="D668" s="20">
        <v>2016</v>
      </c>
      <c r="E668" s="4" t="s">
        <v>124</v>
      </c>
      <c r="F668" s="5">
        <v>375448</v>
      </c>
      <c r="G668" s="4" t="s">
        <v>2271</v>
      </c>
      <c r="H668" s="4" t="s">
        <v>2272</v>
      </c>
      <c r="I668" s="4" t="s">
        <v>2520</v>
      </c>
      <c r="J668" s="4" t="s">
        <v>2521</v>
      </c>
      <c r="K668" s="4" t="s">
        <v>2522</v>
      </c>
      <c r="L668" s="2">
        <v>2015</v>
      </c>
      <c r="M668" s="4" t="s">
        <v>313</v>
      </c>
      <c r="N668" s="5">
        <v>793956</v>
      </c>
      <c r="O668" s="4" t="s">
        <v>2276</v>
      </c>
      <c r="P668" s="4" t="s">
        <v>2277</v>
      </c>
      <c r="Q668" s="4" t="s">
        <v>283</v>
      </c>
      <c r="R668" s="4"/>
      <c r="S668" s="4"/>
      <c r="T668" s="4"/>
      <c r="U668" s="4"/>
    </row>
    <row r="669" spans="2:21" ht="26.15" hidden="1" customHeight="1">
      <c r="B669" s="2">
        <v>667</v>
      </c>
      <c r="C669" s="3">
        <v>42390</v>
      </c>
      <c r="D669" s="20">
        <v>2016</v>
      </c>
      <c r="E669" s="4" t="s">
        <v>34</v>
      </c>
      <c r="F669" s="5">
        <v>323389</v>
      </c>
      <c r="G669" s="4" t="s">
        <v>1685</v>
      </c>
      <c r="H669" s="4" t="s">
        <v>1686</v>
      </c>
      <c r="I669" s="4" t="s">
        <v>2523</v>
      </c>
      <c r="J669" s="4" t="s">
        <v>2524</v>
      </c>
      <c r="K669" s="4" t="s">
        <v>2525</v>
      </c>
      <c r="L669" s="2">
        <v>2013</v>
      </c>
      <c r="M669" s="4" t="s">
        <v>79</v>
      </c>
      <c r="N669" s="5">
        <v>2257449</v>
      </c>
      <c r="O669" s="4" t="s">
        <v>1690</v>
      </c>
      <c r="P669" s="4" t="s">
        <v>1691</v>
      </c>
      <c r="Q669" s="4" t="s">
        <v>1687</v>
      </c>
      <c r="R669" s="4"/>
      <c r="S669" s="4"/>
      <c r="T669" s="4"/>
      <c r="U669" s="4"/>
    </row>
    <row r="670" spans="2:21" ht="26.15" hidden="1" customHeight="1">
      <c r="B670" s="2">
        <v>668</v>
      </c>
      <c r="C670" s="3">
        <v>42389</v>
      </c>
      <c r="D670" s="20">
        <v>2016</v>
      </c>
      <c r="E670" s="4" t="s">
        <v>124</v>
      </c>
      <c r="F670" s="5">
        <v>751000</v>
      </c>
      <c r="G670" s="4" t="s">
        <v>2526</v>
      </c>
      <c r="H670" s="4" t="s">
        <v>2527</v>
      </c>
      <c r="I670" s="4"/>
      <c r="J670" s="4"/>
      <c r="K670" s="4"/>
      <c r="L670" s="2">
        <v>2015</v>
      </c>
      <c r="M670" s="4" t="s">
        <v>278</v>
      </c>
      <c r="N670" s="5">
        <v>751000</v>
      </c>
      <c r="O670" s="4" t="s">
        <v>2528</v>
      </c>
      <c r="P670" s="4" t="s">
        <v>2529</v>
      </c>
      <c r="Q670" s="4"/>
      <c r="R670" s="4"/>
      <c r="S670" s="4"/>
      <c r="T670" s="4"/>
      <c r="U670" s="4"/>
    </row>
    <row r="671" spans="2:21" ht="26.15" hidden="1" customHeight="1">
      <c r="B671" s="2">
        <v>669</v>
      </c>
      <c r="C671" s="3">
        <v>42387</v>
      </c>
      <c r="D671" s="20">
        <v>2016</v>
      </c>
      <c r="E671" s="4" t="s">
        <v>109</v>
      </c>
      <c r="F671" s="5" t="s">
        <v>50</v>
      </c>
      <c r="G671" s="4" t="s">
        <v>1544</v>
      </c>
      <c r="H671" s="4" t="s">
        <v>1545</v>
      </c>
      <c r="I671" s="4" t="s">
        <v>2530</v>
      </c>
      <c r="J671" s="4"/>
      <c r="K671" s="4"/>
      <c r="L671" s="2">
        <v>2015</v>
      </c>
      <c r="M671" s="4" t="s">
        <v>1528</v>
      </c>
      <c r="N671" s="5">
        <v>62610600</v>
      </c>
      <c r="O671" s="4" t="s">
        <v>1547</v>
      </c>
      <c r="P671" s="4" t="s">
        <v>1416</v>
      </c>
      <c r="Q671" s="4"/>
      <c r="R671" s="4"/>
      <c r="S671" s="4"/>
      <c r="T671" s="4"/>
      <c r="U671" s="4"/>
    </row>
    <row r="672" spans="2:21" ht="26.15" hidden="1" customHeight="1">
      <c r="B672" s="2">
        <v>670</v>
      </c>
      <c r="C672" s="3">
        <v>42370</v>
      </c>
      <c r="D672" s="20">
        <v>2016</v>
      </c>
      <c r="E672" s="4" t="s">
        <v>109</v>
      </c>
      <c r="F672" s="5" t="s">
        <v>50</v>
      </c>
      <c r="G672" s="4" t="s">
        <v>1120</v>
      </c>
      <c r="H672" s="4" t="s">
        <v>1121</v>
      </c>
      <c r="I672" s="4" t="s">
        <v>893</v>
      </c>
      <c r="J672" s="4"/>
      <c r="K672" s="4" t="s">
        <v>2531</v>
      </c>
      <c r="L672" s="2">
        <v>2014</v>
      </c>
      <c r="M672" s="4" t="s">
        <v>894</v>
      </c>
      <c r="N672" s="5">
        <v>73326732</v>
      </c>
      <c r="O672" s="4" t="s">
        <v>1124</v>
      </c>
      <c r="P672" s="4" t="s">
        <v>1125</v>
      </c>
      <c r="Q672" s="4"/>
      <c r="R672" s="4"/>
      <c r="S672" s="4"/>
      <c r="T672" s="4"/>
      <c r="U672" s="4"/>
    </row>
    <row r="673" spans="2:21" ht="26.15" hidden="1" customHeight="1">
      <c r="B673" s="2">
        <v>671</v>
      </c>
      <c r="C673" s="3">
        <v>42370</v>
      </c>
      <c r="D673" s="20">
        <v>2016</v>
      </c>
      <c r="E673" s="4" t="s">
        <v>124</v>
      </c>
      <c r="F673" s="5">
        <v>15000</v>
      </c>
      <c r="G673" s="4" t="s">
        <v>2532</v>
      </c>
      <c r="H673" s="4" t="s">
        <v>2533</v>
      </c>
      <c r="I673" s="4"/>
      <c r="J673" s="4"/>
      <c r="K673" s="4"/>
      <c r="L673" s="2">
        <v>2016</v>
      </c>
      <c r="M673" s="4" t="s">
        <v>79</v>
      </c>
      <c r="N673" s="5">
        <v>15000</v>
      </c>
      <c r="O673" s="4" t="s">
        <v>2534</v>
      </c>
      <c r="P673" s="4" t="s">
        <v>2535</v>
      </c>
      <c r="Q673" s="4"/>
      <c r="R673" s="4"/>
      <c r="S673" s="4"/>
      <c r="T673" s="4"/>
      <c r="U673" s="4"/>
    </row>
    <row r="674" spans="2:21" ht="26.15" hidden="1" customHeight="1">
      <c r="B674" s="2">
        <v>672</v>
      </c>
      <c r="C674" s="3">
        <v>42370</v>
      </c>
      <c r="D674" s="20">
        <v>2016</v>
      </c>
      <c r="E674" s="4" t="s">
        <v>34</v>
      </c>
      <c r="F674" s="5">
        <v>125000</v>
      </c>
      <c r="G674" s="4" t="s">
        <v>2363</v>
      </c>
      <c r="H674" s="4" t="s">
        <v>2364</v>
      </c>
      <c r="I674" s="4" t="s">
        <v>2536</v>
      </c>
      <c r="J674" s="4"/>
      <c r="K674" s="4" t="s">
        <v>2537</v>
      </c>
      <c r="L674" s="2">
        <v>2014</v>
      </c>
      <c r="M674" s="4" t="s">
        <v>960</v>
      </c>
      <c r="N674" s="5">
        <v>125000</v>
      </c>
      <c r="O674" s="4" t="s">
        <v>2367</v>
      </c>
      <c r="P674" s="4" t="s">
        <v>2368</v>
      </c>
      <c r="Q674" s="4"/>
      <c r="R674" s="4"/>
      <c r="S674" s="4"/>
      <c r="T674" s="4"/>
      <c r="U674" s="4"/>
    </row>
    <row r="675" spans="2:21" ht="26.15" customHeight="1">
      <c r="B675" s="2">
        <v>673</v>
      </c>
      <c r="C675" s="3">
        <v>42366</v>
      </c>
      <c r="D675" s="20">
        <v>2015</v>
      </c>
      <c r="E675" s="4" t="s">
        <v>109</v>
      </c>
      <c r="F675" s="5" t="s">
        <v>50</v>
      </c>
      <c r="G675" s="4" t="s">
        <v>131</v>
      </c>
      <c r="H675" s="4" t="s">
        <v>132</v>
      </c>
      <c r="I675" s="4" t="s">
        <v>2538</v>
      </c>
      <c r="J675" s="4"/>
      <c r="K675" s="4" t="s">
        <v>2539</v>
      </c>
      <c r="L675" s="2">
        <v>1999</v>
      </c>
      <c r="M675" s="4" t="s">
        <v>135</v>
      </c>
      <c r="N675" s="5">
        <v>37500000</v>
      </c>
      <c r="O675" s="4" t="s">
        <v>136</v>
      </c>
      <c r="P675" s="4" t="s">
        <v>137</v>
      </c>
      <c r="Q675" s="4"/>
      <c r="R675" s="4"/>
      <c r="S675" s="4"/>
      <c r="T675" s="4"/>
      <c r="U675" s="4"/>
    </row>
    <row r="676" spans="2:21" ht="26.15" hidden="1" customHeight="1">
      <c r="B676" s="2">
        <v>674</v>
      </c>
      <c r="C676" s="3">
        <v>42366</v>
      </c>
      <c r="D676" s="20">
        <v>2015</v>
      </c>
      <c r="E676" s="4" t="s">
        <v>34</v>
      </c>
      <c r="F676" s="5" t="s">
        <v>50</v>
      </c>
      <c r="G676" s="4" t="s">
        <v>2540</v>
      </c>
      <c r="H676" s="4" t="s">
        <v>2541</v>
      </c>
      <c r="I676" s="4" t="s">
        <v>2542</v>
      </c>
      <c r="J676" s="4"/>
      <c r="K676" s="4"/>
      <c r="L676" s="2">
        <v>2015</v>
      </c>
      <c r="M676" s="4" t="s">
        <v>1732</v>
      </c>
      <c r="N676" s="5"/>
      <c r="O676" s="4" t="s">
        <v>2543</v>
      </c>
      <c r="P676" s="4" t="s">
        <v>2544</v>
      </c>
      <c r="Q676" s="4"/>
      <c r="R676" s="4"/>
      <c r="S676" s="4"/>
      <c r="T676" s="4"/>
      <c r="U676" s="4"/>
    </row>
    <row r="677" spans="2:21" ht="26.15" hidden="1" customHeight="1">
      <c r="B677" s="2">
        <v>675</v>
      </c>
      <c r="C677" s="3">
        <v>42361</v>
      </c>
      <c r="D677" s="20">
        <v>2015</v>
      </c>
      <c r="E677" s="4" t="s">
        <v>184</v>
      </c>
      <c r="F677" s="5">
        <v>15000</v>
      </c>
      <c r="G677" s="4" t="s">
        <v>2419</v>
      </c>
      <c r="H677" s="4" t="s">
        <v>2420</v>
      </c>
      <c r="I677" s="4" t="s">
        <v>2545</v>
      </c>
      <c r="J677" s="4"/>
      <c r="K677" s="4"/>
      <c r="L677" s="2">
        <v>2014</v>
      </c>
      <c r="M677" s="4" t="s">
        <v>1188</v>
      </c>
      <c r="N677" s="5">
        <v>1000000</v>
      </c>
      <c r="O677" s="4" t="s">
        <v>2422</v>
      </c>
      <c r="P677" s="4" t="s">
        <v>2423</v>
      </c>
      <c r="Q677" s="4"/>
      <c r="R677" s="4"/>
      <c r="S677" s="4"/>
      <c r="T677" s="4"/>
      <c r="U677" s="4"/>
    </row>
    <row r="678" spans="2:21" ht="26.15" hidden="1" customHeight="1">
      <c r="B678" s="2">
        <v>676</v>
      </c>
      <c r="C678" s="3">
        <v>42359</v>
      </c>
      <c r="D678" s="20">
        <v>2015</v>
      </c>
      <c r="E678" s="4" t="s">
        <v>34</v>
      </c>
      <c r="F678" s="5" t="s">
        <v>50</v>
      </c>
      <c r="G678" s="4" t="s">
        <v>2546</v>
      </c>
      <c r="H678" s="4" t="s">
        <v>2547</v>
      </c>
      <c r="I678" s="4" t="s">
        <v>2548</v>
      </c>
      <c r="J678" s="4"/>
      <c r="K678" s="4"/>
      <c r="L678" s="2">
        <v>2014</v>
      </c>
      <c r="M678" s="4" t="s">
        <v>278</v>
      </c>
      <c r="N678" s="5"/>
      <c r="O678" s="4" t="s">
        <v>2549</v>
      </c>
      <c r="P678" s="4" t="s">
        <v>2550</v>
      </c>
      <c r="Q678" s="4"/>
      <c r="R678" s="4"/>
      <c r="S678" s="4"/>
      <c r="T678" s="4"/>
      <c r="U678" s="4"/>
    </row>
    <row r="679" spans="2:21" ht="26.15" hidden="1" customHeight="1">
      <c r="B679" s="2">
        <v>677</v>
      </c>
      <c r="C679" s="3">
        <v>42356</v>
      </c>
      <c r="D679" s="20">
        <v>2015</v>
      </c>
      <c r="E679" s="4" t="s">
        <v>184</v>
      </c>
      <c r="F679" s="5">
        <v>33000</v>
      </c>
      <c r="G679" s="4" t="s">
        <v>2551</v>
      </c>
      <c r="H679" s="4" t="s">
        <v>2552</v>
      </c>
      <c r="I679" s="4" t="s">
        <v>1020</v>
      </c>
      <c r="J679" s="4"/>
      <c r="K679" s="4"/>
      <c r="L679" s="2">
        <v>2015</v>
      </c>
      <c r="M679" s="4" t="s">
        <v>299</v>
      </c>
      <c r="N679" s="5"/>
      <c r="O679" s="4" t="s">
        <v>2553</v>
      </c>
      <c r="P679" s="4" t="s">
        <v>2554</v>
      </c>
      <c r="Q679" s="4"/>
      <c r="R679" s="4"/>
      <c r="S679" s="4"/>
      <c r="T679" s="4"/>
      <c r="U679" s="4"/>
    </row>
    <row r="680" spans="2:21" ht="26.15" hidden="1" customHeight="1">
      <c r="B680" s="2">
        <v>678</v>
      </c>
      <c r="C680" s="3">
        <v>42355</v>
      </c>
      <c r="D680" s="20">
        <v>2015</v>
      </c>
      <c r="E680" s="4" t="s">
        <v>109</v>
      </c>
      <c r="F680" s="5">
        <v>1200000</v>
      </c>
      <c r="G680" s="4" t="s">
        <v>2347</v>
      </c>
      <c r="H680" s="4" t="s">
        <v>2348</v>
      </c>
      <c r="I680" s="4" t="s">
        <v>2555</v>
      </c>
      <c r="J680" s="4"/>
      <c r="K680" s="4"/>
      <c r="L680" s="2">
        <v>2010</v>
      </c>
      <c r="M680" s="4" t="s">
        <v>1588</v>
      </c>
      <c r="N680" s="5">
        <v>2500000</v>
      </c>
      <c r="O680" s="4" t="s">
        <v>2350</v>
      </c>
      <c r="P680" s="4" t="s">
        <v>2351</v>
      </c>
      <c r="Q680" s="4"/>
      <c r="R680" s="4"/>
      <c r="S680" s="4"/>
      <c r="T680" s="4"/>
      <c r="U680" s="4"/>
    </row>
    <row r="681" spans="2:21" ht="26.15" hidden="1" customHeight="1">
      <c r="B681" s="2">
        <v>679</v>
      </c>
      <c r="C681" s="3">
        <v>42354</v>
      </c>
      <c r="D681" s="20">
        <v>2015</v>
      </c>
      <c r="E681" s="4" t="s">
        <v>184</v>
      </c>
      <c r="F681" s="5">
        <v>50000</v>
      </c>
      <c r="G681" s="4" t="s">
        <v>856</v>
      </c>
      <c r="H681" s="4" t="s">
        <v>857</v>
      </c>
      <c r="I681" s="4" t="s">
        <v>2556</v>
      </c>
      <c r="J681" s="4"/>
      <c r="K681" s="4"/>
      <c r="L681" s="2">
        <v>2014</v>
      </c>
      <c r="M681" s="4" t="s">
        <v>860</v>
      </c>
      <c r="N681" s="5">
        <v>7000000</v>
      </c>
      <c r="O681" s="4" t="s">
        <v>861</v>
      </c>
      <c r="P681" s="4" t="s">
        <v>862</v>
      </c>
      <c r="Q681" s="4"/>
      <c r="R681" s="4"/>
      <c r="S681" s="4"/>
      <c r="T681" s="4"/>
      <c r="U681" s="4"/>
    </row>
    <row r="682" spans="2:21" ht="26.15" hidden="1" customHeight="1">
      <c r="B682" s="2">
        <v>680</v>
      </c>
      <c r="C682" s="3">
        <v>42350</v>
      </c>
      <c r="D682" s="20">
        <v>2015</v>
      </c>
      <c r="E682" s="4" t="s">
        <v>34</v>
      </c>
      <c r="F682" s="5">
        <v>74692</v>
      </c>
      <c r="G682" s="4" t="s">
        <v>2369</v>
      </c>
      <c r="H682" s="4" t="s">
        <v>2370</v>
      </c>
      <c r="I682" s="4" t="s">
        <v>2557</v>
      </c>
      <c r="J682" s="4"/>
      <c r="K682" s="4" t="s">
        <v>2558</v>
      </c>
      <c r="L682" s="2">
        <v>2013</v>
      </c>
      <c r="M682" s="4" t="s">
        <v>79</v>
      </c>
      <c r="N682" s="5">
        <v>223330</v>
      </c>
      <c r="O682" s="4" t="s">
        <v>2372</v>
      </c>
      <c r="P682" s="4" t="s">
        <v>2373</v>
      </c>
      <c r="Q682" s="4"/>
      <c r="R682" s="4"/>
      <c r="S682" s="4"/>
      <c r="T682" s="4"/>
      <c r="U682" s="4"/>
    </row>
    <row r="683" spans="2:21" ht="26.15" hidden="1" customHeight="1">
      <c r="B683" s="2">
        <v>681</v>
      </c>
      <c r="C683" s="3">
        <v>42346</v>
      </c>
      <c r="D683" s="20">
        <v>2015</v>
      </c>
      <c r="E683" s="4" t="s">
        <v>124</v>
      </c>
      <c r="F683" s="5">
        <v>449403</v>
      </c>
      <c r="G683" s="4" t="s">
        <v>980</v>
      </c>
      <c r="H683" s="4" t="s">
        <v>981</v>
      </c>
      <c r="I683" s="4"/>
      <c r="J683" s="4" t="s">
        <v>2559</v>
      </c>
      <c r="K683" s="4" t="s">
        <v>2559</v>
      </c>
      <c r="L683" s="2">
        <v>2012</v>
      </c>
      <c r="M683" s="4" t="s">
        <v>181</v>
      </c>
      <c r="N683" s="5">
        <v>987327</v>
      </c>
      <c r="O683" s="4" t="s">
        <v>984</v>
      </c>
      <c r="P683" s="4" t="s">
        <v>435</v>
      </c>
      <c r="Q683" s="4"/>
      <c r="R683" s="4"/>
      <c r="S683" s="4"/>
      <c r="T683" s="4"/>
      <c r="U683" s="4"/>
    </row>
    <row r="684" spans="2:21" ht="26.15" hidden="1" customHeight="1">
      <c r="B684" s="2">
        <v>682</v>
      </c>
      <c r="C684" s="3">
        <v>42345</v>
      </c>
      <c r="D684" s="20">
        <v>2015</v>
      </c>
      <c r="E684" s="4" t="s">
        <v>109</v>
      </c>
      <c r="F684" s="5">
        <v>1580000</v>
      </c>
      <c r="G684" s="4" t="s">
        <v>2560</v>
      </c>
      <c r="H684" s="4" t="s">
        <v>2561</v>
      </c>
      <c r="I684" s="4"/>
      <c r="J684" s="4"/>
      <c r="K684" s="4"/>
      <c r="L684" s="2">
        <v>2015</v>
      </c>
      <c r="M684" s="4" t="s">
        <v>278</v>
      </c>
      <c r="N684" s="5">
        <v>1730000</v>
      </c>
      <c r="O684" s="4" t="s">
        <v>2562</v>
      </c>
      <c r="P684" s="4" t="s">
        <v>2563</v>
      </c>
      <c r="Q684" s="4"/>
      <c r="R684" s="4"/>
      <c r="S684" s="4"/>
      <c r="T684" s="4"/>
      <c r="U684" s="4"/>
    </row>
    <row r="685" spans="2:21" ht="26.15" hidden="1" customHeight="1">
      <c r="B685" s="2">
        <v>683</v>
      </c>
      <c r="C685" s="3">
        <v>42344</v>
      </c>
      <c r="D685" s="20">
        <v>2015</v>
      </c>
      <c r="E685" s="4" t="s">
        <v>124</v>
      </c>
      <c r="F685" s="5" t="s">
        <v>50</v>
      </c>
      <c r="G685" s="4" t="s">
        <v>2126</v>
      </c>
      <c r="H685" s="4" t="s">
        <v>2127</v>
      </c>
      <c r="I685" s="4"/>
      <c r="J685" s="4"/>
      <c r="K685" s="4"/>
      <c r="L685" s="2">
        <v>2015</v>
      </c>
      <c r="M685" s="4" t="s">
        <v>278</v>
      </c>
      <c r="N685" s="5">
        <v>2907110</v>
      </c>
      <c r="O685" s="4" t="s">
        <v>2128</v>
      </c>
      <c r="P685" s="4" t="s">
        <v>2129</v>
      </c>
      <c r="Q685" s="4"/>
      <c r="R685" s="4"/>
      <c r="S685" s="4"/>
      <c r="T685" s="4"/>
      <c r="U685" s="4"/>
    </row>
    <row r="686" spans="2:21" ht="26.15" hidden="1" customHeight="1">
      <c r="B686" s="2">
        <v>684</v>
      </c>
      <c r="C686" s="3">
        <v>42342</v>
      </c>
      <c r="D686" s="20">
        <v>2015</v>
      </c>
      <c r="E686" s="4" t="s">
        <v>34</v>
      </c>
      <c r="F686" s="5">
        <v>89953</v>
      </c>
      <c r="G686" s="4" t="s">
        <v>2329</v>
      </c>
      <c r="H686" s="4" t="s">
        <v>2330</v>
      </c>
      <c r="I686" s="4"/>
      <c r="J686" s="4"/>
      <c r="K686" s="4"/>
      <c r="L686" s="2">
        <v>2015</v>
      </c>
      <c r="M686" s="4" t="s">
        <v>79</v>
      </c>
      <c r="N686" s="5">
        <v>89953</v>
      </c>
      <c r="O686" s="4" t="s">
        <v>2333</v>
      </c>
      <c r="P686" s="4" t="s">
        <v>2334</v>
      </c>
      <c r="Q686" s="4"/>
      <c r="R686" s="4"/>
      <c r="S686" s="4"/>
      <c r="T686" s="4"/>
      <c r="U686" s="4"/>
    </row>
    <row r="687" spans="2:21" ht="26.15" hidden="1" customHeight="1">
      <c r="B687" s="2">
        <v>685</v>
      </c>
      <c r="C687" s="3">
        <v>42342</v>
      </c>
      <c r="D687" s="20">
        <v>2015</v>
      </c>
      <c r="E687" s="4" t="s">
        <v>109</v>
      </c>
      <c r="F687" s="5" t="s">
        <v>50</v>
      </c>
      <c r="G687" s="4" t="s">
        <v>251</v>
      </c>
      <c r="H687" s="4" t="s">
        <v>252</v>
      </c>
      <c r="I687" s="4" t="s">
        <v>2096</v>
      </c>
      <c r="J687" s="4"/>
      <c r="K687" s="4"/>
      <c r="L687" s="2">
        <v>2006</v>
      </c>
      <c r="M687" s="4" t="s">
        <v>255</v>
      </c>
      <c r="N687" s="5">
        <v>37911025</v>
      </c>
      <c r="O687" s="4" t="s">
        <v>256</v>
      </c>
      <c r="P687" s="4" t="s">
        <v>257</v>
      </c>
      <c r="Q687" s="4"/>
      <c r="R687" s="4"/>
      <c r="S687" s="4"/>
      <c r="T687" s="4"/>
      <c r="U687" s="4"/>
    </row>
    <row r="688" spans="2:21" ht="26.15" customHeight="1">
      <c r="B688" s="2">
        <v>686</v>
      </c>
      <c r="C688" s="3">
        <v>42339</v>
      </c>
      <c r="D688" s="20">
        <v>2015</v>
      </c>
      <c r="E688" s="4" t="s">
        <v>184</v>
      </c>
      <c r="F688" s="5">
        <v>1000000</v>
      </c>
      <c r="G688" s="4" t="s">
        <v>2564</v>
      </c>
      <c r="H688" s="4" t="s">
        <v>2565</v>
      </c>
      <c r="I688" s="4" t="s">
        <v>2566</v>
      </c>
      <c r="J688" s="4"/>
      <c r="K688" s="4"/>
      <c r="L688" s="2">
        <v>2013</v>
      </c>
      <c r="M688" s="4" t="s">
        <v>1578</v>
      </c>
      <c r="N688" s="5"/>
      <c r="O688" s="4" t="s">
        <v>2567</v>
      </c>
      <c r="P688" s="4" t="s">
        <v>2568</v>
      </c>
      <c r="Q688" s="4"/>
      <c r="R688" s="4"/>
      <c r="S688" s="4"/>
      <c r="T688" s="4"/>
      <c r="U688" s="4"/>
    </row>
    <row r="689" spans="2:21" ht="26.15" hidden="1" customHeight="1">
      <c r="B689" s="2">
        <v>687</v>
      </c>
      <c r="C689" s="3">
        <v>42339</v>
      </c>
      <c r="D689" s="20">
        <v>2015</v>
      </c>
      <c r="E689" s="4" t="s">
        <v>124</v>
      </c>
      <c r="F689" s="5" t="s">
        <v>50</v>
      </c>
      <c r="G689" s="4" t="s">
        <v>2569</v>
      </c>
      <c r="H689" s="4" t="s">
        <v>2570</v>
      </c>
      <c r="I689" s="4" t="s">
        <v>2571</v>
      </c>
      <c r="J689" s="4"/>
      <c r="K689" s="4"/>
      <c r="L689" s="2">
        <v>2012</v>
      </c>
      <c r="M689" s="4" t="s">
        <v>278</v>
      </c>
      <c r="N689" s="5"/>
      <c r="O689" s="4" t="s">
        <v>2572</v>
      </c>
      <c r="P689" s="4" t="s">
        <v>2573</v>
      </c>
      <c r="Q689" s="4"/>
      <c r="R689" s="4"/>
      <c r="S689" s="4"/>
      <c r="T689" s="4"/>
      <c r="U689" s="4"/>
    </row>
    <row r="690" spans="2:21" ht="26.15" hidden="1" customHeight="1">
      <c r="B690" s="2">
        <v>688</v>
      </c>
      <c r="C690" s="3">
        <v>42335</v>
      </c>
      <c r="D690" s="20">
        <v>2015</v>
      </c>
      <c r="E690" s="4" t="s">
        <v>124</v>
      </c>
      <c r="F690" s="5" t="s">
        <v>50</v>
      </c>
      <c r="G690" s="4" t="s">
        <v>2574</v>
      </c>
      <c r="H690" s="4" t="s">
        <v>2575</v>
      </c>
      <c r="I690" s="4"/>
      <c r="J690" s="4"/>
      <c r="K690" s="4"/>
      <c r="L690" s="2">
        <v>2014</v>
      </c>
      <c r="M690" s="4" t="s">
        <v>225</v>
      </c>
      <c r="N690" s="5"/>
      <c r="O690" s="4" t="s">
        <v>2576</v>
      </c>
      <c r="P690" s="4" t="s">
        <v>2577</v>
      </c>
      <c r="Q690" s="4"/>
      <c r="R690" s="4"/>
      <c r="S690" s="4"/>
      <c r="T690" s="4"/>
      <c r="U690" s="4"/>
    </row>
    <row r="691" spans="2:21" ht="26.15" hidden="1" customHeight="1">
      <c r="B691" s="2">
        <v>689</v>
      </c>
      <c r="C691" s="3">
        <v>42333</v>
      </c>
      <c r="D691" s="20">
        <v>2015</v>
      </c>
      <c r="E691" s="4" t="s">
        <v>109</v>
      </c>
      <c r="F691" s="5" t="s">
        <v>50</v>
      </c>
      <c r="G691" s="4" t="s">
        <v>2578</v>
      </c>
      <c r="H691" s="4" t="s">
        <v>2579</v>
      </c>
      <c r="I691" s="4" t="s">
        <v>2580</v>
      </c>
      <c r="J691" s="4"/>
      <c r="K691" s="4"/>
      <c r="L691" s="2">
        <v>2014</v>
      </c>
      <c r="M691" s="4" t="s">
        <v>278</v>
      </c>
      <c r="N691" s="5"/>
      <c r="O691" s="4" t="s">
        <v>2581</v>
      </c>
      <c r="P691" s="4" t="s">
        <v>2582</v>
      </c>
      <c r="Q691" s="4"/>
      <c r="R691" s="4"/>
      <c r="S691" s="4"/>
      <c r="T691" s="4"/>
      <c r="U691" s="4"/>
    </row>
    <row r="692" spans="2:21" ht="26.15" hidden="1" customHeight="1">
      <c r="B692" s="2">
        <v>690</v>
      </c>
      <c r="C692" s="3">
        <v>42332</v>
      </c>
      <c r="D692" s="20">
        <v>2015</v>
      </c>
      <c r="E692" s="4" t="s">
        <v>34</v>
      </c>
      <c r="F692" s="5">
        <v>301636</v>
      </c>
      <c r="G692" s="4" t="s">
        <v>749</v>
      </c>
      <c r="H692" s="4" t="s">
        <v>750</v>
      </c>
      <c r="I692" s="4"/>
      <c r="J692" s="4"/>
      <c r="K692" s="4"/>
      <c r="L692" s="2">
        <v>2012</v>
      </c>
      <c r="M692" s="4" t="s">
        <v>79</v>
      </c>
      <c r="N692" s="5">
        <v>2740519</v>
      </c>
      <c r="O692" s="4" t="s">
        <v>751</v>
      </c>
      <c r="P692" s="4" t="s">
        <v>752</v>
      </c>
      <c r="Q692" s="4"/>
      <c r="R692" s="4"/>
      <c r="S692" s="4"/>
      <c r="T692" s="4"/>
      <c r="U692" s="4"/>
    </row>
    <row r="693" spans="2:21" ht="26.15" hidden="1" customHeight="1">
      <c r="B693" s="2">
        <v>691</v>
      </c>
      <c r="C693" s="3">
        <v>42328</v>
      </c>
      <c r="D693" s="20">
        <v>2015</v>
      </c>
      <c r="E693" s="4" t="s">
        <v>34</v>
      </c>
      <c r="F693" s="5" t="s">
        <v>50</v>
      </c>
      <c r="G693" s="4" t="s">
        <v>2583</v>
      </c>
      <c r="H693" s="4" t="s">
        <v>2584</v>
      </c>
      <c r="I693" s="4" t="s">
        <v>2585</v>
      </c>
      <c r="J693" s="4"/>
      <c r="K693" s="4"/>
      <c r="L693" s="2">
        <v>2015</v>
      </c>
      <c r="M693" s="4" t="s">
        <v>2338</v>
      </c>
      <c r="N693" s="5"/>
      <c r="O693" s="4" t="s">
        <v>2586</v>
      </c>
      <c r="P693" s="4" t="s">
        <v>2587</v>
      </c>
      <c r="Q693" s="4"/>
      <c r="R693" s="4"/>
      <c r="S693" s="4"/>
      <c r="T693" s="4"/>
      <c r="U693" s="4"/>
    </row>
    <row r="694" spans="2:21" ht="26.15" hidden="1" customHeight="1">
      <c r="B694" s="2">
        <v>692</v>
      </c>
      <c r="C694" s="3">
        <v>42328</v>
      </c>
      <c r="D694" s="20">
        <v>2015</v>
      </c>
      <c r="E694" s="4" t="s">
        <v>124</v>
      </c>
      <c r="F694" s="5">
        <v>530000</v>
      </c>
      <c r="G694" s="4" t="s">
        <v>2588</v>
      </c>
      <c r="H694" s="4" t="s">
        <v>2589</v>
      </c>
      <c r="I694" s="4"/>
      <c r="J694" s="4"/>
      <c r="K694" s="4"/>
      <c r="L694" s="2">
        <v>2013</v>
      </c>
      <c r="M694" s="4" t="s">
        <v>1344</v>
      </c>
      <c r="N694" s="5">
        <v>530000</v>
      </c>
      <c r="O694" s="4" t="s">
        <v>2590</v>
      </c>
      <c r="P694" s="4" t="s">
        <v>2544</v>
      </c>
      <c r="Q694" s="4"/>
      <c r="R694" s="4"/>
      <c r="S694" s="4"/>
      <c r="T694" s="4"/>
      <c r="U694" s="4"/>
    </row>
    <row r="695" spans="2:21" ht="26.15" customHeight="1">
      <c r="B695" s="2">
        <v>693</v>
      </c>
      <c r="C695" s="3">
        <v>42325</v>
      </c>
      <c r="D695" s="20">
        <v>2015</v>
      </c>
      <c r="E695" s="4" t="s">
        <v>184</v>
      </c>
      <c r="F695" s="5" t="s">
        <v>50</v>
      </c>
      <c r="G695" s="4" t="s">
        <v>2591</v>
      </c>
      <c r="H695" s="4" t="s">
        <v>2592</v>
      </c>
      <c r="I695" s="4" t="s">
        <v>155</v>
      </c>
      <c r="J695" s="4"/>
      <c r="K695" s="4"/>
      <c r="L695" s="2">
        <v>2004</v>
      </c>
      <c r="M695" s="4" t="s">
        <v>2593</v>
      </c>
      <c r="N695" s="5"/>
      <c r="O695" s="4" t="s">
        <v>2594</v>
      </c>
      <c r="P695" s="4" t="s">
        <v>2595</v>
      </c>
      <c r="Q695" s="4"/>
      <c r="R695" s="4"/>
      <c r="S695" s="4"/>
      <c r="T695" s="4"/>
      <c r="U695" s="4"/>
    </row>
    <row r="696" spans="2:21" ht="26.15" hidden="1" customHeight="1">
      <c r="B696" s="2">
        <v>694</v>
      </c>
      <c r="C696" s="3">
        <v>42325</v>
      </c>
      <c r="D696" s="20">
        <v>2015</v>
      </c>
      <c r="E696" s="4" t="s">
        <v>34</v>
      </c>
      <c r="F696" s="5">
        <v>2269340</v>
      </c>
      <c r="G696" s="4" t="s">
        <v>1763</v>
      </c>
      <c r="H696" s="4" t="s">
        <v>1764</v>
      </c>
      <c r="I696" s="4" t="s">
        <v>2222</v>
      </c>
      <c r="J696" s="4" t="s">
        <v>2596</v>
      </c>
      <c r="K696" s="4" t="s">
        <v>2223</v>
      </c>
      <c r="L696" s="2">
        <v>2006</v>
      </c>
      <c r="M696" s="4" t="s">
        <v>47</v>
      </c>
      <c r="N696" s="5">
        <v>9099055</v>
      </c>
      <c r="O696" s="4" t="s">
        <v>1767</v>
      </c>
      <c r="P696" s="4" t="s">
        <v>1768</v>
      </c>
      <c r="Q696" s="4"/>
      <c r="R696" s="4"/>
      <c r="S696" s="4"/>
      <c r="T696" s="4"/>
      <c r="U696" s="4"/>
    </row>
    <row r="697" spans="2:21" ht="26.15" hidden="1" customHeight="1">
      <c r="B697" s="2">
        <v>695</v>
      </c>
      <c r="C697" s="3">
        <v>42321</v>
      </c>
      <c r="D697" s="20">
        <v>2015</v>
      </c>
      <c r="E697" s="4" t="s">
        <v>109</v>
      </c>
      <c r="F697" s="5">
        <v>4600000</v>
      </c>
      <c r="G697" s="4" t="s">
        <v>2597</v>
      </c>
      <c r="H697" s="4" t="s">
        <v>2598</v>
      </c>
      <c r="I697" s="4"/>
      <c r="J697" s="4"/>
      <c r="K697" s="4"/>
      <c r="L697" s="2">
        <v>2015</v>
      </c>
      <c r="M697" s="4" t="s">
        <v>278</v>
      </c>
      <c r="N697" s="5">
        <v>4600000</v>
      </c>
      <c r="O697" s="4" t="s">
        <v>2599</v>
      </c>
      <c r="P697" s="4" t="s">
        <v>2600</v>
      </c>
      <c r="Q697" s="4"/>
      <c r="R697" s="4"/>
      <c r="S697" s="4"/>
      <c r="T697" s="4"/>
      <c r="U697" s="4"/>
    </row>
    <row r="698" spans="2:21" ht="26.15" customHeight="1">
      <c r="B698" s="2">
        <v>696</v>
      </c>
      <c r="C698" s="3">
        <v>42302</v>
      </c>
      <c r="D698" s="20">
        <v>2015</v>
      </c>
      <c r="E698" s="4" t="s">
        <v>34</v>
      </c>
      <c r="F698" s="5">
        <v>10000000</v>
      </c>
      <c r="G698" s="4" t="s">
        <v>2601</v>
      </c>
      <c r="H698" s="4" t="s">
        <v>2602</v>
      </c>
      <c r="I698" s="4" t="s">
        <v>1938</v>
      </c>
      <c r="J698" s="4"/>
      <c r="K698" s="4"/>
      <c r="L698" s="2">
        <v>2004</v>
      </c>
      <c r="M698" s="4" t="s">
        <v>638</v>
      </c>
      <c r="N698" s="5">
        <v>10300000</v>
      </c>
      <c r="O698" s="4" t="s">
        <v>2603</v>
      </c>
      <c r="P698" s="4" t="s">
        <v>435</v>
      </c>
      <c r="Q698" s="4"/>
      <c r="R698" s="4"/>
      <c r="S698" s="4"/>
      <c r="T698" s="4"/>
      <c r="U698" s="4"/>
    </row>
    <row r="699" spans="2:21" ht="26.15" hidden="1" customHeight="1">
      <c r="B699" s="2">
        <v>697</v>
      </c>
      <c r="C699" s="3">
        <v>42297</v>
      </c>
      <c r="D699" s="20">
        <v>2015</v>
      </c>
      <c r="E699" s="4" t="s">
        <v>109</v>
      </c>
      <c r="F699" s="5">
        <v>539574</v>
      </c>
      <c r="G699" s="4" t="s">
        <v>1705</v>
      </c>
      <c r="H699" s="4" t="s">
        <v>1706</v>
      </c>
      <c r="I699" s="4" t="s">
        <v>643</v>
      </c>
      <c r="J699" s="4"/>
      <c r="K699" s="4" t="s">
        <v>644</v>
      </c>
      <c r="L699" s="2">
        <v>2012</v>
      </c>
      <c r="M699" s="4" t="s">
        <v>1709</v>
      </c>
      <c r="N699" s="5">
        <v>6780764</v>
      </c>
      <c r="O699" s="4" t="s">
        <v>1710</v>
      </c>
      <c r="P699" s="4" t="s">
        <v>1711</v>
      </c>
      <c r="Q699" s="4"/>
      <c r="R699" s="4"/>
      <c r="S699" s="4"/>
      <c r="T699" s="4"/>
      <c r="U699" s="4"/>
    </row>
    <row r="700" spans="2:21" ht="26.15" customHeight="1">
      <c r="B700" s="2">
        <v>698</v>
      </c>
      <c r="C700" s="3">
        <v>42293</v>
      </c>
      <c r="D700" s="20">
        <v>2015</v>
      </c>
      <c r="E700" s="4" t="s">
        <v>528</v>
      </c>
      <c r="F700" s="5">
        <v>180000000</v>
      </c>
      <c r="G700" s="4" t="s">
        <v>2604</v>
      </c>
      <c r="H700" s="4" t="s">
        <v>2605</v>
      </c>
      <c r="I700" s="4" t="s">
        <v>2606</v>
      </c>
      <c r="J700" s="4"/>
      <c r="K700" s="4"/>
      <c r="L700" s="2">
        <v>1988</v>
      </c>
      <c r="M700" s="4" t="s">
        <v>1103</v>
      </c>
      <c r="N700" s="5">
        <v>180000000</v>
      </c>
      <c r="O700" s="4" t="s">
        <v>2607</v>
      </c>
      <c r="P700" s="4" t="s">
        <v>2608</v>
      </c>
      <c r="Q700" s="4"/>
      <c r="R700" s="4"/>
      <c r="S700" s="4"/>
      <c r="T700" s="4"/>
      <c r="U700" s="4"/>
    </row>
    <row r="701" spans="2:21" ht="26.15" hidden="1" customHeight="1">
      <c r="B701" s="2">
        <v>699</v>
      </c>
      <c r="C701" s="3">
        <v>42291</v>
      </c>
      <c r="D701" s="20">
        <v>2015</v>
      </c>
      <c r="E701" s="4" t="s">
        <v>124</v>
      </c>
      <c r="F701" s="5">
        <v>414752</v>
      </c>
      <c r="G701" s="4" t="s">
        <v>878</v>
      </c>
      <c r="H701" s="4" t="s">
        <v>879</v>
      </c>
      <c r="I701" s="4"/>
      <c r="J701" s="4" t="s">
        <v>2609</v>
      </c>
      <c r="K701" s="4" t="s">
        <v>2610</v>
      </c>
      <c r="L701" s="2">
        <v>2015</v>
      </c>
      <c r="M701" s="4" t="s">
        <v>56</v>
      </c>
      <c r="N701" s="5">
        <v>9059375</v>
      </c>
      <c r="O701" s="4" t="s">
        <v>883</v>
      </c>
      <c r="P701" s="4" t="s">
        <v>884</v>
      </c>
      <c r="Q701" s="4"/>
      <c r="R701" s="4"/>
      <c r="S701" s="4"/>
      <c r="T701" s="4"/>
      <c r="U701" s="4"/>
    </row>
    <row r="702" spans="2:21" ht="26.15" hidden="1" customHeight="1">
      <c r="B702" s="2">
        <v>700</v>
      </c>
      <c r="C702" s="3">
        <v>42277</v>
      </c>
      <c r="D702" s="20">
        <v>2015</v>
      </c>
      <c r="E702" s="4" t="s">
        <v>124</v>
      </c>
      <c r="F702" s="5">
        <v>781000</v>
      </c>
      <c r="G702" s="4" t="s">
        <v>2502</v>
      </c>
      <c r="H702" s="4" t="s">
        <v>2503</v>
      </c>
      <c r="I702" s="4" t="s">
        <v>2611</v>
      </c>
      <c r="J702" s="4"/>
      <c r="K702" s="4"/>
      <c r="L702" s="2">
        <v>2015</v>
      </c>
      <c r="M702" s="4" t="s">
        <v>278</v>
      </c>
      <c r="N702" s="5">
        <v>781000</v>
      </c>
      <c r="O702" s="4" t="s">
        <v>2505</v>
      </c>
      <c r="P702" s="4" t="s">
        <v>2506</v>
      </c>
      <c r="Q702" s="4"/>
      <c r="R702" s="4"/>
      <c r="S702" s="4"/>
      <c r="T702" s="4"/>
      <c r="U702" s="4"/>
    </row>
    <row r="703" spans="2:21" ht="26.15" hidden="1" customHeight="1">
      <c r="B703" s="2">
        <v>701</v>
      </c>
      <c r="C703" s="3">
        <v>42277</v>
      </c>
      <c r="D703" s="20">
        <v>2015</v>
      </c>
      <c r="E703" s="4" t="s">
        <v>25</v>
      </c>
      <c r="F703" s="5">
        <v>10000000</v>
      </c>
      <c r="G703" s="4" t="s">
        <v>2612</v>
      </c>
      <c r="H703" s="4" t="s">
        <v>2613</v>
      </c>
      <c r="I703" s="4" t="s">
        <v>2614</v>
      </c>
      <c r="J703" s="4"/>
      <c r="K703" s="4"/>
      <c r="L703" s="2">
        <v>2014</v>
      </c>
      <c r="M703" s="4" t="s">
        <v>278</v>
      </c>
      <c r="N703" s="5">
        <v>10000000</v>
      </c>
      <c r="O703" s="4" t="s">
        <v>2615</v>
      </c>
      <c r="P703" s="4" t="s">
        <v>2616</v>
      </c>
      <c r="Q703" s="4"/>
      <c r="R703" s="4"/>
      <c r="S703" s="4"/>
      <c r="T703" s="4"/>
      <c r="U703" s="4"/>
    </row>
    <row r="704" spans="2:21" ht="26.15" hidden="1" customHeight="1">
      <c r="B704" s="2">
        <v>702</v>
      </c>
      <c r="C704" s="3">
        <v>42269</v>
      </c>
      <c r="D704" s="20">
        <v>2015</v>
      </c>
      <c r="E704" s="4" t="s">
        <v>34</v>
      </c>
      <c r="F704" s="5">
        <v>1000000</v>
      </c>
      <c r="G704" s="4" t="s">
        <v>628</v>
      </c>
      <c r="H704" s="4" t="s">
        <v>629</v>
      </c>
      <c r="I704" s="4" t="s">
        <v>2617</v>
      </c>
      <c r="J704" s="4" t="s">
        <v>2618</v>
      </c>
      <c r="K704" s="4" t="s">
        <v>2619</v>
      </c>
      <c r="L704" s="2">
        <v>2015</v>
      </c>
      <c r="M704" s="4" t="s">
        <v>79</v>
      </c>
      <c r="N704" s="5">
        <v>94500000</v>
      </c>
      <c r="O704" s="4" t="s">
        <v>632</v>
      </c>
      <c r="P704" s="4" t="s">
        <v>633</v>
      </c>
      <c r="Q704" s="4"/>
      <c r="R704" s="4"/>
      <c r="S704" s="4"/>
      <c r="T704" s="4"/>
      <c r="U704" s="4"/>
    </row>
    <row r="705" spans="2:21" ht="26.15" hidden="1" customHeight="1">
      <c r="B705" s="2">
        <v>703</v>
      </c>
      <c r="C705" s="3">
        <v>42264</v>
      </c>
      <c r="D705" s="20">
        <v>2015</v>
      </c>
      <c r="E705" s="4" t="s">
        <v>109</v>
      </c>
      <c r="F705" s="5" t="s">
        <v>50</v>
      </c>
      <c r="G705" s="4" t="s">
        <v>2237</v>
      </c>
      <c r="H705" s="4" t="s">
        <v>2238</v>
      </c>
      <c r="I705" s="4" t="s">
        <v>2620</v>
      </c>
      <c r="J705" s="4"/>
      <c r="K705" s="4"/>
      <c r="L705" s="2">
        <v>2014</v>
      </c>
      <c r="M705" s="4" t="s">
        <v>278</v>
      </c>
      <c r="N705" s="5">
        <v>1800000</v>
      </c>
      <c r="O705" s="4" t="s">
        <v>2240</v>
      </c>
      <c r="P705" s="4" t="s">
        <v>2241</v>
      </c>
      <c r="Q705" s="4"/>
      <c r="R705" s="4"/>
      <c r="S705" s="4"/>
      <c r="T705" s="4"/>
      <c r="U705" s="4"/>
    </row>
    <row r="706" spans="2:21" ht="26.15" hidden="1" customHeight="1">
      <c r="B706" s="2">
        <v>704</v>
      </c>
      <c r="C706" s="3">
        <v>42262</v>
      </c>
      <c r="D706" s="20">
        <v>2015</v>
      </c>
      <c r="E706" s="4" t="s">
        <v>184</v>
      </c>
      <c r="F706" s="5">
        <v>100000</v>
      </c>
      <c r="G706" s="4" t="s">
        <v>2621</v>
      </c>
      <c r="H706" s="4" t="s">
        <v>2622</v>
      </c>
      <c r="I706" s="4" t="s">
        <v>1020</v>
      </c>
      <c r="J706" s="4"/>
      <c r="K706" s="4"/>
      <c r="L706" s="2">
        <v>2013</v>
      </c>
      <c r="M706" s="4" t="s">
        <v>1588</v>
      </c>
      <c r="N706" s="5"/>
      <c r="O706" s="4" t="s">
        <v>2623</v>
      </c>
      <c r="P706" s="4" t="s">
        <v>2624</v>
      </c>
      <c r="Q706" s="4"/>
      <c r="R706" s="4"/>
      <c r="S706" s="4"/>
      <c r="T706" s="4"/>
      <c r="U706" s="4"/>
    </row>
    <row r="707" spans="2:21" ht="26.15" hidden="1" customHeight="1">
      <c r="B707" s="2">
        <v>705</v>
      </c>
      <c r="C707" s="3">
        <v>42261</v>
      </c>
      <c r="D707" s="20">
        <v>2015</v>
      </c>
      <c r="E707" s="4" t="s">
        <v>109</v>
      </c>
      <c r="F707" s="5">
        <v>7200000</v>
      </c>
      <c r="G707" s="4" t="s">
        <v>2625</v>
      </c>
      <c r="H707" s="4" t="s">
        <v>2626</v>
      </c>
      <c r="I707" s="4" t="s">
        <v>2627</v>
      </c>
      <c r="J707" s="4"/>
      <c r="K707" s="4"/>
      <c r="L707" s="2">
        <v>2013</v>
      </c>
      <c r="M707" s="4" t="s">
        <v>1732</v>
      </c>
      <c r="N707" s="5">
        <v>7200000</v>
      </c>
      <c r="O707" s="4" t="s">
        <v>2628</v>
      </c>
      <c r="P707" s="4" t="s">
        <v>2629</v>
      </c>
      <c r="Q707" s="4"/>
      <c r="R707" s="4"/>
      <c r="S707" s="4"/>
      <c r="T707" s="4"/>
      <c r="U707" s="4"/>
    </row>
    <row r="708" spans="2:21" ht="26.15" customHeight="1">
      <c r="B708" s="2">
        <v>706</v>
      </c>
      <c r="C708" s="3">
        <v>42260</v>
      </c>
      <c r="D708" s="20">
        <v>2015</v>
      </c>
      <c r="E708" s="4" t="s">
        <v>25</v>
      </c>
      <c r="F708" s="5">
        <v>16000000</v>
      </c>
      <c r="G708" s="4" t="s">
        <v>2630</v>
      </c>
      <c r="H708" s="4" t="s">
        <v>2631</v>
      </c>
      <c r="I708" s="4" t="s">
        <v>2632</v>
      </c>
      <c r="J708" s="4"/>
      <c r="K708" s="4" t="s">
        <v>2633</v>
      </c>
      <c r="L708" s="2">
        <v>2009</v>
      </c>
      <c r="M708" s="4" t="s">
        <v>369</v>
      </c>
      <c r="N708" s="5">
        <v>26000000</v>
      </c>
      <c r="O708" s="4" t="s">
        <v>2634</v>
      </c>
      <c r="P708" s="4" t="s">
        <v>2635</v>
      </c>
      <c r="Q708" s="4"/>
      <c r="R708" s="4"/>
      <c r="S708" s="4"/>
      <c r="T708" s="4"/>
      <c r="U708" s="4"/>
    </row>
    <row r="709" spans="2:21" ht="26.15" customHeight="1">
      <c r="B709" s="2">
        <v>707</v>
      </c>
      <c r="C709" s="3">
        <v>42256</v>
      </c>
      <c r="D709" s="20">
        <v>2015</v>
      </c>
      <c r="E709" s="4" t="s">
        <v>25</v>
      </c>
      <c r="F709" s="5" t="s">
        <v>50</v>
      </c>
      <c r="G709" s="4" t="s">
        <v>2636</v>
      </c>
      <c r="H709" s="4" t="s">
        <v>2637</v>
      </c>
      <c r="I709" s="4" t="s">
        <v>2638</v>
      </c>
      <c r="J709" s="4"/>
      <c r="K709" s="4"/>
      <c r="L709" s="2">
        <v>2014</v>
      </c>
      <c r="M709" s="4" t="s">
        <v>2639</v>
      </c>
      <c r="N709" s="5"/>
      <c r="O709" s="4" t="s">
        <v>2640</v>
      </c>
      <c r="P709" s="4" t="s">
        <v>2641</v>
      </c>
      <c r="Q709" s="4"/>
      <c r="R709" s="4"/>
      <c r="S709" s="4"/>
      <c r="T709" s="4"/>
      <c r="U709" s="4"/>
    </row>
    <row r="710" spans="2:21" ht="26.15" hidden="1" customHeight="1">
      <c r="B710" s="2">
        <v>708</v>
      </c>
      <c r="C710" s="3">
        <v>42255</v>
      </c>
      <c r="D710" s="20">
        <v>2015</v>
      </c>
      <c r="E710" s="4" t="s">
        <v>34</v>
      </c>
      <c r="F710" s="5" t="s">
        <v>50</v>
      </c>
      <c r="G710" s="4" t="s">
        <v>210</v>
      </c>
      <c r="H710" s="4" t="s">
        <v>211</v>
      </c>
      <c r="I710" s="4" t="s">
        <v>2642</v>
      </c>
      <c r="J710" s="4"/>
      <c r="K710" s="4" t="s">
        <v>1134</v>
      </c>
      <c r="L710" s="2">
        <v>2013</v>
      </c>
      <c r="M710" s="4" t="s">
        <v>214</v>
      </c>
      <c r="N710" s="5">
        <v>4000000</v>
      </c>
      <c r="O710" s="4" t="s">
        <v>215</v>
      </c>
      <c r="P710" s="4" t="s">
        <v>216</v>
      </c>
      <c r="Q710" s="4"/>
      <c r="R710" s="4"/>
      <c r="S710" s="4"/>
      <c r="T710" s="4"/>
      <c r="U710" s="4"/>
    </row>
    <row r="711" spans="2:21" ht="26.15" customHeight="1">
      <c r="B711" s="2">
        <v>709</v>
      </c>
      <c r="C711" s="3">
        <v>42248</v>
      </c>
      <c r="D711" s="20">
        <v>2015</v>
      </c>
      <c r="E711" s="4" t="s">
        <v>34</v>
      </c>
      <c r="F711" s="5" t="s">
        <v>50</v>
      </c>
      <c r="G711" s="4" t="s">
        <v>1900</v>
      </c>
      <c r="H711" s="4" t="s">
        <v>1901</v>
      </c>
      <c r="I711" s="4" t="s">
        <v>2643</v>
      </c>
      <c r="J711" s="4"/>
      <c r="K711" s="4"/>
      <c r="L711" s="2">
        <v>2015</v>
      </c>
      <c r="M711" s="4" t="s">
        <v>357</v>
      </c>
      <c r="N711" s="5">
        <v>1500000</v>
      </c>
      <c r="O711" s="4" t="s">
        <v>1903</v>
      </c>
      <c r="P711" s="4" t="s">
        <v>1904</v>
      </c>
      <c r="Q711" s="4"/>
      <c r="R711" s="4"/>
      <c r="S711" s="4"/>
      <c r="T711" s="4"/>
      <c r="U711" s="4"/>
    </row>
    <row r="712" spans="2:21" ht="26.15" hidden="1" customHeight="1">
      <c r="B712" s="2">
        <v>710</v>
      </c>
      <c r="C712" s="3">
        <v>42247</v>
      </c>
      <c r="D712" s="20">
        <v>2015</v>
      </c>
      <c r="E712" s="4" t="s">
        <v>184</v>
      </c>
      <c r="F712" s="5" t="s">
        <v>50</v>
      </c>
      <c r="G712" s="4" t="s">
        <v>2644</v>
      </c>
      <c r="H712" s="4" t="s">
        <v>2645</v>
      </c>
      <c r="I712" s="4" t="s">
        <v>1821</v>
      </c>
      <c r="J712" s="4"/>
      <c r="K712" s="4"/>
      <c r="L712" s="2">
        <v>2014</v>
      </c>
      <c r="M712" s="4" t="s">
        <v>47</v>
      </c>
      <c r="N712" s="5"/>
      <c r="O712" s="4" t="s">
        <v>2646</v>
      </c>
      <c r="P712" s="4" t="s">
        <v>2647</v>
      </c>
      <c r="Q712" s="4"/>
      <c r="R712" s="4"/>
      <c r="S712" s="4"/>
      <c r="T712" s="4"/>
      <c r="U712" s="4"/>
    </row>
    <row r="713" spans="2:21" ht="26.15" customHeight="1">
      <c r="B713" s="2">
        <v>711</v>
      </c>
      <c r="C713" s="3">
        <v>42247</v>
      </c>
      <c r="D713" s="20">
        <v>2015</v>
      </c>
      <c r="E713" s="4" t="s">
        <v>34</v>
      </c>
      <c r="F713" s="5">
        <v>750000</v>
      </c>
      <c r="G713" s="4" t="s">
        <v>1802</v>
      </c>
      <c r="H713" s="4" t="s">
        <v>1803</v>
      </c>
      <c r="I713" s="4" t="s">
        <v>2648</v>
      </c>
      <c r="J713" s="4"/>
      <c r="K713" s="4"/>
      <c r="L713" s="2">
        <v>2015</v>
      </c>
      <c r="M713" s="4" t="s">
        <v>369</v>
      </c>
      <c r="N713" s="5">
        <v>910000</v>
      </c>
      <c r="O713" s="4" t="s">
        <v>1806</v>
      </c>
      <c r="P713" s="4" t="s">
        <v>1807</v>
      </c>
      <c r="Q713" s="4"/>
      <c r="R713" s="4"/>
      <c r="S713" s="4"/>
      <c r="T713" s="4"/>
      <c r="U713" s="4"/>
    </row>
    <row r="714" spans="2:21" ht="26.15" hidden="1" customHeight="1">
      <c r="B714" s="2">
        <v>712</v>
      </c>
      <c r="C714" s="3">
        <v>42237</v>
      </c>
      <c r="D714" s="20">
        <v>2015</v>
      </c>
      <c r="E714" s="4" t="s">
        <v>34</v>
      </c>
      <c r="F714" s="5">
        <v>305854</v>
      </c>
      <c r="G714" s="4" t="s">
        <v>1330</v>
      </c>
      <c r="H714" s="4" t="s">
        <v>1331</v>
      </c>
      <c r="I714" s="4" t="s">
        <v>2649</v>
      </c>
      <c r="J714" s="4"/>
      <c r="K714" s="4" t="s">
        <v>2650</v>
      </c>
      <c r="L714" s="2">
        <v>2010</v>
      </c>
      <c r="M714" s="4" t="s">
        <v>79</v>
      </c>
      <c r="N714" s="5">
        <v>15568800</v>
      </c>
      <c r="O714" s="4" t="s">
        <v>1334</v>
      </c>
      <c r="P714" s="4" t="s">
        <v>1335</v>
      </c>
      <c r="Q714" s="4"/>
      <c r="R714" s="4"/>
      <c r="S714" s="4"/>
      <c r="T714" s="4"/>
      <c r="U714" s="4"/>
    </row>
    <row r="715" spans="2:21" ht="26.15" hidden="1" customHeight="1">
      <c r="B715" s="2">
        <v>713</v>
      </c>
      <c r="C715" s="3">
        <v>42230</v>
      </c>
      <c r="D715" s="20">
        <v>2015</v>
      </c>
      <c r="E715" s="4" t="s">
        <v>109</v>
      </c>
      <c r="F715" s="5">
        <v>6632060</v>
      </c>
      <c r="G715" s="4" t="s">
        <v>2651</v>
      </c>
      <c r="H715" s="4" t="s">
        <v>2652</v>
      </c>
      <c r="I715" s="4" t="s">
        <v>2653</v>
      </c>
      <c r="J715" s="4" t="s">
        <v>2654</v>
      </c>
      <c r="K715" s="4" t="s">
        <v>2655</v>
      </c>
      <c r="L715" s="2">
        <v>2010</v>
      </c>
      <c r="M715" s="4" t="s">
        <v>79</v>
      </c>
      <c r="N715" s="5">
        <v>8883505</v>
      </c>
      <c r="O715" s="4" t="s">
        <v>2656</v>
      </c>
      <c r="P715" s="4" t="s">
        <v>2657</v>
      </c>
      <c r="Q715" s="4"/>
      <c r="R715" s="4"/>
      <c r="S715" s="4"/>
      <c r="T715" s="4"/>
      <c r="U715" s="4"/>
    </row>
    <row r="716" spans="2:21" ht="26.15" hidden="1" customHeight="1">
      <c r="B716" s="2">
        <v>714</v>
      </c>
      <c r="C716" s="3">
        <v>42230</v>
      </c>
      <c r="D716" s="20">
        <v>2015</v>
      </c>
      <c r="E716" s="4" t="s">
        <v>34</v>
      </c>
      <c r="F716" s="5" t="s">
        <v>50</v>
      </c>
      <c r="G716" s="4" t="s">
        <v>2377</v>
      </c>
      <c r="H716" s="4" t="s">
        <v>2378</v>
      </c>
      <c r="I716" s="4" t="s">
        <v>2658</v>
      </c>
      <c r="J716" s="4"/>
      <c r="K716" s="4"/>
      <c r="L716" s="2">
        <v>2014</v>
      </c>
      <c r="M716" s="4" t="s">
        <v>894</v>
      </c>
      <c r="N716" s="5">
        <v>5000000</v>
      </c>
      <c r="O716" s="4" t="s">
        <v>2380</v>
      </c>
      <c r="P716" s="4" t="s">
        <v>2381</v>
      </c>
      <c r="Q716" s="4"/>
      <c r="R716" s="4"/>
      <c r="S716" s="4"/>
      <c r="T716" s="4"/>
      <c r="U716" s="4"/>
    </row>
    <row r="717" spans="2:21" ht="26.15" hidden="1" customHeight="1">
      <c r="B717" s="2">
        <v>715</v>
      </c>
      <c r="C717" s="3">
        <v>42229</v>
      </c>
      <c r="D717" s="20">
        <v>2015</v>
      </c>
      <c r="E717" s="4" t="s">
        <v>109</v>
      </c>
      <c r="F717" s="5">
        <v>4000000</v>
      </c>
      <c r="G717" s="4" t="s">
        <v>1171</v>
      </c>
      <c r="H717" s="4" t="s">
        <v>1172</v>
      </c>
      <c r="I717" s="4" t="s">
        <v>112</v>
      </c>
      <c r="J717" s="4"/>
      <c r="K717" s="4" t="s">
        <v>113</v>
      </c>
      <c r="L717" s="2">
        <v>2008</v>
      </c>
      <c r="M717" s="4" t="s">
        <v>47</v>
      </c>
      <c r="N717" s="5">
        <v>47182672</v>
      </c>
      <c r="O717" s="4" t="s">
        <v>1175</v>
      </c>
      <c r="P717" s="4" t="s">
        <v>1176</v>
      </c>
      <c r="Q717" s="4"/>
      <c r="R717" s="4"/>
      <c r="S717" s="4"/>
      <c r="T717" s="4"/>
      <c r="U717" s="4"/>
    </row>
    <row r="718" spans="2:21" ht="26.15" hidden="1" customHeight="1">
      <c r="B718" s="2">
        <v>716</v>
      </c>
      <c r="C718" s="3">
        <v>42217</v>
      </c>
      <c r="D718" s="20">
        <v>2015</v>
      </c>
      <c r="E718" s="4" t="s">
        <v>95</v>
      </c>
      <c r="F718" s="5" t="s">
        <v>50</v>
      </c>
      <c r="G718" s="4" t="s">
        <v>1411</v>
      </c>
      <c r="H718" s="4" t="s">
        <v>1412</v>
      </c>
      <c r="I718" s="4" t="s">
        <v>2659</v>
      </c>
      <c r="J718" s="4"/>
      <c r="K718" s="4" t="s">
        <v>2660</v>
      </c>
      <c r="L718" s="2">
        <v>2014</v>
      </c>
      <c r="M718" s="4" t="s">
        <v>278</v>
      </c>
      <c r="N718" s="5">
        <v>1303000000</v>
      </c>
      <c r="O718" s="4" t="s">
        <v>1415</v>
      </c>
      <c r="P718" s="4" t="s">
        <v>1416</v>
      </c>
      <c r="Q718" s="4"/>
      <c r="R718" s="4"/>
      <c r="S718" s="4"/>
      <c r="T718" s="4"/>
      <c r="U718" s="4"/>
    </row>
    <row r="719" spans="2:21" ht="26.15" hidden="1" customHeight="1">
      <c r="B719" s="2">
        <v>717</v>
      </c>
      <c r="C719" s="3">
        <v>42217</v>
      </c>
      <c r="D719" s="20">
        <v>2015</v>
      </c>
      <c r="E719" s="4" t="s">
        <v>109</v>
      </c>
      <c r="F719" s="5" t="s">
        <v>50</v>
      </c>
      <c r="G719" s="4" t="s">
        <v>2661</v>
      </c>
      <c r="H719" s="4" t="s">
        <v>2662</v>
      </c>
      <c r="I719" s="4"/>
      <c r="J719" s="4"/>
      <c r="K719" s="4"/>
      <c r="L719" s="2">
        <v>2015</v>
      </c>
      <c r="M719" s="4" t="s">
        <v>278</v>
      </c>
      <c r="N719" s="5"/>
      <c r="O719" s="4" t="s">
        <v>2663</v>
      </c>
      <c r="P719" s="4" t="s">
        <v>2664</v>
      </c>
      <c r="Q719" s="4"/>
      <c r="R719" s="4"/>
      <c r="S719" s="4"/>
      <c r="T719" s="4"/>
      <c r="U719" s="4"/>
    </row>
    <row r="720" spans="2:21" ht="26.15" hidden="1" customHeight="1">
      <c r="B720" s="2">
        <v>718</v>
      </c>
      <c r="C720" s="3">
        <v>42209</v>
      </c>
      <c r="D720" s="20">
        <v>2015</v>
      </c>
      <c r="E720" s="4" t="s">
        <v>34</v>
      </c>
      <c r="F720" s="5">
        <v>600000</v>
      </c>
      <c r="G720" s="4" t="s">
        <v>259</v>
      </c>
      <c r="H720" s="4" t="s">
        <v>260</v>
      </c>
      <c r="I720" s="4" t="s">
        <v>2665</v>
      </c>
      <c r="J720" s="4" t="s">
        <v>2666</v>
      </c>
      <c r="K720" s="4" t="s">
        <v>2667</v>
      </c>
      <c r="L720" s="2">
        <v>2013</v>
      </c>
      <c r="M720" s="4" t="s">
        <v>79</v>
      </c>
      <c r="N720" s="5">
        <v>5345286</v>
      </c>
      <c r="O720" s="4" t="s">
        <v>264</v>
      </c>
      <c r="P720" s="4" t="s">
        <v>265</v>
      </c>
      <c r="Q720" s="4"/>
      <c r="R720" s="4"/>
      <c r="S720" s="4"/>
      <c r="T720" s="4"/>
      <c r="U720" s="4"/>
    </row>
    <row r="721" spans="2:21" ht="26.15" hidden="1" customHeight="1">
      <c r="B721" s="2">
        <v>719</v>
      </c>
      <c r="C721" s="3">
        <v>42205</v>
      </c>
      <c r="D721" s="20">
        <v>2015</v>
      </c>
      <c r="E721" s="4" t="s">
        <v>25</v>
      </c>
      <c r="F721" s="5">
        <v>16000000</v>
      </c>
      <c r="G721" s="4" t="s">
        <v>2668</v>
      </c>
      <c r="H721" s="4" t="s">
        <v>2669</v>
      </c>
      <c r="I721" s="4"/>
      <c r="J721" s="4"/>
      <c r="K721" s="4"/>
      <c r="L721" s="2">
        <v>2013</v>
      </c>
      <c r="M721" s="4" t="s">
        <v>278</v>
      </c>
      <c r="N721" s="5">
        <v>26000000</v>
      </c>
      <c r="O721" s="4" t="s">
        <v>2670</v>
      </c>
      <c r="P721" s="4" t="s">
        <v>2671</v>
      </c>
      <c r="Q721" s="4"/>
      <c r="R721" s="4"/>
      <c r="S721" s="4"/>
      <c r="T721" s="4"/>
      <c r="U721" s="4"/>
    </row>
    <row r="722" spans="2:21" ht="26.15" hidden="1" customHeight="1">
      <c r="B722" s="2">
        <v>720</v>
      </c>
      <c r="C722" s="3">
        <v>42195</v>
      </c>
      <c r="D722" s="20">
        <v>2015</v>
      </c>
      <c r="E722" s="4" t="s">
        <v>34</v>
      </c>
      <c r="F722" s="5" t="s">
        <v>50</v>
      </c>
      <c r="G722" s="4" t="s">
        <v>2672</v>
      </c>
      <c r="H722" s="4" t="s">
        <v>2673</v>
      </c>
      <c r="I722" s="4" t="s">
        <v>2674</v>
      </c>
      <c r="J722" s="4"/>
      <c r="K722" s="4" t="s">
        <v>2675</v>
      </c>
      <c r="L722" s="2">
        <v>2014</v>
      </c>
      <c r="M722" s="4" t="s">
        <v>2676</v>
      </c>
      <c r="N722" s="5"/>
      <c r="O722" s="4" t="s">
        <v>2677</v>
      </c>
      <c r="P722" s="4" t="s">
        <v>2678</v>
      </c>
      <c r="Q722" s="4"/>
      <c r="R722" s="4"/>
      <c r="S722" s="4"/>
      <c r="T722" s="4"/>
      <c r="U722" s="4"/>
    </row>
    <row r="723" spans="2:21" ht="26.15" hidden="1" customHeight="1">
      <c r="B723" s="2">
        <v>721</v>
      </c>
      <c r="C723" s="3">
        <v>42192</v>
      </c>
      <c r="D723" s="20">
        <v>2015</v>
      </c>
      <c r="E723" s="4" t="s">
        <v>34</v>
      </c>
      <c r="F723" s="5">
        <v>78853</v>
      </c>
      <c r="G723" s="4" t="s">
        <v>458</v>
      </c>
      <c r="H723" s="4" t="s">
        <v>459</v>
      </c>
      <c r="I723" s="4"/>
      <c r="J723" s="4"/>
      <c r="K723" s="4"/>
      <c r="L723" s="2">
        <v>2012</v>
      </c>
      <c r="M723" s="4" t="s">
        <v>462</v>
      </c>
      <c r="N723" s="5">
        <v>16507907</v>
      </c>
      <c r="O723" s="4" t="s">
        <v>463</v>
      </c>
      <c r="P723" s="4" t="s">
        <v>464</v>
      </c>
      <c r="Q723" s="4"/>
      <c r="R723" s="4"/>
      <c r="S723" s="4"/>
      <c r="T723" s="4"/>
      <c r="U723" s="4"/>
    </row>
    <row r="724" spans="2:21" ht="26.15" hidden="1" customHeight="1">
      <c r="B724" s="2">
        <v>722</v>
      </c>
      <c r="C724" s="3">
        <v>42186</v>
      </c>
      <c r="D724" s="20">
        <v>2015</v>
      </c>
      <c r="E724" s="4" t="s">
        <v>34</v>
      </c>
      <c r="F724" s="5">
        <v>1141730</v>
      </c>
      <c r="G724" s="4" t="s">
        <v>1476</v>
      </c>
      <c r="H724" s="4" t="s">
        <v>1477</v>
      </c>
      <c r="I724" s="4"/>
      <c r="J724" s="4"/>
      <c r="K724" s="4"/>
      <c r="L724" s="2">
        <v>2014</v>
      </c>
      <c r="M724" s="4" t="s">
        <v>1479</v>
      </c>
      <c r="N724" s="5">
        <v>6141730</v>
      </c>
      <c r="O724" s="4" t="s">
        <v>1480</v>
      </c>
      <c r="P724" s="4" t="s">
        <v>1481</v>
      </c>
      <c r="Q724" s="4"/>
      <c r="R724" s="4"/>
      <c r="S724" s="4"/>
      <c r="T724" s="4"/>
      <c r="U724" s="4"/>
    </row>
    <row r="725" spans="2:21" ht="26.15" customHeight="1">
      <c r="B725" s="2">
        <v>723</v>
      </c>
      <c r="C725" s="3">
        <v>42177</v>
      </c>
      <c r="D725" s="20">
        <v>2015</v>
      </c>
      <c r="E725" s="4" t="s">
        <v>109</v>
      </c>
      <c r="F725" s="5">
        <v>9000000</v>
      </c>
      <c r="G725" s="4" t="s">
        <v>885</v>
      </c>
      <c r="H725" s="4" t="s">
        <v>886</v>
      </c>
      <c r="I725" s="4" t="s">
        <v>2679</v>
      </c>
      <c r="J725" s="4"/>
      <c r="K725" s="4" t="s">
        <v>2680</v>
      </c>
      <c r="L725" s="2">
        <v>2013</v>
      </c>
      <c r="M725" s="4" t="s">
        <v>369</v>
      </c>
      <c r="N725" s="5">
        <v>30000000</v>
      </c>
      <c r="O725" s="4" t="s">
        <v>889</v>
      </c>
      <c r="P725" s="4" t="s">
        <v>890</v>
      </c>
      <c r="Q725" s="4"/>
      <c r="R725" s="4"/>
      <c r="S725" s="4"/>
      <c r="T725" s="4"/>
      <c r="U725" s="4"/>
    </row>
    <row r="726" spans="2:21" ht="26.15" hidden="1" customHeight="1">
      <c r="B726" s="2">
        <v>724</v>
      </c>
      <c r="C726" s="3">
        <v>42173</v>
      </c>
      <c r="D726" s="20">
        <v>2015</v>
      </c>
      <c r="E726" s="4" t="s">
        <v>34</v>
      </c>
      <c r="F726" s="5">
        <v>100000</v>
      </c>
      <c r="G726" s="4" t="s">
        <v>2347</v>
      </c>
      <c r="H726" s="4" t="s">
        <v>2348</v>
      </c>
      <c r="I726" s="4" t="s">
        <v>785</v>
      </c>
      <c r="J726" s="4"/>
      <c r="K726" s="4"/>
      <c r="L726" s="2">
        <v>2010</v>
      </c>
      <c r="M726" s="4" t="s">
        <v>1588</v>
      </c>
      <c r="N726" s="5">
        <v>2500000</v>
      </c>
      <c r="O726" s="4" t="s">
        <v>2350</v>
      </c>
      <c r="P726" s="4" t="s">
        <v>2351</v>
      </c>
      <c r="Q726" s="4"/>
      <c r="R726" s="4"/>
      <c r="S726" s="4"/>
      <c r="T726" s="4"/>
      <c r="U726" s="4"/>
    </row>
    <row r="727" spans="2:21" ht="26.15" hidden="1" customHeight="1">
      <c r="B727" s="2">
        <v>725</v>
      </c>
      <c r="C727" s="3">
        <v>42169</v>
      </c>
      <c r="D727" s="20">
        <v>2015</v>
      </c>
      <c r="E727" s="4" t="s">
        <v>124</v>
      </c>
      <c r="F727" s="5" t="s">
        <v>50</v>
      </c>
      <c r="G727" s="4" t="s">
        <v>2681</v>
      </c>
      <c r="H727" s="4" t="s">
        <v>2682</v>
      </c>
      <c r="I727" s="4" t="s">
        <v>2683</v>
      </c>
      <c r="J727" s="4"/>
      <c r="K727" s="4"/>
      <c r="L727" s="2">
        <v>2015</v>
      </c>
      <c r="M727" s="4" t="s">
        <v>278</v>
      </c>
      <c r="N727" s="5"/>
      <c r="O727" s="4" t="s">
        <v>2684</v>
      </c>
      <c r="P727" s="4" t="s">
        <v>2685</v>
      </c>
      <c r="Q727" s="4"/>
      <c r="R727" s="4"/>
      <c r="S727" s="4"/>
      <c r="T727" s="4"/>
      <c r="U727" s="4"/>
    </row>
    <row r="728" spans="2:21" ht="26.15" hidden="1" customHeight="1">
      <c r="B728" s="2">
        <v>726</v>
      </c>
      <c r="C728" s="3">
        <v>42164</v>
      </c>
      <c r="D728" s="20">
        <v>2015</v>
      </c>
      <c r="E728" s="4" t="s">
        <v>109</v>
      </c>
      <c r="F728" s="5">
        <v>10000000</v>
      </c>
      <c r="G728" s="4" t="s">
        <v>2686</v>
      </c>
      <c r="H728" s="4" t="s">
        <v>2687</v>
      </c>
      <c r="I728" s="4"/>
      <c r="J728" s="4"/>
      <c r="K728" s="4"/>
      <c r="L728" s="2">
        <v>2013</v>
      </c>
      <c r="M728" s="4" t="s">
        <v>1732</v>
      </c>
      <c r="N728" s="5">
        <v>10000000</v>
      </c>
      <c r="O728" s="4" t="s">
        <v>2688</v>
      </c>
      <c r="P728" s="4" t="s">
        <v>2689</v>
      </c>
      <c r="Q728" s="4"/>
      <c r="R728" s="4"/>
      <c r="S728" s="4"/>
      <c r="T728" s="4"/>
      <c r="U728" s="4"/>
    </row>
    <row r="729" spans="2:21" ht="26.15" customHeight="1">
      <c r="B729" s="2">
        <v>727</v>
      </c>
      <c r="C729" s="3">
        <v>42158</v>
      </c>
      <c r="D729" s="20">
        <v>2015</v>
      </c>
      <c r="E729" s="4" t="s">
        <v>34</v>
      </c>
      <c r="F729" s="5" t="s">
        <v>50</v>
      </c>
      <c r="G729" s="4" t="s">
        <v>2030</v>
      </c>
      <c r="H729" s="4" t="s">
        <v>2031</v>
      </c>
      <c r="I729" s="4" t="s">
        <v>2352</v>
      </c>
      <c r="J729" s="4"/>
      <c r="K729" s="4" t="s">
        <v>2353</v>
      </c>
      <c r="L729" s="2">
        <v>2013</v>
      </c>
      <c r="M729" s="4" t="s">
        <v>369</v>
      </c>
      <c r="N729" s="5">
        <v>22000000</v>
      </c>
      <c r="O729" s="4" t="s">
        <v>2034</v>
      </c>
      <c r="P729" s="4" t="s">
        <v>2035</v>
      </c>
      <c r="Q729" s="4"/>
      <c r="R729" s="4"/>
      <c r="S729" s="4"/>
      <c r="T729" s="4"/>
      <c r="U729" s="4"/>
    </row>
    <row r="730" spans="2:21" ht="26.15" hidden="1" customHeight="1">
      <c r="B730" s="2">
        <v>728</v>
      </c>
      <c r="C730" s="3">
        <v>42157</v>
      </c>
      <c r="D730" s="20">
        <v>2015</v>
      </c>
      <c r="E730" s="4" t="s">
        <v>109</v>
      </c>
      <c r="F730" s="5">
        <v>4311640</v>
      </c>
      <c r="G730" s="4" t="s">
        <v>743</v>
      </c>
      <c r="H730" s="4" t="s">
        <v>744</v>
      </c>
      <c r="I730" s="4" t="s">
        <v>2155</v>
      </c>
      <c r="J730" s="4"/>
      <c r="K730" s="4" t="s">
        <v>746</v>
      </c>
      <c r="L730" s="2">
        <v>2013</v>
      </c>
      <c r="M730" s="4" t="s">
        <v>121</v>
      </c>
      <c r="N730" s="5">
        <v>17022002</v>
      </c>
      <c r="O730" s="4" t="s">
        <v>747</v>
      </c>
      <c r="P730" s="4" t="s">
        <v>748</v>
      </c>
      <c r="Q730" s="4"/>
      <c r="R730" s="4"/>
      <c r="S730" s="4"/>
      <c r="T730" s="4"/>
      <c r="U730" s="4"/>
    </row>
    <row r="731" spans="2:21" ht="26.15" hidden="1" customHeight="1">
      <c r="B731" s="2">
        <v>729</v>
      </c>
      <c r="C731" s="3">
        <v>42156</v>
      </c>
      <c r="D731" s="20">
        <v>2015</v>
      </c>
      <c r="E731" s="4" t="s">
        <v>184</v>
      </c>
      <c r="F731" s="5" t="s">
        <v>50</v>
      </c>
      <c r="G731" s="4" t="s">
        <v>1312</v>
      </c>
      <c r="H731" s="4" t="s">
        <v>1313</v>
      </c>
      <c r="I731" s="4" t="s">
        <v>2690</v>
      </c>
      <c r="J731" s="4"/>
      <c r="K731" s="4"/>
      <c r="L731" s="2">
        <v>2013</v>
      </c>
      <c r="M731" s="4" t="s">
        <v>704</v>
      </c>
      <c r="N731" s="5"/>
      <c r="O731" s="4" t="s">
        <v>1315</v>
      </c>
      <c r="P731" s="4" t="s">
        <v>1316</v>
      </c>
      <c r="Q731" s="4"/>
      <c r="R731" s="4"/>
      <c r="S731" s="4"/>
      <c r="T731" s="4"/>
      <c r="U731" s="4"/>
    </row>
    <row r="732" spans="2:21" ht="26.15" hidden="1" customHeight="1">
      <c r="B732" s="2">
        <v>730</v>
      </c>
      <c r="C732" s="3">
        <v>42156</v>
      </c>
      <c r="D732" s="20">
        <v>2015</v>
      </c>
      <c r="E732" s="4" t="s">
        <v>25</v>
      </c>
      <c r="F732" s="5" t="s">
        <v>50</v>
      </c>
      <c r="G732" s="4" t="s">
        <v>2691</v>
      </c>
      <c r="H732" s="4" t="s">
        <v>2692</v>
      </c>
      <c r="I732" s="4" t="s">
        <v>2693</v>
      </c>
      <c r="J732" s="4"/>
      <c r="K732" s="4"/>
      <c r="L732" s="2">
        <v>2012</v>
      </c>
      <c r="M732" s="4" t="s">
        <v>278</v>
      </c>
      <c r="N732" s="5"/>
      <c r="O732" s="4" t="s">
        <v>2694</v>
      </c>
      <c r="P732" s="4" t="s">
        <v>2695</v>
      </c>
      <c r="Q732" s="4"/>
      <c r="R732" s="4"/>
      <c r="S732" s="4"/>
      <c r="T732" s="4"/>
      <c r="U732" s="4"/>
    </row>
    <row r="733" spans="2:21" ht="26.15" hidden="1" customHeight="1">
      <c r="B733" s="2">
        <v>731</v>
      </c>
      <c r="C733" s="3">
        <v>42156</v>
      </c>
      <c r="D733" s="20">
        <v>2015</v>
      </c>
      <c r="E733" s="4" t="s">
        <v>25</v>
      </c>
      <c r="F733" s="5" t="s">
        <v>50</v>
      </c>
      <c r="G733" s="4" t="s">
        <v>2691</v>
      </c>
      <c r="H733" s="4" t="s">
        <v>2692</v>
      </c>
      <c r="I733" s="4" t="s">
        <v>1343</v>
      </c>
      <c r="J733" s="4"/>
      <c r="K733" s="4" t="s">
        <v>2696</v>
      </c>
      <c r="L733" s="2">
        <v>2012</v>
      </c>
      <c r="M733" s="4" t="s">
        <v>278</v>
      </c>
      <c r="N733" s="5"/>
      <c r="O733" s="4" t="s">
        <v>2694</v>
      </c>
      <c r="P733" s="4" t="s">
        <v>2695</v>
      </c>
      <c r="Q733" s="4"/>
      <c r="R733" s="4"/>
      <c r="S733" s="4"/>
      <c r="T733" s="4"/>
      <c r="U733" s="4"/>
    </row>
    <row r="734" spans="2:21" ht="26.15" hidden="1" customHeight="1">
      <c r="B734" s="2">
        <v>732</v>
      </c>
      <c r="C734" s="3">
        <v>42156</v>
      </c>
      <c r="D734" s="20">
        <v>2015</v>
      </c>
      <c r="E734" s="4" t="s">
        <v>34</v>
      </c>
      <c r="F734" s="5" t="s">
        <v>50</v>
      </c>
      <c r="G734" s="4" t="s">
        <v>2697</v>
      </c>
      <c r="H734" s="4" t="s">
        <v>2698</v>
      </c>
      <c r="I734" s="4" t="s">
        <v>2699</v>
      </c>
      <c r="J734" s="4"/>
      <c r="K734" s="4"/>
      <c r="L734" s="2">
        <v>2015</v>
      </c>
      <c r="M734" s="4" t="s">
        <v>2700</v>
      </c>
      <c r="N734" s="5"/>
      <c r="O734" s="4" t="s">
        <v>2701</v>
      </c>
      <c r="P734" s="4" t="s">
        <v>2702</v>
      </c>
      <c r="Q734" s="4"/>
      <c r="R734" s="4"/>
      <c r="S734" s="4"/>
      <c r="T734" s="4"/>
      <c r="U734" s="4"/>
    </row>
    <row r="735" spans="2:21" ht="26.15" hidden="1" customHeight="1">
      <c r="B735" s="2">
        <v>733</v>
      </c>
      <c r="C735" s="3">
        <v>42156</v>
      </c>
      <c r="D735" s="20">
        <v>2015</v>
      </c>
      <c r="E735" s="4" t="s">
        <v>34</v>
      </c>
      <c r="F735" s="5">
        <v>50000</v>
      </c>
      <c r="G735" s="4" t="s">
        <v>2703</v>
      </c>
      <c r="H735" s="4" t="s">
        <v>2704</v>
      </c>
      <c r="I735" s="4" t="s">
        <v>1394</v>
      </c>
      <c r="J735" s="4"/>
      <c r="K735" s="4"/>
      <c r="L735" s="2">
        <v>2014</v>
      </c>
      <c r="M735" s="4" t="s">
        <v>39</v>
      </c>
      <c r="N735" s="5">
        <v>50000</v>
      </c>
      <c r="O735" s="4" t="s">
        <v>2705</v>
      </c>
      <c r="P735" s="4" t="s">
        <v>2706</v>
      </c>
      <c r="Q735" s="4"/>
      <c r="R735" s="4"/>
      <c r="S735" s="4"/>
      <c r="T735" s="4"/>
      <c r="U735" s="4"/>
    </row>
    <row r="736" spans="2:21" ht="26.15" customHeight="1">
      <c r="B736" s="2">
        <v>734</v>
      </c>
      <c r="C736" s="3">
        <v>42156</v>
      </c>
      <c r="D736" s="20">
        <v>2015</v>
      </c>
      <c r="E736" s="4" t="s">
        <v>34</v>
      </c>
      <c r="F736" s="5">
        <v>100000</v>
      </c>
      <c r="G736" s="4" t="s">
        <v>2707</v>
      </c>
      <c r="H736" s="4" t="s">
        <v>2708</v>
      </c>
      <c r="I736" s="4" t="s">
        <v>514</v>
      </c>
      <c r="J736" s="4"/>
      <c r="K736" s="4" t="s">
        <v>515</v>
      </c>
      <c r="L736" s="2">
        <v>2012</v>
      </c>
      <c r="M736" s="4" t="s">
        <v>369</v>
      </c>
      <c r="N736" s="5">
        <v>100000</v>
      </c>
      <c r="O736" s="4" t="s">
        <v>2709</v>
      </c>
      <c r="P736" s="4" t="s">
        <v>2710</v>
      </c>
      <c r="Q736" s="4"/>
      <c r="R736" s="4"/>
      <c r="S736" s="4"/>
      <c r="T736" s="4"/>
      <c r="U736" s="4"/>
    </row>
    <row r="737" spans="2:21" ht="26.15" hidden="1" customHeight="1">
      <c r="B737" s="2">
        <v>735</v>
      </c>
      <c r="C737" s="3">
        <v>42156</v>
      </c>
      <c r="D737" s="20">
        <v>2015</v>
      </c>
      <c r="E737" s="4" t="s">
        <v>184</v>
      </c>
      <c r="F737" s="5">
        <v>10772</v>
      </c>
      <c r="G737" s="4" t="s">
        <v>2711</v>
      </c>
      <c r="H737" s="4" t="s">
        <v>2712</v>
      </c>
      <c r="I737" s="4" t="s">
        <v>2713</v>
      </c>
      <c r="J737" s="4"/>
      <c r="K737" s="4"/>
      <c r="L737" s="2">
        <v>2011</v>
      </c>
      <c r="M737" s="4" t="s">
        <v>2714</v>
      </c>
      <c r="N737" s="5"/>
      <c r="O737" s="4" t="s">
        <v>2715</v>
      </c>
      <c r="P737" s="4" t="s">
        <v>2716</v>
      </c>
      <c r="Q737" s="4"/>
      <c r="R737" s="4"/>
      <c r="S737" s="4"/>
      <c r="T737" s="4"/>
      <c r="U737" s="4"/>
    </row>
    <row r="738" spans="2:21" ht="26.15" hidden="1" customHeight="1">
      <c r="B738" s="2">
        <v>736</v>
      </c>
      <c r="C738" s="3">
        <v>42156</v>
      </c>
      <c r="D738" s="20">
        <v>2015</v>
      </c>
      <c r="E738" s="4" t="s">
        <v>34</v>
      </c>
      <c r="F738" s="5">
        <v>50000</v>
      </c>
      <c r="G738" s="4" t="s">
        <v>2717</v>
      </c>
      <c r="H738" s="4" t="s">
        <v>2718</v>
      </c>
      <c r="I738" s="4" t="s">
        <v>1394</v>
      </c>
      <c r="J738" s="4"/>
      <c r="K738" s="4"/>
      <c r="L738" s="2">
        <v>2012</v>
      </c>
      <c r="M738" s="4" t="s">
        <v>39</v>
      </c>
      <c r="N738" s="5">
        <v>50000</v>
      </c>
      <c r="O738" s="4" t="s">
        <v>2719</v>
      </c>
      <c r="P738" s="4" t="s">
        <v>2720</v>
      </c>
      <c r="Q738" s="4"/>
      <c r="R738" s="4"/>
      <c r="S738" s="4"/>
      <c r="T738" s="4"/>
      <c r="U738" s="4"/>
    </row>
    <row r="739" spans="2:21" ht="26.15" hidden="1" customHeight="1">
      <c r="B739" s="2">
        <v>737</v>
      </c>
      <c r="C739" s="3">
        <v>42149</v>
      </c>
      <c r="D739" s="20">
        <v>2015</v>
      </c>
      <c r="E739" s="4" t="s">
        <v>95</v>
      </c>
      <c r="F739" s="5">
        <v>70000000</v>
      </c>
      <c r="G739" s="4" t="s">
        <v>2309</v>
      </c>
      <c r="H739" s="4" t="s">
        <v>2310</v>
      </c>
      <c r="I739" s="4" t="s">
        <v>2721</v>
      </c>
      <c r="J739" s="4"/>
      <c r="K739" s="4" t="s">
        <v>2722</v>
      </c>
      <c r="L739" s="2">
        <v>2009</v>
      </c>
      <c r="M739" s="4" t="s">
        <v>1732</v>
      </c>
      <c r="N739" s="5">
        <v>204990000</v>
      </c>
      <c r="O739" s="4" t="s">
        <v>2312</v>
      </c>
      <c r="P739" s="4" t="s">
        <v>2313</v>
      </c>
      <c r="Q739" s="4"/>
      <c r="R739" s="4"/>
      <c r="S739" s="4"/>
      <c r="T739" s="4"/>
      <c r="U739" s="4"/>
    </row>
    <row r="740" spans="2:21" ht="26.15" hidden="1" customHeight="1">
      <c r="B740" s="2">
        <v>738</v>
      </c>
      <c r="C740" s="3">
        <v>42144</v>
      </c>
      <c r="D740" s="20">
        <v>2015</v>
      </c>
      <c r="E740" s="4" t="s">
        <v>109</v>
      </c>
      <c r="F740" s="5">
        <v>7014810</v>
      </c>
      <c r="G740" s="4" t="s">
        <v>2723</v>
      </c>
      <c r="H740" s="4" t="s">
        <v>2724</v>
      </c>
      <c r="I740" s="4" t="s">
        <v>2725</v>
      </c>
      <c r="J740" s="4"/>
      <c r="K740" s="4" t="s">
        <v>2726</v>
      </c>
      <c r="L740" s="2">
        <v>2015</v>
      </c>
      <c r="M740" s="4" t="s">
        <v>2727</v>
      </c>
      <c r="N740" s="5">
        <v>7014810</v>
      </c>
      <c r="O740" s="4" t="s">
        <v>2728</v>
      </c>
      <c r="P740" s="4" t="s">
        <v>2729</v>
      </c>
      <c r="Q740" s="4"/>
      <c r="R740" s="4"/>
      <c r="S740" s="4"/>
      <c r="T740" s="4"/>
      <c r="U740" s="4"/>
    </row>
    <row r="741" spans="2:21" ht="26.15" hidden="1" customHeight="1">
      <c r="B741" s="2">
        <v>739</v>
      </c>
      <c r="C741" s="3">
        <v>42141</v>
      </c>
      <c r="D741" s="20">
        <v>2015</v>
      </c>
      <c r="E741" s="4" t="s">
        <v>34</v>
      </c>
      <c r="F741" s="5">
        <v>150000</v>
      </c>
      <c r="G741" s="4" t="s">
        <v>473</v>
      </c>
      <c r="H741" s="4" t="s">
        <v>474</v>
      </c>
      <c r="I741" s="4" t="s">
        <v>2730</v>
      </c>
      <c r="J741" s="4"/>
      <c r="K741" s="4" t="s">
        <v>2731</v>
      </c>
      <c r="L741" s="2">
        <v>2014</v>
      </c>
      <c r="M741" s="4" t="s">
        <v>39</v>
      </c>
      <c r="N741" s="5">
        <v>46450000</v>
      </c>
      <c r="O741" s="4" t="s">
        <v>475</v>
      </c>
      <c r="P741" s="4" t="s">
        <v>476</v>
      </c>
      <c r="Q741" s="4"/>
      <c r="R741" s="4"/>
      <c r="S741" s="4"/>
      <c r="T741" s="4"/>
      <c r="U741" s="4"/>
    </row>
    <row r="742" spans="2:21" ht="26.15" hidden="1" customHeight="1">
      <c r="B742" s="2">
        <v>740</v>
      </c>
      <c r="C742" s="3">
        <v>42131</v>
      </c>
      <c r="D742" s="20">
        <v>2015</v>
      </c>
      <c r="E742" s="4" t="s">
        <v>124</v>
      </c>
      <c r="F742" s="5">
        <v>1500000</v>
      </c>
      <c r="G742" s="4" t="s">
        <v>2732</v>
      </c>
      <c r="H742" s="4" t="s">
        <v>2733</v>
      </c>
      <c r="I742" s="4"/>
      <c r="J742" s="4"/>
      <c r="K742" s="4"/>
      <c r="L742" s="2">
        <v>2014</v>
      </c>
      <c r="M742" s="4" t="s">
        <v>1473</v>
      </c>
      <c r="N742" s="5">
        <v>1500000</v>
      </c>
      <c r="O742" s="4" t="s">
        <v>2734</v>
      </c>
      <c r="P742" s="4" t="s">
        <v>2735</v>
      </c>
      <c r="Q742" s="4"/>
      <c r="R742" s="4"/>
      <c r="S742" s="4"/>
      <c r="T742" s="4"/>
      <c r="U742" s="4"/>
    </row>
    <row r="743" spans="2:21" ht="26.15" hidden="1" customHeight="1">
      <c r="B743" s="2">
        <v>741</v>
      </c>
      <c r="C743" s="3">
        <v>42101</v>
      </c>
      <c r="D743" s="20">
        <v>2015</v>
      </c>
      <c r="E743" s="4" t="s">
        <v>109</v>
      </c>
      <c r="F743" s="5">
        <v>1000000</v>
      </c>
      <c r="G743" s="4" t="s">
        <v>641</v>
      </c>
      <c r="H743" s="4" t="s">
        <v>642</v>
      </c>
      <c r="I743" s="4" t="s">
        <v>643</v>
      </c>
      <c r="J743" s="4"/>
      <c r="K743" s="4" t="s">
        <v>644</v>
      </c>
      <c r="L743" s="2">
        <v>2009</v>
      </c>
      <c r="M743" s="4" t="s">
        <v>47</v>
      </c>
      <c r="N743" s="5">
        <v>10590520</v>
      </c>
      <c r="O743" s="4" t="s">
        <v>645</v>
      </c>
      <c r="P743" s="4" t="s">
        <v>646</v>
      </c>
      <c r="Q743" s="4"/>
      <c r="R743" s="4"/>
      <c r="S743" s="4"/>
      <c r="T743" s="4"/>
      <c r="U743" s="4"/>
    </row>
    <row r="744" spans="2:21" ht="26.15" hidden="1" customHeight="1">
      <c r="B744" s="2">
        <v>742</v>
      </c>
      <c r="C744" s="3">
        <v>42099</v>
      </c>
      <c r="D744" s="20">
        <v>2015</v>
      </c>
      <c r="E744" s="4" t="s">
        <v>124</v>
      </c>
      <c r="F744" s="5">
        <v>1560000</v>
      </c>
      <c r="G744" s="4" t="s">
        <v>2139</v>
      </c>
      <c r="H744" s="4" t="s">
        <v>2140</v>
      </c>
      <c r="I744" s="4"/>
      <c r="J744" s="4"/>
      <c r="K744" s="4"/>
      <c r="L744" s="2">
        <v>2015</v>
      </c>
      <c r="M744" s="4" t="s">
        <v>1384</v>
      </c>
      <c r="N744" s="5">
        <v>3100000</v>
      </c>
      <c r="O744" s="4" t="s">
        <v>2142</v>
      </c>
      <c r="P744" s="4" t="s">
        <v>2143</v>
      </c>
      <c r="Q744" s="4"/>
      <c r="R744" s="4"/>
      <c r="S744" s="4"/>
      <c r="T744" s="4"/>
      <c r="U744" s="4"/>
    </row>
    <row r="745" spans="2:21" ht="26.15" hidden="1" customHeight="1">
      <c r="B745" s="2">
        <v>743</v>
      </c>
      <c r="C745" s="3">
        <v>42095</v>
      </c>
      <c r="D745" s="20">
        <v>2015</v>
      </c>
      <c r="E745" s="4" t="s">
        <v>34</v>
      </c>
      <c r="F745" s="5" t="s">
        <v>50</v>
      </c>
      <c r="G745" s="4" t="s">
        <v>2736</v>
      </c>
      <c r="H745" s="4" t="s">
        <v>2737</v>
      </c>
      <c r="I745" s="4" t="s">
        <v>2738</v>
      </c>
      <c r="J745" s="4"/>
      <c r="K745" s="4"/>
      <c r="L745" s="2">
        <v>2014</v>
      </c>
      <c r="M745" s="4" t="s">
        <v>2739</v>
      </c>
      <c r="N745" s="5"/>
      <c r="O745" s="4" t="s">
        <v>2740</v>
      </c>
      <c r="P745" s="4" t="s">
        <v>2741</v>
      </c>
      <c r="Q745" s="4"/>
      <c r="R745" s="4"/>
      <c r="S745" s="4"/>
      <c r="T745" s="4"/>
      <c r="U745" s="4"/>
    </row>
    <row r="746" spans="2:21" ht="26.15" hidden="1" customHeight="1">
      <c r="B746" s="2">
        <v>744</v>
      </c>
      <c r="C746" s="3">
        <v>42094</v>
      </c>
      <c r="D746" s="20">
        <v>2015</v>
      </c>
      <c r="E746" s="4" t="s">
        <v>34</v>
      </c>
      <c r="F746" s="5">
        <v>1595440</v>
      </c>
      <c r="G746" s="4" t="s">
        <v>303</v>
      </c>
      <c r="H746" s="4" t="s">
        <v>304</v>
      </c>
      <c r="I746" s="4" t="s">
        <v>643</v>
      </c>
      <c r="J746" s="4"/>
      <c r="K746" s="4" t="s">
        <v>644</v>
      </c>
      <c r="L746" s="2">
        <v>2011</v>
      </c>
      <c r="M746" s="4" t="s">
        <v>79</v>
      </c>
      <c r="N746" s="5">
        <v>19009146</v>
      </c>
      <c r="O746" s="4" t="s">
        <v>306</v>
      </c>
      <c r="P746" s="4" t="s">
        <v>307</v>
      </c>
      <c r="Q746" s="4"/>
      <c r="R746" s="4"/>
      <c r="S746" s="4"/>
      <c r="T746" s="4"/>
      <c r="U746" s="4"/>
    </row>
    <row r="747" spans="2:21" ht="26.15" hidden="1" customHeight="1">
      <c r="B747" s="2">
        <v>745</v>
      </c>
      <c r="C747" s="3">
        <v>42093</v>
      </c>
      <c r="D747" s="20">
        <v>2015</v>
      </c>
      <c r="E747" s="4" t="s">
        <v>109</v>
      </c>
      <c r="F747" s="5">
        <v>3186640</v>
      </c>
      <c r="G747" s="4" t="s">
        <v>1115</v>
      </c>
      <c r="H747" s="4" t="s">
        <v>1116</v>
      </c>
      <c r="I747" s="4" t="s">
        <v>2155</v>
      </c>
      <c r="J747" s="4"/>
      <c r="K747" s="4" t="s">
        <v>746</v>
      </c>
      <c r="L747" s="2">
        <v>2009</v>
      </c>
      <c r="M747" s="4" t="s">
        <v>313</v>
      </c>
      <c r="N747" s="5">
        <v>14634837</v>
      </c>
      <c r="O747" s="4" t="s">
        <v>1118</v>
      </c>
      <c r="P747" s="4" t="s">
        <v>1119</v>
      </c>
      <c r="Q747" s="4"/>
      <c r="R747" s="4"/>
      <c r="S747" s="4"/>
      <c r="T747" s="4"/>
      <c r="U747" s="4"/>
    </row>
    <row r="748" spans="2:21" ht="26.15" hidden="1" customHeight="1">
      <c r="B748" s="2">
        <v>746</v>
      </c>
      <c r="C748" s="3">
        <v>42087</v>
      </c>
      <c r="D748" s="20">
        <v>2015</v>
      </c>
      <c r="E748" s="4" t="s">
        <v>124</v>
      </c>
      <c r="F748" s="5">
        <v>64156</v>
      </c>
      <c r="G748" s="4" t="s">
        <v>1885</v>
      </c>
      <c r="H748" s="4" t="s">
        <v>1886</v>
      </c>
      <c r="I748" s="4"/>
      <c r="J748" s="4" t="s">
        <v>2742</v>
      </c>
      <c r="K748" s="4" t="s">
        <v>2743</v>
      </c>
      <c r="L748" s="2">
        <v>2013</v>
      </c>
      <c r="M748" s="4" t="s">
        <v>79</v>
      </c>
      <c r="N748" s="5">
        <v>133229</v>
      </c>
      <c r="O748" s="4" t="s">
        <v>1889</v>
      </c>
      <c r="P748" s="4" t="s">
        <v>1890</v>
      </c>
      <c r="Q748" s="4"/>
      <c r="R748" s="4"/>
      <c r="S748" s="4"/>
      <c r="T748" s="4"/>
      <c r="U748" s="4"/>
    </row>
    <row r="749" spans="2:21" ht="26.15" hidden="1" customHeight="1">
      <c r="B749" s="2">
        <v>747</v>
      </c>
      <c r="C749" s="3">
        <v>42087</v>
      </c>
      <c r="D749" s="20">
        <v>2015</v>
      </c>
      <c r="E749" s="4" t="s">
        <v>34</v>
      </c>
      <c r="F749" s="5" t="s">
        <v>50</v>
      </c>
      <c r="G749" s="4" t="s">
        <v>2661</v>
      </c>
      <c r="H749" s="4" t="s">
        <v>2662</v>
      </c>
      <c r="I749" s="4" t="s">
        <v>2744</v>
      </c>
      <c r="J749" s="4"/>
      <c r="K749" s="4"/>
      <c r="L749" s="2">
        <v>2015</v>
      </c>
      <c r="M749" s="4" t="s">
        <v>278</v>
      </c>
      <c r="N749" s="5"/>
      <c r="O749" s="4" t="s">
        <v>2663</v>
      </c>
      <c r="P749" s="4" t="s">
        <v>2664</v>
      </c>
      <c r="Q749" s="4"/>
      <c r="R749" s="4"/>
      <c r="S749" s="4"/>
      <c r="T749" s="4"/>
      <c r="U749" s="4"/>
    </row>
    <row r="750" spans="2:21" ht="26.15" hidden="1" customHeight="1">
      <c r="B750" s="2">
        <v>748</v>
      </c>
      <c r="C750" s="3">
        <v>42083</v>
      </c>
      <c r="D750" s="20">
        <v>2015</v>
      </c>
      <c r="E750" s="4" t="s">
        <v>34</v>
      </c>
      <c r="F750" s="5" t="s">
        <v>50</v>
      </c>
      <c r="G750" s="4" t="s">
        <v>2745</v>
      </c>
      <c r="H750" s="4" t="s">
        <v>2746</v>
      </c>
      <c r="I750" s="4" t="s">
        <v>2747</v>
      </c>
      <c r="J750" s="4"/>
      <c r="K750" s="4"/>
      <c r="L750" s="2">
        <v>2014</v>
      </c>
      <c r="M750" s="4" t="s">
        <v>1732</v>
      </c>
      <c r="N750" s="5"/>
      <c r="O750" s="4" t="s">
        <v>2748</v>
      </c>
      <c r="P750" s="4" t="s">
        <v>2749</v>
      </c>
      <c r="Q750" s="4"/>
      <c r="R750" s="4"/>
      <c r="S750" s="4"/>
      <c r="T750" s="4"/>
      <c r="U750" s="4"/>
    </row>
    <row r="751" spans="2:21" ht="26.15" hidden="1" customHeight="1">
      <c r="B751" s="2">
        <v>749</v>
      </c>
      <c r="C751" s="3">
        <v>42083</v>
      </c>
      <c r="D751" s="20">
        <v>2015</v>
      </c>
      <c r="E751" s="4" t="s">
        <v>109</v>
      </c>
      <c r="F751" s="5">
        <v>10000000</v>
      </c>
      <c r="G751" s="4" t="s">
        <v>2668</v>
      </c>
      <c r="H751" s="4" t="s">
        <v>2669</v>
      </c>
      <c r="I751" s="4" t="s">
        <v>2750</v>
      </c>
      <c r="J751" s="4"/>
      <c r="K751" s="4"/>
      <c r="L751" s="2">
        <v>2013</v>
      </c>
      <c r="M751" s="4" t="s">
        <v>278</v>
      </c>
      <c r="N751" s="5">
        <v>26000000</v>
      </c>
      <c r="O751" s="4" t="s">
        <v>2670</v>
      </c>
      <c r="P751" s="4" t="s">
        <v>2671</v>
      </c>
      <c r="Q751" s="4"/>
      <c r="R751" s="4"/>
      <c r="S751" s="4"/>
      <c r="T751" s="4"/>
      <c r="U751" s="4"/>
    </row>
    <row r="752" spans="2:21" ht="26.15" hidden="1" customHeight="1">
      <c r="B752" s="2">
        <v>750</v>
      </c>
      <c r="C752" s="3">
        <v>42082</v>
      </c>
      <c r="D752" s="20">
        <v>2015</v>
      </c>
      <c r="E752" s="4" t="s">
        <v>124</v>
      </c>
      <c r="F752" s="5" t="s">
        <v>50</v>
      </c>
      <c r="G752" s="4" t="s">
        <v>2341</v>
      </c>
      <c r="H752" s="4" t="s">
        <v>2342</v>
      </c>
      <c r="I752" s="4"/>
      <c r="J752" s="4"/>
      <c r="K752" s="4"/>
      <c r="L752" s="2">
        <v>2015</v>
      </c>
      <c r="M752" s="4" t="s">
        <v>894</v>
      </c>
      <c r="N752" s="5">
        <v>5971680</v>
      </c>
      <c r="O752" s="4" t="s">
        <v>2345</v>
      </c>
      <c r="P752" s="4" t="s">
        <v>2346</v>
      </c>
      <c r="Q752" s="4"/>
      <c r="R752" s="4"/>
      <c r="S752" s="4"/>
      <c r="T752" s="4"/>
      <c r="U752" s="4"/>
    </row>
    <row r="753" spans="2:21" ht="26.15" hidden="1" customHeight="1">
      <c r="B753" s="2">
        <v>751</v>
      </c>
      <c r="C753" s="3">
        <v>42068</v>
      </c>
      <c r="D753" s="20">
        <v>2015</v>
      </c>
      <c r="E753" s="4" t="s">
        <v>34</v>
      </c>
      <c r="F753" s="5">
        <v>643792</v>
      </c>
      <c r="G753" s="4" t="s">
        <v>110</v>
      </c>
      <c r="H753" s="4" t="s">
        <v>111</v>
      </c>
      <c r="I753" s="4" t="s">
        <v>483</v>
      </c>
      <c r="J753" s="4" t="s">
        <v>2751</v>
      </c>
      <c r="K753" s="4" t="s">
        <v>484</v>
      </c>
      <c r="L753" s="2">
        <v>2010</v>
      </c>
      <c r="M753" s="4" t="s">
        <v>79</v>
      </c>
      <c r="N753" s="5">
        <v>10726419</v>
      </c>
      <c r="O753" s="4" t="s">
        <v>114</v>
      </c>
      <c r="P753" s="4" t="s">
        <v>115</v>
      </c>
      <c r="Q753" s="4" t="s">
        <v>2752</v>
      </c>
      <c r="R753" s="4"/>
      <c r="S753" s="4"/>
      <c r="T753" s="4"/>
      <c r="U753" s="4"/>
    </row>
    <row r="754" spans="2:21" ht="26.15" hidden="1" customHeight="1">
      <c r="B754" s="2">
        <v>752</v>
      </c>
      <c r="C754" s="3">
        <v>42067</v>
      </c>
      <c r="D754" s="20">
        <v>2015</v>
      </c>
      <c r="E754" s="4" t="s">
        <v>109</v>
      </c>
      <c r="F754" s="5">
        <v>2099580</v>
      </c>
      <c r="G754" s="4" t="s">
        <v>622</v>
      </c>
      <c r="H754" s="4" t="s">
        <v>623</v>
      </c>
      <c r="I754" s="4" t="s">
        <v>643</v>
      </c>
      <c r="J754" s="4"/>
      <c r="K754" s="4" t="s">
        <v>644</v>
      </c>
      <c r="L754" s="2">
        <v>2011</v>
      </c>
      <c r="M754" s="4" t="s">
        <v>79</v>
      </c>
      <c r="N754" s="5">
        <v>3574388</v>
      </c>
      <c r="O754" s="4" t="s">
        <v>625</v>
      </c>
      <c r="P754" s="4" t="s">
        <v>626</v>
      </c>
      <c r="Q754" s="4"/>
      <c r="R754" s="4"/>
      <c r="S754" s="4"/>
      <c r="T754" s="4"/>
      <c r="U754" s="4"/>
    </row>
    <row r="755" spans="2:21" ht="26.15" customHeight="1">
      <c r="B755" s="2">
        <v>753</v>
      </c>
      <c r="C755" s="3">
        <v>42067</v>
      </c>
      <c r="D755" s="20">
        <v>2015</v>
      </c>
      <c r="E755" s="4" t="s">
        <v>2753</v>
      </c>
      <c r="F755" s="5">
        <v>500000000</v>
      </c>
      <c r="G755" s="4" t="s">
        <v>1005</v>
      </c>
      <c r="H755" s="4" t="s">
        <v>1006</v>
      </c>
      <c r="I755" s="4"/>
      <c r="J755" s="4"/>
      <c r="K755" s="4"/>
      <c r="L755" s="2">
        <v>1965</v>
      </c>
      <c r="M755" s="4" t="s">
        <v>369</v>
      </c>
      <c r="N755" s="5"/>
      <c r="O755" s="4" t="s">
        <v>1008</v>
      </c>
      <c r="P755" s="4" t="s">
        <v>1009</v>
      </c>
      <c r="Q755" s="4"/>
      <c r="R755" s="4"/>
      <c r="S755" s="4"/>
      <c r="T755" s="4"/>
      <c r="U755" s="4"/>
    </row>
    <row r="756" spans="2:21" ht="26.15" hidden="1" customHeight="1">
      <c r="B756" s="2">
        <v>754</v>
      </c>
      <c r="C756" s="3">
        <v>42066</v>
      </c>
      <c r="D756" s="20">
        <v>2015</v>
      </c>
      <c r="E756" s="4" t="s">
        <v>34</v>
      </c>
      <c r="F756" s="5">
        <v>158000</v>
      </c>
      <c r="G756" s="4" t="s">
        <v>2560</v>
      </c>
      <c r="H756" s="4" t="s">
        <v>2561</v>
      </c>
      <c r="I756" s="4"/>
      <c r="J756" s="4"/>
      <c r="K756" s="4"/>
      <c r="L756" s="2">
        <v>2015</v>
      </c>
      <c r="M756" s="4" t="s">
        <v>278</v>
      </c>
      <c r="N756" s="5">
        <v>1730000</v>
      </c>
      <c r="O756" s="4" t="s">
        <v>2562</v>
      </c>
      <c r="P756" s="4" t="s">
        <v>2563</v>
      </c>
      <c r="Q756" s="4"/>
      <c r="R756" s="4"/>
      <c r="S756" s="4"/>
      <c r="T756" s="4"/>
      <c r="U756" s="4"/>
    </row>
    <row r="757" spans="2:21" ht="26.15" hidden="1" customHeight="1">
      <c r="B757" s="2">
        <v>755</v>
      </c>
      <c r="C757" s="3">
        <v>42064</v>
      </c>
      <c r="D757" s="20">
        <v>2015</v>
      </c>
      <c r="E757" s="4" t="s">
        <v>184</v>
      </c>
      <c r="F757" s="5">
        <v>100000</v>
      </c>
      <c r="G757" s="4" t="s">
        <v>2754</v>
      </c>
      <c r="H757" s="4" t="s">
        <v>2755</v>
      </c>
      <c r="I757" s="4" t="s">
        <v>155</v>
      </c>
      <c r="J757" s="4"/>
      <c r="K757" s="4"/>
      <c r="L757" s="2">
        <v>2015</v>
      </c>
      <c r="M757" s="4" t="s">
        <v>2756</v>
      </c>
      <c r="N757" s="5"/>
      <c r="O757" s="4" t="s">
        <v>2757</v>
      </c>
      <c r="P757" s="4" t="s">
        <v>968</v>
      </c>
      <c r="Q757" s="4"/>
      <c r="R757" s="4"/>
      <c r="S757" s="4"/>
      <c r="T757" s="4"/>
      <c r="U757" s="4"/>
    </row>
    <row r="758" spans="2:21" ht="26.15" hidden="1" customHeight="1">
      <c r="B758" s="2">
        <v>756</v>
      </c>
      <c r="C758" s="3">
        <v>42042</v>
      </c>
      <c r="D758" s="20">
        <v>2015</v>
      </c>
      <c r="E758" s="4" t="s">
        <v>109</v>
      </c>
      <c r="F758" s="5">
        <v>15000000</v>
      </c>
      <c r="G758" s="4" t="s">
        <v>2758</v>
      </c>
      <c r="H758" s="4" t="s">
        <v>2759</v>
      </c>
      <c r="I758" s="4"/>
      <c r="J758" s="4"/>
      <c r="K758" s="4"/>
      <c r="L758" s="2">
        <v>2015</v>
      </c>
      <c r="M758" s="4" t="s">
        <v>278</v>
      </c>
      <c r="N758" s="5">
        <v>15000000</v>
      </c>
      <c r="O758" s="4" t="s">
        <v>2760</v>
      </c>
      <c r="P758" s="4" t="s">
        <v>2761</v>
      </c>
      <c r="Q758" s="4"/>
      <c r="R758" s="4"/>
      <c r="S758" s="4"/>
      <c r="T758" s="4"/>
      <c r="U758" s="4"/>
    </row>
    <row r="759" spans="2:21" ht="26.15" hidden="1" customHeight="1">
      <c r="B759" s="2">
        <v>757</v>
      </c>
      <c r="C759" s="3">
        <v>42034</v>
      </c>
      <c r="D759" s="20">
        <v>2015</v>
      </c>
      <c r="E759" s="4" t="s">
        <v>184</v>
      </c>
      <c r="F759" s="5">
        <v>500000</v>
      </c>
      <c r="G759" s="4" t="s">
        <v>210</v>
      </c>
      <c r="H759" s="4" t="s">
        <v>211</v>
      </c>
      <c r="I759" s="4" t="s">
        <v>666</v>
      </c>
      <c r="J759" s="4"/>
      <c r="K759" s="4"/>
      <c r="L759" s="2">
        <v>2013</v>
      </c>
      <c r="M759" s="4" t="s">
        <v>214</v>
      </c>
      <c r="N759" s="5">
        <v>4000000</v>
      </c>
      <c r="O759" s="4" t="s">
        <v>215</v>
      </c>
      <c r="P759" s="4" t="s">
        <v>216</v>
      </c>
      <c r="Q759" s="4"/>
      <c r="R759" s="4"/>
      <c r="S759" s="4"/>
      <c r="T759" s="4"/>
      <c r="U759" s="4"/>
    </row>
    <row r="760" spans="2:21" ht="26.15" hidden="1" customHeight="1">
      <c r="B760" s="2">
        <v>758</v>
      </c>
      <c r="C760" s="3">
        <v>42020</v>
      </c>
      <c r="D760" s="20">
        <v>2015</v>
      </c>
      <c r="E760" s="4" t="s">
        <v>34</v>
      </c>
      <c r="F760" s="5">
        <v>500000</v>
      </c>
      <c r="G760" s="4" t="s">
        <v>2762</v>
      </c>
      <c r="H760" s="4" t="s">
        <v>2763</v>
      </c>
      <c r="I760" s="4" t="s">
        <v>2764</v>
      </c>
      <c r="J760" s="4"/>
      <c r="K760" s="4"/>
      <c r="L760" s="2">
        <v>2014</v>
      </c>
      <c r="M760" s="4" t="s">
        <v>278</v>
      </c>
      <c r="N760" s="5">
        <v>500000</v>
      </c>
      <c r="O760" s="4" t="s">
        <v>2765</v>
      </c>
      <c r="P760" s="4" t="s">
        <v>2766</v>
      </c>
      <c r="Q760" s="4"/>
      <c r="R760" s="4"/>
      <c r="S760" s="4"/>
      <c r="T760" s="4"/>
      <c r="U760" s="4"/>
    </row>
    <row r="761" spans="2:21" ht="26.15" hidden="1" customHeight="1">
      <c r="B761" s="2">
        <v>759</v>
      </c>
      <c r="C761" s="3">
        <v>42012</v>
      </c>
      <c r="D761" s="20">
        <v>2015</v>
      </c>
      <c r="E761" s="4" t="s">
        <v>34</v>
      </c>
      <c r="F761" s="5">
        <v>150000</v>
      </c>
      <c r="G761" s="4" t="s">
        <v>2767</v>
      </c>
      <c r="H761" s="4" t="s">
        <v>2768</v>
      </c>
      <c r="I761" s="4"/>
      <c r="J761" s="4"/>
      <c r="K761" s="4"/>
      <c r="L761" s="2">
        <v>2015</v>
      </c>
      <c r="M761" s="4" t="s">
        <v>2769</v>
      </c>
      <c r="N761" s="5">
        <v>150000</v>
      </c>
      <c r="O761" s="4" t="s">
        <v>2770</v>
      </c>
      <c r="P761" s="4" t="s">
        <v>2771</v>
      </c>
      <c r="Q761" s="4"/>
      <c r="R761" s="4"/>
      <c r="S761" s="4"/>
      <c r="T761" s="4"/>
      <c r="U761" s="4"/>
    </row>
    <row r="762" spans="2:21" ht="26.15" hidden="1" customHeight="1">
      <c r="B762" s="2">
        <v>760</v>
      </c>
      <c r="C762" s="3">
        <v>42012</v>
      </c>
      <c r="D762" s="20">
        <v>2015</v>
      </c>
      <c r="E762" s="4" t="s">
        <v>34</v>
      </c>
      <c r="F762" s="5">
        <v>471936</v>
      </c>
      <c r="G762" s="4" t="s">
        <v>1685</v>
      </c>
      <c r="H762" s="4" t="s">
        <v>1686</v>
      </c>
      <c r="I762" s="4" t="s">
        <v>2772</v>
      </c>
      <c r="J762" s="4" t="s">
        <v>2773</v>
      </c>
      <c r="K762" s="4" t="s">
        <v>2774</v>
      </c>
      <c r="L762" s="2">
        <v>2013</v>
      </c>
      <c r="M762" s="4" t="s">
        <v>79</v>
      </c>
      <c r="N762" s="5">
        <v>2257449</v>
      </c>
      <c r="O762" s="4" t="s">
        <v>1690</v>
      </c>
      <c r="P762" s="4" t="s">
        <v>1691</v>
      </c>
      <c r="Q762" s="4" t="s">
        <v>1687</v>
      </c>
      <c r="R762" s="4"/>
      <c r="S762" s="4"/>
      <c r="T762" s="4"/>
      <c r="U762" s="4"/>
    </row>
    <row r="763" spans="2:21" ht="26.15" customHeight="1">
      <c r="B763" s="2">
        <v>761</v>
      </c>
      <c r="C763" s="3">
        <v>42010</v>
      </c>
      <c r="D763" s="20">
        <v>2015</v>
      </c>
      <c r="E763" s="4" t="s">
        <v>34</v>
      </c>
      <c r="F763" s="5">
        <v>1000000</v>
      </c>
      <c r="G763" s="4" t="s">
        <v>1970</v>
      </c>
      <c r="H763" s="4" t="s">
        <v>1971</v>
      </c>
      <c r="I763" s="4" t="s">
        <v>1972</v>
      </c>
      <c r="J763" s="4"/>
      <c r="K763" s="4"/>
      <c r="L763" s="2">
        <v>2012</v>
      </c>
      <c r="M763" s="4" t="s">
        <v>954</v>
      </c>
      <c r="N763" s="5">
        <v>3000000</v>
      </c>
      <c r="O763" s="4" t="s">
        <v>1973</v>
      </c>
      <c r="P763" s="4" t="s">
        <v>1974</v>
      </c>
      <c r="Q763" s="4"/>
      <c r="R763" s="4"/>
      <c r="S763" s="4"/>
      <c r="T763" s="4"/>
      <c r="U763" s="4"/>
    </row>
    <row r="764" spans="2:21" ht="26.15" hidden="1" customHeight="1">
      <c r="B764" s="2">
        <v>762</v>
      </c>
      <c r="C764" s="3">
        <v>42006</v>
      </c>
      <c r="D764" s="20">
        <v>2015</v>
      </c>
      <c r="E764" s="4" t="s">
        <v>34</v>
      </c>
      <c r="F764" s="5" t="s">
        <v>50</v>
      </c>
      <c r="G764" s="4" t="s">
        <v>1544</v>
      </c>
      <c r="H764" s="4" t="s">
        <v>1545</v>
      </c>
      <c r="I764" s="4"/>
      <c r="J764" s="4"/>
      <c r="K764" s="4"/>
      <c r="L764" s="2">
        <v>2015</v>
      </c>
      <c r="M764" s="4" t="s">
        <v>1528</v>
      </c>
      <c r="N764" s="5">
        <v>62610600</v>
      </c>
      <c r="O764" s="4" t="s">
        <v>1547</v>
      </c>
      <c r="P764" s="4" t="s">
        <v>1416</v>
      </c>
      <c r="Q764" s="4"/>
      <c r="R764" s="4"/>
      <c r="S764" s="4"/>
      <c r="T764" s="4"/>
      <c r="U764" s="4"/>
    </row>
    <row r="765" spans="2:21" ht="26.15" customHeight="1">
      <c r="B765" s="2">
        <v>763</v>
      </c>
      <c r="C765" s="3">
        <v>42005</v>
      </c>
      <c r="D765" s="20">
        <v>2015</v>
      </c>
      <c r="E765" s="4" t="s">
        <v>34</v>
      </c>
      <c r="F765" s="5">
        <v>550000</v>
      </c>
      <c r="G765" s="4" t="s">
        <v>2775</v>
      </c>
      <c r="H765" s="4" t="s">
        <v>2776</v>
      </c>
      <c r="I765" s="4" t="s">
        <v>2777</v>
      </c>
      <c r="J765" s="4"/>
      <c r="K765" s="4"/>
      <c r="L765" s="2">
        <v>2015</v>
      </c>
      <c r="M765" s="4" t="s">
        <v>173</v>
      </c>
      <c r="N765" s="5">
        <v>550000</v>
      </c>
      <c r="O765" s="4" t="s">
        <v>2778</v>
      </c>
      <c r="P765" s="4" t="s">
        <v>2779</v>
      </c>
      <c r="Q765" s="4"/>
      <c r="R765" s="4"/>
      <c r="S765" s="4"/>
      <c r="T765" s="4"/>
      <c r="U765" s="4"/>
    </row>
    <row r="766" spans="2:21" ht="26.15" hidden="1" customHeight="1">
      <c r="B766" s="2">
        <v>764</v>
      </c>
      <c r="C766" s="3">
        <v>42005</v>
      </c>
      <c r="D766" s="20">
        <v>2015</v>
      </c>
      <c r="E766" s="4" t="s">
        <v>25</v>
      </c>
      <c r="F766" s="5">
        <v>50000000</v>
      </c>
      <c r="G766" s="4" t="s">
        <v>1411</v>
      </c>
      <c r="H766" s="4" t="s">
        <v>1412</v>
      </c>
      <c r="I766" s="4" t="s">
        <v>2780</v>
      </c>
      <c r="J766" s="4"/>
      <c r="K766" s="4" t="s">
        <v>2781</v>
      </c>
      <c r="L766" s="2">
        <v>2014</v>
      </c>
      <c r="M766" s="4" t="s">
        <v>278</v>
      </c>
      <c r="N766" s="5">
        <v>1303000000</v>
      </c>
      <c r="O766" s="4" t="s">
        <v>1415</v>
      </c>
      <c r="P766" s="4" t="s">
        <v>1416</v>
      </c>
      <c r="Q766" s="4"/>
      <c r="R766" s="4"/>
      <c r="S766" s="4"/>
      <c r="T766" s="4"/>
      <c r="U766" s="4"/>
    </row>
    <row r="767" spans="2:21" ht="26.15" customHeight="1">
      <c r="B767" s="2">
        <v>765</v>
      </c>
      <c r="C767" s="3">
        <v>42005</v>
      </c>
      <c r="D767" s="20">
        <v>2015</v>
      </c>
      <c r="E767" s="4" t="s">
        <v>34</v>
      </c>
      <c r="F767" s="5" t="s">
        <v>50</v>
      </c>
      <c r="G767" s="4" t="s">
        <v>2782</v>
      </c>
      <c r="H767" s="4" t="s">
        <v>2783</v>
      </c>
      <c r="I767" s="4" t="s">
        <v>2643</v>
      </c>
      <c r="J767" s="4"/>
      <c r="K767" s="4"/>
      <c r="L767" s="2">
        <v>2015</v>
      </c>
      <c r="M767" s="4" t="s">
        <v>638</v>
      </c>
      <c r="N767" s="5"/>
      <c r="O767" s="4" t="s">
        <v>2784</v>
      </c>
      <c r="P767" s="4" t="s">
        <v>2785</v>
      </c>
      <c r="Q767" s="4"/>
      <c r="R767" s="4"/>
      <c r="S767" s="4"/>
      <c r="T767" s="4"/>
      <c r="U767" s="4"/>
    </row>
    <row r="768" spans="2:21" ht="26.15" hidden="1" customHeight="1">
      <c r="B768" s="2">
        <v>766</v>
      </c>
      <c r="C768" s="3">
        <v>42004</v>
      </c>
      <c r="D768" s="20">
        <v>2014</v>
      </c>
      <c r="E768" s="4" t="s">
        <v>34</v>
      </c>
      <c r="F768" s="5">
        <v>784575</v>
      </c>
      <c r="G768" s="4" t="s">
        <v>2786</v>
      </c>
      <c r="H768" s="4" t="s">
        <v>2787</v>
      </c>
      <c r="I768" s="4" t="s">
        <v>643</v>
      </c>
      <c r="J768" s="4"/>
      <c r="K768" s="4" t="s">
        <v>644</v>
      </c>
      <c r="L768" s="2">
        <v>2010</v>
      </c>
      <c r="M768" s="4" t="s">
        <v>79</v>
      </c>
      <c r="N768" s="5">
        <v>1740510</v>
      </c>
      <c r="O768" s="4" t="s">
        <v>2788</v>
      </c>
      <c r="P768" s="4" t="s">
        <v>2789</v>
      </c>
      <c r="Q768" s="4"/>
      <c r="R768" s="4"/>
      <c r="S768" s="4"/>
      <c r="T768" s="4"/>
      <c r="U768" s="4"/>
    </row>
    <row r="769" spans="2:21" ht="26.15" hidden="1" customHeight="1">
      <c r="B769" s="2">
        <v>767</v>
      </c>
      <c r="C769" s="3">
        <v>41995</v>
      </c>
      <c r="D769" s="20">
        <v>2014</v>
      </c>
      <c r="E769" s="4" t="s">
        <v>34</v>
      </c>
      <c r="F769" s="5" t="s">
        <v>50</v>
      </c>
      <c r="G769" s="4" t="s">
        <v>2790</v>
      </c>
      <c r="H769" s="4" t="s">
        <v>2791</v>
      </c>
      <c r="I769" s="4" t="s">
        <v>2792</v>
      </c>
      <c r="J769" s="4"/>
      <c r="K769" s="4"/>
      <c r="L769" s="2">
        <v>2014</v>
      </c>
      <c r="M769" s="4" t="s">
        <v>278</v>
      </c>
      <c r="N769" s="5"/>
      <c r="O769" s="4" t="s">
        <v>2793</v>
      </c>
      <c r="P769" s="4" t="s">
        <v>2794</v>
      </c>
      <c r="Q769" s="4"/>
      <c r="R769" s="4"/>
      <c r="S769" s="4"/>
      <c r="T769" s="4"/>
      <c r="U769" s="4"/>
    </row>
    <row r="770" spans="2:21" ht="26.15" hidden="1" customHeight="1">
      <c r="B770" s="2">
        <v>768</v>
      </c>
      <c r="C770" s="3">
        <v>41992</v>
      </c>
      <c r="D770" s="20">
        <v>2014</v>
      </c>
      <c r="E770" s="4" t="s">
        <v>124</v>
      </c>
      <c r="F770" s="5">
        <v>157802</v>
      </c>
      <c r="G770" s="4" t="s">
        <v>2795</v>
      </c>
      <c r="H770" s="4" t="s">
        <v>2796</v>
      </c>
      <c r="I770" s="4" t="s">
        <v>2797</v>
      </c>
      <c r="J770" s="4"/>
      <c r="K770" s="4"/>
      <c r="L770" s="2">
        <v>2014</v>
      </c>
      <c r="M770" s="4" t="s">
        <v>181</v>
      </c>
      <c r="N770" s="5">
        <v>158000</v>
      </c>
      <c r="O770" s="4" t="s">
        <v>2798</v>
      </c>
      <c r="P770" s="4" t="s">
        <v>2799</v>
      </c>
      <c r="Q770" s="4"/>
      <c r="R770" s="4"/>
      <c r="S770" s="4"/>
      <c r="T770" s="4"/>
      <c r="U770" s="4"/>
    </row>
    <row r="771" spans="2:21" ht="26.15" hidden="1" customHeight="1">
      <c r="B771" s="2">
        <v>769</v>
      </c>
      <c r="C771" s="3">
        <v>41985</v>
      </c>
      <c r="D771" s="20">
        <v>2014</v>
      </c>
      <c r="E771" s="4" t="s">
        <v>34</v>
      </c>
      <c r="F771" s="5">
        <v>16030</v>
      </c>
      <c r="G771" s="4" t="s">
        <v>1554</v>
      </c>
      <c r="H771" s="4" t="s">
        <v>1555</v>
      </c>
      <c r="I771" s="4" t="s">
        <v>2800</v>
      </c>
      <c r="J771" s="4"/>
      <c r="K771" s="4" t="s">
        <v>2801</v>
      </c>
      <c r="L771" s="2">
        <v>2013</v>
      </c>
      <c r="M771" s="4" t="s">
        <v>188</v>
      </c>
      <c r="N771" s="5">
        <v>234941</v>
      </c>
      <c r="O771" s="4" t="s">
        <v>1558</v>
      </c>
      <c r="P771" s="4" t="s">
        <v>1559</v>
      </c>
      <c r="Q771" s="4"/>
      <c r="R771" s="4"/>
      <c r="S771" s="4"/>
      <c r="T771" s="4"/>
      <c r="U771" s="4"/>
    </row>
    <row r="772" spans="2:21" ht="26.15" hidden="1" customHeight="1">
      <c r="B772" s="2">
        <v>770</v>
      </c>
      <c r="C772" s="3">
        <v>41974</v>
      </c>
      <c r="D772" s="20">
        <v>2014</v>
      </c>
      <c r="E772" s="4" t="s">
        <v>34</v>
      </c>
      <c r="F772" s="5">
        <v>100000</v>
      </c>
      <c r="G772" s="4" t="s">
        <v>856</v>
      </c>
      <c r="H772" s="4" t="s">
        <v>857</v>
      </c>
      <c r="I772" s="4" t="s">
        <v>2802</v>
      </c>
      <c r="J772" s="4"/>
      <c r="K772" s="4" t="s">
        <v>2803</v>
      </c>
      <c r="L772" s="2">
        <v>2014</v>
      </c>
      <c r="M772" s="4" t="s">
        <v>860</v>
      </c>
      <c r="N772" s="5">
        <v>7000000</v>
      </c>
      <c r="O772" s="4" t="s">
        <v>861</v>
      </c>
      <c r="P772" s="4" t="s">
        <v>862</v>
      </c>
      <c r="Q772" s="4"/>
      <c r="R772" s="4"/>
      <c r="S772" s="4"/>
      <c r="T772" s="4"/>
      <c r="U772" s="4"/>
    </row>
    <row r="773" spans="2:21" ht="26.15" hidden="1" customHeight="1">
      <c r="B773" s="2">
        <v>771</v>
      </c>
      <c r="C773" s="3">
        <v>41974</v>
      </c>
      <c r="D773" s="20">
        <v>2014</v>
      </c>
      <c r="E773" s="4" t="s">
        <v>34</v>
      </c>
      <c r="F773" s="5" t="s">
        <v>50</v>
      </c>
      <c r="G773" s="4" t="s">
        <v>110</v>
      </c>
      <c r="H773" s="4" t="s">
        <v>111</v>
      </c>
      <c r="I773" s="4" t="s">
        <v>483</v>
      </c>
      <c r="J773" s="4"/>
      <c r="K773" s="4" t="s">
        <v>484</v>
      </c>
      <c r="L773" s="2">
        <v>2010</v>
      </c>
      <c r="M773" s="4" t="s">
        <v>79</v>
      </c>
      <c r="N773" s="5">
        <v>10726419</v>
      </c>
      <c r="O773" s="4" t="s">
        <v>114</v>
      </c>
      <c r="P773" s="4" t="s">
        <v>115</v>
      </c>
      <c r="Q773" s="4"/>
      <c r="R773" s="4"/>
      <c r="S773" s="4"/>
      <c r="T773" s="4"/>
      <c r="U773" s="4"/>
    </row>
    <row r="774" spans="2:21" ht="26.15" customHeight="1">
      <c r="B774" s="2">
        <v>772</v>
      </c>
      <c r="C774" s="3">
        <v>41974</v>
      </c>
      <c r="D774" s="20">
        <v>2014</v>
      </c>
      <c r="E774" s="4" t="s">
        <v>184</v>
      </c>
      <c r="F774" s="5" t="s">
        <v>50</v>
      </c>
      <c r="G774" s="4" t="s">
        <v>2804</v>
      </c>
      <c r="H774" s="4" t="s">
        <v>2805</v>
      </c>
      <c r="I774" s="4" t="s">
        <v>2566</v>
      </c>
      <c r="J774" s="4"/>
      <c r="K774" s="4"/>
      <c r="L774" s="2">
        <v>2008</v>
      </c>
      <c r="M774" s="4" t="s">
        <v>2806</v>
      </c>
      <c r="N774" s="5"/>
      <c r="O774" s="4" t="s">
        <v>2807</v>
      </c>
      <c r="P774" s="4" t="s">
        <v>2808</v>
      </c>
      <c r="Q774" s="4"/>
      <c r="R774" s="4"/>
      <c r="S774" s="4"/>
      <c r="T774" s="4"/>
      <c r="U774" s="4"/>
    </row>
    <row r="775" spans="2:21" ht="26.15" hidden="1" customHeight="1">
      <c r="B775" s="2">
        <v>773</v>
      </c>
      <c r="C775" s="3">
        <v>41972</v>
      </c>
      <c r="D775" s="20">
        <v>2014</v>
      </c>
      <c r="E775" s="4" t="s">
        <v>34</v>
      </c>
      <c r="F775" s="5">
        <v>645128</v>
      </c>
      <c r="G775" s="4" t="s">
        <v>1171</v>
      </c>
      <c r="H775" s="4" t="s">
        <v>1172</v>
      </c>
      <c r="I775" s="4" t="s">
        <v>483</v>
      </c>
      <c r="J775" s="4"/>
      <c r="K775" s="4" t="s">
        <v>484</v>
      </c>
      <c r="L775" s="2">
        <v>2008</v>
      </c>
      <c r="M775" s="4" t="s">
        <v>47</v>
      </c>
      <c r="N775" s="5">
        <v>47182672</v>
      </c>
      <c r="O775" s="4" t="s">
        <v>1175</v>
      </c>
      <c r="P775" s="4" t="s">
        <v>1176</v>
      </c>
      <c r="Q775" s="4"/>
      <c r="R775" s="4"/>
      <c r="S775" s="4"/>
      <c r="T775" s="4"/>
      <c r="U775" s="4"/>
    </row>
    <row r="776" spans="2:21" ht="26.15" hidden="1" customHeight="1">
      <c r="B776" s="2">
        <v>774</v>
      </c>
      <c r="C776" s="3">
        <v>41950</v>
      </c>
      <c r="D776" s="20">
        <v>2014</v>
      </c>
      <c r="E776" s="4" t="s">
        <v>124</v>
      </c>
      <c r="F776" s="5" t="s">
        <v>50</v>
      </c>
      <c r="G776" s="4" t="s">
        <v>2237</v>
      </c>
      <c r="H776" s="4" t="s">
        <v>2238</v>
      </c>
      <c r="I776" s="4"/>
      <c r="J776" s="4"/>
      <c r="K776" s="4"/>
      <c r="L776" s="2">
        <v>2014</v>
      </c>
      <c r="M776" s="4" t="s">
        <v>278</v>
      </c>
      <c r="N776" s="5">
        <v>1800000</v>
      </c>
      <c r="O776" s="4" t="s">
        <v>2240</v>
      </c>
      <c r="P776" s="4" t="s">
        <v>2241</v>
      </c>
      <c r="Q776" s="4"/>
      <c r="R776" s="4"/>
      <c r="S776" s="4"/>
      <c r="T776" s="4"/>
      <c r="U776" s="4"/>
    </row>
    <row r="777" spans="2:21" ht="26.15" hidden="1" customHeight="1">
      <c r="B777" s="2">
        <v>775</v>
      </c>
      <c r="C777" s="3">
        <v>41946</v>
      </c>
      <c r="D777" s="20">
        <v>2014</v>
      </c>
      <c r="E777" s="4" t="s">
        <v>109</v>
      </c>
      <c r="F777" s="5" t="s">
        <v>50</v>
      </c>
      <c r="G777" s="4" t="s">
        <v>2809</v>
      </c>
      <c r="H777" s="4" t="s">
        <v>2810</v>
      </c>
      <c r="I777" s="4" t="s">
        <v>2750</v>
      </c>
      <c r="J777" s="4"/>
      <c r="K777" s="4"/>
      <c r="L777" s="2">
        <v>2007</v>
      </c>
      <c r="M777" s="4" t="s">
        <v>2811</v>
      </c>
      <c r="N777" s="5"/>
      <c r="O777" s="4" t="s">
        <v>2812</v>
      </c>
      <c r="P777" s="4" t="s">
        <v>2813</v>
      </c>
      <c r="Q777" s="4"/>
      <c r="R777" s="4"/>
      <c r="S777" s="4"/>
      <c r="T777" s="4"/>
      <c r="U777" s="4"/>
    </row>
    <row r="778" spans="2:21" ht="26.15" customHeight="1">
      <c r="B778" s="2">
        <v>776</v>
      </c>
      <c r="C778" s="3">
        <v>41941</v>
      </c>
      <c r="D778" s="20">
        <v>2014</v>
      </c>
      <c r="E778" s="4" t="s">
        <v>184</v>
      </c>
      <c r="F778" s="5" t="s">
        <v>50</v>
      </c>
      <c r="G778" s="4" t="s">
        <v>2604</v>
      </c>
      <c r="H778" s="4" t="s">
        <v>2605</v>
      </c>
      <c r="I778" s="4" t="s">
        <v>703</v>
      </c>
      <c r="J778" s="4"/>
      <c r="K778" s="4"/>
      <c r="L778" s="2">
        <v>1988</v>
      </c>
      <c r="M778" s="4" t="s">
        <v>1103</v>
      </c>
      <c r="N778" s="5">
        <v>180000000</v>
      </c>
      <c r="O778" s="4" t="s">
        <v>2607</v>
      </c>
      <c r="P778" s="4" t="s">
        <v>2608</v>
      </c>
      <c r="Q778" s="4"/>
      <c r="R778" s="4"/>
      <c r="S778" s="4"/>
      <c r="T778" s="4"/>
      <c r="U778" s="4"/>
    </row>
    <row r="779" spans="2:21" ht="26.15" hidden="1" customHeight="1">
      <c r="B779" s="2">
        <v>777</v>
      </c>
      <c r="C779" s="3">
        <v>41936</v>
      </c>
      <c r="D779" s="20">
        <v>2014</v>
      </c>
      <c r="E779" s="4" t="s">
        <v>124</v>
      </c>
      <c r="F779" s="5" t="s">
        <v>50</v>
      </c>
      <c r="G779" s="4" t="s">
        <v>2814</v>
      </c>
      <c r="H779" s="4" t="s">
        <v>2815</v>
      </c>
      <c r="I779" s="4"/>
      <c r="J779" s="4"/>
      <c r="K779" s="4"/>
      <c r="L779" s="2">
        <v>2014</v>
      </c>
      <c r="M779" s="4" t="s">
        <v>278</v>
      </c>
      <c r="N779" s="5"/>
      <c r="O779" s="4" t="s">
        <v>2816</v>
      </c>
      <c r="P779" s="4" t="s">
        <v>2817</v>
      </c>
      <c r="Q779" s="4"/>
      <c r="R779" s="4"/>
      <c r="S779" s="4"/>
      <c r="T779" s="4"/>
      <c r="U779" s="4"/>
    </row>
    <row r="780" spans="2:21" ht="26.15" hidden="1" customHeight="1">
      <c r="B780" s="2">
        <v>778</v>
      </c>
      <c r="C780" s="3">
        <v>41927</v>
      </c>
      <c r="D780" s="20">
        <v>2014</v>
      </c>
      <c r="E780" s="4" t="s">
        <v>34</v>
      </c>
      <c r="F780" s="5" t="s">
        <v>50</v>
      </c>
      <c r="G780" s="4" t="s">
        <v>2432</v>
      </c>
      <c r="H780" s="4" t="s">
        <v>2433</v>
      </c>
      <c r="I780" s="4" t="s">
        <v>2818</v>
      </c>
      <c r="J780" s="4"/>
      <c r="K780" s="4" t="s">
        <v>2819</v>
      </c>
      <c r="L780" s="2">
        <v>2013</v>
      </c>
      <c r="M780" s="4" t="s">
        <v>143</v>
      </c>
      <c r="N780" s="5">
        <v>5080000</v>
      </c>
      <c r="O780" s="4" t="s">
        <v>2436</v>
      </c>
      <c r="P780" s="4" t="s">
        <v>2437</v>
      </c>
      <c r="Q780" s="4"/>
      <c r="R780" s="4"/>
      <c r="S780" s="4"/>
      <c r="T780" s="4"/>
      <c r="U780" s="4"/>
    </row>
    <row r="781" spans="2:21" ht="26.15" hidden="1" customHeight="1">
      <c r="B781" s="2">
        <v>779</v>
      </c>
      <c r="C781" s="3">
        <v>41926</v>
      </c>
      <c r="D781" s="20">
        <v>2014</v>
      </c>
      <c r="E781" s="4" t="s">
        <v>124</v>
      </c>
      <c r="F781" s="5">
        <v>73729</v>
      </c>
      <c r="G781" s="4" t="s">
        <v>2112</v>
      </c>
      <c r="H781" s="4" t="s">
        <v>2113</v>
      </c>
      <c r="I781" s="4"/>
      <c r="J781" s="4" t="s">
        <v>2820</v>
      </c>
      <c r="K781" s="4" t="s">
        <v>2821</v>
      </c>
      <c r="L781" s="2">
        <v>2013</v>
      </c>
      <c r="M781" s="4" t="s">
        <v>79</v>
      </c>
      <c r="N781" s="5">
        <v>212000</v>
      </c>
      <c r="O781" s="4" t="s">
        <v>2114</v>
      </c>
      <c r="P781" s="4" t="s">
        <v>2115</v>
      </c>
      <c r="Q781" s="4"/>
      <c r="R781" s="4"/>
      <c r="S781" s="4"/>
      <c r="T781" s="4"/>
      <c r="U781" s="4"/>
    </row>
    <row r="782" spans="2:21" ht="26.15" hidden="1" customHeight="1">
      <c r="B782" s="2">
        <v>780</v>
      </c>
      <c r="C782" s="3">
        <v>41897</v>
      </c>
      <c r="D782" s="20">
        <v>2014</v>
      </c>
      <c r="E782" s="4" t="s">
        <v>109</v>
      </c>
      <c r="F782" s="5">
        <v>1731230</v>
      </c>
      <c r="G782" s="4" t="s">
        <v>2822</v>
      </c>
      <c r="H782" s="4" t="s">
        <v>2823</v>
      </c>
      <c r="I782" s="4" t="s">
        <v>1744</v>
      </c>
      <c r="J782" s="4"/>
      <c r="K782" s="4"/>
      <c r="L782" s="2">
        <v>2006</v>
      </c>
      <c r="M782" s="4" t="s">
        <v>2824</v>
      </c>
      <c r="N782" s="5">
        <v>1731230</v>
      </c>
      <c r="O782" s="4" t="s">
        <v>2825</v>
      </c>
      <c r="P782" s="4" t="s">
        <v>2826</v>
      </c>
      <c r="Q782" s="4"/>
      <c r="R782" s="4"/>
      <c r="S782" s="4"/>
      <c r="T782" s="4"/>
      <c r="U782" s="4"/>
    </row>
    <row r="783" spans="2:21" ht="26.15" hidden="1" customHeight="1">
      <c r="B783" s="2">
        <v>781</v>
      </c>
      <c r="C783" s="3">
        <v>41883</v>
      </c>
      <c r="D783" s="20">
        <v>2014</v>
      </c>
      <c r="E783" s="4" t="s">
        <v>34</v>
      </c>
      <c r="F783" s="5" t="s">
        <v>50</v>
      </c>
      <c r="G783" s="4" t="s">
        <v>2827</v>
      </c>
      <c r="H783" s="4" t="s">
        <v>2828</v>
      </c>
      <c r="I783" s="4" t="s">
        <v>2829</v>
      </c>
      <c r="J783" s="4"/>
      <c r="K783" s="4"/>
      <c r="L783" s="2">
        <v>2014</v>
      </c>
      <c r="M783" s="4" t="s">
        <v>278</v>
      </c>
      <c r="N783" s="5"/>
      <c r="O783" s="4" t="s">
        <v>2830</v>
      </c>
      <c r="P783" s="4" t="s">
        <v>2831</v>
      </c>
      <c r="Q783" s="4"/>
      <c r="R783" s="4"/>
      <c r="S783" s="4"/>
      <c r="T783" s="4"/>
      <c r="U783" s="4"/>
    </row>
    <row r="784" spans="2:21" ht="26.15" hidden="1" customHeight="1">
      <c r="B784" s="2">
        <v>782</v>
      </c>
      <c r="C784" s="3">
        <v>41883</v>
      </c>
      <c r="D784" s="20">
        <v>2014</v>
      </c>
      <c r="E784" s="4" t="s">
        <v>184</v>
      </c>
      <c r="F784" s="5" t="s">
        <v>50</v>
      </c>
      <c r="G784" s="4" t="s">
        <v>2832</v>
      </c>
      <c r="H784" s="4" t="s">
        <v>2833</v>
      </c>
      <c r="I784" s="4" t="s">
        <v>2834</v>
      </c>
      <c r="J784" s="4"/>
      <c r="K784" s="4"/>
      <c r="L784" s="2">
        <v>2013</v>
      </c>
      <c r="M784" s="4" t="s">
        <v>2835</v>
      </c>
      <c r="N784" s="5"/>
      <c r="O784" s="4" t="s">
        <v>2836</v>
      </c>
      <c r="P784" s="4" t="s">
        <v>2837</v>
      </c>
      <c r="Q784" s="4"/>
      <c r="R784" s="4"/>
      <c r="S784" s="4"/>
      <c r="T784" s="4"/>
      <c r="U784" s="4"/>
    </row>
    <row r="785" spans="2:21" ht="26.15" hidden="1" customHeight="1">
      <c r="B785" s="2">
        <v>783</v>
      </c>
      <c r="C785" s="3">
        <v>41857</v>
      </c>
      <c r="D785" s="20">
        <v>2014</v>
      </c>
      <c r="E785" s="4" t="s">
        <v>25</v>
      </c>
      <c r="F785" s="5">
        <v>4500000</v>
      </c>
      <c r="G785" s="4" t="s">
        <v>1868</v>
      </c>
      <c r="H785" s="4" t="s">
        <v>1869</v>
      </c>
      <c r="I785" s="4" t="s">
        <v>2838</v>
      </c>
      <c r="J785" s="4"/>
      <c r="K785" s="4" t="s">
        <v>2839</v>
      </c>
      <c r="L785" s="2">
        <v>2003</v>
      </c>
      <c r="M785" s="4" t="s">
        <v>121</v>
      </c>
      <c r="N785" s="5">
        <v>11768115</v>
      </c>
      <c r="O785" s="4" t="s">
        <v>1870</v>
      </c>
      <c r="P785" s="4" t="s">
        <v>1871</v>
      </c>
      <c r="Q785" s="4"/>
      <c r="R785" s="4"/>
      <c r="S785" s="4"/>
      <c r="T785" s="4"/>
      <c r="U785" s="4"/>
    </row>
    <row r="786" spans="2:21" ht="26.15" hidden="1" customHeight="1">
      <c r="B786" s="2">
        <v>784</v>
      </c>
      <c r="C786" s="3">
        <v>41852</v>
      </c>
      <c r="D786" s="20">
        <v>2014</v>
      </c>
      <c r="E786" s="4" t="s">
        <v>109</v>
      </c>
      <c r="F786" s="5">
        <v>1000000</v>
      </c>
      <c r="G786" s="4" t="s">
        <v>1411</v>
      </c>
      <c r="H786" s="4" t="s">
        <v>1412</v>
      </c>
      <c r="I786" s="4"/>
      <c r="J786" s="4"/>
      <c r="K786" s="4"/>
      <c r="L786" s="2">
        <v>2014</v>
      </c>
      <c r="M786" s="4" t="s">
        <v>278</v>
      </c>
      <c r="N786" s="5">
        <v>1303000000</v>
      </c>
      <c r="O786" s="4" t="s">
        <v>1415</v>
      </c>
      <c r="P786" s="4" t="s">
        <v>1416</v>
      </c>
      <c r="Q786" s="4"/>
      <c r="R786" s="4"/>
      <c r="S786" s="4"/>
      <c r="T786" s="4"/>
      <c r="U786" s="4"/>
    </row>
    <row r="787" spans="2:21" ht="26.15" hidden="1" customHeight="1">
      <c r="B787" s="2">
        <v>785</v>
      </c>
      <c r="C787" s="3">
        <v>41820</v>
      </c>
      <c r="D787" s="20">
        <v>2014</v>
      </c>
      <c r="E787" s="4" t="s">
        <v>109</v>
      </c>
      <c r="F787" s="5" t="s">
        <v>50</v>
      </c>
      <c r="G787" s="4" t="s">
        <v>2612</v>
      </c>
      <c r="H787" s="4" t="s">
        <v>2613</v>
      </c>
      <c r="I787" s="4" t="s">
        <v>2417</v>
      </c>
      <c r="J787" s="4"/>
      <c r="K787" s="4"/>
      <c r="L787" s="2">
        <v>2014</v>
      </c>
      <c r="M787" s="4" t="s">
        <v>278</v>
      </c>
      <c r="N787" s="5">
        <v>10000000</v>
      </c>
      <c r="O787" s="4" t="s">
        <v>2615</v>
      </c>
      <c r="P787" s="4" t="s">
        <v>2616</v>
      </c>
      <c r="Q787" s="4"/>
      <c r="R787" s="4"/>
      <c r="S787" s="4"/>
      <c r="T787" s="4"/>
      <c r="U787" s="4"/>
    </row>
    <row r="788" spans="2:21" ht="26.15" customHeight="1">
      <c r="B788" s="2">
        <v>786</v>
      </c>
      <c r="C788" s="3">
        <v>41809</v>
      </c>
      <c r="D788" s="20">
        <v>2014</v>
      </c>
      <c r="E788" s="4" t="s">
        <v>184</v>
      </c>
      <c r="F788" s="5">
        <v>20000</v>
      </c>
      <c r="G788" s="4" t="s">
        <v>2840</v>
      </c>
      <c r="H788" s="4" t="s">
        <v>2841</v>
      </c>
      <c r="I788" s="4" t="s">
        <v>2842</v>
      </c>
      <c r="J788" s="4"/>
      <c r="K788" s="4"/>
      <c r="L788" s="2">
        <v>2015</v>
      </c>
      <c r="M788" s="4" t="s">
        <v>173</v>
      </c>
      <c r="N788" s="5"/>
      <c r="O788" s="4" t="s">
        <v>2843</v>
      </c>
      <c r="P788" s="4" t="s">
        <v>2844</v>
      </c>
      <c r="Q788" s="4"/>
      <c r="R788" s="4"/>
      <c r="S788" s="4"/>
      <c r="T788" s="4"/>
      <c r="U788" s="4"/>
    </row>
    <row r="789" spans="2:21" ht="26.15" hidden="1" customHeight="1">
      <c r="B789" s="2">
        <v>787</v>
      </c>
      <c r="C789" s="3">
        <v>41804</v>
      </c>
      <c r="D789" s="20">
        <v>2014</v>
      </c>
      <c r="E789" s="4" t="s">
        <v>34</v>
      </c>
      <c r="F789" s="5">
        <v>500000</v>
      </c>
      <c r="G789" s="4" t="s">
        <v>2845</v>
      </c>
      <c r="H789" s="4" t="s">
        <v>2846</v>
      </c>
      <c r="I789" s="4" t="s">
        <v>2797</v>
      </c>
      <c r="J789" s="4"/>
      <c r="K789" s="4"/>
      <c r="L789" s="2">
        <v>2012</v>
      </c>
      <c r="M789" s="4" t="s">
        <v>562</v>
      </c>
      <c r="N789" s="5">
        <v>500000</v>
      </c>
      <c r="O789" s="4" t="s">
        <v>2847</v>
      </c>
      <c r="P789" s="4" t="s">
        <v>2848</v>
      </c>
      <c r="Q789" s="4"/>
      <c r="R789" s="4"/>
      <c r="S789" s="4"/>
      <c r="T789" s="4"/>
      <c r="U789" s="4"/>
    </row>
    <row r="790" spans="2:21" ht="26.15" hidden="1" customHeight="1">
      <c r="B790" s="2">
        <v>788</v>
      </c>
      <c r="C790" s="3">
        <v>41791</v>
      </c>
      <c r="D790" s="20">
        <v>2014</v>
      </c>
      <c r="E790" s="4" t="s">
        <v>95</v>
      </c>
      <c r="F790" s="5" t="s">
        <v>50</v>
      </c>
      <c r="G790" s="4" t="s">
        <v>2849</v>
      </c>
      <c r="H790" s="4" t="s">
        <v>2850</v>
      </c>
      <c r="I790" s="4" t="s">
        <v>2851</v>
      </c>
      <c r="J790" s="4"/>
      <c r="K790" s="4"/>
      <c r="L790" s="2">
        <v>2009</v>
      </c>
      <c r="M790" s="4" t="s">
        <v>1732</v>
      </c>
      <c r="N790" s="5">
        <v>30060731</v>
      </c>
      <c r="O790" s="4" t="s">
        <v>2852</v>
      </c>
      <c r="P790" s="4" t="s">
        <v>2853</v>
      </c>
      <c r="Q790" s="4"/>
      <c r="R790" s="4"/>
      <c r="S790" s="4"/>
      <c r="T790" s="4"/>
      <c r="U790" s="4"/>
    </row>
    <row r="791" spans="2:21" ht="26.15" customHeight="1">
      <c r="B791" s="2">
        <v>789</v>
      </c>
      <c r="C791" s="3">
        <v>41791</v>
      </c>
      <c r="D791" s="20">
        <v>2014</v>
      </c>
      <c r="E791" s="4" t="s">
        <v>184</v>
      </c>
      <c r="F791" s="5">
        <v>20000</v>
      </c>
      <c r="G791" s="4" t="s">
        <v>2854</v>
      </c>
      <c r="H791" s="4" t="s">
        <v>2855</v>
      </c>
      <c r="I791" s="4" t="s">
        <v>2842</v>
      </c>
      <c r="J791" s="4"/>
      <c r="K791" s="4"/>
      <c r="L791" s="2">
        <v>2009</v>
      </c>
      <c r="M791" s="4" t="s">
        <v>173</v>
      </c>
      <c r="N791" s="5"/>
      <c r="O791" s="4" t="s">
        <v>2856</v>
      </c>
      <c r="P791" s="4" t="s">
        <v>2857</v>
      </c>
      <c r="Q791" s="4"/>
      <c r="R791" s="4"/>
      <c r="S791" s="4"/>
      <c r="T791" s="4"/>
      <c r="U791" s="4"/>
    </row>
    <row r="792" spans="2:21" ht="26.15" hidden="1" customHeight="1">
      <c r="B792" s="2">
        <v>790</v>
      </c>
      <c r="C792" s="3">
        <v>41791</v>
      </c>
      <c r="D792" s="20">
        <v>2014</v>
      </c>
      <c r="E792" s="4" t="s">
        <v>124</v>
      </c>
      <c r="F792" s="5">
        <v>7912</v>
      </c>
      <c r="G792" s="4" t="s">
        <v>458</v>
      </c>
      <c r="H792" s="4" t="s">
        <v>459</v>
      </c>
      <c r="I792" s="4"/>
      <c r="J792" s="4"/>
      <c r="K792" s="4"/>
      <c r="L792" s="2">
        <v>2012</v>
      </c>
      <c r="M792" s="4" t="s">
        <v>462</v>
      </c>
      <c r="N792" s="5">
        <v>16507907</v>
      </c>
      <c r="O792" s="4" t="s">
        <v>463</v>
      </c>
      <c r="P792" s="4" t="s">
        <v>464</v>
      </c>
      <c r="Q792" s="4"/>
      <c r="R792" s="4"/>
      <c r="S792" s="4"/>
      <c r="T792" s="4"/>
      <c r="U792" s="4"/>
    </row>
    <row r="793" spans="2:21" ht="26.15" hidden="1" customHeight="1">
      <c r="B793" s="2">
        <v>791</v>
      </c>
      <c r="C793" s="3">
        <v>41791</v>
      </c>
      <c r="D793" s="20">
        <v>2014</v>
      </c>
      <c r="E793" s="4" t="s">
        <v>25</v>
      </c>
      <c r="F793" s="5">
        <v>20000000</v>
      </c>
      <c r="G793" s="4" t="s">
        <v>1265</v>
      </c>
      <c r="H793" s="4" t="s">
        <v>1266</v>
      </c>
      <c r="I793" s="4" t="s">
        <v>2858</v>
      </c>
      <c r="J793" s="4"/>
      <c r="K793" s="4"/>
      <c r="L793" s="2">
        <v>2011</v>
      </c>
      <c r="M793" s="4" t="s">
        <v>278</v>
      </c>
      <c r="N793" s="5">
        <v>20000000</v>
      </c>
      <c r="O793" s="4" t="s">
        <v>1268</v>
      </c>
      <c r="P793" s="4" t="s">
        <v>1269</v>
      </c>
      <c r="Q793" s="4"/>
      <c r="R793" s="4"/>
      <c r="S793" s="4"/>
      <c r="T793" s="4"/>
      <c r="U793" s="4"/>
    </row>
    <row r="794" spans="2:21" ht="26.15" hidden="1" customHeight="1">
      <c r="B794" s="2">
        <v>792</v>
      </c>
      <c r="C794" s="3">
        <v>41791</v>
      </c>
      <c r="D794" s="20">
        <v>2014</v>
      </c>
      <c r="E794" s="4" t="s">
        <v>34</v>
      </c>
      <c r="F794" s="5">
        <v>40000</v>
      </c>
      <c r="G794" s="4" t="s">
        <v>2859</v>
      </c>
      <c r="H794" s="4" t="s">
        <v>2860</v>
      </c>
      <c r="I794" s="4" t="s">
        <v>1020</v>
      </c>
      <c r="J794" s="4"/>
      <c r="K794" s="4"/>
      <c r="L794" s="2">
        <v>2013</v>
      </c>
      <c r="M794" s="4" t="s">
        <v>299</v>
      </c>
      <c r="N794" s="5">
        <v>40000</v>
      </c>
      <c r="O794" s="4" t="s">
        <v>2861</v>
      </c>
      <c r="P794" s="4" t="s">
        <v>2862</v>
      </c>
      <c r="Q794" s="4"/>
      <c r="R794" s="4"/>
      <c r="S794" s="4"/>
      <c r="T794" s="4"/>
      <c r="U794" s="4"/>
    </row>
    <row r="795" spans="2:21" ht="26.15" hidden="1" customHeight="1">
      <c r="B795" s="2">
        <v>793</v>
      </c>
      <c r="C795" s="3">
        <v>41791</v>
      </c>
      <c r="D795" s="20">
        <v>2014</v>
      </c>
      <c r="E795" s="4" t="s">
        <v>184</v>
      </c>
      <c r="F795" s="5">
        <v>50000</v>
      </c>
      <c r="G795" s="4" t="s">
        <v>2863</v>
      </c>
      <c r="H795" s="4" t="s">
        <v>2864</v>
      </c>
      <c r="I795" s="4" t="s">
        <v>2865</v>
      </c>
      <c r="J795" s="4"/>
      <c r="K795" s="4"/>
      <c r="L795" s="2">
        <v>2014</v>
      </c>
      <c r="M795" s="4" t="s">
        <v>2866</v>
      </c>
      <c r="N795" s="5"/>
      <c r="O795" s="4" t="s">
        <v>2867</v>
      </c>
      <c r="P795" s="4" t="s">
        <v>2868</v>
      </c>
      <c r="Q795" s="4"/>
      <c r="R795" s="4"/>
      <c r="S795" s="4"/>
      <c r="T795" s="4"/>
      <c r="U795" s="4"/>
    </row>
    <row r="796" spans="2:21" ht="26.15" hidden="1" customHeight="1">
      <c r="B796" s="2">
        <v>794</v>
      </c>
      <c r="C796" s="3">
        <v>41791</v>
      </c>
      <c r="D796" s="20">
        <v>2014</v>
      </c>
      <c r="E796" s="4" t="s">
        <v>184</v>
      </c>
      <c r="F796" s="5">
        <v>30000</v>
      </c>
      <c r="G796" s="4" t="s">
        <v>2863</v>
      </c>
      <c r="H796" s="4" t="s">
        <v>2864</v>
      </c>
      <c r="I796" s="4"/>
      <c r="J796" s="4"/>
      <c r="K796" s="4"/>
      <c r="L796" s="2">
        <v>2014</v>
      </c>
      <c r="M796" s="4" t="s">
        <v>2866</v>
      </c>
      <c r="N796" s="5"/>
      <c r="O796" s="4" t="s">
        <v>2867</v>
      </c>
      <c r="P796" s="4" t="s">
        <v>2868</v>
      </c>
      <c r="Q796" s="4"/>
      <c r="R796" s="4"/>
      <c r="S796" s="4"/>
      <c r="T796" s="4"/>
      <c r="U796" s="4"/>
    </row>
    <row r="797" spans="2:21" ht="26.15" hidden="1" customHeight="1">
      <c r="B797" s="2">
        <v>795</v>
      </c>
      <c r="C797" s="3">
        <v>41791</v>
      </c>
      <c r="D797" s="20">
        <v>2014</v>
      </c>
      <c r="E797" s="4" t="s">
        <v>34</v>
      </c>
      <c r="F797" s="5">
        <v>400000</v>
      </c>
      <c r="G797" s="4" t="s">
        <v>2869</v>
      </c>
      <c r="H797" s="4" t="s">
        <v>2870</v>
      </c>
      <c r="I797" s="4" t="s">
        <v>2871</v>
      </c>
      <c r="J797" s="4"/>
      <c r="K797" s="4"/>
      <c r="L797" s="2">
        <v>2013</v>
      </c>
      <c r="M797" s="4" t="s">
        <v>2027</v>
      </c>
      <c r="N797" s="5">
        <v>400000</v>
      </c>
      <c r="O797" s="4" t="s">
        <v>2872</v>
      </c>
      <c r="P797" s="4" t="s">
        <v>2873</v>
      </c>
      <c r="Q797" s="4"/>
      <c r="R797" s="4"/>
      <c r="S797" s="4"/>
      <c r="T797" s="4"/>
      <c r="U797" s="4"/>
    </row>
    <row r="798" spans="2:21" ht="26.15" hidden="1" customHeight="1">
      <c r="B798" s="2">
        <v>796</v>
      </c>
      <c r="C798" s="3">
        <v>41791</v>
      </c>
      <c r="D798" s="20">
        <v>2014</v>
      </c>
      <c r="E798" s="4" t="s">
        <v>289</v>
      </c>
      <c r="F798" s="5" t="s">
        <v>50</v>
      </c>
      <c r="G798" s="4" t="s">
        <v>2874</v>
      </c>
      <c r="H798" s="4" t="s">
        <v>2875</v>
      </c>
      <c r="I798" s="4"/>
      <c r="J798" s="4"/>
      <c r="K798" s="4"/>
      <c r="L798" s="2">
        <v>1940</v>
      </c>
      <c r="M798" s="4" t="s">
        <v>2876</v>
      </c>
      <c r="N798" s="5">
        <v>50000000</v>
      </c>
      <c r="O798" s="4" t="s">
        <v>2877</v>
      </c>
      <c r="P798" s="4" t="s">
        <v>2878</v>
      </c>
      <c r="Q798" s="4" t="s">
        <v>2879</v>
      </c>
      <c r="R798" s="4"/>
      <c r="S798" s="4"/>
      <c r="T798" s="4"/>
      <c r="U798" s="4"/>
    </row>
    <row r="799" spans="2:21" ht="26.15" hidden="1" customHeight="1">
      <c r="B799" s="2">
        <v>797</v>
      </c>
      <c r="C799" s="3">
        <v>41791</v>
      </c>
      <c r="D799" s="20">
        <v>2014</v>
      </c>
      <c r="E799" s="4" t="s">
        <v>184</v>
      </c>
      <c r="F799" s="5">
        <v>30000</v>
      </c>
      <c r="G799" s="4" t="s">
        <v>2880</v>
      </c>
      <c r="H799" s="4" t="s">
        <v>2881</v>
      </c>
      <c r="I799" s="4" t="s">
        <v>2882</v>
      </c>
      <c r="J799" s="4"/>
      <c r="K799" s="4"/>
      <c r="L799" s="2">
        <v>2014</v>
      </c>
      <c r="M799" s="4" t="s">
        <v>2883</v>
      </c>
      <c r="N799" s="5"/>
      <c r="O799" s="4" t="s">
        <v>2884</v>
      </c>
      <c r="P799" s="4" t="s">
        <v>2885</v>
      </c>
      <c r="Q799" s="4"/>
      <c r="R799" s="4"/>
      <c r="S799" s="4"/>
      <c r="T799" s="4"/>
      <c r="U799" s="4"/>
    </row>
    <row r="800" spans="2:21" ht="26.15" hidden="1" customHeight="1">
      <c r="B800" s="2">
        <v>798</v>
      </c>
      <c r="C800" s="3">
        <v>41791</v>
      </c>
      <c r="D800" s="20">
        <v>2014</v>
      </c>
      <c r="E800" s="4" t="s">
        <v>184</v>
      </c>
      <c r="F800" s="5">
        <v>34417</v>
      </c>
      <c r="G800" s="4" t="s">
        <v>2880</v>
      </c>
      <c r="H800" s="4" t="s">
        <v>2881</v>
      </c>
      <c r="I800" s="4" t="s">
        <v>2713</v>
      </c>
      <c r="J800" s="4"/>
      <c r="K800" s="4"/>
      <c r="L800" s="2">
        <v>2014</v>
      </c>
      <c r="M800" s="4" t="s">
        <v>2883</v>
      </c>
      <c r="N800" s="5"/>
      <c r="O800" s="4" t="s">
        <v>2884</v>
      </c>
      <c r="P800" s="4" t="s">
        <v>2885</v>
      </c>
      <c r="Q800" s="4"/>
      <c r="R800" s="4"/>
      <c r="S800" s="4"/>
      <c r="T800" s="4"/>
      <c r="U800" s="4"/>
    </row>
    <row r="801" spans="2:21" ht="26.15" hidden="1" customHeight="1">
      <c r="B801" s="2">
        <v>799</v>
      </c>
      <c r="C801" s="3">
        <v>41791</v>
      </c>
      <c r="D801" s="20">
        <v>2014</v>
      </c>
      <c r="E801" s="4" t="s">
        <v>124</v>
      </c>
      <c r="F801" s="5">
        <v>1620000</v>
      </c>
      <c r="G801" s="4" t="s">
        <v>1411</v>
      </c>
      <c r="H801" s="4" t="s">
        <v>1412</v>
      </c>
      <c r="I801" s="4"/>
      <c r="J801" s="4"/>
      <c r="K801" s="4"/>
      <c r="L801" s="2">
        <v>2014</v>
      </c>
      <c r="M801" s="4" t="s">
        <v>278</v>
      </c>
      <c r="N801" s="5">
        <v>1303000000</v>
      </c>
      <c r="O801" s="4" t="s">
        <v>1415</v>
      </c>
      <c r="P801" s="4" t="s">
        <v>1416</v>
      </c>
      <c r="Q801" s="4"/>
      <c r="R801" s="4"/>
      <c r="S801" s="4"/>
      <c r="T801" s="4"/>
      <c r="U801" s="4"/>
    </row>
    <row r="802" spans="2:21" ht="26.15" hidden="1" customHeight="1">
      <c r="B802" s="2">
        <v>800</v>
      </c>
      <c r="C802" s="3">
        <v>41791</v>
      </c>
      <c r="D802" s="20">
        <v>2014</v>
      </c>
      <c r="E802" s="4" t="s">
        <v>34</v>
      </c>
      <c r="F802" s="5" t="s">
        <v>50</v>
      </c>
      <c r="G802" s="4" t="s">
        <v>2886</v>
      </c>
      <c r="H802" s="4" t="s">
        <v>2887</v>
      </c>
      <c r="I802" s="4"/>
      <c r="J802" s="4"/>
      <c r="K802" s="4"/>
      <c r="L802" s="2">
        <v>2010</v>
      </c>
      <c r="M802" s="4" t="s">
        <v>39</v>
      </c>
      <c r="N802" s="5">
        <v>235000</v>
      </c>
      <c r="O802" s="4" t="s">
        <v>2888</v>
      </c>
      <c r="P802" s="4" t="s">
        <v>2889</v>
      </c>
      <c r="Q802" s="4"/>
      <c r="R802" s="4"/>
      <c r="S802" s="4"/>
      <c r="T802" s="4"/>
      <c r="U802" s="4"/>
    </row>
    <row r="803" spans="2:21" ht="26.15" hidden="1" customHeight="1">
      <c r="B803" s="2">
        <v>801</v>
      </c>
      <c r="C803" s="3">
        <v>41789</v>
      </c>
      <c r="D803" s="20">
        <v>2014</v>
      </c>
      <c r="E803" s="4" t="s">
        <v>34</v>
      </c>
      <c r="F803" s="5" t="s">
        <v>50</v>
      </c>
      <c r="G803" s="4" t="s">
        <v>2890</v>
      </c>
      <c r="H803" s="4" t="s">
        <v>2891</v>
      </c>
      <c r="I803" s="4" t="s">
        <v>1020</v>
      </c>
      <c r="J803" s="4"/>
      <c r="K803" s="4"/>
      <c r="L803" s="2">
        <v>2014</v>
      </c>
      <c r="M803" s="4" t="s">
        <v>299</v>
      </c>
      <c r="N803" s="5"/>
      <c r="O803" s="4" t="s">
        <v>2892</v>
      </c>
      <c r="P803" s="4" t="s">
        <v>2893</v>
      </c>
      <c r="Q803" s="4"/>
      <c r="R803" s="4"/>
      <c r="S803" s="4"/>
      <c r="T803" s="4"/>
      <c r="U803" s="4"/>
    </row>
    <row r="804" spans="2:21" ht="26.15" hidden="1" customHeight="1">
      <c r="B804" s="2">
        <v>802</v>
      </c>
      <c r="C804" s="3">
        <v>41788</v>
      </c>
      <c r="D804" s="20">
        <v>2014</v>
      </c>
      <c r="E804" s="4" t="s">
        <v>34</v>
      </c>
      <c r="F804" s="5">
        <v>305509</v>
      </c>
      <c r="G804" s="4" t="s">
        <v>749</v>
      </c>
      <c r="H804" s="4" t="s">
        <v>750</v>
      </c>
      <c r="I804" s="4"/>
      <c r="J804" s="4"/>
      <c r="K804" s="4"/>
      <c r="L804" s="2">
        <v>2012</v>
      </c>
      <c r="M804" s="4" t="s">
        <v>79</v>
      </c>
      <c r="N804" s="5">
        <v>2740519</v>
      </c>
      <c r="O804" s="4" t="s">
        <v>751</v>
      </c>
      <c r="P804" s="4" t="s">
        <v>752</v>
      </c>
      <c r="Q804" s="4"/>
      <c r="R804" s="4"/>
      <c r="S804" s="4"/>
      <c r="T804" s="4"/>
      <c r="U804" s="4"/>
    </row>
    <row r="805" spans="2:21" ht="26.15" hidden="1" customHeight="1">
      <c r="B805" s="2">
        <v>803</v>
      </c>
      <c r="C805" s="3">
        <v>41781</v>
      </c>
      <c r="D805" s="20">
        <v>2014</v>
      </c>
      <c r="E805" s="4" t="s">
        <v>124</v>
      </c>
      <c r="F805" s="5">
        <v>123977</v>
      </c>
      <c r="G805" s="4" t="s">
        <v>1685</v>
      </c>
      <c r="H805" s="4" t="s">
        <v>1686</v>
      </c>
      <c r="I805" s="4"/>
      <c r="J805" s="4" t="s">
        <v>2894</v>
      </c>
      <c r="K805" s="4" t="s">
        <v>2895</v>
      </c>
      <c r="L805" s="2">
        <v>2013</v>
      </c>
      <c r="M805" s="4" t="s">
        <v>79</v>
      </c>
      <c r="N805" s="5">
        <v>2257449</v>
      </c>
      <c r="O805" s="4" t="s">
        <v>1690</v>
      </c>
      <c r="P805" s="4" t="s">
        <v>1691</v>
      </c>
      <c r="Q805" s="4"/>
      <c r="R805" s="4"/>
      <c r="S805" s="4"/>
      <c r="T805" s="4"/>
      <c r="U805" s="4"/>
    </row>
    <row r="806" spans="2:21" ht="26.15" hidden="1" customHeight="1">
      <c r="B806" s="2">
        <v>804</v>
      </c>
      <c r="C806" s="3">
        <v>41780</v>
      </c>
      <c r="D806" s="20">
        <v>2014</v>
      </c>
      <c r="E806" s="4" t="s">
        <v>34</v>
      </c>
      <c r="F806" s="5">
        <v>290078</v>
      </c>
      <c r="G806" s="4" t="s">
        <v>1330</v>
      </c>
      <c r="H806" s="4" t="s">
        <v>1331</v>
      </c>
      <c r="I806" s="4" t="s">
        <v>2649</v>
      </c>
      <c r="J806" s="4" t="s">
        <v>2896</v>
      </c>
      <c r="K806" s="4" t="s">
        <v>2650</v>
      </c>
      <c r="L806" s="2">
        <v>2010</v>
      </c>
      <c r="M806" s="4" t="s">
        <v>79</v>
      </c>
      <c r="N806" s="5">
        <v>15568800</v>
      </c>
      <c r="O806" s="4" t="s">
        <v>1334</v>
      </c>
      <c r="P806" s="4" t="s">
        <v>1335</v>
      </c>
      <c r="Q806" s="4"/>
      <c r="R806" s="4"/>
      <c r="S806" s="4"/>
      <c r="T806" s="4"/>
      <c r="U806" s="4"/>
    </row>
    <row r="807" spans="2:21" ht="26.15" hidden="1" customHeight="1">
      <c r="B807" s="2">
        <v>805</v>
      </c>
      <c r="C807" s="3">
        <v>41771</v>
      </c>
      <c r="D807" s="20">
        <v>2014</v>
      </c>
      <c r="E807" s="4" t="s">
        <v>34</v>
      </c>
      <c r="F807" s="5">
        <v>1500000</v>
      </c>
      <c r="G807" s="4" t="s">
        <v>2319</v>
      </c>
      <c r="H807" s="4" t="s">
        <v>2320</v>
      </c>
      <c r="I807" s="4" t="s">
        <v>2897</v>
      </c>
      <c r="J807" s="4"/>
      <c r="K807" s="4" t="s">
        <v>2898</v>
      </c>
      <c r="L807" s="2">
        <v>2007</v>
      </c>
      <c r="M807" s="4" t="s">
        <v>1285</v>
      </c>
      <c r="N807" s="5">
        <v>2750000</v>
      </c>
      <c r="O807" s="4" t="s">
        <v>2322</v>
      </c>
      <c r="P807" s="4" t="s">
        <v>2323</v>
      </c>
      <c r="Q807" s="4"/>
      <c r="R807" s="4"/>
      <c r="S807" s="4"/>
      <c r="T807" s="4"/>
      <c r="U807" s="4"/>
    </row>
    <row r="808" spans="2:21" ht="26.15" hidden="1" customHeight="1">
      <c r="B808" s="2">
        <v>806</v>
      </c>
      <c r="C808" s="3">
        <v>41771</v>
      </c>
      <c r="D808" s="20">
        <v>2014</v>
      </c>
      <c r="E808" s="4" t="s">
        <v>289</v>
      </c>
      <c r="F808" s="5" t="s">
        <v>50</v>
      </c>
      <c r="G808" s="4" t="s">
        <v>2319</v>
      </c>
      <c r="H808" s="4" t="s">
        <v>2320</v>
      </c>
      <c r="I808" s="4" t="s">
        <v>2897</v>
      </c>
      <c r="J808" s="4"/>
      <c r="K808" s="4"/>
      <c r="L808" s="2">
        <v>2007</v>
      </c>
      <c r="M808" s="4" t="s">
        <v>1285</v>
      </c>
      <c r="N808" s="5">
        <v>2750000</v>
      </c>
      <c r="O808" s="4" t="s">
        <v>2322</v>
      </c>
      <c r="P808" s="4" t="s">
        <v>2323</v>
      </c>
      <c r="Q808" s="4"/>
      <c r="R808" s="4"/>
      <c r="S808" s="4"/>
      <c r="T808" s="4"/>
      <c r="U808" s="4"/>
    </row>
    <row r="809" spans="2:21" ht="26.15" hidden="1" customHeight="1">
      <c r="B809" s="2">
        <v>807</v>
      </c>
      <c r="C809" s="3">
        <v>41751</v>
      </c>
      <c r="D809" s="20">
        <v>2014</v>
      </c>
      <c r="E809" s="4" t="s">
        <v>34</v>
      </c>
      <c r="F809" s="5">
        <v>3338150</v>
      </c>
      <c r="G809" s="4" t="s">
        <v>1763</v>
      </c>
      <c r="H809" s="4" t="s">
        <v>1764</v>
      </c>
      <c r="I809" s="4" t="s">
        <v>2222</v>
      </c>
      <c r="J809" s="4" t="s">
        <v>2899</v>
      </c>
      <c r="K809" s="4" t="s">
        <v>2223</v>
      </c>
      <c r="L809" s="2">
        <v>2006</v>
      </c>
      <c r="M809" s="4" t="s">
        <v>47</v>
      </c>
      <c r="N809" s="5">
        <v>9099055</v>
      </c>
      <c r="O809" s="4" t="s">
        <v>1767</v>
      </c>
      <c r="P809" s="4" t="s">
        <v>1768</v>
      </c>
      <c r="Q809" s="4"/>
      <c r="R809" s="4"/>
      <c r="S809" s="4"/>
      <c r="T809" s="4"/>
      <c r="U809" s="4"/>
    </row>
    <row r="810" spans="2:21" ht="26.15" customHeight="1">
      <c r="B810" s="2">
        <v>808</v>
      </c>
      <c r="C810" s="3">
        <v>41730</v>
      </c>
      <c r="D810" s="20">
        <v>2014</v>
      </c>
      <c r="E810" s="4" t="s">
        <v>109</v>
      </c>
      <c r="F810" s="5">
        <v>1000000</v>
      </c>
      <c r="G810" s="4" t="s">
        <v>131</v>
      </c>
      <c r="H810" s="4" t="s">
        <v>132</v>
      </c>
      <c r="I810" s="4" t="s">
        <v>2900</v>
      </c>
      <c r="J810" s="4"/>
      <c r="K810" s="4"/>
      <c r="L810" s="2">
        <v>1999</v>
      </c>
      <c r="M810" s="4" t="s">
        <v>135</v>
      </c>
      <c r="N810" s="5">
        <v>37500000</v>
      </c>
      <c r="O810" s="4" t="s">
        <v>136</v>
      </c>
      <c r="P810" s="4" t="s">
        <v>137</v>
      </c>
      <c r="Q810" s="4"/>
      <c r="R810" s="4"/>
      <c r="S810" s="4"/>
      <c r="T810" s="4"/>
      <c r="U810" s="4"/>
    </row>
    <row r="811" spans="2:21" ht="26.15" hidden="1" customHeight="1">
      <c r="B811" s="2">
        <v>809</v>
      </c>
      <c r="C811" s="3">
        <v>41730</v>
      </c>
      <c r="D811" s="20">
        <v>2014</v>
      </c>
      <c r="E811" s="4" t="s">
        <v>124</v>
      </c>
      <c r="F811" s="5">
        <v>1500000</v>
      </c>
      <c r="G811" s="4" t="s">
        <v>2901</v>
      </c>
      <c r="H811" s="4" t="s">
        <v>2902</v>
      </c>
      <c r="I811" s="4"/>
      <c r="J811" s="4"/>
      <c r="K811" s="4"/>
      <c r="L811" s="2">
        <v>2013</v>
      </c>
      <c r="M811" s="4" t="s">
        <v>313</v>
      </c>
      <c r="N811" s="5">
        <v>1500000</v>
      </c>
      <c r="O811" s="4" t="s">
        <v>2903</v>
      </c>
      <c r="P811" s="4" t="s">
        <v>2904</v>
      </c>
      <c r="Q811" s="4"/>
      <c r="R811" s="4"/>
      <c r="S811" s="4"/>
      <c r="T811" s="4"/>
      <c r="U811" s="4"/>
    </row>
    <row r="812" spans="2:21" ht="26.15" hidden="1" customHeight="1">
      <c r="B812" s="2">
        <v>810</v>
      </c>
      <c r="C812" s="3">
        <v>41727</v>
      </c>
      <c r="D812" s="20">
        <v>2014</v>
      </c>
      <c r="E812" s="4" t="s">
        <v>124</v>
      </c>
      <c r="F812" s="5">
        <v>119145</v>
      </c>
      <c r="G812" s="4" t="s">
        <v>2112</v>
      </c>
      <c r="H812" s="4" t="s">
        <v>2113</v>
      </c>
      <c r="I812" s="4"/>
      <c r="J812" s="4" t="s">
        <v>2905</v>
      </c>
      <c r="K812" s="4" t="s">
        <v>2906</v>
      </c>
      <c r="L812" s="2">
        <v>2013</v>
      </c>
      <c r="M812" s="4" t="s">
        <v>79</v>
      </c>
      <c r="N812" s="5">
        <v>212000</v>
      </c>
      <c r="O812" s="4" t="s">
        <v>2114</v>
      </c>
      <c r="P812" s="4" t="s">
        <v>2115</v>
      </c>
      <c r="Q812" s="4"/>
      <c r="R812" s="4"/>
      <c r="S812" s="4"/>
      <c r="T812" s="4"/>
      <c r="U812" s="4"/>
    </row>
    <row r="813" spans="2:21" ht="26.15" hidden="1" customHeight="1">
      <c r="B813" s="2">
        <v>811</v>
      </c>
      <c r="C813" s="3">
        <v>41723</v>
      </c>
      <c r="D813" s="20">
        <v>2014</v>
      </c>
      <c r="E813" s="4" t="s">
        <v>25</v>
      </c>
      <c r="F813" s="5">
        <v>10000000</v>
      </c>
      <c r="G813" s="4" t="s">
        <v>2309</v>
      </c>
      <c r="H813" s="4" t="s">
        <v>2310</v>
      </c>
      <c r="I813" s="4" t="s">
        <v>2907</v>
      </c>
      <c r="J813" s="4"/>
      <c r="K813" s="4" t="s">
        <v>2908</v>
      </c>
      <c r="L813" s="2">
        <v>2009</v>
      </c>
      <c r="M813" s="4" t="s">
        <v>1732</v>
      </c>
      <c r="N813" s="5">
        <v>204990000</v>
      </c>
      <c r="O813" s="4" t="s">
        <v>2312</v>
      </c>
      <c r="P813" s="4" t="s">
        <v>2313</v>
      </c>
      <c r="Q813" s="4"/>
      <c r="R813" s="4"/>
      <c r="S813" s="4"/>
      <c r="T813" s="4"/>
      <c r="U813" s="4"/>
    </row>
    <row r="814" spans="2:21" ht="26.15" hidden="1" customHeight="1">
      <c r="B814" s="2">
        <v>812</v>
      </c>
      <c r="C814" s="3">
        <v>41670</v>
      </c>
      <c r="D814" s="20">
        <v>2014</v>
      </c>
      <c r="E814" s="4" t="s">
        <v>34</v>
      </c>
      <c r="F814" s="5" t="s">
        <v>50</v>
      </c>
      <c r="G814" s="4" t="s">
        <v>2909</v>
      </c>
      <c r="H814" s="4" t="s">
        <v>2910</v>
      </c>
      <c r="I814" s="4" t="s">
        <v>2911</v>
      </c>
      <c r="J814" s="4"/>
      <c r="K814" s="4"/>
      <c r="L814" s="2">
        <v>2011</v>
      </c>
      <c r="M814" s="4" t="s">
        <v>313</v>
      </c>
      <c r="N814" s="5"/>
      <c r="O814" s="4" t="s">
        <v>2912</v>
      </c>
      <c r="P814" s="4" t="s">
        <v>2913</v>
      </c>
      <c r="Q814" s="4"/>
      <c r="R814" s="4"/>
      <c r="S814" s="4"/>
      <c r="T814" s="4"/>
      <c r="U814" s="4"/>
    </row>
    <row r="815" spans="2:21" ht="26.15" hidden="1" customHeight="1">
      <c r="B815" s="2">
        <v>813</v>
      </c>
      <c r="C815" s="3">
        <v>41640</v>
      </c>
      <c r="D815" s="20">
        <v>2014</v>
      </c>
      <c r="E815" s="4" t="s">
        <v>184</v>
      </c>
      <c r="F815" s="5">
        <v>91000</v>
      </c>
      <c r="G815" s="4" t="s">
        <v>2914</v>
      </c>
      <c r="H815" s="4" t="s">
        <v>2915</v>
      </c>
      <c r="I815" s="4" t="s">
        <v>2916</v>
      </c>
      <c r="J815" s="4"/>
      <c r="K815" s="4"/>
      <c r="L815" s="2">
        <v>2011</v>
      </c>
      <c r="M815" s="4" t="s">
        <v>39</v>
      </c>
      <c r="N815" s="5"/>
      <c r="O815" s="4" t="s">
        <v>2917</v>
      </c>
      <c r="P815" s="4" t="s">
        <v>2913</v>
      </c>
      <c r="Q815" s="4"/>
      <c r="R815" s="4"/>
      <c r="S815" s="4"/>
      <c r="T815" s="4"/>
      <c r="U815" s="4"/>
    </row>
    <row r="816" spans="2:21" ht="26.15" hidden="1" customHeight="1">
      <c r="B816" s="2">
        <v>814</v>
      </c>
      <c r="C816" s="3">
        <v>41634</v>
      </c>
      <c r="D816" s="20">
        <v>2013</v>
      </c>
      <c r="E816" s="4" t="s">
        <v>34</v>
      </c>
      <c r="F816" s="5">
        <v>324002</v>
      </c>
      <c r="G816" s="4" t="s">
        <v>743</v>
      </c>
      <c r="H816" s="4" t="s">
        <v>744</v>
      </c>
      <c r="I816" s="4"/>
      <c r="J816" s="4"/>
      <c r="K816" s="4"/>
      <c r="L816" s="2">
        <v>2013</v>
      </c>
      <c r="M816" s="4" t="s">
        <v>121</v>
      </c>
      <c r="N816" s="5">
        <v>17022002</v>
      </c>
      <c r="O816" s="4" t="s">
        <v>747</v>
      </c>
      <c r="P816" s="4" t="s">
        <v>748</v>
      </c>
      <c r="Q816" s="4"/>
      <c r="R816" s="4"/>
      <c r="S816" s="4"/>
      <c r="T816" s="4"/>
      <c r="U816" s="4"/>
    </row>
    <row r="817" spans="2:21" ht="26.15" hidden="1" customHeight="1">
      <c r="B817" s="2">
        <v>815</v>
      </c>
      <c r="C817" s="3">
        <v>41632</v>
      </c>
      <c r="D817" s="20">
        <v>2013</v>
      </c>
      <c r="E817" s="4" t="s">
        <v>34</v>
      </c>
      <c r="F817" s="5">
        <v>1050560</v>
      </c>
      <c r="G817" s="4" t="s">
        <v>622</v>
      </c>
      <c r="H817" s="4" t="s">
        <v>623</v>
      </c>
      <c r="I817" s="4" t="s">
        <v>643</v>
      </c>
      <c r="J817" s="4"/>
      <c r="K817" s="4" t="s">
        <v>644</v>
      </c>
      <c r="L817" s="2">
        <v>2011</v>
      </c>
      <c r="M817" s="4" t="s">
        <v>79</v>
      </c>
      <c r="N817" s="5">
        <v>3574388</v>
      </c>
      <c r="O817" s="4" t="s">
        <v>625</v>
      </c>
      <c r="P817" s="4" t="s">
        <v>626</v>
      </c>
      <c r="Q817" s="4"/>
      <c r="R817" s="4"/>
      <c r="S817" s="4"/>
      <c r="T817" s="4"/>
      <c r="U817" s="4"/>
    </row>
    <row r="818" spans="2:21" ht="26.15" customHeight="1">
      <c r="B818" s="2">
        <v>816</v>
      </c>
      <c r="C818" s="3">
        <v>41631</v>
      </c>
      <c r="D818" s="20">
        <v>2013</v>
      </c>
      <c r="E818" s="4" t="s">
        <v>109</v>
      </c>
      <c r="F818" s="5">
        <v>4200000</v>
      </c>
      <c r="G818" s="4" t="s">
        <v>2918</v>
      </c>
      <c r="H818" s="4" t="s">
        <v>2919</v>
      </c>
      <c r="I818" s="4" t="s">
        <v>2920</v>
      </c>
      <c r="J818" s="4"/>
      <c r="K818" s="4"/>
      <c r="L818" s="2">
        <v>2004</v>
      </c>
      <c r="M818" s="4" t="s">
        <v>369</v>
      </c>
      <c r="N818" s="5">
        <v>5200000</v>
      </c>
      <c r="O818" s="4" t="s">
        <v>2921</v>
      </c>
      <c r="P818" s="4" t="s">
        <v>1974</v>
      </c>
      <c r="Q818" s="4"/>
      <c r="R818" s="4"/>
      <c r="S818" s="4"/>
      <c r="T818" s="4"/>
      <c r="U818" s="4"/>
    </row>
    <row r="819" spans="2:21" ht="26.15" customHeight="1">
      <c r="B819" s="2">
        <v>817</v>
      </c>
      <c r="C819" s="3">
        <v>41625</v>
      </c>
      <c r="D819" s="20">
        <v>2013</v>
      </c>
      <c r="E819" s="4" t="s">
        <v>109</v>
      </c>
      <c r="F819" s="5" t="s">
        <v>50</v>
      </c>
      <c r="G819" s="4" t="s">
        <v>2922</v>
      </c>
      <c r="H819" s="4" t="s">
        <v>2923</v>
      </c>
      <c r="I819" s="4" t="s">
        <v>2924</v>
      </c>
      <c r="J819" s="4"/>
      <c r="K819" s="4"/>
      <c r="L819" s="2">
        <v>2008</v>
      </c>
      <c r="M819" s="4" t="s">
        <v>638</v>
      </c>
      <c r="N819" s="5"/>
      <c r="O819" s="4" t="s">
        <v>2925</v>
      </c>
      <c r="P819" s="4" t="s">
        <v>2926</v>
      </c>
      <c r="Q819" s="4"/>
      <c r="R819" s="4"/>
      <c r="S819" s="4"/>
      <c r="T819" s="4"/>
      <c r="U819" s="4"/>
    </row>
    <row r="820" spans="2:21" ht="26.15" hidden="1" customHeight="1">
      <c r="B820" s="2">
        <v>818</v>
      </c>
      <c r="C820" s="3">
        <v>41618</v>
      </c>
      <c r="D820" s="20">
        <v>2013</v>
      </c>
      <c r="E820" s="4" t="s">
        <v>34</v>
      </c>
      <c r="F820" s="5">
        <v>24620</v>
      </c>
      <c r="G820" s="4" t="s">
        <v>641</v>
      </c>
      <c r="H820" s="4" t="s">
        <v>642</v>
      </c>
      <c r="I820" s="4" t="s">
        <v>652</v>
      </c>
      <c r="J820" s="4"/>
      <c r="K820" s="4" t="s">
        <v>653</v>
      </c>
      <c r="L820" s="2">
        <v>2009</v>
      </c>
      <c r="M820" s="4" t="s">
        <v>47</v>
      </c>
      <c r="N820" s="5">
        <v>10590520</v>
      </c>
      <c r="O820" s="4" t="s">
        <v>645</v>
      </c>
      <c r="P820" s="4" t="s">
        <v>646</v>
      </c>
      <c r="Q820" s="4"/>
      <c r="R820" s="4"/>
      <c r="S820" s="4"/>
      <c r="T820" s="4"/>
      <c r="U820" s="4"/>
    </row>
    <row r="821" spans="2:21" ht="26.15" hidden="1" customHeight="1">
      <c r="B821" s="2">
        <v>819</v>
      </c>
      <c r="C821" s="3">
        <v>41617</v>
      </c>
      <c r="D821" s="20">
        <v>2013</v>
      </c>
      <c r="E821" s="4" t="s">
        <v>34</v>
      </c>
      <c r="F821" s="5" t="s">
        <v>50</v>
      </c>
      <c r="G821" s="4" t="s">
        <v>2927</v>
      </c>
      <c r="H821" s="4" t="s">
        <v>2928</v>
      </c>
      <c r="I821" s="4" t="s">
        <v>1020</v>
      </c>
      <c r="J821" s="4"/>
      <c r="K821" s="4"/>
      <c r="L821" s="2">
        <v>2013</v>
      </c>
      <c r="M821" s="4" t="s">
        <v>299</v>
      </c>
      <c r="N821" s="5"/>
      <c r="O821" s="4" t="s">
        <v>2929</v>
      </c>
      <c r="P821" s="4" t="s">
        <v>2930</v>
      </c>
      <c r="Q821" s="4"/>
      <c r="R821" s="4"/>
      <c r="S821" s="4"/>
      <c r="T821" s="4"/>
      <c r="U821" s="4"/>
    </row>
    <row r="822" spans="2:21" ht="26.15" hidden="1" customHeight="1">
      <c r="B822" s="2">
        <v>820</v>
      </c>
      <c r="C822" s="3">
        <v>41610</v>
      </c>
      <c r="D822" s="20">
        <v>2013</v>
      </c>
      <c r="E822" s="4" t="s">
        <v>34</v>
      </c>
      <c r="F822" s="5">
        <v>150000</v>
      </c>
      <c r="G822" s="4" t="s">
        <v>2931</v>
      </c>
      <c r="H822" s="4" t="s">
        <v>2932</v>
      </c>
      <c r="I822" s="4"/>
      <c r="J822" s="4"/>
      <c r="K822" s="4"/>
      <c r="L822" s="2">
        <v>2011</v>
      </c>
      <c r="M822" s="4" t="s">
        <v>2933</v>
      </c>
      <c r="N822" s="5">
        <v>150000</v>
      </c>
      <c r="O822" s="4" t="s">
        <v>2934</v>
      </c>
      <c r="P822" s="4" t="s">
        <v>2935</v>
      </c>
      <c r="Q822" s="4"/>
      <c r="R822" s="4"/>
      <c r="S822" s="4"/>
      <c r="T822" s="4"/>
      <c r="U822" s="4"/>
    </row>
    <row r="823" spans="2:21" ht="26.15" hidden="1" customHeight="1">
      <c r="B823" s="2">
        <v>821</v>
      </c>
      <c r="C823" s="3">
        <v>41604</v>
      </c>
      <c r="D823" s="20">
        <v>2013</v>
      </c>
      <c r="E823" s="4" t="s">
        <v>109</v>
      </c>
      <c r="F823" s="5">
        <v>801440</v>
      </c>
      <c r="G823" s="4" t="s">
        <v>1705</v>
      </c>
      <c r="H823" s="4" t="s">
        <v>1706</v>
      </c>
      <c r="I823" s="4" t="s">
        <v>643</v>
      </c>
      <c r="J823" s="4"/>
      <c r="K823" s="4" t="s">
        <v>644</v>
      </c>
      <c r="L823" s="2">
        <v>2012</v>
      </c>
      <c r="M823" s="4" t="s">
        <v>1709</v>
      </c>
      <c r="N823" s="5">
        <v>6780764</v>
      </c>
      <c r="O823" s="4" t="s">
        <v>1710</v>
      </c>
      <c r="P823" s="4" t="s">
        <v>1711</v>
      </c>
      <c r="Q823" s="4"/>
      <c r="R823" s="4"/>
      <c r="S823" s="4"/>
      <c r="T823" s="4"/>
      <c r="U823" s="4"/>
    </row>
    <row r="824" spans="2:21" ht="26.15" hidden="1" customHeight="1">
      <c r="B824" s="2">
        <v>822</v>
      </c>
      <c r="C824" s="3">
        <v>41579</v>
      </c>
      <c r="D824" s="20">
        <v>2013</v>
      </c>
      <c r="E824" s="4" t="s">
        <v>109</v>
      </c>
      <c r="F824" s="5" t="s">
        <v>50</v>
      </c>
      <c r="G824" s="4" t="s">
        <v>2691</v>
      </c>
      <c r="H824" s="4" t="s">
        <v>2692</v>
      </c>
      <c r="I824" s="4"/>
      <c r="J824" s="4"/>
      <c r="K824" s="4"/>
      <c r="L824" s="2">
        <v>2012</v>
      </c>
      <c r="M824" s="4" t="s">
        <v>278</v>
      </c>
      <c r="N824" s="5"/>
      <c r="O824" s="4" t="s">
        <v>2694</v>
      </c>
      <c r="P824" s="4" t="s">
        <v>2695</v>
      </c>
      <c r="Q824" s="4"/>
      <c r="R824" s="4"/>
      <c r="S824" s="4"/>
      <c r="T824" s="4"/>
      <c r="U824" s="4"/>
    </row>
    <row r="825" spans="2:21" ht="26.15" hidden="1" customHeight="1">
      <c r="B825" s="2">
        <v>823</v>
      </c>
      <c r="C825" s="3">
        <v>41571</v>
      </c>
      <c r="D825" s="20">
        <v>2013</v>
      </c>
      <c r="E825" s="4" t="s">
        <v>34</v>
      </c>
      <c r="F825" s="5">
        <v>61084</v>
      </c>
      <c r="G825" s="4" t="s">
        <v>1330</v>
      </c>
      <c r="H825" s="4" t="s">
        <v>1331</v>
      </c>
      <c r="I825" s="4" t="s">
        <v>1466</v>
      </c>
      <c r="J825" s="4" t="s">
        <v>2896</v>
      </c>
      <c r="K825" s="4" t="s">
        <v>1467</v>
      </c>
      <c r="L825" s="2">
        <v>2010</v>
      </c>
      <c r="M825" s="4" t="s">
        <v>79</v>
      </c>
      <c r="N825" s="5">
        <v>15568800</v>
      </c>
      <c r="O825" s="4" t="s">
        <v>1334</v>
      </c>
      <c r="P825" s="4" t="s">
        <v>1335</v>
      </c>
      <c r="Q825" s="4"/>
      <c r="R825" s="4"/>
      <c r="S825" s="4"/>
      <c r="T825" s="4"/>
      <c r="U825" s="4"/>
    </row>
    <row r="826" spans="2:21" ht="26.15" hidden="1" customHeight="1">
      <c r="B826" s="2">
        <v>824</v>
      </c>
      <c r="C826" s="3">
        <v>41568</v>
      </c>
      <c r="D826" s="20">
        <v>2013</v>
      </c>
      <c r="E826" s="4" t="s">
        <v>109</v>
      </c>
      <c r="F826" s="5">
        <v>1675644</v>
      </c>
      <c r="G826" s="4" t="s">
        <v>2936</v>
      </c>
      <c r="H826" s="4" t="s">
        <v>2937</v>
      </c>
      <c r="I826" s="4"/>
      <c r="J826" s="4"/>
      <c r="K826" s="4"/>
      <c r="L826" s="2">
        <v>2008</v>
      </c>
      <c r="M826" s="4" t="s">
        <v>47</v>
      </c>
      <c r="N826" s="5">
        <v>8723427</v>
      </c>
      <c r="O826" s="4" t="s">
        <v>2938</v>
      </c>
      <c r="P826" s="4" t="s">
        <v>2939</v>
      </c>
      <c r="Q826" s="4"/>
      <c r="R826" s="4"/>
      <c r="S826" s="4"/>
      <c r="T826" s="4"/>
      <c r="U826" s="4"/>
    </row>
    <row r="827" spans="2:21" ht="26.15" hidden="1" customHeight="1">
      <c r="B827" s="2">
        <v>825</v>
      </c>
      <c r="C827" s="3">
        <v>41558</v>
      </c>
      <c r="D827" s="20">
        <v>2013</v>
      </c>
      <c r="E827" s="4" t="s">
        <v>34</v>
      </c>
      <c r="F827" s="5">
        <v>235000</v>
      </c>
      <c r="G827" s="4" t="s">
        <v>2886</v>
      </c>
      <c r="H827" s="4" t="s">
        <v>2887</v>
      </c>
      <c r="I827" s="4" t="s">
        <v>2940</v>
      </c>
      <c r="J827" s="4"/>
      <c r="K827" s="4"/>
      <c r="L827" s="2">
        <v>2010</v>
      </c>
      <c r="M827" s="4" t="s">
        <v>39</v>
      </c>
      <c r="N827" s="5">
        <v>235000</v>
      </c>
      <c r="O827" s="4" t="s">
        <v>2888</v>
      </c>
      <c r="P827" s="4" t="s">
        <v>2889</v>
      </c>
      <c r="Q827" s="4"/>
      <c r="R827" s="4"/>
      <c r="S827" s="4"/>
      <c r="T827" s="4"/>
      <c r="U827" s="4"/>
    </row>
    <row r="828" spans="2:21" ht="26.15" customHeight="1">
      <c r="B828" s="2">
        <v>826</v>
      </c>
      <c r="C828" s="3">
        <v>41520</v>
      </c>
      <c r="D828" s="20">
        <v>2013</v>
      </c>
      <c r="E828" s="4" t="s">
        <v>95</v>
      </c>
      <c r="F828" s="5">
        <v>65000000</v>
      </c>
      <c r="G828" s="4" t="s">
        <v>2941</v>
      </c>
      <c r="H828" s="4" t="s">
        <v>2942</v>
      </c>
      <c r="I828" s="4" t="s">
        <v>2943</v>
      </c>
      <c r="J828" s="4"/>
      <c r="K828" s="4" t="s">
        <v>2944</v>
      </c>
      <c r="L828" s="2">
        <v>2007</v>
      </c>
      <c r="M828" s="4" t="s">
        <v>2945</v>
      </c>
      <c r="N828" s="5">
        <v>91000000</v>
      </c>
      <c r="O828" s="4" t="s">
        <v>2946</v>
      </c>
      <c r="P828" s="4" t="s">
        <v>2947</v>
      </c>
      <c r="Q828" s="4"/>
      <c r="R828" s="4"/>
      <c r="S828" s="4"/>
      <c r="T828" s="4"/>
      <c r="U828" s="4"/>
    </row>
    <row r="829" spans="2:21" ht="26.15" hidden="1" customHeight="1">
      <c r="B829" s="2">
        <v>827</v>
      </c>
      <c r="C829" s="3">
        <v>41456</v>
      </c>
      <c r="D829" s="20">
        <v>2013</v>
      </c>
      <c r="E829" s="4" t="s">
        <v>124</v>
      </c>
      <c r="F829" s="5">
        <v>165548</v>
      </c>
      <c r="G829" s="4" t="s">
        <v>1685</v>
      </c>
      <c r="H829" s="4" t="s">
        <v>1686</v>
      </c>
      <c r="I829" s="4"/>
      <c r="J829" s="4" t="s">
        <v>2948</v>
      </c>
      <c r="K829" s="4" t="s">
        <v>2949</v>
      </c>
      <c r="L829" s="2">
        <v>2013</v>
      </c>
      <c r="M829" s="4" t="s">
        <v>79</v>
      </c>
      <c r="N829" s="5">
        <v>2257449</v>
      </c>
      <c r="O829" s="4" t="s">
        <v>1690</v>
      </c>
      <c r="P829" s="4" t="s">
        <v>1691</v>
      </c>
      <c r="Q829" s="4"/>
      <c r="R829" s="4"/>
      <c r="S829" s="4"/>
      <c r="T829" s="4"/>
      <c r="U829" s="4"/>
    </row>
    <row r="830" spans="2:21" ht="26.15" hidden="1" customHeight="1">
      <c r="B830" s="2">
        <v>828</v>
      </c>
      <c r="C830" s="3">
        <v>41454</v>
      </c>
      <c r="D830" s="20">
        <v>2013</v>
      </c>
      <c r="E830" s="4" t="s">
        <v>34</v>
      </c>
      <c r="F830" s="5">
        <v>1204340</v>
      </c>
      <c r="G830" s="4" t="s">
        <v>303</v>
      </c>
      <c r="H830" s="4" t="s">
        <v>304</v>
      </c>
      <c r="I830" s="4" t="s">
        <v>2950</v>
      </c>
      <c r="J830" s="4"/>
      <c r="K830" s="4" t="s">
        <v>644</v>
      </c>
      <c r="L830" s="2">
        <v>2011</v>
      </c>
      <c r="M830" s="4" t="s">
        <v>79</v>
      </c>
      <c r="N830" s="5">
        <v>19009146</v>
      </c>
      <c r="O830" s="4" t="s">
        <v>306</v>
      </c>
      <c r="P830" s="4" t="s">
        <v>307</v>
      </c>
      <c r="Q830" s="4"/>
      <c r="R830" s="4"/>
      <c r="S830" s="4"/>
      <c r="T830" s="4"/>
      <c r="U830" s="4"/>
    </row>
    <row r="831" spans="2:21" ht="26.15" customHeight="1">
      <c r="B831" s="2">
        <v>829</v>
      </c>
      <c r="C831" s="3">
        <v>41448</v>
      </c>
      <c r="D831" s="20">
        <v>2013</v>
      </c>
      <c r="E831" s="4" t="s">
        <v>528</v>
      </c>
      <c r="F831" s="5">
        <v>50000000</v>
      </c>
      <c r="G831" s="4" t="s">
        <v>2951</v>
      </c>
      <c r="H831" s="4" t="s">
        <v>2952</v>
      </c>
      <c r="I831" s="4" t="s">
        <v>2953</v>
      </c>
      <c r="J831" s="4"/>
      <c r="K831" s="4"/>
      <c r="L831" s="2">
        <v>1998</v>
      </c>
      <c r="M831" s="4" t="s">
        <v>2954</v>
      </c>
      <c r="N831" s="5">
        <v>50000000</v>
      </c>
      <c r="O831" s="4" t="s">
        <v>2955</v>
      </c>
      <c r="P831" s="4" t="s">
        <v>2956</v>
      </c>
      <c r="Q831" s="4"/>
      <c r="R831" s="4"/>
      <c r="S831" s="4"/>
      <c r="T831" s="4"/>
      <c r="U831" s="4"/>
    </row>
    <row r="832" spans="2:21" ht="26.15" hidden="1" customHeight="1">
      <c r="B832" s="2">
        <v>830</v>
      </c>
      <c r="C832" s="3">
        <v>41443</v>
      </c>
      <c r="D832" s="20">
        <v>2013</v>
      </c>
      <c r="E832" s="4" t="s">
        <v>34</v>
      </c>
      <c r="F832" s="5">
        <v>207527</v>
      </c>
      <c r="G832" s="4" t="s">
        <v>622</v>
      </c>
      <c r="H832" s="4" t="s">
        <v>623</v>
      </c>
      <c r="I832" s="4" t="s">
        <v>2957</v>
      </c>
      <c r="J832" s="4"/>
      <c r="K832" s="4" t="s">
        <v>644</v>
      </c>
      <c r="L832" s="2">
        <v>2011</v>
      </c>
      <c r="M832" s="4" t="s">
        <v>79</v>
      </c>
      <c r="N832" s="5">
        <v>3574388</v>
      </c>
      <c r="O832" s="4" t="s">
        <v>625</v>
      </c>
      <c r="P832" s="4" t="s">
        <v>626</v>
      </c>
      <c r="Q832" s="4"/>
      <c r="R832" s="4"/>
      <c r="S832" s="4"/>
      <c r="T832" s="4"/>
      <c r="U832" s="4"/>
    </row>
    <row r="833" spans="2:21" ht="26.15" hidden="1" customHeight="1">
      <c r="B833" s="2">
        <v>831</v>
      </c>
      <c r="C833" s="3">
        <v>41426</v>
      </c>
      <c r="D833" s="20">
        <v>2013</v>
      </c>
      <c r="E833" s="4" t="s">
        <v>109</v>
      </c>
      <c r="F833" s="5" t="s">
        <v>50</v>
      </c>
      <c r="G833" s="4" t="s">
        <v>1265</v>
      </c>
      <c r="H833" s="4" t="s">
        <v>1266</v>
      </c>
      <c r="I833" s="4" t="s">
        <v>2958</v>
      </c>
      <c r="J833" s="4"/>
      <c r="K833" s="4"/>
      <c r="L833" s="2">
        <v>2011</v>
      </c>
      <c r="M833" s="4" t="s">
        <v>278</v>
      </c>
      <c r="N833" s="5">
        <v>20000000</v>
      </c>
      <c r="O833" s="4" t="s">
        <v>1268</v>
      </c>
      <c r="P833" s="4" t="s">
        <v>1269</v>
      </c>
      <c r="Q833" s="4"/>
      <c r="R833" s="4"/>
      <c r="S833" s="4"/>
      <c r="T833" s="4"/>
      <c r="U833" s="4"/>
    </row>
    <row r="834" spans="2:21" ht="26.15" hidden="1" customHeight="1">
      <c r="B834" s="2">
        <v>832</v>
      </c>
      <c r="C834" s="3">
        <v>41426</v>
      </c>
      <c r="D834" s="20">
        <v>2013</v>
      </c>
      <c r="E834" s="4" t="s">
        <v>109</v>
      </c>
      <c r="F834" s="5">
        <v>3650000</v>
      </c>
      <c r="G834" s="4" t="s">
        <v>2959</v>
      </c>
      <c r="H834" s="4" t="s">
        <v>2960</v>
      </c>
      <c r="I834" s="4" t="s">
        <v>2961</v>
      </c>
      <c r="J834" s="4"/>
      <c r="K834" s="4"/>
      <c r="L834" s="2">
        <v>1999</v>
      </c>
      <c r="M834" s="4" t="s">
        <v>181</v>
      </c>
      <c r="N834" s="5">
        <v>3650000</v>
      </c>
      <c r="O834" s="4" t="s">
        <v>2962</v>
      </c>
      <c r="P834" s="4" t="s">
        <v>2236</v>
      </c>
      <c r="Q834" s="4"/>
      <c r="R834" s="4"/>
      <c r="S834" s="4"/>
      <c r="T834" s="4"/>
      <c r="U834" s="4"/>
    </row>
    <row r="835" spans="2:21" ht="26.15" customHeight="1">
      <c r="B835" s="2">
        <v>833</v>
      </c>
      <c r="C835" s="3">
        <v>41426</v>
      </c>
      <c r="D835" s="20">
        <v>2013</v>
      </c>
      <c r="E835" s="4" t="s">
        <v>34</v>
      </c>
      <c r="F835" s="5" t="s">
        <v>50</v>
      </c>
      <c r="G835" s="4" t="s">
        <v>353</v>
      </c>
      <c r="H835" s="4" t="s">
        <v>354</v>
      </c>
      <c r="I835" s="4" t="s">
        <v>2643</v>
      </c>
      <c r="J835" s="4"/>
      <c r="K835" s="4" t="s">
        <v>356</v>
      </c>
      <c r="L835" s="2">
        <v>2013</v>
      </c>
      <c r="M835" s="4" t="s">
        <v>357</v>
      </c>
      <c r="N835" s="5">
        <v>9700000</v>
      </c>
      <c r="O835" s="4" t="s">
        <v>358</v>
      </c>
      <c r="P835" s="4" t="s">
        <v>359</v>
      </c>
      <c r="Q835" s="4"/>
      <c r="R835" s="4"/>
      <c r="S835" s="4"/>
      <c r="T835" s="4"/>
      <c r="U835" s="4"/>
    </row>
    <row r="836" spans="2:21" ht="26.15" hidden="1" customHeight="1">
      <c r="B836" s="2">
        <v>834</v>
      </c>
      <c r="C836" s="3">
        <v>41426</v>
      </c>
      <c r="D836" s="20">
        <v>2013</v>
      </c>
      <c r="E836" s="4" t="s">
        <v>109</v>
      </c>
      <c r="F836" s="5">
        <v>10000000</v>
      </c>
      <c r="G836" s="4" t="s">
        <v>2309</v>
      </c>
      <c r="H836" s="4" t="s">
        <v>2310</v>
      </c>
      <c r="I836" s="4" t="s">
        <v>2963</v>
      </c>
      <c r="J836" s="4"/>
      <c r="K836" s="4" t="s">
        <v>2964</v>
      </c>
      <c r="L836" s="2">
        <v>2009</v>
      </c>
      <c r="M836" s="4" t="s">
        <v>1732</v>
      </c>
      <c r="N836" s="5">
        <v>204990000</v>
      </c>
      <c r="O836" s="4" t="s">
        <v>2312</v>
      </c>
      <c r="P836" s="4" t="s">
        <v>2313</v>
      </c>
      <c r="Q836" s="4"/>
      <c r="R836" s="4"/>
      <c r="S836" s="4"/>
      <c r="T836" s="4"/>
      <c r="U836" s="4"/>
    </row>
    <row r="837" spans="2:21" ht="26.15" hidden="1" customHeight="1">
      <c r="B837" s="2">
        <v>835</v>
      </c>
      <c r="C837" s="3">
        <v>41402</v>
      </c>
      <c r="D837" s="20">
        <v>2013</v>
      </c>
      <c r="E837" s="4" t="s">
        <v>2753</v>
      </c>
      <c r="F837" s="5">
        <v>10000000</v>
      </c>
      <c r="G837" s="4" t="s">
        <v>2478</v>
      </c>
      <c r="H837" s="4" t="s">
        <v>2479</v>
      </c>
      <c r="I837" s="4" t="s">
        <v>2965</v>
      </c>
      <c r="J837" s="4"/>
      <c r="K837" s="4"/>
      <c r="L837" s="2">
        <v>1963</v>
      </c>
      <c r="M837" s="4" t="s">
        <v>2481</v>
      </c>
      <c r="N837" s="5"/>
      <c r="O837" s="4" t="s">
        <v>2482</v>
      </c>
      <c r="P837" s="4" t="s">
        <v>2483</v>
      </c>
      <c r="Q837" s="4"/>
      <c r="R837" s="4"/>
      <c r="S837" s="4"/>
      <c r="T837" s="4"/>
      <c r="U837" s="4"/>
    </row>
    <row r="838" spans="2:21" ht="26.15" hidden="1" customHeight="1">
      <c r="B838" s="2">
        <v>836</v>
      </c>
      <c r="C838" s="3">
        <v>41400</v>
      </c>
      <c r="D838" s="20">
        <v>2013</v>
      </c>
      <c r="E838" s="4" t="s">
        <v>528</v>
      </c>
      <c r="F838" s="5">
        <v>10000000</v>
      </c>
      <c r="G838" s="4" t="s">
        <v>2966</v>
      </c>
      <c r="H838" s="4" t="s">
        <v>2967</v>
      </c>
      <c r="I838" s="4" t="s">
        <v>2968</v>
      </c>
      <c r="J838" s="4"/>
      <c r="K838" s="4"/>
      <c r="L838" s="2">
        <v>1993</v>
      </c>
      <c r="M838" s="4" t="s">
        <v>79</v>
      </c>
      <c r="N838" s="5">
        <v>10000000</v>
      </c>
      <c r="O838" s="4" t="s">
        <v>2969</v>
      </c>
      <c r="P838" s="4" t="s">
        <v>2970</v>
      </c>
      <c r="Q838" s="4"/>
      <c r="R838" s="4"/>
      <c r="S838" s="4"/>
      <c r="T838" s="4"/>
      <c r="U838" s="4"/>
    </row>
    <row r="839" spans="2:21" ht="26.15" hidden="1" customHeight="1">
      <c r="B839" s="2">
        <v>837</v>
      </c>
      <c r="C839" s="3">
        <v>41383</v>
      </c>
      <c r="D839" s="20">
        <v>2013</v>
      </c>
      <c r="E839" s="4" t="s">
        <v>34</v>
      </c>
      <c r="F839" s="5">
        <v>537924</v>
      </c>
      <c r="G839" s="4" t="s">
        <v>980</v>
      </c>
      <c r="H839" s="4" t="s">
        <v>981</v>
      </c>
      <c r="I839" s="4" t="s">
        <v>2971</v>
      </c>
      <c r="J839" s="4"/>
      <c r="K839" s="4" t="s">
        <v>2972</v>
      </c>
      <c r="L839" s="2">
        <v>2012</v>
      </c>
      <c r="M839" s="4" t="s">
        <v>181</v>
      </c>
      <c r="N839" s="5">
        <v>987327</v>
      </c>
      <c r="O839" s="4" t="s">
        <v>984</v>
      </c>
      <c r="P839" s="4" t="s">
        <v>435</v>
      </c>
      <c r="Q839" s="4"/>
      <c r="R839" s="4"/>
      <c r="S839" s="4"/>
      <c r="T839" s="4"/>
      <c r="U839" s="4"/>
    </row>
    <row r="840" spans="2:21" ht="26.15" hidden="1" customHeight="1">
      <c r="B840" s="2">
        <v>838</v>
      </c>
      <c r="C840" s="3">
        <v>41368</v>
      </c>
      <c r="D840" s="20">
        <v>2013</v>
      </c>
      <c r="E840" s="4" t="s">
        <v>34</v>
      </c>
      <c r="F840" s="5">
        <v>733944</v>
      </c>
      <c r="G840" s="4" t="s">
        <v>1171</v>
      </c>
      <c r="H840" s="4" t="s">
        <v>1172</v>
      </c>
      <c r="I840" s="4" t="s">
        <v>483</v>
      </c>
      <c r="J840" s="4" t="s">
        <v>2973</v>
      </c>
      <c r="K840" s="4" t="s">
        <v>484</v>
      </c>
      <c r="L840" s="2">
        <v>2008</v>
      </c>
      <c r="M840" s="4" t="s">
        <v>47</v>
      </c>
      <c r="N840" s="5">
        <v>47182672</v>
      </c>
      <c r="O840" s="4" t="s">
        <v>1175</v>
      </c>
      <c r="P840" s="4" t="s">
        <v>1176</v>
      </c>
      <c r="Q840" s="4"/>
      <c r="R840" s="4"/>
      <c r="S840" s="4"/>
      <c r="T840" s="4"/>
      <c r="U840" s="4"/>
    </row>
    <row r="841" spans="2:21" ht="26.15" hidden="1" customHeight="1">
      <c r="B841" s="2">
        <v>839</v>
      </c>
      <c r="C841" s="3">
        <v>41327</v>
      </c>
      <c r="D841" s="20">
        <v>2013</v>
      </c>
      <c r="E841" s="4" t="s">
        <v>34</v>
      </c>
      <c r="F841" s="5">
        <v>2510140</v>
      </c>
      <c r="G841" s="4" t="s">
        <v>1763</v>
      </c>
      <c r="H841" s="4" t="s">
        <v>1764</v>
      </c>
      <c r="I841" s="4" t="s">
        <v>2222</v>
      </c>
      <c r="J841" s="4"/>
      <c r="K841" s="4" t="s">
        <v>2223</v>
      </c>
      <c r="L841" s="2">
        <v>2006</v>
      </c>
      <c r="M841" s="4" t="s">
        <v>47</v>
      </c>
      <c r="N841" s="5">
        <v>9099055</v>
      </c>
      <c r="O841" s="4" t="s">
        <v>1767</v>
      </c>
      <c r="P841" s="4" t="s">
        <v>1768</v>
      </c>
      <c r="Q841" s="4"/>
      <c r="R841" s="4"/>
      <c r="S841" s="4"/>
      <c r="T841" s="4"/>
      <c r="U841" s="4"/>
    </row>
    <row r="842" spans="2:21" ht="26.15" hidden="1" customHeight="1">
      <c r="B842" s="2">
        <v>840</v>
      </c>
      <c r="C842" s="3">
        <v>41306</v>
      </c>
      <c r="D842" s="20">
        <v>2013</v>
      </c>
      <c r="E842" s="4" t="s">
        <v>109</v>
      </c>
      <c r="F842" s="5" t="s">
        <v>50</v>
      </c>
      <c r="G842" s="4" t="s">
        <v>2974</v>
      </c>
      <c r="H842" s="4" t="s">
        <v>2975</v>
      </c>
      <c r="I842" s="4" t="s">
        <v>2976</v>
      </c>
      <c r="J842" s="4"/>
      <c r="K842" s="4" t="s">
        <v>2977</v>
      </c>
      <c r="L842" s="2">
        <v>2005</v>
      </c>
      <c r="M842" s="4" t="s">
        <v>2978</v>
      </c>
      <c r="N842" s="5"/>
      <c r="O842" s="4" t="s">
        <v>2979</v>
      </c>
      <c r="P842" s="4" t="s">
        <v>435</v>
      </c>
      <c r="Q842" s="4"/>
      <c r="R842" s="4"/>
      <c r="S842" s="4"/>
      <c r="T842" s="4"/>
      <c r="U842" s="4"/>
    </row>
    <row r="843" spans="2:21" ht="26.15" hidden="1" customHeight="1">
      <c r="B843" s="2">
        <v>841</v>
      </c>
      <c r="C843" s="3">
        <v>41305</v>
      </c>
      <c r="D843" s="20">
        <v>2013</v>
      </c>
      <c r="E843" s="4" t="s">
        <v>34</v>
      </c>
      <c r="F843" s="5">
        <v>523958</v>
      </c>
      <c r="G843" s="4" t="s">
        <v>749</v>
      </c>
      <c r="H843" s="4" t="s">
        <v>750</v>
      </c>
      <c r="I843" s="4" t="s">
        <v>2211</v>
      </c>
      <c r="J843" s="4"/>
      <c r="K843" s="4" t="s">
        <v>2212</v>
      </c>
      <c r="L843" s="2">
        <v>2012</v>
      </c>
      <c r="M843" s="4" t="s">
        <v>79</v>
      </c>
      <c r="N843" s="5">
        <v>2740519</v>
      </c>
      <c r="O843" s="4" t="s">
        <v>751</v>
      </c>
      <c r="P843" s="4" t="s">
        <v>752</v>
      </c>
      <c r="Q843" s="4"/>
      <c r="R843" s="4"/>
      <c r="S843" s="4"/>
      <c r="T843" s="4"/>
      <c r="U843" s="4"/>
    </row>
    <row r="844" spans="2:21" ht="26.15" hidden="1" customHeight="1">
      <c r="B844" s="2">
        <v>842</v>
      </c>
      <c r="C844" s="3">
        <v>41305</v>
      </c>
      <c r="D844" s="20">
        <v>2013</v>
      </c>
      <c r="E844" s="4" t="s">
        <v>34</v>
      </c>
      <c r="F844" s="5">
        <v>182637</v>
      </c>
      <c r="G844" s="4" t="s">
        <v>303</v>
      </c>
      <c r="H844" s="4" t="s">
        <v>304</v>
      </c>
      <c r="I844" s="4" t="s">
        <v>643</v>
      </c>
      <c r="J844" s="4" t="s">
        <v>2980</v>
      </c>
      <c r="K844" s="4" t="s">
        <v>2981</v>
      </c>
      <c r="L844" s="2">
        <v>2011</v>
      </c>
      <c r="M844" s="4" t="s">
        <v>79</v>
      </c>
      <c r="N844" s="5">
        <v>19009146</v>
      </c>
      <c r="O844" s="4" t="s">
        <v>306</v>
      </c>
      <c r="P844" s="4" t="s">
        <v>307</v>
      </c>
      <c r="Q844" s="4"/>
      <c r="R844" s="4"/>
      <c r="S844" s="4"/>
      <c r="T844" s="4"/>
      <c r="U844" s="4"/>
    </row>
    <row r="845" spans="2:21" ht="26.15" hidden="1" customHeight="1">
      <c r="B845" s="2">
        <v>843</v>
      </c>
      <c r="C845" s="3">
        <v>41298</v>
      </c>
      <c r="D845" s="20">
        <v>2013</v>
      </c>
      <c r="E845" s="4" t="s">
        <v>34</v>
      </c>
      <c r="F845" s="5" t="s">
        <v>50</v>
      </c>
      <c r="G845" s="4" t="s">
        <v>749</v>
      </c>
      <c r="H845" s="4" t="s">
        <v>750</v>
      </c>
      <c r="I845" s="4" t="s">
        <v>2982</v>
      </c>
      <c r="J845" s="4"/>
      <c r="K845" s="4" t="s">
        <v>2983</v>
      </c>
      <c r="L845" s="2">
        <v>2012</v>
      </c>
      <c r="M845" s="4" t="s">
        <v>79</v>
      </c>
      <c r="N845" s="5">
        <v>2740519</v>
      </c>
      <c r="O845" s="4" t="s">
        <v>751</v>
      </c>
      <c r="P845" s="4" t="s">
        <v>752</v>
      </c>
      <c r="Q845" s="4"/>
      <c r="R845" s="4"/>
      <c r="S845" s="4"/>
      <c r="T845" s="4"/>
      <c r="U845" s="4"/>
    </row>
    <row r="846" spans="2:21" ht="26.15" customHeight="1">
      <c r="B846" s="2">
        <v>844</v>
      </c>
      <c r="C846" s="3">
        <v>41254</v>
      </c>
      <c r="D846" s="20">
        <v>2012</v>
      </c>
      <c r="E846" s="4" t="s">
        <v>25</v>
      </c>
      <c r="F846" s="5">
        <v>8000000</v>
      </c>
      <c r="G846" s="4" t="s">
        <v>2630</v>
      </c>
      <c r="H846" s="4" t="s">
        <v>2631</v>
      </c>
      <c r="I846" s="4" t="s">
        <v>2984</v>
      </c>
      <c r="J846" s="4"/>
      <c r="K846" s="4"/>
      <c r="L846" s="2">
        <v>2009</v>
      </c>
      <c r="M846" s="4" t="s">
        <v>369</v>
      </c>
      <c r="N846" s="5">
        <v>26000000</v>
      </c>
      <c r="O846" s="4" t="s">
        <v>2634</v>
      </c>
      <c r="P846" s="4" t="s">
        <v>2635</v>
      </c>
      <c r="Q846" s="4"/>
      <c r="R846" s="4"/>
      <c r="S846" s="4"/>
      <c r="T846" s="4"/>
      <c r="U846" s="4"/>
    </row>
    <row r="847" spans="2:21" ht="26.15" hidden="1" customHeight="1">
      <c r="B847" s="2">
        <v>845</v>
      </c>
      <c r="C847" s="3">
        <v>41221</v>
      </c>
      <c r="D847" s="20">
        <v>2012</v>
      </c>
      <c r="E847" s="4" t="s">
        <v>34</v>
      </c>
      <c r="F847" s="5">
        <v>40000</v>
      </c>
      <c r="G847" s="4" t="s">
        <v>2985</v>
      </c>
      <c r="H847" s="4" t="s">
        <v>2986</v>
      </c>
      <c r="I847" s="4" t="s">
        <v>1020</v>
      </c>
      <c r="J847" s="4"/>
      <c r="K847" s="4"/>
      <c r="L847" s="2">
        <v>2012</v>
      </c>
      <c r="M847" s="4" t="s">
        <v>299</v>
      </c>
      <c r="N847" s="5">
        <v>40000</v>
      </c>
      <c r="O847" s="4" t="s">
        <v>2987</v>
      </c>
      <c r="P847" s="4" t="s">
        <v>2988</v>
      </c>
      <c r="Q847" s="4"/>
      <c r="R847" s="4"/>
      <c r="S847" s="4"/>
      <c r="T847" s="4"/>
      <c r="U847" s="4"/>
    </row>
    <row r="848" spans="2:21" ht="26.15" hidden="1" customHeight="1">
      <c r="B848" s="2">
        <v>846</v>
      </c>
      <c r="C848" s="3">
        <v>41185</v>
      </c>
      <c r="D848" s="20">
        <v>2012</v>
      </c>
      <c r="E848" s="4" t="s">
        <v>34</v>
      </c>
      <c r="F848" s="5">
        <v>955935</v>
      </c>
      <c r="G848" s="4" t="s">
        <v>2786</v>
      </c>
      <c r="H848" s="4" t="s">
        <v>2787</v>
      </c>
      <c r="I848" s="4" t="s">
        <v>643</v>
      </c>
      <c r="J848" s="4"/>
      <c r="K848" s="4" t="s">
        <v>644</v>
      </c>
      <c r="L848" s="2">
        <v>2010</v>
      </c>
      <c r="M848" s="4" t="s">
        <v>79</v>
      </c>
      <c r="N848" s="5">
        <v>1740510</v>
      </c>
      <c r="O848" s="4" t="s">
        <v>2788</v>
      </c>
      <c r="P848" s="4" t="s">
        <v>2789</v>
      </c>
      <c r="Q848" s="4"/>
      <c r="R848" s="4"/>
      <c r="S848" s="4"/>
      <c r="T848" s="4"/>
      <c r="U848" s="4"/>
    </row>
    <row r="849" spans="2:21" ht="26.15" hidden="1" customHeight="1">
      <c r="B849" s="2">
        <v>847</v>
      </c>
      <c r="C849" s="3">
        <v>41183</v>
      </c>
      <c r="D849" s="20">
        <v>2012</v>
      </c>
      <c r="E849" s="4" t="s">
        <v>184</v>
      </c>
      <c r="F849" s="5">
        <v>655500</v>
      </c>
      <c r="G849" s="4" t="s">
        <v>2651</v>
      </c>
      <c r="H849" s="4" t="s">
        <v>2652</v>
      </c>
      <c r="I849" s="4" t="s">
        <v>2989</v>
      </c>
      <c r="J849" s="4"/>
      <c r="K849" s="4"/>
      <c r="L849" s="2">
        <v>2010</v>
      </c>
      <c r="M849" s="4" t="s">
        <v>79</v>
      </c>
      <c r="N849" s="5">
        <v>8883505</v>
      </c>
      <c r="O849" s="4" t="s">
        <v>2656</v>
      </c>
      <c r="P849" s="4" t="s">
        <v>2657</v>
      </c>
      <c r="Q849" s="4"/>
      <c r="R849" s="4"/>
      <c r="S849" s="4"/>
      <c r="T849" s="4"/>
      <c r="U849" s="4"/>
    </row>
    <row r="850" spans="2:21" ht="26.15" hidden="1" customHeight="1">
      <c r="B850" s="2">
        <v>848</v>
      </c>
      <c r="C850" s="3">
        <v>41157</v>
      </c>
      <c r="D850" s="20">
        <v>2012</v>
      </c>
      <c r="E850" s="4" t="s">
        <v>170</v>
      </c>
      <c r="F850" s="5">
        <v>72000000</v>
      </c>
      <c r="G850" s="4" t="s">
        <v>2478</v>
      </c>
      <c r="H850" s="4" t="s">
        <v>2479</v>
      </c>
      <c r="I850" s="4" t="s">
        <v>2990</v>
      </c>
      <c r="J850" s="4"/>
      <c r="K850" s="4"/>
      <c r="L850" s="2">
        <v>1963</v>
      </c>
      <c r="M850" s="4" t="s">
        <v>2481</v>
      </c>
      <c r="N850" s="5"/>
      <c r="O850" s="4" t="s">
        <v>2482</v>
      </c>
      <c r="P850" s="4" t="s">
        <v>2483</v>
      </c>
      <c r="Q850" s="4"/>
      <c r="R850" s="4"/>
      <c r="S850" s="4"/>
      <c r="T850" s="4"/>
      <c r="U850" s="4"/>
    </row>
    <row r="851" spans="2:21" ht="26.15" hidden="1" customHeight="1">
      <c r="B851" s="2">
        <v>849</v>
      </c>
      <c r="C851" s="3">
        <v>41093</v>
      </c>
      <c r="D851" s="20">
        <v>2012</v>
      </c>
      <c r="E851" s="4" t="s">
        <v>109</v>
      </c>
      <c r="F851" s="5">
        <v>3596200</v>
      </c>
      <c r="G851" s="4" t="s">
        <v>1115</v>
      </c>
      <c r="H851" s="4" t="s">
        <v>1116</v>
      </c>
      <c r="I851" s="4" t="s">
        <v>2991</v>
      </c>
      <c r="J851" s="4"/>
      <c r="K851" s="4" t="s">
        <v>2992</v>
      </c>
      <c r="L851" s="2">
        <v>2009</v>
      </c>
      <c r="M851" s="4" t="s">
        <v>313</v>
      </c>
      <c r="N851" s="5">
        <v>14634837</v>
      </c>
      <c r="O851" s="4" t="s">
        <v>1118</v>
      </c>
      <c r="P851" s="4" t="s">
        <v>1119</v>
      </c>
      <c r="Q851" s="4"/>
      <c r="R851" s="4"/>
      <c r="S851" s="4"/>
      <c r="T851" s="4"/>
      <c r="U851" s="4"/>
    </row>
    <row r="852" spans="2:21" ht="26.15" hidden="1" customHeight="1">
      <c r="B852" s="2">
        <v>850</v>
      </c>
      <c r="C852" s="3">
        <v>41065</v>
      </c>
      <c r="D852" s="20">
        <v>2012</v>
      </c>
      <c r="E852" s="4" t="s">
        <v>109</v>
      </c>
      <c r="F852" s="5">
        <v>1500000</v>
      </c>
      <c r="G852" s="4" t="s">
        <v>2993</v>
      </c>
      <c r="H852" s="4" t="s">
        <v>2994</v>
      </c>
      <c r="I852" s="4" t="s">
        <v>2871</v>
      </c>
      <c r="J852" s="4"/>
      <c r="K852" s="4"/>
      <c r="L852" s="2">
        <v>1999</v>
      </c>
      <c r="M852" s="4" t="s">
        <v>39</v>
      </c>
      <c r="N852" s="5">
        <v>1500000</v>
      </c>
      <c r="O852" s="4" t="s">
        <v>2995</v>
      </c>
      <c r="P852" s="4" t="s">
        <v>2996</v>
      </c>
      <c r="Q852" s="4"/>
      <c r="R852" s="4"/>
      <c r="S852" s="4"/>
      <c r="T852" s="4"/>
      <c r="U852" s="4"/>
    </row>
    <row r="853" spans="2:21" ht="26.15" hidden="1" customHeight="1">
      <c r="B853" s="2">
        <v>851</v>
      </c>
      <c r="C853" s="3">
        <v>41061</v>
      </c>
      <c r="D853" s="20">
        <v>2012</v>
      </c>
      <c r="E853" s="4" t="s">
        <v>2753</v>
      </c>
      <c r="F853" s="5">
        <v>680000000</v>
      </c>
      <c r="G853" s="4" t="s">
        <v>2478</v>
      </c>
      <c r="H853" s="4" t="s">
        <v>2479</v>
      </c>
      <c r="I853" s="4"/>
      <c r="J853" s="4"/>
      <c r="K853" s="4"/>
      <c r="L853" s="2">
        <v>1963</v>
      </c>
      <c r="M853" s="4" t="s">
        <v>2481</v>
      </c>
      <c r="N853" s="5"/>
      <c r="O853" s="4" t="s">
        <v>2482</v>
      </c>
      <c r="P853" s="4" t="s">
        <v>2483</v>
      </c>
      <c r="Q853" s="4"/>
      <c r="R853" s="4"/>
      <c r="S853" s="4"/>
      <c r="T853" s="4"/>
      <c r="U853" s="4"/>
    </row>
    <row r="854" spans="2:21" ht="26.15" hidden="1" customHeight="1">
      <c r="B854" s="2">
        <v>852</v>
      </c>
      <c r="C854" s="3">
        <v>41061</v>
      </c>
      <c r="D854" s="20">
        <v>2012</v>
      </c>
      <c r="E854" s="4" t="s">
        <v>184</v>
      </c>
      <c r="F854" s="5" t="s">
        <v>50</v>
      </c>
      <c r="G854" s="4" t="s">
        <v>2997</v>
      </c>
      <c r="H854" s="4" t="s">
        <v>2998</v>
      </c>
      <c r="I854" s="4" t="s">
        <v>2989</v>
      </c>
      <c r="J854" s="4"/>
      <c r="K854" s="4"/>
      <c r="L854" s="2">
        <v>2000</v>
      </c>
      <c r="M854" s="4" t="s">
        <v>79</v>
      </c>
      <c r="N854" s="5">
        <v>8729360</v>
      </c>
      <c r="O854" s="4" t="s">
        <v>2999</v>
      </c>
      <c r="P854" s="4" t="s">
        <v>3000</v>
      </c>
      <c r="Q854" s="4"/>
      <c r="R854" s="4"/>
      <c r="S854" s="4"/>
      <c r="T854" s="4"/>
      <c r="U854" s="4"/>
    </row>
    <row r="855" spans="2:21" ht="26.15" hidden="1" customHeight="1">
      <c r="B855" s="2">
        <v>853</v>
      </c>
      <c r="C855" s="3">
        <v>40990</v>
      </c>
      <c r="D855" s="20">
        <v>2012</v>
      </c>
      <c r="E855" s="4" t="s">
        <v>124</v>
      </c>
      <c r="F855" s="5">
        <v>251445</v>
      </c>
      <c r="G855" s="4" t="s">
        <v>2651</v>
      </c>
      <c r="H855" s="4" t="s">
        <v>2652</v>
      </c>
      <c r="I855" s="4"/>
      <c r="J855" s="4" t="s">
        <v>3001</v>
      </c>
      <c r="K855" s="4" t="s">
        <v>3002</v>
      </c>
      <c r="L855" s="2">
        <v>2010</v>
      </c>
      <c r="M855" s="4" t="s">
        <v>79</v>
      </c>
      <c r="N855" s="5">
        <v>8883505</v>
      </c>
      <c r="O855" s="4" t="s">
        <v>2656</v>
      </c>
      <c r="P855" s="4" t="s">
        <v>2657</v>
      </c>
      <c r="Q855" s="4"/>
      <c r="R855" s="4"/>
      <c r="S855" s="4"/>
      <c r="T855" s="4"/>
      <c r="U855" s="4"/>
    </row>
    <row r="856" spans="2:21" ht="26.15" customHeight="1">
      <c r="B856" s="2">
        <v>854</v>
      </c>
      <c r="C856" s="3">
        <v>40969</v>
      </c>
      <c r="D856" s="20">
        <v>2012</v>
      </c>
      <c r="E856" s="4" t="s">
        <v>109</v>
      </c>
      <c r="F856" s="5">
        <v>2000000</v>
      </c>
      <c r="G856" s="4" t="s">
        <v>131</v>
      </c>
      <c r="H856" s="4" t="s">
        <v>132</v>
      </c>
      <c r="I856" s="4" t="s">
        <v>2900</v>
      </c>
      <c r="J856" s="4"/>
      <c r="K856" s="4"/>
      <c r="L856" s="2">
        <v>1999</v>
      </c>
      <c r="M856" s="4" t="s">
        <v>135</v>
      </c>
      <c r="N856" s="5">
        <v>37500000</v>
      </c>
      <c r="O856" s="4" t="s">
        <v>136</v>
      </c>
      <c r="P856" s="4" t="s">
        <v>137</v>
      </c>
      <c r="Q856" s="4"/>
      <c r="R856" s="4"/>
      <c r="S856" s="4"/>
      <c r="T856" s="4"/>
      <c r="U856" s="4"/>
    </row>
    <row r="857" spans="2:21" ht="26.15" hidden="1" customHeight="1">
      <c r="B857" s="2">
        <v>855</v>
      </c>
      <c r="C857" s="3">
        <v>40959</v>
      </c>
      <c r="D857" s="20">
        <v>2012</v>
      </c>
      <c r="E857" s="4" t="s">
        <v>109</v>
      </c>
      <c r="F857" s="5">
        <v>1970000</v>
      </c>
      <c r="G857" s="4" t="s">
        <v>3003</v>
      </c>
      <c r="H857" s="4" t="s">
        <v>3004</v>
      </c>
      <c r="I857" s="4"/>
      <c r="J857" s="4"/>
      <c r="K857" s="4"/>
      <c r="L857" s="2">
        <v>2010</v>
      </c>
      <c r="M857" s="4" t="s">
        <v>3005</v>
      </c>
      <c r="N857" s="5">
        <v>1970000</v>
      </c>
      <c r="O857" s="4" t="s">
        <v>3006</v>
      </c>
      <c r="P857" s="4" t="s">
        <v>3007</v>
      </c>
      <c r="Q857" s="4"/>
      <c r="R857" s="4"/>
      <c r="S857" s="4"/>
      <c r="T857" s="4"/>
      <c r="U857" s="4"/>
    </row>
    <row r="858" spans="2:21" ht="26.15" customHeight="1">
      <c r="B858" s="2">
        <v>856</v>
      </c>
      <c r="C858" s="3">
        <v>40940</v>
      </c>
      <c r="D858" s="20">
        <v>2012</v>
      </c>
      <c r="E858" s="4" t="s">
        <v>34</v>
      </c>
      <c r="F858" s="5" t="s">
        <v>50</v>
      </c>
      <c r="G858" s="4" t="s">
        <v>3008</v>
      </c>
      <c r="H858" s="4" t="s">
        <v>3009</v>
      </c>
      <c r="I858" s="4" t="s">
        <v>3010</v>
      </c>
      <c r="J858" s="4"/>
      <c r="K858" s="4"/>
      <c r="L858" s="2">
        <v>2010</v>
      </c>
      <c r="M858" s="4" t="s">
        <v>569</v>
      </c>
      <c r="N858" s="5"/>
      <c r="O858" s="4" t="s">
        <v>3011</v>
      </c>
      <c r="P858" s="4" t="s">
        <v>3012</v>
      </c>
      <c r="Q858" s="4"/>
      <c r="R858" s="4"/>
      <c r="S858" s="4"/>
      <c r="T858" s="4"/>
      <c r="U858" s="4"/>
    </row>
    <row r="859" spans="2:21" ht="26.15" hidden="1" customHeight="1">
      <c r="B859" s="2">
        <v>857</v>
      </c>
      <c r="C859" s="3">
        <v>40919</v>
      </c>
      <c r="D859" s="20">
        <v>2012</v>
      </c>
      <c r="E859" s="4" t="s">
        <v>109</v>
      </c>
      <c r="F859" s="5" t="s">
        <v>50</v>
      </c>
      <c r="G859" s="4" t="s">
        <v>2936</v>
      </c>
      <c r="H859" s="4" t="s">
        <v>2937</v>
      </c>
      <c r="I859" s="4" t="s">
        <v>3013</v>
      </c>
      <c r="J859" s="4"/>
      <c r="K859" s="4"/>
      <c r="L859" s="2">
        <v>2008</v>
      </c>
      <c r="M859" s="4" t="s">
        <v>47</v>
      </c>
      <c r="N859" s="5">
        <v>8723427</v>
      </c>
      <c r="O859" s="4" t="s">
        <v>2938</v>
      </c>
      <c r="P859" s="4" t="s">
        <v>2939</v>
      </c>
      <c r="Q859" s="4"/>
      <c r="R859" s="4"/>
      <c r="S859" s="4"/>
      <c r="T859" s="4"/>
      <c r="U859" s="4"/>
    </row>
    <row r="860" spans="2:21" ht="26.15" customHeight="1">
      <c r="B860" s="2">
        <v>858</v>
      </c>
      <c r="C860" s="3">
        <v>40869</v>
      </c>
      <c r="D860" s="20">
        <v>2011</v>
      </c>
      <c r="E860" s="4" t="s">
        <v>184</v>
      </c>
      <c r="F860" s="5">
        <v>2100000</v>
      </c>
      <c r="G860" s="4" t="s">
        <v>3014</v>
      </c>
      <c r="H860" s="4" t="s">
        <v>3015</v>
      </c>
      <c r="I860" s="4"/>
      <c r="J860" s="4"/>
      <c r="K860" s="4"/>
      <c r="L860" s="2">
        <v>2001</v>
      </c>
      <c r="M860" s="4" t="s">
        <v>638</v>
      </c>
      <c r="N860" s="5"/>
      <c r="O860" s="4" t="s">
        <v>3016</v>
      </c>
      <c r="P860" s="4" t="s">
        <v>3017</v>
      </c>
      <c r="Q860" s="4"/>
      <c r="R860" s="4"/>
      <c r="S860" s="4"/>
      <c r="T860" s="4"/>
      <c r="U860" s="4"/>
    </row>
    <row r="861" spans="2:21" ht="26.15" hidden="1" customHeight="1">
      <c r="B861" s="2">
        <v>859</v>
      </c>
      <c r="C861" s="3">
        <v>40852</v>
      </c>
      <c r="D861" s="20">
        <v>2011</v>
      </c>
      <c r="E861" s="4" t="s">
        <v>528</v>
      </c>
      <c r="F861" s="5" t="s">
        <v>50</v>
      </c>
      <c r="G861" s="4" t="s">
        <v>3018</v>
      </c>
      <c r="H861" s="4" t="s">
        <v>3019</v>
      </c>
      <c r="I861" s="4" t="s">
        <v>1597</v>
      </c>
      <c r="J861" s="4"/>
      <c r="K861" s="4"/>
      <c r="L861" s="2">
        <v>1980</v>
      </c>
      <c r="M861" s="4" t="s">
        <v>3020</v>
      </c>
      <c r="N861" s="5"/>
      <c r="O861" s="4" t="s">
        <v>3021</v>
      </c>
      <c r="P861" s="4" t="s">
        <v>3022</v>
      </c>
      <c r="Q861" s="4"/>
      <c r="R861" s="4"/>
      <c r="S861" s="4"/>
      <c r="T861" s="4"/>
      <c r="U861" s="4"/>
    </row>
    <row r="862" spans="2:21" ht="26.15" hidden="1" customHeight="1">
      <c r="B862" s="2">
        <v>860</v>
      </c>
      <c r="C862" s="3">
        <v>40827</v>
      </c>
      <c r="D862" s="20">
        <v>2011</v>
      </c>
      <c r="E862" s="4" t="s">
        <v>124</v>
      </c>
      <c r="F862" s="5" t="s">
        <v>50</v>
      </c>
      <c r="G862" s="4" t="s">
        <v>1330</v>
      </c>
      <c r="H862" s="4" t="s">
        <v>1331</v>
      </c>
      <c r="I862" s="4"/>
      <c r="J862" s="4" t="s">
        <v>3023</v>
      </c>
      <c r="K862" s="4" t="s">
        <v>3024</v>
      </c>
      <c r="L862" s="2">
        <v>2010</v>
      </c>
      <c r="M862" s="4" t="s">
        <v>79</v>
      </c>
      <c r="N862" s="5">
        <v>15568800</v>
      </c>
      <c r="O862" s="4" t="s">
        <v>1334</v>
      </c>
      <c r="P862" s="4" t="s">
        <v>1335</v>
      </c>
      <c r="Q862" s="4"/>
      <c r="R862" s="4"/>
      <c r="S862" s="4"/>
      <c r="T862" s="4"/>
      <c r="U862" s="4"/>
    </row>
    <row r="863" spans="2:21" ht="26.15" hidden="1" customHeight="1">
      <c r="B863" s="2">
        <v>861</v>
      </c>
      <c r="C863" s="3">
        <v>40810</v>
      </c>
      <c r="D863" s="20">
        <v>2011</v>
      </c>
      <c r="E863" s="4" t="s">
        <v>34</v>
      </c>
      <c r="F863" s="5" t="s">
        <v>50</v>
      </c>
      <c r="G863" s="4" t="s">
        <v>3025</v>
      </c>
      <c r="H863" s="4" t="s">
        <v>3026</v>
      </c>
      <c r="I863" s="4" t="s">
        <v>1020</v>
      </c>
      <c r="J863" s="4"/>
      <c r="K863" s="4"/>
      <c r="L863" s="2">
        <v>2008</v>
      </c>
      <c r="M863" s="4" t="s">
        <v>299</v>
      </c>
      <c r="N863" s="5"/>
      <c r="O863" s="4" t="s">
        <v>3027</v>
      </c>
      <c r="P863" s="4" t="s">
        <v>3028</v>
      </c>
      <c r="Q863" s="4"/>
      <c r="R863" s="4"/>
      <c r="S863" s="4"/>
      <c r="T863" s="4"/>
      <c r="U863" s="4"/>
    </row>
    <row r="864" spans="2:21" ht="26.15" hidden="1" customHeight="1">
      <c r="B864" s="2">
        <v>862</v>
      </c>
      <c r="C864" s="3">
        <v>40761</v>
      </c>
      <c r="D864" s="20">
        <v>2011</v>
      </c>
      <c r="E864" s="4" t="s">
        <v>109</v>
      </c>
      <c r="F864" s="5">
        <v>998195</v>
      </c>
      <c r="G864" s="4" t="s">
        <v>1868</v>
      </c>
      <c r="H864" s="4" t="s">
        <v>1869</v>
      </c>
      <c r="I864" s="4" t="s">
        <v>643</v>
      </c>
      <c r="J864" s="4"/>
      <c r="K864" s="4" t="s">
        <v>644</v>
      </c>
      <c r="L864" s="2">
        <v>2003</v>
      </c>
      <c r="M864" s="4" t="s">
        <v>121</v>
      </c>
      <c r="N864" s="5">
        <v>11768115</v>
      </c>
      <c r="O864" s="4" t="s">
        <v>1870</v>
      </c>
      <c r="P864" s="4" t="s">
        <v>1871</v>
      </c>
      <c r="Q864" s="4"/>
      <c r="R864" s="4"/>
      <c r="S864" s="4"/>
      <c r="T864" s="4"/>
      <c r="U864" s="4"/>
    </row>
    <row r="865" spans="2:21" ht="26.15" hidden="1" customHeight="1">
      <c r="B865" s="2">
        <v>863</v>
      </c>
      <c r="C865" s="3">
        <v>40744</v>
      </c>
      <c r="D865" s="20">
        <v>2011</v>
      </c>
      <c r="E865" s="4" t="s">
        <v>109</v>
      </c>
      <c r="F865" s="5">
        <v>6122783</v>
      </c>
      <c r="G865" s="4" t="s">
        <v>2936</v>
      </c>
      <c r="H865" s="4" t="s">
        <v>2937</v>
      </c>
      <c r="I865" s="4"/>
      <c r="J865" s="4"/>
      <c r="K865" s="4"/>
      <c r="L865" s="2">
        <v>2008</v>
      </c>
      <c r="M865" s="4" t="s">
        <v>47</v>
      </c>
      <c r="N865" s="5">
        <v>8723427</v>
      </c>
      <c r="O865" s="4" t="s">
        <v>2938</v>
      </c>
      <c r="P865" s="4" t="s">
        <v>2939</v>
      </c>
      <c r="Q865" s="4"/>
      <c r="R865" s="4"/>
      <c r="S865" s="4"/>
      <c r="T865" s="4"/>
      <c r="U865" s="4"/>
    </row>
    <row r="866" spans="2:21" ht="26.15" hidden="1" customHeight="1">
      <c r="B866" s="2">
        <v>864</v>
      </c>
      <c r="C866" s="3">
        <v>40724</v>
      </c>
      <c r="D866" s="20">
        <v>2011</v>
      </c>
      <c r="E866" s="4" t="s">
        <v>528</v>
      </c>
      <c r="F866" s="5">
        <v>50000000</v>
      </c>
      <c r="G866" s="4" t="s">
        <v>3029</v>
      </c>
      <c r="H866" s="4" t="s">
        <v>3030</v>
      </c>
      <c r="I866" s="4"/>
      <c r="J866" s="4"/>
      <c r="K866" s="4"/>
      <c r="L866" s="2">
        <v>1994</v>
      </c>
      <c r="M866" s="4" t="s">
        <v>181</v>
      </c>
      <c r="N866" s="5">
        <v>50000000</v>
      </c>
      <c r="O866" s="4" t="s">
        <v>3031</v>
      </c>
      <c r="P866" s="4" t="s">
        <v>3032</v>
      </c>
      <c r="Q866" s="4" t="s">
        <v>3033</v>
      </c>
      <c r="R866" s="4"/>
      <c r="S866" s="4"/>
      <c r="T866" s="4"/>
      <c r="U866" s="4"/>
    </row>
    <row r="867" spans="2:21" ht="26.15" hidden="1" customHeight="1">
      <c r="B867" s="2">
        <v>865</v>
      </c>
      <c r="C867" s="3">
        <v>40695</v>
      </c>
      <c r="D867" s="20">
        <v>2011</v>
      </c>
      <c r="E867" s="4" t="s">
        <v>25</v>
      </c>
      <c r="F867" s="5">
        <v>28546109</v>
      </c>
      <c r="G867" s="4" t="s">
        <v>2849</v>
      </c>
      <c r="H867" s="4" t="s">
        <v>2850</v>
      </c>
      <c r="I867" s="4" t="s">
        <v>3034</v>
      </c>
      <c r="J867" s="4"/>
      <c r="K867" s="4" t="s">
        <v>3035</v>
      </c>
      <c r="L867" s="2">
        <v>2009</v>
      </c>
      <c r="M867" s="4" t="s">
        <v>1732</v>
      </c>
      <c r="N867" s="5">
        <v>30060731</v>
      </c>
      <c r="O867" s="4" t="s">
        <v>2852</v>
      </c>
      <c r="P867" s="4" t="s">
        <v>2853</v>
      </c>
      <c r="Q867" s="4"/>
      <c r="R867" s="4"/>
      <c r="S867" s="4"/>
      <c r="T867" s="4"/>
      <c r="U867" s="4"/>
    </row>
    <row r="868" spans="2:21" ht="26.15" hidden="1" customHeight="1">
      <c r="B868" s="2">
        <v>866</v>
      </c>
      <c r="C868" s="3">
        <v>40695</v>
      </c>
      <c r="D868" s="20">
        <v>2011</v>
      </c>
      <c r="E868" s="4" t="s">
        <v>124</v>
      </c>
      <c r="F868" s="5" t="s">
        <v>50</v>
      </c>
      <c r="G868" s="4" t="s">
        <v>2309</v>
      </c>
      <c r="H868" s="4" t="s">
        <v>2310</v>
      </c>
      <c r="I868" s="4"/>
      <c r="J868" s="4"/>
      <c r="K868" s="4"/>
      <c r="L868" s="2">
        <v>2009</v>
      </c>
      <c r="M868" s="4" t="s">
        <v>1732</v>
      </c>
      <c r="N868" s="5">
        <v>204990000</v>
      </c>
      <c r="O868" s="4" t="s">
        <v>2312</v>
      </c>
      <c r="P868" s="4" t="s">
        <v>2313</v>
      </c>
      <c r="Q868" s="4"/>
      <c r="R868" s="4"/>
      <c r="S868" s="4"/>
      <c r="T868" s="4"/>
      <c r="U868" s="4"/>
    </row>
    <row r="869" spans="2:21" ht="26.15" hidden="1" customHeight="1">
      <c r="B869" s="2">
        <v>867</v>
      </c>
      <c r="C869" s="3">
        <v>40675</v>
      </c>
      <c r="D869" s="20">
        <v>2011</v>
      </c>
      <c r="E869" s="4" t="s">
        <v>184</v>
      </c>
      <c r="F869" s="5" t="s">
        <v>50</v>
      </c>
      <c r="G869" s="4" t="s">
        <v>3036</v>
      </c>
      <c r="H869" s="4" t="s">
        <v>3037</v>
      </c>
      <c r="I869" s="4" t="s">
        <v>2989</v>
      </c>
      <c r="J869" s="4"/>
      <c r="K869" s="4"/>
      <c r="L869" s="2">
        <v>1994</v>
      </c>
      <c r="M869" s="4" t="s">
        <v>181</v>
      </c>
      <c r="N869" s="5">
        <v>9000000</v>
      </c>
      <c r="O869" s="4" t="s">
        <v>3038</v>
      </c>
      <c r="P869" s="4" t="s">
        <v>2970</v>
      </c>
      <c r="Q869" s="4"/>
      <c r="R869" s="4"/>
      <c r="S869" s="4"/>
      <c r="T869" s="4"/>
      <c r="U869" s="4"/>
    </row>
    <row r="870" spans="2:21" ht="26.15" customHeight="1">
      <c r="B870" s="2">
        <v>868</v>
      </c>
      <c r="C870" s="3">
        <v>40638</v>
      </c>
      <c r="D870" s="20">
        <v>2011</v>
      </c>
      <c r="E870" s="4" t="s">
        <v>25</v>
      </c>
      <c r="F870" s="5">
        <v>18000000</v>
      </c>
      <c r="G870" s="4" t="s">
        <v>2941</v>
      </c>
      <c r="H870" s="4" t="s">
        <v>2942</v>
      </c>
      <c r="I870" s="4" t="s">
        <v>3039</v>
      </c>
      <c r="J870" s="4"/>
      <c r="K870" s="4" t="s">
        <v>3040</v>
      </c>
      <c r="L870" s="2">
        <v>2007</v>
      </c>
      <c r="M870" s="4" t="s">
        <v>2945</v>
      </c>
      <c r="N870" s="5">
        <v>91000000</v>
      </c>
      <c r="O870" s="4" t="s">
        <v>2946</v>
      </c>
      <c r="P870" s="4" t="s">
        <v>2947</v>
      </c>
      <c r="Q870" s="4"/>
      <c r="R870" s="4"/>
      <c r="S870" s="4"/>
      <c r="T870" s="4"/>
      <c r="U870" s="4"/>
    </row>
    <row r="871" spans="2:21" ht="26.15" hidden="1" customHeight="1">
      <c r="B871" s="2">
        <v>869</v>
      </c>
      <c r="C871" s="3">
        <v>40633</v>
      </c>
      <c r="D871" s="20">
        <v>2011</v>
      </c>
      <c r="E871" s="4" t="s">
        <v>34</v>
      </c>
      <c r="F871" s="5">
        <v>70047</v>
      </c>
      <c r="G871" s="4" t="s">
        <v>3041</v>
      </c>
      <c r="H871" s="4" t="s">
        <v>3042</v>
      </c>
      <c r="I871" s="4" t="s">
        <v>283</v>
      </c>
      <c r="J871" s="4" t="s">
        <v>3043</v>
      </c>
      <c r="K871" s="4" t="s">
        <v>3044</v>
      </c>
      <c r="L871" s="2">
        <v>2007</v>
      </c>
      <c r="M871" s="4" t="s">
        <v>188</v>
      </c>
      <c r="N871" s="5">
        <v>70047</v>
      </c>
      <c r="O871" s="4" t="s">
        <v>3045</v>
      </c>
      <c r="P871" s="4" t="s">
        <v>3046</v>
      </c>
      <c r="Q871" s="4" t="s">
        <v>283</v>
      </c>
      <c r="R871" s="4"/>
      <c r="S871" s="4"/>
      <c r="T871" s="4"/>
      <c r="U871" s="4"/>
    </row>
    <row r="872" spans="2:21" ht="26.15" hidden="1" customHeight="1">
      <c r="B872" s="2">
        <v>870</v>
      </c>
      <c r="C872" s="3">
        <v>40625</v>
      </c>
      <c r="D872" s="20">
        <v>2011</v>
      </c>
      <c r="E872" s="4" t="s">
        <v>34</v>
      </c>
      <c r="F872" s="5">
        <v>437444</v>
      </c>
      <c r="G872" s="4" t="s">
        <v>3047</v>
      </c>
      <c r="H872" s="4" t="s">
        <v>3048</v>
      </c>
      <c r="I872" s="4" t="s">
        <v>3049</v>
      </c>
      <c r="J872" s="4"/>
      <c r="K872" s="4" t="s">
        <v>3050</v>
      </c>
      <c r="L872" s="2">
        <v>2010</v>
      </c>
      <c r="M872" s="4" t="s">
        <v>181</v>
      </c>
      <c r="N872" s="5">
        <v>437444</v>
      </c>
      <c r="O872" s="4" t="s">
        <v>3051</v>
      </c>
      <c r="P872" s="4" t="s">
        <v>3052</v>
      </c>
      <c r="Q872" s="4"/>
      <c r="R872" s="4"/>
      <c r="S872" s="4"/>
      <c r="T872" s="4"/>
      <c r="U872" s="4"/>
    </row>
    <row r="873" spans="2:21" ht="26.15" hidden="1" customHeight="1">
      <c r="B873" s="2">
        <v>871</v>
      </c>
      <c r="C873" s="3">
        <v>40590</v>
      </c>
      <c r="D873" s="20">
        <v>2011</v>
      </c>
      <c r="E873" s="4" t="s">
        <v>34</v>
      </c>
      <c r="F873" s="5">
        <v>40000</v>
      </c>
      <c r="G873" s="4" t="s">
        <v>3053</v>
      </c>
      <c r="H873" s="4" t="s">
        <v>3054</v>
      </c>
      <c r="I873" s="4" t="s">
        <v>1020</v>
      </c>
      <c r="J873" s="4"/>
      <c r="K873" s="4"/>
      <c r="L873" s="2">
        <v>2011</v>
      </c>
      <c r="M873" s="4" t="s">
        <v>299</v>
      </c>
      <c r="N873" s="5">
        <v>40000</v>
      </c>
      <c r="O873" s="4" t="s">
        <v>3055</v>
      </c>
      <c r="P873" s="4" t="s">
        <v>3056</v>
      </c>
      <c r="Q873" s="4"/>
      <c r="R873" s="4"/>
      <c r="S873" s="4"/>
      <c r="T873" s="4"/>
      <c r="U873" s="4"/>
    </row>
    <row r="874" spans="2:21" ht="26.15" hidden="1" customHeight="1">
      <c r="B874" s="2">
        <v>872</v>
      </c>
      <c r="C874" s="3">
        <v>40564</v>
      </c>
      <c r="D874" s="20">
        <v>2011</v>
      </c>
      <c r="E874" s="4" t="s">
        <v>34</v>
      </c>
      <c r="F874" s="5">
        <v>1472060</v>
      </c>
      <c r="G874" s="4" t="s">
        <v>1115</v>
      </c>
      <c r="H874" s="4" t="s">
        <v>1116</v>
      </c>
      <c r="I874" s="4" t="s">
        <v>2911</v>
      </c>
      <c r="J874" s="4" t="s">
        <v>3057</v>
      </c>
      <c r="K874" s="4" t="s">
        <v>3058</v>
      </c>
      <c r="L874" s="2">
        <v>2009</v>
      </c>
      <c r="M874" s="4" t="s">
        <v>313</v>
      </c>
      <c r="N874" s="5">
        <v>14634837</v>
      </c>
      <c r="O874" s="4" t="s">
        <v>1118</v>
      </c>
      <c r="P874" s="4" t="s">
        <v>1119</v>
      </c>
      <c r="Q874" s="4"/>
      <c r="R874" s="4"/>
      <c r="S874" s="4"/>
      <c r="T874" s="4"/>
      <c r="U874" s="4"/>
    </row>
    <row r="875" spans="2:21" ht="26.15" hidden="1" customHeight="1">
      <c r="B875" s="2">
        <v>873</v>
      </c>
      <c r="C875" s="3">
        <v>40540</v>
      </c>
      <c r="D875" s="20">
        <v>2010</v>
      </c>
      <c r="E875" s="4" t="s">
        <v>528</v>
      </c>
      <c r="F875" s="5">
        <v>55791200</v>
      </c>
      <c r="G875" s="4" t="s">
        <v>3059</v>
      </c>
      <c r="H875" s="4" t="s">
        <v>3060</v>
      </c>
      <c r="I875" s="4" t="s">
        <v>3061</v>
      </c>
      <c r="J875" s="4"/>
      <c r="K875" s="4" t="s">
        <v>3062</v>
      </c>
      <c r="L875" s="2">
        <v>1973</v>
      </c>
      <c r="M875" s="4" t="s">
        <v>181</v>
      </c>
      <c r="N875" s="5">
        <v>104710200</v>
      </c>
      <c r="O875" s="4" t="s">
        <v>3063</v>
      </c>
      <c r="P875" s="4" t="s">
        <v>3064</v>
      </c>
      <c r="Q875" s="4"/>
      <c r="R875" s="4"/>
      <c r="S875" s="4"/>
      <c r="T875" s="4"/>
      <c r="U875" s="4"/>
    </row>
    <row r="876" spans="2:21" ht="26.15" hidden="1" customHeight="1">
      <c r="B876" s="2">
        <v>874</v>
      </c>
      <c r="C876" s="3">
        <v>40506</v>
      </c>
      <c r="D876" s="20">
        <v>2010</v>
      </c>
      <c r="E876" s="4" t="s">
        <v>34</v>
      </c>
      <c r="F876" s="5">
        <v>1250000</v>
      </c>
      <c r="G876" s="4" t="s">
        <v>2319</v>
      </c>
      <c r="H876" s="4" t="s">
        <v>2320</v>
      </c>
      <c r="I876" s="4" t="s">
        <v>772</v>
      </c>
      <c r="J876" s="4"/>
      <c r="K876" s="4" t="s">
        <v>773</v>
      </c>
      <c r="L876" s="2">
        <v>2007</v>
      </c>
      <c r="M876" s="4" t="s">
        <v>1285</v>
      </c>
      <c r="N876" s="5">
        <v>2750000</v>
      </c>
      <c r="O876" s="4" t="s">
        <v>2322</v>
      </c>
      <c r="P876" s="4" t="s">
        <v>2323</v>
      </c>
      <c r="Q876" s="4"/>
      <c r="R876" s="4"/>
      <c r="S876" s="4"/>
      <c r="T876" s="4"/>
      <c r="U876" s="4"/>
    </row>
    <row r="877" spans="2:21" ht="26.15" hidden="1" customHeight="1">
      <c r="B877" s="2">
        <v>875</v>
      </c>
      <c r="C877" s="3">
        <v>40494</v>
      </c>
      <c r="D877" s="20">
        <v>2010</v>
      </c>
      <c r="E877" s="4" t="s">
        <v>34</v>
      </c>
      <c r="F877" s="5">
        <v>1118850</v>
      </c>
      <c r="G877" s="4" t="s">
        <v>2997</v>
      </c>
      <c r="H877" s="4" t="s">
        <v>2998</v>
      </c>
      <c r="I877" s="4"/>
      <c r="J877" s="4"/>
      <c r="K877" s="4"/>
      <c r="L877" s="2">
        <v>2000</v>
      </c>
      <c r="M877" s="4" t="s">
        <v>79</v>
      </c>
      <c r="N877" s="5">
        <v>8729360</v>
      </c>
      <c r="O877" s="4" t="s">
        <v>2999</v>
      </c>
      <c r="P877" s="4" t="s">
        <v>3000</v>
      </c>
      <c r="Q877" s="4"/>
      <c r="R877" s="4"/>
      <c r="S877" s="4"/>
      <c r="T877" s="4"/>
      <c r="U877" s="4"/>
    </row>
    <row r="878" spans="2:21" ht="26.15" customHeight="1">
      <c r="B878" s="2">
        <v>876</v>
      </c>
      <c r="C878" s="3">
        <v>40475</v>
      </c>
      <c r="D878" s="20">
        <v>2010</v>
      </c>
      <c r="E878" s="4" t="s">
        <v>109</v>
      </c>
      <c r="F878" s="5">
        <v>4986090</v>
      </c>
      <c r="G878" s="4" t="s">
        <v>3065</v>
      </c>
      <c r="H878" s="4" t="s">
        <v>3066</v>
      </c>
      <c r="I878" s="4" t="s">
        <v>3067</v>
      </c>
      <c r="J878" s="4"/>
      <c r="K878" s="4"/>
      <c r="L878" s="2">
        <v>2008</v>
      </c>
      <c r="M878" s="4" t="s">
        <v>3068</v>
      </c>
      <c r="N878" s="5">
        <v>4990000</v>
      </c>
      <c r="O878" s="4" t="s">
        <v>3069</v>
      </c>
      <c r="P878" s="4" t="s">
        <v>3070</v>
      </c>
      <c r="Q878" s="4"/>
      <c r="R878" s="4"/>
      <c r="S878" s="4"/>
      <c r="T878" s="4"/>
      <c r="U878" s="4"/>
    </row>
    <row r="879" spans="2:21" ht="26.15" hidden="1" customHeight="1">
      <c r="B879" s="2">
        <v>877</v>
      </c>
      <c r="C879" s="3">
        <v>40474</v>
      </c>
      <c r="D879" s="20">
        <v>2010</v>
      </c>
      <c r="E879" s="4" t="s">
        <v>124</v>
      </c>
      <c r="F879" s="5">
        <v>2000000</v>
      </c>
      <c r="G879" s="4" t="s">
        <v>2651</v>
      </c>
      <c r="H879" s="4" t="s">
        <v>2652</v>
      </c>
      <c r="I879" s="4"/>
      <c r="J879" s="4" t="s">
        <v>3071</v>
      </c>
      <c r="K879" s="4" t="s">
        <v>3071</v>
      </c>
      <c r="L879" s="2">
        <v>2010</v>
      </c>
      <c r="M879" s="4" t="s">
        <v>79</v>
      </c>
      <c r="N879" s="5">
        <v>8883505</v>
      </c>
      <c r="O879" s="4" t="s">
        <v>2656</v>
      </c>
      <c r="P879" s="4" t="s">
        <v>2657</v>
      </c>
      <c r="Q879" s="4"/>
      <c r="R879" s="4"/>
      <c r="S879" s="4"/>
      <c r="T879" s="4"/>
      <c r="U879" s="4"/>
    </row>
    <row r="880" spans="2:21" ht="26.15" hidden="1" customHeight="1">
      <c r="B880" s="2">
        <v>878</v>
      </c>
      <c r="C880" s="3">
        <v>40436</v>
      </c>
      <c r="D880" s="20">
        <v>2010</v>
      </c>
      <c r="E880" s="4" t="s">
        <v>184</v>
      </c>
      <c r="F880" s="5">
        <v>1000000</v>
      </c>
      <c r="G880" s="4" t="s">
        <v>2993</v>
      </c>
      <c r="H880" s="4" t="s">
        <v>2994</v>
      </c>
      <c r="I880" s="4" t="s">
        <v>3072</v>
      </c>
      <c r="J880" s="4"/>
      <c r="K880" s="4"/>
      <c r="L880" s="2">
        <v>1999</v>
      </c>
      <c r="M880" s="4" t="s">
        <v>39</v>
      </c>
      <c r="N880" s="5">
        <v>1500000</v>
      </c>
      <c r="O880" s="4" t="s">
        <v>2995</v>
      </c>
      <c r="P880" s="4" t="s">
        <v>2996</v>
      </c>
      <c r="Q880" s="4"/>
      <c r="R880" s="4"/>
      <c r="S880" s="4"/>
      <c r="T880" s="4"/>
      <c r="U880" s="4"/>
    </row>
    <row r="881" spans="2:21" ht="26.15" hidden="1" customHeight="1">
      <c r="B881" s="2">
        <v>879</v>
      </c>
      <c r="C881" s="3">
        <v>40346</v>
      </c>
      <c r="D881" s="20">
        <v>2010</v>
      </c>
      <c r="E881" s="4" t="s">
        <v>34</v>
      </c>
      <c r="F881" s="5">
        <v>74277</v>
      </c>
      <c r="G881" s="4" t="s">
        <v>1115</v>
      </c>
      <c r="H881" s="4" t="s">
        <v>1116</v>
      </c>
      <c r="I881" s="4"/>
      <c r="J881" s="4" t="s">
        <v>3073</v>
      </c>
      <c r="K881" s="4" t="s">
        <v>3074</v>
      </c>
      <c r="L881" s="2">
        <v>2009</v>
      </c>
      <c r="M881" s="4" t="s">
        <v>313</v>
      </c>
      <c r="N881" s="5">
        <v>14634837</v>
      </c>
      <c r="O881" s="4" t="s">
        <v>1118</v>
      </c>
      <c r="P881" s="4" t="s">
        <v>1119</v>
      </c>
      <c r="Q881" s="4"/>
      <c r="R881" s="4"/>
      <c r="S881" s="4"/>
      <c r="T881" s="4"/>
      <c r="U881" s="4"/>
    </row>
    <row r="882" spans="2:21" ht="26.15" customHeight="1">
      <c r="B882" s="2">
        <v>880</v>
      </c>
      <c r="C882" s="3">
        <v>40330</v>
      </c>
      <c r="D882" s="20">
        <v>2010</v>
      </c>
      <c r="E882" s="4" t="s">
        <v>528</v>
      </c>
      <c r="F882" s="5">
        <v>11291283</v>
      </c>
      <c r="G882" s="4" t="s">
        <v>3075</v>
      </c>
      <c r="H882" s="4" t="s">
        <v>3076</v>
      </c>
      <c r="I882" s="4" t="s">
        <v>1938</v>
      </c>
      <c r="J882" s="4"/>
      <c r="K882" s="4" t="s">
        <v>247</v>
      </c>
      <c r="L882" s="2">
        <v>1977</v>
      </c>
      <c r="M882" s="4" t="s">
        <v>2945</v>
      </c>
      <c r="N882" s="5">
        <v>11291283</v>
      </c>
      <c r="O882" s="4" t="s">
        <v>3077</v>
      </c>
      <c r="P882" s="4" t="s">
        <v>3078</v>
      </c>
      <c r="Q882" s="4"/>
      <c r="R882" s="4"/>
      <c r="S882" s="4"/>
      <c r="T882" s="4"/>
      <c r="U882" s="4"/>
    </row>
    <row r="883" spans="2:21" ht="26.15" hidden="1" customHeight="1">
      <c r="B883" s="2">
        <v>881</v>
      </c>
      <c r="C883" s="3">
        <v>40330</v>
      </c>
      <c r="D883" s="20">
        <v>2010</v>
      </c>
      <c r="E883" s="4" t="s">
        <v>109</v>
      </c>
      <c r="F883" s="5">
        <v>1514622</v>
      </c>
      <c r="G883" s="4" t="s">
        <v>2849</v>
      </c>
      <c r="H883" s="4" t="s">
        <v>2850</v>
      </c>
      <c r="I883" s="4" t="s">
        <v>3079</v>
      </c>
      <c r="J883" s="4"/>
      <c r="K883" s="4" t="s">
        <v>3080</v>
      </c>
      <c r="L883" s="2">
        <v>2009</v>
      </c>
      <c r="M883" s="4" t="s">
        <v>1732</v>
      </c>
      <c r="N883" s="5">
        <v>30060731</v>
      </c>
      <c r="O883" s="4" t="s">
        <v>2852</v>
      </c>
      <c r="P883" s="4" t="s">
        <v>2853</v>
      </c>
      <c r="Q883" s="4"/>
      <c r="R883" s="4"/>
      <c r="S883" s="4"/>
      <c r="T883" s="4"/>
      <c r="U883" s="4"/>
    </row>
    <row r="884" spans="2:21" ht="26.15" customHeight="1">
      <c r="B884" s="2">
        <v>882</v>
      </c>
      <c r="C884" s="3">
        <v>40330</v>
      </c>
      <c r="D884" s="20">
        <v>2010</v>
      </c>
      <c r="E884" s="4" t="s">
        <v>184</v>
      </c>
      <c r="F884" s="5">
        <v>640000</v>
      </c>
      <c r="G884" s="4" t="s">
        <v>3081</v>
      </c>
      <c r="H884" s="4" t="s">
        <v>3082</v>
      </c>
      <c r="I884" s="4" t="s">
        <v>155</v>
      </c>
      <c r="J884" s="4"/>
      <c r="K884" s="4"/>
      <c r="L884" s="2">
        <v>2008</v>
      </c>
      <c r="M884" s="4" t="s">
        <v>691</v>
      </c>
      <c r="N884" s="5"/>
      <c r="O884" s="4" t="s">
        <v>3083</v>
      </c>
      <c r="P884" s="4" t="s">
        <v>265</v>
      </c>
      <c r="Q884" s="4"/>
      <c r="R884" s="4"/>
      <c r="S884" s="4"/>
      <c r="T884" s="4"/>
      <c r="U884" s="4"/>
    </row>
    <row r="885" spans="2:21" ht="26.15" hidden="1" customHeight="1">
      <c r="B885" s="2">
        <v>883</v>
      </c>
      <c r="C885" s="3">
        <v>40330</v>
      </c>
      <c r="D885" s="20">
        <v>2010</v>
      </c>
      <c r="E885" s="4" t="s">
        <v>34</v>
      </c>
      <c r="F885" s="5" t="s">
        <v>50</v>
      </c>
      <c r="G885" s="4" t="s">
        <v>2886</v>
      </c>
      <c r="H885" s="4" t="s">
        <v>2887</v>
      </c>
      <c r="I885" s="4" t="s">
        <v>3084</v>
      </c>
      <c r="J885" s="4"/>
      <c r="K885" s="4"/>
      <c r="L885" s="2">
        <v>2010</v>
      </c>
      <c r="M885" s="4" t="s">
        <v>39</v>
      </c>
      <c r="N885" s="5">
        <v>235000</v>
      </c>
      <c r="O885" s="4" t="s">
        <v>2888</v>
      </c>
      <c r="P885" s="4" t="s">
        <v>2889</v>
      </c>
      <c r="Q885" s="4"/>
      <c r="R885" s="4"/>
      <c r="S885" s="4"/>
      <c r="T885" s="4"/>
      <c r="U885" s="4"/>
    </row>
    <row r="886" spans="2:21" ht="26.15" hidden="1" customHeight="1">
      <c r="B886" s="2">
        <v>884</v>
      </c>
      <c r="C886" s="3">
        <v>40299</v>
      </c>
      <c r="D886" s="20">
        <v>2010</v>
      </c>
      <c r="E886" s="4" t="s">
        <v>109</v>
      </c>
      <c r="F886" s="5" t="s">
        <v>50</v>
      </c>
      <c r="G886" s="4" t="s">
        <v>3085</v>
      </c>
      <c r="H886" s="4" t="s">
        <v>3086</v>
      </c>
      <c r="I886" s="4" t="s">
        <v>3087</v>
      </c>
      <c r="J886" s="4"/>
      <c r="K886" s="4"/>
      <c r="L886" s="2">
        <v>2001</v>
      </c>
      <c r="M886" s="4" t="s">
        <v>894</v>
      </c>
      <c r="N886" s="5"/>
      <c r="O886" s="4" t="s">
        <v>3088</v>
      </c>
      <c r="P886" s="4" t="s">
        <v>3089</v>
      </c>
      <c r="Q886" s="4"/>
      <c r="R886" s="4"/>
      <c r="S886" s="4"/>
      <c r="T886" s="4"/>
      <c r="U886" s="4"/>
    </row>
    <row r="887" spans="2:21" ht="26.15" customHeight="1">
      <c r="B887" s="2">
        <v>885</v>
      </c>
      <c r="C887" s="3">
        <v>40299</v>
      </c>
      <c r="D887" s="20">
        <v>2010</v>
      </c>
      <c r="E887" s="4" t="s">
        <v>109</v>
      </c>
      <c r="F887" s="5">
        <v>2080000</v>
      </c>
      <c r="G887" s="4" t="s">
        <v>3090</v>
      </c>
      <c r="H887" s="4" t="s">
        <v>3091</v>
      </c>
      <c r="I887" s="4"/>
      <c r="J887" s="4"/>
      <c r="K887" s="4"/>
      <c r="L887" s="2">
        <v>2004</v>
      </c>
      <c r="M887" s="4" t="s">
        <v>3092</v>
      </c>
      <c r="N887" s="5">
        <v>4179999</v>
      </c>
      <c r="O887" s="4" t="s">
        <v>3093</v>
      </c>
      <c r="P887" s="4" t="s">
        <v>3094</v>
      </c>
      <c r="Q887" s="4"/>
      <c r="R887" s="4"/>
      <c r="S887" s="4"/>
      <c r="T887" s="4"/>
      <c r="U887" s="4"/>
    </row>
    <row r="888" spans="2:21" ht="26.15" hidden="1" customHeight="1">
      <c r="B888" s="2">
        <v>886</v>
      </c>
      <c r="C888" s="3">
        <v>40277</v>
      </c>
      <c r="D888" s="20">
        <v>2010</v>
      </c>
      <c r="E888" s="4" t="s">
        <v>25</v>
      </c>
      <c r="F888" s="5">
        <v>30000000</v>
      </c>
      <c r="G888" s="4" t="s">
        <v>3095</v>
      </c>
      <c r="H888" s="4" t="s">
        <v>3096</v>
      </c>
      <c r="I888" s="4" t="s">
        <v>3097</v>
      </c>
      <c r="J888" s="4"/>
      <c r="K888" s="4" t="s">
        <v>3098</v>
      </c>
      <c r="L888" s="2">
        <v>1996</v>
      </c>
      <c r="M888" s="4" t="s">
        <v>774</v>
      </c>
      <c r="N888" s="5">
        <v>35112790</v>
      </c>
      <c r="O888" s="4" t="s">
        <v>2979</v>
      </c>
      <c r="P888" s="4" t="s">
        <v>3099</v>
      </c>
      <c r="Q888" s="4"/>
      <c r="R888" s="4"/>
      <c r="S888" s="4"/>
      <c r="T888" s="4"/>
      <c r="U888" s="4"/>
    </row>
    <row r="889" spans="2:21" ht="26.15" hidden="1" customHeight="1">
      <c r="B889" s="2">
        <v>887</v>
      </c>
      <c r="C889" s="3">
        <v>40267</v>
      </c>
      <c r="D889" s="20">
        <v>2010</v>
      </c>
      <c r="E889" s="4" t="s">
        <v>34</v>
      </c>
      <c r="F889" s="5">
        <v>900000</v>
      </c>
      <c r="G889" s="4" t="s">
        <v>2936</v>
      </c>
      <c r="H889" s="4" t="s">
        <v>2937</v>
      </c>
      <c r="I889" s="4" t="s">
        <v>3100</v>
      </c>
      <c r="J889" s="4"/>
      <c r="K889" s="4"/>
      <c r="L889" s="2">
        <v>2008</v>
      </c>
      <c r="M889" s="4" t="s">
        <v>47</v>
      </c>
      <c r="N889" s="5">
        <v>8723427</v>
      </c>
      <c r="O889" s="4" t="s">
        <v>2938</v>
      </c>
      <c r="P889" s="4" t="s">
        <v>2939</v>
      </c>
      <c r="Q889" s="4"/>
      <c r="R889" s="4"/>
      <c r="S889" s="4"/>
      <c r="T889" s="4"/>
      <c r="U889" s="4"/>
    </row>
    <row r="890" spans="2:21" ht="26.15" customHeight="1">
      <c r="B890" s="2">
        <v>888</v>
      </c>
      <c r="C890" s="3">
        <v>40258</v>
      </c>
      <c r="D890" s="20">
        <v>2010</v>
      </c>
      <c r="E890" s="4" t="s">
        <v>109</v>
      </c>
      <c r="F890" s="5" t="s">
        <v>50</v>
      </c>
      <c r="G890" s="4" t="s">
        <v>2591</v>
      </c>
      <c r="H890" s="4" t="s">
        <v>2592</v>
      </c>
      <c r="I890" s="4" t="s">
        <v>3101</v>
      </c>
      <c r="J890" s="4"/>
      <c r="K890" s="4"/>
      <c r="L890" s="2">
        <v>2004</v>
      </c>
      <c r="M890" s="4" t="s">
        <v>2593</v>
      </c>
      <c r="N890" s="5"/>
      <c r="O890" s="4" t="s">
        <v>2594</v>
      </c>
      <c r="P890" s="4" t="s">
        <v>2595</v>
      </c>
      <c r="Q890" s="4"/>
      <c r="R890" s="4"/>
      <c r="S890" s="4"/>
      <c r="T890" s="4"/>
      <c r="U890" s="4"/>
    </row>
    <row r="891" spans="2:21" ht="26.15" hidden="1" customHeight="1">
      <c r="B891" s="2">
        <v>889</v>
      </c>
      <c r="C891" s="3">
        <v>40184</v>
      </c>
      <c r="D891" s="20">
        <v>2010</v>
      </c>
      <c r="E891" s="4" t="s">
        <v>109</v>
      </c>
      <c r="F891" s="5" t="s">
        <v>50</v>
      </c>
      <c r="G891" s="4" t="s">
        <v>3102</v>
      </c>
      <c r="H891" s="4" t="s">
        <v>3103</v>
      </c>
      <c r="I891" s="4" t="s">
        <v>1597</v>
      </c>
      <c r="J891" s="4"/>
      <c r="K891" s="4"/>
      <c r="L891" s="2">
        <v>1999</v>
      </c>
      <c r="M891" s="4" t="s">
        <v>3104</v>
      </c>
      <c r="N891" s="5"/>
      <c r="O891" s="4" t="s">
        <v>3105</v>
      </c>
      <c r="P891" s="4" t="s">
        <v>549</v>
      </c>
      <c r="Q891" s="4"/>
      <c r="R891" s="4"/>
      <c r="S891" s="4"/>
      <c r="T891" s="4"/>
      <c r="U891" s="4"/>
    </row>
  </sheetData>
  <autoFilter ref="B2:U891" xr:uid="{870281B7-3535-41AE-8C98-595620B6C187}">
    <filterColumn colId="11">
      <filters>
        <filter val="Ashqelon, Southern District, Israel"/>
        <filter val="Bnei Atarot, Central District, Israel"/>
        <filter val="Eilat, Southern District, Israel"/>
        <filter val="Fresno, California, United States_x000a_Israel"/>
        <filter val="Fresno, California, United States_x000a_Yokneam Illit, Haifa, Israel"/>
        <filter val="Gedera, Central District, Israel"/>
        <filter val="Haifa, Haifa District, Israel"/>
        <filter val="Herzliya, Tel Aviv, Israel"/>
        <filter val="Holon, Tel Aviv, Israel"/>
        <filter val="Jerusalem, Jerusalem District, Israel"/>
        <filter val="Kadima, Central District, Israel"/>
        <filter val="Kfar Saba, Central District, Israel"/>
        <filter val="Mazor, Central District, Israel"/>
        <filter val="Misgav, Northern District, Israel"/>
        <filter val="Mishmar Dawid, Central District, Israel"/>
        <filter val="Nahariya, Northern District, Israel"/>
        <filter val="Nazareth, Northern District, Israel"/>
        <filter val="Ness Ziona, Central District, Israel"/>
        <filter val="Netanya, Central District, Israel"/>
        <filter val="Pardes Hanna Karkur, Haifa District, Israel"/>
        <filter val="Petah Tikva, Central District, Israel"/>
        <filter val="Ra'anana, Central District, Israel"/>
        <filter val="Ramat Gan, Tel Aviv, Israel"/>
        <filter val="Rehovot, Central District, Israel"/>
        <filter val="Tel Aviv, Tel Aviv, Israel"/>
        <filter val="Tiberias, Northern District, Israel"/>
        <filter val="Yokneam Illit, Haifa, Israel"/>
      </filters>
    </filterColumn>
  </autoFilter>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24FBD-E177-425C-9CBD-3BF66E75F91D}">
  <sheetPr>
    <tabColor theme="4" tint="0.79998168889431442"/>
  </sheetPr>
  <dimension ref="A1:CS470"/>
  <sheetViews>
    <sheetView showGridLines="0" topLeftCell="A5" zoomScale="76" workbookViewId="0">
      <pane xSplit="1" ySplit="2" topLeftCell="B7" activePane="bottomRight" state="frozen"/>
      <selection activeCell="A5" sqref="A5"/>
      <selection pane="topRight" activeCell="B5" sqref="B5"/>
      <selection pane="bottomLeft" activeCell="A7" sqref="A7"/>
      <selection pane="bottomRight" activeCell="A6" sqref="A6"/>
    </sheetView>
  </sheetViews>
  <sheetFormatPr defaultColWidth="9.1796875" defaultRowHeight="14.5"/>
  <cols>
    <col min="1" max="1" width="9.1796875" style="20"/>
    <col min="2" max="2" width="23.7265625" style="20" customWidth="1"/>
    <col min="3" max="3" width="23.7265625" style="22" customWidth="1"/>
    <col min="4" max="4" width="13.54296875" style="20" customWidth="1"/>
    <col min="5" max="5" width="34.81640625" style="20" customWidth="1"/>
    <col min="6" max="6" width="59.7265625" style="20" customWidth="1"/>
    <col min="7" max="7" width="23.7265625" style="20" bestFit="1" customWidth="1"/>
    <col min="8" max="8" width="34.81640625" style="20" customWidth="1"/>
    <col min="9" max="9" width="13.81640625" style="20" customWidth="1"/>
    <col min="10" max="10" width="34.81640625" style="20" customWidth="1"/>
    <col min="11" max="11" width="34.81640625" style="256" customWidth="1"/>
    <col min="12" max="12" width="12.1796875" style="20" customWidth="1"/>
    <col min="13" max="13" width="21.26953125" style="20" customWidth="1"/>
    <col min="14" max="14" width="29.54296875" style="20" customWidth="1"/>
    <col min="15" max="15" width="20.26953125" style="20" customWidth="1"/>
    <col min="16" max="16" width="9.1796875" style="20" customWidth="1"/>
    <col min="17" max="17" width="19.453125" style="20" customWidth="1"/>
    <col min="18" max="18" width="18.26953125" style="20" customWidth="1"/>
    <col min="19" max="19" width="20.26953125" style="20" customWidth="1"/>
    <col min="20" max="20" width="26.54296875" style="20" customWidth="1"/>
    <col min="21" max="21" width="13.1796875" style="20" customWidth="1"/>
    <col min="22" max="22" width="15.1796875" style="20" customWidth="1"/>
    <col min="23" max="23" width="19.26953125" style="20" customWidth="1"/>
    <col min="24" max="24" width="21.26953125" style="20" customWidth="1"/>
    <col min="25" max="25" width="26.453125" style="20" customWidth="1"/>
    <col min="26" max="26" width="25.453125" style="20" customWidth="1"/>
    <col min="27" max="28" width="36.453125" style="20" customWidth="1"/>
    <col min="29" max="37" width="55" style="20" customWidth="1"/>
    <col min="38" max="38" width="51.54296875" style="20" customWidth="1"/>
    <col min="39" max="39" width="31.26953125" style="20" customWidth="1"/>
    <col min="40" max="40" width="8.7265625"/>
    <col min="41" max="41" width="55" style="20" customWidth="1"/>
    <col min="42" max="42" width="44.7265625" style="20" customWidth="1"/>
    <col min="43" max="43" width="34" style="20" customWidth="1"/>
    <col min="44" max="44" width="21.26953125" style="20" customWidth="1"/>
    <col min="45" max="45" width="55" style="20" customWidth="1"/>
    <col min="46" max="46" width="37" style="20" customWidth="1"/>
    <col min="47" max="47" width="55" style="20" customWidth="1"/>
    <col min="48" max="48" width="47.1796875" style="20" customWidth="1"/>
    <col min="49" max="49" width="20.453125" style="20" customWidth="1"/>
    <col min="50" max="50" width="20.1796875" style="20" customWidth="1"/>
    <col min="51" max="51" width="15.1796875" style="20" customWidth="1"/>
    <col min="52" max="52" width="18.1796875" style="20" customWidth="1"/>
    <col min="53" max="53" width="38.54296875" style="20" customWidth="1"/>
    <col min="54" max="54" width="32.453125" style="20" customWidth="1"/>
    <col min="55" max="55" width="21" style="20" customWidth="1"/>
    <col min="56" max="56" width="11.1796875" style="20" customWidth="1"/>
    <col min="57" max="57" width="24" style="20" customWidth="1"/>
    <col min="58" max="58" width="13.1796875" style="20" customWidth="1"/>
    <col min="59" max="59" width="21.453125" style="20" customWidth="1"/>
    <col min="60" max="60" width="20.1796875" style="20" customWidth="1"/>
    <col min="61" max="61" width="9.1796875" style="20"/>
    <col min="62" max="63" width="12.1796875" style="20" customWidth="1"/>
    <col min="64" max="64" width="16.7265625" style="20" customWidth="1"/>
    <col min="65" max="65" width="20.7265625" style="20" customWidth="1"/>
    <col min="66" max="66" width="27.81640625" style="20" customWidth="1"/>
    <col min="67" max="67" width="24.81640625" style="20" customWidth="1"/>
    <col min="68" max="68" width="13.1796875" style="20" customWidth="1"/>
    <col min="69" max="69" width="15.1796875" style="20" customWidth="1"/>
    <col min="70" max="70" width="17" style="20" customWidth="1"/>
    <col min="71" max="74" width="9.1796875" style="20"/>
    <col min="75" max="75" width="55" style="20" customWidth="1"/>
    <col min="76" max="76" width="14.1796875" style="20" customWidth="1"/>
    <col min="77" max="77" width="27.453125" style="20" customWidth="1"/>
    <col min="78" max="78" width="55" style="20" customWidth="1"/>
    <col min="79" max="79" width="35" style="20" customWidth="1"/>
    <col min="80" max="82" width="55" style="20" customWidth="1"/>
    <col min="83" max="83" width="12.1796875" style="20" customWidth="1"/>
    <col min="84" max="84" width="23.54296875" style="20" customWidth="1"/>
    <col min="85" max="85" width="23.26953125" style="20" customWidth="1"/>
    <col min="86" max="86" width="20" style="20" customWidth="1"/>
    <col min="87" max="87" width="19.7265625" style="20" customWidth="1"/>
    <col min="88" max="88" width="22.453125" style="20" customWidth="1"/>
    <col min="89" max="89" width="22.1796875" style="20" customWidth="1"/>
    <col min="90" max="90" width="20.26953125" style="20" customWidth="1"/>
    <col min="91" max="91" width="26.26953125" style="20" customWidth="1"/>
    <col min="92" max="92" width="18" style="20" customWidth="1"/>
    <col min="93" max="93" width="16.1796875" style="20" customWidth="1"/>
    <col min="94" max="94" width="22.1796875" style="20" customWidth="1"/>
    <col min="95" max="96" width="23.1796875" style="20" customWidth="1"/>
    <col min="97" max="97" width="23.26953125" style="20" customWidth="1"/>
    <col min="98" max="16384" width="9.1796875" style="20"/>
  </cols>
  <sheetData>
    <row r="1" spans="1:97" ht="20.149999999999999" customHeight="1">
      <c r="A1" s="48" t="s">
        <v>3</v>
      </c>
      <c r="B1" s="48"/>
      <c r="C1" s="48"/>
      <c r="D1" s="48"/>
      <c r="E1" s="48"/>
      <c r="G1" s="48"/>
      <c r="H1" s="48"/>
      <c r="I1" s="48"/>
      <c r="J1" s="48"/>
      <c r="L1" s="48"/>
    </row>
    <row r="2" spans="1:97">
      <c r="A2" s="49" t="s">
        <v>4925</v>
      </c>
      <c r="B2" s="49"/>
      <c r="C2" s="49"/>
      <c r="D2" s="49"/>
      <c r="E2" s="49"/>
      <c r="G2" s="49"/>
      <c r="H2" s="49"/>
      <c r="I2" s="49"/>
      <c r="J2" s="49"/>
      <c r="L2" s="49"/>
    </row>
    <row r="3" spans="1:97">
      <c r="A3" s="50" t="s">
        <v>5</v>
      </c>
      <c r="B3" s="50"/>
      <c r="C3" s="50"/>
      <c r="D3" s="50"/>
      <c r="E3" s="50"/>
      <c r="G3" s="50"/>
      <c r="H3" s="50"/>
      <c r="I3" s="50"/>
      <c r="J3" s="50"/>
      <c r="L3" s="50"/>
    </row>
    <row r="4" spans="1:97">
      <c r="A4" s="50" t="s">
        <v>4</v>
      </c>
      <c r="B4" s="50"/>
      <c r="C4" s="50"/>
      <c r="D4" s="50"/>
      <c r="E4" s="50"/>
      <c r="G4" s="50"/>
      <c r="H4" s="50"/>
      <c r="I4" s="50"/>
      <c r="J4" s="50"/>
      <c r="L4" s="50"/>
    </row>
    <row r="6" spans="1:97" ht="26.15" customHeight="1">
      <c r="A6" s="95" t="s">
        <v>6</v>
      </c>
      <c r="B6" s="95" t="s">
        <v>10</v>
      </c>
      <c r="C6" s="95" t="s">
        <v>11032</v>
      </c>
      <c r="D6" s="95" t="s">
        <v>11</v>
      </c>
      <c r="E6" s="95" t="s">
        <v>18</v>
      </c>
      <c r="F6" s="95" t="s">
        <v>4940</v>
      </c>
      <c r="G6" s="95" t="s">
        <v>10956</v>
      </c>
      <c r="H6" s="95" t="s">
        <v>10469</v>
      </c>
      <c r="I6" s="95" t="s">
        <v>10470</v>
      </c>
      <c r="J6" s="95" t="s">
        <v>10468</v>
      </c>
      <c r="L6" s="95" t="s">
        <v>15</v>
      </c>
      <c r="M6" s="95" t="s">
        <v>4926</v>
      </c>
      <c r="N6" s="95" t="s">
        <v>4927</v>
      </c>
      <c r="O6" s="95" t="s">
        <v>2</v>
      </c>
      <c r="P6" s="95" t="s">
        <v>4928</v>
      </c>
      <c r="Q6" s="95" t="s">
        <v>17</v>
      </c>
      <c r="R6" s="95" t="s">
        <v>4929</v>
      </c>
      <c r="S6" s="95" t="s">
        <v>4930</v>
      </c>
      <c r="T6" s="95" t="s">
        <v>4931</v>
      </c>
      <c r="U6" s="95" t="s">
        <v>4932</v>
      </c>
      <c r="V6" s="95" t="s">
        <v>4933</v>
      </c>
      <c r="W6" s="95" t="s">
        <v>4934</v>
      </c>
      <c r="X6" s="95" t="s">
        <v>4935</v>
      </c>
      <c r="Y6" s="95" t="s">
        <v>4936</v>
      </c>
      <c r="Z6" s="95" t="s">
        <v>4937</v>
      </c>
      <c r="AA6" s="95" t="s">
        <v>4938</v>
      </c>
      <c r="AB6" s="95" t="s">
        <v>4939</v>
      </c>
      <c r="AC6" s="95" t="s">
        <v>19</v>
      </c>
      <c r="AD6" s="95"/>
      <c r="AE6" s="95">
        <v>1</v>
      </c>
      <c r="AF6" s="95">
        <v>2</v>
      </c>
      <c r="AG6" s="95">
        <v>3</v>
      </c>
      <c r="AH6" s="12">
        <v>4</v>
      </c>
      <c r="AI6" s="12">
        <v>5</v>
      </c>
      <c r="AJ6" s="12">
        <v>6</v>
      </c>
      <c r="AK6" s="12">
        <v>7</v>
      </c>
      <c r="AL6" s="12" t="s">
        <v>12</v>
      </c>
      <c r="AM6" s="12" t="s">
        <v>13</v>
      </c>
      <c r="AO6" s="12"/>
      <c r="AP6" s="12" t="s">
        <v>4941</v>
      </c>
      <c r="AQ6" s="12" t="s">
        <v>4942</v>
      </c>
      <c r="AR6" s="12" t="s">
        <v>4943</v>
      </c>
      <c r="AS6" s="12" t="s">
        <v>4944</v>
      </c>
      <c r="AT6" s="12" t="s">
        <v>4945</v>
      </c>
      <c r="AU6" s="12" t="s">
        <v>4946</v>
      </c>
      <c r="AV6" s="12" t="s">
        <v>4947</v>
      </c>
      <c r="AW6" s="12" t="s">
        <v>4948</v>
      </c>
      <c r="AX6" s="12" t="s">
        <v>4949</v>
      </c>
      <c r="AY6" s="12" t="s">
        <v>4950</v>
      </c>
      <c r="AZ6" s="12" t="s">
        <v>4951</v>
      </c>
      <c r="BA6" s="12" t="s">
        <v>4952</v>
      </c>
      <c r="BB6" s="12" t="s">
        <v>4953</v>
      </c>
      <c r="BC6" s="12" t="s">
        <v>4954</v>
      </c>
      <c r="BD6" s="12" t="s">
        <v>4955</v>
      </c>
      <c r="BE6" s="12" t="s">
        <v>4956</v>
      </c>
      <c r="BF6" s="12" t="s">
        <v>4957</v>
      </c>
      <c r="BG6" s="12" t="s">
        <v>4958</v>
      </c>
      <c r="BH6" s="12" t="s">
        <v>4959</v>
      </c>
      <c r="BI6" s="12" t="s">
        <v>4960</v>
      </c>
      <c r="BJ6" s="12" t="s">
        <v>4961</v>
      </c>
      <c r="BK6" s="12" t="s">
        <v>4962</v>
      </c>
      <c r="BL6" s="12" t="s">
        <v>4963</v>
      </c>
      <c r="BM6" s="12" t="s">
        <v>4964</v>
      </c>
      <c r="BN6" s="12" t="s">
        <v>4965</v>
      </c>
      <c r="BO6" s="12" t="s">
        <v>4966</v>
      </c>
      <c r="BP6" s="12" t="s">
        <v>4967</v>
      </c>
      <c r="BQ6" s="12" t="s">
        <v>4968</v>
      </c>
      <c r="BR6" s="12" t="s">
        <v>4969</v>
      </c>
      <c r="BS6" s="12" t="s">
        <v>4970</v>
      </c>
      <c r="BT6" s="12"/>
      <c r="BU6" s="12"/>
      <c r="BV6" s="12"/>
      <c r="BW6" s="12" t="s">
        <v>4971</v>
      </c>
      <c r="BX6" s="12" t="s">
        <v>4972</v>
      </c>
      <c r="BY6" s="12" t="s">
        <v>4973</v>
      </c>
      <c r="BZ6" s="12" t="s">
        <v>4974</v>
      </c>
      <c r="CA6" s="12" t="s">
        <v>4975</v>
      </c>
      <c r="CB6" s="12" t="s">
        <v>4337</v>
      </c>
      <c r="CC6" s="12" t="s">
        <v>4976</v>
      </c>
      <c r="CD6" s="12" t="s">
        <v>4977</v>
      </c>
      <c r="CE6" s="12" t="s">
        <v>4978</v>
      </c>
      <c r="CF6" s="12" t="s">
        <v>4979</v>
      </c>
      <c r="CG6" s="12" t="s">
        <v>4980</v>
      </c>
      <c r="CH6" s="12" t="s">
        <v>4981</v>
      </c>
      <c r="CI6" s="12" t="s">
        <v>4982</v>
      </c>
      <c r="CJ6" s="12" t="s">
        <v>4983</v>
      </c>
      <c r="CK6" s="12" t="s">
        <v>4984</v>
      </c>
      <c r="CL6" s="12" t="s">
        <v>4985</v>
      </c>
      <c r="CM6" s="12" t="s">
        <v>4986</v>
      </c>
      <c r="CN6" s="12" t="s">
        <v>4987</v>
      </c>
      <c r="CO6" s="12" t="s">
        <v>4988</v>
      </c>
      <c r="CP6" s="12" t="s">
        <v>4989</v>
      </c>
      <c r="CQ6" s="12" t="s">
        <v>4990</v>
      </c>
      <c r="CR6" s="12" t="s">
        <v>4991</v>
      </c>
      <c r="CS6" s="12" t="s">
        <v>4992</v>
      </c>
    </row>
    <row r="7" spans="1:97" ht="26.15" customHeight="1">
      <c r="A7" s="2">
        <v>210</v>
      </c>
      <c r="B7" s="25" t="s">
        <v>2040</v>
      </c>
      <c r="C7" s="25" t="str">
        <f>VLOOKUP(B7, Sheet6!$A$1:$B$77, 2, FALSE)</f>
        <v>Yes</v>
      </c>
      <c r="D7" s="25" t="s">
        <v>2041</v>
      </c>
      <c r="E7" s="25" t="s">
        <v>2044</v>
      </c>
      <c r="F7" s="25" t="s">
        <v>7653</v>
      </c>
      <c r="G7" s="25" t="s">
        <v>11117</v>
      </c>
      <c r="H7" s="25" t="s">
        <v>10957</v>
      </c>
      <c r="I7" s="25" t="s">
        <v>10958</v>
      </c>
      <c r="J7" s="26" t="s">
        <v>10821</v>
      </c>
      <c r="L7" s="13">
        <v>2019</v>
      </c>
      <c r="M7" s="14" t="s">
        <v>4993</v>
      </c>
      <c r="N7" s="14" t="s">
        <v>4994</v>
      </c>
      <c r="O7" s="14" t="s">
        <v>2057</v>
      </c>
      <c r="P7" s="15" t="s">
        <v>3117</v>
      </c>
      <c r="Q7" s="16"/>
      <c r="R7" s="17">
        <v>44018</v>
      </c>
      <c r="S7" s="16"/>
      <c r="T7" s="16" t="s">
        <v>50</v>
      </c>
      <c r="U7" s="14" t="s">
        <v>34</v>
      </c>
      <c r="V7" s="13">
        <v>3</v>
      </c>
      <c r="W7" s="17">
        <v>44021</v>
      </c>
      <c r="X7" s="14"/>
      <c r="Y7" s="17"/>
      <c r="Z7" s="17"/>
      <c r="AA7" s="14" t="s">
        <v>4995</v>
      </c>
      <c r="AB7" s="14" t="s">
        <v>4996</v>
      </c>
      <c r="AC7" s="14" t="s">
        <v>4997</v>
      </c>
      <c r="AD7" s="20" t="str">
        <f>IF(IFERROR(LEFT($A7, SEARCH(CHAR(10),$A7)-1),AC7)=0,"",IFERROR(LEFT($A7, SEARCH(CHAR(10),$A7)-1),AC7))</f>
        <v>Online Grocery &gt; B2B Ecommerce &gt; Farm Produce &gt; Meat and Seafood &gt; Marketplace
Livestock Tech &gt; ECommerce &gt; Farm Produce &gt; B2B &gt; Marketplace &gt; Meat</v>
      </c>
      <c r="AE7" s="20" t="str">
        <f>TRIM(MID(SUBSTITUTE($AD7,"&gt;",REPT(" ",LEN($AD7))), (AE$6-1)*LEN($AD7)+1, LEN($AD7)))</f>
        <v>Online Grocery</v>
      </c>
      <c r="AF7" s="20" t="str">
        <f t="shared" ref="AF7:AK17" si="0">TRIM(MID(SUBSTITUTE($AD7,"&gt;",REPT(" ",LEN($AD7))), (AF$6-1)*LEN($AD7)+1, LEN($AD7)))</f>
        <v>B2B Ecommerce</v>
      </c>
      <c r="AG7" s="20" t="str">
        <f t="shared" si="0"/>
        <v>Farm Produce</v>
      </c>
      <c r="AH7" s="20" t="str">
        <f t="shared" si="0"/>
        <v>Meat and Seafood</v>
      </c>
      <c r="AI7" s="20" t="str">
        <f t="shared" si="0"/>
        <v>Marketplace
Livestock Tech</v>
      </c>
      <c r="AJ7" s="20" t="str">
        <f t="shared" si="0"/>
        <v>ECommerce</v>
      </c>
      <c r="AK7" s="20" t="str">
        <f t="shared" si="0"/>
        <v>Farm Produce</v>
      </c>
      <c r="AL7" s="14" t="s">
        <v>277</v>
      </c>
      <c r="AM7" s="14" t="s">
        <v>276</v>
      </c>
      <c r="AO7" s="14"/>
      <c r="AP7" s="14" t="s">
        <v>2057</v>
      </c>
      <c r="AQ7" s="14"/>
      <c r="AR7" s="14" t="s">
        <v>4999</v>
      </c>
      <c r="AS7" s="14"/>
      <c r="AT7" s="14"/>
      <c r="AU7" s="14"/>
      <c r="AV7" s="18"/>
      <c r="AW7" s="16"/>
      <c r="AX7" s="17"/>
      <c r="AY7" s="15" t="s">
        <v>3123</v>
      </c>
      <c r="AZ7" s="17"/>
      <c r="BA7" s="16"/>
      <c r="BB7" s="14"/>
      <c r="BC7" s="14"/>
      <c r="BD7" s="15" t="s">
        <v>3123</v>
      </c>
      <c r="BE7" s="14"/>
      <c r="BF7" s="17"/>
      <c r="BG7" s="16"/>
      <c r="BH7" s="14"/>
      <c r="BI7" s="15" t="s">
        <v>3123</v>
      </c>
      <c r="BJ7" s="14"/>
      <c r="BK7" s="17"/>
      <c r="BL7" s="16"/>
      <c r="BM7" s="16"/>
      <c r="BN7" s="16"/>
      <c r="BO7" s="16"/>
      <c r="BP7" s="15" t="s">
        <v>3123</v>
      </c>
      <c r="BQ7" s="17"/>
      <c r="BR7" s="14"/>
      <c r="BS7" s="14"/>
      <c r="BT7" s="16"/>
      <c r="BU7" s="16"/>
      <c r="BV7" s="13"/>
      <c r="BW7" s="18" t="s">
        <v>5000</v>
      </c>
      <c r="BX7" s="13">
        <v>200</v>
      </c>
      <c r="BY7" s="17">
        <v>44131</v>
      </c>
      <c r="BZ7" s="18"/>
      <c r="CA7" s="18"/>
      <c r="CB7" s="18"/>
      <c r="CC7" s="18"/>
      <c r="CD7" s="14" t="s">
        <v>5001</v>
      </c>
      <c r="CE7" s="17">
        <v>44019</v>
      </c>
      <c r="CF7" s="16"/>
      <c r="CG7" s="17"/>
      <c r="CH7" s="16"/>
      <c r="CI7" s="17"/>
      <c r="CJ7" s="16"/>
      <c r="CK7" s="17"/>
      <c r="CL7" s="16"/>
      <c r="CM7" s="17"/>
      <c r="CN7" s="19">
        <v>13.535913613756087</v>
      </c>
      <c r="CO7" s="19"/>
      <c r="CP7" s="17"/>
      <c r="CQ7" s="14" t="s">
        <v>5002</v>
      </c>
      <c r="CR7" s="14" t="s">
        <v>5003</v>
      </c>
      <c r="CS7" s="14" t="s">
        <v>5004</v>
      </c>
    </row>
    <row r="8" spans="1:97" ht="26.15" customHeight="1">
      <c r="A8" s="2">
        <v>539</v>
      </c>
      <c r="B8" s="25" t="s">
        <v>3029</v>
      </c>
      <c r="C8" s="25" t="str">
        <f>VLOOKUP(B8, Sheet6!$A$1:$B$77, 2, FALSE)</f>
        <v>Yes</v>
      </c>
      <c r="D8" s="25" t="s">
        <v>3030</v>
      </c>
      <c r="E8" s="25" t="s">
        <v>3031</v>
      </c>
      <c r="F8" s="25" t="s">
        <v>10341</v>
      </c>
      <c r="G8" s="25" t="s">
        <v>10955</v>
      </c>
      <c r="H8" s="25" t="s">
        <v>10967</v>
      </c>
      <c r="I8" s="25" t="s">
        <v>10558</v>
      </c>
      <c r="J8" s="25" t="s">
        <v>10993</v>
      </c>
      <c r="L8" s="13">
        <v>2019</v>
      </c>
      <c r="M8" s="14" t="s">
        <v>5005</v>
      </c>
      <c r="N8" s="14" t="s">
        <v>5006</v>
      </c>
      <c r="O8" s="14" t="s">
        <v>3994</v>
      </c>
      <c r="P8" s="15" t="s">
        <v>3117</v>
      </c>
      <c r="Q8" s="16"/>
      <c r="R8" s="17">
        <v>44132</v>
      </c>
      <c r="S8" s="16"/>
      <c r="T8" s="16" t="s">
        <v>50</v>
      </c>
      <c r="U8" s="14" t="s">
        <v>34</v>
      </c>
      <c r="V8" s="13">
        <v>4</v>
      </c>
      <c r="W8" s="17">
        <v>44139</v>
      </c>
      <c r="X8" s="14"/>
      <c r="Y8" s="17"/>
      <c r="Z8" s="17"/>
      <c r="AA8" s="14" t="s">
        <v>1</v>
      </c>
      <c r="AB8" s="14" t="s">
        <v>5007</v>
      </c>
      <c r="AC8" s="14" t="s">
        <v>257</v>
      </c>
      <c r="AD8" s="20" t="str">
        <f t="shared" ref="AD8:AD52" si="1">IF(IFERROR(LEFT($A8, SEARCH(CHAR(10),$A8)-1),AC8)=0,"",IFERROR(LEFT($A8, SEARCH(CHAR(10),$A8)-1),AC8))</f>
        <v>Crop Tech &gt; Farming as a Service &gt; Tech Enabled Services</v>
      </c>
      <c r="AE8" s="20" t="str">
        <f t="shared" ref="AE8:AK42" si="2">TRIM(MID(SUBSTITUTE($AD8,"&gt;",REPT(" ",LEN($AD8))), (AE$6-1)*LEN($AD8)+1, LEN($AD8)))</f>
        <v>Crop Tech</v>
      </c>
      <c r="AF8" s="20" t="str">
        <f t="shared" si="0"/>
        <v>Farming as a Service</v>
      </c>
      <c r="AG8" s="20" t="str">
        <f t="shared" si="0"/>
        <v>Tech Enabled Services</v>
      </c>
      <c r="AH8" s="20" t="str">
        <f t="shared" si="0"/>
        <v/>
      </c>
      <c r="AI8" s="20" t="str">
        <f t="shared" si="0"/>
        <v/>
      </c>
      <c r="AJ8" s="20" t="str">
        <f t="shared" si="0"/>
        <v/>
      </c>
      <c r="AK8" s="20" t="str">
        <f t="shared" si="0"/>
        <v/>
      </c>
      <c r="AL8" s="14" t="s">
        <v>55</v>
      </c>
      <c r="AM8" s="14" t="s">
        <v>54</v>
      </c>
      <c r="AO8" s="14"/>
      <c r="AP8" s="14" t="s">
        <v>3994</v>
      </c>
      <c r="AQ8" s="14" t="s">
        <v>5009</v>
      </c>
      <c r="AR8" s="14" t="s">
        <v>5010</v>
      </c>
      <c r="AS8" s="14" t="s">
        <v>5011</v>
      </c>
      <c r="AT8" s="14"/>
      <c r="AU8" s="14" t="s">
        <v>5012</v>
      </c>
      <c r="AV8" s="18"/>
      <c r="AW8" s="16"/>
      <c r="AX8" s="17"/>
      <c r="AY8" s="15" t="s">
        <v>3123</v>
      </c>
      <c r="AZ8" s="17"/>
      <c r="BA8" s="16"/>
      <c r="BB8" s="14"/>
      <c r="BC8" s="14"/>
      <c r="BD8" s="15" t="s">
        <v>3123</v>
      </c>
      <c r="BE8" s="14"/>
      <c r="BF8" s="17"/>
      <c r="BG8" s="16"/>
      <c r="BH8" s="14"/>
      <c r="BI8" s="15" t="s">
        <v>3123</v>
      </c>
      <c r="BJ8" s="14"/>
      <c r="BK8" s="17"/>
      <c r="BL8" s="16"/>
      <c r="BM8" s="16"/>
      <c r="BN8" s="16"/>
      <c r="BO8" s="16"/>
      <c r="BP8" s="15" t="s">
        <v>3123</v>
      </c>
      <c r="BQ8" s="17"/>
      <c r="BR8" s="14"/>
      <c r="BS8" s="14"/>
      <c r="BT8" s="16"/>
      <c r="BU8" s="16"/>
      <c r="BV8" s="13"/>
      <c r="BW8" s="18" t="s">
        <v>5013</v>
      </c>
      <c r="BX8" s="13">
        <v>200</v>
      </c>
      <c r="BY8" s="17">
        <v>44129</v>
      </c>
      <c r="BZ8" s="18" t="s">
        <v>5014</v>
      </c>
      <c r="CA8" s="18" t="s">
        <v>5015</v>
      </c>
      <c r="CB8" s="18" t="s">
        <v>5016</v>
      </c>
      <c r="CC8" s="18"/>
      <c r="CD8" s="14" t="s">
        <v>5017</v>
      </c>
      <c r="CE8" s="17">
        <v>44134</v>
      </c>
      <c r="CF8" s="16"/>
      <c r="CG8" s="17"/>
      <c r="CH8" s="16"/>
      <c r="CI8" s="17"/>
      <c r="CJ8" s="16"/>
      <c r="CK8" s="17"/>
      <c r="CL8" s="16"/>
      <c r="CM8" s="17"/>
      <c r="CN8" s="19">
        <v>15.639632964964601</v>
      </c>
      <c r="CO8" s="19"/>
      <c r="CP8" s="17"/>
      <c r="CQ8" s="14" t="s">
        <v>5018</v>
      </c>
      <c r="CR8" s="14" t="s">
        <v>5019</v>
      </c>
      <c r="CS8" s="14" t="s">
        <v>5004</v>
      </c>
    </row>
    <row r="9" spans="1:97" ht="26.15" customHeight="1">
      <c r="A9" s="2">
        <v>148</v>
      </c>
      <c r="B9" s="25" t="s">
        <v>378</v>
      </c>
      <c r="C9" s="25" t="str">
        <f>VLOOKUP(B9, Sheet6!$A$1:$B$77, 2, FALSE)</f>
        <v>Yes</v>
      </c>
      <c r="D9" s="25" t="s">
        <v>379</v>
      </c>
      <c r="E9" s="25" t="s">
        <v>383</v>
      </c>
      <c r="F9" s="25" t="s">
        <v>6906</v>
      </c>
      <c r="G9" s="25" t="s">
        <v>10955</v>
      </c>
      <c r="H9" s="25" t="s">
        <v>10959</v>
      </c>
      <c r="I9" s="25" t="s">
        <v>10958</v>
      </c>
      <c r="J9" s="26" t="s">
        <v>10846</v>
      </c>
      <c r="L9" s="13">
        <v>2017</v>
      </c>
      <c r="M9" s="14" t="s">
        <v>5020</v>
      </c>
      <c r="N9" s="14" t="s">
        <v>5021</v>
      </c>
      <c r="O9" s="14" t="s">
        <v>3994</v>
      </c>
      <c r="P9" s="15" t="s">
        <v>3117</v>
      </c>
      <c r="Q9" s="16">
        <v>1700000</v>
      </c>
      <c r="R9" s="17">
        <v>44109</v>
      </c>
      <c r="S9" s="16" t="s">
        <v>5022</v>
      </c>
      <c r="T9" s="16">
        <v>1700000</v>
      </c>
      <c r="U9" s="14" t="s">
        <v>34</v>
      </c>
      <c r="V9" s="13">
        <v>4</v>
      </c>
      <c r="W9" s="17">
        <v>44113</v>
      </c>
      <c r="X9" s="14"/>
      <c r="Y9" s="17"/>
      <c r="Z9" s="17"/>
      <c r="AA9" s="14" t="s">
        <v>1</v>
      </c>
      <c r="AB9" s="14" t="s">
        <v>5007</v>
      </c>
      <c r="AC9" s="14" t="s">
        <v>257</v>
      </c>
      <c r="AD9" s="20" t="str">
        <f t="shared" si="1"/>
        <v>Crop Tech &gt; Farming as a Service &gt; Tech Enabled Services</v>
      </c>
      <c r="AE9" s="20" t="str">
        <f t="shared" si="2"/>
        <v>Crop Tech</v>
      </c>
      <c r="AF9" s="20" t="str">
        <f t="shared" si="0"/>
        <v>Farming as a Service</v>
      </c>
      <c r="AG9" s="20" t="str">
        <f t="shared" si="0"/>
        <v>Tech Enabled Services</v>
      </c>
      <c r="AH9" s="20" t="str">
        <f t="shared" si="0"/>
        <v/>
      </c>
      <c r="AI9" s="20" t="str">
        <f t="shared" si="0"/>
        <v/>
      </c>
      <c r="AJ9" s="20" t="str">
        <f t="shared" si="0"/>
        <v/>
      </c>
      <c r="AK9" s="20" t="str">
        <f t="shared" si="0"/>
        <v/>
      </c>
      <c r="AL9" s="14" t="s">
        <v>5023</v>
      </c>
      <c r="AM9" s="14" t="s">
        <v>5024</v>
      </c>
      <c r="AO9" s="14"/>
      <c r="AP9" s="14" t="s">
        <v>3994</v>
      </c>
      <c r="AQ9" s="14" t="s">
        <v>5026</v>
      </c>
      <c r="AR9" s="14" t="s">
        <v>5027</v>
      </c>
      <c r="AS9" s="14" t="s">
        <v>5028</v>
      </c>
      <c r="AT9" s="14" t="s">
        <v>5029</v>
      </c>
      <c r="AU9" s="14" t="s">
        <v>5030</v>
      </c>
      <c r="AV9" s="18"/>
      <c r="AW9" s="16">
        <v>10128604.543019988</v>
      </c>
      <c r="AX9" s="17">
        <v>43465</v>
      </c>
      <c r="AY9" s="15" t="s">
        <v>3123</v>
      </c>
      <c r="AZ9" s="17"/>
      <c r="BA9" s="16"/>
      <c r="BB9" s="14"/>
      <c r="BC9" s="14"/>
      <c r="BD9" s="15" t="s">
        <v>3123</v>
      </c>
      <c r="BE9" s="14"/>
      <c r="BF9" s="17"/>
      <c r="BG9" s="16"/>
      <c r="BH9" s="14"/>
      <c r="BI9" s="15" t="s">
        <v>3123</v>
      </c>
      <c r="BJ9" s="14"/>
      <c r="BK9" s="17"/>
      <c r="BL9" s="16"/>
      <c r="BM9" s="16"/>
      <c r="BN9" s="16"/>
      <c r="BO9" s="16"/>
      <c r="BP9" s="15" t="s">
        <v>3123</v>
      </c>
      <c r="BQ9" s="17"/>
      <c r="BR9" s="14"/>
      <c r="BS9" s="14"/>
      <c r="BT9" s="16"/>
      <c r="BU9" s="16"/>
      <c r="BV9" s="13"/>
      <c r="BW9" s="18" t="s">
        <v>5031</v>
      </c>
      <c r="BX9" s="13">
        <v>301</v>
      </c>
      <c r="BY9" s="17">
        <v>44128</v>
      </c>
      <c r="BZ9" s="18" t="s">
        <v>5032</v>
      </c>
      <c r="CA9" s="18" t="s">
        <v>5033</v>
      </c>
      <c r="CB9" s="18" t="s">
        <v>5034</v>
      </c>
      <c r="CC9" s="18"/>
      <c r="CD9" s="14" t="s">
        <v>5035</v>
      </c>
      <c r="CE9" s="17">
        <v>44110</v>
      </c>
      <c r="CF9" s="16">
        <v>61060.563157783865</v>
      </c>
      <c r="CG9" s="17">
        <v>43465</v>
      </c>
      <c r="CH9" s="16">
        <v>96084.501873939676</v>
      </c>
      <c r="CI9" s="17">
        <v>43465</v>
      </c>
      <c r="CJ9" s="16"/>
      <c r="CK9" s="17"/>
      <c r="CL9" s="16"/>
      <c r="CM9" s="17"/>
      <c r="CN9" s="19">
        <v>46.946641320252063</v>
      </c>
      <c r="CO9" s="19"/>
      <c r="CP9" s="17"/>
      <c r="CQ9" s="14" t="s">
        <v>5036</v>
      </c>
      <c r="CR9" s="14" t="s">
        <v>5037</v>
      </c>
      <c r="CS9" s="14" t="s">
        <v>5004</v>
      </c>
    </row>
    <row r="10" spans="1:97" ht="26.15" customHeight="1">
      <c r="A10" s="2">
        <v>273</v>
      </c>
      <c r="B10" s="25" t="s">
        <v>458</v>
      </c>
      <c r="C10" s="25" t="str">
        <f>VLOOKUP(B10, Sheet6!$A$1:$B$77, 2, FALSE)</f>
        <v>Yes</v>
      </c>
      <c r="D10" s="25" t="s">
        <v>459</v>
      </c>
      <c r="E10" s="25" t="s">
        <v>463</v>
      </c>
      <c r="F10" s="25" t="s">
        <v>8465</v>
      </c>
      <c r="G10" s="25" t="s">
        <v>10955</v>
      </c>
      <c r="H10" s="25" t="s">
        <v>10959</v>
      </c>
      <c r="I10" s="25" t="s">
        <v>10958</v>
      </c>
      <c r="J10" s="26" t="s">
        <v>10842</v>
      </c>
      <c r="L10" s="13">
        <v>2017</v>
      </c>
      <c r="M10" s="14" t="s">
        <v>5038</v>
      </c>
      <c r="N10" s="14" t="s">
        <v>5039</v>
      </c>
      <c r="O10" s="14" t="s">
        <v>3994</v>
      </c>
      <c r="P10" s="15" t="s">
        <v>3117</v>
      </c>
      <c r="Q10" s="16"/>
      <c r="R10" s="17">
        <v>43354</v>
      </c>
      <c r="S10" s="16"/>
      <c r="T10" s="16" t="s">
        <v>50</v>
      </c>
      <c r="U10" s="14" t="s">
        <v>5040</v>
      </c>
      <c r="V10" s="13">
        <v>3</v>
      </c>
      <c r="W10" s="17">
        <v>44057</v>
      </c>
      <c r="X10" s="14"/>
      <c r="Y10" s="17"/>
      <c r="Z10" s="17"/>
      <c r="AA10" s="14" t="s">
        <v>5041</v>
      </c>
      <c r="AB10" s="14" t="s">
        <v>5042</v>
      </c>
      <c r="AC10" s="25" t="s">
        <v>5043</v>
      </c>
      <c r="AD10" s="20" t="str">
        <f t="shared" si="1"/>
        <v>IoT Applications &gt; Industry Specific &gt; Real Estate and Construction &gt; Real Estate
Crop Tech &gt; Farm Management Software &gt; Irrigation Management &gt; Water Management</v>
      </c>
      <c r="AE10" s="20" t="str">
        <f t="shared" si="2"/>
        <v>IoT Applications</v>
      </c>
      <c r="AF10" s="20" t="str">
        <f t="shared" si="0"/>
        <v>Industry Specific</v>
      </c>
      <c r="AG10" s="20" t="str">
        <f t="shared" si="0"/>
        <v>Real Estate and Construction</v>
      </c>
      <c r="AH10" s="20" t="str">
        <f t="shared" si="0"/>
        <v>Real Estate
Crop Tech</v>
      </c>
      <c r="AI10" s="20" t="str">
        <f t="shared" si="0"/>
        <v>Farm Management Software</v>
      </c>
      <c r="AJ10" s="20" t="str">
        <f t="shared" si="0"/>
        <v>Irrigation Management</v>
      </c>
      <c r="AK10" s="20" t="str">
        <f t="shared" si="0"/>
        <v>Water Management</v>
      </c>
      <c r="AL10" s="14" t="s">
        <v>3639</v>
      </c>
      <c r="AM10" s="14"/>
      <c r="AO10" s="14"/>
      <c r="AP10" s="14" t="s">
        <v>3994</v>
      </c>
      <c r="AQ10" s="14" t="s">
        <v>5045</v>
      </c>
      <c r="AR10" s="14"/>
      <c r="AS10" s="14"/>
      <c r="AT10" s="14"/>
      <c r="AU10" s="14"/>
      <c r="AV10" s="18"/>
      <c r="AW10" s="16"/>
      <c r="AX10" s="17"/>
      <c r="AY10" s="15" t="s">
        <v>3123</v>
      </c>
      <c r="AZ10" s="17"/>
      <c r="BA10" s="16"/>
      <c r="BB10" s="14"/>
      <c r="BC10" s="14"/>
      <c r="BD10" s="15" t="s">
        <v>3123</v>
      </c>
      <c r="BE10" s="14"/>
      <c r="BF10" s="17"/>
      <c r="BG10" s="16"/>
      <c r="BH10" s="14"/>
      <c r="BI10" s="15" t="s">
        <v>3123</v>
      </c>
      <c r="BJ10" s="14"/>
      <c r="BK10" s="17"/>
      <c r="BL10" s="16"/>
      <c r="BM10" s="16"/>
      <c r="BN10" s="16"/>
      <c r="BO10" s="16"/>
      <c r="BP10" s="15" t="s">
        <v>3123</v>
      </c>
      <c r="BQ10" s="17"/>
      <c r="BR10" s="14"/>
      <c r="BS10" s="14"/>
      <c r="BT10" s="16"/>
      <c r="BU10" s="16"/>
      <c r="BV10" s="13"/>
      <c r="BW10" s="18" t="s">
        <v>5046</v>
      </c>
      <c r="BX10" s="13">
        <v>200</v>
      </c>
      <c r="BY10" s="17">
        <v>44114</v>
      </c>
      <c r="BZ10" s="18"/>
      <c r="CA10" s="18"/>
      <c r="CB10" s="18"/>
      <c r="CC10" s="18"/>
      <c r="CD10" s="14" t="s">
        <v>5047</v>
      </c>
      <c r="CE10" s="17">
        <v>43987</v>
      </c>
      <c r="CF10" s="16"/>
      <c r="CG10" s="17"/>
      <c r="CH10" s="16"/>
      <c r="CI10" s="17"/>
      <c r="CJ10" s="16"/>
      <c r="CK10" s="17"/>
      <c r="CL10" s="16"/>
      <c r="CM10" s="17"/>
      <c r="CN10" s="19">
        <v>11.412527045455226</v>
      </c>
      <c r="CO10" s="19"/>
      <c r="CP10" s="17"/>
      <c r="CQ10" s="14" t="s">
        <v>5048</v>
      </c>
      <c r="CR10" s="14" t="s">
        <v>5049</v>
      </c>
      <c r="CS10" s="14" t="s">
        <v>5004</v>
      </c>
    </row>
    <row r="11" spans="1:97" ht="26.15" customHeight="1">
      <c r="A11" s="2">
        <v>245</v>
      </c>
      <c r="B11" s="25" t="s">
        <v>26</v>
      </c>
      <c r="C11" s="25" t="str">
        <f>VLOOKUP(B11, Sheet6!$A$1:$B$77, 2, FALSE)</f>
        <v>Yes</v>
      </c>
      <c r="D11" s="25" t="s">
        <v>27</v>
      </c>
      <c r="E11" s="25" t="s">
        <v>31</v>
      </c>
      <c r="F11" s="25" t="s">
        <v>8076</v>
      </c>
      <c r="G11" s="25" t="s">
        <v>10955</v>
      </c>
      <c r="H11" s="25" t="s">
        <v>10959</v>
      </c>
      <c r="I11" s="25" t="s">
        <v>10958</v>
      </c>
      <c r="J11" s="26" t="s">
        <v>10718</v>
      </c>
      <c r="L11" s="13">
        <v>2020</v>
      </c>
      <c r="M11" s="14" t="s">
        <v>5067</v>
      </c>
      <c r="N11" s="14" t="s">
        <v>5068</v>
      </c>
      <c r="O11" s="14" t="s">
        <v>3994</v>
      </c>
      <c r="P11" s="15" t="s">
        <v>3117</v>
      </c>
      <c r="Q11" s="16">
        <v>2500000</v>
      </c>
      <c r="R11" s="17">
        <v>44033</v>
      </c>
      <c r="S11" s="16" t="s">
        <v>5069</v>
      </c>
      <c r="T11" s="16">
        <v>2500000</v>
      </c>
      <c r="U11" s="14" t="s">
        <v>34</v>
      </c>
      <c r="V11" s="13">
        <v>3</v>
      </c>
      <c r="W11" s="17">
        <v>44021</v>
      </c>
      <c r="X11" s="14"/>
      <c r="Y11" s="17"/>
      <c r="Z11" s="17"/>
      <c r="AA11" s="14" t="s">
        <v>1</v>
      </c>
      <c r="AB11" s="14" t="s">
        <v>5007</v>
      </c>
      <c r="AC11" s="14" t="s">
        <v>257</v>
      </c>
      <c r="AD11" s="20" t="str">
        <f t="shared" si="1"/>
        <v>Crop Tech &gt; Farming as a Service &gt; Tech Enabled Services</v>
      </c>
      <c r="AE11" s="20" t="str">
        <f t="shared" si="2"/>
        <v>Crop Tech</v>
      </c>
      <c r="AF11" s="20" t="str">
        <f t="shared" si="0"/>
        <v>Farming as a Service</v>
      </c>
      <c r="AG11" s="20" t="str">
        <f t="shared" si="0"/>
        <v>Tech Enabled Services</v>
      </c>
      <c r="AH11" s="20" t="str">
        <f t="shared" si="0"/>
        <v/>
      </c>
      <c r="AI11" s="20" t="str">
        <f t="shared" si="0"/>
        <v/>
      </c>
      <c r="AJ11" s="20" t="str">
        <f t="shared" si="0"/>
        <v/>
      </c>
      <c r="AK11" s="20" t="str">
        <f t="shared" si="0"/>
        <v/>
      </c>
      <c r="AL11" s="14" t="s">
        <v>5070</v>
      </c>
      <c r="AM11" s="14" t="s">
        <v>5071</v>
      </c>
      <c r="AO11" s="14"/>
      <c r="AP11" s="14" t="s">
        <v>3994</v>
      </c>
      <c r="AQ11" s="14" t="s">
        <v>5073</v>
      </c>
      <c r="AR11" s="14" t="s">
        <v>5074</v>
      </c>
      <c r="AS11" s="14" t="s">
        <v>5075</v>
      </c>
      <c r="AT11" s="14" t="s">
        <v>5076</v>
      </c>
      <c r="AU11" s="14" t="s">
        <v>5077</v>
      </c>
      <c r="AV11" s="18"/>
      <c r="AW11" s="16"/>
      <c r="AX11" s="17"/>
      <c r="AY11" s="15" t="s">
        <v>3123</v>
      </c>
      <c r="AZ11" s="17"/>
      <c r="BA11" s="16"/>
      <c r="BB11" s="14"/>
      <c r="BC11" s="14"/>
      <c r="BD11" s="15" t="s">
        <v>3123</v>
      </c>
      <c r="BE11" s="14"/>
      <c r="BF11" s="17"/>
      <c r="BG11" s="16"/>
      <c r="BH11" s="14"/>
      <c r="BI11" s="15" t="s">
        <v>3123</v>
      </c>
      <c r="BJ11" s="14"/>
      <c r="BK11" s="17"/>
      <c r="BL11" s="16"/>
      <c r="BM11" s="16"/>
      <c r="BN11" s="16"/>
      <c r="BO11" s="16"/>
      <c r="BP11" s="15" t="s">
        <v>3123</v>
      </c>
      <c r="BQ11" s="17"/>
      <c r="BR11" s="14"/>
      <c r="BS11" s="14"/>
      <c r="BT11" s="16"/>
      <c r="BU11" s="16"/>
      <c r="BV11" s="13"/>
      <c r="BW11" s="18" t="s">
        <v>5078</v>
      </c>
      <c r="BX11" s="13">
        <v>200</v>
      </c>
      <c r="BY11" s="17">
        <v>44127</v>
      </c>
      <c r="BZ11" s="18" t="s">
        <v>5079</v>
      </c>
      <c r="CA11" s="18"/>
      <c r="CB11" s="18" t="s">
        <v>5080</v>
      </c>
      <c r="CC11" s="18"/>
      <c r="CD11" s="14" t="s">
        <v>5081</v>
      </c>
      <c r="CE11" s="17">
        <v>44018</v>
      </c>
      <c r="CF11" s="16"/>
      <c r="CG11" s="17"/>
      <c r="CH11" s="16"/>
      <c r="CI11" s="17"/>
      <c r="CJ11" s="16">
        <v>8000000</v>
      </c>
      <c r="CK11" s="17">
        <v>43966</v>
      </c>
      <c r="CL11" s="16"/>
      <c r="CM11" s="17"/>
      <c r="CN11" s="19">
        <v>35.181501104625895</v>
      </c>
      <c r="CO11" s="19"/>
      <c r="CP11" s="17"/>
      <c r="CQ11" s="14" t="s">
        <v>5082</v>
      </c>
      <c r="CR11" s="14" t="s">
        <v>5083</v>
      </c>
      <c r="CS11" s="14" t="s">
        <v>5004</v>
      </c>
    </row>
    <row r="12" spans="1:97" ht="26.15" customHeight="1">
      <c r="A12" s="2">
        <v>265</v>
      </c>
      <c r="B12" s="25" t="s">
        <v>856</v>
      </c>
      <c r="C12" s="25" t="str">
        <f>VLOOKUP(B12, Sheet6!$A$1:$B$77, 2, FALSE)</f>
        <v>Yes</v>
      </c>
      <c r="D12" s="25" t="s">
        <v>857</v>
      </c>
      <c r="E12" s="25" t="s">
        <v>861</v>
      </c>
      <c r="F12" s="25" t="s">
        <v>8359</v>
      </c>
      <c r="G12" s="25" t="s">
        <v>10955</v>
      </c>
      <c r="H12" s="25" t="s">
        <v>10959</v>
      </c>
      <c r="I12" s="25" t="s">
        <v>10958</v>
      </c>
      <c r="J12" s="26" t="s">
        <v>10846</v>
      </c>
      <c r="L12" s="13">
        <v>2019</v>
      </c>
      <c r="M12" s="14" t="s">
        <v>5038</v>
      </c>
      <c r="N12" s="14" t="s">
        <v>5039</v>
      </c>
      <c r="O12" s="14" t="s">
        <v>3994</v>
      </c>
      <c r="P12" s="15" t="s">
        <v>3117</v>
      </c>
      <c r="Q12" s="16"/>
      <c r="R12" s="17">
        <v>43617</v>
      </c>
      <c r="S12" s="16"/>
      <c r="T12" s="16" t="s">
        <v>50</v>
      </c>
      <c r="U12" s="14" t="s">
        <v>5040</v>
      </c>
      <c r="V12" s="13">
        <v>3</v>
      </c>
      <c r="W12" s="17">
        <v>44000</v>
      </c>
      <c r="X12" s="14"/>
      <c r="Y12" s="17"/>
      <c r="Z12" s="17"/>
      <c r="AA12" s="14" t="s">
        <v>1</v>
      </c>
      <c r="AB12" s="14" t="s">
        <v>5084</v>
      </c>
      <c r="AC12" s="14" t="s">
        <v>5085</v>
      </c>
      <c r="AD12" s="20" t="str">
        <f t="shared" si="1"/>
        <v>Livestock Tech &gt; Breeding &gt; Artificial Insemination &gt; Smart Device</v>
      </c>
      <c r="AE12" s="20" t="str">
        <f t="shared" si="2"/>
        <v>Livestock Tech</v>
      </c>
      <c r="AF12" s="20" t="str">
        <f t="shared" si="0"/>
        <v>Breeding</v>
      </c>
      <c r="AG12" s="20" t="str">
        <f t="shared" si="0"/>
        <v>Artificial Insemination</v>
      </c>
      <c r="AH12" s="20" t="str">
        <f t="shared" si="0"/>
        <v>Smart Device</v>
      </c>
      <c r="AI12" s="20" t="str">
        <f t="shared" si="0"/>
        <v/>
      </c>
      <c r="AJ12" s="20" t="str">
        <f t="shared" si="0"/>
        <v/>
      </c>
      <c r="AK12" s="20" t="str">
        <f t="shared" si="0"/>
        <v/>
      </c>
      <c r="AL12" s="14" t="s">
        <v>3639</v>
      </c>
      <c r="AM12" s="14"/>
      <c r="AO12" s="14"/>
      <c r="AP12" s="14" t="s">
        <v>3994</v>
      </c>
      <c r="AQ12" s="14"/>
      <c r="AR12" s="14" t="s">
        <v>5086</v>
      </c>
      <c r="AS12" s="14"/>
      <c r="AT12" s="14"/>
      <c r="AU12" s="14"/>
      <c r="AV12" s="18"/>
      <c r="AW12" s="16"/>
      <c r="AX12" s="17"/>
      <c r="AY12" s="15" t="s">
        <v>3123</v>
      </c>
      <c r="AZ12" s="17"/>
      <c r="BA12" s="16"/>
      <c r="BB12" s="14"/>
      <c r="BC12" s="14"/>
      <c r="BD12" s="15" t="s">
        <v>3123</v>
      </c>
      <c r="BE12" s="14"/>
      <c r="BF12" s="17"/>
      <c r="BG12" s="16"/>
      <c r="BH12" s="14"/>
      <c r="BI12" s="15" t="s">
        <v>3123</v>
      </c>
      <c r="BJ12" s="14"/>
      <c r="BK12" s="17"/>
      <c r="BL12" s="16"/>
      <c r="BM12" s="16"/>
      <c r="BN12" s="16"/>
      <c r="BO12" s="16"/>
      <c r="BP12" s="15" t="s">
        <v>3123</v>
      </c>
      <c r="BQ12" s="17"/>
      <c r="BR12" s="14"/>
      <c r="BS12" s="14"/>
      <c r="BT12" s="16"/>
      <c r="BU12" s="16"/>
      <c r="BV12" s="13"/>
      <c r="BW12" s="18" t="s">
        <v>5087</v>
      </c>
      <c r="BX12" s="13">
        <v>200</v>
      </c>
      <c r="BY12" s="17">
        <v>44114</v>
      </c>
      <c r="BZ12" s="18"/>
      <c r="CA12" s="18"/>
      <c r="CB12" s="18"/>
      <c r="CC12" s="18" t="s">
        <v>5088</v>
      </c>
      <c r="CD12" s="14" t="s">
        <v>5089</v>
      </c>
      <c r="CE12" s="17">
        <v>43914</v>
      </c>
      <c r="CF12" s="16"/>
      <c r="CG12" s="17"/>
      <c r="CH12" s="16"/>
      <c r="CI12" s="17"/>
      <c r="CJ12" s="16"/>
      <c r="CK12" s="17"/>
      <c r="CL12" s="16"/>
      <c r="CM12" s="17"/>
      <c r="CN12" s="19">
        <v>11.412527045455226</v>
      </c>
      <c r="CO12" s="19"/>
      <c r="CP12" s="17"/>
      <c r="CQ12" s="14" t="s">
        <v>5090</v>
      </c>
      <c r="CR12" s="14" t="s">
        <v>5091</v>
      </c>
      <c r="CS12" s="14" t="s">
        <v>5004</v>
      </c>
    </row>
    <row r="13" spans="1:97" ht="26.15" customHeight="1">
      <c r="A13" s="2">
        <v>268</v>
      </c>
      <c r="B13" s="25" t="s">
        <v>1171</v>
      </c>
      <c r="C13" s="25" t="str">
        <f>VLOOKUP(B13, Sheet6!$A$1:$B$77, 2, FALSE)</f>
        <v>Yes</v>
      </c>
      <c r="D13" s="25" t="s">
        <v>1172</v>
      </c>
      <c r="E13" s="25" t="s">
        <v>1175</v>
      </c>
      <c r="F13" s="25" t="s">
        <v>8395</v>
      </c>
      <c r="G13" s="25" t="s">
        <v>10955</v>
      </c>
      <c r="H13" s="25" t="s">
        <v>10959</v>
      </c>
      <c r="I13" s="25" t="s">
        <v>10958</v>
      </c>
      <c r="J13" s="26" t="s">
        <v>10842</v>
      </c>
      <c r="L13" s="13">
        <v>2020</v>
      </c>
      <c r="M13" s="14" t="s">
        <v>5038</v>
      </c>
      <c r="N13" s="14" t="s">
        <v>5039</v>
      </c>
      <c r="O13" s="14" t="s">
        <v>3994</v>
      </c>
      <c r="P13" s="15" t="s">
        <v>3117</v>
      </c>
      <c r="Q13" s="16">
        <v>150000</v>
      </c>
      <c r="R13" s="17">
        <v>43922</v>
      </c>
      <c r="S13" s="16" t="s">
        <v>5105</v>
      </c>
      <c r="T13" s="16">
        <v>150000</v>
      </c>
      <c r="U13" s="14" t="s">
        <v>34</v>
      </c>
      <c r="V13" s="13">
        <v>4</v>
      </c>
      <c r="W13" s="17">
        <v>43991</v>
      </c>
      <c r="X13" s="14"/>
      <c r="Y13" s="17"/>
      <c r="Z13" s="17"/>
      <c r="AA13" s="14" t="s">
        <v>5106</v>
      </c>
      <c r="AB13" s="14" t="s">
        <v>5107</v>
      </c>
      <c r="AC13" s="14" t="s">
        <v>5108</v>
      </c>
      <c r="AD13" s="20" t="str">
        <f t="shared" si="1"/>
        <v>Online Grocery &gt; B2B Ecommerce &gt; Surplus Products
Crop Tech &gt; ECommerce &gt; Farm Produce &gt; B2B &gt; Fruits and Vegetables &gt; E Distributor &gt; Ugly Produce
Y Combinator Batches &gt; 2020 &gt; Winter</v>
      </c>
      <c r="AE13" s="20" t="str">
        <f t="shared" si="2"/>
        <v>Online Grocery</v>
      </c>
      <c r="AF13" s="20" t="str">
        <f t="shared" si="0"/>
        <v>B2B Ecommerce</v>
      </c>
      <c r="AG13" s="20" t="str">
        <f t="shared" si="0"/>
        <v>Surplus Products
Crop Tech</v>
      </c>
      <c r="AH13" s="20" t="str">
        <f t="shared" si="0"/>
        <v>ECommerce</v>
      </c>
      <c r="AI13" s="20" t="str">
        <f t="shared" si="0"/>
        <v>Farm Produce</v>
      </c>
      <c r="AJ13" s="20" t="str">
        <f t="shared" si="0"/>
        <v>B2B</v>
      </c>
      <c r="AK13" s="20" t="str">
        <f t="shared" si="0"/>
        <v>Fruits and Vegetables</v>
      </c>
      <c r="AL13" s="14" t="s">
        <v>480</v>
      </c>
      <c r="AM13" s="14"/>
      <c r="AO13" s="14"/>
      <c r="AP13" s="14" t="s">
        <v>3994</v>
      </c>
      <c r="AQ13" s="14" t="s">
        <v>5110</v>
      </c>
      <c r="AR13" s="14" t="s">
        <v>5111</v>
      </c>
      <c r="AS13" s="14" t="s">
        <v>5112</v>
      </c>
      <c r="AT13" s="14" t="s">
        <v>5113</v>
      </c>
      <c r="AU13" s="14" t="s">
        <v>5114</v>
      </c>
      <c r="AV13" s="18"/>
      <c r="AW13" s="16"/>
      <c r="AX13" s="17"/>
      <c r="AY13" s="15" t="s">
        <v>3123</v>
      </c>
      <c r="AZ13" s="17"/>
      <c r="BA13" s="16"/>
      <c r="BB13" s="14"/>
      <c r="BC13" s="14"/>
      <c r="BD13" s="15" t="s">
        <v>3123</v>
      </c>
      <c r="BE13" s="14"/>
      <c r="BF13" s="17"/>
      <c r="BG13" s="16"/>
      <c r="BH13" s="14"/>
      <c r="BI13" s="15" t="s">
        <v>3123</v>
      </c>
      <c r="BJ13" s="14"/>
      <c r="BK13" s="17"/>
      <c r="BL13" s="16"/>
      <c r="BM13" s="16"/>
      <c r="BN13" s="16"/>
      <c r="BO13" s="16"/>
      <c r="BP13" s="15" t="s">
        <v>3123</v>
      </c>
      <c r="BQ13" s="17"/>
      <c r="BR13" s="14"/>
      <c r="BS13" s="14"/>
      <c r="BT13" s="16"/>
      <c r="BU13" s="16"/>
      <c r="BV13" s="13"/>
      <c r="BW13" s="18" t="s">
        <v>5115</v>
      </c>
      <c r="BX13" s="13">
        <v>200</v>
      </c>
      <c r="BY13" s="17">
        <v>44114</v>
      </c>
      <c r="BZ13" s="18"/>
      <c r="CA13" s="18"/>
      <c r="CB13" s="18"/>
      <c r="CC13" s="18"/>
      <c r="CD13" s="14" t="s">
        <v>5116</v>
      </c>
      <c r="CE13" s="17">
        <v>43986</v>
      </c>
      <c r="CF13" s="16"/>
      <c r="CG13" s="17"/>
      <c r="CH13" s="16"/>
      <c r="CI13" s="17"/>
      <c r="CJ13" s="16"/>
      <c r="CK13" s="17"/>
      <c r="CL13" s="16"/>
      <c r="CM13" s="17"/>
      <c r="CN13" s="19">
        <v>25.942398561115258</v>
      </c>
      <c r="CO13" s="19"/>
      <c r="CP13" s="17"/>
      <c r="CQ13" s="14" t="s">
        <v>5104</v>
      </c>
      <c r="CR13" s="14" t="s">
        <v>5117</v>
      </c>
      <c r="CS13" s="14" t="s">
        <v>5004</v>
      </c>
    </row>
    <row r="14" spans="1:97" ht="26.15" customHeight="1">
      <c r="A14" s="2">
        <v>445</v>
      </c>
      <c r="B14" s="25" t="s">
        <v>2612</v>
      </c>
      <c r="C14" s="25" t="str">
        <f>VLOOKUP(B14, Sheet6!$A$1:$B$77, 2, FALSE)</f>
        <v>Yes</v>
      </c>
      <c r="D14" s="25" t="s">
        <v>2613</v>
      </c>
      <c r="E14" s="25" t="s">
        <v>2615</v>
      </c>
      <c r="F14" s="25" t="s">
        <v>9590</v>
      </c>
      <c r="G14" s="25" t="s">
        <v>10952</v>
      </c>
      <c r="H14" s="25" t="s">
        <v>10558</v>
      </c>
      <c r="I14" s="25" t="s">
        <v>10558</v>
      </c>
      <c r="J14" s="25" t="s">
        <v>10517</v>
      </c>
      <c r="L14" s="13">
        <v>2017</v>
      </c>
      <c r="M14" s="14" t="s">
        <v>5132</v>
      </c>
      <c r="N14" s="14" t="s">
        <v>5133</v>
      </c>
      <c r="O14" s="14" t="s">
        <v>3994</v>
      </c>
      <c r="P14" s="15" t="s">
        <v>3117</v>
      </c>
      <c r="Q14" s="16">
        <v>1101687</v>
      </c>
      <c r="R14" s="17">
        <v>43726</v>
      </c>
      <c r="S14" s="16" t="s">
        <v>5134</v>
      </c>
      <c r="T14" s="16">
        <v>1073840</v>
      </c>
      <c r="U14" s="14" t="s">
        <v>34</v>
      </c>
      <c r="V14" s="13">
        <v>4</v>
      </c>
      <c r="W14" s="17">
        <v>44022</v>
      </c>
      <c r="X14" s="14"/>
      <c r="Y14" s="17"/>
      <c r="Z14" s="17"/>
      <c r="AA14" s="14" t="s">
        <v>1</v>
      </c>
      <c r="AB14" s="14" t="s">
        <v>5135</v>
      </c>
      <c r="AC14" s="14" t="s">
        <v>5136</v>
      </c>
      <c r="AD14" s="20" t="str">
        <f t="shared" si="1"/>
        <v>Aquaculture Tech &gt; Farm Intelligence</v>
      </c>
      <c r="AE14" s="20" t="str">
        <f t="shared" si="2"/>
        <v>Aquaculture Tech</v>
      </c>
      <c r="AF14" s="20" t="str">
        <f t="shared" si="0"/>
        <v>Farm Intelligence</v>
      </c>
      <c r="AG14" s="20" t="str">
        <f t="shared" si="0"/>
        <v/>
      </c>
      <c r="AH14" s="20" t="str">
        <f t="shared" si="0"/>
        <v/>
      </c>
      <c r="AI14" s="20" t="str">
        <f t="shared" si="0"/>
        <v/>
      </c>
      <c r="AJ14" s="20" t="str">
        <f t="shared" si="0"/>
        <v/>
      </c>
      <c r="AK14" s="20" t="str">
        <f t="shared" si="0"/>
        <v/>
      </c>
      <c r="AL14" s="14" t="s">
        <v>5137</v>
      </c>
      <c r="AM14" s="14"/>
      <c r="AO14" s="14"/>
      <c r="AP14" s="14" t="s">
        <v>3994</v>
      </c>
      <c r="AQ14" s="14" t="s">
        <v>5139</v>
      </c>
      <c r="AR14" s="14" t="s">
        <v>5140</v>
      </c>
      <c r="AS14" s="14" t="s">
        <v>5141</v>
      </c>
      <c r="AT14" s="14" t="s">
        <v>5142</v>
      </c>
      <c r="AU14" s="14" t="s">
        <v>5143</v>
      </c>
      <c r="AV14" s="18"/>
      <c r="AW14" s="16">
        <v>204300</v>
      </c>
      <c r="AX14" s="17">
        <v>43465</v>
      </c>
      <c r="AY14" s="15" t="s">
        <v>3123</v>
      </c>
      <c r="AZ14" s="17"/>
      <c r="BA14" s="16"/>
      <c r="BB14" s="14"/>
      <c r="BC14" s="14"/>
      <c r="BD14" s="15" t="s">
        <v>3123</v>
      </c>
      <c r="BE14" s="14"/>
      <c r="BF14" s="17"/>
      <c r="BG14" s="16"/>
      <c r="BH14" s="14"/>
      <c r="BI14" s="15" t="s">
        <v>3123</v>
      </c>
      <c r="BJ14" s="14"/>
      <c r="BK14" s="17"/>
      <c r="BL14" s="16"/>
      <c r="BM14" s="16"/>
      <c r="BN14" s="16"/>
      <c r="BO14" s="16"/>
      <c r="BP14" s="15" t="s">
        <v>3123</v>
      </c>
      <c r="BQ14" s="17"/>
      <c r="BR14" s="14" t="s">
        <v>808</v>
      </c>
      <c r="BS14" s="14"/>
      <c r="BT14" s="16"/>
      <c r="BU14" s="16"/>
      <c r="BV14" s="13"/>
      <c r="BW14" s="18" t="s">
        <v>5144</v>
      </c>
      <c r="BX14" s="13">
        <v>200</v>
      </c>
      <c r="BY14" s="17">
        <v>44113</v>
      </c>
      <c r="BZ14" s="18" t="s">
        <v>5145</v>
      </c>
      <c r="CA14" s="18" t="s">
        <v>5146</v>
      </c>
      <c r="CB14" s="18" t="s">
        <v>5147</v>
      </c>
      <c r="CC14" s="18"/>
      <c r="CD14" s="14" t="s">
        <v>5148</v>
      </c>
      <c r="CE14" s="17">
        <v>43860</v>
      </c>
      <c r="CF14" s="16">
        <v>-23400</v>
      </c>
      <c r="CG14" s="17">
        <v>43465</v>
      </c>
      <c r="CH14" s="16">
        <v>-29200</v>
      </c>
      <c r="CI14" s="17">
        <v>43465</v>
      </c>
      <c r="CJ14" s="16">
        <v>6000000</v>
      </c>
      <c r="CK14" s="17">
        <v>43726</v>
      </c>
      <c r="CL14" s="16">
        <v>40</v>
      </c>
      <c r="CM14" s="17">
        <v>44012</v>
      </c>
      <c r="CN14" s="19">
        <v>46.719727620376027</v>
      </c>
      <c r="CO14" s="19"/>
      <c r="CP14" s="17"/>
      <c r="CQ14" s="14" t="s">
        <v>5149</v>
      </c>
      <c r="CR14" s="14" t="s">
        <v>5150</v>
      </c>
      <c r="CS14" s="14" t="s">
        <v>5004</v>
      </c>
    </row>
    <row r="15" spans="1:97" ht="26.15" customHeight="1">
      <c r="A15" s="2">
        <v>158</v>
      </c>
      <c r="B15" s="25" t="s">
        <v>385</v>
      </c>
      <c r="C15" s="25" t="str">
        <f>VLOOKUP(B15, Sheet6!$A$1:$B$77, 2, FALSE)</f>
        <v>Yes</v>
      </c>
      <c r="D15" s="25" t="s">
        <v>386</v>
      </c>
      <c r="E15" s="25" t="s">
        <v>389</v>
      </c>
      <c r="F15" s="25" t="s">
        <v>7033</v>
      </c>
      <c r="G15" s="25" t="s">
        <v>10953</v>
      </c>
      <c r="H15" s="25" t="s">
        <v>10959</v>
      </c>
      <c r="I15" s="25" t="s">
        <v>10958</v>
      </c>
      <c r="J15" s="26" t="s">
        <v>10852</v>
      </c>
      <c r="L15" s="13">
        <v>2016</v>
      </c>
      <c r="M15" s="14" t="s">
        <v>5151</v>
      </c>
      <c r="N15" s="14" t="s">
        <v>5152</v>
      </c>
      <c r="O15" s="14" t="s">
        <v>2057</v>
      </c>
      <c r="P15" s="15" t="s">
        <v>3117</v>
      </c>
      <c r="Q15" s="16"/>
      <c r="R15" s="17">
        <v>43872</v>
      </c>
      <c r="S15" s="16"/>
      <c r="T15" s="16" t="s">
        <v>50</v>
      </c>
      <c r="U15" s="14" t="s">
        <v>34</v>
      </c>
      <c r="V15" s="13">
        <v>3</v>
      </c>
      <c r="W15" s="17">
        <v>43900</v>
      </c>
      <c r="X15" s="14"/>
      <c r="Y15" s="17"/>
      <c r="Z15" s="17"/>
      <c r="AA15" s="14" t="s">
        <v>5153</v>
      </c>
      <c r="AB15" s="14" t="s">
        <v>5154</v>
      </c>
      <c r="AC15" s="14" t="s">
        <v>5155</v>
      </c>
      <c r="AD15" s="20" t="str">
        <f t="shared" si="1"/>
        <v>Internet of Things Infrastructure &gt; IoT Chips &gt; Communication Modules
Livestock Tech &gt; End-to-End Livestock Farm Automation
Crop Tech &gt; Autonomous Farming &gt; Diversified</v>
      </c>
      <c r="AE15" s="20" t="str">
        <f t="shared" si="2"/>
        <v>Internet of Things Infrastructure</v>
      </c>
      <c r="AF15" s="20" t="str">
        <f t="shared" si="0"/>
        <v>IoT Chips</v>
      </c>
      <c r="AG15" s="20" t="str">
        <f t="shared" si="0"/>
        <v>Communication Modules
Livestock Tech</v>
      </c>
      <c r="AH15" s="20" t="str">
        <f t="shared" si="0"/>
        <v>End-to-End Livestock Farm Automation
Crop Tech</v>
      </c>
      <c r="AI15" s="20" t="str">
        <f t="shared" si="0"/>
        <v>Autonomous Farming</v>
      </c>
      <c r="AJ15" s="20" t="str">
        <f t="shared" si="0"/>
        <v>Diversified</v>
      </c>
      <c r="AK15" s="20" t="str">
        <f t="shared" si="0"/>
        <v/>
      </c>
      <c r="AL15" s="14"/>
      <c r="AM15" s="14"/>
      <c r="AO15" s="14"/>
      <c r="AP15" s="14" t="s">
        <v>2057</v>
      </c>
      <c r="AQ15" s="14" t="s">
        <v>5157</v>
      </c>
      <c r="AR15" s="14" t="s">
        <v>5158</v>
      </c>
      <c r="AS15" s="14"/>
      <c r="AT15" s="14"/>
      <c r="AU15" s="14"/>
      <c r="AV15" s="18"/>
      <c r="AW15" s="16"/>
      <c r="AX15" s="17"/>
      <c r="AY15" s="15" t="s">
        <v>3123</v>
      </c>
      <c r="AZ15" s="17"/>
      <c r="BA15" s="16"/>
      <c r="BB15" s="14"/>
      <c r="BC15" s="14"/>
      <c r="BD15" s="15" t="s">
        <v>3123</v>
      </c>
      <c r="BE15" s="14"/>
      <c r="BF15" s="17"/>
      <c r="BG15" s="16"/>
      <c r="BH15" s="14"/>
      <c r="BI15" s="15" t="s">
        <v>3123</v>
      </c>
      <c r="BJ15" s="14"/>
      <c r="BK15" s="17"/>
      <c r="BL15" s="16"/>
      <c r="BM15" s="16"/>
      <c r="BN15" s="16"/>
      <c r="BO15" s="16"/>
      <c r="BP15" s="15" t="s">
        <v>3123</v>
      </c>
      <c r="BQ15" s="17"/>
      <c r="BR15" s="14"/>
      <c r="BS15" s="14"/>
      <c r="BT15" s="16"/>
      <c r="BU15" s="16"/>
      <c r="BV15" s="13"/>
      <c r="BW15" s="18" t="s">
        <v>5159</v>
      </c>
      <c r="BX15" s="13">
        <v>200</v>
      </c>
      <c r="BY15" s="17">
        <v>44114</v>
      </c>
      <c r="BZ15" s="18"/>
      <c r="CA15" s="18"/>
      <c r="CB15" s="18"/>
      <c r="CC15" s="18"/>
      <c r="CD15" s="14" t="s">
        <v>5160</v>
      </c>
      <c r="CE15" s="17">
        <v>43895</v>
      </c>
      <c r="CF15" s="16"/>
      <c r="CG15" s="17"/>
      <c r="CH15" s="16"/>
      <c r="CI15" s="17"/>
      <c r="CJ15" s="16"/>
      <c r="CK15" s="17"/>
      <c r="CL15" s="16"/>
      <c r="CM15" s="17"/>
      <c r="CN15" s="19">
        <v>10.73524412983347</v>
      </c>
      <c r="CO15" s="19"/>
      <c r="CP15" s="17"/>
      <c r="CQ15" s="14" t="s">
        <v>5161</v>
      </c>
      <c r="CR15" s="14" t="s">
        <v>5162</v>
      </c>
      <c r="CS15" s="14" t="s">
        <v>5004</v>
      </c>
    </row>
    <row r="16" spans="1:97" ht="26.15" customHeight="1">
      <c r="A16" s="2">
        <v>208</v>
      </c>
      <c r="B16" s="25" t="s">
        <v>203</v>
      </c>
      <c r="C16" s="25" t="str">
        <f>VLOOKUP(B16, Sheet6!$A$1:$B$77, 2, FALSE)</f>
        <v>Yes</v>
      </c>
      <c r="D16" s="25" t="s">
        <v>204</v>
      </c>
      <c r="E16" s="25" t="s">
        <v>208</v>
      </c>
      <c r="F16" s="25" t="s">
        <v>7631</v>
      </c>
      <c r="G16" s="25" t="s">
        <v>10954</v>
      </c>
      <c r="H16" s="25" t="s">
        <v>10959</v>
      </c>
      <c r="I16" s="25" t="s">
        <v>10958</v>
      </c>
      <c r="J16" s="26" t="s">
        <v>10842</v>
      </c>
      <c r="L16" s="13">
        <v>2016</v>
      </c>
      <c r="M16" s="14" t="s">
        <v>5181</v>
      </c>
      <c r="N16" s="14" t="s">
        <v>5182</v>
      </c>
      <c r="O16" s="14" t="s">
        <v>2057</v>
      </c>
      <c r="P16" s="15" t="s">
        <v>3117</v>
      </c>
      <c r="Q16" s="16">
        <v>2854850</v>
      </c>
      <c r="R16" s="17">
        <v>44043</v>
      </c>
      <c r="S16" s="16" t="s">
        <v>5069</v>
      </c>
      <c r="T16" s="16">
        <v>2854850</v>
      </c>
      <c r="U16" s="14" t="s">
        <v>34</v>
      </c>
      <c r="V16" s="13">
        <v>4</v>
      </c>
      <c r="W16" s="17">
        <v>44054</v>
      </c>
      <c r="X16" s="14"/>
      <c r="Y16" s="17"/>
      <c r="Z16" s="17"/>
      <c r="AA16" s="14" t="s">
        <v>1</v>
      </c>
      <c r="AB16" s="14" t="s">
        <v>5007</v>
      </c>
      <c r="AC16" s="14" t="s">
        <v>5183</v>
      </c>
      <c r="AD16" s="20" t="str">
        <f t="shared" si="1"/>
        <v>Crop Tech &gt; ECommerce &gt; Farm Produce &gt; B2C &gt; Fruits and Vegetables &gt; Retailer</v>
      </c>
      <c r="AE16" s="20" t="str">
        <f t="shared" si="2"/>
        <v>Crop Tech</v>
      </c>
      <c r="AF16" s="20" t="str">
        <f t="shared" si="0"/>
        <v>ECommerce</v>
      </c>
      <c r="AG16" s="20" t="str">
        <f t="shared" si="0"/>
        <v>Farm Produce</v>
      </c>
      <c r="AH16" s="20" t="str">
        <f t="shared" si="0"/>
        <v>B2C</v>
      </c>
      <c r="AI16" s="20" t="str">
        <f t="shared" si="0"/>
        <v>Fruits and Vegetables</v>
      </c>
      <c r="AJ16" s="20" t="str">
        <f t="shared" si="0"/>
        <v>Retailer</v>
      </c>
      <c r="AK16" s="20" t="str">
        <f t="shared" si="0"/>
        <v/>
      </c>
      <c r="AL16" s="14"/>
      <c r="AM16" s="14"/>
      <c r="AO16" s="14"/>
      <c r="AP16" s="14" t="s">
        <v>2057</v>
      </c>
      <c r="AQ16" s="14" t="s">
        <v>5185</v>
      </c>
      <c r="AR16" s="14" t="s">
        <v>5186</v>
      </c>
      <c r="AS16" s="14"/>
      <c r="AT16" s="14"/>
      <c r="AU16" s="14"/>
      <c r="AV16" s="18"/>
      <c r="AW16" s="16"/>
      <c r="AX16" s="17"/>
      <c r="AY16" s="15" t="s">
        <v>3123</v>
      </c>
      <c r="AZ16" s="17"/>
      <c r="BA16" s="16"/>
      <c r="BB16" s="14"/>
      <c r="BC16" s="14"/>
      <c r="BD16" s="15" t="s">
        <v>3123</v>
      </c>
      <c r="BE16" s="14"/>
      <c r="BF16" s="17"/>
      <c r="BG16" s="16"/>
      <c r="BH16" s="14"/>
      <c r="BI16" s="15" t="s">
        <v>3123</v>
      </c>
      <c r="BJ16" s="14"/>
      <c r="BK16" s="17"/>
      <c r="BL16" s="16"/>
      <c r="BM16" s="16"/>
      <c r="BN16" s="16"/>
      <c r="BO16" s="16"/>
      <c r="BP16" s="15" t="s">
        <v>3123</v>
      </c>
      <c r="BQ16" s="17"/>
      <c r="BR16" s="14"/>
      <c r="BS16" s="14"/>
      <c r="BT16" s="16"/>
      <c r="BU16" s="16"/>
      <c r="BV16" s="13"/>
      <c r="BW16" s="18" t="s">
        <v>5187</v>
      </c>
      <c r="BX16" s="13">
        <v>-1</v>
      </c>
      <c r="BY16" s="17">
        <v>44114</v>
      </c>
      <c r="BZ16" s="18"/>
      <c r="CA16" s="18"/>
      <c r="CB16" s="18"/>
      <c r="CC16" s="18"/>
      <c r="CD16" s="14" t="s">
        <v>5188</v>
      </c>
      <c r="CE16" s="17">
        <v>44048</v>
      </c>
      <c r="CF16" s="16"/>
      <c r="CG16" s="17"/>
      <c r="CH16" s="16"/>
      <c r="CI16" s="17"/>
      <c r="CJ16" s="16"/>
      <c r="CK16" s="17"/>
      <c r="CL16" s="16"/>
      <c r="CM16" s="17"/>
      <c r="CN16" s="19">
        <v>23.401487615978247</v>
      </c>
      <c r="CO16" s="19"/>
      <c r="CP16" s="17"/>
      <c r="CQ16" s="14" t="s">
        <v>5082</v>
      </c>
      <c r="CR16" s="14" t="s">
        <v>5083</v>
      </c>
      <c r="CS16" s="14" t="s">
        <v>5004</v>
      </c>
    </row>
    <row r="17" spans="1:97" ht="26.15" customHeight="1">
      <c r="A17" s="2">
        <v>434</v>
      </c>
      <c r="B17" s="25" t="s">
        <v>2185</v>
      </c>
      <c r="C17" s="25" t="str">
        <f>VLOOKUP(B17, Sheet6!$A$1:$B$77, 2, FALSE)</f>
        <v>Yes</v>
      </c>
      <c r="D17" s="25" t="s">
        <v>2186</v>
      </c>
      <c r="E17" s="25" t="s">
        <v>2187</v>
      </c>
      <c r="F17" s="25" t="s">
        <v>9533</v>
      </c>
      <c r="G17" s="25" t="s">
        <v>10955</v>
      </c>
      <c r="H17" s="25" t="s">
        <v>10957</v>
      </c>
      <c r="I17" s="25" t="s">
        <v>10558</v>
      </c>
      <c r="J17" s="25" t="s">
        <v>10842</v>
      </c>
      <c r="L17" s="13">
        <v>2017</v>
      </c>
      <c r="M17" s="14" t="s">
        <v>5206</v>
      </c>
      <c r="N17" s="14" t="s">
        <v>5207</v>
      </c>
      <c r="O17" s="14" t="s">
        <v>5208</v>
      </c>
      <c r="P17" s="15" t="s">
        <v>3117</v>
      </c>
      <c r="Q17" s="16">
        <v>714179</v>
      </c>
      <c r="R17" s="17">
        <v>43853</v>
      </c>
      <c r="S17" s="16" t="s">
        <v>5209</v>
      </c>
      <c r="T17" s="16">
        <v>714179</v>
      </c>
      <c r="U17" s="14" t="s">
        <v>34</v>
      </c>
      <c r="V17" s="13">
        <v>3</v>
      </c>
      <c r="W17" s="17">
        <v>44025</v>
      </c>
      <c r="X17" s="14"/>
      <c r="Y17" s="17"/>
      <c r="Z17" s="17"/>
      <c r="AA17" s="14" t="s">
        <v>1</v>
      </c>
      <c r="AB17" s="14" t="s">
        <v>5007</v>
      </c>
      <c r="AC17" s="14" t="s">
        <v>5210</v>
      </c>
      <c r="AD17" s="20" t="str">
        <f t="shared" si="1"/>
        <v>Crop Tech &gt; Content Platforms &gt; Farming Advice &gt; Farmer to Farmer</v>
      </c>
      <c r="AE17" s="20" t="str">
        <f t="shared" si="2"/>
        <v>Crop Tech</v>
      </c>
      <c r="AF17" s="20" t="str">
        <f t="shared" si="0"/>
        <v>Content Platforms</v>
      </c>
      <c r="AG17" s="20" t="str">
        <f t="shared" si="0"/>
        <v>Farming Advice</v>
      </c>
      <c r="AH17" s="20" t="str">
        <f t="shared" si="0"/>
        <v>Farmer to Farmer</v>
      </c>
      <c r="AI17" s="20" t="str">
        <f t="shared" si="0"/>
        <v/>
      </c>
      <c r="AJ17" s="20" t="str">
        <f t="shared" si="0"/>
        <v/>
      </c>
      <c r="AK17" s="20" t="str">
        <f t="shared" si="0"/>
        <v/>
      </c>
      <c r="AL17" s="14" t="s">
        <v>583</v>
      </c>
      <c r="AM17" s="14"/>
      <c r="AO17" s="14"/>
      <c r="AP17" s="14" t="s">
        <v>5208</v>
      </c>
      <c r="AQ17" s="14" t="s">
        <v>5212</v>
      </c>
      <c r="AR17" s="14" t="s">
        <v>5213</v>
      </c>
      <c r="AS17" s="14" t="s">
        <v>5214</v>
      </c>
      <c r="AT17" s="14" t="s">
        <v>5215</v>
      </c>
      <c r="AU17" s="14" t="s">
        <v>5216</v>
      </c>
      <c r="AV17" s="18"/>
      <c r="AW17" s="16"/>
      <c r="AX17" s="17"/>
      <c r="AY17" s="15" t="s">
        <v>3123</v>
      </c>
      <c r="AZ17" s="17"/>
      <c r="BA17" s="16"/>
      <c r="BB17" s="14"/>
      <c r="BC17" s="14"/>
      <c r="BD17" s="15" t="s">
        <v>3123</v>
      </c>
      <c r="BE17" s="14"/>
      <c r="BF17" s="17"/>
      <c r="BG17" s="16"/>
      <c r="BH17" s="14"/>
      <c r="BI17" s="15" t="s">
        <v>3123</v>
      </c>
      <c r="BJ17" s="14"/>
      <c r="BK17" s="17"/>
      <c r="BL17" s="16"/>
      <c r="BM17" s="16"/>
      <c r="BN17" s="16"/>
      <c r="BO17" s="16"/>
      <c r="BP17" s="15" t="s">
        <v>3123</v>
      </c>
      <c r="BQ17" s="17"/>
      <c r="BR17" s="14"/>
      <c r="BS17" s="14"/>
      <c r="BT17" s="16"/>
      <c r="BU17" s="16"/>
      <c r="BV17" s="13"/>
      <c r="BW17" s="18" t="s">
        <v>5217</v>
      </c>
      <c r="BX17" s="13">
        <v>200</v>
      </c>
      <c r="BY17" s="17">
        <v>44137</v>
      </c>
      <c r="BZ17" s="18" t="s">
        <v>5218</v>
      </c>
      <c r="CA17" s="18"/>
      <c r="CB17" s="18" t="s">
        <v>5219</v>
      </c>
      <c r="CC17" s="18" t="s">
        <v>5220</v>
      </c>
      <c r="CD17" s="14" t="s">
        <v>5221</v>
      </c>
      <c r="CE17" s="17">
        <v>43798</v>
      </c>
      <c r="CF17" s="16"/>
      <c r="CG17" s="17"/>
      <c r="CH17" s="16"/>
      <c r="CI17" s="17"/>
      <c r="CJ17" s="16"/>
      <c r="CK17" s="17"/>
      <c r="CL17" s="16"/>
      <c r="CM17" s="17"/>
      <c r="CN17" s="19">
        <v>31.580177396318611</v>
      </c>
      <c r="CO17" s="19"/>
      <c r="CP17" s="17"/>
      <c r="CQ17" s="14" t="s">
        <v>5082</v>
      </c>
      <c r="CR17" s="14" t="s">
        <v>5083</v>
      </c>
      <c r="CS17" s="14" t="s">
        <v>5004</v>
      </c>
    </row>
    <row r="18" spans="1:97" ht="26.15" customHeight="1">
      <c r="A18" s="2">
        <v>122</v>
      </c>
      <c r="B18" s="25" t="s">
        <v>1939</v>
      </c>
      <c r="C18" s="25" t="str">
        <f>VLOOKUP(B18, Sheet6!$A$1:$B$77, 2, FALSE)</f>
        <v>Yes</v>
      </c>
      <c r="D18" s="25" t="s">
        <v>1940</v>
      </c>
      <c r="E18" s="25" t="s">
        <v>1942</v>
      </c>
      <c r="F18" s="25" t="s">
        <v>6600</v>
      </c>
      <c r="G18" s="25" t="s">
        <v>10955</v>
      </c>
      <c r="H18" s="25" t="s">
        <v>10959</v>
      </c>
      <c r="I18" s="25" t="s">
        <v>10958</v>
      </c>
      <c r="J18" s="26" t="s">
        <v>10774</v>
      </c>
      <c r="L18" s="13">
        <v>2019</v>
      </c>
      <c r="M18" s="14" t="s">
        <v>5222</v>
      </c>
      <c r="N18" s="14" t="s">
        <v>5223</v>
      </c>
      <c r="O18" s="14" t="s">
        <v>3994</v>
      </c>
      <c r="P18" s="15" t="s">
        <v>3117</v>
      </c>
      <c r="Q18" s="16">
        <v>14591780</v>
      </c>
      <c r="R18" s="17">
        <v>43941</v>
      </c>
      <c r="S18" s="16" t="s">
        <v>5224</v>
      </c>
      <c r="T18" s="16">
        <v>12000000</v>
      </c>
      <c r="U18" s="14" t="s">
        <v>109</v>
      </c>
      <c r="V18" s="13">
        <v>4</v>
      </c>
      <c r="W18" s="17">
        <v>44014</v>
      </c>
      <c r="X18" s="14" t="s">
        <v>5052</v>
      </c>
      <c r="Y18" s="17">
        <v>44027</v>
      </c>
      <c r="Z18" s="17">
        <v>43941</v>
      </c>
      <c r="AA18" s="14" t="s">
        <v>5225</v>
      </c>
      <c r="AB18" s="14" t="s">
        <v>5226</v>
      </c>
      <c r="AC18" s="14" t="s">
        <v>5227</v>
      </c>
      <c r="AD18" s="20" t="str">
        <f t="shared" si="1"/>
        <v>B2B E-Commerce &gt; Food &amp; Beverages &gt; Groceries &gt; Farm Products &gt; Marketplace
Crop Tech &gt; ECommerce &gt; Farm Produce &gt; B2B &gt; Fruits and Vegetables &gt; Marketplace
Surge Batches &gt; 2019 &gt; Surge 02</v>
      </c>
      <c r="AE18" s="20" t="str">
        <f t="shared" si="2"/>
        <v>B2B E-Commerce</v>
      </c>
      <c r="AF18" s="20" t="str">
        <f t="shared" si="2"/>
        <v>Food &amp; Beverages</v>
      </c>
      <c r="AG18" s="20" t="str">
        <f t="shared" si="2"/>
        <v>Groceries</v>
      </c>
      <c r="AH18" s="20" t="str">
        <f t="shared" si="2"/>
        <v>Farm Products</v>
      </c>
      <c r="AI18" s="20" t="str">
        <f t="shared" si="2"/>
        <v>Marketplace
Crop Tech</v>
      </c>
      <c r="AJ18" s="20" t="str">
        <f t="shared" si="2"/>
        <v>ECommerce</v>
      </c>
      <c r="AK18" s="20" t="str">
        <f t="shared" si="2"/>
        <v>Farm Produce</v>
      </c>
      <c r="AL18" s="14" t="s">
        <v>5228</v>
      </c>
      <c r="AM18" s="14" t="s">
        <v>768</v>
      </c>
      <c r="AO18" s="14"/>
      <c r="AP18" s="14" t="s">
        <v>3994</v>
      </c>
      <c r="AQ18" s="14" t="s">
        <v>5230</v>
      </c>
      <c r="AR18" s="14" t="s">
        <v>5231</v>
      </c>
      <c r="AS18" s="14" t="s">
        <v>5232</v>
      </c>
      <c r="AT18" s="14" t="s">
        <v>5233</v>
      </c>
      <c r="AU18" s="14" t="s">
        <v>5234</v>
      </c>
      <c r="AV18" s="18"/>
      <c r="AW18" s="16"/>
      <c r="AX18" s="17"/>
      <c r="AY18" s="15" t="s">
        <v>3123</v>
      </c>
      <c r="AZ18" s="17"/>
      <c r="BA18" s="16"/>
      <c r="BB18" s="14"/>
      <c r="BC18" s="14"/>
      <c r="BD18" s="15" t="s">
        <v>3123</v>
      </c>
      <c r="BE18" s="14"/>
      <c r="BF18" s="17"/>
      <c r="BG18" s="16"/>
      <c r="BH18" s="14"/>
      <c r="BI18" s="15" t="s">
        <v>3123</v>
      </c>
      <c r="BJ18" s="14"/>
      <c r="BK18" s="17"/>
      <c r="BL18" s="16"/>
      <c r="BM18" s="16"/>
      <c r="BN18" s="16"/>
      <c r="BO18" s="16"/>
      <c r="BP18" s="15" t="s">
        <v>3123</v>
      </c>
      <c r="BQ18" s="17"/>
      <c r="BR18" s="14"/>
      <c r="BS18" s="14"/>
      <c r="BT18" s="16"/>
      <c r="BU18" s="16"/>
      <c r="BV18" s="13"/>
      <c r="BW18" s="18" t="s">
        <v>5235</v>
      </c>
      <c r="BX18" s="13">
        <v>200</v>
      </c>
      <c r="BY18" s="17">
        <v>44135</v>
      </c>
      <c r="BZ18" s="18" t="s">
        <v>5236</v>
      </c>
      <c r="CA18" s="18"/>
      <c r="CB18" s="18"/>
      <c r="CC18" s="18"/>
      <c r="CD18" s="14" t="s">
        <v>5237</v>
      </c>
      <c r="CE18" s="17">
        <v>43748</v>
      </c>
      <c r="CF18" s="16"/>
      <c r="CG18" s="17"/>
      <c r="CH18" s="16"/>
      <c r="CI18" s="17"/>
      <c r="CJ18" s="16">
        <v>81000000</v>
      </c>
      <c r="CK18" s="17">
        <v>43949</v>
      </c>
      <c r="CL18" s="16">
        <v>32</v>
      </c>
      <c r="CM18" s="17">
        <v>44012</v>
      </c>
      <c r="CN18" s="19">
        <v>52.177411754480069</v>
      </c>
      <c r="CO18" s="19"/>
      <c r="CP18" s="17"/>
      <c r="CQ18" s="14" t="s">
        <v>5002</v>
      </c>
      <c r="CR18" s="14" t="s">
        <v>5003</v>
      </c>
      <c r="CS18" s="14" t="s">
        <v>5004</v>
      </c>
    </row>
    <row r="19" spans="1:97" ht="26.15" customHeight="1">
      <c r="A19" s="2">
        <v>407</v>
      </c>
      <c r="B19" s="25" t="s">
        <v>2625</v>
      </c>
      <c r="C19" s="25" t="str">
        <f>VLOOKUP(B19, Sheet6!$A$1:$B$77, 2, FALSE)</f>
        <v>Yes</v>
      </c>
      <c r="D19" s="25" t="s">
        <v>2626</v>
      </c>
      <c r="E19" s="25" t="s">
        <v>2628</v>
      </c>
      <c r="F19" s="25" t="s">
        <v>9360</v>
      </c>
      <c r="G19" s="25" t="s">
        <v>10955</v>
      </c>
      <c r="H19" s="25" t="s">
        <v>10558</v>
      </c>
      <c r="I19" s="25" t="s">
        <v>10558</v>
      </c>
      <c r="J19" s="25" t="s">
        <v>10821</v>
      </c>
      <c r="L19" s="13">
        <v>2019</v>
      </c>
      <c r="M19" s="14" t="s">
        <v>5250</v>
      </c>
      <c r="N19" s="14" t="s">
        <v>5251</v>
      </c>
      <c r="O19" s="14" t="s">
        <v>3994</v>
      </c>
      <c r="P19" s="15" t="s">
        <v>3117</v>
      </c>
      <c r="Q19" s="16">
        <v>100085</v>
      </c>
      <c r="R19" s="17">
        <v>43835</v>
      </c>
      <c r="S19" s="16" t="s">
        <v>5252</v>
      </c>
      <c r="T19" s="16">
        <v>100085</v>
      </c>
      <c r="U19" s="14" t="s">
        <v>34</v>
      </c>
      <c r="V19" s="13">
        <v>4</v>
      </c>
      <c r="W19" s="17">
        <v>44067</v>
      </c>
      <c r="X19" s="14"/>
      <c r="Y19" s="17"/>
      <c r="Z19" s="17"/>
      <c r="AA19" s="14" t="s">
        <v>5253</v>
      </c>
      <c r="AB19" s="14" t="s">
        <v>5254</v>
      </c>
      <c r="AC19" s="14" t="s">
        <v>5255</v>
      </c>
      <c r="AD19" s="20" t="str">
        <f t="shared" si="1"/>
        <v>Drones &gt; Services &gt; Precision Agriculture
Crop Tech &gt; Farm Analytics &gt; Drones Based</v>
      </c>
      <c r="AE19" s="20" t="str">
        <f t="shared" si="2"/>
        <v>Drones</v>
      </c>
      <c r="AF19" s="20" t="str">
        <f t="shared" si="2"/>
        <v>Services</v>
      </c>
      <c r="AG19" s="20" t="str">
        <f t="shared" si="2"/>
        <v>Precision Agriculture
Crop Tech</v>
      </c>
      <c r="AH19" s="20" t="str">
        <f t="shared" si="2"/>
        <v>Farm Analytics</v>
      </c>
      <c r="AI19" s="20" t="str">
        <f t="shared" si="2"/>
        <v>Drones Based</v>
      </c>
      <c r="AJ19" s="20" t="str">
        <f t="shared" si="2"/>
        <v/>
      </c>
      <c r="AK19" s="20" t="str">
        <f t="shared" si="2"/>
        <v/>
      </c>
      <c r="AL19" s="14" t="s">
        <v>5256</v>
      </c>
      <c r="AM19" s="14" t="s">
        <v>598</v>
      </c>
      <c r="AO19" s="14"/>
      <c r="AP19" s="14" t="s">
        <v>3994</v>
      </c>
      <c r="AQ19" s="14" t="s">
        <v>5258</v>
      </c>
      <c r="AR19" s="14" t="s">
        <v>5259</v>
      </c>
      <c r="AS19" s="14" t="s">
        <v>5260</v>
      </c>
      <c r="AT19" s="14" t="s">
        <v>5261</v>
      </c>
      <c r="AU19" s="14" t="s">
        <v>5262</v>
      </c>
      <c r="AV19" s="18"/>
      <c r="AW19" s="16"/>
      <c r="AX19" s="17"/>
      <c r="AY19" s="15" t="s">
        <v>3123</v>
      </c>
      <c r="AZ19" s="17"/>
      <c r="BA19" s="16"/>
      <c r="BB19" s="14"/>
      <c r="BC19" s="14"/>
      <c r="BD19" s="15" t="s">
        <v>3123</v>
      </c>
      <c r="BE19" s="14"/>
      <c r="BF19" s="17"/>
      <c r="BG19" s="16"/>
      <c r="BH19" s="14"/>
      <c r="BI19" s="15" t="s">
        <v>3123</v>
      </c>
      <c r="BJ19" s="14"/>
      <c r="BK19" s="17"/>
      <c r="BL19" s="16"/>
      <c r="BM19" s="16"/>
      <c r="BN19" s="16"/>
      <c r="BO19" s="16"/>
      <c r="BP19" s="15" t="s">
        <v>3123</v>
      </c>
      <c r="BQ19" s="17"/>
      <c r="BR19" s="14"/>
      <c r="BS19" s="14"/>
      <c r="BT19" s="16"/>
      <c r="BU19" s="16"/>
      <c r="BV19" s="13"/>
      <c r="BW19" s="18" t="s">
        <v>5263</v>
      </c>
      <c r="BX19" s="13">
        <v>200</v>
      </c>
      <c r="BY19" s="17">
        <v>44136</v>
      </c>
      <c r="BZ19" s="18"/>
      <c r="CA19" s="18"/>
      <c r="CB19" s="18"/>
      <c r="CC19" s="18"/>
      <c r="CD19" s="14" t="s">
        <v>5264</v>
      </c>
      <c r="CE19" s="17">
        <v>43776</v>
      </c>
      <c r="CF19" s="16"/>
      <c r="CG19" s="17"/>
      <c r="CH19" s="16"/>
      <c r="CI19" s="17"/>
      <c r="CJ19" s="16"/>
      <c r="CK19" s="17"/>
      <c r="CL19" s="16"/>
      <c r="CM19" s="17"/>
      <c r="CN19" s="19">
        <v>22.897146754480914</v>
      </c>
      <c r="CO19" s="19"/>
      <c r="CP19" s="17"/>
      <c r="CQ19" s="14" t="s">
        <v>5265</v>
      </c>
      <c r="CR19" s="14" t="s">
        <v>5091</v>
      </c>
      <c r="CS19" s="14" t="s">
        <v>5004</v>
      </c>
    </row>
    <row r="20" spans="1:97" ht="26.15" customHeight="1">
      <c r="A20" s="2">
        <v>17</v>
      </c>
      <c r="B20" s="25" t="s">
        <v>419</v>
      </c>
      <c r="C20" s="25" t="str">
        <f>VLOOKUP(B20, Sheet6!$A$1:$B$77, 2, FALSE)</f>
        <v>Yes</v>
      </c>
      <c r="D20" s="25" t="s">
        <v>420</v>
      </c>
      <c r="E20" s="25" t="s">
        <v>423</v>
      </c>
      <c r="F20" s="25" t="s">
        <v>5229</v>
      </c>
      <c r="G20" s="25" t="s">
        <v>10955</v>
      </c>
      <c r="H20" s="25" t="s">
        <v>10957</v>
      </c>
      <c r="I20" s="25" t="s">
        <v>10958</v>
      </c>
      <c r="J20" s="26" t="s">
        <v>10821</v>
      </c>
      <c r="L20" s="13">
        <v>2019</v>
      </c>
      <c r="M20" s="14" t="s">
        <v>5266</v>
      </c>
      <c r="N20" s="14" t="s">
        <v>5267</v>
      </c>
      <c r="O20" s="14" t="s">
        <v>2057</v>
      </c>
      <c r="P20" s="15" t="s">
        <v>3117</v>
      </c>
      <c r="Q20" s="16">
        <v>1424460</v>
      </c>
      <c r="R20" s="17">
        <v>43783</v>
      </c>
      <c r="S20" s="16" t="s">
        <v>5134</v>
      </c>
      <c r="T20" s="16">
        <v>1424460</v>
      </c>
      <c r="U20" s="14" t="s">
        <v>34</v>
      </c>
      <c r="V20" s="13">
        <v>4</v>
      </c>
      <c r="W20" s="17">
        <v>43873</v>
      </c>
      <c r="X20" s="14"/>
      <c r="Y20" s="17"/>
      <c r="Z20" s="17"/>
      <c r="AA20" s="14" t="s">
        <v>4995</v>
      </c>
      <c r="AB20" s="14" t="s">
        <v>4996</v>
      </c>
      <c r="AC20" s="14" t="s">
        <v>5268</v>
      </c>
      <c r="AD20" s="20" t="str">
        <f t="shared" si="1"/>
        <v>Online Grocery &gt; B2B Ecommerce &gt; Farm Produce &gt; Eggs &gt; Marketplace
Livestock Tech &gt; ECommerce &gt; Farm Produce &gt; B2B &gt; Marketplace &gt; Eggs</v>
      </c>
      <c r="AE20" s="20" t="str">
        <f t="shared" si="2"/>
        <v>Online Grocery</v>
      </c>
      <c r="AF20" s="20" t="str">
        <f t="shared" si="2"/>
        <v>B2B Ecommerce</v>
      </c>
      <c r="AG20" s="20" t="str">
        <f t="shared" si="2"/>
        <v>Farm Produce</v>
      </c>
      <c r="AH20" s="20" t="str">
        <f t="shared" si="2"/>
        <v>Eggs</v>
      </c>
      <c r="AI20" s="20" t="str">
        <f t="shared" si="2"/>
        <v>Marketplace
Livestock Tech</v>
      </c>
      <c r="AJ20" s="20" t="str">
        <f t="shared" si="2"/>
        <v>ECommerce</v>
      </c>
      <c r="AK20" s="20" t="str">
        <f t="shared" si="2"/>
        <v>Farm Produce</v>
      </c>
      <c r="AL20" s="14" t="s">
        <v>676</v>
      </c>
      <c r="AM20" s="14"/>
      <c r="AO20" s="14"/>
      <c r="AP20" s="14" t="s">
        <v>2057</v>
      </c>
      <c r="AQ20" s="14" t="s">
        <v>5270</v>
      </c>
      <c r="AR20" s="14" t="s">
        <v>5271</v>
      </c>
      <c r="AS20" s="14" t="s">
        <v>5272</v>
      </c>
      <c r="AT20" s="14"/>
      <c r="AU20" s="14"/>
      <c r="AV20" s="18"/>
      <c r="AW20" s="16"/>
      <c r="AX20" s="17"/>
      <c r="AY20" s="15" t="s">
        <v>3123</v>
      </c>
      <c r="AZ20" s="17"/>
      <c r="BA20" s="16"/>
      <c r="BB20" s="14"/>
      <c r="BC20" s="14"/>
      <c r="BD20" s="15" t="s">
        <v>3123</v>
      </c>
      <c r="BE20" s="14"/>
      <c r="BF20" s="17"/>
      <c r="BG20" s="16"/>
      <c r="BH20" s="14"/>
      <c r="BI20" s="15" t="s">
        <v>3123</v>
      </c>
      <c r="BJ20" s="14"/>
      <c r="BK20" s="17"/>
      <c r="BL20" s="16"/>
      <c r="BM20" s="16"/>
      <c r="BN20" s="16"/>
      <c r="BO20" s="16"/>
      <c r="BP20" s="15" t="s">
        <v>3123</v>
      </c>
      <c r="BQ20" s="17"/>
      <c r="BR20" s="14"/>
      <c r="BS20" s="14"/>
      <c r="BT20" s="16"/>
      <c r="BU20" s="16"/>
      <c r="BV20" s="13"/>
      <c r="BW20" s="18" t="s">
        <v>5273</v>
      </c>
      <c r="BX20" s="13">
        <v>200</v>
      </c>
      <c r="BY20" s="17">
        <v>44136</v>
      </c>
      <c r="BZ20" s="18"/>
      <c r="CA20" s="18"/>
      <c r="CB20" s="18"/>
      <c r="CC20" s="18"/>
      <c r="CD20" s="14" t="s">
        <v>5274</v>
      </c>
      <c r="CE20" s="17">
        <v>43802</v>
      </c>
      <c r="CF20" s="16"/>
      <c r="CG20" s="17"/>
      <c r="CH20" s="16"/>
      <c r="CI20" s="17"/>
      <c r="CJ20" s="16"/>
      <c r="CK20" s="17"/>
      <c r="CL20" s="16"/>
      <c r="CM20" s="17"/>
      <c r="CN20" s="19">
        <v>17.426802676878328</v>
      </c>
      <c r="CO20" s="19"/>
      <c r="CP20" s="17"/>
      <c r="CQ20" s="14" t="s">
        <v>5204</v>
      </c>
      <c r="CR20" s="14" t="s">
        <v>5205</v>
      </c>
      <c r="CS20" s="14" t="s">
        <v>5004</v>
      </c>
    </row>
    <row r="21" spans="1:97" ht="26.15" customHeight="1">
      <c r="A21" s="2">
        <v>24</v>
      </c>
      <c r="B21" s="25" t="s">
        <v>519</v>
      </c>
      <c r="C21" s="25" t="str">
        <f>VLOOKUP(B21, Sheet6!$A$1:$B$77, 2, FALSE)</f>
        <v>Yes</v>
      </c>
      <c r="D21" s="25" t="s">
        <v>520</v>
      </c>
      <c r="E21" s="25" t="s">
        <v>522</v>
      </c>
      <c r="F21" s="25" t="s">
        <v>5337</v>
      </c>
      <c r="G21" s="25" t="s">
        <v>10955</v>
      </c>
      <c r="H21" s="25" t="s">
        <v>10959</v>
      </c>
      <c r="I21" s="25" t="s">
        <v>10958</v>
      </c>
      <c r="J21" s="26" t="s">
        <v>10712</v>
      </c>
      <c r="L21" s="13">
        <v>2019</v>
      </c>
      <c r="M21" s="14" t="s">
        <v>5275</v>
      </c>
      <c r="N21" s="14" t="s">
        <v>5276</v>
      </c>
      <c r="O21" s="14" t="s">
        <v>5277</v>
      </c>
      <c r="P21" s="15" t="s">
        <v>3117</v>
      </c>
      <c r="Q21" s="16">
        <v>10000000</v>
      </c>
      <c r="R21" s="17">
        <v>43909</v>
      </c>
      <c r="S21" s="16" t="s">
        <v>5165</v>
      </c>
      <c r="T21" s="16">
        <v>10000000</v>
      </c>
      <c r="U21" s="14" t="s">
        <v>109</v>
      </c>
      <c r="V21" s="13">
        <v>5</v>
      </c>
      <c r="W21" s="17">
        <v>44032</v>
      </c>
      <c r="X21" s="14" t="s">
        <v>5052</v>
      </c>
      <c r="Y21" s="17">
        <v>43917</v>
      </c>
      <c r="Z21" s="17">
        <v>43910</v>
      </c>
      <c r="AA21" s="14" t="s">
        <v>5278</v>
      </c>
      <c r="AB21" s="14" t="s">
        <v>5279</v>
      </c>
      <c r="AC21" s="14" t="s">
        <v>5280</v>
      </c>
      <c r="AD21" s="20" t="str">
        <f t="shared" si="1"/>
        <v>Social Commerce &gt; Community Based Shopping Platforms &gt; Grocery &gt; Agent Communities
Online Grocery &gt; B2C Ecommerce &gt; Fruits and Vegetables &gt; Social Commerce &gt; Agent Based Communities
Crop Tech &gt; ECommerce &gt; Farm Produce &gt; B2C &gt; Fruits and Vegetables &gt; Social Commerce &gt; Community Farming &gt; Agent Based
Surge Batches &gt; 2019 &gt; Surge 02</v>
      </c>
      <c r="AE21" s="20" t="str">
        <f t="shared" si="2"/>
        <v>Social Commerce</v>
      </c>
      <c r="AF21" s="20" t="str">
        <f t="shared" si="2"/>
        <v>Community Based Shopping Platforms</v>
      </c>
      <c r="AG21" s="20" t="str">
        <f t="shared" si="2"/>
        <v>Grocery</v>
      </c>
      <c r="AH21" s="20" t="str">
        <f t="shared" si="2"/>
        <v>Agent Communities
Online Grocery</v>
      </c>
      <c r="AI21" s="20" t="str">
        <f t="shared" si="2"/>
        <v>B2C Ecommerce</v>
      </c>
      <c r="AJ21" s="20" t="str">
        <f t="shared" si="2"/>
        <v>Fruits and Vegetables</v>
      </c>
      <c r="AK21" s="20" t="str">
        <f t="shared" si="2"/>
        <v>Social Commerce</v>
      </c>
      <c r="AL21" s="14" t="s">
        <v>5281</v>
      </c>
      <c r="AM21" s="14"/>
      <c r="AO21" s="14"/>
      <c r="AP21" s="14" t="s">
        <v>5277</v>
      </c>
      <c r="AQ21" s="14" t="s">
        <v>5283</v>
      </c>
      <c r="AR21" s="14" t="s">
        <v>5284</v>
      </c>
      <c r="AS21" s="14" t="s">
        <v>5285</v>
      </c>
      <c r="AT21" s="14" t="s">
        <v>5286</v>
      </c>
      <c r="AU21" s="14" t="s">
        <v>5287</v>
      </c>
      <c r="AV21" s="18"/>
      <c r="AW21" s="16"/>
      <c r="AX21" s="17"/>
      <c r="AY21" s="15" t="s">
        <v>3123</v>
      </c>
      <c r="AZ21" s="17"/>
      <c r="BA21" s="16"/>
      <c r="BB21" s="14"/>
      <c r="BC21" s="14"/>
      <c r="BD21" s="15" t="s">
        <v>3123</v>
      </c>
      <c r="BE21" s="14"/>
      <c r="BF21" s="17"/>
      <c r="BG21" s="16"/>
      <c r="BH21" s="14"/>
      <c r="BI21" s="15" t="s">
        <v>3123</v>
      </c>
      <c r="BJ21" s="14"/>
      <c r="BK21" s="17"/>
      <c r="BL21" s="16"/>
      <c r="BM21" s="16"/>
      <c r="BN21" s="16"/>
      <c r="BO21" s="16"/>
      <c r="BP21" s="15" t="s">
        <v>3123</v>
      </c>
      <c r="BQ21" s="17"/>
      <c r="BR21" s="14"/>
      <c r="BS21" s="14"/>
      <c r="BT21" s="16"/>
      <c r="BU21" s="16"/>
      <c r="BV21" s="13"/>
      <c r="BW21" s="18" t="s">
        <v>5288</v>
      </c>
      <c r="BX21" s="13">
        <v>200</v>
      </c>
      <c r="BY21" s="17">
        <v>44136</v>
      </c>
      <c r="BZ21" s="18" t="s">
        <v>5289</v>
      </c>
      <c r="CA21" s="18"/>
      <c r="CB21" s="18" t="s">
        <v>5290</v>
      </c>
      <c r="CC21" s="18" t="s">
        <v>5291</v>
      </c>
      <c r="CD21" s="14" t="s">
        <v>5292</v>
      </c>
      <c r="CE21" s="17">
        <v>43747</v>
      </c>
      <c r="CF21" s="16"/>
      <c r="CG21" s="17"/>
      <c r="CH21" s="16"/>
      <c r="CI21" s="17"/>
      <c r="CJ21" s="16"/>
      <c r="CK21" s="17"/>
      <c r="CL21" s="16"/>
      <c r="CM21" s="17"/>
      <c r="CN21" s="19">
        <v>54.158641176005936</v>
      </c>
      <c r="CO21" s="19"/>
      <c r="CP21" s="17"/>
      <c r="CQ21" s="14" t="s">
        <v>5293</v>
      </c>
      <c r="CR21" s="14" t="s">
        <v>5294</v>
      </c>
      <c r="CS21" s="14" t="s">
        <v>5004</v>
      </c>
    </row>
    <row r="22" spans="1:97" ht="26.15" customHeight="1">
      <c r="A22" s="2">
        <v>535</v>
      </c>
      <c r="B22" s="25" t="s">
        <v>2966</v>
      </c>
      <c r="C22" s="25" t="str">
        <f>VLOOKUP(B22, Sheet6!$A$1:$B$77, 2, FALSE)</f>
        <v>Yes</v>
      </c>
      <c r="D22" s="25" t="s">
        <v>2967</v>
      </c>
      <c r="E22" s="25" t="s">
        <v>2969</v>
      </c>
      <c r="F22" s="25" t="s">
        <v>10294</v>
      </c>
      <c r="G22" s="25" t="s">
        <v>10955</v>
      </c>
      <c r="H22" s="25" t="s">
        <v>10558</v>
      </c>
      <c r="I22" s="25" t="s">
        <v>10558</v>
      </c>
      <c r="J22" s="25" t="s">
        <v>10709</v>
      </c>
      <c r="L22" s="13">
        <v>2018</v>
      </c>
      <c r="M22" s="14" t="s">
        <v>5295</v>
      </c>
      <c r="N22" s="14" t="s">
        <v>5296</v>
      </c>
      <c r="O22" s="14" t="s">
        <v>3994</v>
      </c>
      <c r="P22" s="15" t="s">
        <v>3117</v>
      </c>
      <c r="Q22" s="16"/>
      <c r="R22" s="17">
        <v>44018</v>
      </c>
      <c r="S22" s="16"/>
      <c r="T22" s="16" t="s">
        <v>50</v>
      </c>
      <c r="U22" s="14" t="s">
        <v>34</v>
      </c>
      <c r="V22" s="13">
        <v>4</v>
      </c>
      <c r="W22" s="17">
        <v>44131</v>
      </c>
      <c r="X22" s="14"/>
      <c r="Y22" s="17"/>
      <c r="Z22" s="17"/>
      <c r="AA22" s="14" t="s">
        <v>1</v>
      </c>
      <c r="AB22" s="14" t="s">
        <v>5084</v>
      </c>
      <c r="AC22" s="14" t="s">
        <v>5297</v>
      </c>
      <c r="AD22" s="20" t="str">
        <f t="shared" si="1"/>
        <v>Livestock Tech &gt; Health Management &gt; Health Monitoring &gt; Diversified</v>
      </c>
      <c r="AE22" s="20" t="str">
        <f t="shared" si="2"/>
        <v>Livestock Tech</v>
      </c>
      <c r="AF22" s="20" t="str">
        <f t="shared" si="2"/>
        <v>Health Management</v>
      </c>
      <c r="AG22" s="20" t="str">
        <f t="shared" si="2"/>
        <v>Health Monitoring</v>
      </c>
      <c r="AH22" s="20" t="str">
        <f t="shared" si="2"/>
        <v>Diversified</v>
      </c>
      <c r="AI22" s="20" t="str">
        <f t="shared" si="2"/>
        <v/>
      </c>
      <c r="AJ22" s="20" t="str">
        <f t="shared" si="2"/>
        <v/>
      </c>
      <c r="AK22" s="20" t="str">
        <f t="shared" si="2"/>
        <v/>
      </c>
      <c r="AL22" s="14" t="s">
        <v>5298</v>
      </c>
      <c r="AM22" s="14" t="s">
        <v>284</v>
      </c>
      <c r="AO22" s="14"/>
      <c r="AP22" s="14" t="s">
        <v>3994</v>
      </c>
      <c r="AQ22" s="14" t="s">
        <v>5300</v>
      </c>
      <c r="AR22" s="14" t="s">
        <v>5301</v>
      </c>
      <c r="AS22" s="14" t="s">
        <v>5302</v>
      </c>
      <c r="AT22" s="14" t="s">
        <v>5303</v>
      </c>
      <c r="AU22" s="14" t="s">
        <v>5304</v>
      </c>
      <c r="AV22" s="18"/>
      <c r="AW22" s="16"/>
      <c r="AX22" s="17"/>
      <c r="AY22" s="15" t="s">
        <v>3123</v>
      </c>
      <c r="AZ22" s="17"/>
      <c r="BA22" s="16"/>
      <c r="BB22" s="14"/>
      <c r="BC22" s="14"/>
      <c r="BD22" s="15" t="s">
        <v>3123</v>
      </c>
      <c r="BE22" s="14"/>
      <c r="BF22" s="17"/>
      <c r="BG22" s="16"/>
      <c r="BH22" s="14"/>
      <c r="BI22" s="15" t="s">
        <v>3123</v>
      </c>
      <c r="BJ22" s="14"/>
      <c r="BK22" s="17"/>
      <c r="BL22" s="16"/>
      <c r="BM22" s="16"/>
      <c r="BN22" s="16"/>
      <c r="BO22" s="16"/>
      <c r="BP22" s="15" t="s">
        <v>3123</v>
      </c>
      <c r="BQ22" s="17"/>
      <c r="BR22" s="14"/>
      <c r="BS22" s="14"/>
      <c r="BT22" s="16"/>
      <c r="BU22" s="16"/>
      <c r="BV22" s="13"/>
      <c r="BW22" s="18" t="s">
        <v>5305</v>
      </c>
      <c r="BX22" s="13">
        <v>200</v>
      </c>
      <c r="BY22" s="17">
        <v>44136</v>
      </c>
      <c r="BZ22" s="18" t="s">
        <v>5306</v>
      </c>
      <c r="CA22" s="18"/>
      <c r="CB22" s="18" t="s">
        <v>5307</v>
      </c>
      <c r="CC22" s="18"/>
      <c r="CD22" s="14" t="s">
        <v>5308</v>
      </c>
      <c r="CE22" s="17">
        <v>43560</v>
      </c>
      <c r="CF22" s="16"/>
      <c r="CG22" s="17"/>
      <c r="CH22" s="16"/>
      <c r="CI22" s="17"/>
      <c r="CJ22" s="16"/>
      <c r="CK22" s="17"/>
      <c r="CL22" s="16"/>
      <c r="CM22" s="17"/>
      <c r="CN22" s="19">
        <v>30.243512439847393</v>
      </c>
      <c r="CO22" s="19"/>
      <c r="CP22" s="17"/>
      <c r="CQ22" s="14" t="s">
        <v>5309</v>
      </c>
      <c r="CR22" s="14" t="s">
        <v>5310</v>
      </c>
      <c r="CS22" s="14" t="s">
        <v>5311</v>
      </c>
    </row>
    <row r="23" spans="1:97" s="53" customFormat="1" ht="26.15" customHeight="1">
      <c r="A23" s="2">
        <v>21</v>
      </c>
      <c r="B23" s="25" t="s">
        <v>493</v>
      </c>
      <c r="C23" s="25" t="str">
        <f>VLOOKUP(B23, Sheet6!$A$1:$B$77, 2, FALSE)</f>
        <v>Yes</v>
      </c>
      <c r="D23" s="25" t="s">
        <v>494</v>
      </c>
      <c r="E23" s="25" t="s">
        <v>498</v>
      </c>
      <c r="F23" s="25" t="s">
        <v>5282</v>
      </c>
      <c r="G23" s="25" t="s">
        <v>10955</v>
      </c>
      <c r="H23" s="25" t="s">
        <v>10957</v>
      </c>
      <c r="I23" s="25" t="s">
        <v>10958</v>
      </c>
      <c r="J23" s="26" t="s">
        <v>10821</v>
      </c>
      <c r="K23" s="256"/>
      <c r="L23" s="57">
        <v>1969</v>
      </c>
      <c r="M23" s="56" t="s">
        <v>5312</v>
      </c>
      <c r="N23" s="56" t="s">
        <v>5313</v>
      </c>
      <c r="O23" s="56" t="s">
        <v>3994</v>
      </c>
      <c r="P23" s="58" t="s">
        <v>3117</v>
      </c>
      <c r="Q23" s="59"/>
      <c r="R23" s="60">
        <v>43382</v>
      </c>
      <c r="S23" s="59"/>
      <c r="T23" s="59" t="s">
        <v>50</v>
      </c>
      <c r="U23" s="56" t="s">
        <v>5314</v>
      </c>
      <c r="V23" s="57">
        <v>4</v>
      </c>
      <c r="W23" s="60">
        <v>43971</v>
      </c>
      <c r="X23" s="56"/>
      <c r="Y23" s="60"/>
      <c r="Z23" s="60"/>
      <c r="AA23" s="56" t="s">
        <v>5315</v>
      </c>
      <c r="AB23" s="56" t="s">
        <v>5316</v>
      </c>
      <c r="AC23" s="56" t="s">
        <v>5317</v>
      </c>
      <c r="AD23" s="53" t="str">
        <f t="shared" si="1"/>
        <v>Crop Tech &gt; Farm Inputs &gt; Biologicals &gt; Crop Protection &gt; Plant Based
Chemicals Tech &gt; Green Chemicals &gt; Crop Protection &gt; Plant Based</v>
      </c>
      <c r="AE23" s="53" t="str">
        <f t="shared" si="2"/>
        <v>Crop Tech</v>
      </c>
      <c r="AF23" s="53" t="str">
        <f t="shared" si="2"/>
        <v>Farm Inputs</v>
      </c>
      <c r="AG23" s="53" t="str">
        <f t="shared" si="2"/>
        <v>Biologicals</v>
      </c>
      <c r="AH23" s="53" t="str">
        <f t="shared" si="2"/>
        <v>Crop Protection</v>
      </c>
      <c r="AI23" s="53" t="str">
        <f t="shared" si="2"/>
        <v>Plant Based
Chemicals Tech</v>
      </c>
      <c r="AJ23" s="53" t="str">
        <f t="shared" si="2"/>
        <v>Green Chemicals</v>
      </c>
      <c r="AK23" s="53" t="str">
        <f t="shared" si="2"/>
        <v>Crop Protection</v>
      </c>
      <c r="AL23" s="56"/>
      <c r="AM23" s="56"/>
      <c r="AO23" s="56"/>
      <c r="AP23" s="56" t="s">
        <v>5319</v>
      </c>
      <c r="AQ23" s="56" t="s">
        <v>5320</v>
      </c>
      <c r="AR23" s="56" t="s">
        <v>5321</v>
      </c>
      <c r="AS23" s="56" t="s">
        <v>5322</v>
      </c>
      <c r="AT23" s="56"/>
      <c r="AU23" s="56" t="s">
        <v>5323</v>
      </c>
      <c r="AV23" s="61"/>
      <c r="AW23" s="59"/>
      <c r="AX23" s="60"/>
      <c r="AY23" s="58" t="s">
        <v>3123</v>
      </c>
      <c r="AZ23" s="60"/>
      <c r="BA23" s="59"/>
      <c r="BB23" s="56"/>
      <c r="BC23" s="56" t="s">
        <v>5324</v>
      </c>
      <c r="BD23" s="58" t="s">
        <v>3123</v>
      </c>
      <c r="BE23" s="56"/>
      <c r="BF23" s="60"/>
      <c r="BG23" s="59"/>
      <c r="BH23" s="56"/>
      <c r="BI23" s="58" t="s">
        <v>3117</v>
      </c>
      <c r="BJ23" s="56" t="s">
        <v>5325</v>
      </c>
      <c r="BK23" s="60">
        <v>37442</v>
      </c>
      <c r="BL23" s="59"/>
      <c r="BM23" s="59"/>
      <c r="BN23" s="59"/>
      <c r="BO23" s="59"/>
      <c r="BP23" s="58" t="s">
        <v>3123</v>
      </c>
      <c r="BQ23" s="60"/>
      <c r="BR23" s="56"/>
      <c r="BS23" s="56"/>
      <c r="BT23" s="59"/>
      <c r="BU23" s="59"/>
      <c r="BV23" s="57"/>
      <c r="BW23" s="61" t="s">
        <v>5326</v>
      </c>
      <c r="BX23" s="57">
        <v>200</v>
      </c>
      <c r="BY23" s="60">
        <v>44134</v>
      </c>
      <c r="BZ23" s="61" t="s">
        <v>5327</v>
      </c>
      <c r="CA23" s="61" t="s">
        <v>5328</v>
      </c>
      <c r="CB23" s="61" t="s">
        <v>5329</v>
      </c>
      <c r="CC23" s="61"/>
      <c r="CD23" s="56" t="s">
        <v>5330</v>
      </c>
      <c r="CE23" s="60">
        <v>43686</v>
      </c>
      <c r="CF23" s="59"/>
      <c r="CG23" s="60"/>
      <c r="CH23" s="59"/>
      <c r="CI23" s="60"/>
      <c r="CJ23" s="59"/>
      <c r="CK23" s="60"/>
      <c r="CL23" s="59"/>
      <c r="CM23" s="60"/>
      <c r="CN23" s="62">
        <v>63.625062939826556</v>
      </c>
      <c r="CO23" s="62"/>
      <c r="CP23" s="60"/>
      <c r="CQ23" s="56" t="s">
        <v>5104</v>
      </c>
      <c r="CR23" s="56" t="s">
        <v>5037</v>
      </c>
      <c r="CS23" s="56" t="s">
        <v>5004</v>
      </c>
    </row>
    <row r="24" spans="1:97" ht="26.15" customHeight="1">
      <c r="A24" s="2">
        <v>8</v>
      </c>
      <c r="B24" s="25" t="s">
        <v>398</v>
      </c>
      <c r="C24" s="25" t="str">
        <f>VLOOKUP(B24, Sheet6!$A$1:$B$77, 2, FALSE)</f>
        <v>Yes</v>
      </c>
      <c r="D24" s="25" t="s">
        <v>399</v>
      </c>
      <c r="E24" s="25" t="s">
        <v>402</v>
      </c>
      <c r="F24" s="25" t="s">
        <v>5095</v>
      </c>
      <c r="G24" s="25" t="s">
        <v>10955</v>
      </c>
      <c r="H24" s="25" t="s">
        <v>10957</v>
      </c>
      <c r="I24" s="25" t="s">
        <v>10958</v>
      </c>
      <c r="J24" s="26" t="s">
        <v>10819</v>
      </c>
      <c r="L24" s="13">
        <v>2019</v>
      </c>
      <c r="M24" s="14" t="s">
        <v>5331</v>
      </c>
      <c r="N24" s="14" t="s">
        <v>5332</v>
      </c>
      <c r="O24" s="14" t="s">
        <v>5333</v>
      </c>
      <c r="P24" s="15" t="s">
        <v>3117</v>
      </c>
      <c r="Q24" s="16"/>
      <c r="R24" s="17">
        <v>43899</v>
      </c>
      <c r="S24" s="16" t="s">
        <v>5334</v>
      </c>
      <c r="T24" s="16">
        <v>42500000</v>
      </c>
      <c r="U24" s="14" t="s">
        <v>5335</v>
      </c>
      <c r="V24" s="13">
        <v>4</v>
      </c>
      <c r="W24" s="17">
        <v>43966</v>
      </c>
      <c r="X24" s="14"/>
      <c r="Y24" s="17"/>
      <c r="Z24" s="17"/>
      <c r="AA24" s="14" t="s">
        <v>1</v>
      </c>
      <c r="AB24" s="14" t="s">
        <v>5007</v>
      </c>
      <c r="AC24" s="14" t="s">
        <v>5336</v>
      </c>
      <c r="AD24" s="20" t="str">
        <f t="shared" si="1"/>
        <v>Crop Tech &gt; Farm Inputs &gt; Biologicals &gt; Diversified</v>
      </c>
      <c r="AE24" s="20" t="str">
        <f t="shared" si="2"/>
        <v>Crop Tech</v>
      </c>
      <c r="AF24" s="20" t="str">
        <f t="shared" si="2"/>
        <v>Farm Inputs</v>
      </c>
      <c r="AG24" s="20" t="str">
        <f t="shared" si="2"/>
        <v>Biologicals</v>
      </c>
      <c r="AH24" s="20" t="str">
        <f t="shared" si="2"/>
        <v>Diversified</v>
      </c>
      <c r="AI24" s="20" t="str">
        <f t="shared" si="2"/>
        <v/>
      </c>
      <c r="AJ24" s="20" t="str">
        <f t="shared" si="2"/>
        <v/>
      </c>
      <c r="AK24" s="20" t="str">
        <f t="shared" si="2"/>
        <v/>
      </c>
      <c r="AL24" s="14" t="s">
        <v>521</v>
      </c>
      <c r="AM24" s="14"/>
      <c r="AO24" s="14"/>
      <c r="AP24" s="14" t="s">
        <v>5333</v>
      </c>
      <c r="AQ24" s="14"/>
      <c r="AR24" s="14" t="s">
        <v>5338</v>
      </c>
      <c r="AS24" s="14" t="s">
        <v>5339</v>
      </c>
      <c r="AT24" s="14"/>
      <c r="AU24" s="14" t="s">
        <v>5340</v>
      </c>
      <c r="AV24" s="18"/>
      <c r="AW24" s="16"/>
      <c r="AX24" s="17"/>
      <c r="AY24" s="15" t="s">
        <v>3123</v>
      </c>
      <c r="AZ24" s="17"/>
      <c r="BA24" s="16"/>
      <c r="BB24" s="14"/>
      <c r="BC24" s="14"/>
      <c r="BD24" s="15" t="s">
        <v>3117</v>
      </c>
      <c r="BE24" s="14" t="s">
        <v>5341</v>
      </c>
      <c r="BF24" s="17">
        <v>43412</v>
      </c>
      <c r="BG24" s="16"/>
      <c r="BH24" s="14" t="s">
        <v>5342</v>
      </c>
      <c r="BI24" s="15" t="s">
        <v>3123</v>
      </c>
      <c r="BJ24" s="14"/>
      <c r="BK24" s="17"/>
      <c r="BL24" s="16"/>
      <c r="BM24" s="16"/>
      <c r="BN24" s="16"/>
      <c r="BO24" s="16"/>
      <c r="BP24" s="15" t="s">
        <v>3123</v>
      </c>
      <c r="BQ24" s="17"/>
      <c r="BR24" s="14"/>
      <c r="BS24" s="14"/>
      <c r="BT24" s="16"/>
      <c r="BU24" s="16"/>
      <c r="BV24" s="13"/>
      <c r="BW24" s="18" t="s">
        <v>5343</v>
      </c>
      <c r="BX24" s="13">
        <v>200</v>
      </c>
      <c r="BY24" s="17">
        <v>44133</v>
      </c>
      <c r="BZ24" s="18"/>
      <c r="CA24" s="18"/>
      <c r="CB24" s="18"/>
      <c r="CC24" s="18"/>
      <c r="CD24" s="14" t="s">
        <v>5344</v>
      </c>
      <c r="CE24" s="17">
        <v>43900</v>
      </c>
      <c r="CF24" s="16"/>
      <c r="CG24" s="17"/>
      <c r="CH24" s="16"/>
      <c r="CI24" s="17"/>
      <c r="CJ24" s="16"/>
      <c r="CK24" s="17"/>
      <c r="CL24" s="16"/>
      <c r="CM24" s="17"/>
      <c r="CN24" s="19">
        <v>31.250217402851675</v>
      </c>
      <c r="CO24" s="19"/>
      <c r="CP24" s="17"/>
      <c r="CQ24" s="14" t="s">
        <v>5345</v>
      </c>
      <c r="CR24" s="14" t="s">
        <v>5346</v>
      </c>
      <c r="CS24" s="14" t="s">
        <v>5311</v>
      </c>
    </row>
    <row r="25" spans="1:97" ht="26.15" customHeight="1">
      <c r="A25" s="2">
        <v>257</v>
      </c>
      <c r="B25" s="25" t="s">
        <v>1330</v>
      </c>
      <c r="C25" s="25" t="str">
        <f>VLOOKUP(B25, Sheet6!$A$1:$B$77, 2, FALSE)</f>
        <v>Yes</v>
      </c>
      <c r="D25" s="25" t="s">
        <v>1331</v>
      </c>
      <c r="E25" s="25" t="s">
        <v>1334</v>
      </c>
      <c r="F25" s="25" t="s">
        <v>8242</v>
      </c>
      <c r="G25" s="25" t="s">
        <v>10955</v>
      </c>
      <c r="H25" s="25" t="s">
        <v>10959</v>
      </c>
      <c r="I25" s="25" t="s">
        <v>10958</v>
      </c>
      <c r="J25" s="26" t="s">
        <v>10846</v>
      </c>
      <c r="L25" s="13">
        <v>2016</v>
      </c>
      <c r="M25" s="14" t="s">
        <v>5347</v>
      </c>
      <c r="N25" s="14" t="s">
        <v>5348</v>
      </c>
      <c r="O25" s="14" t="s">
        <v>5208</v>
      </c>
      <c r="P25" s="15" t="s">
        <v>3117</v>
      </c>
      <c r="Q25" s="16">
        <v>534750</v>
      </c>
      <c r="R25" s="17">
        <v>43661</v>
      </c>
      <c r="S25" s="16" t="s">
        <v>5349</v>
      </c>
      <c r="T25" s="16">
        <v>534750</v>
      </c>
      <c r="U25" s="14" t="s">
        <v>34</v>
      </c>
      <c r="V25" s="13">
        <v>3</v>
      </c>
      <c r="W25" s="17">
        <v>44055</v>
      </c>
      <c r="X25" s="14"/>
      <c r="Y25" s="17"/>
      <c r="Z25" s="17"/>
      <c r="AA25" s="14" t="s">
        <v>1</v>
      </c>
      <c r="AB25" s="14" t="s">
        <v>5007</v>
      </c>
      <c r="AC25" s="14" t="s">
        <v>5238</v>
      </c>
      <c r="AD25" s="20" t="str">
        <f t="shared" si="1"/>
        <v>Crop Tech &gt; Indoor Farming &gt; Hydroponics</v>
      </c>
      <c r="AE25" s="20" t="str">
        <f t="shared" si="2"/>
        <v>Crop Tech</v>
      </c>
      <c r="AF25" s="20" t="str">
        <f t="shared" si="2"/>
        <v>Indoor Farming</v>
      </c>
      <c r="AG25" s="20" t="str">
        <f t="shared" si="2"/>
        <v>Hydroponics</v>
      </c>
      <c r="AH25" s="20" t="str">
        <f t="shared" si="2"/>
        <v/>
      </c>
      <c r="AI25" s="20" t="str">
        <f t="shared" si="2"/>
        <v/>
      </c>
      <c r="AJ25" s="20" t="str">
        <f t="shared" si="2"/>
        <v/>
      </c>
      <c r="AK25" s="20" t="str">
        <f t="shared" si="2"/>
        <v/>
      </c>
      <c r="AL25" s="14" t="s">
        <v>5350</v>
      </c>
      <c r="AM25" s="14"/>
      <c r="AO25" s="14"/>
      <c r="AP25" s="14" t="s">
        <v>5208</v>
      </c>
      <c r="AQ25" s="14" t="s">
        <v>5352</v>
      </c>
      <c r="AR25" s="14" t="s">
        <v>5353</v>
      </c>
      <c r="AS25" s="14" t="s">
        <v>5354</v>
      </c>
      <c r="AT25" s="14" t="s">
        <v>5355</v>
      </c>
      <c r="AU25" s="14" t="s">
        <v>5356</v>
      </c>
      <c r="AV25" s="18"/>
      <c r="AW25" s="16"/>
      <c r="AX25" s="17"/>
      <c r="AY25" s="15" t="s">
        <v>3123</v>
      </c>
      <c r="AZ25" s="17"/>
      <c r="BA25" s="16"/>
      <c r="BB25" s="14"/>
      <c r="BC25" s="14"/>
      <c r="BD25" s="15" t="s">
        <v>3123</v>
      </c>
      <c r="BE25" s="14"/>
      <c r="BF25" s="17"/>
      <c r="BG25" s="16"/>
      <c r="BH25" s="14"/>
      <c r="BI25" s="15" t="s">
        <v>3123</v>
      </c>
      <c r="BJ25" s="14"/>
      <c r="BK25" s="17"/>
      <c r="BL25" s="16"/>
      <c r="BM25" s="16"/>
      <c r="BN25" s="16"/>
      <c r="BO25" s="16"/>
      <c r="BP25" s="15" t="s">
        <v>3123</v>
      </c>
      <c r="BQ25" s="17"/>
      <c r="BR25" s="14"/>
      <c r="BS25" s="14"/>
      <c r="BT25" s="16"/>
      <c r="BU25" s="16"/>
      <c r="BV25" s="13"/>
      <c r="BW25" s="18" t="s">
        <v>5357</v>
      </c>
      <c r="BX25" s="13">
        <v>200</v>
      </c>
      <c r="BY25" s="17">
        <v>44135</v>
      </c>
      <c r="BZ25" s="18" t="s">
        <v>5358</v>
      </c>
      <c r="CA25" s="18"/>
      <c r="CB25" s="18" t="s">
        <v>5359</v>
      </c>
      <c r="CC25" s="18"/>
      <c r="CD25" s="14" t="s">
        <v>5360</v>
      </c>
      <c r="CE25" s="17">
        <v>43542</v>
      </c>
      <c r="CF25" s="16"/>
      <c r="CG25" s="17"/>
      <c r="CH25" s="16"/>
      <c r="CI25" s="17"/>
      <c r="CJ25" s="16"/>
      <c r="CK25" s="17"/>
      <c r="CL25" s="16"/>
      <c r="CM25" s="17"/>
      <c r="CN25" s="19">
        <v>24.006133054811755</v>
      </c>
      <c r="CO25" s="19"/>
      <c r="CP25" s="17"/>
      <c r="CQ25" s="14" t="s">
        <v>5345</v>
      </c>
      <c r="CR25" s="14" t="s">
        <v>5361</v>
      </c>
      <c r="CS25" s="14" t="s">
        <v>5311</v>
      </c>
    </row>
    <row r="26" spans="1:97" ht="26.15" customHeight="1">
      <c r="A26" s="2">
        <v>448</v>
      </c>
      <c r="B26" s="25" t="s">
        <v>2758</v>
      </c>
      <c r="C26" s="25" t="str">
        <f>VLOOKUP(B26, Sheet6!$A$1:$B$77, 2, FALSE)</f>
        <v>Yes</v>
      </c>
      <c r="D26" s="25" t="s">
        <v>2759</v>
      </c>
      <c r="E26" s="25" t="s">
        <v>2760</v>
      </c>
      <c r="F26" s="25" t="s">
        <v>9599</v>
      </c>
      <c r="G26" s="25" t="s">
        <v>10955</v>
      </c>
      <c r="H26" s="25" t="s">
        <v>10558</v>
      </c>
      <c r="I26" s="25" t="s">
        <v>10558</v>
      </c>
      <c r="J26" s="25" t="s">
        <v>10821</v>
      </c>
      <c r="L26" s="13">
        <v>2019</v>
      </c>
      <c r="M26" s="14"/>
      <c r="N26" s="14" t="s">
        <v>5370</v>
      </c>
      <c r="O26" s="14" t="s">
        <v>2057</v>
      </c>
      <c r="P26" s="15" t="s">
        <v>3117</v>
      </c>
      <c r="Q26" s="16">
        <v>280183</v>
      </c>
      <c r="R26" s="17">
        <v>43977</v>
      </c>
      <c r="S26" s="16" t="s">
        <v>5371</v>
      </c>
      <c r="T26" s="16">
        <v>280183</v>
      </c>
      <c r="U26" s="14" t="s">
        <v>34</v>
      </c>
      <c r="V26" s="13">
        <v>4</v>
      </c>
      <c r="W26" s="17">
        <v>43990</v>
      </c>
      <c r="X26" s="14"/>
      <c r="Y26" s="17"/>
      <c r="Z26" s="17"/>
      <c r="AA26" s="14" t="s">
        <v>4995</v>
      </c>
      <c r="AB26" s="14" t="s">
        <v>4996</v>
      </c>
      <c r="AC26" s="14" t="s">
        <v>5268</v>
      </c>
      <c r="AD26" s="20" t="str">
        <f t="shared" si="1"/>
        <v>Online Grocery &gt; B2B Ecommerce &gt; Farm Produce &gt; Eggs &gt; Marketplace
Livestock Tech &gt; ECommerce &gt; Farm Produce &gt; B2B &gt; Marketplace &gt; Eggs</v>
      </c>
      <c r="AE26" s="20" t="str">
        <f t="shared" si="2"/>
        <v>Online Grocery</v>
      </c>
      <c r="AF26" s="20" t="str">
        <f t="shared" si="2"/>
        <v>B2B Ecommerce</v>
      </c>
      <c r="AG26" s="20" t="str">
        <f t="shared" si="2"/>
        <v>Farm Produce</v>
      </c>
      <c r="AH26" s="20" t="str">
        <f t="shared" si="2"/>
        <v>Eggs</v>
      </c>
      <c r="AI26" s="20" t="str">
        <f t="shared" si="2"/>
        <v>Marketplace
Livestock Tech</v>
      </c>
      <c r="AJ26" s="20" t="str">
        <f t="shared" si="2"/>
        <v>ECommerce</v>
      </c>
      <c r="AK26" s="20" t="str">
        <f t="shared" si="2"/>
        <v>Farm Produce</v>
      </c>
      <c r="AL26" s="14"/>
      <c r="AM26" s="14"/>
      <c r="AO26" s="14"/>
      <c r="AP26" s="14" t="s">
        <v>2057</v>
      </c>
      <c r="AQ26" s="14"/>
      <c r="AR26" s="14" t="s">
        <v>5373</v>
      </c>
      <c r="AS26" s="14"/>
      <c r="AT26" s="14"/>
      <c r="AU26" s="14"/>
      <c r="AV26" s="18"/>
      <c r="AW26" s="16"/>
      <c r="AX26" s="17"/>
      <c r="AY26" s="15" t="s">
        <v>3123</v>
      </c>
      <c r="AZ26" s="17"/>
      <c r="BA26" s="16"/>
      <c r="BB26" s="14"/>
      <c r="BC26" s="14"/>
      <c r="BD26" s="15" t="s">
        <v>3123</v>
      </c>
      <c r="BE26" s="14"/>
      <c r="BF26" s="17"/>
      <c r="BG26" s="16"/>
      <c r="BH26" s="14"/>
      <c r="BI26" s="15" t="s">
        <v>3123</v>
      </c>
      <c r="BJ26" s="14"/>
      <c r="BK26" s="17"/>
      <c r="BL26" s="16"/>
      <c r="BM26" s="16"/>
      <c r="BN26" s="16"/>
      <c r="BO26" s="16"/>
      <c r="BP26" s="15" t="s">
        <v>3123</v>
      </c>
      <c r="BQ26" s="17"/>
      <c r="BR26" s="14"/>
      <c r="BS26" s="14"/>
      <c r="BT26" s="16"/>
      <c r="BU26" s="16"/>
      <c r="BV26" s="13"/>
      <c r="BW26" s="18" t="s">
        <v>5374</v>
      </c>
      <c r="BX26" s="13">
        <v>200</v>
      </c>
      <c r="BY26" s="17">
        <v>44133</v>
      </c>
      <c r="BZ26" s="18"/>
      <c r="CA26" s="18"/>
      <c r="CB26" s="18"/>
      <c r="CC26" s="18"/>
      <c r="CD26" s="14" t="s">
        <v>5375</v>
      </c>
      <c r="CE26" s="17">
        <v>43985</v>
      </c>
      <c r="CF26" s="16"/>
      <c r="CG26" s="17"/>
      <c r="CH26" s="16"/>
      <c r="CI26" s="17"/>
      <c r="CJ26" s="16"/>
      <c r="CK26" s="17"/>
      <c r="CL26" s="16"/>
      <c r="CM26" s="17"/>
      <c r="CN26" s="19">
        <v>20.918293306059638</v>
      </c>
      <c r="CO26" s="19"/>
      <c r="CP26" s="17"/>
      <c r="CQ26" s="14" t="s">
        <v>5082</v>
      </c>
      <c r="CR26" s="14" t="s">
        <v>5083</v>
      </c>
      <c r="CS26" s="14" t="s">
        <v>5004</v>
      </c>
    </row>
    <row r="27" spans="1:97" ht="26.15" customHeight="1">
      <c r="A27" s="2">
        <v>223</v>
      </c>
      <c r="B27" s="25" t="s">
        <v>1120</v>
      </c>
      <c r="C27" s="25" t="str">
        <f>VLOOKUP(B27, Sheet6!$A$1:$B$77, 2, FALSE)</f>
        <v>Yes</v>
      </c>
      <c r="D27" s="25" t="s">
        <v>1121</v>
      </c>
      <c r="E27" s="25" t="s">
        <v>1124</v>
      </c>
      <c r="F27" s="25" t="s">
        <v>7809</v>
      </c>
      <c r="G27" s="25" t="s">
        <v>10955</v>
      </c>
      <c r="H27" s="25" t="s">
        <v>10959</v>
      </c>
      <c r="I27" s="25" t="s">
        <v>10958</v>
      </c>
      <c r="J27" s="26" t="s">
        <v>10718</v>
      </c>
      <c r="L27" s="13">
        <v>2015</v>
      </c>
      <c r="M27" s="14" t="s">
        <v>5189</v>
      </c>
      <c r="N27" s="14" t="s">
        <v>5190</v>
      </c>
      <c r="O27" s="14" t="s">
        <v>1258</v>
      </c>
      <c r="P27" s="15" t="s">
        <v>3117</v>
      </c>
      <c r="Q27" s="16">
        <v>100000</v>
      </c>
      <c r="R27" s="17">
        <v>43591</v>
      </c>
      <c r="S27" s="16" t="s">
        <v>5252</v>
      </c>
      <c r="T27" s="16">
        <v>100000</v>
      </c>
      <c r="U27" s="14" t="s">
        <v>34</v>
      </c>
      <c r="V27" s="13">
        <v>4</v>
      </c>
      <c r="W27" s="17">
        <v>44077</v>
      </c>
      <c r="X27" s="14"/>
      <c r="Y27" s="17"/>
      <c r="Z27" s="17"/>
      <c r="AA27" s="14" t="s">
        <v>1</v>
      </c>
      <c r="AB27" s="14" t="s">
        <v>5135</v>
      </c>
      <c r="AC27" s="14" t="s">
        <v>5376</v>
      </c>
      <c r="AD27" s="20" t="str">
        <f t="shared" si="1"/>
        <v>Aquaculture Tech &gt; Feeding &gt; Feed Inventory Management</v>
      </c>
      <c r="AE27" s="20" t="str">
        <f t="shared" si="2"/>
        <v>Aquaculture Tech</v>
      </c>
      <c r="AF27" s="20" t="str">
        <f t="shared" si="2"/>
        <v>Feeding</v>
      </c>
      <c r="AG27" s="20" t="str">
        <f t="shared" si="2"/>
        <v>Feed Inventory Management</v>
      </c>
      <c r="AH27" s="20" t="str">
        <f t="shared" si="2"/>
        <v/>
      </c>
      <c r="AI27" s="20" t="str">
        <f t="shared" si="2"/>
        <v/>
      </c>
      <c r="AJ27" s="20" t="str">
        <f t="shared" si="2"/>
        <v/>
      </c>
      <c r="AK27" s="20" t="str">
        <f t="shared" si="2"/>
        <v/>
      </c>
      <c r="AL27" s="14" t="s">
        <v>5377</v>
      </c>
      <c r="AM27" s="14"/>
      <c r="AO27" s="14"/>
      <c r="AP27" s="14" t="s">
        <v>1258</v>
      </c>
      <c r="AQ27" s="14" t="s">
        <v>5379</v>
      </c>
      <c r="AR27" s="14" t="s">
        <v>5380</v>
      </c>
      <c r="AS27" s="14" t="s">
        <v>5381</v>
      </c>
      <c r="AT27" s="14" t="s">
        <v>5382</v>
      </c>
      <c r="AU27" s="14" t="s">
        <v>5383</v>
      </c>
      <c r="AV27" s="18"/>
      <c r="AW27" s="16"/>
      <c r="AX27" s="17"/>
      <c r="AY27" s="15" t="s">
        <v>3123</v>
      </c>
      <c r="AZ27" s="17"/>
      <c r="BA27" s="16"/>
      <c r="BB27" s="14"/>
      <c r="BC27" s="14"/>
      <c r="BD27" s="15" t="s">
        <v>3123</v>
      </c>
      <c r="BE27" s="14"/>
      <c r="BF27" s="17"/>
      <c r="BG27" s="16"/>
      <c r="BH27" s="14"/>
      <c r="BI27" s="15" t="s">
        <v>3123</v>
      </c>
      <c r="BJ27" s="14"/>
      <c r="BK27" s="17"/>
      <c r="BL27" s="16"/>
      <c r="BM27" s="16"/>
      <c r="BN27" s="16"/>
      <c r="BO27" s="16"/>
      <c r="BP27" s="15" t="s">
        <v>3123</v>
      </c>
      <c r="BQ27" s="17"/>
      <c r="BR27" s="14"/>
      <c r="BS27" s="14"/>
      <c r="BT27" s="16"/>
      <c r="BU27" s="16"/>
      <c r="BV27" s="13"/>
      <c r="BW27" s="18" t="s">
        <v>5384</v>
      </c>
      <c r="BX27" s="13">
        <v>200</v>
      </c>
      <c r="BY27" s="17">
        <v>44134</v>
      </c>
      <c r="BZ27" s="18" t="s">
        <v>5385</v>
      </c>
      <c r="CA27" s="18"/>
      <c r="CB27" s="18"/>
      <c r="CC27" s="18"/>
      <c r="CD27" s="14" t="s">
        <v>5386</v>
      </c>
      <c r="CE27" s="17">
        <v>43497</v>
      </c>
      <c r="CF27" s="16"/>
      <c r="CG27" s="17"/>
      <c r="CH27" s="16"/>
      <c r="CI27" s="17"/>
      <c r="CJ27" s="16"/>
      <c r="CK27" s="17"/>
      <c r="CL27" s="16"/>
      <c r="CM27" s="17"/>
      <c r="CN27" s="19">
        <v>21.498619822738245</v>
      </c>
      <c r="CO27" s="19"/>
      <c r="CP27" s="17"/>
      <c r="CQ27" s="14" t="s">
        <v>5387</v>
      </c>
      <c r="CR27" s="14" t="s">
        <v>5388</v>
      </c>
      <c r="CS27" s="14" t="s">
        <v>5311</v>
      </c>
    </row>
    <row r="28" spans="1:97" ht="26.15" customHeight="1">
      <c r="A28" s="2">
        <v>532</v>
      </c>
      <c r="B28" s="25" t="s">
        <v>2936</v>
      </c>
      <c r="C28" s="25" t="str">
        <f>VLOOKUP(B28, Sheet6!$A$1:$B$77, 2, FALSE)</f>
        <v>Yes</v>
      </c>
      <c r="D28" s="25" t="s">
        <v>2937</v>
      </c>
      <c r="E28" s="25" t="s">
        <v>2938</v>
      </c>
      <c r="F28" s="25" t="s">
        <v>10260</v>
      </c>
      <c r="G28" s="25" t="s">
        <v>10955</v>
      </c>
      <c r="H28" s="25" t="s">
        <v>10957</v>
      </c>
      <c r="I28" s="25" t="s">
        <v>10968</v>
      </c>
      <c r="J28" s="25" t="s">
        <v>10768</v>
      </c>
      <c r="L28" s="13">
        <v>2016</v>
      </c>
      <c r="M28" s="14" t="s">
        <v>5005</v>
      </c>
      <c r="N28" s="14" t="s">
        <v>5006</v>
      </c>
      <c r="O28" s="14" t="s">
        <v>3994</v>
      </c>
      <c r="P28" s="15" t="s">
        <v>3117</v>
      </c>
      <c r="Q28" s="16">
        <v>663059</v>
      </c>
      <c r="R28" s="17">
        <v>43732</v>
      </c>
      <c r="S28" s="16" t="s">
        <v>5403</v>
      </c>
      <c r="T28" s="16">
        <v>649111</v>
      </c>
      <c r="U28" s="14" t="s">
        <v>34</v>
      </c>
      <c r="V28" s="13">
        <v>3</v>
      </c>
      <c r="W28" s="17">
        <v>44098</v>
      </c>
      <c r="X28" s="14"/>
      <c r="Y28" s="17"/>
      <c r="Z28" s="17"/>
      <c r="AA28" s="14" t="s">
        <v>1</v>
      </c>
      <c r="AB28" s="14" t="s">
        <v>5007</v>
      </c>
      <c r="AC28" s="14" t="s">
        <v>5238</v>
      </c>
      <c r="AD28" s="20" t="str">
        <f t="shared" si="1"/>
        <v>Crop Tech &gt; Indoor Farming &gt; Hydroponics</v>
      </c>
      <c r="AE28" s="20" t="str">
        <f t="shared" si="2"/>
        <v>Crop Tech</v>
      </c>
      <c r="AF28" s="20" t="str">
        <f t="shared" si="2"/>
        <v>Indoor Farming</v>
      </c>
      <c r="AG28" s="20" t="str">
        <f t="shared" si="2"/>
        <v>Hydroponics</v>
      </c>
      <c r="AH28" s="20" t="str">
        <f t="shared" si="2"/>
        <v/>
      </c>
      <c r="AI28" s="20" t="str">
        <f t="shared" si="2"/>
        <v/>
      </c>
      <c r="AJ28" s="20" t="str">
        <f t="shared" si="2"/>
        <v/>
      </c>
      <c r="AK28" s="20" t="str">
        <f t="shared" si="2"/>
        <v/>
      </c>
      <c r="AL28" s="14" t="s">
        <v>870</v>
      </c>
      <c r="AM28" s="14" t="s">
        <v>822</v>
      </c>
      <c r="AO28" s="14"/>
      <c r="AP28" s="14" t="s">
        <v>3994</v>
      </c>
      <c r="AQ28" s="14"/>
      <c r="AR28" s="14" t="s">
        <v>5405</v>
      </c>
      <c r="AS28" s="14" t="s">
        <v>5406</v>
      </c>
      <c r="AT28" s="14" t="s">
        <v>5407</v>
      </c>
      <c r="AU28" s="14" t="s">
        <v>5408</v>
      </c>
      <c r="AV28" s="18"/>
      <c r="AW28" s="16">
        <v>63800</v>
      </c>
      <c r="AX28" s="17">
        <v>43465</v>
      </c>
      <c r="AY28" s="15" t="s">
        <v>3123</v>
      </c>
      <c r="AZ28" s="17"/>
      <c r="BA28" s="16"/>
      <c r="BB28" s="14"/>
      <c r="BC28" s="14"/>
      <c r="BD28" s="15" t="s">
        <v>3123</v>
      </c>
      <c r="BE28" s="14"/>
      <c r="BF28" s="17"/>
      <c r="BG28" s="16"/>
      <c r="BH28" s="14"/>
      <c r="BI28" s="15" t="s">
        <v>3123</v>
      </c>
      <c r="BJ28" s="14"/>
      <c r="BK28" s="17"/>
      <c r="BL28" s="16"/>
      <c r="BM28" s="16"/>
      <c r="BN28" s="16"/>
      <c r="BO28" s="16"/>
      <c r="BP28" s="15" t="s">
        <v>3123</v>
      </c>
      <c r="BQ28" s="17"/>
      <c r="BR28" s="14"/>
      <c r="BS28" s="14"/>
      <c r="BT28" s="16"/>
      <c r="BU28" s="16"/>
      <c r="BV28" s="13"/>
      <c r="BW28" s="18" t="s">
        <v>5409</v>
      </c>
      <c r="BX28" s="13">
        <v>200</v>
      </c>
      <c r="BY28" s="17">
        <v>44134</v>
      </c>
      <c r="BZ28" s="18" t="s">
        <v>5410</v>
      </c>
      <c r="CA28" s="18"/>
      <c r="CB28" s="18" t="s">
        <v>5411</v>
      </c>
      <c r="CC28" s="18" t="s">
        <v>5412</v>
      </c>
      <c r="CD28" s="14" t="s">
        <v>5413</v>
      </c>
      <c r="CE28" s="17">
        <v>43472</v>
      </c>
      <c r="CF28" s="16">
        <v>-39900</v>
      </c>
      <c r="CG28" s="17">
        <v>43465</v>
      </c>
      <c r="CH28" s="16">
        <v>-38100</v>
      </c>
      <c r="CI28" s="17">
        <v>43465</v>
      </c>
      <c r="CJ28" s="16">
        <v>9000000</v>
      </c>
      <c r="CK28" s="17">
        <v>43732</v>
      </c>
      <c r="CL28" s="16"/>
      <c r="CM28" s="17"/>
      <c r="CN28" s="19">
        <v>15.05249889407367</v>
      </c>
      <c r="CO28" s="19"/>
      <c r="CP28" s="17"/>
      <c r="CQ28" s="14" t="s">
        <v>5036</v>
      </c>
      <c r="CR28" s="14" t="s">
        <v>5037</v>
      </c>
      <c r="CS28" s="14" t="s">
        <v>5004</v>
      </c>
    </row>
    <row r="29" spans="1:97" ht="26.15" customHeight="1">
      <c r="A29" s="2">
        <v>293</v>
      </c>
      <c r="B29" s="25" t="s">
        <v>641</v>
      </c>
      <c r="C29" s="25" t="str">
        <f>VLOOKUP(B29, Sheet6!$A$1:$B$77, 2, FALSE)</f>
        <v>Yes</v>
      </c>
      <c r="D29" s="25" t="s">
        <v>642</v>
      </c>
      <c r="E29" s="25" t="s">
        <v>645</v>
      </c>
      <c r="F29" s="25" t="s">
        <v>8736</v>
      </c>
      <c r="G29" s="25" t="s">
        <v>10955</v>
      </c>
      <c r="H29" s="25" t="s">
        <v>10957</v>
      </c>
      <c r="I29" s="25" t="s">
        <v>10958</v>
      </c>
      <c r="J29" s="26" t="s">
        <v>10768</v>
      </c>
      <c r="L29" s="13">
        <v>2018</v>
      </c>
      <c r="M29" s="14" t="s">
        <v>5414</v>
      </c>
      <c r="N29" s="14" t="s">
        <v>5415</v>
      </c>
      <c r="O29" s="14" t="s">
        <v>5416</v>
      </c>
      <c r="P29" s="15" t="s">
        <v>3117</v>
      </c>
      <c r="Q29" s="16">
        <v>274805</v>
      </c>
      <c r="R29" s="17">
        <v>43458</v>
      </c>
      <c r="S29" s="16" t="s">
        <v>5417</v>
      </c>
      <c r="T29" s="16">
        <v>274805</v>
      </c>
      <c r="U29" s="14" t="s">
        <v>34</v>
      </c>
      <c r="V29" s="13">
        <v>4</v>
      </c>
      <c r="W29" s="17">
        <v>44032</v>
      </c>
      <c r="X29" s="14"/>
      <c r="Y29" s="17"/>
      <c r="Z29" s="17"/>
      <c r="AA29" s="14" t="s">
        <v>4995</v>
      </c>
      <c r="AB29" s="14" t="s">
        <v>4996</v>
      </c>
      <c r="AC29" s="14" t="s">
        <v>5418</v>
      </c>
      <c r="AD29" s="20" t="str">
        <f t="shared" si="1"/>
        <v>Online Grocery &gt; B2C Ecommerce &gt; Meat and Seafood &gt; Retailer &gt; Meat
Livestock Tech &gt; ECommerce &gt; Farm Produce &gt; B2C &gt; Retailer &gt; Meat</v>
      </c>
      <c r="AE29" s="20" t="str">
        <f t="shared" si="2"/>
        <v>Online Grocery</v>
      </c>
      <c r="AF29" s="20" t="str">
        <f t="shared" si="2"/>
        <v>B2C Ecommerce</v>
      </c>
      <c r="AG29" s="20" t="str">
        <f t="shared" si="2"/>
        <v>Meat and Seafood</v>
      </c>
      <c r="AH29" s="20" t="str">
        <f t="shared" si="2"/>
        <v>Retailer</v>
      </c>
      <c r="AI29" s="20" t="str">
        <f t="shared" si="2"/>
        <v>Meat
Livestock Tech</v>
      </c>
      <c r="AJ29" s="20" t="str">
        <f t="shared" si="2"/>
        <v>ECommerce</v>
      </c>
      <c r="AK29" s="20" t="str">
        <f t="shared" si="2"/>
        <v>Farm Produce</v>
      </c>
      <c r="AL29" s="14"/>
      <c r="AM29" s="14"/>
      <c r="AO29" s="14"/>
      <c r="AP29" s="14" t="s">
        <v>5416</v>
      </c>
      <c r="AQ29" s="14" t="s">
        <v>5420</v>
      </c>
      <c r="AR29" s="14"/>
      <c r="AS29" s="14"/>
      <c r="AT29" s="14"/>
      <c r="AU29" s="14"/>
      <c r="AV29" s="18"/>
      <c r="AW29" s="16"/>
      <c r="AX29" s="17"/>
      <c r="AY29" s="15" t="s">
        <v>3123</v>
      </c>
      <c r="AZ29" s="17"/>
      <c r="BA29" s="16"/>
      <c r="BB29" s="14"/>
      <c r="BC29" s="14"/>
      <c r="BD29" s="15" t="s">
        <v>3123</v>
      </c>
      <c r="BE29" s="14"/>
      <c r="BF29" s="17"/>
      <c r="BG29" s="16"/>
      <c r="BH29" s="14"/>
      <c r="BI29" s="15" t="s">
        <v>3123</v>
      </c>
      <c r="BJ29" s="14"/>
      <c r="BK29" s="17"/>
      <c r="BL29" s="16"/>
      <c r="BM29" s="16"/>
      <c r="BN29" s="16"/>
      <c r="BO29" s="16"/>
      <c r="BP29" s="15" t="s">
        <v>3123</v>
      </c>
      <c r="BQ29" s="17"/>
      <c r="BR29" s="14" t="s">
        <v>5421</v>
      </c>
      <c r="BS29" s="14"/>
      <c r="BT29" s="16"/>
      <c r="BU29" s="16"/>
      <c r="BV29" s="13"/>
      <c r="BW29" s="18" t="s">
        <v>5422</v>
      </c>
      <c r="BX29" s="13">
        <v>521</v>
      </c>
      <c r="BY29" s="17">
        <v>44113</v>
      </c>
      <c r="BZ29" s="18"/>
      <c r="CA29" s="18"/>
      <c r="CB29" s="18"/>
      <c r="CC29" s="18"/>
      <c r="CD29" s="14" t="s">
        <v>5423</v>
      </c>
      <c r="CE29" s="17">
        <v>43634</v>
      </c>
      <c r="CF29" s="16"/>
      <c r="CG29" s="17"/>
      <c r="CH29" s="16"/>
      <c r="CI29" s="17"/>
      <c r="CJ29" s="16"/>
      <c r="CK29" s="17"/>
      <c r="CL29" s="16"/>
      <c r="CM29" s="17"/>
      <c r="CN29" s="19">
        <v>21.058891877863324</v>
      </c>
      <c r="CO29" s="19"/>
      <c r="CP29" s="17"/>
      <c r="CQ29" s="14" t="s">
        <v>5082</v>
      </c>
      <c r="CR29" s="14" t="s">
        <v>5424</v>
      </c>
      <c r="CS29" s="14" t="s">
        <v>5311</v>
      </c>
    </row>
    <row r="30" spans="1:97" ht="26.15" customHeight="1">
      <c r="A30" s="2">
        <v>250</v>
      </c>
      <c r="B30" s="25" t="s">
        <v>743</v>
      </c>
      <c r="C30" s="25" t="str">
        <f>VLOOKUP(B30, Sheet6!$A$1:$B$77, 2, FALSE)</f>
        <v>Yes</v>
      </c>
      <c r="D30" s="25" t="s">
        <v>744</v>
      </c>
      <c r="E30" s="25" t="s">
        <v>747</v>
      </c>
      <c r="F30" s="25" t="s">
        <v>8148</v>
      </c>
      <c r="G30" s="25" t="s">
        <v>10955</v>
      </c>
      <c r="H30" s="25" t="s">
        <v>10959</v>
      </c>
      <c r="I30" s="25" t="s">
        <v>10958</v>
      </c>
      <c r="J30" s="26" t="s">
        <v>10765</v>
      </c>
      <c r="L30" s="13">
        <v>2013</v>
      </c>
      <c r="M30" s="14" t="s">
        <v>5440</v>
      </c>
      <c r="N30" s="14" t="s">
        <v>5441</v>
      </c>
      <c r="O30" s="14" t="s">
        <v>1740</v>
      </c>
      <c r="P30" s="15" t="s">
        <v>3117</v>
      </c>
      <c r="Q30" s="16"/>
      <c r="R30" s="17">
        <v>43411</v>
      </c>
      <c r="S30" s="16"/>
      <c r="T30" s="16" t="s">
        <v>50</v>
      </c>
      <c r="U30" s="14" t="s">
        <v>5040</v>
      </c>
      <c r="V30" s="13">
        <v>3</v>
      </c>
      <c r="W30" s="17">
        <v>44018</v>
      </c>
      <c r="X30" s="14"/>
      <c r="Y30" s="17"/>
      <c r="Z30" s="17"/>
      <c r="AA30" s="14" t="s">
        <v>5442</v>
      </c>
      <c r="AB30" s="14" t="s">
        <v>5443</v>
      </c>
      <c r="AC30" s="14" t="s">
        <v>5444</v>
      </c>
      <c r="AD30" s="20" t="str">
        <f t="shared" si="1"/>
        <v>Crop Tech &gt; Content Platforms &gt; Farming Advice &gt; Expert Advisors
MassChallenge Batches &gt; Mexico &gt; 2018 &gt; Gold</v>
      </c>
      <c r="AE30" s="20" t="str">
        <f t="shared" si="2"/>
        <v>Crop Tech</v>
      </c>
      <c r="AF30" s="20" t="str">
        <f t="shared" si="2"/>
        <v>Content Platforms</v>
      </c>
      <c r="AG30" s="20" t="str">
        <f t="shared" si="2"/>
        <v>Farming Advice</v>
      </c>
      <c r="AH30" s="20" t="str">
        <f t="shared" si="2"/>
        <v>Expert Advisors
MassChallenge Batches</v>
      </c>
      <c r="AI30" s="20" t="str">
        <f t="shared" si="2"/>
        <v>Mexico</v>
      </c>
      <c r="AJ30" s="20" t="str">
        <f t="shared" si="2"/>
        <v>2018</v>
      </c>
      <c r="AK30" s="20" t="str">
        <f t="shared" si="2"/>
        <v>Gold</v>
      </c>
      <c r="AL30" s="14" t="s">
        <v>1609</v>
      </c>
      <c r="AM30" s="14"/>
      <c r="AO30" s="14"/>
      <c r="AP30" s="14" t="s">
        <v>1740</v>
      </c>
      <c r="AQ30" s="14" t="s">
        <v>5446</v>
      </c>
      <c r="AR30" s="14" t="s">
        <v>5447</v>
      </c>
      <c r="AS30" s="14" t="s">
        <v>5448</v>
      </c>
      <c r="AT30" s="14" t="s">
        <v>5449</v>
      </c>
      <c r="AU30" s="14" t="s">
        <v>5450</v>
      </c>
      <c r="AV30" s="18" t="s">
        <v>5451</v>
      </c>
      <c r="AW30" s="16"/>
      <c r="AX30" s="17"/>
      <c r="AY30" s="15" t="s">
        <v>3123</v>
      </c>
      <c r="AZ30" s="17"/>
      <c r="BA30" s="16"/>
      <c r="BB30" s="14"/>
      <c r="BC30" s="14"/>
      <c r="BD30" s="15" t="s">
        <v>3123</v>
      </c>
      <c r="BE30" s="14"/>
      <c r="BF30" s="17"/>
      <c r="BG30" s="16"/>
      <c r="BH30" s="14"/>
      <c r="BI30" s="15" t="s">
        <v>3123</v>
      </c>
      <c r="BJ30" s="14"/>
      <c r="BK30" s="17"/>
      <c r="BL30" s="16"/>
      <c r="BM30" s="16"/>
      <c r="BN30" s="16"/>
      <c r="BO30" s="16"/>
      <c r="BP30" s="15" t="s">
        <v>3123</v>
      </c>
      <c r="BQ30" s="17"/>
      <c r="BR30" s="14"/>
      <c r="BS30" s="14"/>
      <c r="BT30" s="16"/>
      <c r="BU30" s="16"/>
      <c r="BV30" s="13"/>
      <c r="BW30" s="18" t="s">
        <v>5452</v>
      </c>
      <c r="BX30" s="13">
        <v>200</v>
      </c>
      <c r="BY30" s="17">
        <v>44132</v>
      </c>
      <c r="BZ30" s="18" t="s">
        <v>5453</v>
      </c>
      <c r="CA30" s="18" t="s">
        <v>5454</v>
      </c>
      <c r="CB30" s="18"/>
      <c r="CC30" s="18"/>
      <c r="CD30" s="14" t="s">
        <v>5455</v>
      </c>
      <c r="CE30" s="17">
        <v>43438</v>
      </c>
      <c r="CF30" s="16"/>
      <c r="CG30" s="17"/>
      <c r="CH30" s="16"/>
      <c r="CI30" s="17"/>
      <c r="CJ30" s="16"/>
      <c r="CK30" s="17"/>
      <c r="CL30" s="16"/>
      <c r="CM30" s="17"/>
      <c r="CN30" s="19">
        <v>36.853504062036158</v>
      </c>
      <c r="CO30" s="19"/>
      <c r="CP30" s="17"/>
      <c r="CQ30" s="14" t="s">
        <v>5036</v>
      </c>
      <c r="CR30" s="14" t="s">
        <v>5439</v>
      </c>
      <c r="CS30" s="14" t="s">
        <v>5311</v>
      </c>
    </row>
    <row r="31" spans="1:97" ht="26.15" customHeight="1">
      <c r="A31" s="2">
        <v>409</v>
      </c>
      <c r="B31" s="25" t="s">
        <v>2597</v>
      </c>
      <c r="C31" s="25" t="str">
        <f>VLOOKUP(B31, Sheet6!$A$1:$B$77, 2, FALSE)</f>
        <v>Yes</v>
      </c>
      <c r="D31" s="25" t="s">
        <v>2598</v>
      </c>
      <c r="E31" s="25" t="s">
        <v>2599</v>
      </c>
      <c r="F31" s="25" t="s">
        <v>9373</v>
      </c>
      <c r="G31" s="25" t="s">
        <v>10952</v>
      </c>
      <c r="H31" s="25" t="s">
        <v>10959</v>
      </c>
      <c r="I31" s="25" t="s">
        <v>10558</v>
      </c>
      <c r="J31" s="25" t="s">
        <v>10784</v>
      </c>
      <c r="L31" s="13">
        <v>2016</v>
      </c>
      <c r="M31" s="14" t="s">
        <v>5472</v>
      </c>
      <c r="N31" s="14" t="s">
        <v>5473</v>
      </c>
      <c r="O31" s="14" t="s">
        <v>1740</v>
      </c>
      <c r="P31" s="15" t="s">
        <v>3117</v>
      </c>
      <c r="Q31" s="16"/>
      <c r="R31" s="17">
        <v>43252</v>
      </c>
      <c r="S31" s="16"/>
      <c r="T31" s="16" t="s">
        <v>50</v>
      </c>
      <c r="U31" s="14" t="s">
        <v>34</v>
      </c>
      <c r="V31" s="13">
        <v>3</v>
      </c>
      <c r="W31" s="17">
        <v>43997</v>
      </c>
      <c r="X31" s="14"/>
      <c r="Y31" s="17"/>
      <c r="Z31" s="17"/>
      <c r="AA31" s="14" t="s">
        <v>5315</v>
      </c>
      <c r="AB31" s="14" t="s">
        <v>5316</v>
      </c>
      <c r="AC31" s="14" t="s">
        <v>5474</v>
      </c>
      <c r="AD31" s="20" t="str">
        <f t="shared" si="1"/>
        <v>Crop Tech &gt; Farm Inputs &gt; Biologicals &gt; Crop Nutrition &gt; Microbes
Chemicals Tech &gt; Green Chemicals &gt; Crop Nutrition &gt; Microbes</v>
      </c>
      <c r="AE31" s="20" t="str">
        <f t="shared" si="2"/>
        <v>Crop Tech</v>
      </c>
      <c r="AF31" s="20" t="str">
        <f t="shared" si="2"/>
        <v>Farm Inputs</v>
      </c>
      <c r="AG31" s="20" t="str">
        <f t="shared" si="2"/>
        <v>Biologicals</v>
      </c>
      <c r="AH31" s="20" t="str">
        <f t="shared" si="2"/>
        <v>Crop Nutrition</v>
      </c>
      <c r="AI31" s="20" t="str">
        <f t="shared" si="2"/>
        <v>Microbes
Chemicals Tech</v>
      </c>
      <c r="AJ31" s="20" t="str">
        <f t="shared" si="2"/>
        <v>Green Chemicals</v>
      </c>
      <c r="AK31" s="20" t="str">
        <f t="shared" si="2"/>
        <v>Crop Nutrition</v>
      </c>
      <c r="AL31" s="14" t="s">
        <v>1609</v>
      </c>
      <c r="AM31" s="14"/>
      <c r="AO31" s="14"/>
      <c r="AP31" s="14" t="s">
        <v>1740</v>
      </c>
      <c r="AQ31" s="14"/>
      <c r="AR31" s="14" t="s">
        <v>5476</v>
      </c>
      <c r="AS31" s="14" t="s">
        <v>5477</v>
      </c>
      <c r="AT31" s="14" t="s">
        <v>5478</v>
      </c>
      <c r="AU31" s="14" t="s">
        <v>5479</v>
      </c>
      <c r="AV31" s="18"/>
      <c r="AW31" s="16"/>
      <c r="AX31" s="17"/>
      <c r="AY31" s="15" t="s">
        <v>3123</v>
      </c>
      <c r="AZ31" s="17"/>
      <c r="BA31" s="16"/>
      <c r="BB31" s="14"/>
      <c r="BC31" s="14"/>
      <c r="BD31" s="15" t="s">
        <v>3123</v>
      </c>
      <c r="BE31" s="14"/>
      <c r="BF31" s="17"/>
      <c r="BG31" s="16"/>
      <c r="BH31" s="14"/>
      <c r="BI31" s="15" t="s">
        <v>3123</v>
      </c>
      <c r="BJ31" s="14"/>
      <c r="BK31" s="17"/>
      <c r="BL31" s="16"/>
      <c r="BM31" s="16"/>
      <c r="BN31" s="16"/>
      <c r="BO31" s="16"/>
      <c r="BP31" s="15" t="s">
        <v>3123</v>
      </c>
      <c r="BQ31" s="17"/>
      <c r="BR31" s="14"/>
      <c r="BS31" s="14"/>
      <c r="BT31" s="16"/>
      <c r="BU31" s="16"/>
      <c r="BV31" s="13"/>
      <c r="BW31" s="18" t="s">
        <v>5480</v>
      </c>
      <c r="BX31" s="13">
        <v>-1</v>
      </c>
      <c r="BY31" s="17">
        <v>44113</v>
      </c>
      <c r="BZ31" s="18" t="s">
        <v>5481</v>
      </c>
      <c r="CA31" s="18"/>
      <c r="CB31" s="18" t="s">
        <v>5482</v>
      </c>
      <c r="CC31" s="18" t="s">
        <v>5483</v>
      </c>
      <c r="CD31" s="14" t="s">
        <v>5484</v>
      </c>
      <c r="CE31" s="17">
        <v>43474</v>
      </c>
      <c r="CF31" s="16"/>
      <c r="CG31" s="17"/>
      <c r="CH31" s="16"/>
      <c r="CI31" s="17"/>
      <c r="CJ31" s="16"/>
      <c r="CK31" s="17"/>
      <c r="CL31" s="16"/>
      <c r="CM31" s="17"/>
      <c r="CN31" s="19">
        <v>18.506331644805481</v>
      </c>
      <c r="CO31" s="19"/>
      <c r="CP31" s="17"/>
      <c r="CQ31" s="14" t="s">
        <v>5345</v>
      </c>
      <c r="CR31" s="14" t="s">
        <v>5361</v>
      </c>
      <c r="CS31" s="14" t="s">
        <v>5311</v>
      </c>
    </row>
    <row r="32" spans="1:97" ht="26.15" customHeight="1">
      <c r="A32" s="2">
        <v>261</v>
      </c>
      <c r="B32" s="25" t="s">
        <v>110</v>
      </c>
      <c r="C32" s="25" t="str">
        <f>VLOOKUP(B32, Sheet6!$A$1:$B$77, 2, FALSE)</f>
        <v>Yes</v>
      </c>
      <c r="D32" s="25" t="s">
        <v>111</v>
      </c>
      <c r="E32" s="25" t="s">
        <v>114</v>
      </c>
      <c r="F32" s="25" t="s">
        <v>8302</v>
      </c>
      <c r="G32" s="25" t="s">
        <v>10955</v>
      </c>
      <c r="H32" s="25" t="s">
        <v>10957</v>
      </c>
      <c r="I32" s="25" t="s">
        <v>10958</v>
      </c>
      <c r="J32" s="26" t="s">
        <v>10819</v>
      </c>
      <c r="L32" s="13">
        <v>2018</v>
      </c>
      <c r="M32" s="14"/>
      <c r="N32" s="14"/>
      <c r="O32" s="14" t="s">
        <v>1740</v>
      </c>
      <c r="P32" s="15" t="s">
        <v>3117</v>
      </c>
      <c r="Q32" s="16"/>
      <c r="R32" s="17">
        <v>43203</v>
      </c>
      <c r="S32" s="16" t="s">
        <v>5485</v>
      </c>
      <c r="T32" s="16">
        <v>15000</v>
      </c>
      <c r="U32" s="14" t="s">
        <v>5040</v>
      </c>
      <c r="V32" s="13">
        <v>3</v>
      </c>
      <c r="W32" s="17">
        <v>44082</v>
      </c>
      <c r="X32" s="14"/>
      <c r="Y32" s="17"/>
      <c r="Z32" s="17"/>
      <c r="AA32" s="14" t="s">
        <v>5041</v>
      </c>
      <c r="AB32" s="14" t="s">
        <v>5042</v>
      </c>
      <c r="AC32" s="14" t="s">
        <v>5486</v>
      </c>
      <c r="AD32" s="20" t="str">
        <f t="shared" si="1"/>
        <v>IoT Applications &gt; Industry Specific &gt; Agriculture &gt; Farms
Crop Tech &gt; Farm Analytics &gt; Multispectral Sensing</v>
      </c>
      <c r="AE32" s="20" t="str">
        <f t="shared" si="2"/>
        <v>IoT Applications</v>
      </c>
      <c r="AF32" s="20" t="str">
        <f t="shared" si="2"/>
        <v>Industry Specific</v>
      </c>
      <c r="AG32" s="20" t="str">
        <f t="shared" si="2"/>
        <v>Agriculture</v>
      </c>
      <c r="AH32" s="20" t="str">
        <f t="shared" si="2"/>
        <v>Farms
Crop Tech</v>
      </c>
      <c r="AI32" s="20" t="str">
        <f t="shared" si="2"/>
        <v>Farm Analytics</v>
      </c>
      <c r="AJ32" s="20" t="str">
        <f t="shared" si="2"/>
        <v>Multispectral Sensing</v>
      </c>
      <c r="AK32" s="20" t="str">
        <f t="shared" si="2"/>
        <v/>
      </c>
      <c r="AL32" s="14" t="s">
        <v>3689</v>
      </c>
      <c r="AM32" s="14"/>
      <c r="AO32" s="14"/>
      <c r="AP32" s="14" t="s">
        <v>1740</v>
      </c>
      <c r="AQ32" s="14"/>
      <c r="AR32" s="14"/>
      <c r="AS32" s="14" t="s">
        <v>5488</v>
      </c>
      <c r="AT32" s="14" t="s">
        <v>5489</v>
      </c>
      <c r="AU32" s="14"/>
      <c r="AV32" s="18"/>
      <c r="AW32" s="16"/>
      <c r="AX32" s="17"/>
      <c r="AY32" s="15" t="s">
        <v>3123</v>
      </c>
      <c r="AZ32" s="17"/>
      <c r="BA32" s="16"/>
      <c r="BB32" s="14"/>
      <c r="BC32" s="14"/>
      <c r="BD32" s="15" t="s">
        <v>3123</v>
      </c>
      <c r="BE32" s="14"/>
      <c r="BF32" s="17"/>
      <c r="BG32" s="16"/>
      <c r="BH32" s="14"/>
      <c r="BI32" s="15" t="s">
        <v>3123</v>
      </c>
      <c r="BJ32" s="14"/>
      <c r="BK32" s="17"/>
      <c r="BL32" s="16"/>
      <c r="BM32" s="16"/>
      <c r="BN32" s="16"/>
      <c r="BO32" s="16"/>
      <c r="BP32" s="15" t="s">
        <v>3123</v>
      </c>
      <c r="BQ32" s="17"/>
      <c r="BR32" s="14"/>
      <c r="BS32" s="14"/>
      <c r="BT32" s="16"/>
      <c r="BU32" s="16"/>
      <c r="BV32" s="13"/>
      <c r="BW32" s="18" t="s">
        <v>5490</v>
      </c>
      <c r="BX32" s="13">
        <v>302</v>
      </c>
      <c r="BY32" s="17">
        <v>44112</v>
      </c>
      <c r="BZ32" s="18"/>
      <c r="CA32" s="18"/>
      <c r="CB32" s="18" t="s">
        <v>5491</v>
      </c>
      <c r="CC32" s="18"/>
      <c r="CD32" s="14" t="s">
        <v>5492</v>
      </c>
      <c r="CE32" s="17">
        <v>43980</v>
      </c>
      <c r="CF32" s="16"/>
      <c r="CG32" s="17"/>
      <c r="CH32" s="16"/>
      <c r="CI32" s="17"/>
      <c r="CJ32" s="16"/>
      <c r="CK32" s="17"/>
      <c r="CL32" s="16"/>
      <c r="CM32" s="17"/>
      <c r="CN32" s="19">
        <v>15.175784588026591</v>
      </c>
      <c r="CO32" s="19"/>
      <c r="CP32" s="17"/>
      <c r="CQ32" s="14" t="s">
        <v>5104</v>
      </c>
      <c r="CR32" s="14" t="s">
        <v>5037</v>
      </c>
      <c r="CS32" s="14" t="s">
        <v>5004</v>
      </c>
    </row>
    <row r="33" spans="1:97" ht="26.15" customHeight="1">
      <c r="A33" s="2">
        <v>296</v>
      </c>
      <c r="B33" s="25" t="s">
        <v>1705</v>
      </c>
      <c r="C33" s="25" t="str">
        <f>VLOOKUP(B33, Sheet6!$A$1:$B$77, 2, FALSE)</f>
        <v>Yes</v>
      </c>
      <c r="D33" s="25" t="s">
        <v>1706</v>
      </c>
      <c r="E33" s="25" t="s">
        <v>1710</v>
      </c>
      <c r="F33" s="25" t="s">
        <v>8779</v>
      </c>
      <c r="G33" s="25" t="s">
        <v>10954</v>
      </c>
      <c r="H33" s="25" t="s">
        <v>10959</v>
      </c>
      <c r="I33" s="25" t="s">
        <v>10958</v>
      </c>
      <c r="J33" s="26" t="s">
        <v>10870</v>
      </c>
      <c r="L33" s="13">
        <v>2018</v>
      </c>
      <c r="M33" s="14" t="s">
        <v>5507</v>
      </c>
      <c r="N33" s="14" t="s">
        <v>5507</v>
      </c>
      <c r="O33" s="14" t="s">
        <v>5508</v>
      </c>
      <c r="P33" s="15" t="s">
        <v>3117</v>
      </c>
      <c r="Q33" s="16"/>
      <c r="R33" s="17">
        <v>43353</v>
      </c>
      <c r="S33" s="16"/>
      <c r="T33" s="16" t="s">
        <v>50</v>
      </c>
      <c r="U33" s="14" t="s">
        <v>34</v>
      </c>
      <c r="V33" s="13">
        <v>2</v>
      </c>
      <c r="W33" s="17">
        <v>44019</v>
      </c>
      <c r="X33" s="14"/>
      <c r="Y33" s="17"/>
      <c r="Z33" s="17"/>
      <c r="AA33" s="14" t="s">
        <v>5509</v>
      </c>
      <c r="AB33" s="14" t="s">
        <v>5510</v>
      </c>
      <c r="AC33" s="14" t="s">
        <v>5511</v>
      </c>
      <c r="AD33" s="20" t="str">
        <f t="shared" si="1"/>
        <v>B2B E-Commerce &gt; Food &amp; Beverages &gt; Groceries &gt; Farm Products &gt; Marketplace
Online Grocery &gt; B2B Ecommerce &gt; Farm Produce &gt; Fruits and Vegetables &gt; Marketplace
Crop Tech &gt; ECommerce &gt; Farm Produce &gt; B2B &gt; Fruits and Vegetables &gt; Marketplace</v>
      </c>
      <c r="AE33" s="20" t="str">
        <f t="shared" si="2"/>
        <v>B2B E-Commerce</v>
      </c>
      <c r="AF33" s="20" t="str">
        <f t="shared" si="2"/>
        <v>Food &amp; Beverages</v>
      </c>
      <c r="AG33" s="20" t="str">
        <f t="shared" si="2"/>
        <v>Groceries</v>
      </c>
      <c r="AH33" s="20" t="str">
        <f t="shared" si="2"/>
        <v>Farm Products</v>
      </c>
      <c r="AI33" s="20" t="str">
        <f t="shared" si="2"/>
        <v>Marketplace
Online Grocery</v>
      </c>
      <c r="AJ33" s="20" t="str">
        <f t="shared" si="2"/>
        <v>B2B Ecommerce</v>
      </c>
      <c r="AK33" s="20" t="str">
        <f t="shared" si="2"/>
        <v>Farm Produce</v>
      </c>
      <c r="AL33" s="14" t="s">
        <v>3981</v>
      </c>
      <c r="AM33" s="14"/>
      <c r="AO33" s="14"/>
      <c r="AP33" s="14" t="s">
        <v>5508</v>
      </c>
      <c r="AQ33" s="14"/>
      <c r="AR33" s="14"/>
      <c r="AS33" s="14" t="s">
        <v>5513</v>
      </c>
      <c r="AT33" s="14" t="s">
        <v>5514</v>
      </c>
      <c r="AU33" s="14" t="s">
        <v>5515</v>
      </c>
      <c r="AV33" s="18"/>
      <c r="AW33" s="16"/>
      <c r="AX33" s="17"/>
      <c r="AY33" s="15" t="s">
        <v>3123</v>
      </c>
      <c r="AZ33" s="17"/>
      <c r="BA33" s="16"/>
      <c r="BB33" s="14"/>
      <c r="BC33" s="14"/>
      <c r="BD33" s="15" t="s">
        <v>3123</v>
      </c>
      <c r="BE33" s="14"/>
      <c r="BF33" s="17"/>
      <c r="BG33" s="16"/>
      <c r="BH33" s="14"/>
      <c r="BI33" s="15" t="s">
        <v>3123</v>
      </c>
      <c r="BJ33" s="14"/>
      <c r="BK33" s="17"/>
      <c r="BL33" s="16"/>
      <c r="BM33" s="16"/>
      <c r="BN33" s="16"/>
      <c r="BO33" s="16"/>
      <c r="BP33" s="15" t="s">
        <v>3123</v>
      </c>
      <c r="BQ33" s="17"/>
      <c r="BR33" s="14"/>
      <c r="BS33" s="14"/>
      <c r="BT33" s="16"/>
      <c r="BU33" s="16"/>
      <c r="BV33" s="13"/>
      <c r="BW33" s="18" t="s">
        <v>5516</v>
      </c>
      <c r="BX33" s="13">
        <v>301</v>
      </c>
      <c r="BY33" s="17">
        <v>44112</v>
      </c>
      <c r="BZ33" s="18" t="s">
        <v>5517</v>
      </c>
      <c r="CA33" s="18"/>
      <c r="CB33" s="18"/>
      <c r="CC33" s="18" t="s">
        <v>5518</v>
      </c>
      <c r="CD33" s="14" t="s">
        <v>5519</v>
      </c>
      <c r="CE33" s="17">
        <v>43370</v>
      </c>
      <c r="CF33" s="16"/>
      <c r="CG33" s="17"/>
      <c r="CH33" s="16"/>
      <c r="CI33" s="17"/>
      <c r="CJ33" s="16"/>
      <c r="CK33" s="17"/>
      <c r="CL33" s="16"/>
      <c r="CM33" s="17"/>
      <c r="CN33" s="19">
        <v>16.877520400066626</v>
      </c>
      <c r="CO33" s="19"/>
      <c r="CP33" s="17"/>
      <c r="CQ33" s="14" t="s">
        <v>5002</v>
      </c>
      <c r="CR33" s="14" t="s">
        <v>5520</v>
      </c>
      <c r="CS33" s="14" t="s">
        <v>5521</v>
      </c>
    </row>
    <row r="34" spans="1:97" ht="26.15" customHeight="1">
      <c r="A34" s="2">
        <v>102</v>
      </c>
      <c r="B34" s="25" t="s">
        <v>1895</v>
      </c>
      <c r="C34" s="25" t="str">
        <f>VLOOKUP(B34, Sheet6!$A$1:$B$77, 2, FALSE)</f>
        <v>Yes</v>
      </c>
      <c r="D34" s="25" t="s">
        <v>1896</v>
      </c>
      <c r="E34" s="25" t="s">
        <v>1898</v>
      </c>
      <c r="F34" s="25" t="s">
        <v>6343</v>
      </c>
      <c r="G34" s="25" t="s">
        <v>10955</v>
      </c>
      <c r="H34" s="25" t="s">
        <v>10959</v>
      </c>
      <c r="I34" s="25" t="s">
        <v>10958</v>
      </c>
      <c r="J34" s="26" t="s">
        <v>10842</v>
      </c>
      <c r="L34" s="13">
        <v>2018</v>
      </c>
      <c r="M34" s="14" t="s">
        <v>5522</v>
      </c>
      <c r="N34" s="14" t="s">
        <v>5523</v>
      </c>
      <c r="O34" s="14" t="s">
        <v>5524</v>
      </c>
      <c r="P34" s="15" t="s">
        <v>3117</v>
      </c>
      <c r="Q34" s="16">
        <v>50000</v>
      </c>
      <c r="R34" s="17">
        <v>43252</v>
      </c>
      <c r="S34" s="16" t="s">
        <v>5425</v>
      </c>
      <c r="T34" s="16">
        <v>50000</v>
      </c>
      <c r="U34" s="14" t="s">
        <v>34</v>
      </c>
      <c r="V34" s="13">
        <v>3</v>
      </c>
      <c r="W34" s="17">
        <v>44028</v>
      </c>
      <c r="X34" s="14"/>
      <c r="Y34" s="17"/>
      <c r="Z34" s="17"/>
      <c r="AA34" s="14" t="s">
        <v>5442</v>
      </c>
      <c r="AB34" s="14" t="s">
        <v>5534</v>
      </c>
      <c r="AC34" s="14" t="s">
        <v>1627</v>
      </c>
      <c r="AD34" s="20" t="str">
        <f t="shared" si="1"/>
        <v>Aquaculture Tech &gt; ECommerce &gt; Farm Produce &gt; B2C &gt; Fish &gt; Marketplace
MassChallenge Batches &gt; Switzerland &gt; 2020</v>
      </c>
      <c r="AE34" s="20" t="str">
        <f t="shared" si="2"/>
        <v>Aquaculture Tech</v>
      </c>
      <c r="AF34" s="20" t="str">
        <f t="shared" si="2"/>
        <v>ECommerce</v>
      </c>
      <c r="AG34" s="20" t="str">
        <f t="shared" si="2"/>
        <v>Farm Produce</v>
      </c>
      <c r="AH34" s="20" t="str">
        <f t="shared" si="2"/>
        <v>B2C</v>
      </c>
      <c r="AI34" s="20" t="str">
        <f t="shared" si="2"/>
        <v>Fish</v>
      </c>
      <c r="AJ34" s="20" t="str">
        <f t="shared" si="2"/>
        <v>Marketplace
MassChallenge Batches</v>
      </c>
      <c r="AK34" s="20" t="str">
        <f t="shared" si="2"/>
        <v>Switzerland</v>
      </c>
      <c r="AL34" s="14" t="s">
        <v>5535</v>
      </c>
      <c r="AM34" s="14"/>
      <c r="AO34" s="14"/>
      <c r="AP34" s="14" t="s">
        <v>5524</v>
      </c>
      <c r="AQ34" s="14"/>
      <c r="AR34" s="14"/>
      <c r="AS34" s="14" t="s">
        <v>5536</v>
      </c>
      <c r="AT34" s="14" t="s">
        <v>5537</v>
      </c>
      <c r="AU34" s="14" t="s">
        <v>5538</v>
      </c>
      <c r="AV34" s="18"/>
      <c r="AW34" s="16"/>
      <c r="AX34" s="17"/>
      <c r="AY34" s="15" t="s">
        <v>3123</v>
      </c>
      <c r="AZ34" s="17"/>
      <c r="BA34" s="16"/>
      <c r="BB34" s="14"/>
      <c r="BC34" s="14"/>
      <c r="BD34" s="15" t="s">
        <v>3123</v>
      </c>
      <c r="BE34" s="14"/>
      <c r="BF34" s="17"/>
      <c r="BG34" s="16"/>
      <c r="BH34" s="14"/>
      <c r="BI34" s="15" t="s">
        <v>3123</v>
      </c>
      <c r="BJ34" s="14"/>
      <c r="BK34" s="17"/>
      <c r="BL34" s="16"/>
      <c r="BM34" s="16"/>
      <c r="BN34" s="16"/>
      <c r="BO34" s="16"/>
      <c r="BP34" s="15" t="s">
        <v>3123</v>
      </c>
      <c r="BQ34" s="17"/>
      <c r="BR34" s="14"/>
      <c r="BS34" s="14"/>
      <c r="BT34" s="16"/>
      <c r="BU34" s="16"/>
      <c r="BV34" s="13"/>
      <c r="BW34" s="18" t="s">
        <v>5539</v>
      </c>
      <c r="BX34" s="13">
        <v>200</v>
      </c>
      <c r="BY34" s="17">
        <v>44128</v>
      </c>
      <c r="BZ34" s="18"/>
      <c r="CA34" s="18"/>
      <c r="CB34" s="18"/>
      <c r="CC34" s="18"/>
      <c r="CD34" s="14" t="s">
        <v>5540</v>
      </c>
      <c r="CE34" s="17">
        <v>43549</v>
      </c>
      <c r="CF34" s="16"/>
      <c r="CG34" s="17"/>
      <c r="CH34" s="16"/>
      <c r="CI34" s="17"/>
      <c r="CJ34" s="16"/>
      <c r="CK34" s="17"/>
      <c r="CL34" s="16"/>
      <c r="CM34" s="17"/>
      <c r="CN34" s="19">
        <v>22.377389036586766</v>
      </c>
      <c r="CO34" s="19"/>
      <c r="CP34" s="17"/>
      <c r="CQ34" s="14" t="s">
        <v>5541</v>
      </c>
      <c r="CR34" s="14" t="s">
        <v>5104</v>
      </c>
      <c r="CS34" s="14" t="s">
        <v>5542</v>
      </c>
    </row>
    <row r="35" spans="1:97" ht="26.15" customHeight="1">
      <c r="A35" s="2">
        <v>235</v>
      </c>
      <c r="B35" s="25" t="s">
        <v>1946</v>
      </c>
      <c r="C35" s="25" t="str">
        <f>VLOOKUP(B35, Sheet6!$A$1:$B$77, 2, FALSE)</f>
        <v>Yes</v>
      </c>
      <c r="D35" s="25" t="s">
        <v>1947</v>
      </c>
      <c r="E35" s="25" t="s">
        <v>1951</v>
      </c>
      <c r="F35" s="25" t="s">
        <v>7944</v>
      </c>
      <c r="G35" s="25" t="s">
        <v>10955</v>
      </c>
      <c r="H35" s="25" t="s">
        <v>10957</v>
      </c>
      <c r="I35" s="25" t="s">
        <v>10958</v>
      </c>
      <c r="J35" s="26" t="s">
        <v>10819</v>
      </c>
      <c r="L35" s="13">
        <v>2014</v>
      </c>
      <c r="M35" s="14" t="s">
        <v>5389</v>
      </c>
      <c r="N35" s="14" t="s">
        <v>5390</v>
      </c>
      <c r="O35" s="14" t="s">
        <v>5391</v>
      </c>
      <c r="P35" s="15" t="s">
        <v>3117</v>
      </c>
      <c r="Q35" s="16">
        <v>46450000</v>
      </c>
      <c r="R35" s="17">
        <v>43923</v>
      </c>
      <c r="S35" s="16" t="s">
        <v>5543</v>
      </c>
      <c r="T35" s="16">
        <v>5000000</v>
      </c>
      <c r="U35" s="14" t="s">
        <v>95</v>
      </c>
      <c r="V35" s="13">
        <v>4</v>
      </c>
      <c r="W35" s="17">
        <v>44013</v>
      </c>
      <c r="X35" s="14" t="s">
        <v>5544</v>
      </c>
      <c r="Y35" s="17">
        <v>43880</v>
      </c>
      <c r="Z35" s="17">
        <v>43766</v>
      </c>
      <c r="AA35" s="14" t="s">
        <v>5509</v>
      </c>
      <c r="AB35" s="14" t="s">
        <v>5510</v>
      </c>
      <c r="AC35" s="14" t="s">
        <v>5545</v>
      </c>
      <c r="AD35" s="20" t="str">
        <f t="shared" si="1"/>
        <v>B2B E-Commerce &gt; Food &amp; Beverages &gt; Groceries &gt; Farm Products &gt; E-Distributor
Online Grocery &gt; B2B Ecommerce &gt; Farm Produce &gt; Fruits and Vegetables &gt; Marketplace
Crop Tech &gt; ECommerce &gt; Farm Produce &gt; B2B &gt; Fruits and Vegetables &gt; Marketplace</v>
      </c>
      <c r="AE35" s="20" t="str">
        <f t="shared" si="2"/>
        <v>B2B E-Commerce</v>
      </c>
      <c r="AF35" s="20" t="str">
        <f t="shared" si="2"/>
        <v>Food &amp; Beverages</v>
      </c>
      <c r="AG35" s="20" t="str">
        <f t="shared" si="2"/>
        <v>Groceries</v>
      </c>
      <c r="AH35" s="20" t="str">
        <f t="shared" si="2"/>
        <v>Farm Products</v>
      </c>
      <c r="AI35" s="20" t="str">
        <f t="shared" si="2"/>
        <v>E-Distributor
Online Grocery</v>
      </c>
      <c r="AJ35" s="20" t="str">
        <f t="shared" si="2"/>
        <v>B2B Ecommerce</v>
      </c>
      <c r="AK35" s="20" t="str">
        <f t="shared" si="2"/>
        <v>Farm Produce</v>
      </c>
      <c r="AL35" s="14" t="s">
        <v>5546</v>
      </c>
      <c r="AM35" s="14" t="s">
        <v>1337</v>
      </c>
      <c r="AO35" s="14"/>
      <c r="AP35" s="14" t="s">
        <v>5391</v>
      </c>
      <c r="AQ35" s="14" t="s">
        <v>5548</v>
      </c>
      <c r="AR35" s="14" t="s">
        <v>5549</v>
      </c>
      <c r="AS35" s="14" t="s">
        <v>5550</v>
      </c>
      <c r="AT35" s="14" t="s">
        <v>5551</v>
      </c>
      <c r="AU35" s="14" t="s">
        <v>5552</v>
      </c>
      <c r="AV35" s="18" t="s">
        <v>5553</v>
      </c>
      <c r="AW35" s="16"/>
      <c r="AX35" s="17"/>
      <c r="AY35" s="15" t="s">
        <v>3123</v>
      </c>
      <c r="AZ35" s="17"/>
      <c r="BA35" s="16"/>
      <c r="BB35" s="14"/>
      <c r="BC35" s="14"/>
      <c r="BD35" s="15" t="s">
        <v>3123</v>
      </c>
      <c r="BE35" s="14"/>
      <c r="BF35" s="17"/>
      <c r="BG35" s="16"/>
      <c r="BH35" s="14"/>
      <c r="BI35" s="15" t="s">
        <v>3123</v>
      </c>
      <c r="BJ35" s="14"/>
      <c r="BK35" s="17"/>
      <c r="BL35" s="16"/>
      <c r="BM35" s="16"/>
      <c r="BN35" s="16"/>
      <c r="BO35" s="16"/>
      <c r="BP35" s="15" t="s">
        <v>3123</v>
      </c>
      <c r="BQ35" s="17"/>
      <c r="BR35" s="14"/>
      <c r="BS35" s="14"/>
      <c r="BT35" s="16"/>
      <c r="BU35" s="16"/>
      <c r="BV35" s="13"/>
      <c r="BW35" s="18" t="s">
        <v>5554</v>
      </c>
      <c r="BX35" s="13">
        <v>301</v>
      </c>
      <c r="BY35" s="17">
        <v>44112</v>
      </c>
      <c r="BZ35" s="18" t="s">
        <v>5555</v>
      </c>
      <c r="CA35" s="18" t="s">
        <v>5556</v>
      </c>
      <c r="CB35" s="18" t="s">
        <v>5557</v>
      </c>
      <c r="CC35" s="18"/>
      <c r="CD35" s="14" t="s">
        <v>5558</v>
      </c>
      <c r="CE35" s="17">
        <v>43342</v>
      </c>
      <c r="CF35" s="16"/>
      <c r="CG35" s="17"/>
      <c r="CH35" s="16"/>
      <c r="CI35" s="17"/>
      <c r="CJ35" s="16"/>
      <c r="CK35" s="17"/>
      <c r="CL35" s="16"/>
      <c r="CM35" s="17"/>
      <c r="CN35" s="19">
        <v>55.138363644326446</v>
      </c>
      <c r="CO35" s="19"/>
      <c r="CP35" s="17"/>
      <c r="CQ35" s="14" t="s">
        <v>5002</v>
      </c>
      <c r="CR35" s="14" t="s">
        <v>5559</v>
      </c>
      <c r="CS35" s="14" t="s">
        <v>5004</v>
      </c>
    </row>
    <row r="36" spans="1:97" ht="26.15" customHeight="1">
      <c r="A36" s="2">
        <v>50</v>
      </c>
      <c r="B36" s="25" t="s">
        <v>411</v>
      </c>
      <c r="C36" s="25" t="str">
        <f>VLOOKUP(B36, Sheet6!$A$1:$B$77, 2, FALSE)</f>
        <v>Yes</v>
      </c>
      <c r="D36" s="25" t="s">
        <v>412</v>
      </c>
      <c r="E36" s="25" t="s">
        <v>416</v>
      </c>
      <c r="F36" s="25" t="s">
        <v>5680</v>
      </c>
      <c r="G36" s="25" t="s">
        <v>10955</v>
      </c>
      <c r="H36" s="25" t="s">
        <v>10959</v>
      </c>
      <c r="I36" s="25" t="s">
        <v>10958</v>
      </c>
      <c r="J36" s="26" t="s">
        <v>10766</v>
      </c>
      <c r="L36" s="13">
        <v>2019</v>
      </c>
      <c r="M36" s="14" t="s">
        <v>5222</v>
      </c>
      <c r="N36" s="14" t="s">
        <v>5223</v>
      </c>
      <c r="O36" s="14" t="s">
        <v>3994</v>
      </c>
      <c r="P36" s="15" t="s">
        <v>3117</v>
      </c>
      <c r="Q36" s="16">
        <v>2500000</v>
      </c>
      <c r="R36" s="17">
        <v>44067</v>
      </c>
      <c r="S36" s="16" t="s">
        <v>5134</v>
      </c>
      <c r="T36" s="16">
        <v>1000000</v>
      </c>
      <c r="U36" s="14" t="s">
        <v>34</v>
      </c>
      <c r="V36" s="13">
        <v>4</v>
      </c>
      <c r="W36" s="17">
        <v>43991</v>
      </c>
      <c r="X36" s="14" t="s">
        <v>5052</v>
      </c>
      <c r="Y36" s="17">
        <v>44070</v>
      </c>
      <c r="Z36" s="17">
        <v>44067</v>
      </c>
      <c r="AA36" s="14" t="s">
        <v>4995</v>
      </c>
      <c r="AB36" s="14" t="s">
        <v>5578</v>
      </c>
      <c r="AC36" s="14" t="s">
        <v>5579</v>
      </c>
      <c r="AD36" s="20" t="str">
        <f t="shared" si="1"/>
        <v>Online Grocery &gt; B2C Ecommerce &gt; Fruits and Vegetables &gt; Farm to Home
Crop Tech &gt; ECommerce &gt; Farm Produce &gt; B2C &gt; Fruits and Vegetables &gt; Farm to Home</v>
      </c>
      <c r="AE36" s="20" t="str">
        <f t="shared" si="2"/>
        <v>Online Grocery</v>
      </c>
      <c r="AF36" s="20" t="str">
        <f t="shared" si="2"/>
        <v>B2C Ecommerce</v>
      </c>
      <c r="AG36" s="20" t="str">
        <f t="shared" si="2"/>
        <v>Fruits and Vegetables</v>
      </c>
      <c r="AH36" s="20" t="str">
        <f t="shared" si="2"/>
        <v>Farm to Home
Crop Tech</v>
      </c>
      <c r="AI36" s="20" t="str">
        <f t="shared" si="2"/>
        <v>ECommerce</v>
      </c>
      <c r="AJ36" s="20" t="str">
        <f t="shared" si="2"/>
        <v>Farm Produce</v>
      </c>
      <c r="AK36" s="20" t="str">
        <f t="shared" si="2"/>
        <v>B2C</v>
      </c>
      <c r="AL36" s="14" t="s">
        <v>5580</v>
      </c>
      <c r="AM36" s="14"/>
      <c r="AO36" s="14"/>
      <c r="AP36" s="14" t="s">
        <v>3994</v>
      </c>
      <c r="AQ36" s="14" t="s">
        <v>5582</v>
      </c>
      <c r="AR36" s="14" t="s">
        <v>5583</v>
      </c>
      <c r="AS36" s="14" t="s">
        <v>5584</v>
      </c>
      <c r="AT36" s="14" t="s">
        <v>5585</v>
      </c>
      <c r="AU36" s="14" t="s">
        <v>5586</v>
      </c>
      <c r="AV36" s="18"/>
      <c r="AW36" s="16">
        <v>1467884.1449135165</v>
      </c>
      <c r="AX36" s="17">
        <v>43465</v>
      </c>
      <c r="AY36" s="15" t="s">
        <v>3123</v>
      </c>
      <c r="AZ36" s="17"/>
      <c r="BA36" s="16"/>
      <c r="BB36" s="14"/>
      <c r="BC36" s="14"/>
      <c r="BD36" s="15" t="s">
        <v>3123</v>
      </c>
      <c r="BE36" s="14"/>
      <c r="BF36" s="17"/>
      <c r="BG36" s="16"/>
      <c r="BH36" s="14"/>
      <c r="BI36" s="15" t="s">
        <v>3123</v>
      </c>
      <c r="BJ36" s="14"/>
      <c r="BK36" s="17"/>
      <c r="BL36" s="16"/>
      <c r="BM36" s="16"/>
      <c r="BN36" s="16"/>
      <c r="BO36" s="16"/>
      <c r="BP36" s="15" t="s">
        <v>3123</v>
      </c>
      <c r="BQ36" s="17"/>
      <c r="BR36" s="14" t="s">
        <v>161</v>
      </c>
      <c r="BS36" s="14"/>
      <c r="BT36" s="16"/>
      <c r="BU36" s="16"/>
      <c r="BV36" s="13"/>
      <c r="BW36" s="18" t="s">
        <v>5587</v>
      </c>
      <c r="BX36" s="13">
        <v>200</v>
      </c>
      <c r="BY36" s="17">
        <v>44131</v>
      </c>
      <c r="BZ36" s="18" t="s">
        <v>5588</v>
      </c>
      <c r="CA36" s="18" t="s">
        <v>5589</v>
      </c>
      <c r="CB36" s="18" t="s">
        <v>5590</v>
      </c>
      <c r="CC36" s="18"/>
      <c r="CD36" s="14" t="s">
        <v>5591</v>
      </c>
      <c r="CE36" s="17">
        <v>43986</v>
      </c>
      <c r="CF36" s="16">
        <v>-635346.29653899639</v>
      </c>
      <c r="CG36" s="17">
        <v>43465</v>
      </c>
      <c r="CH36" s="16">
        <v>-613365.4576932413</v>
      </c>
      <c r="CI36" s="17">
        <v>43465</v>
      </c>
      <c r="CJ36" s="16"/>
      <c r="CK36" s="17"/>
      <c r="CL36" s="16">
        <v>68</v>
      </c>
      <c r="CM36" s="17">
        <v>43921</v>
      </c>
      <c r="CN36" s="19">
        <v>53.301316001981938</v>
      </c>
      <c r="CO36" s="19"/>
      <c r="CP36" s="17"/>
      <c r="CQ36" s="14" t="s">
        <v>5082</v>
      </c>
      <c r="CR36" s="14" t="s">
        <v>5083</v>
      </c>
      <c r="CS36" s="14" t="s">
        <v>5004</v>
      </c>
    </row>
    <row r="37" spans="1:97" ht="26.15" customHeight="1">
      <c r="A37" s="2">
        <v>382</v>
      </c>
      <c r="B37" s="25" t="s">
        <v>2226</v>
      </c>
      <c r="C37" s="25" t="str">
        <f>VLOOKUP(B37, Sheet6!$A$1:$B$77, 2, FALSE)</f>
        <v>Yes</v>
      </c>
      <c r="D37" s="25" t="s">
        <v>2227</v>
      </c>
      <c r="E37" s="25" t="s">
        <v>2228</v>
      </c>
      <c r="F37" s="25" t="s">
        <v>9212</v>
      </c>
      <c r="G37" s="25" t="s">
        <v>10955</v>
      </c>
      <c r="H37" s="25" t="s">
        <v>10957</v>
      </c>
      <c r="I37" s="25" t="s">
        <v>10968</v>
      </c>
      <c r="J37" s="25" t="s">
        <v>10842</v>
      </c>
      <c r="L37" s="13">
        <v>2006</v>
      </c>
      <c r="M37" s="14" t="s">
        <v>5592</v>
      </c>
      <c r="N37" s="14" t="s">
        <v>5313</v>
      </c>
      <c r="O37" s="14" t="s">
        <v>3994</v>
      </c>
      <c r="P37" s="15" t="s">
        <v>3117</v>
      </c>
      <c r="Q37" s="16">
        <v>9099055</v>
      </c>
      <c r="R37" s="17">
        <v>43190</v>
      </c>
      <c r="S37" s="16" t="s">
        <v>5593</v>
      </c>
      <c r="T37" s="16">
        <v>215216</v>
      </c>
      <c r="U37" s="14" t="s">
        <v>34</v>
      </c>
      <c r="V37" s="13">
        <v>5</v>
      </c>
      <c r="W37" s="17">
        <v>44022</v>
      </c>
      <c r="X37" s="14"/>
      <c r="Y37" s="17"/>
      <c r="Z37" s="17"/>
      <c r="AA37" s="14" t="s">
        <v>1</v>
      </c>
      <c r="AB37" s="14" t="s">
        <v>5007</v>
      </c>
      <c r="AC37" s="14" t="s">
        <v>5594</v>
      </c>
      <c r="AD37" s="20" t="str">
        <f t="shared" si="1"/>
        <v>Crop Tech &gt; Content Platforms &gt; Data as a Service &gt; Farm Data Platform</v>
      </c>
      <c r="AE37" s="20" t="str">
        <f t="shared" si="2"/>
        <v>Crop Tech</v>
      </c>
      <c r="AF37" s="20" t="str">
        <f t="shared" si="2"/>
        <v>Content Platforms</v>
      </c>
      <c r="AG37" s="20" t="str">
        <f t="shared" si="2"/>
        <v>Data as a Service</v>
      </c>
      <c r="AH37" s="20" t="str">
        <f t="shared" si="2"/>
        <v>Farm Data Platform</v>
      </c>
      <c r="AI37" s="20" t="str">
        <f t="shared" si="2"/>
        <v/>
      </c>
      <c r="AJ37" s="20" t="str">
        <f t="shared" si="2"/>
        <v/>
      </c>
      <c r="AK37" s="20" t="str">
        <f t="shared" si="2"/>
        <v/>
      </c>
      <c r="AL37" s="14" t="s">
        <v>2223</v>
      </c>
      <c r="AM37" s="14" t="s">
        <v>5595</v>
      </c>
      <c r="AO37" s="14"/>
      <c r="AP37" s="14" t="s">
        <v>3994</v>
      </c>
      <c r="AQ37" s="14"/>
      <c r="AR37" s="14"/>
      <c r="AS37" s="14" t="s">
        <v>5597</v>
      </c>
      <c r="AT37" s="14" t="s">
        <v>5598</v>
      </c>
      <c r="AU37" s="14" t="s">
        <v>5599</v>
      </c>
      <c r="AV37" s="18"/>
      <c r="AW37" s="16">
        <v>760200</v>
      </c>
      <c r="AX37" s="17">
        <v>43465</v>
      </c>
      <c r="AY37" s="15" t="s">
        <v>3117</v>
      </c>
      <c r="AZ37" s="17">
        <v>39498</v>
      </c>
      <c r="BA37" s="16">
        <v>2505</v>
      </c>
      <c r="BB37" s="14"/>
      <c r="BC37" s="14"/>
      <c r="BD37" s="15" t="s">
        <v>3123</v>
      </c>
      <c r="BE37" s="14"/>
      <c r="BF37" s="17"/>
      <c r="BG37" s="16"/>
      <c r="BH37" s="14"/>
      <c r="BI37" s="15" t="s">
        <v>3123</v>
      </c>
      <c r="BJ37" s="14"/>
      <c r="BK37" s="17"/>
      <c r="BL37" s="16"/>
      <c r="BM37" s="16"/>
      <c r="BN37" s="16"/>
      <c r="BO37" s="16"/>
      <c r="BP37" s="15" t="s">
        <v>3123</v>
      </c>
      <c r="BQ37" s="17"/>
      <c r="BR37" s="14" t="s">
        <v>2221</v>
      </c>
      <c r="BS37" s="14"/>
      <c r="BT37" s="16"/>
      <c r="BU37" s="16"/>
      <c r="BV37" s="13"/>
      <c r="BW37" s="18" t="s">
        <v>5600</v>
      </c>
      <c r="BX37" s="13">
        <v>200</v>
      </c>
      <c r="BY37" s="17">
        <v>44129</v>
      </c>
      <c r="BZ37" s="18" t="s">
        <v>5601</v>
      </c>
      <c r="CA37" s="18"/>
      <c r="CB37" s="18"/>
      <c r="CC37" s="18"/>
      <c r="CD37" s="14" t="s">
        <v>5602</v>
      </c>
      <c r="CE37" s="17">
        <v>43313</v>
      </c>
      <c r="CF37" s="16">
        <v>17600</v>
      </c>
      <c r="CG37" s="17">
        <v>43465</v>
      </c>
      <c r="CH37" s="16">
        <v>280700</v>
      </c>
      <c r="CI37" s="17">
        <v>43465</v>
      </c>
      <c r="CJ37" s="16">
        <v>7000000</v>
      </c>
      <c r="CK37" s="17">
        <v>43190</v>
      </c>
      <c r="CL37" s="16">
        <v>20</v>
      </c>
      <c r="CM37" s="17">
        <v>43738</v>
      </c>
      <c r="CN37" s="19">
        <v>40.659164380190575</v>
      </c>
      <c r="CO37" s="19"/>
      <c r="CP37" s="17"/>
      <c r="CQ37" s="14" t="s">
        <v>5082</v>
      </c>
      <c r="CR37" s="14" t="s">
        <v>5603</v>
      </c>
      <c r="CS37" s="14" t="s">
        <v>5004</v>
      </c>
    </row>
    <row r="38" spans="1:97" ht="26.15" customHeight="1">
      <c r="A38" s="2">
        <v>526</v>
      </c>
      <c r="B38" s="25" t="s">
        <v>2309</v>
      </c>
      <c r="C38" s="25" t="str">
        <f>VLOOKUP(B38, Sheet6!$A$1:$B$77, 2, FALSE)</f>
        <v>Yes</v>
      </c>
      <c r="D38" s="25" t="s">
        <v>2310</v>
      </c>
      <c r="E38" s="25" t="s">
        <v>2312</v>
      </c>
      <c r="F38" s="25" t="s">
        <v>10211</v>
      </c>
      <c r="G38" s="25" t="s">
        <v>10955</v>
      </c>
      <c r="H38" s="25" t="s">
        <v>10558</v>
      </c>
      <c r="I38" s="25" t="s">
        <v>10558</v>
      </c>
      <c r="J38" s="25" t="s">
        <v>10821</v>
      </c>
      <c r="L38" s="13">
        <v>2017</v>
      </c>
      <c r="M38" s="14" t="s">
        <v>5604</v>
      </c>
      <c r="N38" s="14" t="s">
        <v>5605</v>
      </c>
      <c r="O38" s="14" t="s">
        <v>3994</v>
      </c>
      <c r="P38" s="15" t="s">
        <v>3117</v>
      </c>
      <c r="Q38" s="16">
        <v>751549</v>
      </c>
      <c r="R38" s="17">
        <v>43969</v>
      </c>
      <c r="S38" s="16" t="s">
        <v>5606</v>
      </c>
      <c r="T38" s="16">
        <v>331715</v>
      </c>
      <c r="U38" s="14" t="s">
        <v>34</v>
      </c>
      <c r="V38" s="13">
        <v>4</v>
      </c>
      <c r="W38" s="17">
        <v>43671</v>
      </c>
      <c r="X38" s="14"/>
      <c r="Y38" s="17"/>
      <c r="Z38" s="17"/>
      <c r="AA38" s="14" t="s">
        <v>1</v>
      </c>
      <c r="AB38" s="14" t="s">
        <v>5084</v>
      </c>
      <c r="AC38" s="14" t="s">
        <v>5607</v>
      </c>
      <c r="AD38" s="20" t="str">
        <f t="shared" si="1"/>
        <v>Livestock Tech &gt; Tech Enabled Farm Services &gt; Poultry</v>
      </c>
      <c r="AE38" s="20" t="str">
        <f t="shared" si="2"/>
        <v>Livestock Tech</v>
      </c>
      <c r="AF38" s="20" t="str">
        <f t="shared" si="2"/>
        <v>Tech Enabled Farm Services</v>
      </c>
      <c r="AG38" s="20" t="str">
        <f t="shared" si="2"/>
        <v>Poultry</v>
      </c>
      <c r="AH38" s="20" t="str">
        <f t="shared" si="2"/>
        <v/>
      </c>
      <c r="AI38" s="20" t="str">
        <f t="shared" si="2"/>
        <v/>
      </c>
      <c r="AJ38" s="20" t="str">
        <f t="shared" si="2"/>
        <v/>
      </c>
      <c r="AK38" s="20" t="str">
        <f t="shared" si="2"/>
        <v/>
      </c>
      <c r="AL38" s="14" t="s">
        <v>5608</v>
      </c>
      <c r="AM38" s="14" t="s">
        <v>5609</v>
      </c>
      <c r="AO38" s="14"/>
      <c r="AP38" s="14" t="s">
        <v>3994</v>
      </c>
      <c r="AQ38" s="14"/>
      <c r="AR38" s="14" t="s">
        <v>5611</v>
      </c>
      <c r="AS38" s="14" t="s">
        <v>5612</v>
      </c>
      <c r="AT38" s="14" t="s">
        <v>5613</v>
      </c>
      <c r="AU38" s="14" t="s">
        <v>5614</v>
      </c>
      <c r="AV38" s="18"/>
      <c r="AW38" s="16">
        <v>362900</v>
      </c>
      <c r="AX38" s="17">
        <v>43465</v>
      </c>
      <c r="AY38" s="15" t="s">
        <v>3117</v>
      </c>
      <c r="AZ38" s="17">
        <v>43069</v>
      </c>
      <c r="BA38" s="16">
        <v>1552</v>
      </c>
      <c r="BB38" s="14" t="s">
        <v>5615</v>
      </c>
      <c r="BC38" s="14"/>
      <c r="BD38" s="15" t="s">
        <v>3123</v>
      </c>
      <c r="BE38" s="14"/>
      <c r="BF38" s="17"/>
      <c r="BG38" s="16"/>
      <c r="BH38" s="14"/>
      <c r="BI38" s="15" t="s">
        <v>3123</v>
      </c>
      <c r="BJ38" s="14"/>
      <c r="BK38" s="17"/>
      <c r="BL38" s="16"/>
      <c r="BM38" s="16"/>
      <c r="BN38" s="16"/>
      <c r="BO38" s="16"/>
      <c r="BP38" s="15" t="s">
        <v>3123</v>
      </c>
      <c r="BQ38" s="17"/>
      <c r="BR38" s="14"/>
      <c r="BS38" s="14"/>
      <c r="BT38" s="16"/>
      <c r="BU38" s="16"/>
      <c r="BV38" s="13"/>
      <c r="BW38" s="18" t="s">
        <v>5616</v>
      </c>
      <c r="BX38" s="13">
        <v>200</v>
      </c>
      <c r="BY38" s="17">
        <v>44131</v>
      </c>
      <c r="BZ38" s="18" t="s">
        <v>5617</v>
      </c>
      <c r="CA38" s="18"/>
      <c r="CB38" s="18"/>
      <c r="CC38" s="18"/>
      <c r="CD38" s="14" t="s">
        <v>5618</v>
      </c>
      <c r="CE38" s="17">
        <v>43300</v>
      </c>
      <c r="CF38" s="16">
        <v>-141100</v>
      </c>
      <c r="CG38" s="17">
        <v>43465</v>
      </c>
      <c r="CH38" s="16">
        <v>-138300</v>
      </c>
      <c r="CI38" s="17">
        <v>43465</v>
      </c>
      <c r="CJ38" s="16">
        <v>3708206.2039155862</v>
      </c>
      <c r="CK38" s="17">
        <v>43983</v>
      </c>
      <c r="CL38" s="16"/>
      <c r="CM38" s="17"/>
      <c r="CN38" s="19">
        <v>44.652189822842978</v>
      </c>
      <c r="CO38" s="19"/>
      <c r="CP38" s="17"/>
      <c r="CQ38" s="14" t="s">
        <v>5345</v>
      </c>
      <c r="CR38" s="14" t="s">
        <v>5619</v>
      </c>
      <c r="CS38" s="14" t="s">
        <v>5620</v>
      </c>
    </row>
    <row r="39" spans="1:97" ht="26.15" customHeight="1">
      <c r="A39" s="2">
        <v>413</v>
      </c>
      <c r="B39" s="25" t="s">
        <v>2246</v>
      </c>
      <c r="C39" s="25" t="str">
        <f>VLOOKUP(B39, Sheet6!$A$1:$B$77, 2, FALSE)</f>
        <v>Yes</v>
      </c>
      <c r="D39" s="25" t="s">
        <v>2247</v>
      </c>
      <c r="E39" s="25" t="s">
        <v>2250</v>
      </c>
      <c r="F39" s="25" t="s">
        <v>9404</v>
      </c>
      <c r="G39" s="25" t="s">
        <v>10954</v>
      </c>
      <c r="H39" s="25" t="s">
        <v>10959</v>
      </c>
      <c r="I39" s="25" t="s">
        <v>10558</v>
      </c>
      <c r="J39" s="25" t="s">
        <v>10821</v>
      </c>
      <c r="L39" s="13">
        <v>2013</v>
      </c>
      <c r="M39" s="14"/>
      <c r="N39" s="14"/>
      <c r="O39" s="14" t="s">
        <v>1028</v>
      </c>
      <c r="P39" s="15" t="s">
        <v>3117</v>
      </c>
      <c r="Q39" s="16">
        <v>1900000</v>
      </c>
      <c r="R39" s="17">
        <v>43600</v>
      </c>
      <c r="S39" s="16" t="s">
        <v>5022</v>
      </c>
      <c r="T39" s="16">
        <v>1900000</v>
      </c>
      <c r="U39" s="14" t="s">
        <v>34</v>
      </c>
      <c r="V39" s="13">
        <v>4</v>
      </c>
      <c r="W39" s="17">
        <v>44041</v>
      </c>
      <c r="X39" s="14"/>
      <c r="Y39" s="17"/>
      <c r="Z39" s="17"/>
      <c r="AA39" s="14" t="s">
        <v>1</v>
      </c>
      <c r="AB39" s="14" t="s">
        <v>5007</v>
      </c>
      <c r="AC39" s="14" t="s">
        <v>2678</v>
      </c>
      <c r="AD39" s="20" t="str">
        <f t="shared" si="1"/>
        <v>Crop Tech &gt; Farm Equipment &gt; Greenhouse Systems</v>
      </c>
      <c r="AE39" s="20" t="str">
        <f t="shared" si="2"/>
        <v>Crop Tech</v>
      </c>
      <c r="AF39" s="20" t="str">
        <f t="shared" si="2"/>
        <v>Farm Equipment</v>
      </c>
      <c r="AG39" s="20" t="str">
        <f t="shared" si="2"/>
        <v>Greenhouse Systems</v>
      </c>
      <c r="AH39" s="20" t="str">
        <f t="shared" si="2"/>
        <v/>
      </c>
      <c r="AI39" s="20" t="str">
        <f t="shared" si="2"/>
        <v/>
      </c>
      <c r="AJ39" s="20" t="str">
        <f t="shared" si="2"/>
        <v/>
      </c>
      <c r="AK39" s="20" t="str">
        <f t="shared" si="2"/>
        <v/>
      </c>
      <c r="AL39" s="14" t="s">
        <v>5621</v>
      </c>
      <c r="AM39" s="14"/>
      <c r="AO39" s="14"/>
      <c r="AP39" s="14" t="s">
        <v>1028</v>
      </c>
      <c r="AQ39" s="14" t="s">
        <v>5623</v>
      </c>
      <c r="AR39" s="14" t="s">
        <v>5624</v>
      </c>
      <c r="AS39" s="14" t="s">
        <v>5625</v>
      </c>
      <c r="AT39" s="14"/>
      <c r="AU39" s="14"/>
      <c r="AV39" s="18"/>
      <c r="AW39" s="16"/>
      <c r="AX39" s="17"/>
      <c r="AY39" s="15" t="s">
        <v>3123</v>
      </c>
      <c r="AZ39" s="17"/>
      <c r="BA39" s="16"/>
      <c r="BB39" s="14"/>
      <c r="BC39" s="14"/>
      <c r="BD39" s="15" t="s">
        <v>3123</v>
      </c>
      <c r="BE39" s="14"/>
      <c r="BF39" s="17"/>
      <c r="BG39" s="16"/>
      <c r="BH39" s="14"/>
      <c r="BI39" s="15" t="s">
        <v>3123</v>
      </c>
      <c r="BJ39" s="14"/>
      <c r="BK39" s="17"/>
      <c r="BL39" s="16"/>
      <c r="BM39" s="16"/>
      <c r="BN39" s="16"/>
      <c r="BO39" s="16"/>
      <c r="BP39" s="15" t="s">
        <v>3123</v>
      </c>
      <c r="BQ39" s="17"/>
      <c r="BR39" s="14"/>
      <c r="BS39" s="14"/>
      <c r="BT39" s="16"/>
      <c r="BU39" s="16"/>
      <c r="BV39" s="13"/>
      <c r="BW39" s="18" t="s">
        <v>5626</v>
      </c>
      <c r="BX39" s="13">
        <v>200</v>
      </c>
      <c r="BY39" s="17">
        <v>44126</v>
      </c>
      <c r="BZ39" s="18"/>
      <c r="CA39" s="18"/>
      <c r="CB39" s="18"/>
      <c r="CC39" s="18"/>
      <c r="CD39" s="14" t="s">
        <v>5627</v>
      </c>
      <c r="CE39" s="17">
        <v>44041</v>
      </c>
      <c r="CF39" s="16"/>
      <c r="CG39" s="17"/>
      <c r="CH39" s="16"/>
      <c r="CI39" s="17"/>
      <c r="CJ39" s="16"/>
      <c r="CK39" s="17"/>
      <c r="CL39" s="16"/>
      <c r="CM39" s="17"/>
      <c r="CN39" s="19">
        <v>28.186383173911054</v>
      </c>
      <c r="CO39" s="19"/>
      <c r="CP39" s="17"/>
      <c r="CQ39" s="14" t="s">
        <v>5247</v>
      </c>
      <c r="CR39" s="14" t="s">
        <v>5628</v>
      </c>
      <c r="CS39" s="14" t="s">
        <v>5311</v>
      </c>
    </row>
    <row r="40" spans="1:97" ht="26.15" customHeight="1">
      <c r="A40" s="2">
        <v>425</v>
      </c>
      <c r="B40" s="25" t="s">
        <v>2723</v>
      </c>
      <c r="C40" s="25" t="str">
        <f>VLOOKUP(B40, Sheet6!$A$1:$B$77, 2, FALSE)</f>
        <v>Yes</v>
      </c>
      <c r="D40" s="25" t="s">
        <v>2724</v>
      </c>
      <c r="E40" s="25" t="s">
        <v>2728</v>
      </c>
      <c r="F40" s="25" t="s">
        <v>9476</v>
      </c>
      <c r="G40" s="25" t="s">
        <v>10558</v>
      </c>
      <c r="H40" s="25" t="s">
        <v>10558</v>
      </c>
      <c r="I40" s="25" t="s">
        <v>10558</v>
      </c>
      <c r="J40" s="25" t="s">
        <v>10558</v>
      </c>
      <c r="L40" s="13">
        <v>2018</v>
      </c>
      <c r="M40" s="14" t="s">
        <v>5629</v>
      </c>
      <c r="N40" s="14" t="s">
        <v>5039</v>
      </c>
      <c r="O40" s="14" t="s">
        <v>3994</v>
      </c>
      <c r="P40" s="15" t="s">
        <v>3117</v>
      </c>
      <c r="Q40" s="16"/>
      <c r="R40" s="17">
        <v>43678</v>
      </c>
      <c r="S40" s="16"/>
      <c r="T40" s="16" t="s">
        <v>50</v>
      </c>
      <c r="U40" s="14" t="s">
        <v>5630</v>
      </c>
      <c r="V40" s="13"/>
      <c r="W40" s="17">
        <v>44057</v>
      </c>
      <c r="X40" s="14"/>
      <c r="Y40" s="17"/>
      <c r="Z40" s="17"/>
      <c r="AA40" s="14" t="s">
        <v>5631</v>
      </c>
      <c r="AB40" s="14" t="s">
        <v>5632</v>
      </c>
      <c r="AC40" s="14" t="s">
        <v>5633</v>
      </c>
      <c r="AD40" s="20" t="str">
        <f t="shared" si="1"/>
        <v>IoT Applications &gt; Industry Specific &gt; Agriculture &gt; Farms
Sensors &gt; Industry Applications &gt; Agriculture
Crop Tech &gt; Farm Management Software &gt; Diversified</v>
      </c>
      <c r="AE40" s="20" t="str">
        <f t="shared" si="2"/>
        <v>IoT Applications</v>
      </c>
      <c r="AF40" s="20" t="str">
        <f t="shared" si="2"/>
        <v>Industry Specific</v>
      </c>
      <c r="AG40" s="20" t="str">
        <f t="shared" si="2"/>
        <v>Agriculture</v>
      </c>
      <c r="AH40" s="20" t="str">
        <f t="shared" si="2"/>
        <v>Farms
Sensors</v>
      </c>
      <c r="AI40" s="20" t="str">
        <f t="shared" si="2"/>
        <v>Industry Applications</v>
      </c>
      <c r="AJ40" s="20" t="str">
        <f t="shared" si="2"/>
        <v>Agriculture
Crop Tech</v>
      </c>
      <c r="AK40" s="20" t="str">
        <f t="shared" si="2"/>
        <v>Farm Management Software</v>
      </c>
      <c r="AL40" s="14" t="s">
        <v>5634</v>
      </c>
      <c r="AM40" s="14"/>
      <c r="AO40" s="14"/>
      <c r="AP40" s="14" t="s">
        <v>3994</v>
      </c>
      <c r="AQ40" s="14"/>
      <c r="AR40" s="14"/>
      <c r="AS40" s="14" t="s">
        <v>5636</v>
      </c>
      <c r="AT40" s="14" t="s">
        <v>5637</v>
      </c>
      <c r="AU40" s="14" t="s">
        <v>5638</v>
      </c>
      <c r="AV40" s="18"/>
      <c r="AW40" s="16"/>
      <c r="AX40" s="17"/>
      <c r="AY40" s="15" t="s">
        <v>3123</v>
      </c>
      <c r="AZ40" s="17"/>
      <c r="BA40" s="16"/>
      <c r="BB40" s="14"/>
      <c r="BC40" s="14"/>
      <c r="BD40" s="15" t="s">
        <v>3123</v>
      </c>
      <c r="BE40" s="14"/>
      <c r="BF40" s="17"/>
      <c r="BG40" s="16"/>
      <c r="BH40" s="14"/>
      <c r="BI40" s="15" t="s">
        <v>3123</v>
      </c>
      <c r="BJ40" s="14"/>
      <c r="BK40" s="17"/>
      <c r="BL40" s="16"/>
      <c r="BM40" s="16"/>
      <c r="BN40" s="16"/>
      <c r="BO40" s="16"/>
      <c r="BP40" s="15" t="s">
        <v>3117</v>
      </c>
      <c r="BQ40" s="17"/>
      <c r="BR40" s="14"/>
      <c r="BS40" s="14"/>
      <c r="BT40" s="16"/>
      <c r="BU40" s="16"/>
      <c r="BV40" s="13"/>
      <c r="BW40" s="18" t="s">
        <v>5639</v>
      </c>
      <c r="BX40" s="13">
        <v>-1</v>
      </c>
      <c r="BY40" s="17">
        <v>44112</v>
      </c>
      <c r="BZ40" s="18" t="s">
        <v>5640</v>
      </c>
      <c r="CA40" s="18"/>
      <c r="CB40" s="18"/>
      <c r="CC40" s="18"/>
      <c r="CD40" s="14" t="s">
        <v>5641</v>
      </c>
      <c r="CE40" s="17">
        <v>43875</v>
      </c>
      <c r="CF40" s="16"/>
      <c r="CG40" s="17"/>
      <c r="CH40" s="16"/>
      <c r="CI40" s="17"/>
      <c r="CJ40" s="16"/>
      <c r="CK40" s="17"/>
      <c r="CL40" s="16"/>
      <c r="CM40" s="17"/>
      <c r="CN40" s="19">
        <v>12.155607243778794</v>
      </c>
      <c r="CO40" s="19"/>
      <c r="CP40" s="17"/>
      <c r="CQ40" s="14" t="s">
        <v>5161</v>
      </c>
      <c r="CR40" s="14" t="s">
        <v>5642</v>
      </c>
      <c r="CS40" s="14" t="s">
        <v>5311</v>
      </c>
    </row>
    <row r="41" spans="1:97" ht="26.15" customHeight="1">
      <c r="A41" s="2">
        <v>218</v>
      </c>
      <c r="B41" s="25" t="s">
        <v>1652</v>
      </c>
      <c r="C41" s="25" t="str">
        <f>VLOOKUP(B41, Sheet6!$A$1:$B$77, 2, FALSE)</f>
        <v>Yes</v>
      </c>
      <c r="D41" s="25" t="s">
        <v>1653</v>
      </c>
      <c r="E41" s="25" t="s">
        <v>1656</v>
      </c>
      <c r="F41" s="25" t="s">
        <v>7747</v>
      </c>
      <c r="G41" s="25" t="s">
        <v>10954</v>
      </c>
      <c r="H41" s="25" t="s">
        <v>10957</v>
      </c>
      <c r="I41" s="25" t="s">
        <v>10958</v>
      </c>
      <c r="J41" s="26" t="s">
        <v>10821</v>
      </c>
      <c r="L41" s="13">
        <v>2018</v>
      </c>
      <c r="M41" s="14" t="s">
        <v>5222</v>
      </c>
      <c r="N41" s="14" t="s">
        <v>5223</v>
      </c>
      <c r="O41" s="14" t="s">
        <v>3994</v>
      </c>
      <c r="P41" s="15" t="s">
        <v>3117</v>
      </c>
      <c r="Q41" s="16"/>
      <c r="R41" s="17">
        <v>43739</v>
      </c>
      <c r="S41" s="16"/>
      <c r="T41" s="16" t="s">
        <v>50</v>
      </c>
      <c r="U41" s="14" t="s">
        <v>34</v>
      </c>
      <c r="V41" s="13">
        <v>4</v>
      </c>
      <c r="W41" s="17">
        <v>44098</v>
      </c>
      <c r="X41" s="14"/>
      <c r="Y41" s="17"/>
      <c r="Z41" s="17"/>
      <c r="AA41" s="14" t="s">
        <v>5442</v>
      </c>
      <c r="AB41" s="14" t="s">
        <v>5443</v>
      </c>
      <c r="AC41" s="14" t="s">
        <v>5643</v>
      </c>
      <c r="AD41" s="20" t="str">
        <f t="shared" si="1"/>
        <v>Crop Tech &gt; Farm Inputs &gt; Plant Breeding &gt; Technology Providers
MassChallenge Batches &gt; Switzerland &gt; 2020</v>
      </c>
      <c r="AE41" s="20" t="str">
        <f t="shared" si="2"/>
        <v>Crop Tech</v>
      </c>
      <c r="AF41" s="20" t="str">
        <f t="shared" si="2"/>
        <v>Farm Inputs</v>
      </c>
      <c r="AG41" s="20" t="str">
        <f t="shared" si="2"/>
        <v>Plant Breeding</v>
      </c>
      <c r="AH41" s="20" t="str">
        <f t="shared" si="2"/>
        <v>Technology Providers
MassChallenge Batches</v>
      </c>
      <c r="AI41" s="20" t="str">
        <f t="shared" si="2"/>
        <v>Switzerland</v>
      </c>
      <c r="AJ41" s="20" t="str">
        <f t="shared" si="2"/>
        <v>2020</v>
      </c>
      <c r="AK41" s="20" t="str">
        <f t="shared" si="2"/>
        <v/>
      </c>
      <c r="AL41" s="14" t="s">
        <v>5644</v>
      </c>
      <c r="AM41" s="14"/>
      <c r="AO41" s="14"/>
      <c r="AP41" s="14" t="s">
        <v>3994</v>
      </c>
      <c r="AQ41" s="14"/>
      <c r="AR41" s="14" t="s">
        <v>5646</v>
      </c>
      <c r="AS41" s="14" t="s">
        <v>5647</v>
      </c>
      <c r="AT41" s="14" t="s">
        <v>5648</v>
      </c>
      <c r="AU41" s="14" t="s">
        <v>5649</v>
      </c>
      <c r="AV41" s="18"/>
      <c r="AW41" s="16">
        <v>27500</v>
      </c>
      <c r="AX41" s="17">
        <v>43465</v>
      </c>
      <c r="AY41" s="15" t="s">
        <v>3123</v>
      </c>
      <c r="AZ41" s="17"/>
      <c r="BA41" s="16"/>
      <c r="BB41" s="14"/>
      <c r="BC41" s="14"/>
      <c r="BD41" s="15" t="s">
        <v>3123</v>
      </c>
      <c r="BE41" s="14"/>
      <c r="BF41" s="17"/>
      <c r="BG41" s="16"/>
      <c r="BH41" s="14"/>
      <c r="BI41" s="15" t="s">
        <v>3123</v>
      </c>
      <c r="BJ41" s="14"/>
      <c r="BK41" s="17"/>
      <c r="BL41" s="16"/>
      <c r="BM41" s="16"/>
      <c r="BN41" s="16"/>
      <c r="BO41" s="16"/>
      <c r="BP41" s="15" t="s">
        <v>3123</v>
      </c>
      <c r="BQ41" s="17"/>
      <c r="BR41" s="14"/>
      <c r="BS41" s="14"/>
      <c r="BT41" s="16"/>
      <c r="BU41" s="16"/>
      <c r="BV41" s="13"/>
      <c r="BW41" s="18" t="s">
        <v>5650</v>
      </c>
      <c r="BX41" s="13">
        <v>200</v>
      </c>
      <c r="BY41" s="17">
        <v>44131</v>
      </c>
      <c r="BZ41" s="18" t="s">
        <v>5651</v>
      </c>
      <c r="CA41" s="18"/>
      <c r="CB41" s="18"/>
      <c r="CC41" s="18"/>
      <c r="CD41" s="14" t="s">
        <v>5652</v>
      </c>
      <c r="CE41" s="17">
        <v>43559</v>
      </c>
      <c r="CF41" s="16">
        <v>232</v>
      </c>
      <c r="CG41" s="17">
        <v>43465</v>
      </c>
      <c r="CH41" s="16">
        <v>374</v>
      </c>
      <c r="CI41" s="17">
        <v>43465</v>
      </c>
      <c r="CJ41" s="16"/>
      <c r="CK41" s="17"/>
      <c r="CL41" s="16"/>
      <c r="CM41" s="17"/>
      <c r="CN41" s="19">
        <v>34.520729716121878</v>
      </c>
      <c r="CO41" s="19"/>
      <c r="CP41" s="17"/>
      <c r="CQ41" s="14" t="s">
        <v>5653</v>
      </c>
      <c r="CR41" s="14" t="s">
        <v>5654</v>
      </c>
      <c r="CS41" s="14" t="s">
        <v>5655</v>
      </c>
    </row>
    <row r="42" spans="1:97" ht="26.15" customHeight="1">
      <c r="A42" s="2">
        <v>299</v>
      </c>
      <c r="B42" s="25" t="s">
        <v>1115</v>
      </c>
      <c r="C42" s="25" t="str">
        <f>VLOOKUP(B42, Sheet6!$A$1:$B$77, 2, FALSE)</f>
        <v>Yes</v>
      </c>
      <c r="D42" s="25" t="s">
        <v>1116</v>
      </c>
      <c r="E42" s="25" t="s">
        <v>1118</v>
      </c>
      <c r="F42" s="25" t="s">
        <v>8829</v>
      </c>
      <c r="G42" s="25" t="s">
        <v>10955</v>
      </c>
      <c r="H42" s="25" t="s">
        <v>10959</v>
      </c>
      <c r="I42" s="25" t="s">
        <v>10958</v>
      </c>
      <c r="J42" s="52" t="s">
        <v>10842</v>
      </c>
      <c r="L42" s="13">
        <v>2017</v>
      </c>
      <c r="M42" s="14" t="s">
        <v>5673</v>
      </c>
      <c r="N42" s="14" t="s">
        <v>5674</v>
      </c>
      <c r="O42" s="14" t="s">
        <v>2057</v>
      </c>
      <c r="P42" s="15" t="s">
        <v>3117</v>
      </c>
      <c r="Q42" s="16">
        <v>14100500</v>
      </c>
      <c r="R42" s="17">
        <v>43959</v>
      </c>
      <c r="S42" s="16" t="s">
        <v>5675</v>
      </c>
      <c r="T42" s="16">
        <v>14100500</v>
      </c>
      <c r="U42" s="14" t="s">
        <v>109</v>
      </c>
      <c r="V42" s="13">
        <v>4</v>
      </c>
      <c r="W42" s="17">
        <v>43969</v>
      </c>
      <c r="X42" s="14" t="s">
        <v>5052</v>
      </c>
      <c r="Y42" s="17">
        <v>44027</v>
      </c>
      <c r="Z42" s="17">
        <v>43959</v>
      </c>
      <c r="AA42" s="14" t="s">
        <v>5676</v>
      </c>
      <c r="AB42" s="14" t="s">
        <v>5677</v>
      </c>
      <c r="AC42" s="14" t="s">
        <v>5678</v>
      </c>
      <c r="AD42" s="20" t="str">
        <f t="shared" si="1"/>
        <v>Industrial Robotics &gt; Agriculture
Digital Twin &gt; Digital Twin Platforms &gt; Products &gt; Agriculture
Crop Tech &gt; Autonomous Farming &gt; Diversified</v>
      </c>
      <c r="AE42" s="20" t="str">
        <f t="shared" si="2"/>
        <v>Industrial Robotics</v>
      </c>
      <c r="AF42" s="20" t="str">
        <f t="shared" si="2"/>
        <v>Agriculture
Digital Twin</v>
      </c>
      <c r="AG42" s="20" t="str">
        <f t="shared" si="2"/>
        <v>Digital Twin Platforms</v>
      </c>
      <c r="AH42" s="20" t="str">
        <f t="shared" si="2"/>
        <v>Products</v>
      </c>
      <c r="AI42" s="20" t="str">
        <f t="shared" si="2"/>
        <v>Agriculture
Crop Tech</v>
      </c>
      <c r="AJ42" s="20" t="str">
        <f t="shared" si="2"/>
        <v>Autonomous Farming</v>
      </c>
      <c r="AK42" s="20" t="str">
        <f t="shared" si="2"/>
        <v>Diversified</v>
      </c>
      <c r="AL42" s="14" t="s">
        <v>5679</v>
      </c>
      <c r="AM42" s="14"/>
      <c r="AO42" s="14"/>
      <c r="AP42" s="14" t="s">
        <v>2057</v>
      </c>
      <c r="AQ42" s="14" t="s">
        <v>5681</v>
      </c>
      <c r="AR42" s="14" t="s">
        <v>5682</v>
      </c>
      <c r="AS42" s="14" t="s">
        <v>5683</v>
      </c>
      <c r="AT42" s="14"/>
      <c r="AU42" s="14"/>
      <c r="AV42" s="18"/>
      <c r="AW42" s="16"/>
      <c r="AX42" s="17"/>
      <c r="AY42" s="15" t="s">
        <v>3123</v>
      </c>
      <c r="AZ42" s="17"/>
      <c r="BA42" s="16"/>
      <c r="BB42" s="14"/>
      <c r="BC42" s="14"/>
      <c r="BD42" s="15" t="s">
        <v>3123</v>
      </c>
      <c r="BE42" s="14"/>
      <c r="BF42" s="17"/>
      <c r="BG42" s="16"/>
      <c r="BH42" s="14"/>
      <c r="BI42" s="15" t="s">
        <v>3123</v>
      </c>
      <c r="BJ42" s="14"/>
      <c r="BK42" s="17"/>
      <c r="BL42" s="16"/>
      <c r="BM42" s="16"/>
      <c r="BN42" s="16"/>
      <c r="BO42" s="16"/>
      <c r="BP42" s="15" t="s">
        <v>3123</v>
      </c>
      <c r="BQ42" s="17"/>
      <c r="BR42" s="14"/>
      <c r="BS42" s="14"/>
      <c r="BT42" s="16"/>
      <c r="BU42" s="16"/>
      <c r="BV42" s="13"/>
      <c r="BW42" s="18" t="s">
        <v>5684</v>
      </c>
      <c r="BX42" s="13">
        <v>200</v>
      </c>
      <c r="BY42" s="17">
        <v>44131</v>
      </c>
      <c r="BZ42" s="18" t="s">
        <v>5685</v>
      </c>
      <c r="CA42" s="18" t="s">
        <v>5686</v>
      </c>
      <c r="CB42" s="18" t="s">
        <v>5687</v>
      </c>
      <c r="CC42" s="18"/>
      <c r="CD42" s="14" t="s">
        <v>5688</v>
      </c>
      <c r="CE42" s="17">
        <v>43963</v>
      </c>
      <c r="CF42" s="16"/>
      <c r="CG42" s="17"/>
      <c r="CH42" s="16"/>
      <c r="CI42" s="17"/>
      <c r="CJ42" s="16"/>
      <c r="CK42" s="17"/>
      <c r="CL42" s="16"/>
      <c r="CM42" s="17"/>
      <c r="CN42" s="19">
        <v>38.930619054529494</v>
      </c>
      <c r="CO42" s="19"/>
      <c r="CP42" s="17"/>
      <c r="CQ42" s="14" t="s">
        <v>5090</v>
      </c>
      <c r="CR42" s="14" t="s">
        <v>5091</v>
      </c>
      <c r="CS42" s="14" t="s">
        <v>5004</v>
      </c>
    </row>
    <row r="43" spans="1:97" ht="26.15" customHeight="1">
      <c r="A43" s="2">
        <v>165</v>
      </c>
      <c r="B43" s="25" t="s">
        <v>404</v>
      </c>
      <c r="C43" s="25" t="str">
        <f>VLOOKUP(B43, Sheet6!$A$1:$B$77, 2, FALSE)</f>
        <v>Yes</v>
      </c>
      <c r="D43" s="25" t="s">
        <v>405</v>
      </c>
      <c r="E43" s="25" t="s">
        <v>408</v>
      </c>
      <c r="F43" s="25" t="s">
        <v>7119</v>
      </c>
      <c r="G43" s="25" t="s">
        <v>10955</v>
      </c>
      <c r="H43" s="25" t="s">
        <v>10959</v>
      </c>
      <c r="I43" s="25" t="s">
        <v>10958</v>
      </c>
      <c r="J43" s="26" t="s">
        <v>10846</v>
      </c>
      <c r="L43" s="13">
        <v>2018</v>
      </c>
      <c r="M43" s="14" t="s">
        <v>5312</v>
      </c>
      <c r="N43" s="14" t="s">
        <v>5313</v>
      </c>
      <c r="O43" s="14" t="s">
        <v>3994</v>
      </c>
      <c r="P43" s="15" t="s">
        <v>3117</v>
      </c>
      <c r="Q43" s="16">
        <v>2000000</v>
      </c>
      <c r="R43" s="17">
        <v>43613</v>
      </c>
      <c r="S43" s="16" t="s">
        <v>5022</v>
      </c>
      <c r="T43" s="16">
        <v>2000000</v>
      </c>
      <c r="U43" s="14" t="s">
        <v>34</v>
      </c>
      <c r="V43" s="13">
        <v>4</v>
      </c>
      <c r="W43" s="17">
        <v>44013</v>
      </c>
      <c r="X43" s="14"/>
      <c r="Y43" s="17"/>
      <c r="Z43" s="17"/>
      <c r="AA43" s="14" t="s">
        <v>5509</v>
      </c>
      <c r="AB43" s="14" t="s">
        <v>5510</v>
      </c>
      <c r="AC43" s="14" t="s">
        <v>5696</v>
      </c>
      <c r="AD43" s="20" t="str">
        <f t="shared" si="1"/>
        <v>B2B E-Commerce &gt; Food &amp; Beverages &gt; Groceries &gt; Farm Products &gt; E-Distributor
Online Grocery &gt; B2B Ecommerce &gt; Farm Produce &gt; Fruits and Vegetables &gt; E-Distributor
Crop Tech &gt; ECommerce &gt; Farm Produce &gt; B2B &gt; Fruits and Vegetables &gt; E Distributor</v>
      </c>
      <c r="AE43" s="20" t="str">
        <f t="shared" ref="AE43:AE88" si="3">TRIM(MID(SUBSTITUTE($AD43,"&gt;",REPT(" ",LEN($AD43))), (AE$6-1)*LEN($AD43)+1, LEN($AD43)))</f>
        <v>B2B E-Commerce</v>
      </c>
      <c r="AF43" s="20" t="str">
        <f t="shared" ref="AF43:AK73" si="4">TRIM(MID(SUBSTITUTE($AD43,"&gt;",REPT(" ",LEN($AD43))), (AF$6-1)*LEN($AD43)+1, LEN($AD43)))</f>
        <v>Food &amp; Beverages</v>
      </c>
      <c r="AG43" s="20" t="str">
        <f t="shared" si="4"/>
        <v>Groceries</v>
      </c>
      <c r="AH43" s="20" t="str">
        <f t="shared" si="4"/>
        <v>Farm Products</v>
      </c>
      <c r="AI43" s="20" t="str">
        <f t="shared" si="4"/>
        <v>E-Distributor
Online Grocery</v>
      </c>
      <c r="AJ43" s="20" t="str">
        <f t="shared" si="4"/>
        <v>B2B Ecommerce</v>
      </c>
      <c r="AK43" s="20" t="str">
        <f t="shared" si="4"/>
        <v>Farm Produce</v>
      </c>
      <c r="AL43" s="14" t="s">
        <v>5697</v>
      </c>
      <c r="AM43" s="14" t="s">
        <v>5698</v>
      </c>
      <c r="AO43" s="14"/>
      <c r="AP43" s="14" t="s">
        <v>3994</v>
      </c>
      <c r="AQ43" s="14"/>
      <c r="AR43" s="14" t="s">
        <v>5700</v>
      </c>
      <c r="AS43" s="14" t="s">
        <v>5701</v>
      </c>
      <c r="AT43" s="14" t="s">
        <v>5702</v>
      </c>
      <c r="AU43" s="14" t="s">
        <v>5703</v>
      </c>
      <c r="AV43" s="18"/>
      <c r="AW43" s="16">
        <v>422900</v>
      </c>
      <c r="AX43" s="17">
        <v>43465</v>
      </c>
      <c r="AY43" s="15" t="s">
        <v>3117</v>
      </c>
      <c r="AZ43" s="17">
        <v>43188</v>
      </c>
      <c r="BA43" s="16">
        <v>1538</v>
      </c>
      <c r="BB43" s="14" t="s">
        <v>5704</v>
      </c>
      <c r="BC43" s="14"/>
      <c r="BD43" s="15" t="s">
        <v>3123</v>
      </c>
      <c r="BE43" s="14"/>
      <c r="BF43" s="17"/>
      <c r="BG43" s="16"/>
      <c r="BH43" s="14"/>
      <c r="BI43" s="15" t="s">
        <v>3123</v>
      </c>
      <c r="BJ43" s="14"/>
      <c r="BK43" s="17"/>
      <c r="BL43" s="16"/>
      <c r="BM43" s="16"/>
      <c r="BN43" s="16"/>
      <c r="BO43" s="16"/>
      <c r="BP43" s="15" t="s">
        <v>3123</v>
      </c>
      <c r="BQ43" s="17"/>
      <c r="BR43" s="14"/>
      <c r="BS43" s="14"/>
      <c r="BT43" s="16"/>
      <c r="BU43" s="16"/>
      <c r="BV43" s="13"/>
      <c r="BW43" s="18" t="s">
        <v>5705</v>
      </c>
      <c r="BX43" s="13">
        <v>200</v>
      </c>
      <c r="BY43" s="17">
        <v>44123</v>
      </c>
      <c r="BZ43" s="18" t="s">
        <v>5706</v>
      </c>
      <c r="CA43" s="18" t="s">
        <v>5707</v>
      </c>
      <c r="CB43" s="18"/>
      <c r="CC43" s="18"/>
      <c r="CD43" s="14" t="s">
        <v>5708</v>
      </c>
      <c r="CE43" s="17">
        <v>43518</v>
      </c>
      <c r="CF43" s="16">
        <v>-184600</v>
      </c>
      <c r="CG43" s="17">
        <v>43465</v>
      </c>
      <c r="CH43" s="16">
        <v>-173600</v>
      </c>
      <c r="CI43" s="17">
        <v>43465</v>
      </c>
      <c r="CJ43" s="16">
        <v>6000000</v>
      </c>
      <c r="CK43" s="17">
        <v>43591</v>
      </c>
      <c r="CL43" s="16">
        <v>55</v>
      </c>
      <c r="CM43" s="17">
        <v>43830</v>
      </c>
      <c r="CN43" s="19">
        <v>46.573086768038358</v>
      </c>
      <c r="CO43" s="19"/>
      <c r="CP43" s="17"/>
      <c r="CQ43" s="14" t="s">
        <v>5104</v>
      </c>
      <c r="CR43" s="14" t="s">
        <v>5439</v>
      </c>
      <c r="CS43" s="14" t="s">
        <v>5311</v>
      </c>
    </row>
    <row r="44" spans="1:97" s="53" customFormat="1" ht="26.15" customHeight="1">
      <c r="A44" s="2">
        <v>521</v>
      </c>
      <c r="B44" s="25" t="s">
        <v>2478</v>
      </c>
      <c r="C44" s="25" t="str">
        <f>VLOOKUP(B44, Sheet6!$A$1:$B$77, 2, FALSE)</f>
        <v>Yes</v>
      </c>
      <c r="D44" s="25" t="s">
        <v>2479</v>
      </c>
      <c r="E44" s="25" t="s">
        <v>2482</v>
      </c>
      <c r="F44" s="25" t="s">
        <v>10154</v>
      </c>
      <c r="G44" s="25" t="s">
        <v>10955</v>
      </c>
      <c r="H44" s="25" t="s">
        <v>10957</v>
      </c>
      <c r="I44" s="25" t="s">
        <v>11101</v>
      </c>
      <c r="J44" s="25" t="s">
        <v>10768</v>
      </c>
      <c r="K44" s="256"/>
      <c r="L44" s="57">
        <v>2018</v>
      </c>
      <c r="M44" s="56" t="s">
        <v>5719</v>
      </c>
      <c r="N44" s="56" t="s">
        <v>5720</v>
      </c>
      <c r="O44" s="56" t="s">
        <v>2057</v>
      </c>
      <c r="P44" s="58" t="s">
        <v>3117</v>
      </c>
      <c r="Q44" s="59">
        <v>3000000</v>
      </c>
      <c r="R44" s="60">
        <v>43491</v>
      </c>
      <c r="S44" s="59" t="s">
        <v>5069</v>
      </c>
      <c r="T44" s="59">
        <v>3000000</v>
      </c>
      <c r="U44" s="56" t="s">
        <v>109</v>
      </c>
      <c r="V44" s="57">
        <v>3</v>
      </c>
      <c r="W44" s="60">
        <v>43991</v>
      </c>
      <c r="X44" s="56"/>
      <c r="Y44" s="60"/>
      <c r="Z44" s="60"/>
      <c r="AA44" s="56" t="s">
        <v>1</v>
      </c>
      <c r="AB44" s="56" t="s">
        <v>5007</v>
      </c>
      <c r="AC44" s="56" t="s">
        <v>5594</v>
      </c>
      <c r="AD44" s="53" t="str">
        <f t="shared" si="1"/>
        <v>Crop Tech &gt; Content Platforms &gt; Data as a Service &gt; Farm Data Platform</v>
      </c>
      <c r="AE44" s="53" t="str">
        <f t="shared" si="3"/>
        <v>Crop Tech</v>
      </c>
      <c r="AF44" s="53" t="str">
        <f t="shared" si="4"/>
        <v>Content Platforms</v>
      </c>
      <c r="AG44" s="53" t="str">
        <f t="shared" si="4"/>
        <v>Data as a Service</v>
      </c>
      <c r="AH44" s="53" t="str">
        <f t="shared" si="4"/>
        <v>Farm Data Platform</v>
      </c>
      <c r="AI44" s="53" t="str">
        <f t="shared" si="4"/>
        <v/>
      </c>
      <c r="AJ44" s="53" t="str">
        <f t="shared" si="4"/>
        <v/>
      </c>
      <c r="AK44" s="53" t="str">
        <f t="shared" si="4"/>
        <v/>
      </c>
      <c r="AL44" s="56" t="s">
        <v>1221</v>
      </c>
      <c r="AM44" s="56"/>
      <c r="AO44" s="56"/>
      <c r="AP44" s="56" t="s">
        <v>2057</v>
      </c>
      <c r="AQ44" s="56" t="s">
        <v>5722</v>
      </c>
      <c r="AR44" s="56"/>
      <c r="AS44" s="56" t="s">
        <v>5723</v>
      </c>
      <c r="AT44" s="56"/>
      <c r="AU44" s="56"/>
      <c r="AV44" s="61"/>
      <c r="AW44" s="59"/>
      <c r="AX44" s="60"/>
      <c r="AY44" s="58" t="s">
        <v>3123</v>
      </c>
      <c r="AZ44" s="60"/>
      <c r="BA44" s="59"/>
      <c r="BB44" s="56"/>
      <c r="BC44" s="56"/>
      <c r="BD44" s="58" t="s">
        <v>3123</v>
      </c>
      <c r="BE44" s="56"/>
      <c r="BF44" s="60"/>
      <c r="BG44" s="59"/>
      <c r="BH44" s="56"/>
      <c r="BI44" s="58" t="s">
        <v>3123</v>
      </c>
      <c r="BJ44" s="56"/>
      <c r="BK44" s="60"/>
      <c r="BL44" s="59"/>
      <c r="BM44" s="59"/>
      <c r="BN44" s="59"/>
      <c r="BO44" s="59"/>
      <c r="BP44" s="58" t="s">
        <v>3123</v>
      </c>
      <c r="BQ44" s="60"/>
      <c r="BR44" s="56"/>
      <c r="BS44" s="56"/>
      <c r="BT44" s="59"/>
      <c r="BU44" s="59"/>
      <c r="BV44" s="57"/>
      <c r="BW44" s="61" t="s">
        <v>5724</v>
      </c>
      <c r="BX44" s="57">
        <v>200</v>
      </c>
      <c r="BY44" s="60">
        <v>44131</v>
      </c>
      <c r="BZ44" s="61"/>
      <c r="CA44" s="61"/>
      <c r="CB44" s="61"/>
      <c r="CC44" s="61"/>
      <c r="CD44" s="56" t="s">
        <v>5725</v>
      </c>
      <c r="CE44" s="60">
        <v>43627</v>
      </c>
      <c r="CF44" s="59"/>
      <c r="CG44" s="60"/>
      <c r="CH44" s="59"/>
      <c r="CI44" s="60"/>
      <c r="CJ44" s="59"/>
      <c r="CK44" s="60"/>
      <c r="CL44" s="59"/>
      <c r="CM44" s="60"/>
      <c r="CN44" s="62">
        <v>13.160119799310674</v>
      </c>
      <c r="CO44" s="62"/>
      <c r="CP44" s="60"/>
      <c r="CQ44" s="56" t="s">
        <v>5018</v>
      </c>
      <c r="CR44" s="56" t="s">
        <v>5726</v>
      </c>
      <c r="CS44" s="56" t="s">
        <v>5004</v>
      </c>
    </row>
    <row r="45" spans="1:97" ht="26.15" customHeight="1">
      <c r="A45" s="2">
        <v>321</v>
      </c>
      <c r="B45" s="25" t="s">
        <v>2135</v>
      </c>
      <c r="C45" s="25" t="str">
        <f>VLOOKUP(B45, Sheet6!$A$1:$B$77, 2, FALSE)</f>
        <v>Yes</v>
      </c>
      <c r="D45" s="25" t="s">
        <v>2136</v>
      </c>
      <c r="E45" s="25" t="s">
        <v>2137</v>
      </c>
      <c r="F45" s="25" t="s">
        <v>8940</v>
      </c>
      <c r="G45" s="25" t="s">
        <v>10955</v>
      </c>
      <c r="H45" s="25" t="s">
        <v>10959</v>
      </c>
      <c r="I45" s="25" t="s">
        <v>10958</v>
      </c>
      <c r="J45" s="26" t="s">
        <v>10846</v>
      </c>
      <c r="L45" s="13">
        <v>2017</v>
      </c>
      <c r="M45" s="14" t="s">
        <v>5592</v>
      </c>
      <c r="N45" s="14" t="s">
        <v>5313</v>
      </c>
      <c r="O45" s="14" t="s">
        <v>3994</v>
      </c>
      <c r="P45" s="15" t="s">
        <v>3117</v>
      </c>
      <c r="Q45" s="16">
        <v>136390</v>
      </c>
      <c r="R45" s="17">
        <v>43615</v>
      </c>
      <c r="S45" s="16" t="s">
        <v>5727</v>
      </c>
      <c r="T45" s="16">
        <v>136390</v>
      </c>
      <c r="U45" s="14" t="s">
        <v>34</v>
      </c>
      <c r="V45" s="13">
        <v>3</v>
      </c>
      <c r="W45" s="17">
        <v>44042</v>
      </c>
      <c r="X45" s="14"/>
      <c r="Y45" s="17"/>
      <c r="Z45" s="17"/>
      <c r="AA45" s="14" t="s">
        <v>5493</v>
      </c>
      <c r="AB45" s="14" t="s">
        <v>5494</v>
      </c>
      <c r="AC45" s="14" t="s">
        <v>5728</v>
      </c>
      <c r="AD45" s="20" t="str">
        <f t="shared" si="1"/>
        <v>B2B E-Commerce &gt; Food &amp; Beverages &gt; Groceries &gt; Farm Products &gt; E-Distributor
Crop Tech &gt; ECommerce &gt; Farm Produce &gt; B2B &gt; Fruits and Vegetables &gt; E Distributor</v>
      </c>
      <c r="AE45" s="20" t="str">
        <f t="shared" si="3"/>
        <v>B2B E-Commerce</v>
      </c>
      <c r="AF45" s="20" t="str">
        <f t="shared" si="4"/>
        <v>Food &amp; Beverages</v>
      </c>
      <c r="AG45" s="20" t="str">
        <f t="shared" si="4"/>
        <v>Groceries</v>
      </c>
      <c r="AH45" s="20" t="str">
        <f t="shared" si="4"/>
        <v>Farm Products</v>
      </c>
      <c r="AI45" s="20" t="str">
        <f t="shared" si="4"/>
        <v>E-Distributor
Crop Tech</v>
      </c>
      <c r="AJ45" s="20" t="str">
        <f t="shared" si="4"/>
        <v>ECommerce</v>
      </c>
      <c r="AK45" s="20" t="str">
        <f t="shared" si="4"/>
        <v>Farm Produce</v>
      </c>
      <c r="AL45" s="14"/>
      <c r="AM45" s="14" t="s">
        <v>5729</v>
      </c>
      <c r="AO45" s="14"/>
      <c r="AP45" s="14" t="s">
        <v>3994</v>
      </c>
      <c r="AQ45" s="14" t="s">
        <v>5731</v>
      </c>
      <c r="AR45" s="14" t="s">
        <v>5732</v>
      </c>
      <c r="AS45" s="14" t="s">
        <v>5733</v>
      </c>
      <c r="AT45" s="14" t="s">
        <v>5734</v>
      </c>
      <c r="AU45" s="14" t="s">
        <v>5735</v>
      </c>
      <c r="AV45" s="18"/>
      <c r="AW45" s="16">
        <v>819464.55105331633</v>
      </c>
      <c r="AX45" s="17">
        <v>43465</v>
      </c>
      <c r="AY45" s="15" t="s">
        <v>3123</v>
      </c>
      <c r="AZ45" s="17"/>
      <c r="BA45" s="16"/>
      <c r="BB45" s="14"/>
      <c r="BC45" s="14"/>
      <c r="BD45" s="15" t="s">
        <v>3123</v>
      </c>
      <c r="BE45" s="14"/>
      <c r="BF45" s="17"/>
      <c r="BG45" s="16"/>
      <c r="BH45" s="14"/>
      <c r="BI45" s="15" t="s">
        <v>3123</v>
      </c>
      <c r="BJ45" s="14"/>
      <c r="BK45" s="17"/>
      <c r="BL45" s="16"/>
      <c r="BM45" s="16"/>
      <c r="BN45" s="16"/>
      <c r="BO45" s="16"/>
      <c r="BP45" s="15" t="s">
        <v>3123</v>
      </c>
      <c r="BQ45" s="17"/>
      <c r="BR45" s="14"/>
      <c r="BS45" s="14"/>
      <c r="BT45" s="16"/>
      <c r="BU45" s="16"/>
      <c r="BV45" s="13"/>
      <c r="BW45" s="18" t="s">
        <v>5736</v>
      </c>
      <c r="BX45" s="13">
        <v>200</v>
      </c>
      <c r="BY45" s="17">
        <v>44123</v>
      </c>
      <c r="BZ45" s="18" t="s">
        <v>5737</v>
      </c>
      <c r="CA45" s="18"/>
      <c r="CB45" s="18" t="s">
        <v>5738</v>
      </c>
      <c r="CC45" s="18"/>
      <c r="CD45" s="14" t="s">
        <v>5739</v>
      </c>
      <c r="CE45" s="17">
        <v>43928</v>
      </c>
      <c r="CF45" s="16">
        <v>93333.546626318508</v>
      </c>
      <c r="CG45" s="17">
        <v>43465</v>
      </c>
      <c r="CH45" s="16">
        <v>123209.4074212806</v>
      </c>
      <c r="CI45" s="17">
        <v>43465</v>
      </c>
      <c r="CJ45" s="16">
        <v>2000000</v>
      </c>
      <c r="CK45" s="17">
        <v>43615</v>
      </c>
      <c r="CL45" s="16"/>
      <c r="CM45" s="17"/>
      <c r="CN45" s="19">
        <v>20.994858941310174</v>
      </c>
      <c r="CO45" s="19"/>
      <c r="CP45" s="17"/>
      <c r="CQ45" s="14" t="s">
        <v>5104</v>
      </c>
      <c r="CR45" s="14" t="s">
        <v>5037</v>
      </c>
      <c r="CS45" s="14" t="s">
        <v>5004</v>
      </c>
    </row>
    <row r="46" spans="1:97" ht="26.15" customHeight="1">
      <c r="A46" s="2">
        <v>291</v>
      </c>
      <c r="B46" s="25" t="s">
        <v>74</v>
      </c>
      <c r="C46" s="25" t="str">
        <f>VLOOKUP(B46, Sheet6!$A$1:$B$77, 2, FALSE)</f>
        <v>Yes</v>
      </c>
      <c r="D46" s="25" t="s">
        <v>75</v>
      </c>
      <c r="E46" s="25" t="s">
        <v>80</v>
      </c>
      <c r="F46" s="25" t="s">
        <v>8707</v>
      </c>
      <c r="G46" s="25" t="s">
        <v>10955</v>
      </c>
      <c r="H46" s="25" t="s">
        <v>10957</v>
      </c>
      <c r="I46" s="25" t="s">
        <v>10958</v>
      </c>
      <c r="J46" s="26" t="s">
        <v>10821</v>
      </c>
      <c r="L46" s="13">
        <v>2016</v>
      </c>
      <c r="M46" s="14" t="s">
        <v>5038</v>
      </c>
      <c r="N46" s="14" t="s">
        <v>5039</v>
      </c>
      <c r="O46" s="14" t="s">
        <v>3994</v>
      </c>
      <c r="P46" s="15" t="s">
        <v>3117</v>
      </c>
      <c r="Q46" s="16"/>
      <c r="R46" s="17">
        <v>43099</v>
      </c>
      <c r="S46" s="16"/>
      <c r="T46" s="16" t="s">
        <v>50</v>
      </c>
      <c r="U46" s="14" t="s">
        <v>5040</v>
      </c>
      <c r="V46" s="13">
        <v>3</v>
      </c>
      <c r="W46" s="17">
        <v>44098</v>
      </c>
      <c r="X46" s="14"/>
      <c r="Y46" s="17"/>
      <c r="Z46" s="17"/>
      <c r="AA46" s="14" t="s">
        <v>1</v>
      </c>
      <c r="AB46" s="14" t="s">
        <v>5007</v>
      </c>
      <c r="AC46" s="14" t="s">
        <v>5238</v>
      </c>
      <c r="AD46" s="20" t="str">
        <f t="shared" si="1"/>
        <v>Crop Tech &gt; Indoor Farming &gt; Hydroponics</v>
      </c>
      <c r="AE46" s="20" t="str">
        <f t="shared" si="3"/>
        <v>Crop Tech</v>
      </c>
      <c r="AF46" s="20" t="str">
        <f t="shared" si="4"/>
        <v>Indoor Farming</v>
      </c>
      <c r="AG46" s="20" t="str">
        <f t="shared" si="4"/>
        <v>Hydroponics</v>
      </c>
      <c r="AH46" s="20" t="str">
        <f t="shared" si="4"/>
        <v/>
      </c>
      <c r="AI46" s="20" t="str">
        <f t="shared" si="4"/>
        <v/>
      </c>
      <c r="AJ46" s="20" t="str">
        <f t="shared" si="4"/>
        <v/>
      </c>
      <c r="AK46" s="20" t="str">
        <f t="shared" si="4"/>
        <v/>
      </c>
      <c r="AL46" s="14" t="s">
        <v>5740</v>
      </c>
      <c r="AM46" s="14"/>
      <c r="AO46" s="14"/>
      <c r="AP46" s="14" t="s">
        <v>3994</v>
      </c>
      <c r="AQ46" s="14" t="s">
        <v>5742</v>
      </c>
      <c r="AR46" s="14" t="s">
        <v>5743</v>
      </c>
      <c r="AS46" s="14" t="s">
        <v>5744</v>
      </c>
      <c r="AT46" s="14" t="s">
        <v>5745</v>
      </c>
      <c r="AU46" s="14" t="s">
        <v>5746</v>
      </c>
      <c r="AV46" s="18"/>
      <c r="AW46" s="16"/>
      <c r="AX46" s="17"/>
      <c r="AY46" s="15" t="s">
        <v>3123</v>
      </c>
      <c r="AZ46" s="17"/>
      <c r="BA46" s="16"/>
      <c r="BB46" s="14"/>
      <c r="BC46" s="14"/>
      <c r="BD46" s="15" t="s">
        <v>3123</v>
      </c>
      <c r="BE46" s="14"/>
      <c r="BF46" s="17"/>
      <c r="BG46" s="16"/>
      <c r="BH46" s="14"/>
      <c r="BI46" s="15" t="s">
        <v>3123</v>
      </c>
      <c r="BJ46" s="14"/>
      <c r="BK46" s="17"/>
      <c r="BL46" s="16"/>
      <c r="BM46" s="16"/>
      <c r="BN46" s="16"/>
      <c r="BO46" s="16"/>
      <c r="BP46" s="15" t="s">
        <v>3123</v>
      </c>
      <c r="BQ46" s="17"/>
      <c r="BR46" s="14"/>
      <c r="BS46" s="14"/>
      <c r="BT46" s="16"/>
      <c r="BU46" s="16"/>
      <c r="BV46" s="13"/>
      <c r="BW46" s="18" t="s">
        <v>5747</v>
      </c>
      <c r="BX46" s="13">
        <v>200</v>
      </c>
      <c r="BY46" s="17">
        <v>44123</v>
      </c>
      <c r="BZ46" s="18" t="s">
        <v>5748</v>
      </c>
      <c r="CA46" s="18" t="s">
        <v>5749</v>
      </c>
      <c r="CB46" s="18" t="s">
        <v>5750</v>
      </c>
      <c r="CC46" s="18" t="s">
        <v>5751</v>
      </c>
      <c r="CD46" s="14" t="s">
        <v>5752</v>
      </c>
      <c r="CE46" s="17">
        <v>44053</v>
      </c>
      <c r="CF46" s="16"/>
      <c r="CG46" s="17"/>
      <c r="CH46" s="16"/>
      <c r="CI46" s="17"/>
      <c r="CJ46" s="16"/>
      <c r="CK46" s="17"/>
      <c r="CL46" s="16"/>
      <c r="CM46" s="17"/>
      <c r="CN46" s="19">
        <v>30.768608653664707</v>
      </c>
      <c r="CO46" s="19"/>
      <c r="CP46" s="17"/>
      <c r="CQ46" s="14" t="s">
        <v>5247</v>
      </c>
      <c r="CR46" s="14" t="s">
        <v>5753</v>
      </c>
      <c r="CS46" s="14" t="s">
        <v>5004</v>
      </c>
    </row>
    <row r="47" spans="1:97" ht="26.15" customHeight="1">
      <c r="A47" s="2">
        <v>453</v>
      </c>
      <c r="B47" s="25" t="s">
        <v>2359</v>
      </c>
      <c r="C47" s="25" t="str">
        <f>VLOOKUP(B47, Sheet6!$A$1:$B$77, 2, FALSE)</f>
        <v>Yes</v>
      </c>
      <c r="D47" s="25" t="s">
        <v>2360</v>
      </c>
      <c r="E47" s="25" t="s">
        <v>2361</v>
      </c>
      <c r="F47" s="25" t="s">
        <v>9629</v>
      </c>
      <c r="G47" s="25" t="s">
        <v>10953</v>
      </c>
      <c r="H47" s="25" t="s">
        <v>10957</v>
      </c>
      <c r="I47" s="25" t="s">
        <v>10558</v>
      </c>
      <c r="J47" s="25" t="s">
        <v>10517</v>
      </c>
      <c r="L47" s="13">
        <v>2016</v>
      </c>
      <c r="M47" s="14" t="s">
        <v>5689</v>
      </c>
      <c r="N47" s="14" t="s">
        <v>5674</v>
      </c>
      <c r="O47" s="14" t="s">
        <v>2057</v>
      </c>
      <c r="P47" s="15" t="s">
        <v>3117</v>
      </c>
      <c r="Q47" s="16">
        <v>789189</v>
      </c>
      <c r="R47" s="17">
        <v>43168</v>
      </c>
      <c r="S47" s="16" t="s">
        <v>5766</v>
      </c>
      <c r="T47" s="16">
        <v>789189</v>
      </c>
      <c r="U47" s="14" t="s">
        <v>34</v>
      </c>
      <c r="V47" s="13">
        <v>3</v>
      </c>
      <c r="W47" s="17">
        <v>44055</v>
      </c>
      <c r="X47" s="14"/>
      <c r="Y47" s="17"/>
      <c r="Z47" s="17"/>
      <c r="AA47" s="14" t="s">
        <v>1</v>
      </c>
      <c r="AB47" s="14" t="s">
        <v>5007</v>
      </c>
      <c r="AC47" s="14" t="s">
        <v>5238</v>
      </c>
      <c r="AD47" s="20" t="str">
        <f t="shared" si="1"/>
        <v>Crop Tech &gt; Indoor Farming &gt; Hydroponics</v>
      </c>
      <c r="AE47" s="20" t="str">
        <f t="shared" si="3"/>
        <v>Crop Tech</v>
      </c>
      <c r="AF47" s="20" t="str">
        <f t="shared" si="4"/>
        <v>Indoor Farming</v>
      </c>
      <c r="AG47" s="20" t="str">
        <f t="shared" si="4"/>
        <v>Hydroponics</v>
      </c>
      <c r="AH47" s="20" t="str">
        <f t="shared" si="4"/>
        <v/>
      </c>
      <c r="AI47" s="20" t="str">
        <f t="shared" si="4"/>
        <v/>
      </c>
      <c r="AJ47" s="20" t="str">
        <f t="shared" si="4"/>
        <v/>
      </c>
      <c r="AK47" s="20" t="str">
        <f t="shared" si="4"/>
        <v/>
      </c>
      <c r="AL47" s="14"/>
      <c r="AM47" s="14"/>
      <c r="AO47" s="14"/>
      <c r="AP47" s="14" t="s">
        <v>2057</v>
      </c>
      <c r="AQ47" s="14"/>
      <c r="AR47" s="14"/>
      <c r="AS47" s="14" t="s">
        <v>5768</v>
      </c>
      <c r="AT47" s="14"/>
      <c r="AU47" s="14" t="s">
        <v>5769</v>
      </c>
      <c r="AV47" s="18"/>
      <c r="AW47" s="16"/>
      <c r="AX47" s="17"/>
      <c r="AY47" s="15" t="s">
        <v>3123</v>
      </c>
      <c r="AZ47" s="17"/>
      <c r="BA47" s="16"/>
      <c r="BB47" s="14"/>
      <c r="BC47" s="14"/>
      <c r="BD47" s="15" t="s">
        <v>3123</v>
      </c>
      <c r="BE47" s="14"/>
      <c r="BF47" s="17"/>
      <c r="BG47" s="16"/>
      <c r="BH47" s="14"/>
      <c r="BI47" s="15" t="s">
        <v>3123</v>
      </c>
      <c r="BJ47" s="14"/>
      <c r="BK47" s="17"/>
      <c r="BL47" s="16"/>
      <c r="BM47" s="16"/>
      <c r="BN47" s="16"/>
      <c r="BO47" s="16"/>
      <c r="BP47" s="15" t="s">
        <v>3123</v>
      </c>
      <c r="BQ47" s="17"/>
      <c r="BR47" s="14"/>
      <c r="BS47" s="14"/>
      <c r="BT47" s="16"/>
      <c r="BU47" s="16"/>
      <c r="BV47" s="13"/>
      <c r="BW47" s="18" t="s">
        <v>5770</v>
      </c>
      <c r="BX47" s="13">
        <v>200</v>
      </c>
      <c r="BY47" s="17">
        <v>44122</v>
      </c>
      <c r="BZ47" s="18"/>
      <c r="CA47" s="18"/>
      <c r="CB47" s="18"/>
      <c r="CC47" s="18"/>
      <c r="CD47" s="14" t="s">
        <v>5771</v>
      </c>
      <c r="CE47" s="17">
        <v>43472</v>
      </c>
      <c r="CF47" s="16"/>
      <c r="CG47" s="17"/>
      <c r="CH47" s="16"/>
      <c r="CI47" s="17"/>
      <c r="CJ47" s="16"/>
      <c r="CK47" s="17"/>
      <c r="CL47" s="16"/>
      <c r="CM47" s="17"/>
      <c r="CN47" s="19">
        <v>14.124503160483156</v>
      </c>
      <c r="CO47" s="19"/>
      <c r="CP47" s="17"/>
      <c r="CQ47" s="14" t="s">
        <v>5345</v>
      </c>
      <c r="CR47" s="14" t="s">
        <v>5361</v>
      </c>
      <c r="CS47" s="14" t="s">
        <v>5311</v>
      </c>
    </row>
    <row r="48" spans="1:97" ht="26.15" customHeight="1">
      <c r="A48" s="2">
        <v>129</v>
      </c>
      <c r="B48" s="25" t="s">
        <v>1672</v>
      </c>
      <c r="C48" s="25" t="str">
        <f>VLOOKUP(B48, Sheet6!$A$1:$B$77, 2, FALSE)</f>
        <v>Yes</v>
      </c>
      <c r="D48" s="25" t="s">
        <v>1673</v>
      </c>
      <c r="E48" s="25" t="s">
        <v>1675</v>
      </c>
      <c r="F48" s="25" t="s">
        <v>6683</v>
      </c>
      <c r="G48" s="25" t="s">
        <v>10955</v>
      </c>
      <c r="H48" s="25" t="s">
        <v>10959</v>
      </c>
      <c r="I48" s="25" t="s">
        <v>10958</v>
      </c>
      <c r="J48" s="26" t="s">
        <v>10718</v>
      </c>
      <c r="L48" s="13">
        <v>2018</v>
      </c>
      <c r="M48" s="14"/>
      <c r="N48" s="14"/>
      <c r="O48" s="14" t="s">
        <v>2057</v>
      </c>
      <c r="P48" s="15" t="s">
        <v>3117</v>
      </c>
      <c r="Q48" s="16">
        <v>743193</v>
      </c>
      <c r="R48" s="17">
        <v>42917</v>
      </c>
      <c r="S48" s="16" t="s">
        <v>5772</v>
      </c>
      <c r="T48" s="16">
        <v>743193</v>
      </c>
      <c r="U48" s="14" t="s">
        <v>34</v>
      </c>
      <c r="V48" s="13">
        <v>4</v>
      </c>
      <c r="W48" s="17">
        <v>44078</v>
      </c>
      <c r="X48" s="14"/>
      <c r="Y48" s="17"/>
      <c r="Z48" s="17"/>
      <c r="AA48" s="14" t="s">
        <v>1</v>
      </c>
      <c r="AB48" s="14" t="s">
        <v>5007</v>
      </c>
      <c r="AC48" s="14" t="s">
        <v>5192</v>
      </c>
      <c r="AD48" s="20" t="str">
        <f t="shared" si="1"/>
        <v>Crop Tech &gt; Farm Management Software &gt; Diversified</v>
      </c>
      <c r="AE48" s="20" t="str">
        <f t="shared" si="3"/>
        <v>Crop Tech</v>
      </c>
      <c r="AF48" s="20" t="str">
        <f t="shared" si="4"/>
        <v>Farm Management Software</v>
      </c>
      <c r="AG48" s="20" t="str">
        <f t="shared" si="4"/>
        <v>Diversified</v>
      </c>
      <c r="AH48" s="20" t="str">
        <f t="shared" si="4"/>
        <v/>
      </c>
      <c r="AI48" s="20" t="str">
        <f t="shared" si="4"/>
        <v/>
      </c>
      <c r="AJ48" s="20" t="str">
        <f t="shared" si="4"/>
        <v/>
      </c>
      <c r="AK48" s="20" t="str">
        <f t="shared" si="4"/>
        <v/>
      </c>
      <c r="AL48" s="14" t="s">
        <v>2056</v>
      </c>
      <c r="AM48" s="14"/>
      <c r="AO48" s="14"/>
      <c r="AP48" s="14" t="s">
        <v>2057</v>
      </c>
      <c r="AQ48" s="14"/>
      <c r="AR48" s="14"/>
      <c r="AS48" s="14"/>
      <c r="AT48" s="14"/>
      <c r="AU48" s="14"/>
      <c r="AV48" s="18"/>
      <c r="AW48" s="16"/>
      <c r="AX48" s="17"/>
      <c r="AY48" s="15" t="s">
        <v>3123</v>
      </c>
      <c r="AZ48" s="17"/>
      <c r="BA48" s="16"/>
      <c r="BB48" s="14"/>
      <c r="BC48" s="14"/>
      <c r="BD48" s="15" t="s">
        <v>3123</v>
      </c>
      <c r="BE48" s="14"/>
      <c r="BF48" s="17"/>
      <c r="BG48" s="16"/>
      <c r="BH48" s="14"/>
      <c r="BI48" s="15" t="s">
        <v>3123</v>
      </c>
      <c r="BJ48" s="14"/>
      <c r="BK48" s="17"/>
      <c r="BL48" s="16"/>
      <c r="BM48" s="16"/>
      <c r="BN48" s="16"/>
      <c r="BO48" s="16"/>
      <c r="BP48" s="15" t="s">
        <v>3123</v>
      </c>
      <c r="BQ48" s="17"/>
      <c r="BR48" s="14"/>
      <c r="BS48" s="14"/>
      <c r="BT48" s="16"/>
      <c r="BU48" s="16"/>
      <c r="BV48" s="13"/>
      <c r="BW48" s="18" t="s">
        <v>5774</v>
      </c>
      <c r="BX48" s="13">
        <v>200</v>
      </c>
      <c r="BY48" s="17">
        <v>44122</v>
      </c>
      <c r="BZ48" s="18"/>
      <c r="CA48" s="18"/>
      <c r="CB48" s="18"/>
      <c r="CC48" s="18"/>
      <c r="CD48" s="14" t="s">
        <v>5775</v>
      </c>
      <c r="CE48" s="17">
        <v>43504</v>
      </c>
      <c r="CF48" s="16"/>
      <c r="CG48" s="17"/>
      <c r="CH48" s="16"/>
      <c r="CI48" s="17"/>
      <c r="CJ48" s="16"/>
      <c r="CK48" s="17"/>
      <c r="CL48" s="16"/>
      <c r="CM48" s="17"/>
      <c r="CN48" s="19">
        <v>17.394830517951696</v>
      </c>
      <c r="CO48" s="19"/>
      <c r="CP48" s="17"/>
      <c r="CQ48" s="14" t="s">
        <v>5018</v>
      </c>
      <c r="CR48" s="14" t="s">
        <v>5776</v>
      </c>
      <c r="CS48" s="14" t="s">
        <v>5311</v>
      </c>
    </row>
    <row r="49" spans="1:97" ht="26.15" customHeight="1">
      <c r="A49" s="2">
        <v>199</v>
      </c>
      <c r="B49" s="25" t="s">
        <v>251</v>
      </c>
      <c r="C49" s="25" t="str">
        <f>VLOOKUP(B49, Sheet6!$A$1:$B$77, 2, FALSE)</f>
        <v>Yes</v>
      </c>
      <c r="D49" s="25" t="s">
        <v>252</v>
      </c>
      <c r="E49" s="25" t="s">
        <v>256</v>
      </c>
      <c r="F49" s="25" t="s">
        <v>7527</v>
      </c>
      <c r="G49" s="25" t="s">
        <v>10955</v>
      </c>
      <c r="H49" s="25" t="s">
        <v>10959</v>
      </c>
      <c r="I49" s="25" t="s">
        <v>10968</v>
      </c>
      <c r="J49" s="26" t="s">
        <v>10776</v>
      </c>
      <c r="L49" s="13">
        <v>2017</v>
      </c>
      <c r="M49" s="14" t="s">
        <v>5777</v>
      </c>
      <c r="N49" s="14" t="s">
        <v>5050</v>
      </c>
      <c r="O49" s="14" t="s">
        <v>4343</v>
      </c>
      <c r="P49" s="15" t="s">
        <v>3117</v>
      </c>
      <c r="Q49" s="16">
        <v>15000000</v>
      </c>
      <c r="R49" s="17">
        <v>43481</v>
      </c>
      <c r="S49" s="16" t="s">
        <v>5224</v>
      </c>
      <c r="T49" s="16">
        <v>11500000</v>
      </c>
      <c r="U49" s="14" t="s">
        <v>109</v>
      </c>
      <c r="V49" s="13">
        <v>4</v>
      </c>
      <c r="W49" s="17">
        <v>44003</v>
      </c>
      <c r="X49" s="14" t="s">
        <v>5052</v>
      </c>
      <c r="Y49" s="17">
        <v>44027</v>
      </c>
      <c r="Z49" s="17">
        <v>43481</v>
      </c>
      <c r="AA49" s="14" t="s">
        <v>1</v>
      </c>
      <c r="AB49" s="14" t="s">
        <v>5007</v>
      </c>
      <c r="AC49" s="14" t="s">
        <v>5778</v>
      </c>
      <c r="AD49" s="20" t="str">
        <f t="shared" si="1"/>
        <v>Crop Tech &gt; Farm Analytics &gt; Drones Based</v>
      </c>
      <c r="AE49" s="20" t="str">
        <f t="shared" si="3"/>
        <v>Crop Tech</v>
      </c>
      <c r="AF49" s="20" t="str">
        <f t="shared" si="4"/>
        <v>Farm Analytics</v>
      </c>
      <c r="AG49" s="20" t="str">
        <f t="shared" si="4"/>
        <v>Drones Based</v>
      </c>
      <c r="AH49" s="20" t="str">
        <f t="shared" si="4"/>
        <v/>
      </c>
      <c r="AI49" s="20" t="str">
        <f t="shared" si="4"/>
        <v/>
      </c>
      <c r="AJ49" s="20" t="str">
        <f t="shared" si="4"/>
        <v/>
      </c>
      <c r="AK49" s="20" t="str">
        <f t="shared" si="4"/>
        <v/>
      </c>
      <c r="AL49" s="14" t="s">
        <v>5779</v>
      </c>
      <c r="AM49" s="14" t="s">
        <v>1249</v>
      </c>
      <c r="AO49" s="14"/>
      <c r="AP49" s="14" t="s">
        <v>4343</v>
      </c>
      <c r="AQ49" s="14"/>
      <c r="AR49" s="14"/>
      <c r="AS49" s="14" t="s">
        <v>5781</v>
      </c>
      <c r="AT49" s="14" t="s">
        <v>5782</v>
      </c>
      <c r="AU49" s="14" t="s">
        <v>5783</v>
      </c>
      <c r="AV49" s="18"/>
      <c r="AW49" s="16"/>
      <c r="AX49" s="17"/>
      <c r="AY49" s="15" t="s">
        <v>3123</v>
      </c>
      <c r="AZ49" s="17"/>
      <c r="BA49" s="16"/>
      <c r="BB49" s="14"/>
      <c r="BC49" s="14"/>
      <c r="BD49" s="15" t="s">
        <v>3123</v>
      </c>
      <c r="BE49" s="14"/>
      <c r="BF49" s="17"/>
      <c r="BG49" s="16"/>
      <c r="BH49" s="14"/>
      <c r="BI49" s="15" t="s">
        <v>3123</v>
      </c>
      <c r="BJ49" s="14"/>
      <c r="BK49" s="17"/>
      <c r="BL49" s="16"/>
      <c r="BM49" s="16"/>
      <c r="BN49" s="16"/>
      <c r="BO49" s="16"/>
      <c r="BP49" s="15" t="s">
        <v>3123</v>
      </c>
      <c r="BQ49" s="17"/>
      <c r="BR49" s="14"/>
      <c r="BS49" s="14"/>
      <c r="BT49" s="16"/>
      <c r="BU49" s="16"/>
      <c r="BV49" s="13"/>
      <c r="BW49" s="18" t="s">
        <v>5784</v>
      </c>
      <c r="BX49" s="13">
        <v>200</v>
      </c>
      <c r="BY49" s="17">
        <v>44121</v>
      </c>
      <c r="BZ49" s="18" t="s">
        <v>5785</v>
      </c>
      <c r="CA49" s="18" t="s">
        <v>5786</v>
      </c>
      <c r="CB49" s="18"/>
      <c r="CC49" s="18"/>
      <c r="CD49" s="14" t="s">
        <v>5787</v>
      </c>
      <c r="CE49" s="17">
        <v>43374</v>
      </c>
      <c r="CF49" s="16"/>
      <c r="CG49" s="17"/>
      <c r="CH49" s="16"/>
      <c r="CI49" s="17"/>
      <c r="CJ49" s="16"/>
      <c r="CK49" s="17"/>
      <c r="CL49" s="16"/>
      <c r="CM49" s="17"/>
      <c r="CN49" s="19">
        <v>51.469007442632048</v>
      </c>
      <c r="CO49" s="19"/>
      <c r="CP49" s="17"/>
      <c r="CQ49" s="14" t="s">
        <v>5090</v>
      </c>
      <c r="CR49" s="14" t="s">
        <v>5788</v>
      </c>
      <c r="CS49" s="14" t="s">
        <v>5521</v>
      </c>
    </row>
    <row r="50" spans="1:97" ht="26.15" customHeight="1">
      <c r="A50" s="2">
        <v>518</v>
      </c>
      <c r="B50" s="25" t="s">
        <v>3095</v>
      </c>
      <c r="C50" s="25" t="str">
        <f>VLOOKUP(B50, Sheet6!$A$1:$B$77, 2, FALSE)</f>
        <v>Yes</v>
      </c>
      <c r="D50" s="25" t="s">
        <v>3096</v>
      </c>
      <c r="E50" s="25" t="s">
        <v>2979</v>
      </c>
      <c r="F50" s="25" t="s">
        <v>10129</v>
      </c>
      <c r="G50" s="25" t="s">
        <v>10955</v>
      </c>
      <c r="H50" s="25" t="s">
        <v>10558</v>
      </c>
      <c r="I50" s="25" t="s">
        <v>10558</v>
      </c>
      <c r="J50" s="25" t="s">
        <v>10993</v>
      </c>
      <c r="L50" s="13">
        <v>2015</v>
      </c>
      <c r="M50" s="14" t="s">
        <v>5803</v>
      </c>
      <c r="N50" s="14" t="s">
        <v>5804</v>
      </c>
      <c r="O50" s="14" t="s">
        <v>5208</v>
      </c>
      <c r="P50" s="15" t="s">
        <v>3117</v>
      </c>
      <c r="Q50" s="16">
        <v>1875400</v>
      </c>
      <c r="R50" s="17">
        <v>43122</v>
      </c>
      <c r="S50" s="16" t="s">
        <v>5022</v>
      </c>
      <c r="T50" s="16">
        <v>1876540</v>
      </c>
      <c r="U50" s="14" t="s">
        <v>34</v>
      </c>
      <c r="V50" s="13">
        <v>2</v>
      </c>
      <c r="W50" s="17">
        <v>43966</v>
      </c>
      <c r="X50" s="14"/>
      <c r="Y50" s="17"/>
      <c r="Z50" s="17"/>
      <c r="AA50" s="14" t="s">
        <v>1</v>
      </c>
      <c r="AB50" s="14" t="s">
        <v>5007</v>
      </c>
      <c r="AC50" s="14" t="s">
        <v>5336</v>
      </c>
      <c r="AD50" s="20" t="str">
        <f t="shared" si="1"/>
        <v>Crop Tech &gt; Farm Inputs &gt; Biologicals &gt; Diversified</v>
      </c>
      <c r="AE50" s="20" t="str">
        <f t="shared" si="3"/>
        <v>Crop Tech</v>
      </c>
      <c r="AF50" s="20" t="str">
        <f t="shared" si="4"/>
        <v>Farm Inputs</v>
      </c>
      <c r="AG50" s="20" t="str">
        <f t="shared" si="4"/>
        <v>Biologicals</v>
      </c>
      <c r="AH50" s="20" t="str">
        <f t="shared" si="4"/>
        <v>Diversified</v>
      </c>
      <c r="AI50" s="20" t="str">
        <f t="shared" si="4"/>
        <v/>
      </c>
      <c r="AJ50" s="20" t="str">
        <f t="shared" si="4"/>
        <v/>
      </c>
      <c r="AK50" s="20" t="str">
        <f t="shared" si="4"/>
        <v/>
      </c>
      <c r="AL50" s="14" t="s">
        <v>588</v>
      </c>
      <c r="AM50" s="14"/>
      <c r="AO50" s="14"/>
      <c r="AP50" s="14" t="s">
        <v>5208</v>
      </c>
      <c r="AQ50" s="14" t="s">
        <v>5806</v>
      </c>
      <c r="AR50" s="14" t="s">
        <v>5807</v>
      </c>
      <c r="AS50" s="14" t="s">
        <v>5808</v>
      </c>
      <c r="AT50" s="14" t="s">
        <v>5809</v>
      </c>
      <c r="AU50" s="14" t="s">
        <v>5810</v>
      </c>
      <c r="AV50" s="18"/>
      <c r="AW50" s="16"/>
      <c r="AX50" s="17"/>
      <c r="AY50" s="15" t="s">
        <v>3123</v>
      </c>
      <c r="AZ50" s="17"/>
      <c r="BA50" s="16"/>
      <c r="BB50" s="14"/>
      <c r="BC50" s="14"/>
      <c r="BD50" s="15" t="s">
        <v>3123</v>
      </c>
      <c r="BE50" s="14"/>
      <c r="BF50" s="17"/>
      <c r="BG50" s="16"/>
      <c r="BH50" s="14"/>
      <c r="BI50" s="15" t="s">
        <v>3123</v>
      </c>
      <c r="BJ50" s="14"/>
      <c r="BK50" s="17"/>
      <c r="BL50" s="16"/>
      <c r="BM50" s="16"/>
      <c r="BN50" s="16"/>
      <c r="BO50" s="16"/>
      <c r="BP50" s="15" t="s">
        <v>3123</v>
      </c>
      <c r="BQ50" s="17"/>
      <c r="BR50" s="14"/>
      <c r="BS50" s="14"/>
      <c r="BT50" s="16"/>
      <c r="BU50" s="16"/>
      <c r="BV50" s="13"/>
      <c r="BW50" s="18" t="s">
        <v>5811</v>
      </c>
      <c r="BX50" s="13">
        <v>200</v>
      </c>
      <c r="BY50" s="17">
        <v>44121</v>
      </c>
      <c r="BZ50" s="18" t="s">
        <v>5812</v>
      </c>
      <c r="CA50" s="18" t="s">
        <v>5813</v>
      </c>
      <c r="CB50" s="18" t="s">
        <v>5814</v>
      </c>
      <c r="CC50" s="18"/>
      <c r="CD50" s="14" t="s">
        <v>5815</v>
      </c>
      <c r="CE50" s="17">
        <v>43490</v>
      </c>
      <c r="CF50" s="16"/>
      <c r="CG50" s="17"/>
      <c r="CH50" s="16"/>
      <c r="CI50" s="17"/>
      <c r="CJ50" s="16"/>
      <c r="CK50" s="17"/>
      <c r="CL50" s="16"/>
      <c r="CM50" s="17"/>
      <c r="CN50" s="19">
        <v>28.958944302907177</v>
      </c>
      <c r="CO50" s="19"/>
      <c r="CP50" s="17"/>
      <c r="CQ50" s="14" t="s">
        <v>5345</v>
      </c>
      <c r="CR50" s="14" t="s">
        <v>5361</v>
      </c>
      <c r="CS50" s="14" t="s">
        <v>5311</v>
      </c>
    </row>
    <row r="51" spans="1:97" s="53" customFormat="1" ht="26.15" customHeight="1">
      <c r="A51" s="2">
        <v>238</v>
      </c>
      <c r="B51" s="25" t="s">
        <v>628</v>
      </c>
      <c r="C51" s="25" t="str">
        <f>VLOOKUP(B51, Sheet6!$A$1:$B$77, 2, FALSE)</f>
        <v>Yes</v>
      </c>
      <c r="D51" s="25" t="s">
        <v>629</v>
      </c>
      <c r="E51" s="25" t="s">
        <v>632</v>
      </c>
      <c r="F51" s="25" t="s">
        <v>7984</v>
      </c>
      <c r="G51" s="25" t="s">
        <v>10952</v>
      </c>
      <c r="H51" s="25" t="s">
        <v>10957</v>
      </c>
      <c r="I51" s="25" t="s">
        <v>10958</v>
      </c>
      <c r="J51" s="26" t="s">
        <v>10821</v>
      </c>
      <c r="K51" s="256"/>
      <c r="L51" s="57">
        <v>2018</v>
      </c>
      <c r="M51" s="56" t="s">
        <v>5816</v>
      </c>
      <c r="N51" s="56" t="s">
        <v>5817</v>
      </c>
      <c r="O51" s="56" t="s">
        <v>5818</v>
      </c>
      <c r="P51" s="58" t="s">
        <v>3117</v>
      </c>
      <c r="Q51" s="59">
        <v>1000000</v>
      </c>
      <c r="R51" s="60">
        <v>43310</v>
      </c>
      <c r="S51" s="59" t="s">
        <v>5134</v>
      </c>
      <c r="T51" s="59">
        <v>1000000</v>
      </c>
      <c r="U51" s="56" t="s">
        <v>34</v>
      </c>
      <c r="V51" s="57"/>
      <c r="W51" s="60"/>
      <c r="X51" s="56"/>
      <c r="Y51" s="60"/>
      <c r="Z51" s="60"/>
      <c r="AA51" s="56" t="s">
        <v>1</v>
      </c>
      <c r="AB51" s="56" t="s">
        <v>5007</v>
      </c>
      <c r="AC51" s="56" t="s">
        <v>1524</v>
      </c>
      <c r="AD51" s="53" t="str">
        <f t="shared" si="1"/>
        <v>Crop Tech &gt; ECommerce &gt; Farm Produce &gt; B2B &gt; Cannabis &gt; E Distributor</v>
      </c>
      <c r="AE51" s="53" t="str">
        <f t="shared" si="3"/>
        <v>Crop Tech</v>
      </c>
      <c r="AF51" s="53" t="str">
        <f t="shared" si="4"/>
        <v>ECommerce</v>
      </c>
      <c r="AG51" s="53" t="str">
        <f t="shared" si="4"/>
        <v>Farm Produce</v>
      </c>
      <c r="AH51" s="53" t="str">
        <f t="shared" si="4"/>
        <v>B2B</v>
      </c>
      <c r="AI51" s="53" t="str">
        <f t="shared" si="4"/>
        <v>Cannabis</v>
      </c>
      <c r="AJ51" s="53" t="str">
        <f t="shared" si="4"/>
        <v>E Distributor</v>
      </c>
      <c r="AK51" s="53" t="str">
        <f t="shared" si="4"/>
        <v/>
      </c>
      <c r="AL51" s="56"/>
      <c r="AM51" s="56"/>
      <c r="AO51" s="56"/>
      <c r="AP51" s="56" t="s">
        <v>5818</v>
      </c>
      <c r="AQ51" s="56" t="s">
        <v>5820</v>
      </c>
      <c r="AR51" s="56" t="s">
        <v>5821</v>
      </c>
      <c r="AS51" s="56" t="s">
        <v>5822</v>
      </c>
      <c r="AT51" s="56"/>
      <c r="AU51" s="56" t="s">
        <v>5823</v>
      </c>
      <c r="AV51" s="61" t="s">
        <v>5824</v>
      </c>
      <c r="AW51" s="59"/>
      <c r="AX51" s="60"/>
      <c r="AY51" s="58" t="s">
        <v>3123</v>
      </c>
      <c r="AZ51" s="60"/>
      <c r="BA51" s="59"/>
      <c r="BB51" s="56"/>
      <c r="BC51" s="56" t="s">
        <v>5825</v>
      </c>
      <c r="BD51" s="58" t="s">
        <v>3123</v>
      </c>
      <c r="BE51" s="56"/>
      <c r="BF51" s="60"/>
      <c r="BG51" s="59"/>
      <c r="BH51" s="56"/>
      <c r="BI51" s="58" t="s">
        <v>3123</v>
      </c>
      <c r="BJ51" s="56"/>
      <c r="BK51" s="60"/>
      <c r="BL51" s="59"/>
      <c r="BM51" s="59"/>
      <c r="BN51" s="59"/>
      <c r="BO51" s="59"/>
      <c r="BP51" s="58" t="s">
        <v>3123</v>
      </c>
      <c r="BQ51" s="60"/>
      <c r="BR51" s="56"/>
      <c r="BS51" s="56"/>
      <c r="BT51" s="59"/>
      <c r="BU51" s="59"/>
      <c r="BV51" s="57"/>
      <c r="BW51" s="61" t="s">
        <v>5826</v>
      </c>
      <c r="BX51" s="57">
        <v>200</v>
      </c>
      <c r="BY51" s="60">
        <v>44131</v>
      </c>
      <c r="BZ51" s="61" t="s">
        <v>5827</v>
      </c>
      <c r="CA51" s="61"/>
      <c r="CB51" s="61"/>
      <c r="CC51" s="61"/>
      <c r="CD51" s="56" t="s">
        <v>5828</v>
      </c>
      <c r="CE51" s="60">
        <v>43578</v>
      </c>
      <c r="CF51" s="59"/>
      <c r="CG51" s="60"/>
      <c r="CH51" s="59"/>
      <c r="CI51" s="60"/>
      <c r="CJ51" s="59"/>
      <c r="CK51" s="60"/>
      <c r="CL51" s="59"/>
      <c r="CM51" s="60"/>
      <c r="CN51" s="62">
        <v>20.741600564283946</v>
      </c>
      <c r="CO51" s="62"/>
      <c r="CP51" s="60"/>
      <c r="CQ51" s="56" t="s">
        <v>5104</v>
      </c>
      <c r="CR51" s="56" t="s">
        <v>5037</v>
      </c>
      <c r="CS51" s="56" t="s">
        <v>5004</v>
      </c>
    </row>
    <row r="52" spans="1:97" ht="26.15" customHeight="1">
      <c r="A52" s="2">
        <v>266</v>
      </c>
      <c r="B52" s="25" t="s">
        <v>770</v>
      </c>
      <c r="C52" s="25" t="str">
        <f>VLOOKUP(B52, Sheet6!$A$1:$B$77, 2, FALSE)</f>
        <v>Yes</v>
      </c>
      <c r="D52" s="25" t="s">
        <v>771</v>
      </c>
      <c r="E52" s="25" t="s">
        <v>775</v>
      </c>
      <c r="F52" s="25" t="s">
        <v>8377</v>
      </c>
      <c r="G52" s="25" t="s">
        <v>10955</v>
      </c>
      <c r="H52" s="25" t="s">
        <v>10959</v>
      </c>
      <c r="I52" s="25" t="s">
        <v>10958</v>
      </c>
      <c r="J52" s="26" t="s">
        <v>10993</v>
      </c>
      <c r="L52" s="13">
        <v>2016</v>
      </c>
      <c r="M52" s="14" t="s">
        <v>5842</v>
      </c>
      <c r="N52" s="14" t="s">
        <v>5843</v>
      </c>
      <c r="O52" s="14" t="s">
        <v>5844</v>
      </c>
      <c r="P52" s="15" t="s">
        <v>3117</v>
      </c>
      <c r="Q52" s="16">
        <v>17990</v>
      </c>
      <c r="R52" s="17">
        <v>43751</v>
      </c>
      <c r="S52" s="16"/>
      <c r="T52" s="16" t="s">
        <v>50</v>
      </c>
      <c r="U52" s="14" t="s">
        <v>34</v>
      </c>
      <c r="V52" s="13">
        <v>4</v>
      </c>
      <c r="W52" s="17">
        <v>44081</v>
      </c>
      <c r="X52" s="14"/>
      <c r="Y52" s="17"/>
      <c r="Z52" s="17"/>
      <c r="AA52" s="14" t="s">
        <v>1</v>
      </c>
      <c r="AB52" s="14" t="s">
        <v>5845</v>
      </c>
      <c r="AC52" s="14" t="s">
        <v>5846</v>
      </c>
      <c r="AD52" s="20" t="str">
        <f t="shared" si="1"/>
        <v>Insect Farming Tech &gt; Insects &gt; Insect based Products &gt; Diversified</v>
      </c>
      <c r="AE52" s="20" t="str">
        <f t="shared" si="3"/>
        <v>Insect Farming Tech</v>
      </c>
      <c r="AF52" s="20" t="str">
        <f t="shared" si="4"/>
        <v>Insects</v>
      </c>
      <c r="AG52" s="20" t="str">
        <f t="shared" si="4"/>
        <v>Insect based Products</v>
      </c>
      <c r="AH52" s="20" t="str">
        <f t="shared" si="4"/>
        <v>Diversified</v>
      </c>
      <c r="AI52" s="20" t="str">
        <f t="shared" si="4"/>
        <v/>
      </c>
      <c r="AJ52" s="20" t="str">
        <f t="shared" si="4"/>
        <v/>
      </c>
      <c r="AK52" s="20" t="str">
        <f t="shared" si="4"/>
        <v/>
      </c>
      <c r="AL52" s="14" t="s">
        <v>5847</v>
      </c>
      <c r="AM52" s="14"/>
      <c r="AO52" s="14"/>
      <c r="AP52" s="14" t="s">
        <v>5844</v>
      </c>
      <c r="AQ52" s="14" t="s">
        <v>5849</v>
      </c>
      <c r="AR52" s="14" t="s">
        <v>5850</v>
      </c>
      <c r="AS52" s="14" t="s">
        <v>5851</v>
      </c>
      <c r="AT52" s="14"/>
      <c r="AU52" s="14" t="s">
        <v>5852</v>
      </c>
      <c r="AV52" s="18"/>
      <c r="AW52" s="16"/>
      <c r="AX52" s="17"/>
      <c r="AY52" s="15" t="s">
        <v>3123</v>
      </c>
      <c r="AZ52" s="17"/>
      <c r="BA52" s="16"/>
      <c r="BB52" s="14"/>
      <c r="BC52" s="14"/>
      <c r="BD52" s="15" t="s">
        <v>3123</v>
      </c>
      <c r="BE52" s="14"/>
      <c r="BF52" s="17"/>
      <c r="BG52" s="16"/>
      <c r="BH52" s="14"/>
      <c r="BI52" s="15" t="s">
        <v>3123</v>
      </c>
      <c r="BJ52" s="14"/>
      <c r="BK52" s="17"/>
      <c r="BL52" s="16"/>
      <c r="BM52" s="16"/>
      <c r="BN52" s="16"/>
      <c r="BO52" s="16"/>
      <c r="BP52" s="15" t="s">
        <v>3123</v>
      </c>
      <c r="BQ52" s="17"/>
      <c r="BR52" s="14"/>
      <c r="BS52" s="14"/>
      <c r="BT52" s="16"/>
      <c r="BU52" s="16"/>
      <c r="BV52" s="13"/>
      <c r="BW52" s="18" t="s">
        <v>5853</v>
      </c>
      <c r="BX52" s="13">
        <v>200</v>
      </c>
      <c r="BY52" s="17">
        <v>44131</v>
      </c>
      <c r="BZ52" s="18"/>
      <c r="CA52" s="18" t="s">
        <v>5854</v>
      </c>
      <c r="CB52" s="18"/>
      <c r="CC52" s="18"/>
      <c r="CD52" s="14" t="s">
        <v>5855</v>
      </c>
      <c r="CE52" s="17">
        <v>43311</v>
      </c>
      <c r="CF52" s="16"/>
      <c r="CG52" s="17"/>
      <c r="CH52" s="16"/>
      <c r="CI52" s="17"/>
      <c r="CJ52" s="16"/>
      <c r="CK52" s="17"/>
      <c r="CL52" s="16"/>
      <c r="CM52" s="17"/>
      <c r="CN52" s="19">
        <v>43.766186521345269</v>
      </c>
      <c r="CO52" s="19"/>
      <c r="CP52" s="17"/>
      <c r="CQ52" s="14" t="s">
        <v>5345</v>
      </c>
      <c r="CR52" s="14" t="s">
        <v>5619</v>
      </c>
      <c r="CS52" s="14" t="s">
        <v>5620</v>
      </c>
    </row>
    <row r="53" spans="1:97" ht="26.15" customHeight="1">
      <c r="A53" s="2">
        <v>57</v>
      </c>
      <c r="B53" s="25" t="s">
        <v>1137</v>
      </c>
      <c r="C53" s="25" t="str">
        <f>VLOOKUP(B53, Sheet6!$A$1:$B$77, 2, FALSE)</f>
        <v>Yes</v>
      </c>
      <c r="D53" s="25" t="s">
        <v>1138</v>
      </c>
      <c r="E53" s="25" t="s">
        <v>1142</v>
      </c>
      <c r="F53" s="25" t="s">
        <v>5758</v>
      </c>
      <c r="G53" s="25" t="s">
        <v>10955</v>
      </c>
      <c r="H53" s="25" t="s">
        <v>10959</v>
      </c>
      <c r="I53" s="25" t="s">
        <v>10958</v>
      </c>
      <c r="J53" s="26" t="s">
        <v>10846</v>
      </c>
      <c r="L53" s="13">
        <v>2017</v>
      </c>
      <c r="M53" s="14" t="s">
        <v>5005</v>
      </c>
      <c r="N53" s="14" t="s">
        <v>5006</v>
      </c>
      <c r="O53" s="14" t="s">
        <v>3994</v>
      </c>
      <c r="P53" s="15" t="s">
        <v>3117</v>
      </c>
      <c r="Q53" s="16"/>
      <c r="R53" s="17">
        <v>43998</v>
      </c>
      <c r="S53" s="16"/>
      <c r="T53" s="16" t="s">
        <v>50</v>
      </c>
      <c r="U53" s="14" t="s">
        <v>34</v>
      </c>
      <c r="V53" s="13">
        <v>4</v>
      </c>
      <c r="W53" s="17">
        <v>44036</v>
      </c>
      <c r="X53" s="14"/>
      <c r="Y53" s="17"/>
      <c r="Z53" s="17"/>
      <c r="AA53" s="14" t="s">
        <v>1</v>
      </c>
      <c r="AB53" s="14" t="s">
        <v>5007</v>
      </c>
      <c r="AC53" s="14" t="s">
        <v>5238</v>
      </c>
      <c r="AD53" s="20" t="str">
        <f t="shared" ref="AD53:AD100" si="5">IF(IFERROR(LEFT($A53, SEARCH(CHAR(10),$A53)-1),AC53)=0,"",IFERROR(LEFT($A53, SEARCH(CHAR(10),$A53)-1),AC53))</f>
        <v>Crop Tech &gt; Indoor Farming &gt; Hydroponics</v>
      </c>
      <c r="AE53" s="20" t="str">
        <f t="shared" si="3"/>
        <v>Crop Tech</v>
      </c>
      <c r="AF53" s="20" t="str">
        <f t="shared" si="4"/>
        <v>Indoor Farming</v>
      </c>
      <c r="AG53" s="20" t="str">
        <f t="shared" si="4"/>
        <v>Hydroponics</v>
      </c>
      <c r="AH53" s="20" t="str">
        <f t="shared" si="4"/>
        <v/>
      </c>
      <c r="AI53" s="20" t="str">
        <f t="shared" si="4"/>
        <v/>
      </c>
      <c r="AJ53" s="20" t="str">
        <f t="shared" si="4"/>
        <v/>
      </c>
      <c r="AK53" s="20" t="str">
        <f t="shared" si="4"/>
        <v/>
      </c>
      <c r="AL53" s="14" t="s">
        <v>285</v>
      </c>
      <c r="AM53" s="14"/>
      <c r="AO53" s="14"/>
      <c r="AP53" s="14" t="s">
        <v>3994</v>
      </c>
      <c r="AQ53" s="14" t="s">
        <v>5857</v>
      </c>
      <c r="AR53" s="14" t="s">
        <v>5858</v>
      </c>
      <c r="AS53" s="14" t="s">
        <v>5859</v>
      </c>
      <c r="AT53" s="14" t="s">
        <v>5860</v>
      </c>
      <c r="AU53" s="14" t="s">
        <v>5861</v>
      </c>
      <c r="AV53" s="18"/>
      <c r="AW53" s="16"/>
      <c r="AX53" s="17"/>
      <c r="AY53" s="15" t="s">
        <v>3123</v>
      </c>
      <c r="AZ53" s="17"/>
      <c r="BA53" s="16"/>
      <c r="BB53" s="14"/>
      <c r="BC53" s="14"/>
      <c r="BD53" s="15" t="s">
        <v>3123</v>
      </c>
      <c r="BE53" s="14"/>
      <c r="BF53" s="17"/>
      <c r="BG53" s="16"/>
      <c r="BH53" s="14"/>
      <c r="BI53" s="15" t="s">
        <v>3123</v>
      </c>
      <c r="BJ53" s="14"/>
      <c r="BK53" s="17"/>
      <c r="BL53" s="16"/>
      <c r="BM53" s="16"/>
      <c r="BN53" s="16"/>
      <c r="BO53" s="16"/>
      <c r="BP53" s="15" t="s">
        <v>3123</v>
      </c>
      <c r="BQ53" s="17"/>
      <c r="BR53" s="14"/>
      <c r="BS53" s="14"/>
      <c r="BT53" s="16"/>
      <c r="BU53" s="16"/>
      <c r="BV53" s="13"/>
      <c r="BW53" s="18" t="s">
        <v>5862</v>
      </c>
      <c r="BX53" s="13">
        <v>200</v>
      </c>
      <c r="BY53" s="17">
        <v>44131</v>
      </c>
      <c r="BZ53" s="18" t="s">
        <v>5863</v>
      </c>
      <c r="CA53" s="18" t="s">
        <v>5864</v>
      </c>
      <c r="CB53" s="18" t="s">
        <v>5865</v>
      </c>
      <c r="CC53" s="18" t="s">
        <v>5866</v>
      </c>
      <c r="CD53" s="14" t="s">
        <v>5867</v>
      </c>
      <c r="CE53" s="17">
        <v>43503</v>
      </c>
      <c r="CF53" s="16"/>
      <c r="CG53" s="17"/>
      <c r="CH53" s="16"/>
      <c r="CI53" s="17"/>
      <c r="CJ53" s="16"/>
      <c r="CK53" s="17"/>
      <c r="CL53" s="16"/>
      <c r="CM53" s="17"/>
      <c r="CN53" s="19">
        <v>37.302304763699098</v>
      </c>
      <c r="CO53" s="19"/>
      <c r="CP53" s="17"/>
      <c r="CQ53" s="14" t="s">
        <v>5082</v>
      </c>
      <c r="CR53" s="14" t="s">
        <v>5424</v>
      </c>
      <c r="CS53" s="14" t="s">
        <v>5311</v>
      </c>
    </row>
    <row r="54" spans="1:97" ht="26.15" customHeight="1">
      <c r="A54" s="2">
        <v>256</v>
      </c>
      <c r="B54" s="25" t="s">
        <v>1411</v>
      </c>
      <c r="C54" s="25" t="str">
        <f>VLOOKUP(B54, Sheet6!$A$1:$B$77, 2, FALSE)</f>
        <v>Yes</v>
      </c>
      <c r="D54" s="25" t="s">
        <v>1412</v>
      </c>
      <c r="E54" s="25" t="s">
        <v>1415</v>
      </c>
      <c r="F54" s="25" t="s">
        <v>8230</v>
      </c>
      <c r="G54" s="25" t="s">
        <v>10953</v>
      </c>
      <c r="H54" s="25" t="s">
        <v>10957</v>
      </c>
      <c r="I54" s="25" t="s">
        <v>10958</v>
      </c>
      <c r="J54" s="26" t="s">
        <v>10821</v>
      </c>
      <c r="L54" s="13">
        <v>2018</v>
      </c>
      <c r="M54" s="14" t="s">
        <v>5038</v>
      </c>
      <c r="N54" s="14" t="s">
        <v>5039</v>
      </c>
      <c r="O54" s="14" t="s">
        <v>3994</v>
      </c>
      <c r="P54" s="15" t="s">
        <v>3117</v>
      </c>
      <c r="Q54" s="16">
        <v>1720000</v>
      </c>
      <c r="R54" s="17">
        <v>43768</v>
      </c>
      <c r="S54" s="16" t="s">
        <v>5022</v>
      </c>
      <c r="T54" s="16">
        <v>1600000</v>
      </c>
      <c r="U54" s="14" t="s">
        <v>34</v>
      </c>
      <c r="V54" s="13">
        <v>4</v>
      </c>
      <c r="W54" s="17">
        <v>43984</v>
      </c>
      <c r="X54" s="14"/>
      <c r="Y54" s="17"/>
      <c r="Z54" s="17"/>
      <c r="AA54" s="14" t="s">
        <v>1</v>
      </c>
      <c r="AB54" s="14" t="s">
        <v>5007</v>
      </c>
      <c r="AC54" s="14" t="s">
        <v>5192</v>
      </c>
      <c r="AD54" s="20" t="str">
        <f t="shared" si="5"/>
        <v>Crop Tech &gt; Farm Management Software &gt; Diversified</v>
      </c>
      <c r="AE54" s="20" t="str">
        <f t="shared" si="3"/>
        <v>Crop Tech</v>
      </c>
      <c r="AF54" s="20" t="str">
        <f t="shared" si="4"/>
        <v>Farm Management Software</v>
      </c>
      <c r="AG54" s="20" t="str">
        <f t="shared" si="4"/>
        <v>Diversified</v>
      </c>
      <c r="AH54" s="20" t="str">
        <f t="shared" si="4"/>
        <v/>
      </c>
      <c r="AI54" s="20" t="str">
        <f t="shared" si="4"/>
        <v/>
      </c>
      <c r="AJ54" s="20" t="str">
        <f t="shared" si="4"/>
        <v/>
      </c>
      <c r="AK54" s="20" t="str">
        <f t="shared" si="4"/>
        <v/>
      </c>
      <c r="AL54" s="14" t="s">
        <v>5868</v>
      </c>
      <c r="AM54" s="14"/>
      <c r="AO54" s="14"/>
      <c r="AP54" s="14" t="s">
        <v>3994</v>
      </c>
      <c r="AQ54" s="14"/>
      <c r="AR54" s="14"/>
      <c r="AS54" s="14" t="s">
        <v>5870</v>
      </c>
      <c r="AT54" s="14" t="s">
        <v>5871</v>
      </c>
      <c r="AU54" s="14" t="s">
        <v>5872</v>
      </c>
      <c r="AV54" s="18"/>
      <c r="AW54" s="16"/>
      <c r="AX54" s="17"/>
      <c r="AY54" s="15" t="s">
        <v>3123</v>
      </c>
      <c r="AZ54" s="17"/>
      <c r="BA54" s="16"/>
      <c r="BB54" s="14"/>
      <c r="BC54" s="14"/>
      <c r="BD54" s="15" t="s">
        <v>3123</v>
      </c>
      <c r="BE54" s="14"/>
      <c r="BF54" s="17"/>
      <c r="BG54" s="16"/>
      <c r="BH54" s="14"/>
      <c r="BI54" s="15" t="s">
        <v>3123</v>
      </c>
      <c r="BJ54" s="14"/>
      <c r="BK54" s="17"/>
      <c r="BL54" s="16"/>
      <c r="BM54" s="16"/>
      <c r="BN54" s="16"/>
      <c r="BO54" s="16"/>
      <c r="BP54" s="15" t="s">
        <v>3123</v>
      </c>
      <c r="BQ54" s="17"/>
      <c r="BR54" s="14"/>
      <c r="BS54" s="14"/>
      <c r="BT54" s="16"/>
      <c r="BU54" s="16"/>
      <c r="BV54" s="13"/>
      <c r="BW54" s="18" t="s">
        <v>5873</v>
      </c>
      <c r="BX54" s="13">
        <v>200</v>
      </c>
      <c r="BY54" s="17">
        <v>44131</v>
      </c>
      <c r="BZ54" s="18" t="s">
        <v>5874</v>
      </c>
      <c r="CA54" s="18" t="s">
        <v>5875</v>
      </c>
      <c r="CB54" s="18" t="s">
        <v>5876</v>
      </c>
      <c r="CC54" s="18"/>
      <c r="CD54" s="14" t="s">
        <v>5877</v>
      </c>
      <c r="CE54" s="17">
        <v>43335</v>
      </c>
      <c r="CF54" s="16"/>
      <c r="CG54" s="17"/>
      <c r="CH54" s="16"/>
      <c r="CI54" s="17"/>
      <c r="CJ54" s="16"/>
      <c r="CK54" s="17"/>
      <c r="CL54" s="16">
        <v>24</v>
      </c>
      <c r="CM54" s="17">
        <v>44012</v>
      </c>
      <c r="CN54" s="19">
        <v>47.4340927950118</v>
      </c>
      <c r="CO54" s="19"/>
      <c r="CP54" s="17"/>
      <c r="CQ54" s="14" t="s">
        <v>5878</v>
      </c>
      <c r="CR54" s="14" t="s">
        <v>5879</v>
      </c>
      <c r="CS54" s="14" t="s">
        <v>5004</v>
      </c>
    </row>
    <row r="55" spans="1:97" ht="26.15" customHeight="1">
      <c r="A55" s="2">
        <v>258</v>
      </c>
      <c r="B55" s="25" t="s">
        <v>96</v>
      </c>
      <c r="C55" s="25" t="str">
        <f>VLOOKUP(B55, Sheet6!$A$1:$B$77, 2, FALSE)</f>
        <v>Yes</v>
      </c>
      <c r="D55" s="25" t="s">
        <v>97</v>
      </c>
      <c r="E55" s="25" t="s">
        <v>100</v>
      </c>
      <c r="F55" s="25" t="s">
        <v>8260</v>
      </c>
      <c r="G55" s="25" t="s">
        <v>10955</v>
      </c>
      <c r="H55" s="25" t="s">
        <v>10957</v>
      </c>
      <c r="I55" s="25" t="s">
        <v>10958</v>
      </c>
      <c r="J55" s="26" t="s">
        <v>10821</v>
      </c>
      <c r="L55" s="13">
        <v>2017</v>
      </c>
      <c r="M55" s="14" t="s">
        <v>5522</v>
      </c>
      <c r="N55" s="14" t="s">
        <v>5523</v>
      </c>
      <c r="O55" s="14" t="s">
        <v>5524</v>
      </c>
      <c r="P55" s="15" t="s">
        <v>3117</v>
      </c>
      <c r="Q55" s="16"/>
      <c r="R55" s="17">
        <v>43224</v>
      </c>
      <c r="S55" s="16" t="s">
        <v>5896</v>
      </c>
      <c r="T55" s="16">
        <v>40000</v>
      </c>
      <c r="U55" s="14" t="s">
        <v>5040</v>
      </c>
      <c r="V55" s="13">
        <v>3</v>
      </c>
      <c r="W55" s="17">
        <v>44011</v>
      </c>
      <c r="X55" s="14"/>
      <c r="Y55" s="17"/>
      <c r="Z55" s="17"/>
      <c r="AA55" s="14" t="s">
        <v>5426</v>
      </c>
      <c r="AB55" s="14" t="s">
        <v>5427</v>
      </c>
      <c r="AC55" s="14" t="s">
        <v>5428</v>
      </c>
      <c r="AD55" s="20" t="str">
        <f t="shared" si="5"/>
        <v>Crowdfunding &gt; Revenue Sharing &gt; Agriculture
Crop Tech &gt; Finance &gt; Crowdfunding</v>
      </c>
      <c r="AE55" s="20" t="str">
        <f t="shared" si="3"/>
        <v>Crowdfunding</v>
      </c>
      <c r="AF55" s="20" t="str">
        <f t="shared" si="4"/>
        <v>Revenue Sharing</v>
      </c>
      <c r="AG55" s="20" t="str">
        <f t="shared" si="4"/>
        <v>Agriculture
Crop Tech</v>
      </c>
      <c r="AH55" s="20" t="str">
        <f t="shared" si="4"/>
        <v>Finance</v>
      </c>
      <c r="AI55" s="20" t="str">
        <f t="shared" si="4"/>
        <v>Crowdfunding</v>
      </c>
      <c r="AJ55" s="20" t="str">
        <f t="shared" si="4"/>
        <v/>
      </c>
      <c r="AK55" s="20" t="str">
        <f t="shared" si="4"/>
        <v/>
      </c>
      <c r="AL55" s="14" t="s">
        <v>5897</v>
      </c>
      <c r="AM55" s="14"/>
      <c r="AO55" s="14"/>
      <c r="AP55" s="14" t="s">
        <v>5524</v>
      </c>
      <c r="AQ55" s="14" t="s">
        <v>5899</v>
      </c>
      <c r="AR55" s="14" t="s">
        <v>5900</v>
      </c>
      <c r="AS55" s="14"/>
      <c r="AT55" s="14"/>
      <c r="AU55" s="14"/>
      <c r="AV55" s="18"/>
      <c r="AW55" s="16"/>
      <c r="AX55" s="17"/>
      <c r="AY55" s="15" t="s">
        <v>3123</v>
      </c>
      <c r="AZ55" s="17"/>
      <c r="BA55" s="16"/>
      <c r="BB55" s="14"/>
      <c r="BC55" s="14"/>
      <c r="BD55" s="15" t="s">
        <v>3123</v>
      </c>
      <c r="BE55" s="14"/>
      <c r="BF55" s="17"/>
      <c r="BG55" s="16"/>
      <c r="BH55" s="14"/>
      <c r="BI55" s="15" t="s">
        <v>3123</v>
      </c>
      <c r="BJ55" s="14"/>
      <c r="BK55" s="17"/>
      <c r="BL55" s="16"/>
      <c r="BM55" s="16"/>
      <c r="BN55" s="16"/>
      <c r="BO55" s="16"/>
      <c r="BP55" s="15" t="s">
        <v>3123</v>
      </c>
      <c r="BQ55" s="17"/>
      <c r="BR55" s="14"/>
      <c r="BS55" s="14"/>
      <c r="BT55" s="16"/>
      <c r="BU55" s="16"/>
      <c r="BV55" s="13"/>
      <c r="BW55" s="18" t="s">
        <v>5901</v>
      </c>
      <c r="BX55" s="13">
        <v>200</v>
      </c>
      <c r="BY55" s="17">
        <v>44114</v>
      </c>
      <c r="BZ55" s="18" t="s">
        <v>5902</v>
      </c>
      <c r="CA55" s="18" t="s">
        <v>5903</v>
      </c>
      <c r="CB55" s="18" t="s">
        <v>5904</v>
      </c>
      <c r="CC55" s="18" t="s">
        <v>5905</v>
      </c>
      <c r="CD55" s="14" t="s">
        <v>5906</v>
      </c>
      <c r="CE55" s="17">
        <v>43607</v>
      </c>
      <c r="CF55" s="16"/>
      <c r="CG55" s="17"/>
      <c r="CH55" s="16"/>
      <c r="CI55" s="17"/>
      <c r="CJ55" s="16"/>
      <c r="CK55" s="17"/>
      <c r="CL55" s="16"/>
      <c r="CM55" s="17"/>
      <c r="CN55" s="19">
        <v>30.114573217163034</v>
      </c>
      <c r="CO55" s="19"/>
      <c r="CP55" s="17"/>
      <c r="CQ55" s="14" t="s">
        <v>5104</v>
      </c>
      <c r="CR55" s="14" t="s">
        <v>5439</v>
      </c>
      <c r="CS55" s="14" t="s">
        <v>5311</v>
      </c>
    </row>
    <row r="56" spans="1:97" ht="26.15" customHeight="1">
      <c r="A56" s="2">
        <v>385</v>
      </c>
      <c r="B56" s="25" t="s">
        <v>2341</v>
      </c>
      <c r="C56" s="25" t="str">
        <f>VLOOKUP(B56, Sheet6!$A$1:$B$77, 2, FALSE)</f>
        <v>Yes</v>
      </c>
      <c r="D56" s="25" t="s">
        <v>2342</v>
      </c>
      <c r="E56" s="25" t="s">
        <v>2345</v>
      </c>
      <c r="F56" s="25" t="s">
        <v>9230</v>
      </c>
      <c r="G56" s="25" t="s">
        <v>10953</v>
      </c>
      <c r="H56" s="25" t="s">
        <v>10558</v>
      </c>
      <c r="I56" s="25" t="s">
        <v>10558</v>
      </c>
      <c r="J56" s="25" t="s">
        <v>10517</v>
      </c>
      <c r="L56" s="13">
        <v>2017</v>
      </c>
      <c r="M56" s="14" t="s">
        <v>5222</v>
      </c>
      <c r="N56" s="14" t="s">
        <v>5223</v>
      </c>
      <c r="O56" s="14" t="s">
        <v>3994</v>
      </c>
      <c r="P56" s="15" t="s">
        <v>3117</v>
      </c>
      <c r="Q56" s="16">
        <v>365851</v>
      </c>
      <c r="R56" s="17">
        <v>43853</v>
      </c>
      <c r="S56" s="16" t="s">
        <v>5919</v>
      </c>
      <c r="T56" s="16">
        <v>309159</v>
      </c>
      <c r="U56" s="14" t="s">
        <v>34</v>
      </c>
      <c r="V56" s="13">
        <v>5</v>
      </c>
      <c r="W56" s="17">
        <v>43879</v>
      </c>
      <c r="X56" s="14"/>
      <c r="Y56" s="17"/>
      <c r="Z56" s="17"/>
      <c r="AA56" s="14" t="s">
        <v>5920</v>
      </c>
      <c r="AB56" s="14" t="s">
        <v>5921</v>
      </c>
      <c r="AC56" s="14" t="s">
        <v>5922</v>
      </c>
      <c r="AD56" s="20" t="str">
        <f t="shared" si="5"/>
        <v>Social Platforms &gt; Professionals &gt; Farmers
Crop Tech &gt; Content Platforms &gt; Data as a Service &gt; Market Data</v>
      </c>
      <c r="AE56" s="20" t="str">
        <f t="shared" si="3"/>
        <v>Social Platforms</v>
      </c>
      <c r="AF56" s="20" t="str">
        <f t="shared" si="4"/>
        <v>Professionals</v>
      </c>
      <c r="AG56" s="20" t="str">
        <f t="shared" si="4"/>
        <v>Farmers
Crop Tech</v>
      </c>
      <c r="AH56" s="20" t="str">
        <f t="shared" si="4"/>
        <v>Content Platforms</v>
      </c>
      <c r="AI56" s="20" t="str">
        <f t="shared" si="4"/>
        <v>Data as a Service</v>
      </c>
      <c r="AJ56" s="20" t="str">
        <f t="shared" si="4"/>
        <v>Market Data</v>
      </c>
      <c r="AK56" s="20" t="str">
        <f t="shared" si="4"/>
        <v/>
      </c>
      <c r="AL56" s="14" t="s">
        <v>5923</v>
      </c>
      <c r="AM56" s="14" t="s">
        <v>5924</v>
      </c>
      <c r="AO56" s="14"/>
      <c r="AP56" s="14" t="s">
        <v>3994</v>
      </c>
      <c r="AQ56" s="14" t="s">
        <v>5926</v>
      </c>
      <c r="AR56" s="14"/>
      <c r="AS56" s="14" t="s">
        <v>5927</v>
      </c>
      <c r="AT56" s="14" t="s">
        <v>5928</v>
      </c>
      <c r="AU56" s="14" t="s">
        <v>5929</v>
      </c>
      <c r="AV56" s="18"/>
      <c r="AW56" s="16"/>
      <c r="AX56" s="17"/>
      <c r="AY56" s="15" t="s">
        <v>3123</v>
      </c>
      <c r="AZ56" s="17"/>
      <c r="BA56" s="16"/>
      <c r="BB56" s="14"/>
      <c r="BC56" s="14"/>
      <c r="BD56" s="15" t="s">
        <v>3123</v>
      </c>
      <c r="BE56" s="14"/>
      <c r="BF56" s="17"/>
      <c r="BG56" s="16"/>
      <c r="BH56" s="14"/>
      <c r="BI56" s="15" t="s">
        <v>3123</v>
      </c>
      <c r="BJ56" s="14"/>
      <c r="BK56" s="17"/>
      <c r="BL56" s="16"/>
      <c r="BM56" s="16"/>
      <c r="BN56" s="16"/>
      <c r="BO56" s="16"/>
      <c r="BP56" s="15" t="s">
        <v>3123</v>
      </c>
      <c r="BQ56" s="17"/>
      <c r="BR56" s="14"/>
      <c r="BS56" s="14"/>
      <c r="BT56" s="16"/>
      <c r="BU56" s="16"/>
      <c r="BV56" s="13"/>
      <c r="BW56" s="18" t="s">
        <v>5930</v>
      </c>
      <c r="BX56" s="13">
        <v>200</v>
      </c>
      <c r="BY56" s="17">
        <v>44131</v>
      </c>
      <c r="BZ56" s="18" t="s">
        <v>5931</v>
      </c>
      <c r="CA56" s="18"/>
      <c r="CB56" s="18"/>
      <c r="CC56" s="18"/>
      <c r="CD56" s="14" t="s">
        <v>5932</v>
      </c>
      <c r="CE56" s="17">
        <v>43689</v>
      </c>
      <c r="CF56" s="16"/>
      <c r="CG56" s="17"/>
      <c r="CH56" s="16"/>
      <c r="CI56" s="17"/>
      <c r="CJ56" s="16">
        <v>3468181.9816556145</v>
      </c>
      <c r="CK56" s="17">
        <v>43948</v>
      </c>
      <c r="CL56" s="16"/>
      <c r="CM56" s="17"/>
      <c r="CN56" s="19">
        <v>45.412926769096089</v>
      </c>
      <c r="CO56" s="19"/>
      <c r="CP56" s="17"/>
      <c r="CQ56" s="14" t="s">
        <v>5082</v>
      </c>
      <c r="CR56" s="14" t="s">
        <v>5083</v>
      </c>
      <c r="CS56" s="14" t="s">
        <v>5004</v>
      </c>
    </row>
    <row r="57" spans="1:97" ht="26.15" customHeight="1">
      <c r="A57" s="2">
        <v>205</v>
      </c>
      <c r="B57" s="25" t="s">
        <v>1748</v>
      </c>
      <c r="C57" s="25" t="str">
        <f>VLOOKUP(B57, Sheet6!$A$1:$B$77, 2, FALSE)</f>
        <v>Yes</v>
      </c>
      <c r="D57" s="25" t="s">
        <v>1749</v>
      </c>
      <c r="E57" s="25" t="s">
        <v>1752</v>
      </c>
      <c r="F57" s="25" t="s">
        <v>7602</v>
      </c>
      <c r="G57" s="25" t="s">
        <v>10955</v>
      </c>
      <c r="H57" s="25" t="s">
        <v>10959</v>
      </c>
      <c r="I57" s="25" t="s">
        <v>10958</v>
      </c>
      <c r="J57" s="26" t="s">
        <v>10852</v>
      </c>
      <c r="L57" s="13">
        <v>2017</v>
      </c>
      <c r="M57" s="14" t="s">
        <v>5050</v>
      </c>
      <c r="N57" s="14" t="s">
        <v>5050</v>
      </c>
      <c r="O57" s="14" t="s">
        <v>4343</v>
      </c>
      <c r="P57" s="15" t="s">
        <v>3117</v>
      </c>
      <c r="Q57" s="16">
        <v>2200000</v>
      </c>
      <c r="R57" s="17">
        <v>43747</v>
      </c>
      <c r="S57" s="16" t="s">
        <v>5022</v>
      </c>
      <c r="T57" s="16">
        <v>1500000</v>
      </c>
      <c r="U57" s="14" t="s">
        <v>34</v>
      </c>
      <c r="V57" s="13">
        <v>4</v>
      </c>
      <c r="W57" s="17">
        <v>44090</v>
      </c>
      <c r="X57" s="14"/>
      <c r="Y57" s="17"/>
      <c r="Z57" s="17"/>
      <c r="AA57" s="14" t="s">
        <v>5933</v>
      </c>
      <c r="AB57" s="14" t="s">
        <v>5934</v>
      </c>
      <c r="AC57" s="14" t="s">
        <v>5935</v>
      </c>
      <c r="AD57" s="20" t="str">
        <f t="shared" si="5"/>
        <v>Food Tech &gt; Tech Hardware &gt; Food Safety &gt; Consumer Focused &gt; Allergen Detection
Sensors &gt; Industry Applications &gt; Food
Crop Tech &gt; Post Harvest Management &gt; Quality Testing &gt; Fruits and Vegetables &gt; Sensors</v>
      </c>
      <c r="AE57" s="20" t="str">
        <f t="shared" si="3"/>
        <v>Food Tech</v>
      </c>
      <c r="AF57" s="20" t="str">
        <f t="shared" si="4"/>
        <v>Tech Hardware</v>
      </c>
      <c r="AG57" s="20" t="str">
        <f t="shared" si="4"/>
        <v>Food Safety</v>
      </c>
      <c r="AH57" s="20" t="str">
        <f t="shared" si="4"/>
        <v>Consumer Focused</v>
      </c>
      <c r="AI57" s="20" t="str">
        <f t="shared" si="4"/>
        <v>Allergen Detection
Sensors</v>
      </c>
      <c r="AJ57" s="20" t="str">
        <f t="shared" si="4"/>
        <v>Industry Applications</v>
      </c>
      <c r="AK57" s="20" t="str">
        <f t="shared" si="4"/>
        <v>Food
Crop Tech</v>
      </c>
      <c r="AL57" s="14" t="s">
        <v>5936</v>
      </c>
      <c r="AM57" s="14"/>
      <c r="AO57" s="14"/>
      <c r="AP57" s="14" t="s">
        <v>4343</v>
      </c>
      <c r="AQ57" s="14"/>
      <c r="AR57" s="14"/>
      <c r="AS57" s="14" t="s">
        <v>5938</v>
      </c>
      <c r="AT57" s="14"/>
      <c r="AU57" s="14" t="s">
        <v>5939</v>
      </c>
      <c r="AV57" s="18"/>
      <c r="AW57" s="16"/>
      <c r="AX57" s="17"/>
      <c r="AY57" s="15" t="s">
        <v>3123</v>
      </c>
      <c r="AZ57" s="17"/>
      <c r="BA57" s="16"/>
      <c r="BB57" s="14"/>
      <c r="BC57" s="14"/>
      <c r="BD57" s="15" t="s">
        <v>3123</v>
      </c>
      <c r="BE57" s="14"/>
      <c r="BF57" s="17"/>
      <c r="BG57" s="16"/>
      <c r="BH57" s="14"/>
      <c r="BI57" s="15" t="s">
        <v>3123</v>
      </c>
      <c r="BJ57" s="14"/>
      <c r="BK57" s="17"/>
      <c r="BL57" s="16"/>
      <c r="BM57" s="16"/>
      <c r="BN57" s="16"/>
      <c r="BO57" s="16"/>
      <c r="BP57" s="15" t="s">
        <v>3123</v>
      </c>
      <c r="BQ57" s="17"/>
      <c r="BR57" s="14"/>
      <c r="BS57" s="14"/>
      <c r="BT57" s="16"/>
      <c r="BU57" s="16"/>
      <c r="BV57" s="13"/>
      <c r="BW57" s="18" t="s">
        <v>5940</v>
      </c>
      <c r="BX57" s="13">
        <v>200</v>
      </c>
      <c r="BY57" s="17">
        <v>44113</v>
      </c>
      <c r="BZ57" s="18" t="s">
        <v>5941</v>
      </c>
      <c r="CA57" s="18"/>
      <c r="CB57" s="18" t="s">
        <v>5942</v>
      </c>
      <c r="CC57" s="18"/>
      <c r="CD57" s="14" t="s">
        <v>5943</v>
      </c>
      <c r="CE57" s="17">
        <v>43209</v>
      </c>
      <c r="CF57" s="16"/>
      <c r="CG57" s="17"/>
      <c r="CH57" s="16"/>
      <c r="CI57" s="17"/>
      <c r="CJ57" s="16"/>
      <c r="CK57" s="17"/>
      <c r="CL57" s="16"/>
      <c r="CM57" s="17"/>
      <c r="CN57" s="19">
        <v>28.173313165104066</v>
      </c>
      <c r="CO57" s="19"/>
      <c r="CP57" s="17"/>
      <c r="CQ57" s="14" t="s">
        <v>5082</v>
      </c>
      <c r="CR57" s="14" t="s">
        <v>5944</v>
      </c>
      <c r="CS57" s="14" t="s">
        <v>5945</v>
      </c>
    </row>
    <row r="58" spans="1:97" ht="26.15" customHeight="1">
      <c r="A58" s="2">
        <v>373</v>
      </c>
      <c r="B58" s="25" t="s">
        <v>2472</v>
      </c>
      <c r="C58" s="25" t="str">
        <f>VLOOKUP(B58, Sheet6!$A$1:$B$77, 2, FALSE)</f>
        <v>Yes</v>
      </c>
      <c r="D58" s="25" t="s">
        <v>2473</v>
      </c>
      <c r="E58" s="25" t="s">
        <v>2476</v>
      </c>
      <c r="F58" s="25" t="s">
        <v>9178</v>
      </c>
      <c r="G58" s="25" t="s">
        <v>10955</v>
      </c>
      <c r="H58" s="25" t="s">
        <v>10558</v>
      </c>
      <c r="I58" s="25" t="s">
        <v>10968</v>
      </c>
      <c r="J58" s="25" t="s">
        <v>10821</v>
      </c>
      <c r="L58" s="13">
        <v>2018</v>
      </c>
      <c r="M58" s="14" t="s">
        <v>5038</v>
      </c>
      <c r="N58" s="14" t="s">
        <v>5039</v>
      </c>
      <c r="O58" s="14" t="s">
        <v>3994</v>
      </c>
      <c r="P58" s="15" t="s">
        <v>3117</v>
      </c>
      <c r="Q58" s="16">
        <v>1819105</v>
      </c>
      <c r="R58" s="17">
        <v>43768</v>
      </c>
      <c r="S58" s="16" t="s">
        <v>5022</v>
      </c>
      <c r="T58" s="16">
        <v>1726330</v>
      </c>
      <c r="U58" s="14" t="s">
        <v>34</v>
      </c>
      <c r="V58" s="13">
        <v>4</v>
      </c>
      <c r="W58" s="17">
        <v>44022</v>
      </c>
      <c r="X58" s="14"/>
      <c r="Y58" s="17"/>
      <c r="Z58" s="17"/>
      <c r="AA58" s="14" t="s">
        <v>1</v>
      </c>
      <c r="AB58" s="14" t="s">
        <v>5007</v>
      </c>
      <c r="AC58" s="14" t="s">
        <v>5963</v>
      </c>
      <c r="AD58" s="20" t="str">
        <f t="shared" si="5"/>
        <v>Crop Tech &gt; Farm Analytics &gt; Diversified</v>
      </c>
      <c r="AE58" s="20" t="str">
        <f t="shared" si="3"/>
        <v>Crop Tech</v>
      </c>
      <c r="AF58" s="20" t="str">
        <f t="shared" si="4"/>
        <v>Farm Analytics</v>
      </c>
      <c r="AG58" s="20" t="str">
        <f t="shared" si="4"/>
        <v>Diversified</v>
      </c>
      <c r="AH58" s="20" t="str">
        <f t="shared" si="4"/>
        <v/>
      </c>
      <c r="AI58" s="20" t="str">
        <f t="shared" si="4"/>
        <v/>
      </c>
      <c r="AJ58" s="20" t="str">
        <f t="shared" si="4"/>
        <v/>
      </c>
      <c r="AK58" s="20" t="str">
        <f t="shared" si="4"/>
        <v/>
      </c>
      <c r="AL58" s="14" t="s">
        <v>5964</v>
      </c>
      <c r="AM58" s="14"/>
      <c r="AO58" s="14"/>
      <c r="AP58" s="14" t="s">
        <v>3994</v>
      </c>
      <c r="AQ58" s="14" t="s">
        <v>5965</v>
      </c>
      <c r="AR58" s="14" t="s">
        <v>5966</v>
      </c>
      <c r="AS58" s="14" t="s">
        <v>5967</v>
      </c>
      <c r="AT58" s="14" t="s">
        <v>5968</v>
      </c>
      <c r="AU58" s="14" t="s">
        <v>5872</v>
      </c>
      <c r="AV58" s="18"/>
      <c r="AW58" s="16">
        <v>21500</v>
      </c>
      <c r="AX58" s="17">
        <v>43465</v>
      </c>
      <c r="AY58" s="15" t="s">
        <v>3123</v>
      </c>
      <c r="AZ58" s="17"/>
      <c r="BA58" s="16"/>
      <c r="BB58" s="14"/>
      <c r="BC58" s="14"/>
      <c r="BD58" s="15" t="s">
        <v>3123</v>
      </c>
      <c r="BE58" s="14"/>
      <c r="BF58" s="17"/>
      <c r="BG58" s="16"/>
      <c r="BH58" s="14"/>
      <c r="BI58" s="15" t="s">
        <v>3123</v>
      </c>
      <c r="BJ58" s="14"/>
      <c r="BK58" s="17"/>
      <c r="BL58" s="16"/>
      <c r="BM58" s="16"/>
      <c r="BN58" s="16"/>
      <c r="BO58" s="16"/>
      <c r="BP58" s="15" t="s">
        <v>3123</v>
      </c>
      <c r="BQ58" s="17"/>
      <c r="BR58" s="14" t="s">
        <v>713</v>
      </c>
      <c r="BS58" s="14"/>
      <c r="BT58" s="16"/>
      <c r="BU58" s="16"/>
      <c r="BV58" s="13"/>
      <c r="BW58" s="18" t="s">
        <v>5969</v>
      </c>
      <c r="BX58" s="13">
        <v>200</v>
      </c>
      <c r="BY58" s="17">
        <v>44112</v>
      </c>
      <c r="BZ58" s="18" t="s">
        <v>5970</v>
      </c>
      <c r="CA58" s="18" t="s">
        <v>5971</v>
      </c>
      <c r="CB58" s="18" t="s">
        <v>5972</v>
      </c>
      <c r="CC58" s="18" t="s">
        <v>5973</v>
      </c>
      <c r="CD58" s="14" t="s">
        <v>5974</v>
      </c>
      <c r="CE58" s="17">
        <v>43410</v>
      </c>
      <c r="CF58" s="16">
        <v>-65600</v>
      </c>
      <c r="CG58" s="17">
        <v>43465</v>
      </c>
      <c r="CH58" s="16">
        <v>-65300</v>
      </c>
      <c r="CI58" s="17">
        <v>43465</v>
      </c>
      <c r="CJ58" s="16">
        <v>6556726.1740195118</v>
      </c>
      <c r="CK58" s="17">
        <v>43995</v>
      </c>
      <c r="CL58" s="16"/>
      <c r="CM58" s="17"/>
      <c r="CN58" s="19">
        <v>35.303656386763919</v>
      </c>
      <c r="CO58" s="19"/>
      <c r="CP58" s="17"/>
      <c r="CQ58" s="14" t="s">
        <v>5975</v>
      </c>
      <c r="CR58" s="14" t="s">
        <v>5788</v>
      </c>
      <c r="CS58" s="14" t="s">
        <v>5311</v>
      </c>
    </row>
    <row r="59" spans="1:97" ht="26.15" customHeight="1">
      <c r="A59" s="2">
        <v>176</v>
      </c>
      <c r="B59" s="25" t="s">
        <v>1470</v>
      </c>
      <c r="C59" s="25" t="str">
        <f>VLOOKUP(B59, Sheet6!$A$1:$B$77, 2, FALSE)</f>
        <v>Yes</v>
      </c>
      <c r="D59" s="25" t="s">
        <v>1471</v>
      </c>
      <c r="E59" s="25" t="s">
        <v>1474</v>
      </c>
      <c r="F59" s="25" t="s">
        <v>7263</v>
      </c>
      <c r="G59" s="25" t="s">
        <v>10955</v>
      </c>
      <c r="H59" s="25" t="s">
        <v>10957</v>
      </c>
      <c r="I59" s="25" t="s">
        <v>10958</v>
      </c>
      <c r="J59" s="26" t="s">
        <v>10821</v>
      </c>
      <c r="L59" s="13">
        <v>2015</v>
      </c>
      <c r="M59" s="14" t="s">
        <v>5389</v>
      </c>
      <c r="N59" s="14" t="s">
        <v>5390</v>
      </c>
      <c r="O59" s="14" t="s">
        <v>5391</v>
      </c>
      <c r="P59" s="15" t="s">
        <v>3117</v>
      </c>
      <c r="Q59" s="16"/>
      <c r="R59" s="17">
        <v>43165</v>
      </c>
      <c r="S59" s="16"/>
      <c r="T59" s="16" t="s">
        <v>50</v>
      </c>
      <c r="U59" s="14" t="s">
        <v>5630</v>
      </c>
      <c r="V59" s="13"/>
      <c r="W59" s="17">
        <v>44063</v>
      </c>
      <c r="X59" s="14"/>
      <c r="Y59" s="17"/>
      <c r="Z59" s="17"/>
      <c r="AA59" s="14" t="s">
        <v>5976</v>
      </c>
      <c r="AB59" s="14" t="s">
        <v>5977</v>
      </c>
      <c r="AC59" s="14" t="s">
        <v>5978</v>
      </c>
      <c r="AD59" s="20" t="str">
        <f t="shared" si="5"/>
        <v>Blockchain &gt; Agriculture
Crop Tech &gt; Post Harvest Management &gt; Traceability</v>
      </c>
      <c r="AE59" s="20" t="str">
        <f t="shared" si="3"/>
        <v>Blockchain</v>
      </c>
      <c r="AF59" s="20" t="str">
        <f t="shared" si="4"/>
        <v>Agriculture
Crop Tech</v>
      </c>
      <c r="AG59" s="20" t="str">
        <f t="shared" si="4"/>
        <v>Post Harvest Management</v>
      </c>
      <c r="AH59" s="20" t="str">
        <f t="shared" si="4"/>
        <v>Traceability</v>
      </c>
      <c r="AI59" s="20" t="str">
        <f t="shared" si="4"/>
        <v/>
      </c>
      <c r="AJ59" s="20" t="str">
        <f t="shared" si="4"/>
        <v/>
      </c>
      <c r="AK59" s="20" t="str">
        <f t="shared" si="4"/>
        <v/>
      </c>
      <c r="AL59" s="14" t="s">
        <v>5979</v>
      </c>
      <c r="AM59" s="14"/>
      <c r="AO59" s="14"/>
      <c r="AP59" s="14" t="s">
        <v>5391</v>
      </c>
      <c r="AQ59" s="14" t="s">
        <v>5981</v>
      </c>
      <c r="AR59" s="14" t="s">
        <v>5982</v>
      </c>
      <c r="AS59" s="14" t="s">
        <v>5983</v>
      </c>
      <c r="AT59" s="14" t="s">
        <v>5984</v>
      </c>
      <c r="AU59" s="14" t="s">
        <v>5985</v>
      </c>
      <c r="AV59" s="18" t="s">
        <v>5986</v>
      </c>
      <c r="AW59" s="16"/>
      <c r="AX59" s="17"/>
      <c r="AY59" s="15" t="s">
        <v>3123</v>
      </c>
      <c r="AZ59" s="17"/>
      <c r="BA59" s="16"/>
      <c r="BB59" s="14"/>
      <c r="BC59" s="14"/>
      <c r="BD59" s="15" t="s">
        <v>3123</v>
      </c>
      <c r="BE59" s="14"/>
      <c r="BF59" s="17"/>
      <c r="BG59" s="16"/>
      <c r="BH59" s="14"/>
      <c r="BI59" s="15" t="s">
        <v>3123</v>
      </c>
      <c r="BJ59" s="14"/>
      <c r="BK59" s="17"/>
      <c r="BL59" s="16"/>
      <c r="BM59" s="16"/>
      <c r="BN59" s="16"/>
      <c r="BO59" s="16"/>
      <c r="BP59" s="15" t="s">
        <v>3117</v>
      </c>
      <c r="BQ59" s="17">
        <v>43252</v>
      </c>
      <c r="BR59" s="14"/>
      <c r="BS59" s="14"/>
      <c r="BT59" s="16"/>
      <c r="BU59" s="16"/>
      <c r="BV59" s="13"/>
      <c r="BW59" s="18" t="s">
        <v>5987</v>
      </c>
      <c r="BX59" s="13">
        <v>503</v>
      </c>
      <c r="BY59" s="17">
        <v>44131</v>
      </c>
      <c r="BZ59" s="18" t="s">
        <v>5988</v>
      </c>
      <c r="CA59" s="18" t="s">
        <v>5989</v>
      </c>
      <c r="CB59" s="18" t="s">
        <v>5990</v>
      </c>
      <c r="CC59" s="18" t="s">
        <v>5991</v>
      </c>
      <c r="CD59" s="14" t="s">
        <v>5992</v>
      </c>
      <c r="CE59" s="17">
        <v>43335</v>
      </c>
      <c r="CF59" s="16"/>
      <c r="CG59" s="17"/>
      <c r="CH59" s="16"/>
      <c r="CI59" s="17"/>
      <c r="CJ59" s="16"/>
      <c r="CK59" s="17"/>
      <c r="CL59" s="16"/>
      <c r="CM59" s="17"/>
      <c r="CN59" s="19">
        <v>30.24938953057843</v>
      </c>
      <c r="CO59" s="19"/>
      <c r="CP59" s="17"/>
      <c r="CQ59" s="14" t="s">
        <v>5993</v>
      </c>
      <c r="CR59" s="14" t="s">
        <v>5310</v>
      </c>
      <c r="CS59" s="14" t="s">
        <v>5994</v>
      </c>
    </row>
    <row r="60" spans="1:97" ht="26.15" customHeight="1">
      <c r="A60" s="2">
        <v>113</v>
      </c>
      <c r="B60" s="25" t="s">
        <v>615</v>
      </c>
      <c r="C60" s="25" t="str">
        <f>VLOOKUP(B60, Sheet6!$A$1:$B$77, 2, FALSE)</f>
        <v>Yes</v>
      </c>
      <c r="D60" s="25" t="s">
        <v>616</v>
      </c>
      <c r="E60" s="25" t="s">
        <v>620</v>
      </c>
      <c r="F60" s="25"/>
      <c r="G60" s="25" t="s">
        <v>10955</v>
      </c>
      <c r="H60" s="25" t="s">
        <v>10959</v>
      </c>
      <c r="I60" s="25" t="s">
        <v>10958</v>
      </c>
      <c r="J60" s="26" t="s">
        <v>10993</v>
      </c>
      <c r="L60" s="13">
        <v>2016</v>
      </c>
      <c r="M60" s="14" t="s">
        <v>5995</v>
      </c>
      <c r="N60" s="14" t="s">
        <v>5674</v>
      </c>
      <c r="O60" s="14" t="s">
        <v>2057</v>
      </c>
      <c r="P60" s="15" t="s">
        <v>3117</v>
      </c>
      <c r="Q60" s="16"/>
      <c r="R60" s="17">
        <v>43397</v>
      </c>
      <c r="S60" s="16"/>
      <c r="T60" s="16" t="s">
        <v>50</v>
      </c>
      <c r="U60" s="14" t="s">
        <v>34</v>
      </c>
      <c r="V60" s="13">
        <v>2</v>
      </c>
      <c r="W60" s="17">
        <v>43983</v>
      </c>
      <c r="X60" s="14"/>
      <c r="Y60" s="17"/>
      <c r="Z60" s="17"/>
      <c r="AA60" s="14" t="s">
        <v>1</v>
      </c>
      <c r="AB60" s="14" t="s">
        <v>5007</v>
      </c>
      <c r="AC60" s="14" t="s">
        <v>5192</v>
      </c>
      <c r="AD60" s="20" t="str">
        <f t="shared" si="5"/>
        <v>Crop Tech &gt; Farm Management Software &gt; Diversified</v>
      </c>
      <c r="AE60" s="20" t="str">
        <f t="shared" si="3"/>
        <v>Crop Tech</v>
      </c>
      <c r="AF60" s="20" t="str">
        <f t="shared" si="4"/>
        <v>Farm Management Software</v>
      </c>
      <c r="AG60" s="20" t="str">
        <f t="shared" si="4"/>
        <v>Diversified</v>
      </c>
      <c r="AH60" s="20" t="str">
        <f t="shared" si="4"/>
        <v/>
      </c>
      <c r="AI60" s="20" t="str">
        <f t="shared" si="4"/>
        <v/>
      </c>
      <c r="AJ60" s="20" t="str">
        <f t="shared" si="4"/>
        <v/>
      </c>
      <c r="AK60" s="20" t="str">
        <f t="shared" si="4"/>
        <v/>
      </c>
      <c r="AL60" s="14"/>
      <c r="AM60" s="14"/>
      <c r="AO60" s="14"/>
      <c r="AP60" s="14" t="s">
        <v>2057</v>
      </c>
      <c r="AQ60" s="14" t="s">
        <v>5997</v>
      </c>
      <c r="AR60" s="14" t="s">
        <v>5998</v>
      </c>
      <c r="AS60" s="14"/>
      <c r="AT60" s="14"/>
      <c r="AU60" s="14"/>
      <c r="AV60" s="18"/>
      <c r="AW60" s="16"/>
      <c r="AX60" s="17"/>
      <c r="AY60" s="15" t="s">
        <v>3123</v>
      </c>
      <c r="AZ60" s="17"/>
      <c r="BA60" s="16"/>
      <c r="BB60" s="14"/>
      <c r="BC60" s="14"/>
      <c r="BD60" s="15" t="s">
        <v>3123</v>
      </c>
      <c r="BE60" s="14"/>
      <c r="BF60" s="17"/>
      <c r="BG60" s="16"/>
      <c r="BH60" s="14"/>
      <c r="BI60" s="15" t="s">
        <v>3123</v>
      </c>
      <c r="BJ60" s="14"/>
      <c r="BK60" s="17"/>
      <c r="BL60" s="16"/>
      <c r="BM60" s="16"/>
      <c r="BN60" s="16"/>
      <c r="BO60" s="16"/>
      <c r="BP60" s="15" t="s">
        <v>3123</v>
      </c>
      <c r="BQ60" s="17"/>
      <c r="BR60" s="14"/>
      <c r="BS60" s="14"/>
      <c r="BT60" s="16"/>
      <c r="BU60" s="16"/>
      <c r="BV60" s="13"/>
      <c r="BW60" s="18" t="s">
        <v>5999</v>
      </c>
      <c r="BX60" s="13">
        <v>200</v>
      </c>
      <c r="BY60" s="17">
        <v>44130</v>
      </c>
      <c r="BZ60" s="18"/>
      <c r="CA60" s="18"/>
      <c r="CB60" s="18"/>
      <c r="CC60" s="18"/>
      <c r="CD60" s="14" t="s">
        <v>6000</v>
      </c>
      <c r="CE60" s="17">
        <v>43230</v>
      </c>
      <c r="CF60" s="16"/>
      <c r="CG60" s="17"/>
      <c r="CH60" s="16"/>
      <c r="CI60" s="17"/>
      <c r="CJ60" s="16"/>
      <c r="CK60" s="17"/>
      <c r="CL60" s="16"/>
      <c r="CM60" s="17"/>
      <c r="CN60" s="19">
        <v>10.73524412983347</v>
      </c>
      <c r="CO60" s="19"/>
      <c r="CP60" s="17"/>
      <c r="CQ60" s="14" t="s">
        <v>6001</v>
      </c>
      <c r="CR60" s="14" t="s">
        <v>6002</v>
      </c>
      <c r="CS60" s="14" t="s">
        <v>5945</v>
      </c>
    </row>
    <row r="61" spans="1:97" ht="26.15" customHeight="1">
      <c r="A61" s="2">
        <v>86</v>
      </c>
      <c r="B61" s="25" t="s">
        <v>345</v>
      </c>
      <c r="C61" s="25" t="str">
        <f>VLOOKUP(B61, Sheet6!$A$1:$B$77, 2, FALSE)</f>
        <v>Yes</v>
      </c>
      <c r="D61" s="25" t="s">
        <v>346</v>
      </c>
      <c r="E61" s="25" t="s">
        <v>350</v>
      </c>
      <c r="F61" s="25" t="s">
        <v>6135</v>
      </c>
      <c r="G61" s="25" t="s">
        <v>10952</v>
      </c>
      <c r="H61" s="25" t="s">
        <v>10959</v>
      </c>
      <c r="I61" s="25" t="s">
        <v>10958</v>
      </c>
      <c r="J61" s="26" t="s">
        <v>10748</v>
      </c>
      <c r="L61" s="13">
        <v>2017</v>
      </c>
      <c r="M61" s="14" t="s">
        <v>6003</v>
      </c>
      <c r="N61" s="14" t="s">
        <v>6004</v>
      </c>
      <c r="O61" s="14" t="s">
        <v>4343</v>
      </c>
      <c r="P61" s="15" t="s">
        <v>3117</v>
      </c>
      <c r="Q61" s="16">
        <v>3104590</v>
      </c>
      <c r="R61" s="17">
        <v>43769</v>
      </c>
      <c r="S61" s="16" t="s">
        <v>5069</v>
      </c>
      <c r="T61" s="16">
        <v>3104590</v>
      </c>
      <c r="U61" s="14" t="s">
        <v>109</v>
      </c>
      <c r="V61" s="13">
        <v>4</v>
      </c>
      <c r="W61" s="17">
        <v>44057</v>
      </c>
      <c r="X61" s="14" t="s">
        <v>5052</v>
      </c>
      <c r="Y61" s="17">
        <v>43776</v>
      </c>
      <c r="Z61" s="17">
        <v>43770</v>
      </c>
      <c r="AA61" s="14" t="s">
        <v>5121</v>
      </c>
      <c r="AB61" s="14" t="s">
        <v>5122</v>
      </c>
      <c r="AC61" s="14" t="s">
        <v>6005</v>
      </c>
      <c r="AD61" s="20" t="str">
        <f t="shared" si="5"/>
        <v>IoT Applications &gt; Industry Specific &gt; Agriculture &gt; Farms
Sensors &gt; Industry Applications &gt; Agriculture
Crop Tech &gt; Farm Management Software &gt; Soil Management &gt; Soil Moisture Monitoring &gt; Sensors
Water and Wastewater Management Tech &gt; Smart Irrigation &gt; Farming &gt; Soil Moisture Monitoring &gt; Sensors</v>
      </c>
      <c r="AE61" s="20" t="str">
        <f t="shared" si="3"/>
        <v>IoT Applications</v>
      </c>
      <c r="AF61" s="20" t="str">
        <f t="shared" si="4"/>
        <v>Industry Specific</v>
      </c>
      <c r="AG61" s="20" t="str">
        <f t="shared" si="4"/>
        <v>Agriculture</v>
      </c>
      <c r="AH61" s="20" t="str">
        <f t="shared" si="4"/>
        <v>Farms
Sensors</v>
      </c>
      <c r="AI61" s="20" t="str">
        <f t="shared" si="4"/>
        <v>Industry Applications</v>
      </c>
      <c r="AJ61" s="20" t="str">
        <f t="shared" si="4"/>
        <v>Agriculture
Crop Tech</v>
      </c>
      <c r="AK61" s="20" t="str">
        <f t="shared" si="4"/>
        <v>Farm Management Software</v>
      </c>
      <c r="AL61" s="14" t="s">
        <v>6006</v>
      </c>
      <c r="AM61" s="14"/>
      <c r="AO61" s="14"/>
      <c r="AP61" s="14" t="s">
        <v>4343</v>
      </c>
      <c r="AQ61" s="14" t="s">
        <v>6008</v>
      </c>
      <c r="AR61" s="14"/>
      <c r="AS61" s="14" t="s">
        <v>6009</v>
      </c>
      <c r="AT61" s="14" t="s">
        <v>6010</v>
      </c>
      <c r="AU61" s="14" t="s">
        <v>6011</v>
      </c>
      <c r="AV61" s="18"/>
      <c r="AW61" s="16"/>
      <c r="AX61" s="17"/>
      <c r="AY61" s="15" t="s">
        <v>3123</v>
      </c>
      <c r="AZ61" s="17"/>
      <c r="BA61" s="16"/>
      <c r="BB61" s="14"/>
      <c r="BC61" s="14"/>
      <c r="BD61" s="15" t="s">
        <v>3123</v>
      </c>
      <c r="BE61" s="14"/>
      <c r="BF61" s="17"/>
      <c r="BG61" s="16"/>
      <c r="BH61" s="14"/>
      <c r="BI61" s="15" t="s">
        <v>3123</v>
      </c>
      <c r="BJ61" s="14"/>
      <c r="BK61" s="17"/>
      <c r="BL61" s="16"/>
      <c r="BM61" s="16"/>
      <c r="BN61" s="16"/>
      <c r="BO61" s="16"/>
      <c r="BP61" s="15" t="s">
        <v>3123</v>
      </c>
      <c r="BQ61" s="17"/>
      <c r="BR61" s="14"/>
      <c r="BS61" s="14"/>
      <c r="BT61" s="16"/>
      <c r="BU61" s="16"/>
      <c r="BV61" s="13"/>
      <c r="BW61" s="18" t="s">
        <v>6012</v>
      </c>
      <c r="BX61" s="13">
        <v>200</v>
      </c>
      <c r="BY61" s="17">
        <v>44130</v>
      </c>
      <c r="BZ61" s="18" t="s">
        <v>6013</v>
      </c>
      <c r="CA61" s="18"/>
      <c r="CB61" s="18" t="s">
        <v>6014</v>
      </c>
      <c r="CC61" s="18"/>
      <c r="CD61" s="14" t="s">
        <v>6015</v>
      </c>
      <c r="CE61" s="17">
        <v>43088</v>
      </c>
      <c r="CF61" s="16"/>
      <c r="CG61" s="17"/>
      <c r="CH61" s="16"/>
      <c r="CI61" s="17"/>
      <c r="CJ61" s="16"/>
      <c r="CK61" s="17"/>
      <c r="CL61" s="16"/>
      <c r="CM61" s="17"/>
      <c r="CN61" s="19">
        <v>28.214797573623805</v>
      </c>
      <c r="CO61" s="19"/>
      <c r="CP61" s="17"/>
      <c r="CQ61" s="14" t="s">
        <v>5161</v>
      </c>
      <c r="CR61" s="14" t="s">
        <v>6016</v>
      </c>
      <c r="CS61" s="14" t="s">
        <v>5004</v>
      </c>
    </row>
    <row r="62" spans="1:97" ht="26.15" customHeight="1">
      <c r="A62" s="2">
        <v>548</v>
      </c>
      <c r="B62" s="25" t="s">
        <v>3059</v>
      </c>
      <c r="C62" s="25" t="str">
        <f>VLOOKUP(B62, Sheet6!$A$1:$B$77, 2, FALSE)</f>
        <v>Yes</v>
      </c>
      <c r="D62" s="25" t="s">
        <v>3060</v>
      </c>
      <c r="E62" s="25" t="s">
        <v>3063</v>
      </c>
      <c r="F62" s="25" t="s">
        <v>10415</v>
      </c>
      <c r="G62" s="25" t="s">
        <v>10955</v>
      </c>
      <c r="H62" s="25" t="s">
        <v>10967</v>
      </c>
      <c r="I62" s="25" t="s">
        <v>10558</v>
      </c>
      <c r="J62" s="25" t="s">
        <v>10993</v>
      </c>
      <c r="L62" s="13">
        <v>2016</v>
      </c>
      <c r="M62" s="14" t="s">
        <v>5389</v>
      </c>
      <c r="N62" s="14" t="s">
        <v>5390</v>
      </c>
      <c r="O62" s="14" t="s">
        <v>5391</v>
      </c>
      <c r="P62" s="15" t="s">
        <v>3117</v>
      </c>
      <c r="Q62" s="16">
        <v>652000</v>
      </c>
      <c r="R62" s="17">
        <v>43529</v>
      </c>
      <c r="S62" s="16" t="s">
        <v>6017</v>
      </c>
      <c r="T62" s="16">
        <v>25000</v>
      </c>
      <c r="U62" s="14" t="s">
        <v>34</v>
      </c>
      <c r="V62" s="13">
        <v>4</v>
      </c>
      <c r="W62" s="17">
        <v>44013</v>
      </c>
      <c r="X62" s="14"/>
      <c r="Y62" s="17"/>
      <c r="Z62" s="17"/>
      <c r="AA62" s="14" t="s">
        <v>5426</v>
      </c>
      <c r="AB62" s="14" t="s">
        <v>6018</v>
      </c>
      <c r="AC62" s="14" t="s">
        <v>6019</v>
      </c>
      <c r="AD62" s="20" t="str">
        <f t="shared" si="5"/>
        <v>Alternative Lending &gt; Online Lenders &gt; Consumer Loans &gt; Farm Loans &gt; Marketplace
Crop Tech &gt; Content Platforms &gt; Farming Advice</v>
      </c>
      <c r="AE62" s="20" t="str">
        <f t="shared" si="3"/>
        <v>Alternative Lending</v>
      </c>
      <c r="AF62" s="20" t="str">
        <f t="shared" si="4"/>
        <v>Online Lenders</v>
      </c>
      <c r="AG62" s="20" t="str">
        <f t="shared" si="4"/>
        <v>Consumer Loans</v>
      </c>
      <c r="AH62" s="20" t="str">
        <f t="shared" si="4"/>
        <v>Farm Loans</v>
      </c>
      <c r="AI62" s="20" t="str">
        <f t="shared" si="4"/>
        <v>Marketplace
Crop Tech</v>
      </c>
      <c r="AJ62" s="20" t="str">
        <f t="shared" si="4"/>
        <v>Content Platforms</v>
      </c>
      <c r="AK62" s="20" t="str">
        <f t="shared" si="4"/>
        <v>Farming Advice</v>
      </c>
      <c r="AL62" s="14" t="s">
        <v>6020</v>
      </c>
      <c r="AM62" s="14"/>
      <c r="AO62" s="14"/>
      <c r="AP62" s="14" t="s">
        <v>5391</v>
      </c>
      <c r="AQ62" s="14" t="s">
        <v>6022</v>
      </c>
      <c r="AR62" s="14" t="s">
        <v>6023</v>
      </c>
      <c r="AS62" s="14" t="s">
        <v>6024</v>
      </c>
      <c r="AT62" s="14" t="s">
        <v>6025</v>
      </c>
      <c r="AU62" s="14" t="s">
        <v>6026</v>
      </c>
      <c r="AV62" s="18"/>
      <c r="AW62" s="16"/>
      <c r="AX62" s="17"/>
      <c r="AY62" s="15" t="s">
        <v>3123</v>
      </c>
      <c r="AZ62" s="17"/>
      <c r="BA62" s="16"/>
      <c r="BB62" s="14"/>
      <c r="BC62" s="14"/>
      <c r="BD62" s="15" t="s">
        <v>3123</v>
      </c>
      <c r="BE62" s="14"/>
      <c r="BF62" s="17"/>
      <c r="BG62" s="16"/>
      <c r="BH62" s="14"/>
      <c r="BI62" s="15" t="s">
        <v>3123</v>
      </c>
      <c r="BJ62" s="14"/>
      <c r="BK62" s="17"/>
      <c r="BL62" s="16"/>
      <c r="BM62" s="16"/>
      <c r="BN62" s="16"/>
      <c r="BO62" s="16"/>
      <c r="BP62" s="15" t="s">
        <v>3123</v>
      </c>
      <c r="BQ62" s="17"/>
      <c r="BR62" s="14" t="s">
        <v>2320</v>
      </c>
      <c r="BS62" s="14"/>
      <c r="BT62" s="16"/>
      <c r="BU62" s="16"/>
      <c r="BV62" s="13"/>
      <c r="BW62" s="18" t="s">
        <v>6027</v>
      </c>
      <c r="BX62" s="13">
        <v>-1</v>
      </c>
      <c r="BY62" s="17">
        <v>44130</v>
      </c>
      <c r="BZ62" s="18" t="s">
        <v>6028</v>
      </c>
      <c r="CA62" s="18" t="s">
        <v>6029</v>
      </c>
      <c r="CB62" s="18" t="s">
        <v>6030</v>
      </c>
      <c r="CC62" s="18" t="s">
        <v>6031</v>
      </c>
      <c r="CD62" s="14" t="s">
        <v>6032</v>
      </c>
      <c r="CE62" s="17">
        <v>43131</v>
      </c>
      <c r="CF62" s="16"/>
      <c r="CG62" s="17"/>
      <c r="CH62" s="16"/>
      <c r="CI62" s="17"/>
      <c r="CJ62" s="16"/>
      <c r="CK62" s="17"/>
      <c r="CL62" s="16"/>
      <c r="CM62" s="17"/>
      <c r="CN62" s="19">
        <v>53.527898219516672</v>
      </c>
      <c r="CO62" s="19"/>
      <c r="CP62" s="17"/>
      <c r="CQ62" s="14" t="s">
        <v>6033</v>
      </c>
      <c r="CR62" s="14" t="s">
        <v>6034</v>
      </c>
      <c r="CS62" s="14" t="s">
        <v>5004</v>
      </c>
    </row>
    <row r="63" spans="1:97" ht="26.15" customHeight="1">
      <c r="A63" s="2">
        <v>280</v>
      </c>
      <c r="B63" s="25" t="s">
        <v>432</v>
      </c>
      <c r="C63" s="25" t="str">
        <f>VLOOKUP(B63, Sheet6!$A$1:$B$77, 2, FALSE)</f>
        <v>Yes</v>
      </c>
      <c r="D63" s="25" t="s">
        <v>433</v>
      </c>
      <c r="E63" s="25" t="s">
        <v>434</v>
      </c>
      <c r="F63" s="25" t="s">
        <v>8559</v>
      </c>
      <c r="G63" s="25" t="s">
        <v>10955</v>
      </c>
      <c r="H63" s="25" t="s">
        <v>10959</v>
      </c>
      <c r="I63" s="25" t="s">
        <v>10958</v>
      </c>
      <c r="J63" s="26" t="s">
        <v>10993</v>
      </c>
      <c r="L63" s="13">
        <v>2017</v>
      </c>
      <c r="M63" s="14" t="s">
        <v>6035</v>
      </c>
      <c r="N63" s="14" t="s">
        <v>6036</v>
      </c>
      <c r="O63" s="14" t="s">
        <v>5208</v>
      </c>
      <c r="P63" s="15" t="s">
        <v>3117</v>
      </c>
      <c r="Q63" s="16"/>
      <c r="R63" s="17">
        <v>43598</v>
      </c>
      <c r="S63" s="16"/>
      <c r="T63" s="16" t="s">
        <v>50</v>
      </c>
      <c r="U63" s="14" t="s">
        <v>34</v>
      </c>
      <c r="V63" s="13">
        <v>4</v>
      </c>
      <c r="W63" s="17">
        <v>43851</v>
      </c>
      <c r="X63" s="14"/>
      <c r="Y63" s="17"/>
      <c r="Z63" s="17"/>
      <c r="AA63" s="14" t="s">
        <v>1</v>
      </c>
      <c r="AB63" s="14" t="s">
        <v>5007</v>
      </c>
      <c r="AC63" s="14" t="s">
        <v>6037</v>
      </c>
      <c r="AD63" s="20" t="str">
        <f t="shared" si="5"/>
        <v>Crop Tech &gt; Farm Management Software &gt; Disease Management</v>
      </c>
      <c r="AE63" s="20" t="str">
        <f t="shared" si="3"/>
        <v>Crop Tech</v>
      </c>
      <c r="AF63" s="20" t="str">
        <f t="shared" si="4"/>
        <v>Farm Management Software</v>
      </c>
      <c r="AG63" s="20" t="str">
        <f t="shared" si="4"/>
        <v>Disease Management</v>
      </c>
      <c r="AH63" s="20" t="str">
        <f t="shared" si="4"/>
        <v/>
      </c>
      <c r="AI63" s="20" t="str">
        <f t="shared" si="4"/>
        <v/>
      </c>
      <c r="AJ63" s="20" t="str">
        <f t="shared" si="4"/>
        <v/>
      </c>
      <c r="AK63" s="20" t="str">
        <f t="shared" si="4"/>
        <v/>
      </c>
      <c r="AL63" s="14" t="s">
        <v>1034</v>
      </c>
      <c r="AM63" s="14"/>
      <c r="AO63" s="14"/>
      <c r="AP63" s="14" t="s">
        <v>5208</v>
      </c>
      <c r="AQ63" s="14" t="s">
        <v>6039</v>
      </c>
      <c r="AR63" s="14" t="s">
        <v>6040</v>
      </c>
      <c r="AS63" s="14" t="s">
        <v>6041</v>
      </c>
      <c r="AT63" s="14" t="s">
        <v>6042</v>
      </c>
      <c r="AU63" s="14" t="s">
        <v>6043</v>
      </c>
      <c r="AV63" s="18"/>
      <c r="AW63" s="16"/>
      <c r="AX63" s="17"/>
      <c r="AY63" s="15" t="s">
        <v>3123</v>
      </c>
      <c r="AZ63" s="17"/>
      <c r="BA63" s="16"/>
      <c r="BB63" s="14"/>
      <c r="BC63" s="14"/>
      <c r="BD63" s="15" t="s">
        <v>3123</v>
      </c>
      <c r="BE63" s="14"/>
      <c r="BF63" s="17"/>
      <c r="BG63" s="16"/>
      <c r="BH63" s="14"/>
      <c r="BI63" s="15" t="s">
        <v>3123</v>
      </c>
      <c r="BJ63" s="14"/>
      <c r="BK63" s="17"/>
      <c r="BL63" s="16"/>
      <c r="BM63" s="16"/>
      <c r="BN63" s="16"/>
      <c r="BO63" s="16"/>
      <c r="BP63" s="15" t="s">
        <v>3123</v>
      </c>
      <c r="BQ63" s="17"/>
      <c r="BR63" s="14"/>
      <c r="BS63" s="14"/>
      <c r="BT63" s="16"/>
      <c r="BU63" s="16"/>
      <c r="BV63" s="13"/>
      <c r="BW63" s="18" t="s">
        <v>6044</v>
      </c>
      <c r="BX63" s="13">
        <v>200</v>
      </c>
      <c r="BY63" s="17">
        <v>44130</v>
      </c>
      <c r="BZ63" s="18" t="s">
        <v>6045</v>
      </c>
      <c r="CA63" s="18" t="s">
        <v>6046</v>
      </c>
      <c r="CB63" s="18" t="s">
        <v>6047</v>
      </c>
      <c r="CC63" s="18" t="s">
        <v>6048</v>
      </c>
      <c r="CD63" s="14" t="s">
        <v>6049</v>
      </c>
      <c r="CE63" s="17">
        <v>43851</v>
      </c>
      <c r="CF63" s="16"/>
      <c r="CG63" s="17"/>
      <c r="CH63" s="16"/>
      <c r="CI63" s="17"/>
      <c r="CJ63" s="16"/>
      <c r="CK63" s="17"/>
      <c r="CL63" s="16"/>
      <c r="CM63" s="17"/>
      <c r="CN63" s="19">
        <v>38.341391527322934</v>
      </c>
      <c r="CO63" s="19"/>
      <c r="CP63" s="17"/>
      <c r="CQ63" s="14" t="s">
        <v>5309</v>
      </c>
      <c r="CR63" s="14" t="s">
        <v>6050</v>
      </c>
      <c r="CS63" s="14" t="s">
        <v>5004</v>
      </c>
    </row>
    <row r="64" spans="1:97" ht="26.15" customHeight="1">
      <c r="A64" s="2">
        <v>477</v>
      </c>
      <c r="B64" s="25" t="s">
        <v>2686</v>
      </c>
      <c r="C64" s="25" t="str">
        <f>VLOOKUP(B64, Sheet6!$A$1:$B$77, 2, FALSE)</f>
        <v>Yes</v>
      </c>
      <c r="D64" s="25" t="s">
        <v>2687</v>
      </c>
      <c r="E64" s="25" t="s">
        <v>2688</v>
      </c>
      <c r="F64" s="25" t="s">
        <v>9812</v>
      </c>
      <c r="G64" s="25" t="s">
        <v>11106</v>
      </c>
      <c r="H64" s="25" t="s">
        <v>10967</v>
      </c>
      <c r="I64" s="25" t="s">
        <v>10558</v>
      </c>
      <c r="J64" s="25" t="s">
        <v>10735</v>
      </c>
      <c r="L64" s="13">
        <v>2017</v>
      </c>
      <c r="M64" s="14" t="s">
        <v>5132</v>
      </c>
      <c r="N64" s="14" t="s">
        <v>5133</v>
      </c>
      <c r="O64" s="14" t="s">
        <v>3994</v>
      </c>
      <c r="P64" s="15" t="s">
        <v>3117</v>
      </c>
      <c r="Q64" s="16">
        <v>1127847</v>
      </c>
      <c r="R64" s="17">
        <v>43733</v>
      </c>
      <c r="S64" s="16" t="s">
        <v>5134</v>
      </c>
      <c r="T64" s="16">
        <v>1100000</v>
      </c>
      <c r="U64" s="14" t="s">
        <v>34</v>
      </c>
      <c r="V64" s="13">
        <v>4</v>
      </c>
      <c r="W64" s="17">
        <v>44081</v>
      </c>
      <c r="X64" s="14"/>
      <c r="Y64" s="17"/>
      <c r="Z64" s="17"/>
      <c r="AA64" s="14" t="s">
        <v>1</v>
      </c>
      <c r="AB64" s="14" t="s">
        <v>5135</v>
      </c>
      <c r="AC64" s="14" t="s">
        <v>6051</v>
      </c>
      <c r="AD64" s="20" t="str">
        <f t="shared" si="5"/>
        <v>Aquaculture Tech &gt; Farm Management</v>
      </c>
      <c r="AE64" s="20" t="str">
        <f t="shared" si="3"/>
        <v>Aquaculture Tech</v>
      </c>
      <c r="AF64" s="20" t="str">
        <f t="shared" si="4"/>
        <v>Farm Management</v>
      </c>
      <c r="AG64" s="20" t="str">
        <f t="shared" si="4"/>
        <v/>
      </c>
      <c r="AH64" s="20" t="str">
        <f t="shared" si="4"/>
        <v/>
      </c>
      <c r="AI64" s="20" t="str">
        <f t="shared" si="4"/>
        <v/>
      </c>
      <c r="AJ64" s="20" t="str">
        <f t="shared" si="4"/>
        <v/>
      </c>
      <c r="AK64" s="20" t="str">
        <f t="shared" si="4"/>
        <v/>
      </c>
      <c r="AL64" s="14" t="s">
        <v>6052</v>
      </c>
      <c r="AM64" s="14"/>
      <c r="AO64" s="14"/>
      <c r="AP64" s="14" t="s">
        <v>3994</v>
      </c>
      <c r="AQ64" s="14" t="s">
        <v>6054</v>
      </c>
      <c r="AR64" s="14" t="s">
        <v>6055</v>
      </c>
      <c r="AS64" s="14" t="s">
        <v>6056</v>
      </c>
      <c r="AT64" s="14" t="s">
        <v>6057</v>
      </c>
      <c r="AU64" s="14" t="s">
        <v>6058</v>
      </c>
      <c r="AV64" s="18"/>
      <c r="AW64" s="16">
        <v>204300</v>
      </c>
      <c r="AX64" s="17">
        <v>43465</v>
      </c>
      <c r="AY64" s="15" t="s">
        <v>3123</v>
      </c>
      <c r="AZ64" s="17"/>
      <c r="BA64" s="16"/>
      <c r="BB64" s="14"/>
      <c r="BC64" s="14"/>
      <c r="BD64" s="15" t="s">
        <v>3123</v>
      </c>
      <c r="BE64" s="14"/>
      <c r="BF64" s="17"/>
      <c r="BG64" s="16"/>
      <c r="BH64" s="14"/>
      <c r="BI64" s="15" t="s">
        <v>3123</v>
      </c>
      <c r="BJ64" s="14"/>
      <c r="BK64" s="17"/>
      <c r="BL64" s="16"/>
      <c r="BM64" s="16"/>
      <c r="BN64" s="16"/>
      <c r="BO64" s="16"/>
      <c r="BP64" s="15" t="s">
        <v>3123</v>
      </c>
      <c r="BQ64" s="17"/>
      <c r="BR64" s="14"/>
      <c r="BS64" s="14"/>
      <c r="BT64" s="16"/>
      <c r="BU64" s="16"/>
      <c r="BV64" s="13"/>
      <c r="BW64" s="18" t="s">
        <v>6059</v>
      </c>
      <c r="BX64" s="13">
        <v>200</v>
      </c>
      <c r="BY64" s="17">
        <v>44130</v>
      </c>
      <c r="BZ64" s="18" t="s">
        <v>6060</v>
      </c>
      <c r="CA64" s="18"/>
      <c r="CB64" s="18"/>
      <c r="CC64" s="18"/>
      <c r="CD64" s="14" t="s">
        <v>6061</v>
      </c>
      <c r="CE64" s="17">
        <v>43369</v>
      </c>
      <c r="CF64" s="16">
        <v>-23400</v>
      </c>
      <c r="CG64" s="17">
        <v>43465</v>
      </c>
      <c r="CH64" s="16">
        <v>-29200</v>
      </c>
      <c r="CI64" s="17">
        <v>43465</v>
      </c>
      <c r="CJ64" s="16">
        <v>6000000</v>
      </c>
      <c r="CK64" s="17">
        <v>43726</v>
      </c>
      <c r="CL64" s="16">
        <v>40</v>
      </c>
      <c r="CM64" s="17">
        <v>44012</v>
      </c>
      <c r="CN64" s="19">
        <v>42.608789553348082</v>
      </c>
      <c r="CO64" s="19"/>
      <c r="CP64" s="17"/>
      <c r="CQ64" s="14" t="s">
        <v>6062</v>
      </c>
      <c r="CR64" s="14" t="s">
        <v>6063</v>
      </c>
      <c r="CS64" s="14" t="s">
        <v>5521</v>
      </c>
    </row>
    <row r="65" spans="1:97" ht="26.15" customHeight="1">
      <c r="A65" s="2">
        <v>287</v>
      </c>
      <c r="B65" s="25" t="s">
        <v>266</v>
      </c>
      <c r="C65" s="25" t="str">
        <f>VLOOKUP(B65, Sheet6!$A$1:$B$77, 2, FALSE)</f>
        <v>Yes</v>
      </c>
      <c r="D65" s="25" t="s">
        <v>267</v>
      </c>
      <c r="E65" s="25" t="s">
        <v>271</v>
      </c>
      <c r="F65" s="25" t="s">
        <v>8651</v>
      </c>
      <c r="G65" s="25" t="s">
        <v>10955</v>
      </c>
      <c r="H65" s="25" t="s">
        <v>10959</v>
      </c>
      <c r="I65" s="25" t="s">
        <v>10958</v>
      </c>
      <c r="J65" s="26" t="s">
        <v>10768</v>
      </c>
      <c r="L65" s="13">
        <v>2017</v>
      </c>
      <c r="M65" s="14" t="s">
        <v>6064</v>
      </c>
      <c r="N65" s="14" t="s">
        <v>6065</v>
      </c>
      <c r="O65" s="14" t="s">
        <v>2057</v>
      </c>
      <c r="P65" s="15" t="s">
        <v>3117</v>
      </c>
      <c r="Q65" s="16">
        <v>755029</v>
      </c>
      <c r="R65" s="17">
        <v>43040</v>
      </c>
      <c r="S65" s="16" t="s">
        <v>6066</v>
      </c>
      <c r="T65" s="16">
        <v>755029</v>
      </c>
      <c r="U65" s="14" t="s">
        <v>34</v>
      </c>
      <c r="V65" s="13">
        <v>2</v>
      </c>
      <c r="W65" s="17">
        <v>43980</v>
      </c>
      <c r="X65" s="14"/>
      <c r="Y65" s="17"/>
      <c r="Z65" s="17"/>
      <c r="AA65" s="14" t="s">
        <v>1</v>
      </c>
      <c r="AB65" s="14" t="s">
        <v>5007</v>
      </c>
      <c r="AC65" s="14" t="s">
        <v>6067</v>
      </c>
      <c r="AD65" s="20" t="str">
        <f t="shared" si="5"/>
        <v>Crop Tech &gt; Farm Analytics &gt; Multispectral Sensing</v>
      </c>
      <c r="AE65" s="20" t="str">
        <f t="shared" si="3"/>
        <v>Crop Tech</v>
      </c>
      <c r="AF65" s="20" t="str">
        <f t="shared" si="4"/>
        <v>Farm Analytics</v>
      </c>
      <c r="AG65" s="20" t="str">
        <f t="shared" si="4"/>
        <v>Multispectral Sensing</v>
      </c>
      <c r="AH65" s="20" t="str">
        <f t="shared" si="4"/>
        <v/>
      </c>
      <c r="AI65" s="20" t="str">
        <f t="shared" si="4"/>
        <v/>
      </c>
      <c r="AJ65" s="20" t="str">
        <f t="shared" si="4"/>
        <v/>
      </c>
      <c r="AK65" s="20" t="str">
        <f t="shared" si="4"/>
        <v/>
      </c>
      <c r="AL65" s="14"/>
      <c r="AM65" s="14"/>
      <c r="AO65" s="14"/>
      <c r="AP65" s="14" t="s">
        <v>2057</v>
      </c>
      <c r="AQ65" s="14" t="s">
        <v>6069</v>
      </c>
      <c r="AR65" s="14" t="s">
        <v>6070</v>
      </c>
      <c r="AS65" s="14"/>
      <c r="AT65" s="14"/>
      <c r="AU65" s="14"/>
      <c r="AV65" s="18"/>
      <c r="AW65" s="16"/>
      <c r="AX65" s="17"/>
      <c r="AY65" s="15" t="s">
        <v>3123</v>
      </c>
      <c r="AZ65" s="17"/>
      <c r="BA65" s="16"/>
      <c r="BB65" s="14"/>
      <c r="BC65" s="14"/>
      <c r="BD65" s="15" t="s">
        <v>3123</v>
      </c>
      <c r="BE65" s="14"/>
      <c r="BF65" s="17"/>
      <c r="BG65" s="16"/>
      <c r="BH65" s="14"/>
      <c r="BI65" s="15" t="s">
        <v>3123</v>
      </c>
      <c r="BJ65" s="14"/>
      <c r="BK65" s="17"/>
      <c r="BL65" s="16"/>
      <c r="BM65" s="16"/>
      <c r="BN65" s="16"/>
      <c r="BO65" s="16"/>
      <c r="BP65" s="15" t="s">
        <v>3123</v>
      </c>
      <c r="BQ65" s="17"/>
      <c r="BR65" s="14"/>
      <c r="BS65" s="14"/>
      <c r="BT65" s="16"/>
      <c r="BU65" s="16"/>
      <c r="BV65" s="13"/>
      <c r="BW65" s="18" t="s">
        <v>6071</v>
      </c>
      <c r="BX65" s="13">
        <v>200</v>
      </c>
      <c r="BY65" s="17">
        <v>44112</v>
      </c>
      <c r="BZ65" s="18"/>
      <c r="CA65" s="18"/>
      <c r="CB65" s="18"/>
      <c r="CC65" s="18"/>
      <c r="CD65" s="14" t="s">
        <v>6072</v>
      </c>
      <c r="CE65" s="17">
        <v>43265</v>
      </c>
      <c r="CF65" s="16"/>
      <c r="CG65" s="17"/>
      <c r="CH65" s="16"/>
      <c r="CI65" s="17"/>
      <c r="CJ65" s="16"/>
      <c r="CK65" s="17"/>
      <c r="CL65" s="16"/>
      <c r="CM65" s="17"/>
      <c r="CN65" s="19">
        <v>12.057970290662558</v>
      </c>
      <c r="CO65" s="19"/>
      <c r="CP65" s="17"/>
      <c r="CQ65" s="14" t="s">
        <v>5345</v>
      </c>
      <c r="CR65" s="14" t="s">
        <v>6073</v>
      </c>
      <c r="CS65" s="14" t="s">
        <v>6074</v>
      </c>
    </row>
    <row r="66" spans="1:97" ht="26.15" customHeight="1">
      <c r="A66" s="2">
        <v>162</v>
      </c>
      <c r="B66" s="25" t="s">
        <v>452</v>
      </c>
      <c r="C66" s="25" t="str">
        <f>VLOOKUP(B66, Sheet6!$A$1:$B$77, 2, FALSE)</f>
        <v>Yes</v>
      </c>
      <c r="D66" s="25" t="s">
        <v>453</v>
      </c>
      <c r="E66" s="25" t="s">
        <v>456</v>
      </c>
      <c r="F66" s="25" t="s">
        <v>7089</v>
      </c>
      <c r="G66" s="25" t="s">
        <v>10955</v>
      </c>
      <c r="H66" s="25" t="s">
        <v>10959</v>
      </c>
      <c r="I66" s="25" t="s">
        <v>10958</v>
      </c>
      <c r="J66" s="26" t="s">
        <v>10759</v>
      </c>
      <c r="L66" s="13">
        <v>2017</v>
      </c>
      <c r="M66" s="14" t="s">
        <v>5312</v>
      </c>
      <c r="N66" s="14" t="s">
        <v>5313</v>
      </c>
      <c r="O66" s="14" t="s">
        <v>3994</v>
      </c>
      <c r="P66" s="15" t="s">
        <v>3117</v>
      </c>
      <c r="Q66" s="16"/>
      <c r="R66" s="17">
        <v>43487</v>
      </c>
      <c r="S66" s="16"/>
      <c r="T66" s="16" t="s">
        <v>50</v>
      </c>
      <c r="U66" s="14" t="s">
        <v>34</v>
      </c>
      <c r="V66" s="13">
        <v>4</v>
      </c>
      <c r="W66" s="17">
        <v>44098</v>
      </c>
      <c r="X66" s="14"/>
      <c r="Y66" s="17"/>
      <c r="Z66" s="17"/>
      <c r="AA66" s="14" t="s">
        <v>6075</v>
      </c>
      <c r="AB66" s="14" t="s">
        <v>6076</v>
      </c>
      <c r="AC66" s="14" t="s">
        <v>6077</v>
      </c>
      <c r="AD66" s="20" t="str">
        <f t="shared" si="5"/>
        <v>Computer Vision &gt; Industry Specific Applications &gt; Agriculture &gt; Crops
Sensors &gt; Industry Applications &gt; Agriculture
Crop Tech &gt; Post Harvest Management &gt; Quality Testing &gt; Fruits and Vegetables &gt; Sensors</v>
      </c>
      <c r="AE66" s="20" t="str">
        <f t="shared" si="3"/>
        <v>Computer Vision</v>
      </c>
      <c r="AF66" s="20" t="str">
        <f t="shared" si="4"/>
        <v>Industry Specific Applications</v>
      </c>
      <c r="AG66" s="20" t="str">
        <f t="shared" si="4"/>
        <v>Agriculture</v>
      </c>
      <c r="AH66" s="20" t="str">
        <f t="shared" si="4"/>
        <v>Crops
Sensors</v>
      </c>
      <c r="AI66" s="20" t="str">
        <f t="shared" si="4"/>
        <v>Industry Applications</v>
      </c>
      <c r="AJ66" s="20" t="str">
        <f t="shared" si="4"/>
        <v>Agriculture
Crop Tech</v>
      </c>
      <c r="AK66" s="20" t="str">
        <f t="shared" si="4"/>
        <v>Post Harvest Management</v>
      </c>
      <c r="AL66" s="14" t="s">
        <v>6078</v>
      </c>
      <c r="AM66" s="14"/>
      <c r="AO66" s="14"/>
      <c r="AP66" s="14" t="s">
        <v>3994</v>
      </c>
      <c r="AQ66" s="14" t="s">
        <v>6080</v>
      </c>
      <c r="AR66" s="14"/>
      <c r="AS66" s="14" t="s">
        <v>6081</v>
      </c>
      <c r="AT66" s="14" t="s">
        <v>6082</v>
      </c>
      <c r="AU66" s="14" t="s">
        <v>6083</v>
      </c>
      <c r="AV66" s="18"/>
      <c r="AW66" s="16"/>
      <c r="AX66" s="17"/>
      <c r="AY66" s="15" t="s">
        <v>3123</v>
      </c>
      <c r="AZ66" s="17"/>
      <c r="BA66" s="16"/>
      <c r="BB66" s="14"/>
      <c r="BC66" s="14"/>
      <c r="BD66" s="15" t="s">
        <v>3123</v>
      </c>
      <c r="BE66" s="14"/>
      <c r="BF66" s="17"/>
      <c r="BG66" s="16"/>
      <c r="BH66" s="14"/>
      <c r="BI66" s="15" t="s">
        <v>3123</v>
      </c>
      <c r="BJ66" s="14"/>
      <c r="BK66" s="17"/>
      <c r="BL66" s="16"/>
      <c r="BM66" s="16"/>
      <c r="BN66" s="16"/>
      <c r="BO66" s="16"/>
      <c r="BP66" s="15" t="s">
        <v>3123</v>
      </c>
      <c r="BQ66" s="17"/>
      <c r="BR66" s="14"/>
      <c r="BS66" s="14"/>
      <c r="BT66" s="16"/>
      <c r="BU66" s="16"/>
      <c r="BV66" s="13"/>
      <c r="BW66" s="18" t="s">
        <v>6084</v>
      </c>
      <c r="BX66" s="13">
        <v>200</v>
      </c>
      <c r="BY66" s="17">
        <v>44130</v>
      </c>
      <c r="BZ66" s="18" t="s">
        <v>6085</v>
      </c>
      <c r="CA66" s="18" t="s">
        <v>6086</v>
      </c>
      <c r="CB66" s="18"/>
      <c r="CC66" s="18" t="s">
        <v>6087</v>
      </c>
      <c r="CD66" s="14" t="s">
        <v>6088</v>
      </c>
      <c r="CE66" s="17">
        <v>43853</v>
      </c>
      <c r="CF66" s="16"/>
      <c r="CG66" s="17"/>
      <c r="CH66" s="16"/>
      <c r="CI66" s="17"/>
      <c r="CJ66" s="16"/>
      <c r="CK66" s="17"/>
      <c r="CL66" s="16"/>
      <c r="CM66" s="17"/>
      <c r="CN66" s="19">
        <v>42.707113751399568</v>
      </c>
      <c r="CO66" s="19"/>
      <c r="CP66" s="17"/>
      <c r="CQ66" s="14" t="s">
        <v>6089</v>
      </c>
      <c r="CR66" s="14" t="s">
        <v>6090</v>
      </c>
      <c r="CS66" s="14" t="s">
        <v>5004</v>
      </c>
    </row>
    <row r="67" spans="1:97" ht="26.15" customHeight="1">
      <c r="A67" s="2">
        <v>282</v>
      </c>
      <c r="B67" s="25" t="s">
        <v>290</v>
      </c>
      <c r="C67" s="25" t="str">
        <f>VLOOKUP(B67, Sheet6!$A$1:$B$77, 2, FALSE)</f>
        <v>Yes</v>
      </c>
      <c r="D67" s="25" t="s">
        <v>291</v>
      </c>
      <c r="E67" s="25" t="s">
        <v>293</v>
      </c>
      <c r="F67" s="25" t="s">
        <v>8582</v>
      </c>
      <c r="G67" s="25" t="s">
        <v>10955</v>
      </c>
      <c r="H67" s="25" t="s">
        <v>10959</v>
      </c>
      <c r="I67" s="25" t="s">
        <v>10958</v>
      </c>
      <c r="J67" s="26" t="s">
        <v>10720</v>
      </c>
      <c r="L67" s="13">
        <v>2016</v>
      </c>
      <c r="M67" s="14" t="s">
        <v>6105</v>
      </c>
      <c r="N67" s="14" t="s">
        <v>5804</v>
      </c>
      <c r="O67" s="14" t="s">
        <v>5208</v>
      </c>
      <c r="P67" s="15" t="s">
        <v>3117</v>
      </c>
      <c r="Q67" s="16">
        <v>736306</v>
      </c>
      <c r="R67" s="17">
        <v>43740</v>
      </c>
      <c r="S67" s="16" t="s">
        <v>6106</v>
      </c>
      <c r="T67" s="16">
        <v>480306</v>
      </c>
      <c r="U67" s="14" t="s">
        <v>34</v>
      </c>
      <c r="V67" s="13">
        <v>3</v>
      </c>
      <c r="W67" s="17">
        <v>43986</v>
      </c>
      <c r="X67" s="14"/>
      <c r="Y67" s="17"/>
      <c r="Z67" s="17"/>
      <c r="AA67" s="14" t="s">
        <v>5253</v>
      </c>
      <c r="AB67" s="14" t="s">
        <v>6107</v>
      </c>
      <c r="AC67" s="14" t="s">
        <v>6108</v>
      </c>
      <c r="AD67" s="20" t="str">
        <f t="shared" si="5"/>
        <v>Geographic Information Systems &gt; Location Analytics &gt; Agriculture
NewSpace &gt; Space Services &gt; Imaging &gt; Satellite Based
Crop Tech &gt; Farm Analytics &gt; Satellite Image Based</v>
      </c>
      <c r="AE67" s="20" t="str">
        <f t="shared" si="3"/>
        <v>Geographic Information Systems</v>
      </c>
      <c r="AF67" s="20" t="str">
        <f t="shared" si="4"/>
        <v>Location Analytics</v>
      </c>
      <c r="AG67" s="20" t="str">
        <f t="shared" si="4"/>
        <v>Agriculture
NewSpace</v>
      </c>
      <c r="AH67" s="20" t="str">
        <f t="shared" si="4"/>
        <v>Space Services</v>
      </c>
      <c r="AI67" s="20" t="str">
        <f t="shared" si="4"/>
        <v>Imaging</v>
      </c>
      <c r="AJ67" s="20" t="str">
        <f t="shared" si="4"/>
        <v>Satellite Based
Crop Tech</v>
      </c>
      <c r="AK67" s="20" t="str">
        <f t="shared" si="4"/>
        <v>Farm Analytics</v>
      </c>
      <c r="AL67" s="14" t="s">
        <v>6109</v>
      </c>
      <c r="AM67" s="14"/>
      <c r="AO67" s="14"/>
      <c r="AP67" s="14" t="s">
        <v>5208</v>
      </c>
      <c r="AQ67" s="14" t="s">
        <v>6111</v>
      </c>
      <c r="AR67" s="14" t="s">
        <v>6112</v>
      </c>
      <c r="AS67" s="14" t="s">
        <v>6113</v>
      </c>
      <c r="AT67" s="14" t="s">
        <v>6114</v>
      </c>
      <c r="AU67" s="14" t="s">
        <v>6115</v>
      </c>
      <c r="AV67" s="18"/>
      <c r="AW67" s="16"/>
      <c r="AX67" s="17"/>
      <c r="AY67" s="15" t="s">
        <v>3123</v>
      </c>
      <c r="AZ67" s="17"/>
      <c r="BA67" s="16"/>
      <c r="BB67" s="14"/>
      <c r="BC67" s="14"/>
      <c r="BD67" s="15" t="s">
        <v>3123</v>
      </c>
      <c r="BE67" s="14"/>
      <c r="BF67" s="17"/>
      <c r="BG67" s="16"/>
      <c r="BH67" s="14"/>
      <c r="BI67" s="15" t="s">
        <v>3123</v>
      </c>
      <c r="BJ67" s="14"/>
      <c r="BK67" s="17"/>
      <c r="BL67" s="16"/>
      <c r="BM67" s="16"/>
      <c r="BN67" s="16"/>
      <c r="BO67" s="16"/>
      <c r="BP67" s="15" t="s">
        <v>3123</v>
      </c>
      <c r="BQ67" s="17"/>
      <c r="BR67" s="14"/>
      <c r="BS67" s="14"/>
      <c r="BT67" s="16"/>
      <c r="BU67" s="16"/>
      <c r="BV67" s="13"/>
      <c r="BW67" s="18" t="s">
        <v>6116</v>
      </c>
      <c r="BX67" s="13">
        <v>200</v>
      </c>
      <c r="BY67" s="17">
        <v>44130</v>
      </c>
      <c r="BZ67" s="18" t="s">
        <v>6117</v>
      </c>
      <c r="CA67" s="18"/>
      <c r="CB67" s="18"/>
      <c r="CC67" s="18"/>
      <c r="CD67" s="14" t="s">
        <v>6118</v>
      </c>
      <c r="CE67" s="17">
        <v>43251</v>
      </c>
      <c r="CF67" s="16"/>
      <c r="CG67" s="17"/>
      <c r="CH67" s="16"/>
      <c r="CI67" s="17"/>
      <c r="CJ67" s="16"/>
      <c r="CK67" s="17"/>
      <c r="CL67" s="16"/>
      <c r="CM67" s="17"/>
      <c r="CN67" s="19">
        <v>26.074065839071839</v>
      </c>
      <c r="CO67" s="19"/>
      <c r="CP67" s="17"/>
      <c r="CQ67" s="14" t="s">
        <v>6119</v>
      </c>
      <c r="CR67" s="14" t="s">
        <v>6120</v>
      </c>
      <c r="CS67" s="14" t="s">
        <v>5311</v>
      </c>
    </row>
    <row r="68" spans="1:97" ht="26.15" customHeight="1">
      <c r="A68" s="2">
        <v>420</v>
      </c>
      <c r="B68" s="25" t="s">
        <v>2651</v>
      </c>
      <c r="C68" s="25" t="str">
        <f>VLOOKUP(B68, Sheet6!$A$1:$B$77, 2, FALSE)</f>
        <v>Yes</v>
      </c>
      <c r="D68" s="25" t="s">
        <v>2652</v>
      </c>
      <c r="E68" s="25" t="s">
        <v>2656</v>
      </c>
      <c r="F68" s="25" t="s">
        <v>9450</v>
      </c>
      <c r="G68" s="25" t="s">
        <v>10955</v>
      </c>
      <c r="H68" s="25" t="s">
        <v>10558</v>
      </c>
      <c r="I68" s="25" t="s">
        <v>11101</v>
      </c>
      <c r="J68" s="25" t="s">
        <v>10706</v>
      </c>
      <c r="L68" s="13">
        <v>2016</v>
      </c>
      <c r="M68" s="14" t="s">
        <v>6129</v>
      </c>
      <c r="N68" s="14" t="s">
        <v>6130</v>
      </c>
      <c r="O68" s="14" t="s">
        <v>5416</v>
      </c>
      <c r="P68" s="15" t="s">
        <v>3117</v>
      </c>
      <c r="Q68" s="16">
        <v>8500000</v>
      </c>
      <c r="R68" s="17">
        <v>43978</v>
      </c>
      <c r="S68" s="16"/>
      <c r="T68" s="16" t="s">
        <v>50</v>
      </c>
      <c r="U68" s="14" t="s">
        <v>109</v>
      </c>
      <c r="V68" s="13">
        <v>4</v>
      </c>
      <c r="W68" s="17">
        <v>44029</v>
      </c>
      <c r="X68" s="14"/>
      <c r="Y68" s="17"/>
      <c r="Z68" s="17"/>
      <c r="AA68" s="14" t="s">
        <v>6131</v>
      </c>
      <c r="AB68" s="14" t="s">
        <v>6132</v>
      </c>
      <c r="AC68" s="14" t="s">
        <v>6133</v>
      </c>
      <c r="AD68" s="20" t="str">
        <f t="shared" si="5"/>
        <v>Livestock Tech &gt; Feeding &gt; Sustainable Feeds &gt; Insect Based
Insect Farming Tech &gt; Insects &gt; Insect based Products &gt; Animal Feed &gt; Diversified</v>
      </c>
      <c r="AE68" s="20" t="str">
        <f t="shared" si="3"/>
        <v>Livestock Tech</v>
      </c>
      <c r="AF68" s="20" t="str">
        <f t="shared" si="4"/>
        <v>Feeding</v>
      </c>
      <c r="AG68" s="20" t="str">
        <f t="shared" si="4"/>
        <v>Sustainable Feeds</v>
      </c>
      <c r="AH68" s="20" t="str">
        <f t="shared" si="4"/>
        <v>Insect Based
Insect Farming Tech</v>
      </c>
      <c r="AI68" s="20" t="str">
        <f t="shared" si="4"/>
        <v>Insects</v>
      </c>
      <c r="AJ68" s="20" t="str">
        <f t="shared" si="4"/>
        <v>Insect based Products</v>
      </c>
      <c r="AK68" s="20" t="str">
        <f t="shared" si="4"/>
        <v>Animal Feed</v>
      </c>
      <c r="AL68" s="14" t="s">
        <v>6134</v>
      </c>
      <c r="AM68" s="14"/>
      <c r="AO68" s="14"/>
      <c r="AP68" s="14" t="s">
        <v>5416</v>
      </c>
      <c r="AQ68" s="14" t="s">
        <v>6136</v>
      </c>
      <c r="AR68" s="14" t="s">
        <v>6137</v>
      </c>
      <c r="AS68" s="14" t="s">
        <v>6138</v>
      </c>
      <c r="AT68" s="14" t="s">
        <v>6139</v>
      </c>
      <c r="AU68" s="14" t="s">
        <v>6140</v>
      </c>
      <c r="AV68" s="18"/>
      <c r="AW68" s="16"/>
      <c r="AX68" s="17"/>
      <c r="AY68" s="15" t="s">
        <v>3123</v>
      </c>
      <c r="AZ68" s="17"/>
      <c r="BA68" s="16"/>
      <c r="BB68" s="14"/>
      <c r="BC68" s="14"/>
      <c r="BD68" s="15" t="s">
        <v>3123</v>
      </c>
      <c r="BE68" s="14"/>
      <c r="BF68" s="17"/>
      <c r="BG68" s="16"/>
      <c r="BH68" s="14"/>
      <c r="BI68" s="15" t="s">
        <v>3123</v>
      </c>
      <c r="BJ68" s="14"/>
      <c r="BK68" s="17"/>
      <c r="BL68" s="16"/>
      <c r="BM68" s="16"/>
      <c r="BN68" s="16"/>
      <c r="BO68" s="16"/>
      <c r="BP68" s="15" t="s">
        <v>3123</v>
      </c>
      <c r="BQ68" s="17"/>
      <c r="BR68" s="14"/>
      <c r="BS68" s="14"/>
      <c r="BT68" s="16"/>
      <c r="BU68" s="16"/>
      <c r="BV68" s="13"/>
      <c r="BW68" s="18" t="s">
        <v>6141</v>
      </c>
      <c r="BX68" s="13">
        <v>200</v>
      </c>
      <c r="BY68" s="17">
        <v>44130</v>
      </c>
      <c r="BZ68" s="18" t="s">
        <v>6142</v>
      </c>
      <c r="CA68" s="18"/>
      <c r="CB68" s="18" t="s">
        <v>6143</v>
      </c>
      <c r="CC68" s="18"/>
      <c r="CD68" s="14" t="s">
        <v>6144</v>
      </c>
      <c r="CE68" s="17">
        <v>43458</v>
      </c>
      <c r="CF68" s="16"/>
      <c r="CG68" s="17"/>
      <c r="CH68" s="16"/>
      <c r="CI68" s="17"/>
      <c r="CJ68" s="16"/>
      <c r="CK68" s="17"/>
      <c r="CL68" s="16"/>
      <c r="CM68" s="17"/>
      <c r="CN68" s="19">
        <v>36.887188507755347</v>
      </c>
      <c r="CO68" s="19"/>
      <c r="CP68" s="17"/>
      <c r="CQ68" s="14" t="s">
        <v>5345</v>
      </c>
      <c r="CR68" s="14" t="s">
        <v>6145</v>
      </c>
      <c r="CS68" s="14" t="s">
        <v>5311</v>
      </c>
    </row>
    <row r="69" spans="1:97" ht="26.15" customHeight="1">
      <c r="A69" s="2">
        <v>203</v>
      </c>
      <c r="B69" s="25" t="s">
        <v>1476</v>
      </c>
      <c r="C69" s="25" t="str">
        <f>VLOOKUP(B69, Sheet6!$A$1:$B$77, 2, FALSE)</f>
        <v>Yes</v>
      </c>
      <c r="D69" s="25" t="s">
        <v>1477</v>
      </c>
      <c r="E69" s="25" t="s">
        <v>1480</v>
      </c>
      <c r="F69" s="25" t="s">
        <v>7584</v>
      </c>
      <c r="G69" s="25" t="s">
        <v>10955</v>
      </c>
      <c r="H69" s="25" t="s">
        <v>10957</v>
      </c>
      <c r="I69" s="25" t="s">
        <v>10958</v>
      </c>
      <c r="J69" s="52" t="s">
        <v>10842</v>
      </c>
      <c r="L69" s="13">
        <v>2017</v>
      </c>
      <c r="M69" s="14" t="s">
        <v>5312</v>
      </c>
      <c r="N69" s="14" t="s">
        <v>5313</v>
      </c>
      <c r="O69" s="14" t="s">
        <v>3994</v>
      </c>
      <c r="P69" s="15" t="s">
        <v>3117</v>
      </c>
      <c r="Q69" s="16"/>
      <c r="R69" s="17">
        <v>43487</v>
      </c>
      <c r="S69" s="16"/>
      <c r="T69" s="16" t="s">
        <v>50</v>
      </c>
      <c r="U69" s="14" t="s">
        <v>34</v>
      </c>
      <c r="V69" s="13">
        <v>3</v>
      </c>
      <c r="W69" s="17">
        <v>43992</v>
      </c>
      <c r="X69" s="14"/>
      <c r="Y69" s="17"/>
      <c r="Z69" s="17"/>
      <c r="AA69" s="14" t="s">
        <v>1</v>
      </c>
      <c r="AB69" s="14" t="s">
        <v>5007</v>
      </c>
      <c r="AC69" s="14" t="s">
        <v>6146</v>
      </c>
      <c r="AD69" s="20" t="str">
        <f t="shared" si="5"/>
        <v>Crop Tech &gt; Content Platforms &gt; Data as a Service &gt; Market Data</v>
      </c>
      <c r="AE69" s="20" t="str">
        <f t="shared" si="3"/>
        <v>Crop Tech</v>
      </c>
      <c r="AF69" s="20" t="str">
        <f t="shared" si="4"/>
        <v>Content Platforms</v>
      </c>
      <c r="AG69" s="20" t="str">
        <f t="shared" si="4"/>
        <v>Data as a Service</v>
      </c>
      <c r="AH69" s="20" t="str">
        <f t="shared" si="4"/>
        <v>Market Data</v>
      </c>
      <c r="AI69" s="20" t="str">
        <f t="shared" si="4"/>
        <v/>
      </c>
      <c r="AJ69" s="20" t="str">
        <f t="shared" si="4"/>
        <v/>
      </c>
      <c r="AK69" s="20" t="str">
        <f t="shared" si="4"/>
        <v/>
      </c>
      <c r="AL69" s="14" t="s">
        <v>1228</v>
      </c>
      <c r="AM69" s="14"/>
      <c r="AO69" s="14"/>
      <c r="AP69" s="14" t="s">
        <v>3994</v>
      </c>
      <c r="AQ69" s="14"/>
      <c r="AR69" s="14"/>
      <c r="AS69" s="14" t="s">
        <v>6148</v>
      </c>
      <c r="AT69" s="14" t="s">
        <v>6149</v>
      </c>
      <c r="AU69" s="14" t="s">
        <v>6150</v>
      </c>
      <c r="AV69" s="18"/>
      <c r="AW69" s="16"/>
      <c r="AX69" s="17"/>
      <c r="AY69" s="15" t="s">
        <v>3123</v>
      </c>
      <c r="AZ69" s="17"/>
      <c r="BA69" s="16"/>
      <c r="BB69" s="14"/>
      <c r="BC69" s="14"/>
      <c r="BD69" s="15" t="s">
        <v>3123</v>
      </c>
      <c r="BE69" s="14"/>
      <c r="BF69" s="17"/>
      <c r="BG69" s="16"/>
      <c r="BH69" s="14"/>
      <c r="BI69" s="15" t="s">
        <v>3123</v>
      </c>
      <c r="BJ69" s="14"/>
      <c r="BK69" s="17"/>
      <c r="BL69" s="16"/>
      <c r="BM69" s="16"/>
      <c r="BN69" s="16"/>
      <c r="BO69" s="16"/>
      <c r="BP69" s="15" t="s">
        <v>3123</v>
      </c>
      <c r="BQ69" s="17"/>
      <c r="BR69" s="14"/>
      <c r="BS69" s="14"/>
      <c r="BT69" s="16"/>
      <c r="BU69" s="16"/>
      <c r="BV69" s="13"/>
      <c r="BW69" s="18" t="s">
        <v>6151</v>
      </c>
      <c r="BX69" s="13">
        <v>200</v>
      </c>
      <c r="BY69" s="17">
        <v>44130</v>
      </c>
      <c r="BZ69" s="18" t="s">
        <v>6152</v>
      </c>
      <c r="CA69" s="18" t="s">
        <v>6153</v>
      </c>
      <c r="CB69" s="18"/>
      <c r="CC69" s="18"/>
      <c r="CD69" s="14" t="s">
        <v>6154</v>
      </c>
      <c r="CE69" s="17">
        <v>43843</v>
      </c>
      <c r="CF69" s="16"/>
      <c r="CG69" s="17"/>
      <c r="CH69" s="16"/>
      <c r="CI69" s="17"/>
      <c r="CJ69" s="16"/>
      <c r="CK69" s="17"/>
      <c r="CL69" s="16"/>
      <c r="CM69" s="17"/>
      <c r="CN69" s="19">
        <v>24.310683819956139</v>
      </c>
      <c r="CO69" s="19"/>
      <c r="CP69" s="17"/>
      <c r="CQ69" s="14" t="s">
        <v>6155</v>
      </c>
      <c r="CR69" s="14" t="s">
        <v>6156</v>
      </c>
      <c r="CS69" s="14" t="s">
        <v>5004</v>
      </c>
    </row>
    <row r="70" spans="1:97" ht="26.15" customHeight="1">
      <c r="A70" s="2">
        <v>163</v>
      </c>
      <c r="B70" s="25" t="s">
        <v>1424</v>
      </c>
      <c r="C70" s="25" t="str">
        <f>VLOOKUP(B70, Sheet6!$A$1:$B$77, 2, FALSE)</f>
        <v>Yes</v>
      </c>
      <c r="D70" s="25" t="s">
        <v>1425</v>
      </c>
      <c r="E70" s="25" t="s">
        <v>1428</v>
      </c>
      <c r="F70" s="25" t="s">
        <v>7098</v>
      </c>
      <c r="G70" s="25" t="s">
        <v>11120</v>
      </c>
      <c r="H70" s="25" t="s">
        <v>10957</v>
      </c>
      <c r="I70" s="25" t="s">
        <v>10958</v>
      </c>
      <c r="J70" s="26" t="s">
        <v>10842</v>
      </c>
      <c r="L70" s="13">
        <v>2017</v>
      </c>
      <c r="M70" s="14" t="s">
        <v>6169</v>
      </c>
      <c r="N70" s="14" t="s">
        <v>6170</v>
      </c>
      <c r="O70" s="14" t="s">
        <v>6171</v>
      </c>
      <c r="P70" s="15" t="s">
        <v>3117</v>
      </c>
      <c r="Q70" s="16"/>
      <c r="R70" s="17">
        <v>43591</v>
      </c>
      <c r="S70" s="16"/>
      <c r="T70" s="16" t="s">
        <v>50</v>
      </c>
      <c r="U70" s="14" t="s">
        <v>34</v>
      </c>
      <c r="V70" s="13">
        <v>4</v>
      </c>
      <c r="W70" s="17">
        <v>44057</v>
      </c>
      <c r="X70" s="14"/>
      <c r="Y70" s="17"/>
      <c r="Z70" s="17"/>
      <c r="AA70" s="14" t="s">
        <v>5041</v>
      </c>
      <c r="AB70" s="14" t="s">
        <v>5042</v>
      </c>
      <c r="AC70" s="14" t="s">
        <v>6172</v>
      </c>
      <c r="AD70" s="20" t="str">
        <f t="shared" si="5"/>
        <v>IoT Applications &gt; Industry Specific &gt; Agriculture &gt; Farms
Crop Tech &gt; Farm Analytics &gt; Diversified</v>
      </c>
      <c r="AE70" s="20" t="str">
        <f t="shared" si="3"/>
        <v>IoT Applications</v>
      </c>
      <c r="AF70" s="20" t="str">
        <f t="shared" si="4"/>
        <v>Industry Specific</v>
      </c>
      <c r="AG70" s="20" t="str">
        <f t="shared" si="4"/>
        <v>Agriculture</v>
      </c>
      <c r="AH70" s="20" t="str">
        <f t="shared" si="4"/>
        <v>Farms
Crop Tech</v>
      </c>
      <c r="AI70" s="20" t="str">
        <f t="shared" si="4"/>
        <v>Farm Analytics</v>
      </c>
      <c r="AJ70" s="20" t="str">
        <f t="shared" si="4"/>
        <v>Diversified</v>
      </c>
      <c r="AK70" s="20" t="str">
        <f t="shared" si="4"/>
        <v/>
      </c>
      <c r="AL70" s="14" t="s">
        <v>1041</v>
      </c>
      <c r="AM70" s="14"/>
      <c r="AO70" s="14"/>
      <c r="AP70" s="14" t="s">
        <v>6171</v>
      </c>
      <c r="AQ70" s="14" t="s">
        <v>6174</v>
      </c>
      <c r="AR70" s="14"/>
      <c r="AS70" s="14" t="s">
        <v>6175</v>
      </c>
      <c r="AT70" s="14" t="s">
        <v>6176</v>
      </c>
      <c r="AU70" s="14" t="s">
        <v>6177</v>
      </c>
      <c r="AV70" s="18"/>
      <c r="AW70" s="16"/>
      <c r="AX70" s="17"/>
      <c r="AY70" s="15" t="s">
        <v>3123</v>
      </c>
      <c r="AZ70" s="17"/>
      <c r="BA70" s="16"/>
      <c r="BB70" s="14"/>
      <c r="BC70" s="14"/>
      <c r="BD70" s="15" t="s">
        <v>3123</v>
      </c>
      <c r="BE70" s="14"/>
      <c r="BF70" s="17"/>
      <c r="BG70" s="16"/>
      <c r="BH70" s="14"/>
      <c r="BI70" s="15" t="s">
        <v>3123</v>
      </c>
      <c r="BJ70" s="14"/>
      <c r="BK70" s="17"/>
      <c r="BL70" s="16"/>
      <c r="BM70" s="16"/>
      <c r="BN70" s="16"/>
      <c r="BO70" s="16"/>
      <c r="BP70" s="15" t="s">
        <v>3123</v>
      </c>
      <c r="BQ70" s="17"/>
      <c r="BR70" s="14"/>
      <c r="BS70" s="14"/>
      <c r="BT70" s="16"/>
      <c r="BU70" s="16"/>
      <c r="BV70" s="13"/>
      <c r="BW70" s="18" t="s">
        <v>6178</v>
      </c>
      <c r="BX70" s="13">
        <v>200</v>
      </c>
      <c r="BY70" s="17">
        <v>44130</v>
      </c>
      <c r="BZ70" s="18" t="s">
        <v>6179</v>
      </c>
      <c r="CA70" s="18"/>
      <c r="CB70" s="18"/>
      <c r="CC70" s="18"/>
      <c r="CD70" s="14" t="s">
        <v>6180</v>
      </c>
      <c r="CE70" s="17">
        <v>43019</v>
      </c>
      <c r="CF70" s="16"/>
      <c r="CG70" s="17"/>
      <c r="CH70" s="16"/>
      <c r="CI70" s="17"/>
      <c r="CJ70" s="16"/>
      <c r="CK70" s="17"/>
      <c r="CL70" s="16"/>
      <c r="CM70" s="17"/>
      <c r="CN70" s="19">
        <v>25.614265267690701</v>
      </c>
      <c r="CO70" s="19"/>
      <c r="CP70" s="17"/>
      <c r="CQ70" s="14" t="s">
        <v>6181</v>
      </c>
      <c r="CR70" s="14" t="s">
        <v>6182</v>
      </c>
      <c r="CS70" s="14" t="s">
        <v>5945</v>
      </c>
    </row>
    <row r="71" spans="1:97" ht="26.15" customHeight="1">
      <c r="A71" s="2">
        <v>286</v>
      </c>
      <c r="B71" s="25" t="s">
        <v>1868</v>
      </c>
      <c r="C71" s="25" t="str">
        <f>VLOOKUP(B71, Sheet6!$A$1:$B$77, 2, FALSE)</f>
        <v>Yes</v>
      </c>
      <c r="D71" s="25" t="s">
        <v>1869</v>
      </c>
      <c r="E71" s="25" t="s">
        <v>1870</v>
      </c>
      <c r="F71" s="25" t="s">
        <v>8637</v>
      </c>
      <c r="G71" s="25" t="s">
        <v>10955</v>
      </c>
      <c r="H71" s="25" t="s">
        <v>10959</v>
      </c>
      <c r="I71" s="25" t="s">
        <v>10958</v>
      </c>
      <c r="J71" s="26" t="s">
        <v>10846</v>
      </c>
      <c r="L71" s="13">
        <v>2016</v>
      </c>
      <c r="M71" s="14" t="s">
        <v>6183</v>
      </c>
      <c r="N71" s="14" t="s">
        <v>6184</v>
      </c>
      <c r="O71" s="14" t="s">
        <v>5208</v>
      </c>
      <c r="P71" s="15" t="s">
        <v>3117</v>
      </c>
      <c r="Q71" s="16">
        <v>194267</v>
      </c>
      <c r="R71" s="17">
        <v>43935</v>
      </c>
      <c r="S71" s="16" t="s">
        <v>6185</v>
      </c>
      <c r="T71" s="16">
        <v>194267</v>
      </c>
      <c r="U71" s="14" t="s">
        <v>34</v>
      </c>
      <c r="V71" s="13">
        <v>4</v>
      </c>
      <c r="W71" s="17">
        <v>43942</v>
      </c>
      <c r="X71" s="14"/>
      <c r="Y71" s="17"/>
      <c r="Z71" s="17"/>
      <c r="AA71" s="14" t="s">
        <v>1</v>
      </c>
      <c r="AB71" s="14" t="s">
        <v>5007</v>
      </c>
      <c r="AC71" s="14" t="s">
        <v>5053</v>
      </c>
      <c r="AD71" s="20" t="str">
        <f t="shared" si="5"/>
        <v>Crop Tech &gt; Farm Management Software &gt; Pest Monitoring</v>
      </c>
      <c r="AE71" s="20" t="str">
        <f t="shared" si="3"/>
        <v>Crop Tech</v>
      </c>
      <c r="AF71" s="20" t="str">
        <f t="shared" si="4"/>
        <v>Farm Management Software</v>
      </c>
      <c r="AG71" s="20" t="str">
        <f t="shared" si="4"/>
        <v>Pest Monitoring</v>
      </c>
      <c r="AH71" s="20" t="str">
        <f t="shared" si="4"/>
        <v/>
      </c>
      <c r="AI71" s="20" t="str">
        <f t="shared" si="4"/>
        <v/>
      </c>
      <c r="AJ71" s="20" t="str">
        <f t="shared" si="4"/>
        <v/>
      </c>
      <c r="AK71" s="20" t="str">
        <f t="shared" si="4"/>
        <v/>
      </c>
      <c r="AL71" s="14" t="s">
        <v>439</v>
      </c>
      <c r="AM71" s="14"/>
      <c r="AO71" s="14"/>
      <c r="AP71" s="14" t="s">
        <v>5208</v>
      </c>
      <c r="AQ71" s="14" t="s">
        <v>6186</v>
      </c>
      <c r="AR71" s="14"/>
      <c r="AS71" s="14" t="s">
        <v>6187</v>
      </c>
      <c r="AT71" s="14"/>
      <c r="AU71" s="14" t="s">
        <v>6188</v>
      </c>
      <c r="AV71" s="18"/>
      <c r="AW71" s="16"/>
      <c r="AX71" s="17"/>
      <c r="AY71" s="15" t="s">
        <v>3123</v>
      </c>
      <c r="AZ71" s="17"/>
      <c r="BA71" s="16"/>
      <c r="BB71" s="14"/>
      <c r="BC71" s="14"/>
      <c r="BD71" s="15" t="s">
        <v>3123</v>
      </c>
      <c r="BE71" s="14"/>
      <c r="BF71" s="17"/>
      <c r="BG71" s="16"/>
      <c r="BH71" s="14"/>
      <c r="BI71" s="15" t="s">
        <v>3123</v>
      </c>
      <c r="BJ71" s="14"/>
      <c r="BK71" s="17"/>
      <c r="BL71" s="16"/>
      <c r="BM71" s="16"/>
      <c r="BN71" s="16"/>
      <c r="BO71" s="16"/>
      <c r="BP71" s="15" t="s">
        <v>3123</v>
      </c>
      <c r="BQ71" s="17"/>
      <c r="BR71" s="14"/>
      <c r="BS71" s="14"/>
      <c r="BT71" s="16"/>
      <c r="BU71" s="16"/>
      <c r="BV71" s="13"/>
      <c r="BW71" s="18" t="s">
        <v>6189</v>
      </c>
      <c r="BX71" s="13">
        <v>200</v>
      </c>
      <c r="BY71" s="17">
        <v>44130</v>
      </c>
      <c r="BZ71" s="18" t="s">
        <v>6190</v>
      </c>
      <c r="CA71" s="18"/>
      <c r="CB71" s="18" t="s">
        <v>6191</v>
      </c>
      <c r="CC71" s="18" t="s">
        <v>6192</v>
      </c>
      <c r="CD71" s="14" t="s">
        <v>6193</v>
      </c>
      <c r="CE71" s="17">
        <v>43937</v>
      </c>
      <c r="CF71" s="16"/>
      <c r="CG71" s="17"/>
      <c r="CH71" s="16"/>
      <c r="CI71" s="17"/>
      <c r="CJ71" s="16"/>
      <c r="CK71" s="17"/>
      <c r="CL71" s="16"/>
      <c r="CM71" s="17"/>
      <c r="CN71" s="19">
        <v>16.005506644443269</v>
      </c>
      <c r="CO71" s="19"/>
      <c r="CP71" s="17"/>
      <c r="CQ71" s="14" t="s">
        <v>6194</v>
      </c>
      <c r="CR71" s="14" t="s">
        <v>6195</v>
      </c>
      <c r="CS71" s="14" t="s">
        <v>5004</v>
      </c>
    </row>
    <row r="72" spans="1:97" ht="26.15" customHeight="1">
      <c r="A72" s="2">
        <v>135</v>
      </c>
      <c r="B72" s="25" t="s">
        <v>544</v>
      </c>
      <c r="C72" s="25" t="str">
        <f>VLOOKUP(B72, Sheet6!$A$1:$B$77, 2, FALSE)</f>
        <v>Yes</v>
      </c>
      <c r="D72" s="25" t="s">
        <v>545</v>
      </c>
      <c r="E72" s="25" t="s">
        <v>548</v>
      </c>
      <c r="F72" s="25" t="s">
        <v>6743</v>
      </c>
      <c r="G72" s="25" t="s">
        <v>10955</v>
      </c>
      <c r="H72" s="25" t="s">
        <v>10959</v>
      </c>
      <c r="I72" s="25" t="s">
        <v>10958</v>
      </c>
      <c r="J72" s="26" t="s">
        <v>10766</v>
      </c>
      <c r="L72" s="13">
        <v>2017</v>
      </c>
      <c r="M72" s="14" t="s">
        <v>6211</v>
      </c>
      <c r="N72" s="14" t="s">
        <v>6212</v>
      </c>
      <c r="O72" s="14" t="s">
        <v>6213</v>
      </c>
      <c r="P72" s="15" t="s">
        <v>3117</v>
      </c>
      <c r="Q72" s="16">
        <v>25000</v>
      </c>
      <c r="R72" s="17">
        <v>43544</v>
      </c>
      <c r="S72" s="16" t="s">
        <v>6017</v>
      </c>
      <c r="T72" s="16">
        <v>25000</v>
      </c>
      <c r="U72" s="14" t="s">
        <v>34</v>
      </c>
      <c r="V72" s="13">
        <v>4</v>
      </c>
      <c r="W72" s="17">
        <v>43977</v>
      </c>
      <c r="X72" s="14"/>
      <c r="Y72" s="17"/>
      <c r="Z72" s="17"/>
      <c r="AA72" s="14" t="s">
        <v>1</v>
      </c>
      <c r="AB72" s="14" t="s">
        <v>5007</v>
      </c>
      <c r="AC72" s="14" t="s">
        <v>5192</v>
      </c>
      <c r="AD72" s="20" t="str">
        <f t="shared" si="5"/>
        <v>Crop Tech &gt; Farm Management Software &gt; Diversified</v>
      </c>
      <c r="AE72" s="20" t="str">
        <f t="shared" si="3"/>
        <v>Crop Tech</v>
      </c>
      <c r="AF72" s="20" t="str">
        <f t="shared" si="4"/>
        <v>Farm Management Software</v>
      </c>
      <c r="AG72" s="20" t="str">
        <f t="shared" si="4"/>
        <v>Diversified</v>
      </c>
      <c r="AH72" s="20" t="str">
        <f t="shared" si="4"/>
        <v/>
      </c>
      <c r="AI72" s="20" t="str">
        <f t="shared" si="4"/>
        <v/>
      </c>
      <c r="AJ72" s="20" t="str">
        <f t="shared" si="4"/>
        <v/>
      </c>
      <c r="AK72" s="20" t="str">
        <f t="shared" si="4"/>
        <v/>
      </c>
      <c r="AL72" s="14" t="s">
        <v>6214</v>
      </c>
      <c r="AM72" s="14"/>
      <c r="AO72" s="14"/>
      <c r="AP72" s="14" t="s">
        <v>6213</v>
      </c>
      <c r="AQ72" s="14" t="s">
        <v>6216</v>
      </c>
      <c r="AR72" s="14" t="s">
        <v>6217</v>
      </c>
      <c r="AS72" s="14" t="s">
        <v>6218</v>
      </c>
      <c r="AT72" s="14"/>
      <c r="AU72" s="14" t="s">
        <v>6219</v>
      </c>
      <c r="AV72" s="18"/>
      <c r="AW72" s="16"/>
      <c r="AX72" s="17"/>
      <c r="AY72" s="15" t="s">
        <v>3123</v>
      </c>
      <c r="AZ72" s="17"/>
      <c r="BA72" s="16"/>
      <c r="BB72" s="14"/>
      <c r="BC72" s="14"/>
      <c r="BD72" s="15" t="s">
        <v>3123</v>
      </c>
      <c r="BE72" s="14"/>
      <c r="BF72" s="17"/>
      <c r="BG72" s="16"/>
      <c r="BH72" s="14"/>
      <c r="BI72" s="15" t="s">
        <v>3123</v>
      </c>
      <c r="BJ72" s="14"/>
      <c r="BK72" s="17"/>
      <c r="BL72" s="16"/>
      <c r="BM72" s="16"/>
      <c r="BN72" s="16"/>
      <c r="BO72" s="16"/>
      <c r="BP72" s="15" t="s">
        <v>3123</v>
      </c>
      <c r="BQ72" s="17"/>
      <c r="BR72" s="14"/>
      <c r="BS72" s="14"/>
      <c r="BT72" s="16"/>
      <c r="BU72" s="16"/>
      <c r="BV72" s="13"/>
      <c r="BW72" s="18" t="s">
        <v>6220</v>
      </c>
      <c r="BX72" s="13">
        <v>200</v>
      </c>
      <c r="BY72" s="17">
        <v>44129</v>
      </c>
      <c r="BZ72" s="18" t="s">
        <v>6221</v>
      </c>
      <c r="CA72" s="18" t="s">
        <v>6222</v>
      </c>
      <c r="CB72" s="18" t="s">
        <v>6223</v>
      </c>
      <c r="CC72" s="18"/>
      <c r="CD72" s="14" t="s">
        <v>6224</v>
      </c>
      <c r="CE72" s="17">
        <v>43965</v>
      </c>
      <c r="CF72" s="16"/>
      <c r="CG72" s="17"/>
      <c r="CH72" s="16"/>
      <c r="CI72" s="17"/>
      <c r="CJ72" s="16"/>
      <c r="CK72" s="17"/>
      <c r="CL72" s="16"/>
      <c r="CM72" s="17"/>
      <c r="CN72" s="19">
        <v>31.84707104481252</v>
      </c>
      <c r="CO72" s="19"/>
      <c r="CP72" s="17"/>
      <c r="CQ72" s="14" t="s">
        <v>6225</v>
      </c>
      <c r="CR72" s="14" t="s">
        <v>6226</v>
      </c>
      <c r="CS72" s="14" t="s">
        <v>5004</v>
      </c>
    </row>
    <row r="73" spans="1:97" ht="26.15" customHeight="1">
      <c r="A73" s="2">
        <v>224</v>
      </c>
      <c r="B73" s="25" t="s">
        <v>1544</v>
      </c>
      <c r="C73" s="25" t="str">
        <f>VLOOKUP(B73, Sheet6!$A$1:$B$77, 2, FALSE)</f>
        <v>Yes</v>
      </c>
      <c r="D73" s="25" t="s">
        <v>1545</v>
      </c>
      <c r="E73" s="25" t="s">
        <v>1547</v>
      </c>
      <c r="F73" s="25" t="s">
        <v>7821</v>
      </c>
      <c r="G73" s="25" t="s">
        <v>10955</v>
      </c>
      <c r="H73" s="25" t="s">
        <v>10957</v>
      </c>
      <c r="I73" s="25" t="s">
        <v>10958</v>
      </c>
      <c r="J73" s="26" t="s">
        <v>10821</v>
      </c>
      <c r="L73" s="13">
        <v>2016</v>
      </c>
      <c r="M73" s="14" t="s">
        <v>6227</v>
      </c>
      <c r="N73" s="14" t="s">
        <v>6228</v>
      </c>
      <c r="O73" s="14" t="s">
        <v>3994</v>
      </c>
      <c r="P73" s="15" t="s">
        <v>3117</v>
      </c>
      <c r="Q73" s="16">
        <v>294730</v>
      </c>
      <c r="R73" s="17">
        <v>43250</v>
      </c>
      <c r="S73" s="16" t="s">
        <v>6229</v>
      </c>
      <c r="T73" s="16">
        <v>294730</v>
      </c>
      <c r="U73" s="14" t="s">
        <v>34</v>
      </c>
      <c r="V73" s="13">
        <v>4</v>
      </c>
      <c r="W73" s="17">
        <v>44098</v>
      </c>
      <c r="X73" s="14"/>
      <c r="Y73" s="17"/>
      <c r="Z73" s="17"/>
      <c r="AA73" s="14" t="s">
        <v>1</v>
      </c>
      <c r="AB73" s="14" t="s">
        <v>5007</v>
      </c>
      <c r="AC73" s="14" t="s">
        <v>6230</v>
      </c>
      <c r="AD73" s="20" t="str">
        <f t="shared" si="5"/>
        <v>Crop Tech &gt; Post Harvest Management &gt; Quality Testing &gt; Grains</v>
      </c>
      <c r="AE73" s="20" t="str">
        <f t="shared" si="3"/>
        <v>Crop Tech</v>
      </c>
      <c r="AF73" s="20" t="str">
        <f t="shared" si="4"/>
        <v>Post Harvest Management</v>
      </c>
      <c r="AG73" s="20" t="str">
        <f t="shared" si="4"/>
        <v>Quality Testing</v>
      </c>
      <c r="AH73" s="20" t="str">
        <f t="shared" si="4"/>
        <v>Grains</v>
      </c>
      <c r="AI73" s="20" t="str">
        <f t="shared" si="4"/>
        <v/>
      </c>
      <c r="AJ73" s="20" t="str">
        <f t="shared" ref="AF73:AK107" si="6">TRIM(MID(SUBSTITUTE($AD73,"&gt;",REPT(" ",LEN($AD73))), (AJ$6-1)*LEN($AD73)+1, LEN($AD73)))</f>
        <v/>
      </c>
      <c r="AK73" s="20" t="str">
        <f t="shared" si="6"/>
        <v/>
      </c>
      <c r="AL73" s="14"/>
      <c r="AM73" s="14"/>
      <c r="AO73" s="14"/>
      <c r="AP73" s="14" t="s">
        <v>3994</v>
      </c>
      <c r="AQ73" s="14" t="s">
        <v>6232</v>
      </c>
      <c r="AR73" s="14" t="s">
        <v>6233</v>
      </c>
      <c r="AS73" s="14" t="s">
        <v>6234</v>
      </c>
      <c r="AT73" s="14" t="s">
        <v>6235</v>
      </c>
      <c r="AU73" s="14" t="s">
        <v>6236</v>
      </c>
      <c r="AV73" s="18"/>
      <c r="AW73" s="16">
        <v>141400</v>
      </c>
      <c r="AX73" s="17">
        <v>43465</v>
      </c>
      <c r="AY73" s="15" t="s">
        <v>3117</v>
      </c>
      <c r="AZ73" s="17">
        <v>42608</v>
      </c>
      <c r="BA73" s="16">
        <v>893</v>
      </c>
      <c r="BB73" s="14" t="s">
        <v>6237</v>
      </c>
      <c r="BC73" s="14"/>
      <c r="BD73" s="15" t="s">
        <v>3123</v>
      </c>
      <c r="BE73" s="14"/>
      <c r="BF73" s="17"/>
      <c r="BG73" s="16"/>
      <c r="BH73" s="14"/>
      <c r="BI73" s="15" t="s">
        <v>3123</v>
      </c>
      <c r="BJ73" s="14"/>
      <c r="BK73" s="17"/>
      <c r="BL73" s="16"/>
      <c r="BM73" s="16"/>
      <c r="BN73" s="16"/>
      <c r="BO73" s="16"/>
      <c r="BP73" s="15" t="s">
        <v>3123</v>
      </c>
      <c r="BQ73" s="17"/>
      <c r="BR73" s="14"/>
      <c r="BS73" s="14"/>
      <c r="BT73" s="16"/>
      <c r="BU73" s="16"/>
      <c r="BV73" s="13"/>
      <c r="BW73" s="18" t="s">
        <v>6238</v>
      </c>
      <c r="BX73" s="13">
        <v>200</v>
      </c>
      <c r="BY73" s="17">
        <v>44129</v>
      </c>
      <c r="BZ73" s="18" t="s">
        <v>6239</v>
      </c>
      <c r="CA73" s="18"/>
      <c r="CB73" s="18"/>
      <c r="CC73" s="18"/>
      <c r="CD73" s="14" t="s">
        <v>6240</v>
      </c>
      <c r="CE73" s="17">
        <v>43959</v>
      </c>
      <c r="CF73" s="16">
        <v>-60000</v>
      </c>
      <c r="CG73" s="17">
        <v>43465</v>
      </c>
      <c r="CH73" s="16">
        <v>-56300</v>
      </c>
      <c r="CI73" s="17">
        <v>43465</v>
      </c>
      <c r="CJ73" s="16">
        <v>1000000</v>
      </c>
      <c r="CK73" s="17">
        <v>43250</v>
      </c>
      <c r="CL73" s="16"/>
      <c r="CM73" s="17"/>
      <c r="CN73" s="19">
        <v>25.076625026773389</v>
      </c>
      <c r="CO73" s="19"/>
      <c r="CP73" s="17"/>
      <c r="CQ73" s="14" t="s">
        <v>6241</v>
      </c>
      <c r="CR73" s="14" t="s">
        <v>5019</v>
      </c>
      <c r="CS73" s="14" t="s">
        <v>5004</v>
      </c>
    </row>
    <row r="74" spans="1:97" ht="26.15" customHeight="1">
      <c r="A74" s="2">
        <v>298</v>
      </c>
      <c r="B74" s="25" t="s">
        <v>303</v>
      </c>
      <c r="C74" s="25" t="str">
        <f>VLOOKUP(B74, Sheet6!$A$1:$B$77, 2, FALSE)</f>
        <v>Yes</v>
      </c>
      <c r="D74" s="25" t="s">
        <v>304</v>
      </c>
      <c r="E74" s="25" t="s">
        <v>306</v>
      </c>
      <c r="F74" s="25" t="s">
        <v>8813</v>
      </c>
      <c r="G74" s="25" t="s">
        <v>10952</v>
      </c>
      <c r="H74" s="25" t="s">
        <v>10959</v>
      </c>
      <c r="I74" s="25" t="s">
        <v>10958</v>
      </c>
      <c r="J74" s="26" t="s">
        <v>10870</v>
      </c>
      <c r="L74" s="13">
        <v>2016</v>
      </c>
      <c r="M74" s="14"/>
      <c r="N74" s="14"/>
      <c r="O74" s="14" t="s">
        <v>1258</v>
      </c>
      <c r="P74" s="15" t="s">
        <v>3117</v>
      </c>
      <c r="Q74" s="16"/>
      <c r="R74" s="17">
        <v>43480</v>
      </c>
      <c r="S74" s="16" t="s">
        <v>6257</v>
      </c>
      <c r="T74" s="16">
        <v>80000</v>
      </c>
      <c r="U74" s="14" t="s">
        <v>5040</v>
      </c>
      <c r="V74" s="13">
        <v>4</v>
      </c>
      <c r="W74" s="17">
        <v>43994</v>
      </c>
      <c r="X74" s="14"/>
      <c r="Y74" s="17"/>
      <c r="Z74" s="17"/>
      <c r="AA74" s="14" t="s">
        <v>5976</v>
      </c>
      <c r="AB74" s="14" t="s">
        <v>6258</v>
      </c>
      <c r="AC74" s="14" t="s">
        <v>6259</v>
      </c>
      <c r="AD74" s="20" t="str">
        <f t="shared" si="5"/>
        <v>Security &amp; Surveillance Technology &gt; Location Tracking &gt; Vehicle Tracking
Crop Tech &gt; Autonomous Farming &gt; Diversified</v>
      </c>
      <c r="AE74" s="20" t="str">
        <f t="shared" si="3"/>
        <v>Security &amp; Surveillance Technology</v>
      </c>
      <c r="AF74" s="20" t="str">
        <f t="shared" si="6"/>
        <v>Location Tracking</v>
      </c>
      <c r="AG74" s="20" t="str">
        <f t="shared" si="6"/>
        <v>Vehicle Tracking
Crop Tech</v>
      </c>
      <c r="AH74" s="20" t="str">
        <f t="shared" si="6"/>
        <v>Autonomous Farming</v>
      </c>
      <c r="AI74" s="20" t="str">
        <f t="shared" si="6"/>
        <v>Diversified</v>
      </c>
      <c r="AJ74" s="20" t="str">
        <f t="shared" si="6"/>
        <v/>
      </c>
      <c r="AK74" s="20" t="str">
        <f t="shared" si="6"/>
        <v/>
      </c>
      <c r="AL74" s="14" t="s">
        <v>6260</v>
      </c>
      <c r="AM74" s="14"/>
      <c r="AO74" s="14"/>
      <c r="AP74" s="14" t="s">
        <v>1258</v>
      </c>
      <c r="AQ74" s="14" t="s">
        <v>6262</v>
      </c>
      <c r="AR74" s="14" t="s">
        <v>6263</v>
      </c>
      <c r="AS74" s="14"/>
      <c r="AT74" s="14"/>
      <c r="AU74" s="14"/>
      <c r="AV74" s="18"/>
      <c r="AW74" s="16"/>
      <c r="AX74" s="17"/>
      <c r="AY74" s="15" t="s">
        <v>3123</v>
      </c>
      <c r="AZ74" s="17"/>
      <c r="BA74" s="16"/>
      <c r="BB74" s="14"/>
      <c r="BC74" s="14"/>
      <c r="BD74" s="15" t="s">
        <v>3123</v>
      </c>
      <c r="BE74" s="14"/>
      <c r="BF74" s="17"/>
      <c r="BG74" s="16"/>
      <c r="BH74" s="14"/>
      <c r="BI74" s="15" t="s">
        <v>3123</v>
      </c>
      <c r="BJ74" s="14"/>
      <c r="BK74" s="17"/>
      <c r="BL74" s="16"/>
      <c r="BM74" s="16"/>
      <c r="BN74" s="16"/>
      <c r="BO74" s="16"/>
      <c r="BP74" s="15" t="s">
        <v>3123</v>
      </c>
      <c r="BQ74" s="17"/>
      <c r="BR74" s="14"/>
      <c r="BS74" s="14"/>
      <c r="BT74" s="16"/>
      <c r="BU74" s="16"/>
      <c r="BV74" s="13"/>
      <c r="BW74" s="18" t="s">
        <v>6264</v>
      </c>
      <c r="BX74" s="13">
        <v>200</v>
      </c>
      <c r="BY74" s="17">
        <v>44129</v>
      </c>
      <c r="BZ74" s="18"/>
      <c r="CA74" s="18"/>
      <c r="CB74" s="18"/>
      <c r="CC74" s="18"/>
      <c r="CD74" s="14" t="s">
        <v>6265</v>
      </c>
      <c r="CE74" s="17">
        <v>43629</v>
      </c>
      <c r="CF74" s="16"/>
      <c r="CG74" s="17"/>
      <c r="CH74" s="16"/>
      <c r="CI74" s="17"/>
      <c r="CJ74" s="16"/>
      <c r="CK74" s="17"/>
      <c r="CL74" s="16"/>
      <c r="CM74" s="17"/>
      <c r="CN74" s="19">
        <v>25.566433571913851</v>
      </c>
      <c r="CO74" s="19"/>
      <c r="CP74" s="17"/>
      <c r="CQ74" s="14" t="s">
        <v>5048</v>
      </c>
      <c r="CR74" s="14" t="s">
        <v>6266</v>
      </c>
      <c r="CS74" s="14" t="s">
        <v>5311</v>
      </c>
    </row>
    <row r="75" spans="1:97" ht="26.15" customHeight="1">
      <c r="A75" s="2">
        <v>230</v>
      </c>
      <c r="B75" s="25" t="s">
        <v>485</v>
      </c>
      <c r="C75" s="25" t="str">
        <f>VLOOKUP(B75, Sheet6!$A$1:$B$77, 2, FALSE)</f>
        <v>Yes</v>
      </c>
      <c r="D75" s="25" t="s">
        <v>486</v>
      </c>
      <c r="E75" s="25" t="s">
        <v>489</v>
      </c>
      <c r="F75" s="25" t="s">
        <v>7888</v>
      </c>
      <c r="G75" s="25" t="s">
        <v>10955</v>
      </c>
      <c r="H75" s="25" t="s">
        <v>10957</v>
      </c>
      <c r="I75" s="25" t="s">
        <v>10958</v>
      </c>
      <c r="J75" s="26" t="s">
        <v>10821</v>
      </c>
      <c r="L75" s="13">
        <v>2017</v>
      </c>
      <c r="M75" s="14" t="s">
        <v>6279</v>
      </c>
      <c r="N75" s="14" t="s">
        <v>6280</v>
      </c>
      <c r="O75" s="14" t="s">
        <v>6281</v>
      </c>
      <c r="P75" s="15" t="s">
        <v>3117</v>
      </c>
      <c r="Q75" s="16"/>
      <c r="R75" s="17">
        <v>43658</v>
      </c>
      <c r="S75" s="16" t="s">
        <v>6282</v>
      </c>
      <c r="T75" s="16">
        <v>27500</v>
      </c>
      <c r="U75" s="14" t="s">
        <v>5040</v>
      </c>
      <c r="V75" s="13">
        <v>3</v>
      </c>
      <c r="W75" s="17">
        <v>44078</v>
      </c>
      <c r="X75" s="14"/>
      <c r="Y75" s="17"/>
      <c r="Z75" s="17"/>
      <c r="AA75" s="14" t="s">
        <v>1</v>
      </c>
      <c r="AB75" s="14" t="s">
        <v>5084</v>
      </c>
      <c r="AC75" s="14" t="s">
        <v>6268</v>
      </c>
      <c r="AD75" s="20" t="str">
        <f t="shared" si="5"/>
        <v>Livestock Tech &gt; Livestock Management Software</v>
      </c>
      <c r="AE75" s="20" t="str">
        <f t="shared" si="3"/>
        <v>Livestock Tech</v>
      </c>
      <c r="AF75" s="20" t="str">
        <f t="shared" si="6"/>
        <v>Livestock Management Software</v>
      </c>
      <c r="AG75" s="20" t="str">
        <f t="shared" si="6"/>
        <v/>
      </c>
      <c r="AH75" s="20" t="str">
        <f t="shared" si="6"/>
        <v/>
      </c>
      <c r="AI75" s="20" t="str">
        <f t="shared" si="6"/>
        <v/>
      </c>
      <c r="AJ75" s="20" t="str">
        <f t="shared" si="6"/>
        <v/>
      </c>
      <c r="AK75" s="20" t="str">
        <f t="shared" si="6"/>
        <v/>
      </c>
      <c r="AL75" s="14" t="s">
        <v>941</v>
      </c>
      <c r="AM75" s="14"/>
      <c r="AO75" s="14"/>
      <c r="AP75" s="14" t="s">
        <v>6281</v>
      </c>
      <c r="AQ75" s="14" t="s">
        <v>6284</v>
      </c>
      <c r="AR75" s="14" t="s">
        <v>6285</v>
      </c>
      <c r="AS75" s="14" t="s">
        <v>6286</v>
      </c>
      <c r="AT75" s="14" t="s">
        <v>6287</v>
      </c>
      <c r="AU75" s="14" t="s">
        <v>6288</v>
      </c>
      <c r="AV75" s="18"/>
      <c r="AW75" s="16"/>
      <c r="AX75" s="17"/>
      <c r="AY75" s="15" t="s">
        <v>3123</v>
      </c>
      <c r="AZ75" s="17"/>
      <c r="BA75" s="16"/>
      <c r="BB75" s="14"/>
      <c r="BC75" s="14"/>
      <c r="BD75" s="15" t="s">
        <v>3123</v>
      </c>
      <c r="BE75" s="14"/>
      <c r="BF75" s="17"/>
      <c r="BG75" s="16"/>
      <c r="BH75" s="14"/>
      <c r="BI75" s="15" t="s">
        <v>3123</v>
      </c>
      <c r="BJ75" s="14"/>
      <c r="BK75" s="17"/>
      <c r="BL75" s="16"/>
      <c r="BM75" s="16"/>
      <c r="BN75" s="16"/>
      <c r="BO75" s="16"/>
      <c r="BP75" s="15" t="s">
        <v>3123</v>
      </c>
      <c r="BQ75" s="17"/>
      <c r="BR75" s="14"/>
      <c r="BS75" s="14"/>
      <c r="BT75" s="16"/>
      <c r="BU75" s="16"/>
      <c r="BV75" s="13"/>
      <c r="BW75" s="18" t="s">
        <v>6289</v>
      </c>
      <c r="BX75" s="13">
        <v>200</v>
      </c>
      <c r="BY75" s="17">
        <v>44129</v>
      </c>
      <c r="BZ75" s="18"/>
      <c r="CA75" s="18" t="s">
        <v>6290</v>
      </c>
      <c r="CB75" s="18" t="s">
        <v>6291</v>
      </c>
      <c r="CC75" s="18" t="s">
        <v>6292</v>
      </c>
      <c r="CD75" s="14" t="s">
        <v>6293</v>
      </c>
      <c r="CE75" s="17">
        <v>43783</v>
      </c>
      <c r="CF75" s="16"/>
      <c r="CG75" s="17"/>
      <c r="CH75" s="16"/>
      <c r="CI75" s="17"/>
      <c r="CJ75" s="16"/>
      <c r="CK75" s="17"/>
      <c r="CL75" s="16"/>
      <c r="CM75" s="17"/>
      <c r="CN75" s="19">
        <v>37.145738590704568</v>
      </c>
      <c r="CO75" s="19"/>
      <c r="CP75" s="17"/>
      <c r="CQ75" s="14" t="s">
        <v>5018</v>
      </c>
      <c r="CR75" s="14" t="s">
        <v>6294</v>
      </c>
      <c r="CS75" s="14" t="s">
        <v>5004</v>
      </c>
    </row>
    <row r="76" spans="1:97" ht="26.15" customHeight="1">
      <c r="A76" s="2">
        <v>222</v>
      </c>
      <c r="B76" s="25" t="s">
        <v>228</v>
      </c>
      <c r="C76" s="25" t="str">
        <f>VLOOKUP(B76, Sheet6!$A$1:$B$77, 2, FALSE)</f>
        <v>Yes</v>
      </c>
      <c r="D76" s="25" t="s">
        <v>229</v>
      </c>
      <c r="E76" s="25" t="s">
        <v>234</v>
      </c>
      <c r="F76" s="25" t="s">
        <v>7793</v>
      </c>
      <c r="G76" s="25" t="s">
        <v>10955</v>
      </c>
      <c r="H76" s="25" t="s">
        <v>10959</v>
      </c>
      <c r="I76" s="25" t="s">
        <v>10958</v>
      </c>
      <c r="J76" s="26" t="s">
        <v>10846</v>
      </c>
      <c r="L76" s="13">
        <v>2016</v>
      </c>
      <c r="M76" s="14" t="s">
        <v>6295</v>
      </c>
      <c r="N76" s="14" t="s">
        <v>6296</v>
      </c>
      <c r="O76" s="14" t="s">
        <v>6297</v>
      </c>
      <c r="P76" s="15" t="s">
        <v>3117</v>
      </c>
      <c r="Q76" s="16"/>
      <c r="R76" s="17">
        <v>43739</v>
      </c>
      <c r="S76" s="16" t="s">
        <v>6298</v>
      </c>
      <c r="T76" s="16">
        <v>20000</v>
      </c>
      <c r="U76" s="14" t="s">
        <v>5040</v>
      </c>
      <c r="V76" s="13">
        <v>3</v>
      </c>
      <c r="W76" s="17">
        <v>44032</v>
      </c>
      <c r="X76" s="14"/>
      <c r="Y76" s="17"/>
      <c r="Z76" s="17"/>
      <c r="AA76" s="14" t="s">
        <v>1</v>
      </c>
      <c r="AB76" s="14" t="s">
        <v>5007</v>
      </c>
      <c r="AC76" s="14" t="s">
        <v>6299</v>
      </c>
      <c r="AD76" s="20" t="str">
        <f t="shared" si="5"/>
        <v>Crop Tech &gt; ECommerce &gt; Farm Produce &gt; B2C &gt; Fruits and Vegetables &gt; Marketplace</v>
      </c>
      <c r="AE76" s="20" t="str">
        <f t="shared" si="3"/>
        <v>Crop Tech</v>
      </c>
      <c r="AF76" s="20" t="str">
        <f t="shared" si="6"/>
        <v>ECommerce</v>
      </c>
      <c r="AG76" s="20" t="str">
        <f t="shared" si="6"/>
        <v>Farm Produce</v>
      </c>
      <c r="AH76" s="20" t="str">
        <f t="shared" si="6"/>
        <v>B2C</v>
      </c>
      <c r="AI76" s="20" t="str">
        <f t="shared" si="6"/>
        <v>Fruits and Vegetables</v>
      </c>
      <c r="AJ76" s="20" t="str">
        <f t="shared" si="6"/>
        <v>Marketplace</v>
      </c>
      <c r="AK76" s="20" t="str">
        <f t="shared" si="6"/>
        <v/>
      </c>
      <c r="AL76" s="14" t="s">
        <v>3583</v>
      </c>
      <c r="AM76" s="14"/>
      <c r="AO76" s="14"/>
      <c r="AP76" s="14" t="s">
        <v>6297</v>
      </c>
      <c r="AQ76" s="14" t="s">
        <v>6301</v>
      </c>
      <c r="AR76" s="14"/>
      <c r="AS76" s="14" t="s">
        <v>6302</v>
      </c>
      <c r="AT76" s="14" t="s">
        <v>6303</v>
      </c>
      <c r="AU76" s="14" t="s">
        <v>6304</v>
      </c>
      <c r="AV76" s="18"/>
      <c r="AW76" s="16"/>
      <c r="AX76" s="17"/>
      <c r="AY76" s="15" t="s">
        <v>3123</v>
      </c>
      <c r="AZ76" s="17"/>
      <c r="BA76" s="16"/>
      <c r="BB76" s="14"/>
      <c r="BC76" s="14"/>
      <c r="BD76" s="15" t="s">
        <v>3123</v>
      </c>
      <c r="BE76" s="14"/>
      <c r="BF76" s="17"/>
      <c r="BG76" s="16"/>
      <c r="BH76" s="14"/>
      <c r="BI76" s="15" t="s">
        <v>3123</v>
      </c>
      <c r="BJ76" s="14"/>
      <c r="BK76" s="17"/>
      <c r="BL76" s="16"/>
      <c r="BM76" s="16"/>
      <c r="BN76" s="16"/>
      <c r="BO76" s="16"/>
      <c r="BP76" s="15" t="s">
        <v>3123</v>
      </c>
      <c r="BQ76" s="17"/>
      <c r="BR76" s="14"/>
      <c r="BS76" s="14"/>
      <c r="BT76" s="16"/>
      <c r="BU76" s="16"/>
      <c r="BV76" s="13"/>
      <c r="BW76" s="18" t="s">
        <v>6305</v>
      </c>
      <c r="BX76" s="13">
        <v>200</v>
      </c>
      <c r="BY76" s="17">
        <v>44129</v>
      </c>
      <c r="BZ76" s="18" t="s">
        <v>6306</v>
      </c>
      <c r="CA76" s="18" t="s">
        <v>6307</v>
      </c>
      <c r="CB76" s="18" t="s">
        <v>6308</v>
      </c>
      <c r="CC76" s="18"/>
      <c r="CD76" s="14" t="s">
        <v>6309</v>
      </c>
      <c r="CE76" s="17">
        <v>43396</v>
      </c>
      <c r="CF76" s="16"/>
      <c r="CG76" s="17"/>
      <c r="CH76" s="16"/>
      <c r="CI76" s="17"/>
      <c r="CJ76" s="16"/>
      <c r="CK76" s="17"/>
      <c r="CL76" s="16"/>
      <c r="CM76" s="17"/>
      <c r="CN76" s="19">
        <v>32.863250105274844</v>
      </c>
      <c r="CO76" s="19"/>
      <c r="CP76" s="17"/>
      <c r="CQ76" s="14" t="s">
        <v>5247</v>
      </c>
      <c r="CR76" s="14" t="s">
        <v>6310</v>
      </c>
      <c r="CS76" s="14" t="s">
        <v>5521</v>
      </c>
    </row>
    <row r="77" spans="1:97" ht="26.15" customHeight="1">
      <c r="A77" s="2">
        <v>446</v>
      </c>
      <c r="B77" s="25" t="s">
        <v>2668</v>
      </c>
      <c r="C77" s="25" t="str">
        <f>VLOOKUP(B77, Sheet6!$A$1:$B$77, 2, FALSE)</f>
        <v>Yes</v>
      </c>
      <c r="D77" s="25" t="s">
        <v>2669</v>
      </c>
      <c r="E77" s="25" t="s">
        <v>2670</v>
      </c>
      <c r="F77" s="25" t="s">
        <v>9594</v>
      </c>
      <c r="G77" s="25" t="s">
        <v>10955</v>
      </c>
      <c r="H77" s="25" t="s">
        <v>10967</v>
      </c>
      <c r="I77" s="25" t="s">
        <v>10558</v>
      </c>
      <c r="J77" s="25" t="s">
        <v>10718</v>
      </c>
      <c r="L77" s="13">
        <v>2015</v>
      </c>
      <c r="M77" s="14" t="s">
        <v>6326</v>
      </c>
      <c r="N77" s="14" t="s">
        <v>5207</v>
      </c>
      <c r="O77" s="14" t="s">
        <v>5208</v>
      </c>
      <c r="P77" s="15" t="s">
        <v>3117</v>
      </c>
      <c r="Q77" s="16">
        <v>2955090</v>
      </c>
      <c r="R77" s="17">
        <v>44092</v>
      </c>
      <c r="S77" s="16" t="s">
        <v>5069</v>
      </c>
      <c r="T77" s="16">
        <v>2955090</v>
      </c>
      <c r="U77" s="14" t="s">
        <v>34</v>
      </c>
      <c r="V77" s="13">
        <v>4</v>
      </c>
      <c r="W77" s="17">
        <v>44098</v>
      </c>
      <c r="X77" s="14"/>
      <c r="Y77" s="17"/>
      <c r="Z77" s="17"/>
      <c r="AA77" s="14" t="s">
        <v>1</v>
      </c>
      <c r="AB77" s="14" t="s">
        <v>5007</v>
      </c>
      <c r="AC77" s="14" t="s">
        <v>5238</v>
      </c>
      <c r="AD77" s="20" t="str">
        <f t="shared" si="5"/>
        <v>Crop Tech &gt; Indoor Farming &gt; Hydroponics</v>
      </c>
      <c r="AE77" s="20" t="str">
        <f t="shared" si="3"/>
        <v>Crop Tech</v>
      </c>
      <c r="AF77" s="20" t="str">
        <f t="shared" si="6"/>
        <v>Indoor Farming</v>
      </c>
      <c r="AG77" s="20" t="str">
        <f t="shared" si="6"/>
        <v>Hydroponics</v>
      </c>
      <c r="AH77" s="20" t="str">
        <f t="shared" si="6"/>
        <v/>
      </c>
      <c r="AI77" s="20" t="str">
        <f t="shared" si="6"/>
        <v/>
      </c>
      <c r="AJ77" s="20" t="str">
        <f t="shared" si="6"/>
        <v/>
      </c>
      <c r="AK77" s="20" t="str">
        <f t="shared" si="6"/>
        <v/>
      </c>
      <c r="AL77" s="14" t="s">
        <v>142</v>
      </c>
      <c r="AM77" s="14"/>
      <c r="AO77" s="14"/>
      <c r="AP77" s="14" t="s">
        <v>5208</v>
      </c>
      <c r="AQ77" s="14"/>
      <c r="AR77" s="14"/>
      <c r="AS77" s="14" t="s">
        <v>6328</v>
      </c>
      <c r="AT77" s="14" t="s">
        <v>6329</v>
      </c>
      <c r="AU77" s="14" t="s">
        <v>6330</v>
      </c>
      <c r="AV77" s="18"/>
      <c r="AW77" s="16"/>
      <c r="AX77" s="17"/>
      <c r="AY77" s="15" t="s">
        <v>3123</v>
      </c>
      <c r="AZ77" s="17"/>
      <c r="BA77" s="16"/>
      <c r="BB77" s="14"/>
      <c r="BC77" s="14"/>
      <c r="BD77" s="15" t="s">
        <v>3123</v>
      </c>
      <c r="BE77" s="14"/>
      <c r="BF77" s="17"/>
      <c r="BG77" s="16"/>
      <c r="BH77" s="14"/>
      <c r="BI77" s="15" t="s">
        <v>3123</v>
      </c>
      <c r="BJ77" s="14"/>
      <c r="BK77" s="17"/>
      <c r="BL77" s="16"/>
      <c r="BM77" s="16"/>
      <c r="BN77" s="16"/>
      <c r="BO77" s="16"/>
      <c r="BP77" s="15" t="s">
        <v>3123</v>
      </c>
      <c r="BQ77" s="17"/>
      <c r="BR77" s="14"/>
      <c r="BS77" s="14"/>
      <c r="BT77" s="16"/>
      <c r="BU77" s="16"/>
      <c r="BV77" s="13"/>
      <c r="BW77" s="18" t="s">
        <v>6331</v>
      </c>
      <c r="BX77" s="13">
        <v>200</v>
      </c>
      <c r="BY77" s="17">
        <v>44129</v>
      </c>
      <c r="BZ77" s="18" t="s">
        <v>6332</v>
      </c>
      <c r="CA77" s="18"/>
      <c r="CB77" s="18" t="s">
        <v>6333</v>
      </c>
      <c r="CC77" s="18"/>
      <c r="CD77" s="14" t="s">
        <v>6334</v>
      </c>
      <c r="CE77" s="17">
        <v>44095</v>
      </c>
      <c r="CF77" s="16"/>
      <c r="CG77" s="17"/>
      <c r="CH77" s="16"/>
      <c r="CI77" s="17"/>
      <c r="CJ77" s="16"/>
      <c r="CK77" s="17"/>
      <c r="CL77" s="16"/>
      <c r="CM77" s="17"/>
      <c r="CN77" s="19">
        <v>19.042544902979508</v>
      </c>
      <c r="CO77" s="19"/>
      <c r="CP77" s="17"/>
      <c r="CQ77" s="14" t="s">
        <v>5247</v>
      </c>
      <c r="CR77" s="14" t="s">
        <v>5753</v>
      </c>
      <c r="CS77" s="14" t="s">
        <v>5004</v>
      </c>
    </row>
    <row r="78" spans="1:97" ht="26.15" customHeight="1">
      <c r="A78" s="2">
        <v>507</v>
      </c>
      <c r="B78" s="25" t="s">
        <v>2849</v>
      </c>
      <c r="C78" s="25" t="str">
        <f>VLOOKUP(B78, Sheet6!$A$1:$B$77, 2, FALSE)</f>
        <v>Yes</v>
      </c>
      <c r="D78" s="25" t="s">
        <v>2850</v>
      </c>
      <c r="E78" s="25" t="s">
        <v>2852</v>
      </c>
      <c r="F78" s="25" t="s">
        <v>10033</v>
      </c>
      <c r="G78" s="25" t="s">
        <v>10955</v>
      </c>
      <c r="H78" s="25" t="s">
        <v>10558</v>
      </c>
      <c r="I78" s="25" t="s">
        <v>10558</v>
      </c>
      <c r="J78" s="25" t="s">
        <v>10821</v>
      </c>
      <c r="L78" s="13">
        <v>2015</v>
      </c>
      <c r="M78" s="14" t="s">
        <v>5206</v>
      </c>
      <c r="N78" s="14" t="s">
        <v>5207</v>
      </c>
      <c r="O78" s="14" t="s">
        <v>5208</v>
      </c>
      <c r="P78" s="15" t="s">
        <v>3117</v>
      </c>
      <c r="Q78" s="16">
        <v>1475750</v>
      </c>
      <c r="R78" s="17">
        <v>43368</v>
      </c>
      <c r="S78" s="16" t="s">
        <v>5134</v>
      </c>
      <c r="T78" s="16">
        <v>1475750</v>
      </c>
      <c r="U78" s="14" t="s">
        <v>34</v>
      </c>
      <c r="V78" s="13">
        <v>3</v>
      </c>
      <c r="W78" s="17">
        <v>44081</v>
      </c>
      <c r="X78" s="14"/>
      <c r="Y78" s="17"/>
      <c r="Z78" s="17"/>
      <c r="AA78" s="14" t="s">
        <v>5947</v>
      </c>
      <c r="AB78" s="14" t="s">
        <v>6335</v>
      </c>
      <c r="AC78" s="14" t="s">
        <v>6336</v>
      </c>
      <c r="AD78" s="20" t="str">
        <f t="shared" si="5"/>
        <v>Field Force Automation &gt; Agricultural industry
Crop Tech &gt; Farm Management Software &gt; Diversified</v>
      </c>
      <c r="AE78" s="20" t="str">
        <f t="shared" si="3"/>
        <v>Field Force Automation</v>
      </c>
      <c r="AF78" s="20" t="str">
        <f t="shared" si="6"/>
        <v>Agricultural industry
Crop Tech</v>
      </c>
      <c r="AG78" s="20" t="str">
        <f t="shared" si="6"/>
        <v>Farm Management Software</v>
      </c>
      <c r="AH78" s="20" t="str">
        <f t="shared" si="6"/>
        <v>Diversified</v>
      </c>
      <c r="AI78" s="20" t="str">
        <f t="shared" si="6"/>
        <v/>
      </c>
      <c r="AJ78" s="20" t="str">
        <f t="shared" si="6"/>
        <v/>
      </c>
      <c r="AK78" s="20" t="str">
        <f t="shared" si="6"/>
        <v/>
      </c>
      <c r="AL78" s="14" t="s">
        <v>3973</v>
      </c>
      <c r="AM78" s="14"/>
      <c r="AO78" s="14"/>
      <c r="AP78" s="14" t="s">
        <v>5208</v>
      </c>
      <c r="AQ78" s="14"/>
      <c r="AR78" s="14"/>
      <c r="AS78" s="14"/>
      <c r="AT78" s="14"/>
      <c r="AU78" s="14"/>
      <c r="AV78" s="18"/>
      <c r="AW78" s="16"/>
      <c r="AX78" s="17"/>
      <c r="AY78" s="15" t="s">
        <v>3123</v>
      </c>
      <c r="AZ78" s="17"/>
      <c r="BA78" s="16"/>
      <c r="BB78" s="14"/>
      <c r="BC78" s="14"/>
      <c r="BD78" s="15" t="s">
        <v>3123</v>
      </c>
      <c r="BE78" s="14"/>
      <c r="BF78" s="17"/>
      <c r="BG78" s="16"/>
      <c r="BH78" s="14"/>
      <c r="BI78" s="15" t="s">
        <v>3123</v>
      </c>
      <c r="BJ78" s="14"/>
      <c r="BK78" s="17"/>
      <c r="BL78" s="16"/>
      <c r="BM78" s="16"/>
      <c r="BN78" s="16"/>
      <c r="BO78" s="16"/>
      <c r="BP78" s="15" t="s">
        <v>3123</v>
      </c>
      <c r="BQ78" s="17"/>
      <c r="BR78" s="14"/>
      <c r="BS78" s="14"/>
      <c r="BT78" s="16"/>
      <c r="BU78" s="16"/>
      <c r="BV78" s="13"/>
      <c r="BW78" s="18" t="s">
        <v>6338</v>
      </c>
      <c r="BX78" s="13">
        <v>200</v>
      </c>
      <c r="BY78" s="17">
        <v>44129</v>
      </c>
      <c r="BZ78" s="18" t="s">
        <v>6339</v>
      </c>
      <c r="CA78" s="18"/>
      <c r="CB78" s="18" t="s">
        <v>6340</v>
      </c>
      <c r="CC78" s="18"/>
      <c r="CD78" s="14" t="s">
        <v>6341</v>
      </c>
      <c r="CE78" s="17">
        <v>43424</v>
      </c>
      <c r="CF78" s="16"/>
      <c r="CG78" s="17"/>
      <c r="CH78" s="16"/>
      <c r="CI78" s="17"/>
      <c r="CJ78" s="16"/>
      <c r="CK78" s="17"/>
      <c r="CL78" s="16"/>
      <c r="CM78" s="17"/>
      <c r="CN78" s="19">
        <v>19.702308241022962</v>
      </c>
      <c r="CO78" s="19"/>
      <c r="CP78" s="17"/>
      <c r="CQ78" s="14" t="s">
        <v>5309</v>
      </c>
      <c r="CR78" s="14" t="s">
        <v>5310</v>
      </c>
      <c r="CS78" s="14" t="s">
        <v>5311</v>
      </c>
    </row>
    <row r="79" spans="1:97" ht="26.15" customHeight="1">
      <c r="A79" s="2">
        <v>41</v>
      </c>
      <c r="B79" s="25" t="s">
        <v>473</v>
      </c>
      <c r="C79" s="25" t="str">
        <f>VLOOKUP(B79, Sheet6!$A$1:$B$77, 2, FALSE)</f>
        <v>Yes</v>
      </c>
      <c r="D79" s="25" t="s">
        <v>474</v>
      </c>
      <c r="E79" s="25" t="s">
        <v>475</v>
      </c>
      <c r="F79" s="25" t="s">
        <v>5547</v>
      </c>
      <c r="G79" s="25" t="s">
        <v>10955</v>
      </c>
      <c r="H79" s="25" t="s">
        <v>10957</v>
      </c>
      <c r="I79" s="25" t="s">
        <v>10958</v>
      </c>
      <c r="J79" s="26" t="s">
        <v>10821</v>
      </c>
      <c r="L79" s="13">
        <v>2016</v>
      </c>
      <c r="M79" s="14" t="s">
        <v>4993</v>
      </c>
      <c r="N79" s="14" t="s">
        <v>4994</v>
      </c>
      <c r="O79" s="14" t="s">
        <v>2057</v>
      </c>
      <c r="P79" s="15" t="s">
        <v>3117</v>
      </c>
      <c r="Q79" s="16">
        <v>17346190</v>
      </c>
      <c r="R79" s="17">
        <v>43070</v>
      </c>
      <c r="S79" s="16" t="s">
        <v>5165</v>
      </c>
      <c r="T79" s="16">
        <v>10000000</v>
      </c>
      <c r="U79" s="14" t="s">
        <v>109</v>
      </c>
      <c r="V79" s="13">
        <v>3</v>
      </c>
      <c r="W79" s="17">
        <v>44008</v>
      </c>
      <c r="X79" s="14"/>
      <c r="Y79" s="17"/>
      <c r="Z79" s="17"/>
      <c r="AA79" s="14" t="s">
        <v>1</v>
      </c>
      <c r="AB79" s="14" t="s">
        <v>5007</v>
      </c>
      <c r="AC79" s="14" t="s">
        <v>257</v>
      </c>
      <c r="AD79" s="20" t="str">
        <f t="shared" si="5"/>
        <v>Crop Tech &gt; Farming as a Service &gt; Tech Enabled Services</v>
      </c>
      <c r="AE79" s="20" t="str">
        <f t="shared" si="3"/>
        <v>Crop Tech</v>
      </c>
      <c r="AF79" s="20" t="str">
        <f t="shared" si="6"/>
        <v>Farming as a Service</v>
      </c>
      <c r="AG79" s="20" t="str">
        <f t="shared" si="6"/>
        <v>Tech Enabled Services</v>
      </c>
      <c r="AH79" s="20" t="str">
        <f t="shared" si="6"/>
        <v/>
      </c>
      <c r="AI79" s="20" t="str">
        <f t="shared" si="6"/>
        <v/>
      </c>
      <c r="AJ79" s="20" t="str">
        <f t="shared" si="6"/>
        <v/>
      </c>
      <c r="AK79" s="20" t="str">
        <f t="shared" si="6"/>
        <v/>
      </c>
      <c r="AL79" s="14" t="s">
        <v>6342</v>
      </c>
      <c r="AM79" s="14"/>
      <c r="AO79" s="14"/>
      <c r="AP79" s="14" t="s">
        <v>2057</v>
      </c>
      <c r="AQ79" s="14" t="s">
        <v>6344</v>
      </c>
      <c r="AR79" s="14" t="s">
        <v>6345</v>
      </c>
      <c r="AS79" s="14" t="s">
        <v>6346</v>
      </c>
      <c r="AT79" s="14"/>
      <c r="AU79" s="14"/>
      <c r="AV79" s="18"/>
      <c r="AW79" s="16"/>
      <c r="AX79" s="17"/>
      <c r="AY79" s="15" t="s">
        <v>3123</v>
      </c>
      <c r="AZ79" s="17"/>
      <c r="BA79" s="16"/>
      <c r="BB79" s="14"/>
      <c r="BC79" s="14" t="s">
        <v>6347</v>
      </c>
      <c r="BD79" s="15" t="s">
        <v>3123</v>
      </c>
      <c r="BE79" s="14"/>
      <c r="BF79" s="17"/>
      <c r="BG79" s="16"/>
      <c r="BH79" s="14"/>
      <c r="BI79" s="15" t="s">
        <v>3123</v>
      </c>
      <c r="BJ79" s="14"/>
      <c r="BK79" s="17"/>
      <c r="BL79" s="16"/>
      <c r="BM79" s="16"/>
      <c r="BN79" s="16"/>
      <c r="BO79" s="16"/>
      <c r="BP79" s="15" t="s">
        <v>3123</v>
      </c>
      <c r="BQ79" s="17"/>
      <c r="BR79" s="14"/>
      <c r="BS79" s="14"/>
      <c r="BT79" s="16"/>
      <c r="BU79" s="16"/>
      <c r="BV79" s="13"/>
      <c r="BW79" s="18" t="s">
        <v>6348</v>
      </c>
      <c r="BX79" s="13">
        <v>200</v>
      </c>
      <c r="BY79" s="17">
        <v>44129</v>
      </c>
      <c r="BZ79" s="18"/>
      <c r="CA79" s="18"/>
      <c r="CB79" s="18"/>
      <c r="CC79" s="18"/>
      <c r="CD79" s="14" t="s">
        <v>6349</v>
      </c>
      <c r="CE79" s="17">
        <v>43019</v>
      </c>
      <c r="CF79" s="16"/>
      <c r="CG79" s="17"/>
      <c r="CH79" s="16"/>
      <c r="CI79" s="17"/>
      <c r="CJ79" s="16"/>
      <c r="CK79" s="17"/>
      <c r="CL79" s="16"/>
      <c r="CM79" s="17"/>
      <c r="CN79" s="19">
        <v>43.138286669830997</v>
      </c>
      <c r="CO79" s="19"/>
      <c r="CP79" s="17"/>
      <c r="CQ79" s="14" t="s">
        <v>6350</v>
      </c>
      <c r="CR79" s="14" t="s">
        <v>6351</v>
      </c>
      <c r="CS79" s="14" t="s">
        <v>5004</v>
      </c>
    </row>
    <row r="80" spans="1:97" ht="26.15" customHeight="1">
      <c r="A80" s="54">
        <v>23</v>
      </c>
      <c r="B80" s="51" t="s">
        <v>1407</v>
      </c>
      <c r="C80" s="25" t="str">
        <f>VLOOKUP(B80, Sheet6!$A$1:$B$77, 2, FALSE)</f>
        <v>Yes</v>
      </c>
      <c r="D80" s="51" t="s">
        <v>1408</v>
      </c>
      <c r="E80" s="51" t="s">
        <v>1409</v>
      </c>
      <c r="F80" s="51" t="s">
        <v>5318</v>
      </c>
      <c r="G80" s="25" t="s">
        <v>10955</v>
      </c>
      <c r="H80" s="25" t="s">
        <v>10959</v>
      </c>
      <c r="I80" s="25" t="s">
        <v>10958</v>
      </c>
      <c r="J80" s="52" t="s">
        <v>10715</v>
      </c>
      <c r="L80" s="13">
        <v>2016</v>
      </c>
      <c r="M80" s="14" t="s">
        <v>6366</v>
      </c>
      <c r="N80" s="14" t="s">
        <v>5276</v>
      </c>
      <c r="O80" s="14" t="s">
        <v>5277</v>
      </c>
      <c r="P80" s="15" t="s">
        <v>3117</v>
      </c>
      <c r="Q80" s="16"/>
      <c r="R80" s="17">
        <v>43635</v>
      </c>
      <c r="S80" s="16"/>
      <c r="T80" s="16" t="s">
        <v>50</v>
      </c>
      <c r="U80" s="14" t="s">
        <v>34</v>
      </c>
      <c r="V80" s="13">
        <v>3</v>
      </c>
      <c r="W80" s="17">
        <v>44011</v>
      </c>
      <c r="X80" s="14"/>
      <c r="Y80" s="17"/>
      <c r="Z80" s="17"/>
      <c r="AA80" s="14" t="s">
        <v>6367</v>
      </c>
      <c r="AB80" s="14" t="s">
        <v>6368</v>
      </c>
      <c r="AC80" s="14" t="s">
        <v>6369</v>
      </c>
      <c r="AD80" s="20" t="str">
        <f t="shared" si="5"/>
        <v>Crowdfunding &gt; Revenue Sharing &gt; Agriculture
Islamic FinTech &gt; Crowdfunding &gt; Revenue Sharing &gt; Livestock
Crop Tech &gt; Finance &gt; Crowdfunding
Aquaculture Tech &gt; Online Investment Platforms</v>
      </c>
      <c r="AE80" s="20" t="str">
        <f t="shared" si="3"/>
        <v>Crowdfunding</v>
      </c>
      <c r="AF80" s="20" t="str">
        <f t="shared" si="6"/>
        <v>Revenue Sharing</v>
      </c>
      <c r="AG80" s="20" t="str">
        <f t="shared" si="6"/>
        <v>Agriculture
Islamic FinTech</v>
      </c>
      <c r="AH80" s="20" t="str">
        <f t="shared" si="6"/>
        <v>Crowdfunding</v>
      </c>
      <c r="AI80" s="20" t="str">
        <f t="shared" si="6"/>
        <v>Revenue Sharing</v>
      </c>
      <c r="AJ80" s="20" t="str">
        <f t="shared" si="6"/>
        <v>Livestock
Crop Tech</v>
      </c>
      <c r="AK80" s="20" t="str">
        <f t="shared" si="6"/>
        <v>Finance</v>
      </c>
      <c r="AL80" s="14" t="s">
        <v>832</v>
      </c>
      <c r="AM80" s="14"/>
      <c r="AO80" s="14"/>
      <c r="AP80" s="14" t="s">
        <v>5277</v>
      </c>
      <c r="AQ80" s="14" t="s">
        <v>6371</v>
      </c>
      <c r="AR80" s="14"/>
      <c r="AS80" s="14" t="s">
        <v>6372</v>
      </c>
      <c r="AT80" s="14" t="s">
        <v>6373</v>
      </c>
      <c r="AU80" s="14" t="s">
        <v>6374</v>
      </c>
      <c r="AV80" s="18"/>
      <c r="AW80" s="16"/>
      <c r="AX80" s="17"/>
      <c r="AY80" s="15" t="s">
        <v>3123</v>
      </c>
      <c r="AZ80" s="17"/>
      <c r="BA80" s="16"/>
      <c r="BB80" s="14"/>
      <c r="BC80" s="14"/>
      <c r="BD80" s="15" t="s">
        <v>3123</v>
      </c>
      <c r="BE80" s="14"/>
      <c r="BF80" s="17"/>
      <c r="BG80" s="16"/>
      <c r="BH80" s="14"/>
      <c r="BI80" s="15" t="s">
        <v>3123</v>
      </c>
      <c r="BJ80" s="14"/>
      <c r="BK80" s="17"/>
      <c r="BL80" s="16"/>
      <c r="BM80" s="16"/>
      <c r="BN80" s="16"/>
      <c r="BO80" s="16"/>
      <c r="BP80" s="15" t="s">
        <v>3123</v>
      </c>
      <c r="BQ80" s="17"/>
      <c r="BR80" s="14"/>
      <c r="BS80" s="14"/>
      <c r="BT80" s="16"/>
      <c r="BU80" s="16"/>
      <c r="BV80" s="13"/>
      <c r="BW80" s="18" t="s">
        <v>6375</v>
      </c>
      <c r="BX80" s="13">
        <v>200</v>
      </c>
      <c r="BY80" s="17">
        <v>44129</v>
      </c>
      <c r="BZ80" s="18" t="s">
        <v>6376</v>
      </c>
      <c r="CA80" s="18"/>
      <c r="CB80" s="18" t="s">
        <v>6377</v>
      </c>
      <c r="CC80" s="18" t="s">
        <v>6378</v>
      </c>
      <c r="CD80" s="14" t="s">
        <v>6379</v>
      </c>
      <c r="CE80" s="17">
        <v>43691</v>
      </c>
      <c r="CF80" s="16"/>
      <c r="CG80" s="17"/>
      <c r="CH80" s="16"/>
      <c r="CI80" s="17"/>
      <c r="CJ80" s="16"/>
      <c r="CK80" s="17"/>
      <c r="CL80" s="16"/>
      <c r="CM80" s="17"/>
      <c r="CN80" s="19">
        <v>12.315034821299548</v>
      </c>
      <c r="CO80" s="19"/>
      <c r="CP80" s="17"/>
      <c r="CQ80" s="14" t="s">
        <v>5104</v>
      </c>
      <c r="CR80" s="14" t="s">
        <v>5037</v>
      </c>
      <c r="CS80" s="14" t="s">
        <v>5004</v>
      </c>
    </row>
    <row r="81" spans="1:97" ht="26.15" customHeight="1">
      <c r="A81" s="2">
        <v>112</v>
      </c>
      <c r="B81" s="25" t="s">
        <v>185</v>
      </c>
      <c r="C81" s="25" t="str">
        <f>VLOOKUP(B81, Sheet6!$A$1:$B$77, 2, FALSE)</f>
        <v>Yes</v>
      </c>
      <c r="D81" s="25" t="s">
        <v>186</v>
      </c>
      <c r="E81" s="25" t="s">
        <v>189</v>
      </c>
      <c r="F81" s="25" t="s">
        <v>6465</v>
      </c>
      <c r="G81" s="25" t="s">
        <v>10955</v>
      </c>
      <c r="H81" s="25" t="s">
        <v>10959</v>
      </c>
      <c r="I81" s="25" t="s">
        <v>10958</v>
      </c>
      <c r="J81" s="26" t="s">
        <v>10821</v>
      </c>
      <c r="L81" s="13">
        <v>2016</v>
      </c>
      <c r="M81" s="14" t="s">
        <v>6392</v>
      </c>
      <c r="N81" s="14" t="s">
        <v>6392</v>
      </c>
      <c r="O81" s="14" t="s">
        <v>6393</v>
      </c>
      <c r="P81" s="15" t="s">
        <v>3117</v>
      </c>
      <c r="Q81" s="16">
        <v>100000</v>
      </c>
      <c r="R81" s="17">
        <v>43405</v>
      </c>
      <c r="S81" s="16" t="s">
        <v>5252</v>
      </c>
      <c r="T81" s="16">
        <v>100000</v>
      </c>
      <c r="U81" s="14" t="s">
        <v>34</v>
      </c>
      <c r="V81" s="13">
        <v>4</v>
      </c>
      <c r="W81" s="17">
        <v>44011</v>
      </c>
      <c r="X81" s="14"/>
      <c r="Y81" s="17"/>
      <c r="Z81" s="17"/>
      <c r="AA81" s="14" t="s">
        <v>6394</v>
      </c>
      <c r="AB81" s="14" t="s">
        <v>6395</v>
      </c>
      <c r="AC81" s="14" t="s">
        <v>6396</v>
      </c>
      <c r="AD81" s="20" t="str">
        <f t="shared" si="5"/>
        <v>Alternative Lending &gt; Online Lenders &gt; Consumer Loans &gt; Farm Loans &gt; Marketplace
Investment Tech &gt; Alternative Investment Platforms &gt; Equity Crowdfunding &gt; Agriculture
Crowdfunding &gt; Equity &gt; Agriculture
Crop Tech &gt; Finance &gt; Crowdfunding</v>
      </c>
      <c r="AE81" s="20" t="str">
        <f t="shared" si="3"/>
        <v>Alternative Lending</v>
      </c>
      <c r="AF81" s="20" t="str">
        <f t="shared" si="6"/>
        <v>Online Lenders</v>
      </c>
      <c r="AG81" s="20" t="str">
        <f t="shared" si="6"/>
        <v>Consumer Loans</v>
      </c>
      <c r="AH81" s="20" t="str">
        <f t="shared" si="6"/>
        <v>Farm Loans</v>
      </c>
      <c r="AI81" s="20" t="str">
        <f t="shared" si="6"/>
        <v>Marketplace
Investment Tech</v>
      </c>
      <c r="AJ81" s="20" t="str">
        <f t="shared" si="6"/>
        <v>Alternative Investment Platforms</v>
      </c>
      <c r="AK81" s="20" t="str">
        <f t="shared" si="6"/>
        <v>Equity Crowdfunding</v>
      </c>
      <c r="AL81" s="14" t="s">
        <v>1375</v>
      </c>
      <c r="AM81" s="14"/>
      <c r="AO81" s="14"/>
      <c r="AP81" s="14" t="s">
        <v>6393</v>
      </c>
      <c r="AQ81" s="14" t="s">
        <v>6398</v>
      </c>
      <c r="AR81" s="14" t="s">
        <v>6399</v>
      </c>
      <c r="AS81" s="14" t="s">
        <v>6400</v>
      </c>
      <c r="AT81" s="14"/>
      <c r="AU81" s="14" t="s">
        <v>6401</v>
      </c>
      <c r="AV81" s="18"/>
      <c r="AW81" s="16"/>
      <c r="AX81" s="17"/>
      <c r="AY81" s="15" t="s">
        <v>3123</v>
      </c>
      <c r="AZ81" s="17"/>
      <c r="BA81" s="16"/>
      <c r="BB81" s="14"/>
      <c r="BC81" s="14"/>
      <c r="BD81" s="15" t="s">
        <v>3123</v>
      </c>
      <c r="BE81" s="14"/>
      <c r="BF81" s="17"/>
      <c r="BG81" s="16"/>
      <c r="BH81" s="14"/>
      <c r="BI81" s="15" t="s">
        <v>3123</v>
      </c>
      <c r="BJ81" s="14"/>
      <c r="BK81" s="17"/>
      <c r="BL81" s="16"/>
      <c r="BM81" s="16"/>
      <c r="BN81" s="16"/>
      <c r="BO81" s="16"/>
      <c r="BP81" s="15" t="s">
        <v>3123</v>
      </c>
      <c r="BQ81" s="17"/>
      <c r="BR81" s="14"/>
      <c r="BS81" s="14"/>
      <c r="BT81" s="16"/>
      <c r="BU81" s="16"/>
      <c r="BV81" s="13"/>
      <c r="BW81" s="18" t="s">
        <v>6402</v>
      </c>
      <c r="BX81" s="13">
        <v>200</v>
      </c>
      <c r="BY81" s="17">
        <v>44129</v>
      </c>
      <c r="BZ81" s="18" t="s">
        <v>6403</v>
      </c>
      <c r="CA81" s="18" t="s">
        <v>6404</v>
      </c>
      <c r="CB81" s="18" t="s">
        <v>6405</v>
      </c>
      <c r="CC81" s="18"/>
      <c r="CD81" s="14" t="s">
        <v>6406</v>
      </c>
      <c r="CE81" s="17">
        <v>43594</v>
      </c>
      <c r="CF81" s="16"/>
      <c r="CG81" s="17"/>
      <c r="CH81" s="16"/>
      <c r="CI81" s="17"/>
      <c r="CJ81" s="16"/>
      <c r="CK81" s="17"/>
      <c r="CL81" s="16"/>
      <c r="CM81" s="17"/>
      <c r="CN81" s="19">
        <v>33.717929586693558</v>
      </c>
      <c r="CO81" s="19"/>
      <c r="CP81" s="17"/>
      <c r="CQ81" s="14" t="s">
        <v>6407</v>
      </c>
      <c r="CR81" s="14" t="s">
        <v>5628</v>
      </c>
      <c r="CS81" s="14" t="s">
        <v>5311</v>
      </c>
    </row>
    <row r="82" spans="1:97" ht="26.15" customHeight="1">
      <c r="A82" s="2">
        <v>267</v>
      </c>
      <c r="B82" s="25" t="s">
        <v>1265</v>
      </c>
      <c r="C82" s="25" t="str">
        <f>VLOOKUP(B82, Sheet6!$A$1:$B$77, 2, FALSE)</f>
        <v>Yes</v>
      </c>
      <c r="D82" s="25" t="s">
        <v>1266</v>
      </c>
      <c r="E82" s="25" t="s">
        <v>1268</v>
      </c>
      <c r="F82" s="25" t="s">
        <v>8390</v>
      </c>
      <c r="G82" s="25" t="s">
        <v>10955</v>
      </c>
      <c r="H82" s="25" t="s">
        <v>10957</v>
      </c>
      <c r="I82" s="25" t="s">
        <v>10958</v>
      </c>
      <c r="J82" s="26" t="s">
        <v>10821</v>
      </c>
      <c r="L82" s="13">
        <v>2015</v>
      </c>
      <c r="M82" s="14" t="s">
        <v>5067</v>
      </c>
      <c r="N82" s="14" t="s">
        <v>5068</v>
      </c>
      <c r="O82" s="14" t="s">
        <v>3994</v>
      </c>
      <c r="P82" s="15" t="s">
        <v>3117</v>
      </c>
      <c r="Q82" s="16">
        <v>4000000</v>
      </c>
      <c r="R82" s="17">
        <v>43789</v>
      </c>
      <c r="S82" s="16" t="s">
        <v>5456</v>
      </c>
      <c r="T82" s="16">
        <v>4000000</v>
      </c>
      <c r="U82" s="14" t="s">
        <v>109</v>
      </c>
      <c r="V82" s="13">
        <v>4</v>
      </c>
      <c r="W82" s="17">
        <v>44003</v>
      </c>
      <c r="X82" s="14"/>
      <c r="Y82" s="17"/>
      <c r="Z82" s="17"/>
      <c r="AA82" s="14" t="s">
        <v>5315</v>
      </c>
      <c r="AB82" s="14" t="s">
        <v>5316</v>
      </c>
      <c r="AC82" s="14" t="s">
        <v>5317</v>
      </c>
      <c r="AD82" s="20" t="str">
        <f t="shared" si="5"/>
        <v>Crop Tech &gt; Farm Inputs &gt; Biologicals &gt; Crop Protection &gt; Plant Based
Chemicals Tech &gt; Green Chemicals &gt; Crop Protection &gt; Plant Based</v>
      </c>
      <c r="AE82" s="20" t="str">
        <f t="shared" si="3"/>
        <v>Crop Tech</v>
      </c>
      <c r="AF82" s="20" t="str">
        <f t="shared" si="6"/>
        <v>Farm Inputs</v>
      </c>
      <c r="AG82" s="20" t="str">
        <f t="shared" si="6"/>
        <v>Biologicals</v>
      </c>
      <c r="AH82" s="20" t="str">
        <f t="shared" si="6"/>
        <v>Crop Protection</v>
      </c>
      <c r="AI82" s="20" t="str">
        <f t="shared" si="6"/>
        <v>Plant Based
Chemicals Tech</v>
      </c>
      <c r="AJ82" s="20" t="str">
        <f t="shared" si="6"/>
        <v>Green Chemicals</v>
      </c>
      <c r="AK82" s="20" t="str">
        <f t="shared" si="6"/>
        <v>Crop Protection</v>
      </c>
      <c r="AL82" s="14" t="s">
        <v>6420</v>
      </c>
      <c r="AM82" s="14" t="s">
        <v>6421</v>
      </c>
      <c r="AO82" s="14"/>
      <c r="AP82" s="14" t="s">
        <v>3994</v>
      </c>
      <c r="AQ82" s="14"/>
      <c r="AR82" s="14" t="s">
        <v>6423</v>
      </c>
      <c r="AS82" s="14" t="s">
        <v>6424</v>
      </c>
      <c r="AT82" s="14" t="s">
        <v>6425</v>
      </c>
      <c r="AU82" s="14" t="s">
        <v>6426</v>
      </c>
      <c r="AV82" s="18"/>
      <c r="AW82" s="16">
        <v>6700</v>
      </c>
      <c r="AX82" s="17">
        <v>43465</v>
      </c>
      <c r="AY82" s="15" t="s">
        <v>3123</v>
      </c>
      <c r="AZ82" s="17"/>
      <c r="BA82" s="16"/>
      <c r="BB82" s="14"/>
      <c r="BC82" s="14"/>
      <c r="BD82" s="15" t="s">
        <v>3123</v>
      </c>
      <c r="BE82" s="14"/>
      <c r="BF82" s="17"/>
      <c r="BG82" s="16"/>
      <c r="BH82" s="14"/>
      <c r="BI82" s="15" t="s">
        <v>3123</v>
      </c>
      <c r="BJ82" s="14"/>
      <c r="BK82" s="17"/>
      <c r="BL82" s="16"/>
      <c r="BM82" s="16"/>
      <c r="BN82" s="16"/>
      <c r="BO82" s="16"/>
      <c r="BP82" s="15" t="s">
        <v>3123</v>
      </c>
      <c r="BQ82" s="17"/>
      <c r="BR82" s="14"/>
      <c r="BS82" s="14"/>
      <c r="BT82" s="16"/>
      <c r="BU82" s="16"/>
      <c r="BV82" s="13"/>
      <c r="BW82" s="18" t="s">
        <v>6427</v>
      </c>
      <c r="BX82" s="13">
        <v>200</v>
      </c>
      <c r="BY82" s="17">
        <v>44128</v>
      </c>
      <c r="BZ82" s="18"/>
      <c r="CA82" s="18"/>
      <c r="CB82" s="18"/>
      <c r="CC82" s="18"/>
      <c r="CD82" s="14" t="s">
        <v>6428</v>
      </c>
      <c r="CE82" s="17">
        <v>43039</v>
      </c>
      <c r="CF82" s="16">
        <v>-11200</v>
      </c>
      <c r="CG82" s="17">
        <v>43465</v>
      </c>
      <c r="CH82" s="16">
        <v>-10500</v>
      </c>
      <c r="CI82" s="17">
        <v>43465</v>
      </c>
      <c r="CJ82" s="16">
        <v>3000000</v>
      </c>
      <c r="CK82" s="17">
        <v>43733</v>
      </c>
      <c r="CL82" s="16"/>
      <c r="CM82" s="17"/>
      <c r="CN82" s="19">
        <v>31.676319189800402</v>
      </c>
      <c r="CO82" s="19"/>
      <c r="CP82" s="17"/>
      <c r="CQ82" s="14" t="s">
        <v>5104</v>
      </c>
      <c r="CR82" s="14" t="s">
        <v>5037</v>
      </c>
      <c r="CS82" s="14" t="s">
        <v>5004</v>
      </c>
    </row>
    <row r="83" spans="1:97" ht="26.15" customHeight="1">
      <c r="A83" s="2">
        <v>354</v>
      </c>
      <c r="B83" s="25" t="s">
        <v>2377</v>
      </c>
      <c r="C83" s="25" t="str">
        <f>VLOOKUP(B83, Sheet6!$A$1:$B$77, 2, FALSE)</f>
        <v>Yes</v>
      </c>
      <c r="D83" s="25" t="s">
        <v>2378</v>
      </c>
      <c r="E83" s="25" t="s">
        <v>2380</v>
      </c>
      <c r="F83" s="25" t="s">
        <v>9093</v>
      </c>
      <c r="G83" s="25" t="s">
        <v>10955</v>
      </c>
      <c r="H83" s="25" t="s">
        <v>10967</v>
      </c>
      <c r="I83" s="25" t="s">
        <v>10558</v>
      </c>
      <c r="J83" s="25" t="s">
        <v>10821</v>
      </c>
      <c r="L83" s="13">
        <v>2013</v>
      </c>
      <c r="M83" s="14" t="s">
        <v>6438</v>
      </c>
      <c r="N83" s="14" t="s">
        <v>5190</v>
      </c>
      <c r="O83" s="14" t="s">
        <v>1258</v>
      </c>
      <c r="P83" s="15" t="s">
        <v>3117</v>
      </c>
      <c r="Q83" s="16"/>
      <c r="R83" s="17">
        <v>43326</v>
      </c>
      <c r="S83" s="16"/>
      <c r="T83" s="16" t="s">
        <v>50</v>
      </c>
      <c r="U83" s="14" t="s">
        <v>109</v>
      </c>
      <c r="V83" s="13">
        <v>4</v>
      </c>
      <c r="W83" s="17">
        <v>43965</v>
      </c>
      <c r="X83" s="14"/>
      <c r="Y83" s="17"/>
      <c r="Z83" s="17"/>
      <c r="AA83" s="14" t="s">
        <v>5315</v>
      </c>
      <c r="AB83" s="14" t="s">
        <v>5316</v>
      </c>
      <c r="AC83" s="14" t="s">
        <v>6439</v>
      </c>
      <c r="AD83" s="20" t="str">
        <f t="shared" si="5"/>
        <v>Crop Tech &gt; Farm Inputs &gt; Biologicals &gt; Crop Protection &gt; Microbes
Chemicals Tech &gt; Green Chemicals &gt; Crop Protection &gt; Microbes</v>
      </c>
      <c r="AE83" s="20" t="str">
        <f t="shared" si="3"/>
        <v>Crop Tech</v>
      </c>
      <c r="AF83" s="20" t="str">
        <f t="shared" si="6"/>
        <v>Farm Inputs</v>
      </c>
      <c r="AG83" s="20" t="str">
        <f t="shared" si="6"/>
        <v>Biologicals</v>
      </c>
      <c r="AH83" s="20" t="str">
        <f t="shared" si="6"/>
        <v>Crop Protection</v>
      </c>
      <c r="AI83" s="20" t="str">
        <f t="shared" si="6"/>
        <v>Microbes
Chemicals Tech</v>
      </c>
      <c r="AJ83" s="20" t="str">
        <f t="shared" si="6"/>
        <v>Green Chemicals</v>
      </c>
      <c r="AK83" s="20" t="str">
        <f t="shared" si="6"/>
        <v>Crop Protection</v>
      </c>
      <c r="AL83" s="14" t="s">
        <v>1486</v>
      </c>
      <c r="AM83" s="14"/>
      <c r="AO83" s="14"/>
      <c r="AP83" s="14" t="s">
        <v>1258</v>
      </c>
      <c r="AQ83" s="14" t="s">
        <v>6441</v>
      </c>
      <c r="AR83" s="14" t="s">
        <v>6442</v>
      </c>
      <c r="AS83" s="14" t="s">
        <v>6443</v>
      </c>
      <c r="AT83" s="14"/>
      <c r="AU83" s="14" t="s">
        <v>6444</v>
      </c>
      <c r="AV83" s="18"/>
      <c r="AW83" s="16"/>
      <c r="AX83" s="17"/>
      <c r="AY83" s="15" t="s">
        <v>3123</v>
      </c>
      <c r="AZ83" s="17"/>
      <c r="BA83" s="16"/>
      <c r="BB83" s="14"/>
      <c r="BC83" s="14"/>
      <c r="BD83" s="15" t="s">
        <v>3123</v>
      </c>
      <c r="BE83" s="14"/>
      <c r="BF83" s="17"/>
      <c r="BG83" s="16"/>
      <c r="BH83" s="14"/>
      <c r="BI83" s="15" t="s">
        <v>3123</v>
      </c>
      <c r="BJ83" s="14"/>
      <c r="BK83" s="17"/>
      <c r="BL83" s="16"/>
      <c r="BM83" s="16"/>
      <c r="BN83" s="16"/>
      <c r="BO83" s="16"/>
      <c r="BP83" s="15" t="s">
        <v>3123</v>
      </c>
      <c r="BQ83" s="17"/>
      <c r="BR83" s="14"/>
      <c r="BS83" s="14"/>
      <c r="BT83" s="16"/>
      <c r="BU83" s="16"/>
      <c r="BV83" s="13"/>
      <c r="BW83" s="18" t="s">
        <v>6445</v>
      </c>
      <c r="BX83" s="13">
        <v>503</v>
      </c>
      <c r="BY83" s="17">
        <v>44128</v>
      </c>
      <c r="BZ83" s="18" t="s">
        <v>6446</v>
      </c>
      <c r="CA83" s="18"/>
      <c r="CB83" s="18"/>
      <c r="CC83" s="18"/>
      <c r="CD83" s="14" t="s">
        <v>6447</v>
      </c>
      <c r="CE83" s="17">
        <v>43965</v>
      </c>
      <c r="CF83" s="16"/>
      <c r="CG83" s="17"/>
      <c r="CH83" s="16"/>
      <c r="CI83" s="17"/>
      <c r="CJ83" s="16"/>
      <c r="CK83" s="17"/>
      <c r="CL83" s="16"/>
      <c r="CM83" s="17"/>
      <c r="CN83" s="19">
        <v>16.041681261735846</v>
      </c>
      <c r="CO83" s="19"/>
      <c r="CP83" s="17"/>
      <c r="CQ83" s="14" t="s">
        <v>5104</v>
      </c>
      <c r="CR83" s="14" t="s">
        <v>5439</v>
      </c>
      <c r="CS83" s="14" t="s">
        <v>5311</v>
      </c>
    </row>
    <row r="84" spans="1:97" ht="26.15" customHeight="1">
      <c r="A84" s="2">
        <v>399</v>
      </c>
      <c r="B84" s="25" t="s">
        <v>2540</v>
      </c>
      <c r="C84" s="25" t="e">
        <f>VLOOKUP(B84, Sheet6!$A$1:$B$77, 2, FALSE)</f>
        <v>#N/A</v>
      </c>
      <c r="D84" s="25" t="s">
        <v>2541</v>
      </c>
      <c r="E84" s="25" t="s">
        <v>2543</v>
      </c>
      <c r="F84" s="25" t="s">
        <v>9307</v>
      </c>
      <c r="G84" s="25" t="s">
        <v>10955</v>
      </c>
      <c r="H84" s="25" t="s">
        <v>10967</v>
      </c>
      <c r="I84" s="25" t="s">
        <v>10558</v>
      </c>
      <c r="J84" s="25" t="s">
        <v>10821</v>
      </c>
      <c r="L84" s="13">
        <v>2013</v>
      </c>
      <c r="M84" s="14" t="s">
        <v>6448</v>
      </c>
      <c r="N84" s="14" t="s">
        <v>6449</v>
      </c>
      <c r="O84" s="14" t="s">
        <v>2057</v>
      </c>
      <c r="P84" s="15" t="s">
        <v>3117</v>
      </c>
      <c r="Q84" s="16"/>
      <c r="R84" s="17">
        <v>43707</v>
      </c>
      <c r="S84" s="16"/>
      <c r="T84" s="16" t="s">
        <v>50</v>
      </c>
      <c r="U84" s="14" t="s">
        <v>109</v>
      </c>
      <c r="V84" s="13">
        <v>2</v>
      </c>
      <c r="W84" s="17">
        <v>44081</v>
      </c>
      <c r="X84" s="14"/>
      <c r="Y84" s="17"/>
      <c r="Z84" s="17"/>
      <c r="AA84" s="14" t="s">
        <v>6450</v>
      </c>
      <c r="AB84" s="14" t="s">
        <v>6451</v>
      </c>
      <c r="AC84" s="14" t="s">
        <v>6452</v>
      </c>
      <c r="AD84" s="20" t="str">
        <f t="shared" si="5"/>
        <v>Data as a Service &gt; Industries &gt; Agriculture and Forestry Data &gt; Agronomic Intelligence
Geographic Information Systems &gt; Location Analytics &gt; Agriculture
Crop Tech &gt; Farm Analytics &gt; Satellite Image Based</v>
      </c>
      <c r="AE84" s="20" t="str">
        <f t="shared" si="3"/>
        <v>Data as a Service</v>
      </c>
      <c r="AF84" s="20" t="str">
        <f t="shared" si="6"/>
        <v>Industries</v>
      </c>
      <c r="AG84" s="20" t="str">
        <f t="shared" si="6"/>
        <v>Agriculture and Forestry Data</v>
      </c>
      <c r="AH84" s="20" t="str">
        <f t="shared" si="6"/>
        <v>Agronomic Intelligence
Geographic Information Systems</v>
      </c>
      <c r="AI84" s="20" t="str">
        <f t="shared" si="6"/>
        <v>Location Analytics</v>
      </c>
      <c r="AJ84" s="20" t="str">
        <f t="shared" si="6"/>
        <v>Agriculture
Crop Tech</v>
      </c>
      <c r="AK84" s="20" t="str">
        <f t="shared" si="6"/>
        <v>Farm Analytics</v>
      </c>
      <c r="AL84" s="14" t="s">
        <v>6453</v>
      </c>
      <c r="AM84" s="14"/>
      <c r="AO84" s="14"/>
      <c r="AP84" s="14" t="s">
        <v>2057</v>
      </c>
      <c r="AQ84" s="14" t="s">
        <v>6455</v>
      </c>
      <c r="AR84" s="14" t="s">
        <v>6456</v>
      </c>
      <c r="AS84" s="14" t="s">
        <v>6457</v>
      </c>
      <c r="AT84" s="14" t="s">
        <v>6458</v>
      </c>
      <c r="AU84" s="14"/>
      <c r="AV84" s="18"/>
      <c r="AW84" s="16"/>
      <c r="AX84" s="17"/>
      <c r="AY84" s="15" t="s">
        <v>3123</v>
      </c>
      <c r="AZ84" s="17"/>
      <c r="BA84" s="16"/>
      <c r="BB84" s="14"/>
      <c r="BC84" s="14"/>
      <c r="BD84" s="15" t="s">
        <v>3123</v>
      </c>
      <c r="BE84" s="14"/>
      <c r="BF84" s="17"/>
      <c r="BG84" s="16"/>
      <c r="BH84" s="14"/>
      <c r="BI84" s="15" t="s">
        <v>3123</v>
      </c>
      <c r="BJ84" s="14"/>
      <c r="BK84" s="17"/>
      <c r="BL84" s="16"/>
      <c r="BM84" s="16"/>
      <c r="BN84" s="16"/>
      <c r="BO84" s="16"/>
      <c r="BP84" s="15" t="s">
        <v>3123</v>
      </c>
      <c r="BQ84" s="17"/>
      <c r="BR84" s="14"/>
      <c r="BS84" s="14"/>
      <c r="BT84" s="16"/>
      <c r="BU84" s="16"/>
      <c r="BV84" s="13"/>
      <c r="BW84" s="18" t="s">
        <v>6459</v>
      </c>
      <c r="BX84" s="13">
        <v>200</v>
      </c>
      <c r="BY84" s="17">
        <v>44129</v>
      </c>
      <c r="BZ84" s="18"/>
      <c r="CA84" s="18"/>
      <c r="CB84" s="18"/>
      <c r="CC84" s="18"/>
      <c r="CD84" s="14" t="s">
        <v>6460</v>
      </c>
      <c r="CE84" s="17">
        <v>43276</v>
      </c>
      <c r="CF84" s="16"/>
      <c r="CG84" s="17"/>
      <c r="CH84" s="16"/>
      <c r="CI84" s="17"/>
      <c r="CJ84" s="16"/>
      <c r="CK84" s="17"/>
      <c r="CL84" s="16"/>
      <c r="CM84" s="17"/>
      <c r="CN84" s="19">
        <v>22.575057759531688</v>
      </c>
      <c r="CO84" s="19"/>
      <c r="CP84" s="17"/>
      <c r="CQ84" s="14" t="s">
        <v>6461</v>
      </c>
      <c r="CR84" s="14" t="s">
        <v>5388</v>
      </c>
      <c r="CS84" s="14" t="s">
        <v>5521</v>
      </c>
    </row>
    <row r="85" spans="1:97" ht="26.15" customHeight="1">
      <c r="A85" s="2">
        <v>540</v>
      </c>
      <c r="B85" s="25" t="s">
        <v>2931</v>
      </c>
      <c r="C85" s="25" t="e">
        <f>VLOOKUP(B85, Sheet6!$A$1:$B$77, 2, FALSE)</f>
        <v>#N/A</v>
      </c>
      <c r="D85" s="25" t="s">
        <v>2932</v>
      </c>
      <c r="E85" s="25" t="s">
        <v>2934</v>
      </c>
      <c r="F85" s="25" t="s">
        <v>10357</v>
      </c>
      <c r="G85" s="25" t="s">
        <v>10955</v>
      </c>
      <c r="H85" s="25" t="s">
        <v>10957</v>
      </c>
      <c r="I85" s="25" t="s">
        <v>10558</v>
      </c>
      <c r="J85" s="25" t="s">
        <v>10842</v>
      </c>
      <c r="L85" s="13">
        <v>2015</v>
      </c>
      <c r="M85" s="14" t="s">
        <v>5132</v>
      </c>
      <c r="N85" s="14" t="s">
        <v>5133</v>
      </c>
      <c r="O85" s="14" t="s">
        <v>3994</v>
      </c>
      <c r="P85" s="15" t="s">
        <v>3117</v>
      </c>
      <c r="Q85" s="16">
        <v>65736870</v>
      </c>
      <c r="R85" s="17">
        <v>44063</v>
      </c>
      <c r="S85" s="16" t="s">
        <v>6462</v>
      </c>
      <c r="T85" s="16">
        <v>114000</v>
      </c>
      <c r="U85" s="14" t="s">
        <v>95</v>
      </c>
      <c r="V85" s="13">
        <v>4</v>
      </c>
      <c r="W85" s="17">
        <v>44022</v>
      </c>
      <c r="X85" s="14" t="s">
        <v>5544</v>
      </c>
      <c r="Y85" s="17">
        <v>44070</v>
      </c>
      <c r="Z85" s="17">
        <v>43867</v>
      </c>
      <c r="AA85" s="14" t="s">
        <v>5509</v>
      </c>
      <c r="AB85" s="14" t="s">
        <v>5510</v>
      </c>
      <c r="AC85" s="14" t="s">
        <v>5696</v>
      </c>
      <c r="AD85" s="20" t="str">
        <f t="shared" si="5"/>
        <v>B2B E-Commerce &gt; Food &amp; Beverages &gt; Groceries &gt; Farm Products &gt; E-Distributor
Online Grocery &gt; B2B Ecommerce &gt; Farm Produce &gt; Fruits and Vegetables &gt; E-Distributor
Crop Tech &gt; ECommerce &gt; Farm Produce &gt; B2B &gt; Fruits and Vegetables &gt; E Distributor</v>
      </c>
      <c r="AE85" s="20" t="str">
        <f t="shared" si="3"/>
        <v>B2B E-Commerce</v>
      </c>
      <c r="AF85" s="20" t="str">
        <f t="shared" si="6"/>
        <v>Food &amp; Beverages</v>
      </c>
      <c r="AG85" s="20" t="str">
        <f t="shared" si="6"/>
        <v>Groceries</v>
      </c>
      <c r="AH85" s="20" t="str">
        <f t="shared" si="6"/>
        <v>Farm Products</v>
      </c>
      <c r="AI85" s="20" t="str">
        <f t="shared" si="6"/>
        <v>E-Distributor
Online Grocery</v>
      </c>
      <c r="AJ85" s="20" t="str">
        <f t="shared" si="6"/>
        <v>B2B Ecommerce</v>
      </c>
      <c r="AK85" s="20" t="str">
        <f t="shared" si="6"/>
        <v>Farm Produce</v>
      </c>
      <c r="AL85" s="14" t="s">
        <v>6463</v>
      </c>
      <c r="AM85" s="14" t="s">
        <v>6464</v>
      </c>
      <c r="AO85" s="14"/>
      <c r="AP85" s="14" t="s">
        <v>3994</v>
      </c>
      <c r="AQ85" s="14" t="s">
        <v>6466</v>
      </c>
      <c r="AR85" s="14" t="s">
        <v>6467</v>
      </c>
      <c r="AS85" s="14" t="s">
        <v>6468</v>
      </c>
      <c r="AT85" s="14" t="s">
        <v>6469</v>
      </c>
      <c r="AU85" s="14" t="s">
        <v>6470</v>
      </c>
      <c r="AV85" s="18"/>
      <c r="AW85" s="16">
        <v>22692800</v>
      </c>
      <c r="AX85" s="17">
        <v>43465</v>
      </c>
      <c r="AY85" s="15" t="s">
        <v>3117</v>
      </c>
      <c r="AZ85" s="17">
        <v>42186</v>
      </c>
      <c r="BA85" s="16">
        <v>1570</v>
      </c>
      <c r="BB85" s="14" t="s">
        <v>6471</v>
      </c>
      <c r="BC85" s="14" t="s">
        <v>6472</v>
      </c>
      <c r="BD85" s="15" t="s">
        <v>3123</v>
      </c>
      <c r="BE85" s="14"/>
      <c r="BF85" s="17"/>
      <c r="BG85" s="16"/>
      <c r="BH85" s="14"/>
      <c r="BI85" s="15" t="s">
        <v>3123</v>
      </c>
      <c r="BJ85" s="14"/>
      <c r="BK85" s="17"/>
      <c r="BL85" s="16"/>
      <c r="BM85" s="16"/>
      <c r="BN85" s="16"/>
      <c r="BO85" s="16"/>
      <c r="BP85" s="15" t="s">
        <v>3123</v>
      </c>
      <c r="BQ85" s="17"/>
      <c r="BR85" s="14"/>
      <c r="BS85" s="14"/>
      <c r="BT85" s="16"/>
      <c r="BU85" s="16"/>
      <c r="BV85" s="13"/>
      <c r="BW85" s="18" t="s">
        <v>6473</v>
      </c>
      <c r="BX85" s="13">
        <v>200</v>
      </c>
      <c r="BY85" s="17">
        <v>44129</v>
      </c>
      <c r="BZ85" s="18" t="s">
        <v>6474</v>
      </c>
      <c r="CA85" s="18" t="s">
        <v>6475</v>
      </c>
      <c r="CB85" s="18" t="s">
        <v>6476</v>
      </c>
      <c r="CC85" s="18"/>
      <c r="CD85" s="14" t="s">
        <v>6477</v>
      </c>
      <c r="CE85" s="17">
        <v>43046</v>
      </c>
      <c r="CF85" s="16">
        <v>-6601100</v>
      </c>
      <c r="CG85" s="17">
        <v>43465</v>
      </c>
      <c r="CH85" s="16">
        <v>-5298500</v>
      </c>
      <c r="CI85" s="17">
        <v>43465</v>
      </c>
      <c r="CJ85" s="16">
        <v>125000000</v>
      </c>
      <c r="CK85" s="17">
        <v>43868</v>
      </c>
      <c r="CL85" s="16">
        <v>648</v>
      </c>
      <c r="CM85" s="17">
        <v>43921</v>
      </c>
      <c r="CN85" s="19">
        <v>73.504201534520575</v>
      </c>
      <c r="CO85" s="19"/>
      <c r="CP85" s="17"/>
      <c r="CQ85" s="14" t="s">
        <v>5036</v>
      </c>
      <c r="CR85" s="14" t="s">
        <v>6478</v>
      </c>
      <c r="CS85" s="14" t="s">
        <v>5004</v>
      </c>
    </row>
    <row r="86" spans="1:97" ht="26.15" customHeight="1">
      <c r="A86" s="2">
        <v>133</v>
      </c>
      <c r="B86" s="25" t="s">
        <v>1525</v>
      </c>
      <c r="C86" s="25" t="e">
        <f>VLOOKUP(B86, Sheet6!$A$1:$B$77, 2, FALSE)</f>
        <v>#N/A</v>
      </c>
      <c r="D86" s="25" t="s">
        <v>1526</v>
      </c>
      <c r="E86" s="25" t="s">
        <v>1529</v>
      </c>
      <c r="F86" s="25" t="s">
        <v>6727</v>
      </c>
      <c r="G86" s="25" t="s">
        <v>10952</v>
      </c>
      <c r="H86" s="25" t="s">
        <v>10957</v>
      </c>
      <c r="I86" s="25" t="s">
        <v>10958</v>
      </c>
      <c r="J86" s="26" t="s">
        <v>10821</v>
      </c>
      <c r="L86" s="13">
        <v>2004</v>
      </c>
      <c r="M86" s="14" t="s">
        <v>6479</v>
      </c>
      <c r="N86" s="14" t="s">
        <v>6480</v>
      </c>
      <c r="O86" s="14" t="s">
        <v>3994</v>
      </c>
      <c r="P86" s="15" t="s">
        <v>3117</v>
      </c>
      <c r="Q86" s="16">
        <v>6000000</v>
      </c>
      <c r="R86" s="17">
        <v>43822</v>
      </c>
      <c r="S86" s="16" t="s">
        <v>6481</v>
      </c>
      <c r="T86" s="16">
        <v>6000000</v>
      </c>
      <c r="U86" s="14" t="s">
        <v>109</v>
      </c>
      <c r="V86" s="13">
        <v>3</v>
      </c>
      <c r="W86" s="17">
        <v>43972</v>
      </c>
      <c r="X86" s="14"/>
      <c r="Y86" s="17"/>
      <c r="Z86" s="17"/>
      <c r="AA86" s="14" t="s">
        <v>1</v>
      </c>
      <c r="AB86" s="14" t="s">
        <v>5007</v>
      </c>
      <c r="AC86" s="14" t="s">
        <v>6482</v>
      </c>
      <c r="AD86" s="20" t="str">
        <f t="shared" si="5"/>
        <v>Crop Tech &gt; Farm Inputs &gt; Seeds &gt; Field Crops &gt; Hybrid</v>
      </c>
      <c r="AE86" s="20" t="str">
        <f t="shared" si="3"/>
        <v>Crop Tech</v>
      </c>
      <c r="AF86" s="20" t="str">
        <f t="shared" si="6"/>
        <v>Farm Inputs</v>
      </c>
      <c r="AG86" s="20" t="str">
        <f t="shared" si="6"/>
        <v>Seeds</v>
      </c>
      <c r="AH86" s="20" t="str">
        <f t="shared" si="6"/>
        <v>Field Crops</v>
      </c>
      <c r="AI86" s="20" t="str">
        <f t="shared" si="6"/>
        <v>Hybrid</v>
      </c>
      <c r="AJ86" s="20" t="str">
        <f t="shared" si="6"/>
        <v/>
      </c>
      <c r="AK86" s="20" t="str">
        <f t="shared" si="6"/>
        <v/>
      </c>
      <c r="AL86" s="14" t="s">
        <v>618</v>
      </c>
      <c r="AM86" s="14"/>
      <c r="AO86" s="14"/>
      <c r="AP86" s="14" t="s">
        <v>3994</v>
      </c>
      <c r="AQ86" s="14"/>
      <c r="AR86" s="14"/>
      <c r="AS86" s="14" t="s">
        <v>6483</v>
      </c>
      <c r="AT86" s="14"/>
      <c r="AU86" s="14" t="s">
        <v>6484</v>
      </c>
      <c r="AV86" s="18"/>
      <c r="AW86" s="16">
        <v>9312700</v>
      </c>
      <c r="AX86" s="17">
        <v>43465</v>
      </c>
      <c r="AY86" s="15" t="s">
        <v>3123</v>
      </c>
      <c r="AZ86" s="17"/>
      <c r="BA86" s="16"/>
      <c r="BB86" s="14"/>
      <c r="BC86" s="14"/>
      <c r="BD86" s="15" t="s">
        <v>3123</v>
      </c>
      <c r="BE86" s="14"/>
      <c r="BF86" s="17"/>
      <c r="BG86" s="16"/>
      <c r="BH86" s="14"/>
      <c r="BI86" s="15" t="s">
        <v>3123</v>
      </c>
      <c r="BJ86" s="14"/>
      <c r="BK86" s="17"/>
      <c r="BL86" s="16"/>
      <c r="BM86" s="16"/>
      <c r="BN86" s="16"/>
      <c r="BO86" s="16"/>
      <c r="BP86" s="15" t="s">
        <v>3123</v>
      </c>
      <c r="BQ86" s="17"/>
      <c r="BR86" s="14"/>
      <c r="BS86" s="14"/>
      <c r="BT86" s="16"/>
      <c r="BU86" s="16"/>
      <c r="BV86" s="13"/>
      <c r="BW86" s="18" t="s">
        <v>6485</v>
      </c>
      <c r="BX86" s="13">
        <v>200</v>
      </c>
      <c r="BY86" s="17">
        <v>44128</v>
      </c>
      <c r="BZ86" s="18"/>
      <c r="CA86" s="18"/>
      <c r="CB86" s="18"/>
      <c r="CC86" s="18"/>
      <c r="CD86" s="14" t="s">
        <v>6486</v>
      </c>
      <c r="CE86" s="17">
        <v>43825</v>
      </c>
      <c r="CF86" s="16">
        <v>698800</v>
      </c>
      <c r="CG86" s="17">
        <v>43465</v>
      </c>
      <c r="CH86" s="16">
        <v>1126200</v>
      </c>
      <c r="CI86" s="17">
        <v>43465</v>
      </c>
      <c r="CJ86" s="16"/>
      <c r="CK86" s="17"/>
      <c r="CL86" s="16">
        <v>13</v>
      </c>
      <c r="CM86" s="17">
        <v>44012</v>
      </c>
      <c r="CN86" s="19">
        <v>22.970199082804804</v>
      </c>
      <c r="CO86" s="19"/>
      <c r="CP86" s="17"/>
      <c r="CQ86" s="14" t="s">
        <v>6487</v>
      </c>
      <c r="CR86" s="14" t="s">
        <v>5083</v>
      </c>
      <c r="CS86" s="14" t="s">
        <v>5004</v>
      </c>
    </row>
    <row r="87" spans="1:97" ht="26.15" customHeight="1">
      <c r="A87" s="2">
        <v>30</v>
      </c>
      <c r="B87" s="25" t="s">
        <v>820</v>
      </c>
      <c r="C87" s="25" t="e">
        <f>VLOOKUP(B87, Sheet6!$A$1:$B$77, 2, FALSE)</f>
        <v>#N/A</v>
      </c>
      <c r="D87" s="25" t="s">
        <v>821</v>
      </c>
      <c r="E87" s="25" t="s">
        <v>823</v>
      </c>
      <c r="F87" s="25" t="s">
        <v>5404</v>
      </c>
      <c r="G87" s="25" t="s">
        <v>10955</v>
      </c>
      <c r="H87" s="25" t="s">
        <v>10959</v>
      </c>
      <c r="I87" s="25" t="s">
        <v>10958</v>
      </c>
      <c r="J87" s="26" t="s">
        <v>10759</v>
      </c>
      <c r="L87" s="13">
        <v>2016</v>
      </c>
      <c r="M87" s="14" t="s">
        <v>4993</v>
      </c>
      <c r="N87" s="14" t="s">
        <v>4994</v>
      </c>
      <c r="O87" s="14" t="s">
        <v>2057</v>
      </c>
      <c r="P87" s="15" t="s">
        <v>3117</v>
      </c>
      <c r="Q87" s="16"/>
      <c r="R87" s="17">
        <v>43573</v>
      </c>
      <c r="S87" s="16"/>
      <c r="T87" s="16" t="s">
        <v>50</v>
      </c>
      <c r="U87" s="14" t="s">
        <v>109</v>
      </c>
      <c r="V87" s="13">
        <v>4</v>
      </c>
      <c r="W87" s="17">
        <v>43992</v>
      </c>
      <c r="X87" s="14"/>
      <c r="Y87" s="17"/>
      <c r="Z87" s="17"/>
      <c r="AA87" s="14" t="s">
        <v>1</v>
      </c>
      <c r="AB87" s="14" t="s">
        <v>5007</v>
      </c>
      <c r="AC87" s="14" t="s">
        <v>6488</v>
      </c>
      <c r="AD87" s="20" t="str">
        <f t="shared" si="5"/>
        <v>Crop Tech &gt; Autonomous Farming &gt; Irrigation</v>
      </c>
      <c r="AE87" s="20" t="str">
        <f t="shared" si="3"/>
        <v>Crop Tech</v>
      </c>
      <c r="AF87" s="20" t="str">
        <f t="shared" si="6"/>
        <v>Autonomous Farming</v>
      </c>
      <c r="AG87" s="20" t="str">
        <f t="shared" si="6"/>
        <v>Irrigation</v>
      </c>
      <c r="AH87" s="20" t="str">
        <f t="shared" si="6"/>
        <v/>
      </c>
      <c r="AI87" s="20" t="str">
        <f t="shared" si="6"/>
        <v/>
      </c>
      <c r="AJ87" s="20" t="str">
        <f t="shared" si="6"/>
        <v/>
      </c>
      <c r="AK87" s="20" t="str">
        <f t="shared" si="6"/>
        <v/>
      </c>
      <c r="AL87" s="14" t="s">
        <v>1078</v>
      </c>
      <c r="AM87" s="14"/>
      <c r="AO87" s="14"/>
      <c r="AP87" s="14" t="s">
        <v>2057</v>
      </c>
      <c r="AQ87" s="14"/>
      <c r="AR87" s="14" t="s">
        <v>6490</v>
      </c>
      <c r="AS87" s="14"/>
      <c r="AT87" s="14"/>
      <c r="AU87" s="14"/>
      <c r="AV87" s="18"/>
      <c r="AW87" s="16"/>
      <c r="AX87" s="17"/>
      <c r="AY87" s="15" t="s">
        <v>3123</v>
      </c>
      <c r="AZ87" s="17"/>
      <c r="BA87" s="16"/>
      <c r="BB87" s="14"/>
      <c r="BC87" s="14"/>
      <c r="BD87" s="15" t="s">
        <v>3123</v>
      </c>
      <c r="BE87" s="14"/>
      <c r="BF87" s="17"/>
      <c r="BG87" s="16"/>
      <c r="BH87" s="14"/>
      <c r="BI87" s="15" t="s">
        <v>3123</v>
      </c>
      <c r="BJ87" s="14"/>
      <c r="BK87" s="17"/>
      <c r="BL87" s="16"/>
      <c r="BM87" s="16"/>
      <c r="BN87" s="16"/>
      <c r="BO87" s="16"/>
      <c r="BP87" s="15" t="s">
        <v>3123</v>
      </c>
      <c r="BQ87" s="17"/>
      <c r="BR87" s="14"/>
      <c r="BS87" s="14"/>
      <c r="BT87" s="16"/>
      <c r="BU87" s="16"/>
      <c r="BV87" s="13"/>
      <c r="BW87" s="18" t="s">
        <v>6491</v>
      </c>
      <c r="BX87" s="13">
        <v>200</v>
      </c>
      <c r="BY87" s="17">
        <v>44128</v>
      </c>
      <c r="BZ87" s="18"/>
      <c r="CA87" s="18"/>
      <c r="CB87" s="18"/>
      <c r="CC87" s="18"/>
      <c r="CD87" s="14" t="s">
        <v>6492</v>
      </c>
      <c r="CE87" s="17">
        <v>42930</v>
      </c>
      <c r="CF87" s="16"/>
      <c r="CG87" s="17"/>
      <c r="CH87" s="16"/>
      <c r="CI87" s="17"/>
      <c r="CJ87" s="16"/>
      <c r="CK87" s="17"/>
      <c r="CL87" s="16"/>
      <c r="CM87" s="17"/>
      <c r="CN87" s="19">
        <v>26.237954493549069</v>
      </c>
      <c r="CO87" s="19"/>
      <c r="CP87" s="17"/>
      <c r="CQ87" s="14" t="s">
        <v>6493</v>
      </c>
      <c r="CR87" s="14" t="s">
        <v>6494</v>
      </c>
      <c r="CS87" s="14" t="s">
        <v>5311</v>
      </c>
    </row>
    <row r="88" spans="1:97" ht="26.15" customHeight="1">
      <c r="A88" s="2">
        <v>271</v>
      </c>
      <c r="B88" s="25" t="s">
        <v>701</v>
      </c>
      <c r="C88" s="25" t="e">
        <f>VLOOKUP(B88, Sheet6!$A$1:$B$77, 2, FALSE)</f>
        <v>#N/A</v>
      </c>
      <c r="D88" s="25" t="s">
        <v>702</v>
      </c>
      <c r="E88" s="25" t="s">
        <v>705</v>
      </c>
      <c r="F88" s="25" t="s">
        <v>8437</v>
      </c>
      <c r="G88" s="25" t="s">
        <v>10952</v>
      </c>
      <c r="H88" s="25" t="s">
        <v>10558</v>
      </c>
      <c r="I88" s="25" t="s">
        <v>10558</v>
      </c>
      <c r="J88" s="25" t="s">
        <v>10846</v>
      </c>
      <c r="L88" s="13">
        <v>2016</v>
      </c>
      <c r="M88" s="14" t="s">
        <v>6495</v>
      </c>
      <c r="N88" s="14" t="s">
        <v>6004</v>
      </c>
      <c r="O88" s="14" t="s">
        <v>4343</v>
      </c>
      <c r="P88" s="15" t="s">
        <v>3117</v>
      </c>
      <c r="Q88" s="16">
        <v>3500000</v>
      </c>
      <c r="R88" s="17">
        <v>43860</v>
      </c>
      <c r="S88" s="16" t="s">
        <v>5456</v>
      </c>
      <c r="T88" s="16">
        <v>3500000</v>
      </c>
      <c r="U88" s="14" t="s">
        <v>34</v>
      </c>
      <c r="V88" s="13">
        <v>4</v>
      </c>
      <c r="W88" s="17">
        <v>44081</v>
      </c>
      <c r="X88" s="14"/>
      <c r="Y88" s="17"/>
      <c r="Z88" s="17"/>
      <c r="AA88" s="14" t="s">
        <v>6496</v>
      </c>
      <c r="AB88" s="14" t="s">
        <v>6497</v>
      </c>
      <c r="AC88" s="14" t="s">
        <v>571</v>
      </c>
      <c r="AD88" s="20" t="str">
        <f t="shared" si="5"/>
        <v>Sensors &gt; Industry Applications &gt; Food
Crop Tech &gt; Post Harvest Management &gt; Quality Testing &gt; Fruits and Vegetables &gt; Sensors</v>
      </c>
      <c r="AE88" s="20" t="str">
        <f t="shared" si="3"/>
        <v>Sensors</v>
      </c>
      <c r="AF88" s="20" t="str">
        <f t="shared" si="6"/>
        <v>Industry Applications</v>
      </c>
      <c r="AG88" s="20" t="str">
        <f t="shared" si="6"/>
        <v>Food
Crop Tech</v>
      </c>
      <c r="AH88" s="20" t="str">
        <f t="shared" si="6"/>
        <v>Post Harvest Management</v>
      </c>
      <c r="AI88" s="20" t="str">
        <f t="shared" si="6"/>
        <v>Quality Testing</v>
      </c>
      <c r="AJ88" s="20" t="str">
        <f t="shared" si="6"/>
        <v>Fruits and Vegetables</v>
      </c>
      <c r="AK88" s="20" t="str">
        <f t="shared" si="6"/>
        <v>Sensors</v>
      </c>
      <c r="AL88" s="14" t="s">
        <v>6498</v>
      </c>
      <c r="AM88" s="14"/>
      <c r="AO88" s="14"/>
      <c r="AP88" s="14" t="s">
        <v>4343</v>
      </c>
      <c r="AQ88" s="14" t="s">
        <v>6500</v>
      </c>
      <c r="AR88" s="14"/>
      <c r="AS88" s="14" t="s">
        <v>6501</v>
      </c>
      <c r="AT88" s="14" t="s">
        <v>6502</v>
      </c>
      <c r="AU88" s="14" t="s">
        <v>6503</v>
      </c>
      <c r="AV88" s="18"/>
      <c r="AW88" s="16"/>
      <c r="AX88" s="17"/>
      <c r="AY88" s="15" t="s">
        <v>3123</v>
      </c>
      <c r="AZ88" s="17"/>
      <c r="BA88" s="16"/>
      <c r="BB88" s="14"/>
      <c r="BC88" s="14"/>
      <c r="BD88" s="15" t="s">
        <v>3123</v>
      </c>
      <c r="BE88" s="14"/>
      <c r="BF88" s="17"/>
      <c r="BG88" s="16"/>
      <c r="BH88" s="14"/>
      <c r="BI88" s="15" t="s">
        <v>3123</v>
      </c>
      <c r="BJ88" s="14"/>
      <c r="BK88" s="17"/>
      <c r="BL88" s="16"/>
      <c r="BM88" s="16"/>
      <c r="BN88" s="16"/>
      <c r="BO88" s="16"/>
      <c r="BP88" s="15" t="s">
        <v>3123</v>
      </c>
      <c r="BQ88" s="17"/>
      <c r="BR88" s="14"/>
      <c r="BS88" s="14"/>
      <c r="BT88" s="16"/>
      <c r="BU88" s="16"/>
      <c r="BV88" s="13"/>
      <c r="BW88" s="18" t="s">
        <v>6504</v>
      </c>
      <c r="BX88" s="13">
        <v>200</v>
      </c>
      <c r="BY88" s="17">
        <v>44116</v>
      </c>
      <c r="BZ88" s="18" t="s">
        <v>6505</v>
      </c>
      <c r="CA88" s="18" t="s">
        <v>6506</v>
      </c>
      <c r="CB88" s="18"/>
      <c r="CC88" s="18"/>
      <c r="CD88" s="14" t="s">
        <v>6507</v>
      </c>
      <c r="CE88" s="17">
        <v>43088</v>
      </c>
      <c r="CF88" s="16"/>
      <c r="CG88" s="17"/>
      <c r="CH88" s="16"/>
      <c r="CI88" s="17"/>
      <c r="CJ88" s="16"/>
      <c r="CK88" s="17"/>
      <c r="CL88" s="16"/>
      <c r="CM88" s="17"/>
      <c r="CN88" s="19">
        <v>48.353466477694901</v>
      </c>
      <c r="CO88" s="19"/>
      <c r="CP88" s="17"/>
      <c r="CQ88" s="14" t="s">
        <v>6508</v>
      </c>
      <c r="CR88" s="14"/>
      <c r="CS88" s="14" t="s">
        <v>6509</v>
      </c>
    </row>
    <row r="89" spans="1:97" ht="26.15" customHeight="1">
      <c r="A89" s="2">
        <v>312</v>
      </c>
      <c r="B89" s="25" t="s">
        <v>2117</v>
      </c>
      <c r="C89" s="25" t="e">
        <f>VLOOKUP(B89, Sheet6!$A$1:$B$77, 2, FALSE)</f>
        <v>#N/A</v>
      </c>
      <c r="D89" s="25" t="s">
        <v>2118</v>
      </c>
      <c r="E89" s="25" t="s">
        <v>2119</v>
      </c>
      <c r="F89" s="25" t="s">
        <v>8897</v>
      </c>
      <c r="G89" s="25" t="s">
        <v>11119</v>
      </c>
      <c r="H89" s="25" t="s">
        <v>10558</v>
      </c>
      <c r="I89" s="25" t="s">
        <v>10558</v>
      </c>
      <c r="J89" s="25" t="s">
        <v>10780</v>
      </c>
      <c r="L89" s="13">
        <v>2016</v>
      </c>
      <c r="M89" s="14" t="s">
        <v>5592</v>
      </c>
      <c r="N89" s="14" t="s">
        <v>5313</v>
      </c>
      <c r="O89" s="14" t="s">
        <v>3994</v>
      </c>
      <c r="P89" s="15" t="s">
        <v>3117</v>
      </c>
      <c r="Q89" s="16">
        <v>951381</v>
      </c>
      <c r="R89" s="17">
        <v>43231</v>
      </c>
      <c r="S89" s="16" t="s">
        <v>6510</v>
      </c>
      <c r="T89" s="16">
        <v>951381</v>
      </c>
      <c r="U89" s="14" t="s">
        <v>34</v>
      </c>
      <c r="V89" s="13">
        <v>2</v>
      </c>
      <c r="W89" s="17">
        <v>44002</v>
      </c>
      <c r="X89" s="14"/>
      <c r="Y89" s="17"/>
      <c r="Z89" s="17"/>
      <c r="AA89" s="14" t="s">
        <v>4995</v>
      </c>
      <c r="AB89" s="14" t="s">
        <v>5578</v>
      </c>
      <c r="AC89" s="14" t="s">
        <v>6511</v>
      </c>
      <c r="AD89" s="20" t="str">
        <f t="shared" si="5"/>
        <v>Online Grocery &gt; B2C Ecommerce &gt; Fruits and Vegetables &gt; Farm to Home &gt; Organic
Crop Tech &gt; ECommerce &gt; Farm Produce &gt; B2C &gt; Fruits and Vegetables &gt; Farm to Home &gt; Organic</v>
      </c>
      <c r="AE89" s="20" t="str">
        <f t="shared" ref="AE89:AE143" si="7">TRIM(MID(SUBSTITUTE($AD89,"&gt;",REPT(" ",LEN($AD89))), (AE$6-1)*LEN($AD89)+1, LEN($AD89)))</f>
        <v>Online Grocery</v>
      </c>
      <c r="AF89" s="20" t="str">
        <f t="shared" si="6"/>
        <v>B2C Ecommerce</v>
      </c>
      <c r="AG89" s="20" t="str">
        <f t="shared" si="6"/>
        <v>Fruits and Vegetables</v>
      </c>
      <c r="AH89" s="20" t="str">
        <f t="shared" si="6"/>
        <v>Farm to Home</v>
      </c>
      <c r="AI89" s="20" t="str">
        <f t="shared" si="6"/>
        <v>Organic
Crop Tech</v>
      </c>
      <c r="AJ89" s="20" t="str">
        <f t="shared" si="6"/>
        <v>ECommerce</v>
      </c>
      <c r="AK89" s="20" t="str">
        <f t="shared" si="6"/>
        <v>Farm Produce</v>
      </c>
      <c r="AL89" s="14" t="s">
        <v>1669</v>
      </c>
      <c r="AM89" s="14"/>
      <c r="AO89" s="14"/>
      <c r="AP89" s="14" t="s">
        <v>3994</v>
      </c>
      <c r="AQ89" s="14" t="s">
        <v>6513</v>
      </c>
      <c r="AR89" s="14" t="s">
        <v>6514</v>
      </c>
      <c r="AS89" s="14" t="s">
        <v>6515</v>
      </c>
      <c r="AT89" s="14" t="s">
        <v>6516</v>
      </c>
      <c r="AU89" s="14" t="s">
        <v>6517</v>
      </c>
      <c r="AV89" s="18"/>
      <c r="AW89" s="16">
        <v>17638188</v>
      </c>
      <c r="AX89" s="17">
        <v>42735</v>
      </c>
      <c r="AY89" s="15" t="s">
        <v>3117</v>
      </c>
      <c r="AZ89" s="17">
        <v>42898</v>
      </c>
      <c r="BA89" s="16">
        <v>1551</v>
      </c>
      <c r="BB89" s="14" t="s">
        <v>6518</v>
      </c>
      <c r="BC89" s="14"/>
      <c r="BD89" s="15" t="s">
        <v>3123</v>
      </c>
      <c r="BE89" s="14"/>
      <c r="BF89" s="17"/>
      <c r="BG89" s="16"/>
      <c r="BH89" s="14"/>
      <c r="BI89" s="15" t="s">
        <v>3123</v>
      </c>
      <c r="BJ89" s="14"/>
      <c r="BK89" s="17"/>
      <c r="BL89" s="16"/>
      <c r="BM89" s="16"/>
      <c r="BN89" s="16"/>
      <c r="BO89" s="16"/>
      <c r="BP89" s="15" t="s">
        <v>3123</v>
      </c>
      <c r="BQ89" s="17"/>
      <c r="BR89" s="14"/>
      <c r="BS89" s="14"/>
      <c r="BT89" s="16"/>
      <c r="BU89" s="16"/>
      <c r="BV89" s="13"/>
      <c r="BW89" s="18" t="s">
        <v>6519</v>
      </c>
      <c r="BX89" s="13">
        <v>200</v>
      </c>
      <c r="BY89" s="17">
        <v>44128</v>
      </c>
      <c r="BZ89" s="18"/>
      <c r="CA89" s="18" t="s">
        <v>6520</v>
      </c>
      <c r="CB89" s="18" t="s">
        <v>6521</v>
      </c>
      <c r="CC89" s="18"/>
      <c r="CD89" s="14" t="s">
        <v>6522</v>
      </c>
      <c r="CE89" s="17">
        <v>43245</v>
      </c>
      <c r="CF89" s="16">
        <v>769485</v>
      </c>
      <c r="CG89" s="17">
        <v>42735</v>
      </c>
      <c r="CH89" s="16">
        <v>1566037</v>
      </c>
      <c r="CI89" s="17">
        <v>42735</v>
      </c>
      <c r="CJ89" s="16"/>
      <c r="CK89" s="17"/>
      <c r="CL89" s="16"/>
      <c r="CM89" s="17"/>
      <c r="CN89" s="19">
        <v>31.373582351738662</v>
      </c>
      <c r="CO89" s="19"/>
      <c r="CP89" s="17"/>
      <c r="CQ89" s="14" t="s">
        <v>5541</v>
      </c>
      <c r="CR89" s="14" t="s">
        <v>6523</v>
      </c>
      <c r="CS89" s="14" t="s">
        <v>5945</v>
      </c>
    </row>
    <row r="90" spans="1:97" ht="26.15" customHeight="1">
      <c r="A90" s="2">
        <v>430</v>
      </c>
      <c r="B90" s="25" t="s">
        <v>2146</v>
      </c>
      <c r="C90" s="25" t="e">
        <f>VLOOKUP(B90, Sheet6!$A$1:$B$77, 2, FALSE)</f>
        <v>#N/A</v>
      </c>
      <c r="D90" s="25" t="s">
        <v>2147</v>
      </c>
      <c r="E90" s="25" t="s">
        <v>2148</v>
      </c>
      <c r="F90" s="25" t="s">
        <v>9511</v>
      </c>
      <c r="G90" s="25" t="s">
        <v>10955</v>
      </c>
      <c r="H90" s="25" t="s">
        <v>10957</v>
      </c>
      <c r="I90" s="25" t="s">
        <v>10558</v>
      </c>
      <c r="J90" s="25" t="s">
        <v>10846</v>
      </c>
      <c r="L90" s="13">
        <v>2016</v>
      </c>
      <c r="M90" s="14" t="s">
        <v>6524</v>
      </c>
      <c r="N90" s="14" t="s">
        <v>6525</v>
      </c>
      <c r="O90" s="14" t="s">
        <v>5524</v>
      </c>
      <c r="P90" s="15" t="s">
        <v>3117</v>
      </c>
      <c r="Q90" s="16">
        <v>300000</v>
      </c>
      <c r="R90" s="17">
        <v>43412</v>
      </c>
      <c r="S90" s="16" t="s">
        <v>6526</v>
      </c>
      <c r="T90" s="16">
        <v>300000</v>
      </c>
      <c r="U90" s="14" t="s">
        <v>34</v>
      </c>
      <c r="V90" s="13">
        <v>2</v>
      </c>
      <c r="W90" s="17">
        <v>44028</v>
      </c>
      <c r="X90" s="14"/>
      <c r="Y90" s="17"/>
      <c r="Z90" s="17"/>
      <c r="AA90" s="14" t="s">
        <v>1</v>
      </c>
      <c r="AB90" s="14" t="s">
        <v>5084</v>
      </c>
      <c r="AC90" s="14" t="s">
        <v>6527</v>
      </c>
      <c r="AD90" s="20" t="str">
        <f t="shared" si="5"/>
        <v>Livestock Tech &gt; Health Management &gt; Vet Care Services</v>
      </c>
      <c r="AE90" s="20" t="str">
        <f t="shared" si="7"/>
        <v>Livestock Tech</v>
      </c>
      <c r="AF90" s="20" t="str">
        <f t="shared" si="6"/>
        <v>Health Management</v>
      </c>
      <c r="AG90" s="20" t="str">
        <f t="shared" si="6"/>
        <v>Vet Care Services</v>
      </c>
      <c r="AH90" s="20" t="str">
        <f t="shared" si="6"/>
        <v/>
      </c>
      <c r="AI90" s="20" t="str">
        <f t="shared" si="6"/>
        <v/>
      </c>
      <c r="AJ90" s="20" t="str">
        <f t="shared" si="6"/>
        <v/>
      </c>
      <c r="AK90" s="20" t="str">
        <f t="shared" si="6"/>
        <v/>
      </c>
      <c r="AL90" s="14" t="s">
        <v>3877</v>
      </c>
      <c r="AM90" s="14"/>
      <c r="AO90" s="14"/>
      <c r="AP90" s="14" t="s">
        <v>5524</v>
      </c>
      <c r="AQ90" s="14" t="s">
        <v>6529</v>
      </c>
      <c r="AR90" s="14" t="s">
        <v>6530</v>
      </c>
      <c r="AS90" s="14" t="s">
        <v>6531</v>
      </c>
      <c r="AT90" s="14" t="s">
        <v>6532</v>
      </c>
      <c r="AU90" s="14" t="s">
        <v>6533</v>
      </c>
      <c r="AV90" s="18"/>
      <c r="AW90" s="16"/>
      <c r="AX90" s="17"/>
      <c r="AY90" s="15" t="s">
        <v>3123</v>
      </c>
      <c r="AZ90" s="17"/>
      <c r="BA90" s="16"/>
      <c r="BB90" s="14"/>
      <c r="BC90" s="14"/>
      <c r="BD90" s="15" t="s">
        <v>3123</v>
      </c>
      <c r="BE90" s="14"/>
      <c r="BF90" s="17"/>
      <c r="BG90" s="16"/>
      <c r="BH90" s="14"/>
      <c r="BI90" s="15" t="s">
        <v>3123</v>
      </c>
      <c r="BJ90" s="14"/>
      <c r="BK90" s="17"/>
      <c r="BL90" s="16"/>
      <c r="BM90" s="16"/>
      <c r="BN90" s="16"/>
      <c r="BO90" s="16"/>
      <c r="BP90" s="15" t="s">
        <v>3123</v>
      </c>
      <c r="BQ90" s="17"/>
      <c r="BR90" s="14"/>
      <c r="BS90" s="14"/>
      <c r="BT90" s="16"/>
      <c r="BU90" s="16"/>
      <c r="BV90" s="13"/>
      <c r="BW90" s="18" t="s">
        <v>6534</v>
      </c>
      <c r="BX90" s="13">
        <v>200</v>
      </c>
      <c r="BY90" s="17">
        <v>44128</v>
      </c>
      <c r="BZ90" s="18" t="s">
        <v>6535</v>
      </c>
      <c r="CA90" s="18" t="s">
        <v>6536</v>
      </c>
      <c r="CB90" s="18" t="s">
        <v>6537</v>
      </c>
      <c r="CC90" s="18" t="s">
        <v>6538</v>
      </c>
      <c r="CD90" s="14" t="s">
        <v>6539</v>
      </c>
      <c r="CE90" s="17">
        <v>43419</v>
      </c>
      <c r="CF90" s="16"/>
      <c r="CG90" s="17"/>
      <c r="CH90" s="16"/>
      <c r="CI90" s="17"/>
      <c r="CJ90" s="16"/>
      <c r="CK90" s="17"/>
      <c r="CL90" s="16"/>
      <c r="CM90" s="17"/>
      <c r="CN90" s="19">
        <v>34.176353067151965</v>
      </c>
      <c r="CO90" s="19"/>
      <c r="CP90" s="17"/>
      <c r="CQ90" s="14" t="s">
        <v>6540</v>
      </c>
      <c r="CR90" s="14" t="s">
        <v>6541</v>
      </c>
      <c r="CS90" s="14" t="s">
        <v>5311</v>
      </c>
    </row>
    <row r="91" spans="1:97" ht="26.15" customHeight="1">
      <c r="A91" s="2">
        <v>538</v>
      </c>
      <c r="B91" s="25" t="s">
        <v>3075</v>
      </c>
      <c r="C91" s="25" t="e">
        <f>VLOOKUP(B91, Sheet6!$A$1:$B$77, 2, FALSE)</f>
        <v>#N/A</v>
      </c>
      <c r="D91" s="25" t="s">
        <v>3076</v>
      </c>
      <c r="E91" s="25" t="s">
        <v>3077</v>
      </c>
      <c r="F91" s="25" t="s">
        <v>10330</v>
      </c>
      <c r="G91" s="25" t="s">
        <v>11103</v>
      </c>
      <c r="H91" s="25" t="s">
        <v>10957</v>
      </c>
      <c r="I91" s="25" t="s">
        <v>10558</v>
      </c>
      <c r="J91" s="25" t="s">
        <v>10784</v>
      </c>
      <c r="L91" s="13">
        <v>2015</v>
      </c>
      <c r="M91" s="14" t="s">
        <v>6542</v>
      </c>
      <c r="N91" s="14" t="s">
        <v>6543</v>
      </c>
      <c r="O91" s="14" t="s">
        <v>3468</v>
      </c>
      <c r="P91" s="15" t="s">
        <v>3117</v>
      </c>
      <c r="Q91" s="16">
        <v>5000000</v>
      </c>
      <c r="R91" s="17">
        <v>44061</v>
      </c>
      <c r="S91" s="16" t="s">
        <v>5022</v>
      </c>
      <c r="T91" s="16">
        <v>2000000</v>
      </c>
      <c r="U91" s="14" t="s">
        <v>34</v>
      </c>
      <c r="V91" s="13">
        <v>4</v>
      </c>
      <c r="W91" s="17">
        <v>44034</v>
      </c>
      <c r="X91" s="14" t="s">
        <v>5052</v>
      </c>
      <c r="Y91" s="17">
        <v>44067</v>
      </c>
      <c r="Z91" s="17">
        <v>44061</v>
      </c>
      <c r="AA91" s="14" t="s">
        <v>1</v>
      </c>
      <c r="AB91" s="14" t="s">
        <v>5007</v>
      </c>
      <c r="AC91" s="14" t="s">
        <v>6408</v>
      </c>
      <c r="AD91" s="20" t="str">
        <f t="shared" si="5"/>
        <v>Crop Tech &gt; ECommerce &gt; Diversified &gt; Marketplace</v>
      </c>
      <c r="AE91" s="20" t="str">
        <f t="shared" si="7"/>
        <v>Crop Tech</v>
      </c>
      <c r="AF91" s="20" t="str">
        <f t="shared" si="6"/>
        <v>ECommerce</v>
      </c>
      <c r="AG91" s="20" t="str">
        <f t="shared" si="6"/>
        <v>Diversified</v>
      </c>
      <c r="AH91" s="20" t="str">
        <f t="shared" si="6"/>
        <v>Marketplace</v>
      </c>
      <c r="AI91" s="20" t="str">
        <f t="shared" si="6"/>
        <v/>
      </c>
      <c r="AJ91" s="20" t="str">
        <f t="shared" si="6"/>
        <v/>
      </c>
      <c r="AK91" s="20" t="str">
        <f t="shared" si="6"/>
        <v/>
      </c>
      <c r="AL91" s="14" t="s">
        <v>6544</v>
      </c>
      <c r="AM91" s="14"/>
      <c r="AO91" s="14"/>
      <c r="AP91" s="14" t="s">
        <v>3468</v>
      </c>
      <c r="AQ91" s="14" t="s">
        <v>6546</v>
      </c>
      <c r="AR91" s="14" t="s">
        <v>6547</v>
      </c>
      <c r="AS91" s="14" t="s">
        <v>6548</v>
      </c>
      <c r="AT91" s="14" t="s">
        <v>6549</v>
      </c>
      <c r="AU91" s="14" t="s">
        <v>6550</v>
      </c>
      <c r="AV91" s="18"/>
      <c r="AW91" s="16"/>
      <c r="AX91" s="17"/>
      <c r="AY91" s="15" t="s">
        <v>3123</v>
      </c>
      <c r="AZ91" s="17"/>
      <c r="BA91" s="16"/>
      <c r="BB91" s="14"/>
      <c r="BC91" s="14"/>
      <c r="BD91" s="15" t="s">
        <v>3123</v>
      </c>
      <c r="BE91" s="14"/>
      <c r="BF91" s="17"/>
      <c r="BG91" s="16"/>
      <c r="BH91" s="14"/>
      <c r="BI91" s="15" t="s">
        <v>3123</v>
      </c>
      <c r="BJ91" s="14"/>
      <c r="BK91" s="17"/>
      <c r="BL91" s="16"/>
      <c r="BM91" s="16"/>
      <c r="BN91" s="16"/>
      <c r="BO91" s="16"/>
      <c r="BP91" s="15" t="s">
        <v>3123</v>
      </c>
      <c r="BQ91" s="17"/>
      <c r="BR91" s="14"/>
      <c r="BS91" s="14"/>
      <c r="BT91" s="16"/>
      <c r="BU91" s="16"/>
      <c r="BV91" s="13"/>
      <c r="BW91" s="18" t="s">
        <v>6551</v>
      </c>
      <c r="BX91" s="13">
        <v>200</v>
      </c>
      <c r="BY91" s="17">
        <v>44127</v>
      </c>
      <c r="BZ91" s="18" t="s">
        <v>6552</v>
      </c>
      <c r="CA91" s="18" t="s">
        <v>6553</v>
      </c>
      <c r="CB91" s="18" t="s">
        <v>6554</v>
      </c>
      <c r="CC91" s="18"/>
      <c r="CD91" s="14" t="s">
        <v>6555</v>
      </c>
      <c r="CE91" s="17">
        <v>44034</v>
      </c>
      <c r="CF91" s="16"/>
      <c r="CG91" s="17"/>
      <c r="CH91" s="16"/>
      <c r="CI91" s="17"/>
      <c r="CJ91" s="16"/>
      <c r="CK91" s="17"/>
      <c r="CL91" s="16"/>
      <c r="CM91" s="17"/>
      <c r="CN91" s="19">
        <v>55.315540944410635</v>
      </c>
      <c r="CO91" s="19"/>
      <c r="CP91" s="17"/>
      <c r="CQ91" s="14" t="s">
        <v>6556</v>
      </c>
      <c r="CR91" s="14" t="s">
        <v>6557</v>
      </c>
      <c r="CS91" s="14" t="s">
        <v>5945</v>
      </c>
    </row>
    <row r="92" spans="1:97" ht="26.15" customHeight="1">
      <c r="A92" s="2">
        <v>70</v>
      </c>
      <c r="B92" s="25" t="s">
        <v>1154</v>
      </c>
      <c r="C92" s="25" t="e">
        <f>VLOOKUP(B92, Sheet6!$A$1:$B$77, 2, FALSE)</f>
        <v>#N/A</v>
      </c>
      <c r="D92" s="25" t="s">
        <v>1155</v>
      </c>
      <c r="E92" s="25" t="s">
        <v>1159</v>
      </c>
      <c r="F92" s="25" t="s">
        <v>5911</v>
      </c>
      <c r="G92" s="25" t="s">
        <v>10955</v>
      </c>
      <c r="H92" s="25" t="s">
        <v>10959</v>
      </c>
      <c r="I92" s="25" t="s">
        <v>10958</v>
      </c>
      <c r="J92" s="26" t="s">
        <v>10852</v>
      </c>
      <c r="L92" s="13">
        <v>2017</v>
      </c>
      <c r="M92" s="14" t="s">
        <v>5038</v>
      </c>
      <c r="N92" s="14" t="s">
        <v>5039</v>
      </c>
      <c r="O92" s="14" t="s">
        <v>3994</v>
      </c>
      <c r="P92" s="15" t="s">
        <v>3117</v>
      </c>
      <c r="Q92" s="16"/>
      <c r="R92" s="17">
        <v>43678</v>
      </c>
      <c r="S92" s="16"/>
      <c r="T92" s="16" t="s">
        <v>50</v>
      </c>
      <c r="U92" s="14" t="s">
        <v>5040</v>
      </c>
      <c r="V92" s="13">
        <v>3</v>
      </c>
      <c r="W92" s="17">
        <v>44000</v>
      </c>
      <c r="X92" s="14"/>
      <c r="Y92" s="17"/>
      <c r="Z92" s="17"/>
      <c r="AA92" s="14" t="s">
        <v>1</v>
      </c>
      <c r="AB92" s="14" t="s">
        <v>5007</v>
      </c>
      <c r="AC92" s="14" t="s">
        <v>5336</v>
      </c>
      <c r="AD92" s="20" t="str">
        <f t="shared" si="5"/>
        <v>Crop Tech &gt; Farm Inputs &gt; Biologicals &gt; Diversified</v>
      </c>
      <c r="AE92" s="20" t="str">
        <f t="shared" si="7"/>
        <v>Crop Tech</v>
      </c>
      <c r="AF92" s="20" t="str">
        <f t="shared" si="6"/>
        <v>Farm Inputs</v>
      </c>
      <c r="AG92" s="20" t="str">
        <f t="shared" si="6"/>
        <v>Biologicals</v>
      </c>
      <c r="AH92" s="20" t="str">
        <f t="shared" si="6"/>
        <v>Diversified</v>
      </c>
      <c r="AI92" s="20" t="str">
        <f t="shared" si="6"/>
        <v/>
      </c>
      <c r="AJ92" s="20" t="str">
        <f t="shared" si="6"/>
        <v/>
      </c>
      <c r="AK92" s="20" t="str">
        <f t="shared" si="6"/>
        <v/>
      </c>
      <c r="AL92" s="14" t="s">
        <v>3639</v>
      </c>
      <c r="AM92" s="14"/>
      <c r="AO92" s="14"/>
      <c r="AP92" s="14" t="s">
        <v>3994</v>
      </c>
      <c r="AQ92" s="14" t="s">
        <v>6559</v>
      </c>
      <c r="AR92" s="14" t="s">
        <v>6560</v>
      </c>
      <c r="AS92" s="14" t="s">
        <v>6561</v>
      </c>
      <c r="AT92" s="14"/>
      <c r="AU92" s="14" t="s">
        <v>6562</v>
      </c>
      <c r="AV92" s="18"/>
      <c r="AW92" s="16"/>
      <c r="AX92" s="17"/>
      <c r="AY92" s="15" t="s">
        <v>3123</v>
      </c>
      <c r="AZ92" s="17"/>
      <c r="BA92" s="16"/>
      <c r="BB92" s="14"/>
      <c r="BC92" s="14"/>
      <c r="BD92" s="15" t="s">
        <v>3123</v>
      </c>
      <c r="BE92" s="14"/>
      <c r="BF92" s="17"/>
      <c r="BG92" s="16"/>
      <c r="BH92" s="14"/>
      <c r="BI92" s="15" t="s">
        <v>3123</v>
      </c>
      <c r="BJ92" s="14"/>
      <c r="BK92" s="17"/>
      <c r="BL92" s="16"/>
      <c r="BM92" s="16"/>
      <c r="BN92" s="16"/>
      <c r="BO92" s="16"/>
      <c r="BP92" s="15" t="s">
        <v>3123</v>
      </c>
      <c r="BQ92" s="17"/>
      <c r="BR92" s="14"/>
      <c r="BS92" s="14"/>
      <c r="BT92" s="16"/>
      <c r="BU92" s="16"/>
      <c r="BV92" s="13"/>
      <c r="BW92" s="18" t="s">
        <v>6563</v>
      </c>
      <c r="BX92" s="13">
        <v>200</v>
      </c>
      <c r="BY92" s="17">
        <v>44129</v>
      </c>
      <c r="BZ92" s="18" t="s">
        <v>6564</v>
      </c>
      <c r="CA92" s="18" t="s">
        <v>6565</v>
      </c>
      <c r="CB92" s="18" t="s">
        <v>6566</v>
      </c>
      <c r="CC92" s="18" t="s">
        <v>6567</v>
      </c>
      <c r="CD92" s="14" t="s">
        <v>6568</v>
      </c>
      <c r="CE92" s="17">
        <v>43998</v>
      </c>
      <c r="CF92" s="16"/>
      <c r="CG92" s="17"/>
      <c r="CH92" s="16"/>
      <c r="CI92" s="17"/>
      <c r="CJ92" s="16"/>
      <c r="CK92" s="17"/>
      <c r="CL92" s="16"/>
      <c r="CM92" s="17"/>
      <c r="CN92" s="19">
        <v>17.955247323919231</v>
      </c>
      <c r="CO92" s="19"/>
      <c r="CP92" s="17"/>
      <c r="CQ92" s="14" t="s">
        <v>5082</v>
      </c>
      <c r="CR92" s="14" t="s">
        <v>5083</v>
      </c>
      <c r="CS92" s="14" t="s">
        <v>5004</v>
      </c>
    </row>
    <row r="93" spans="1:97" ht="26.15" customHeight="1">
      <c r="A93" s="2">
        <v>144</v>
      </c>
      <c r="B93" s="25" t="s">
        <v>1239</v>
      </c>
      <c r="C93" s="25" t="e">
        <f>VLOOKUP(B93, Sheet6!$A$1:$B$77, 2, FALSE)</f>
        <v>#N/A</v>
      </c>
      <c r="D93" s="25" t="s">
        <v>1240</v>
      </c>
      <c r="E93" s="25" t="s">
        <v>1244</v>
      </c>
      <c r="F93" s="25" t="s">
        <v>6843</v>
      </c>
      <c r="G93" s="25" t="s">
        <v>10955</v>
      </c>
      <c r="H93" s="25" t="s">
        <v>10957</v>
      </c>
      <c r="I93" s="25" t="s">
        <v>10958</v>
      </c>
      <c r="J93" s="26" t="s">
        <v>10965</v>
      </c>
      <c r="L93" s="13">
        <v>2017</v>
      </c>
      <c r="M93" s="14" t="s">
        <v>5038</v>
      </c>
      <c r="N93" s="14" t="s">
        <v>5039</v>
      </c>
      <c r="O93" s="14" t="s">
        <v>3994</v>
      </c>
      <c r="P93" s="15" t="s">
        <v>3117</v>
      </c>
      <c r="Q93" s="16">
        <v>296585</v>
      </c>
      <c r="R93" s="17">
        <v>42986</v>
      </c>
      <c r="S93" s="16" t="s">
        <v>6569</v>
      </c>
      <c r="T93" s="16">
        <v>296585</v>
      </c>
      <c r="U93" s="14" t="s">
        <v>34</v>
      </c>
      <c r="V93" s="13">
        <v>4</v>
      </c>
      <c r="W93" s="17">
        <v>44008</v>
      </c>
      <c r="X93" s="14"/>
      <c r="Y93" s="17"/>
      <c r="Z93" s="17"/>
      <c r="AA93" s="14" t="s">
        <v>1</v>
      </c>
      <c r="AB93" s="14" t="s">
        <v>5007</v>
      </c>
      <c r="AC93" s="14" t="s">
        <v>6570</v>
      </c>
      <c r="AD93" s="20" t="str">
        <f t="shared" si="5"/>
        <v>Crop Tech &gt; ECommerce &gt; Farm Inputs &gt; Farm Land Lease &gt; Listing</v>
      </c>
      <c r="AE93" s="20" t="str">
        <f t="shared" si="7"/>
        <v>Crop Tech</v>
      </c>
      <c r="AF93" s="20" t="str">
        <f t="shared" si="6"/>
        <v>ECommerce</v>
      </c>
      <c r="AG93" s="20" t="str">
        <f t="shared" si="6"/>
        <v>Farm Inputs</v>
      </c>
      <c r="AH93" s="20" t="str">
        <f t="shared" si="6"/>
        <v>Farm Land Lease</v>
      </c>
      <c r="AI93" s="20" t="str">
        <f t="shared" si="6"/>
        <v>Listing</v>
      </c>
      <c r="AJ93" s="20" t="str">
        <f t="shared" si="6"/>
        <v/>
      </c>
      <c r="AK93" s="20" t="str">
        <f t="shared" si="6"/>
        <v/>
      </c>
      <c r="AL93" s="14" t="s">
        <v>1980</v>
      </c>
      <c r="AM93" s="14" t="s">
        <v>6571</v>
      </c>
      <c r="AO93" s="14"/>
      <c r="AP93" s="14" t="s">
        <v>3994</v>
      </c>
      <c r="AQ93" s="14" t="s">
        <v>6573</v>
      </c>
      <c r="AR93" s="14"/>
      <c r="AS93" s="14" t="s">
        <v>6574</v>
      </c>
      <c r="AT93" s="14" t="s">
        <v>6575</v>
      </c>
      <c r="AU93" s="14" t="s">
        <v>6576</v>
      </c>
      <c r="AV93" s="18"/>
      <c r="AW93" s="16">
        <v>47300</v>
      </c>
      <c r="AX93" s="17">
        <v>43100</v>
      </c>
      <c r="AY93" s="15" t="s">
        <v>3117</v>
      </c>
      <c r="AZ93" s="17">
        <v>42733</v>
      </c>
      <c r="BA93" s="16">
        <v>1466</v>
      </c>
      <c r="BB93" s="14" t="s">
        <v>6577</v>
      </c>
      <c r="BC93" s="14"/>
      <c r="BD93" s="15" t="s">
        <v>3123</v>
      </c>
      <c r="BE93" s="14"/>
      <c r="BF93" s="17"/>
      <c r="BG93" s="16"/>
      <c r="BH93" s="14"/>
      <c r="BI93" s="15" t="s">
        <v>3123</v>
      </c>
      <c r="BJ93" s="14"/>
      <c r="BK93" s="17"/>
      <c r="BL93" s="16"/>
      <c r="BM93" s="16"/>
      <c r="BN93" s="16"/>
      <c r="BO93" s="16"/>
      <c r="BP93" s="15" t="s">
        <v>3123</v>
      </c>
      <c r="BQ93" s="17"/>
      <c r="BR93" s="14"/>
      <c r="BS93" s="14"/>
      <c r="BT93" s="16"/>
      <c r="BU93" s="16"/>
      <c r="BV93" s="13"/>
      <c r="BW93" s="18" t="s">
        <v>6578</v>
      </c>
      <c r="BX93" s="13">
        <v>200</v>
      </c>
      <c r="BY93" s="17">
        <v>44128</v>
      </c>
      <c r="BZ93" s="18" t="s">
        <v>6579</v>
      </c>
      <c r="CA93" s="18" t="s">
        <v>6580</v>
      </c>
      <c r="CB93" s="18" t="s">
        <v>6581</v>
      </c>
      <c r="CC93" s="18" t="s">
        <v>6582</v>
      </c>
      <c r="CD93" s="14" t="s">
        <v>6583</v>
      </c>
      <c r="CE93" s="17">
        <v>42989</v>
      </c>
      <c r="CF93" s="16">
        <v>-70200</v>
      </c>
      <c r="CG93" s="17">
        <v>43100</v>
      </c>
      <c r="CH93" s="16">
        <v>-68700</v>
      </c>
      <c r="CI93" s="17">
        <v>43100</v>
      </c>
      <c r="CJ93" s="16">
        <v>2000000</v>
      </c>
      <c r="CK93" s="17">
        <v>42970</v>
      </c>
      <c r="CL93" s="16"/>
      <c r="CM93" s="17"/>
      <c r="CN93" s="19">
        <v>53.091270949461965</v>
      </c>
      <c r="CO93" s="19"/>
      <c r="CP93" s="17"/>
      <c r="CQ93" s="14" t="s">
        <v>5149</v>
      </c>
      <c r="CR93" s="14" t="s">
        <v>6584</v>
      </c>
      <c r="CS93" s="14" t="s">
        <v>5004</v>
      </c>
    </row>
    <row r="94" spans="1:97" ht="26.15" customHeight="1">
      <c r="A94" s="2">
        <v>15</v>
      </c>
      <c r="B94" s="25" t="s">
        <v>1873</v>
      </c>
      <c r="C94" s="25" t="e">
        <f>VLOOKUP(B94, Sheet6!$A$1:$B$77, 2, FALSE)</f>
        <v>#N/A</v>
      </c>
      <c r="D94" s="25" t="s">
        <v>1874</v>
      </c>
      <c r="E94" s="25" t="s">
        <v>376</v>
      </c>
      <c r="F94" s="25" t="s">
        <v>5194</v>
      </c>
      <c r="G94" s="25" t="s">
        <v>10955</v>
      </c>
      <c r="H94" s="25" t="s">
        <v>10959</v>
      </c>
      <c r="I94" s="25" t="s">
        <v>10958</v>
      </c>
      <c r="J94" s="26" t="s">
        <v>10842</v>
      </c>
      <c r="L94" s="13">
        <v>2015</v>
      </c>
      <c r="M94" s="14" t="s">
        <v>4993</v>
      </c>
      <c r="N94" s="14" t="s">
        <v>4994</v>
      </c>
      <c r="O94" s="14" t="s">
        <v>2057</v>
      </c>
      <c r="P94" s="15" t="s">
        <v>3117</v>
      </c>
      <c r="Q94" s="16">
        <v>9356810</v>
      </c>
      <c r="R94" s="17">
        <v>43018</v>
      </c>
      <c r="S94" s="16" t="s">
        <v>6597</v>
      </c>
      <c r="T94" s="16">
        <v>9356810</v>
      </c>
      <c r="U94" s="14" t="s">
        <v>5630</v>
      </c>
      <c r="V94" s="13"/>
      <c r="W94" s="17">
        <v>44003</v>
      </c>
      <c r="X94" s="14"/>
      <c r="Y94" s="17"/>
      <c r="Z94" s="17"/>
      <c r="AA94" s="14" t="s">
        <v>5253</v>
      </c>
      <c r="AB94" s="14" t="s">
        <v>5254</v>
      </c>
      <c r="AC94" s="14" t="s">
        <v>6598</v>
      </c>
      <c r="AD94" s="20" t="str">
        <f t="shared" si="5"/>
        <v>Drones &gt; Services &gt; Precision Agriculture
Crop Tech &gt; Farming as a Service &gt; Tech Enabled Services</v>
      </c>
      <c r="AE94" s="20" t="str">
        <f t="shared" si="7"/>
        <v>Drones</v>
      </c>
      <c r="AF94" s="20" t="str">
        <f t="shared" si="6"/>
        <v>Services</v>
      </c>
      <c r="AG94" s="20" t="str">
        <f t="shared" si="6"/>
        <v>Precision Agriculture
Crop Tech</v>
      </c>
      <c r="AH94" s="20" t="str">
        <f t="shared" si="6"/>
        <v>Farming as a Service</v>
      </c>
      <c r="AI94" s="20" t="str">
        <f t="shared" si="6"/>
        <v>Tech Enabled Services</v>
      </c>
      <c r="AJ94" s="20" t="str">
        <f t="shared" si="6"/>
        <v/>
      </c>
      <c r="AK94" s="20" t="str">
        <f t="shared" si="6"/>
        <v/>
      </c>
      <c r="AL94" s="14" t="s">
        <v>6599</v>
      </c>
      <c r="AM94" s="14"/>
      <c r="AO94" s="14"/>
      <c r="AP94" s="14" t="s">
        <v>2057</v>
      </c>
      <c r="AQ94" s="14"/>
      <c r="AR94" s="14"/>
      <c r="AS94" s="14" t="s">
        <v>6601</v>
      </c>
      <c r="AT94" s="14"/>
      <c r="AU94" s="14"/>
      <c r="AV94" s="18"/>
      <c r="AW94" s="16"/>
      <c r="AX94" s="17"/>
      <c r="AY94" s="15" t="s">
        <v>3123</v>
      </c>
      <c r="AZ94" s="17"/>
      <c r="BA94" s="16"/>
      <c r="BB94" s="14"/>
      <c r="BC94" s="14"/>
      <c r="BD94" s="15" t="s">
        <v>3123</v>
      </c>
      <c r="BE94" s="14"/>
      <c r="BF94" s="17"/>
      <c r="BG94" s="16"/>
      <c r="BH94" s="14"/>
      <c r="BI94" s="15" t="s">
        <v>3123</v>
      </c>
      <c r="BJ94" s="14"/>
      <c r="BK94" s="17"/>
      <c r="BL94" s="16"/>
      <c r="BM94" s="16"/>
      <c r="BN94" s="16"/>
      <c r="BO94" s="16"/>
      <c r="BP94" s="15" t="s">
        <v>3117</v>
      </c>
      <c r="BQ94" s="17"/>
      <c r="BR94" s="14"/>
      <c r="BS94" s="14"/>
      <c r="BT94" s="16"/>
      <c r="BU94" s="16"/>
      <c r="BV94" s="13"/>
      <c r="BW94" s="18" t="s">
        <v>6602</v>
      </c>
      <c r="BX94" s="13">
        <v>-1</v>
      </c>
      <c r="BY94" s="17">
        <v>44128</v>
      </c>
      <c r="BZ94" s="18"/>
      <c r="CA94" s="18"/>
      <c r="CB94" s="18"/>
      <c r="CC94" s="18"/>
      <c r="CD94" s="14" t="s">
        <v>6603</v>
      </c>
      <c r="CE94" s="17">
        <v>43020</v>
      </c>
      <c r="CF94" s="16"/>
      <c r="CG94" s="17"/>
      <c r="CH94" s="16"/>
      <c r="CI94" s="17"/>
      <c r="CJ94" s="16"/>
      <c r="CK94" s="17"/>
      <c r="CL94" s="16"/>
      <c r="CM94" s="17"/>
      <c r="CN94" s="19">
        <v>25.321140959466341</v>
      </c>
      <c r="CO94" s="19"/>
      <c r="CP94" s="17"/>
      <c r="CQ94" s="14" t="s">
        <v>5104</v>
      </c>
      <c r="CR94" s="14" t="s">
        <v>5037</v>
      </c>
      <c r="CS94" s="14" t="s">
        <v>5004</v>
      </c>
    </row>
    <row r="95" spans="1:97" ht="26.15" customHeight="1">
      <c r="A95" s="2">
        <v>137</v>
      </c>
      <c r="B95" s="25" t="s">
        <v>1591</v>
      </c>
      <c r="C95" s="25" t="e">
        <f>VLOOKUP(B95, Sheet6!$A$1:$B$77, 2, FALSE)</f>
        <v>#N/A</v>
      </c>
      <c r="D95" s="25" t="s">
        <v>1592</v>
      </c>
      <c r="E95" s="25" t="s">
        <v>1593</v>
      </c>
      <c r="F95" s="25" t="s">
        <v>6765</v>
      </c>
      <c r="G95" s="25" t="s">
        <v>10955</v>
      </c>
      <c r="H95" s="25" t="s">
        <v>10957</v>
      </c>
      <c r="I95" s="25" t="s">
        <v>10958</v>
      </c>
      <c r="J95" s="26" t="s">
        <v>10821</v>
      </c>
      <c r="L95" s="13">
        <v>2014</v>
      </c>
      <c r="M95" s="14" t="s">
        <v>5038</v>
      </c>
      <c r="N95" s="14" t="s">
        <v>5039</v>
      </c>
      <c r="O95" s="14" t="s">
        <v>3994</v>
      </c>
      <c r="P95" s="15" t="s">
        <v>3117</v>
      </c>
      <c r="Q95" s="16">
        <v>70048</v>
      </c>
      <c r="R95" s="17">
        <v>43805</v>
      </c>
      <c r="S95" s="16" t="s">
        <v>6604</v>
      </c>
      <c r="T95" s="16">
        <v>70048</v>
      </c>
      <c r="U95" s="14" t="s">
        <v>109</v>
      </c>
      <c r="V95" s="13">
        <v>4</v>
      </c>
      <c r="W95" s="17">
        <v>44057</v>
      </c>
      <c r="X95" s="14"/>
      <c r="Y95" s="17"/>
      <c r="Z95" s="17"/>
      <c r="AA95" s="14" t="s">
        <v>6605</v>
      </c>
      <c r="AB95" s="14" t="s">
        <v>6606</v>
      </c>
      <c r="AC95" s="14" t="s">
        <v>6607</v>
      </c>
      <c r="AD95" s="20" t="str">
        <f t="shared" si="5"/>
        <v>IoT Applications &gt; Industry Specific &gt; Agriculture &gt; Farms
Computer Vision &gt; Industry Specific Applications &gt; Agriculture &gt; Crops
Crop Tech &gt; Farm Management Software &gt; Diversified</v>
      </c>
      <c r="AE95" s="20" t="str">
        <f t="shared" si="7"/>
        <v>IoT Applications</v>
      </c>
      <c r="AF95" s="20" t="str">
        <f t="shared" si="6"/>
        <v>Industry Specific</v>
      </c>
      <c r="AG95" s="20" t="str">
        <f t="shared" si="6"/>
        <v>Agriculture</v>
      </c>
      <c r="AH95" s="20" t="str">
        <f t="shared" si="6"/>
        <v>Farms
Computer Vision</v>
      </c>
      <c r="AI95" s="20" t="str">
        <f t="shared" si="6"/>
        <v>Industry Specific Applications</v>
      </c>
      <c r="AJ95" s="20" t="str">
        <f t="shared" si="6"/>
        <v>Agriculture</v>
      </c>
      <c r="AK95" s="20" t="str">
        <f t="shared" si="6"/>
        <v>Crops
Crop Tech</v>
      </c>
      <c r="AL95" s="14" t="s">
        <v>6608</v>
      </c>
      <c r="AM95" s="14"/>
      <c r="AO95" s="14"/>
      <c r="AP95" s="14" t="s">
        <v>3994</v>
      </c>
      <c r="AQ95" s="14" t="s">
        <v>6610</v>
      </c>
      <c r="AR95" s="14"/>
      <c r="AS95" s="14" t="s">
        <v>6611</v>
      </c>
      <c r="AT95" s="14" t="s">
        <v>6612</v>
      </c>
      <c r="AU95" s="14" t="s">
        <v>6613</v>
      </c>
      <c r="AV95" s="18"/>
      <c r="AW95" s="16">
        <v>43733.950561714308</v>
      </c>
      <c r="AX95" s="17">
        <v>43465</v>
      </c>
      <c r="AY95" s="15" t="s">
        <v>3123</v>
      </c>
      <c r="AZ95" s="17"/>
      <c r="BA95" s="16"/>
      <c r="BB95" s="14"/>
      <c r="BC95" s="14"/>
      <c r="BD95" s="15" t="s">
        <v>3123</v>
      </c>
      <c r="BE95" s="14"/>
      <c r="BF95" s="17"/>
      <c r="BG95" s="16"/>
      <c r="BH95" s="14"/>
      <c r="BI95" s="15" t="s">
        <v>3123</v>
      </c>
      <c r="BJ95" s="14"/>
      <c r="BK95" s="17"/>
      <c r="BL95" s="16"/>
      <c r="BM95" s="16"/>
      <c r="BN95" s="16"/>
      <c r="BO95" s="16"/>
      <c r="BP95" s="15" t="s">
        <v>3123</v>
      </c>
      <c r="BQ95" s="17"/>
      <c r="BR95" s="14"/>
      <c r="BS95" s="14"/>
      <c r="BT95" s="16"/>
      <c r="BU95" s="16"/>
      <c r="BV95" s="13"/>
      <c r="BW95" s="18" t="s">
        <v>6614</v>
      </c>
      <c r="BX95" s="13">
        <v>200</v>
      </c>
      <c r="BY95" s="17">
        <v>44128</v>
      </c>
      <c r="BZ95" s="18" t="s">
        <v>6615</v>
      </c>
      <c r="CA95" s="18" t="s">
        <v>6616</v>
      </c>
      <c r="CB95" s="18"/>
      <c r="CC95" s="18"/>
      <c r="CD95" s="14" t="s">
        <v>6617</v>
      </c>
      <c r="CE95" s="17">
        <v>42936</v>
      </c>
      <c r="CF95" s="16">
        <v>-9307.4229465344069</v>
      </c>
      <c r="CG95" s="17">
        <v>43465</v>
      </c>
      <c r="CH95" s="16">
        <v>-7137.1004004840133</v>
      </c>
      <c r="CI95" s="17">
        <v>43465</v>
      </c>
      <c r="CJ95" s="16"/>
      <c r="CK95" s="17"/>
      <c r="CL95" s="16"/>
      <c r="CM95" s="17"/>
      <c r="CN95" s="19">
        <v>37.988873251967355</v>
      </c>
      <c r="CO95" s="19"/>
      <c r="CP95" s="17"/>
      <c r="CQ95" s="14" t="s">
        <v>6119</v>
      </c>
      <c r="CR95" s="14" t="s">
        <v>5962</v>
      </c>
      <c r="CS95" s="14" t="s">
        <v>6074</v>
      </c>
    </row>
    <row r="96" spans="1:97" ht="26.15" customHeight="1">
      <c r="A96" s="2">
        <v>204</v>
      </c>
      <c r="B96" s="25" t="s">
        <v>1126</v>
      </c>
      <c r="C96" s="25" t="e">
        <f>VLOOKUP(B96, Sheet6!$A$1:$B$77, 2, FALSE)</f>
        <v>#N/A</v>
      </c>
      <c r="D96" s="25" t="s">
        <v>1127</v>
      </c>
      <c r="E96" s="25" t="s">
        <v>1130</v>
      </c>
      <c r="F96" s="25" t="s">
        <v>7591</v>
      </c>
      <c r="G96" s="25" t="s">
        <v>10955</v>
      </c>
      <c r="H96" s="25" t="s">
        <v>10957</v>
      </c>
      <c r="I96" s="25" t="s">
        <v>10958</v>
      </c>
      <c r="J96" s="26" t="s">
        <v>10842</v>
      </c>
      <c r="L96" s="13"/>
      <c r="M96" s="14" t="s">
        <v>5038</v>
      </c>
      <c r="N96" s="14" t="s">
        <v>5039</v>
      </c>
      <c r="O96" s="14" t="s">
        <v>3994</v>
      </c>
      <c r="P96" s="15" t="s">
        <v>3117</v>
      </c>
      <c r="Q96" s="16">
        <v>680328</v>
      </c>
      <c r="R96" s="17">
        <v>44123</v>
      </c>
      <c r="S96" s="16" t="s">
        <v>6618</v>
      </c>
      <c r="T96" s="16">
        <v>680328</v>
      </c>
      <c r="U96" s="14" t="s">
        <v>34</v>
      </c>
      <c r="V96" s="13">
        <v>4</v>
      </c>
      <c r="W96" s="17">
        <v>43889</v>
      </c>
      <c r="X96" s="14"/>
      <c r="Y96" s="17"/>
      <c r="Z96" s="17"/>
      <c r="AA96" s="14" t="s">
        <v>5442</v>
      </c>
      <c r="AB96" s="14" t="s">
        <v>6619</v>
      </c>
      <c r="AC96" s="14" t="s">
        <v>6620</v>
      </c>
      <c r="AD96" s="20" t="str">
        <f t="shared" si="5"/>
        <v>Livestock Tech &gt; Feeding &gt; Sustainable Feeds &gt; Food Waste Based
CIIE Batches &gt; 2017</v>
      </c>
      <c r="AE96" s="20" t="str">
        <f t="shared" si="7"/>
        <v>Livestock Tech</v>
      </c>
      <c r="AF96" s="20" t="str">
        <f t="shared" si="6"/>
        <v>Feeding</v>
      </c>
      <c r="AG96" s="20" t="str">
        <f t="shared" si="6"/>
        <v>Sustainable Feeds</v>
      </c>
      <c r="AH96" s="20" t="str">
        <f t="shared" si="6"/>
        <v>Food Waste Based
CIIE Batches</v>
      </c>
      <c r="AI96" s="20" t="str">
        <f t="shared" si="6"/>
        <v>2017</v>
      </c>
      <c r="AJ96" s="20" t="str">
        <f t="shared" si="6"/>
        <v/>
      </c>
      <c r="AK96" s="20" t="str">
        <f t="shared" si="6"/>
        <v/>
      </c>
      <c r="AL96" s="14" t="s">
        <v>6621</v>
      </c>
      <c r="AM96" s="14"/>
      <c r="AO96" s="14"/>
      <c r="AP96" s="14" t="s">
        <v>3994</v>
      </c>
      <c r="AQ96" s="14"/>
      <c r="AR96" s="14"/>
      <c r="AS96" s="14" t="s">
        <v>6623</v>
      </c>
      <c r="AT96" s="14" t="s">
        <v>6624</v>
      </c>
      <c r="AU96" s="14" t="s">
        <v>6625</v>
      </c>
      <c r="AV96" s="18"/>
      <c r="AW96" s="16"/>
      <c r="AX96" s="17"/>
      <c r="AY96" s="15" t="s">
        <v>3123</v>
      </c>
      <c r="AZ96" s="17"/>
      <c r="BA96" s="16"/>
      <c r="BB96" s="14"/>
      <c r="BC96" s="14"/>
      <c r="BD96" s="15" t="s">
        <v>3123</v>
      </c>
      <c r="BE96" s="14"/>
      <c r="BF96" s="17"/>
      <c r="BG96" s="16"/>
      <c r="BH96" s="14"/>
      <c r="BI96" s="15" t="s">
        <v>3123</v>
      </c>
      <c r="BJ96" s="14"/>
      <c r="BK96" s="17"/>
      <c r="BL96" s="16"/>
      <c r="BM96" s="16"/>
      <c r="BN96" s="16"/>
      <c r="BO96" s="16"/>
      <c r="BP96" s="15" t="s">
        <v>3123</v>
      </c>
      <c r="BQ96" s="17"/>
      <c r="BR96" s="14"/>
      <c r="BS96" s="14"/>
      <c r="BT96" s="16"/>
      <c r="BU96" s="16"/>
      <c r="BV96" s="13"/>
      <c r="BW96" s="18" t="s">
        <v>6626</v>
      </c>
      <c r="BX96" s="13">
        <v>200</v>
      </c>
      <c r="BY96" s="17">
        <v>44128</v>
      </c>
      <c r="BZ96" s="18" t="s">
        <v>6627</v>
      </c>
      <c r="CA96" s="18"/>
      <c r="CB96" s="18"/>
      <c r="CC96" s="18"/>
      <c r="CD96" s="14" t="s">
        <v>6628</v>
      </c>
      <c r="CE96" s="17">
        <v>43577</v>
      </c>
      <c r="CF96" s="16"/>
      <c r="CG96" s="17"/>
      <c r="CH96" s="16"/>
      <c r="CI96" s="17"/>
      <c r="CJ96" s="16"/>
      <c r="CK96" s="17"/>
      <c r="CL96" s="16"/>
      <c r="CM96" s="17"/>
      <c r="CN96" s="19">
        <v>30.245718471467324</v>
      </c>
      <c r="CO96" s="19"/>
      <c r="CP96" s="17"/>
      <c r="CQ96" s="14" t="s">
        <v>6540</v>
      </c>
      <c r="CR96" s="14" t="s">
        <v>6629</v>
      </c>
      <c r="CS96" s="14" t="s">
        <v>5004</v>
      </c>
    </row>
    <row r="97" spans="1:97" ht="26.15" customHeight="1">
      <c r="A97" s="2">
        <v>319</v>
      </c>
      <c r="B97" s="25" t="s">
        <v>2198</v>
      </c>
      <c r="C97" s="25" t="e">
        <f>VLOOKUP(B97, Sheet6!$A$1:$B$77, 2, FALSE)</f>
        <v>#N/A</v>
      </c>
      <c r="D97" s="25" t="s">
        <v>2199</v>
      </c>
      <c r="E97" s="25" t="s">
        <v>2201</v>
      </c>
      <c r="F97" s="25" t="s">
        <v>8930</v>
      </c>
      <c r="G97" s="25" t="s">
        <v>10955</v>
      </c>
      <c r="H97" s="25" t="s">
        <v>10957</v>
      </c>
      <c r="I97" s="25" t="s">
        <v>10558</v>
      </c>
      <c r="J97" s="25" t="s">
        <v>10846</v>
      </c>
      <c r="L97" s="13">
        <v>2014</v>
      </c>
      <c r="M97" s="14" t="s">
        <v>5222</v>
      </c>
      <c r="N97" s="14" t="s">
        <v>5223</v>
      </c>
      <c r="O97" s="14" t="s">
        <v>3994</v>
      </c>
      <c r="P97" s="15" t="s">
        <v>3117</v>
      </c>
      <c r="Q97" s="16"/>
      <c r="R97" s="17">
        <v>43252</v>
      </c>
      <c r="S97" s="16"/>
      <c r="T97" s="16" t="s">
        <v>50</v>
      </c>
      <c r="U97" s="14" t="s">
        <v>34</v>
      </c>
      <c r="V97" s="13">
        <v>4</v>
      </c>
      <c r="W97" s="17">
        <v>44098</v>
      </c>
      <c r="X97" s="14"/>
      <c r="Y97" s="17"/>
      <c r="Z97" s="17"/>
      <c r="AA97" s="14" t="s">
        <v>6645</v>
      </c>
      <c r="AB97" s="14" t="s">
        <v>6646</v>
      </c>
      <c r="AC97" s="14" t="s">
        <v>6647</v>
      </c>
      <c r="AD97" s="20" t="str">
        <f t="shared" si="5"/>
        <v>Genomics &gt; Applied Genomics &gt; Veterinary Genomics
Livestock Tech &gt; Breeding &gt; Genetic Breeding Services</v>
      </c>
      <c r="AE97" s="20" t="str">
        <f t="shared" si="7"/>
        <v>Genomics</v>
      </c>
      <c r="AF97" s="20" t="str">
        <f t="shared" si="6"/>
        <v>Applied Genomics</v>
      </c>
      <c r="AG97" s="20" t="str">
        <f t="shared" si="6"/>
        <v>Veterinary Genomics
Livestock Tech</v>
      </c>
      <c r="AH97" s="20" t="str">
        <f t="shared" si="6"/>
        <v>Breeding</v>
      </c>
      <c r="AI97" s="20" t="str">
        <f t="shared" si="6"/>
        <v>Genetic Breeding Services</v>
      </c>
      <c r="AJ97" s="20" t="str">
        <f t="shared" si="6"/>
        <v/>
      </c>
      <c r="AK97" s="20" t="str">
        <f t="shared" si="6"/>
        <v/>
      </c>
      <c r="AL97" s="14"/>
      <c r="AM97" s="14"/>
      <c r="AO97" s="14"/>
      <c r="AP97" s="14" t="s">
        <v>3994</v>
      </c>
      <c r="AQ97" s="14"/>
      <c r="AR97" s="14" t="s">
        <v>6649</v>
      </c>
      <c r="AS97" s="14" t="s">
        <v>6650</v>
      </c>
      <c r="AT97" s="14"/>
      <c r="AU97" s="14" t="s">
        <v>6651</v>
      </c>
      <c r="AV97" s="18"/>
      <c r="AW97" s="16">
        <v>262000</v>
      </c>
      <c r="AX97" s="17">
        <v>43465</v>
      </c>
      <c r="AY97" s="15" t="s">
        <v>3123</v>
      </c>
      <c r="AZ97" s="17"/>
      <c r="BA97" s="16"/>
      <c r="BB97" s="14"/>
      <c r="BC97" s="14"/>
      <c r="BD97" s="15" t="s">
        <v>3123</v>
      </c>
      <c r="BE97" s="14"/>
      <c r="BF97" s="17"/>
      <c r="BG97" s="16"/>
      <c r="BH97" s="14"/>
      <c r="BI97" s="15" t="s">
        <v>3123</v>
      </c>
      <c r="BJ97" s="14"/>
      <c r="BK97" s="17"/>
      <c r="BL97" s="16"/>
      <c r="BM97" s="16"/>
      <c r="BN97" s="16"/>
      <c r="BO97" s="16"/>
      <c r="BP97" s="15" t="s">
        <v>3123</v>
      </c>
      <c r="BQ97" s="17"/>
      <c r="BR97" s="14"/>
      <c r="BS97" s="14"/>
      <c r="BT97" s="16"/>
      <c r="BU97" s="16"/>
      <c r="BV97" s="13"/>
      <c r="BW97" s="18" t="s">
        <v>6652</v>
      </c>
      <c r="BX97" s="13">
        <v>200</v>
      </c>
      <c r="BY97" s="17">
        <v>44127</v>
      </c>
      <c r="BZ97" s="18"/>
      <c r="CA97" s="18"/>
      <c r="CB97" s="18"/>
      <c r="CC97" s="18"/>
      <c r="CD97" s="14" t="s">
        <v>6653</v>
      </c>
      <c r="CE97" s="17">
        <v>43655</v>
      </c>
      <c r="CF97" s="16">
        <v>-1673900</v>
      </c>
      <c r="CG97" s="17">
        <v>43465</v>
      </c>
      <c r="CH97" s="16">
        <v>-1605900</v>
      </c>
      <c r="CI97" s="17">
        <v>43465</v>
      </c>
      <c r="CJ97" s="16"/>
      <c r="CK97" s="17"/>
      <c r="CL97" s="16">
        <v>83</v>
      </c>
      <c r="CM97" s="17">
        <v>43830</v>
      </c>
      <c r="CN97" s="19">
        <v>33.243470048740264</v>
      </c>
      <c r="CO97" s="19"/>
      <c r="CP97" s="17"/>
      <c r="CQ97" s="14" t="s">
        <v>5104</v>
      </c>
      <c r="CR97" s="14" t="s">
        <v>5037</v>
      </c>
      <c r="CS97" s="14" t="s">
        <v>5004</v>
      </c>
    </row>
    <row r="98" spans="1:97" ht="26.15" customHeight="1">
      <c r="A98" s="2">
        <v>88</v>
      </c>
      <c r="B98" s="25" t="s">
        <v>1891</v>
      </c>
      <c r="C98" s="25" t="e">
        <f>VLOOKUP(B98, Sheet6!$A$1:$B$77, 2, FALSE)</f>
        <v>#N/A</v>
      </c>
      <c r="D98" s="25" t="s">
        <v>1892</v>
      </c>
      <c r="E98" s="25" t="s">
        <v>1893</v>
      </c>
      <c r="F98" s="25" t="s">
        <v>6158</v>
      </c>
      <c r="G98" s="25" t="s">
        <v>10955</v>
      </c>
      <c r="H98" s="25" t="s">
        <v>10959</v>
      </c>
      <c r="I98" s="25" t="s">
        <v>10958</v>
      </c>
      <c r="J98" s="26" t="s">
        <v>10718</v>
      </c>
      <c r="L98" s="13">
        <v>2015</v>
      </c>
      <c r="M98" s="14" t="s">
        <v>6654</v>
      </c>
      <c r="N98" s="14" t="s">
        <v>6004</v>
      </c>
      <c r="O98" s="14" t="s">
        <v>4343</v>
      </c>
      <c r="P98" s="15" t="s">
        <v>3117</v>
      </c>
      <c r="Q98" s="16"/>
      <c r="R98" s="17">
        <v>43313</v>
      </c>
      <c r="S98" s="16"/>
      <c r="T98" s="16" t="s">
        <v>50</v>
      </c>
      <c r="U98" s="14" t="s">
        <v>34</v>
      </c>
      <c r="V98" s="13">
        <v>4</v>
      </c>
      <c r="W98" s="17">
        <v>44044</v>
      </c>
      <c r="X98" s="14"/>
      <c r="Y98" s="17"/>
      <c r="Z98" s="17"/>
      <c r="AA98" s="14" t="s">
        <v>1</v>
      </c>
      <c r="AB98" s="14" t="s">
        <v>5007</v>
      </c>
      <c r="AC98" s="14" t="s">
        <v>6488</v>
      </c>
      <c r="AD98" s="20" t="str">
        <f t="shared" si="5"/>
        <v>Crop Tech &gt; Autonomous Farming &gt; Irrigation</v>
      </c>
      <c r="AE98" s="20" t="str">
        <f t="shared" si="7"/>
        <v>Crop Tech</v>
      </c>
      <c r="AF98" s="20" t="str">
        <f t="shared" si="6"/>
        <v>Autonomous Farming</v>
      </c>
      <c r="AG98" s="20" t="str">
        <f t="shared" si="6"/>
        <v>Irrigation</v>
      </c>
      <c r="AH98" s="20" t="str">
        <f t="shared" si="6"/>
        <v/>
      </c>
      <c r="AI98" s="20" t="str">
        <f t="shared" si="6"/>
        <v/>
      </c>
      <c r="AJ98" s="20" t="str">
        <f t="shared" si="6"/>
        <v/>
      </c>
      <c r="AK98" s="20" t="str">
        <f t="shared" si="6"/>
        <v/>
      </c>
      <c r="AL98" s="14" t="s">
        <v>6655</v>
      </c>
      <c r="AM98" s="14"/>
      <c r="AO98" s="14"/>
      <c r="AP98" s="14" t="s">
        <v>4343</v>
      </c>
      <c r="AQ98" s="14" t="s">
        <v>6657</v>
      </c>
      <c r="AR98" s="14" t="s">
        <v>6658</v>
      </c>
      <c r="AS98" s="14" t="s">
        <v>6659</v>
      </c>
      <c r="AT98" s="14" t="s">
        <v>6660</v>
      </c>
      <c r="AU98" s="14" t="s">
        <v>6661</v>
      </c>
      <c r="AV98" s="18"/>
      <c r="AW98" s="16"/>
      <c r="AX98" s="17"/>
      <c r="AY98" s="15" t="s">
        <v>3123</v>
      </c>
      <c r="AZ98" s="17"/>
      <c r="BA98" s="16"/>
      <c r="BB98" s="14"/>
      <c r="BC98" s="14"/>
      <c r="BD98" s="15" t="s">
        <v>3123</v>
      </c>
      <c r="BE98" s="14"/>
      <c r="BF98" s="17"/>
      <c r="BG98" s="16"/>
      <c r="BH98" s="14"/>
      <c r="BI98" s="15" t="s">
        <v>3123</v>
      </c>
      <c r="BJ98" s="14"/>
      <c r="BK98" s="17"/>
      <c r="BL98" s="16"/>
      <c r="BM98" s="16"/>
      <c r="BN98" s="16"/>
      <c r="BO98" s="16"/>
      <c r="BP98" s="15" t="s">
        <v>3123</v>
      </c>
      <c r="BQ98" s="17"/>
      <c r="BR98" s="14"/>
      <c r="BS98" s="14"/>
      <c r="BT98" s="16"/>
      <c r="BU98" s="16"/>
      <c r="BV98" s="13"/>
      <c r="BW98" s="18" t="s">
        <v>6662</v>
      </c>
      <c r="BX98" s="13">
        <v>200</v>
      </c>
      <c r="BY98" s="17">
        <v>44128</v>
      </c>
      <c r="BZ98" s="18" t="s">
        <v>6663</v>
      </c>
      <c r="CA98" s="18"/>
      <c r="CB98" s="18"/>
      <c r="CC98" s="18"/>
      <c r="CD98" s="14" t="s">
        <v>6664</v>
      </c>
      <c r="CE98" s="17">
        <v>44040</v>
      </c>
      <c r="CF98" s="16"/>
      <c r="CG98" s="17"/>
      <c r="CH98" s="16"/>
      <c r="CI98" s="17"/>
      <c r="CJ98" s="16"/>
      <c r="CK98" s="17"/>
      <c r="CL98" s="16"/>
      <c r="CM98" s="17"/>
      <c r="CN98" s="19">
        <v>22.582618249423493</v>
      </c>
      <c r="CO98" s="19"/>
      <c r="CP98" s="17"/>
      <c r="CQ98" s="14" t="s">
        <v>5104</v>
      </c>
      <c r="CR98" s="14" t="s">
        <v>6665</v>
      </c>
      <c r="CS98" s="14" t="s">
        <v>5311</v>
      </c>
    </row>
    <row r="99" spans="1:97" ht="26.15" customHeight="1">
      <c r="A99" s="2">
        <v>429</v>
      </c>
      <c r="B99" s="25" t="s">
        <v>2859</v>
      </c>
      <c r="C99" s="25" t="e">
        <f>VLOOKUP(B99, Sheet6!$A$1:$B$77, 2, FALSE)</f>
        <v>#N/A</v>
      </c>
      <c r="D99" s="25" t="s">
        <v>2860</v>
      </c>
      <c r="E99" s="25" t="s">
        <v>2861</v>
      </c>
      <c r="F99" s="25" t="s">
        <v>9500</v>
      </c>
      <c r="G99" s="25" t="s">
        <v>10955</v>
      </c>
      <c r="H99" s="25" t="s">
        <v>10558</v>
      </c>
      <c r="I99" s="25" t="s">
        <v>10558</v>
      </c>
      <c r="J99" s="25" t="s">
        <v>10846</v>
      </c>
      <c r="L99" s="13">
        <v>2015</v>
      </c>
      <c r="M99" s="14" t="s">
        <v>6666</v>
      </c>
      <c r="N99" s="14" t="s">
        <v>6380</v>
      </c>
      <c r="O99" s="14" t="s">
        <v>4343</v>
      </c>
      <c r="P99" s="15" t="s">
        <v>3117</v>
      </c>
      <c r="Q99" s="16">
        <v>2000000</v>
      </c>
      <c r="R99" s="17">
        <v>43557</v>
      </c>
      <c r="S99" s="16" t="s">
        <v>5456</v>
      </c>
      <c r="T99" s="16">
        <v>4253253</v>
      </c>
      <c r="U99" s="14" t="s">
        <v>34</v>
      </c>
      <c r="V99" s="13">
        <v>4</v>
      </c>
      <c r="W99" s="17">
        <v>44039</v>
      </c>
      <c r="X99" s="14"/>
      <c r="Y99" s="17"/>
      <c r="Z99" s="17"/>
      <c r="AA99" s="14" t="s">
        <v>1</v>
      </c>
      <c r="AB99" s="14" t="s">
        <v>5007</v>
      </c>
      <c r="AC99" s="14" t="s">
        <v>6667</v>
      </c>
      <c r="AD99" s="20" t="str">
        <f t="shared" si="5"/>
        <v>Crop Tech &gt; Autonomous Farming &gt; Growing Systems &gt; Hydroponics</v>
      </c>
      <c r="AE99" s="20" t="str">
        <f t="shared" si="7"/>
        <v>Crop Tech</v>
      </c>
      <c r="AF99" s="20" t="str">
        <f t="shared" si="6"/>
        <v>Autonomous Farming</v>
      </c>
      <c r="AG99" s="20" t="str">
        <f t="shared" si="6"/>
        <v>Growing Systems</v>
      </c>
      <c r="AH99" s="20" t="str">
        <f t="shared" si="6"/>
        <v>Hydroponics</v>
      </c>
      <c r="AI99" s="20" t="str">
        <f t="shared" si="6"/>
        <v/>
      </c>
      <c r="AJ99" s="20" t="str">
        <f t="shared" si="6"/>
        <v/>
      </c>
      <c r="AK99" s="20" t="str">
        <f t="shared" si="6"/>
        <v/>
      </c>
      <c r="AL99" s="14" t="s">
        <v>1441</v>
      </c>
      <c r="AM99" s="14" t="s">
        <v>1102</v>
      </c>
      <c r="AO99" s="14"/>
      <c r="AP99" s="14" t="s">
        <v>4343</v>
      </c>
      <c r="AQ99" s="14" t="s">
        <v>6669</v>
      </c>
      <c r="AR99" s="14" t="s">
        <v>6670</v>
      </c>
      <c r="AS99" s="14" t="s">
        <v>6671</v>
      </c>
      <c r="AT99" s="14" t="s">
        <v>6672</v>
      </c>
      <c r="AU99" s="14" t="s">
        <v>6673</v>
      </c>
      <c r="AV99" s="18"/>
      <c r="AW99" s="16"/>
      <c r="AX99" s="17"/>
      <c r="AY99" s="15" t="s">
        <v>3123</v>
      </c>
      <c r="AZ99" s="17"/>
      <c r="BA99" s="16"/>
      <c r="BB99" s="14"/>
      <c r="BC99" s="14"/>
      <c r="BD99" s="15" t="s">
        <v>3123</v>
      </c>
      <c r="BE99" s="14"/>
      <c r="BF99" s="17"/>
      <c r="BG99" s="16"/>
      <c r="BH99" s="14"/>
      <c r="BI99" s="15" t="s">
        <v>3123</v>
      </c>
      <c r="BJ99" s="14"/>
      <c r="BK99" s="17"/>
      <c r="BL99" s="16"/>
      <c r="BM99" s="16"/>
      <c r="BN99" s="16"/>
      <c r="BO99" s="16"/>
      <c r="BP99" s="15" t="s">
        <v>3123</v>
      </c>
      <c r="BQ99" s="17"/>
      <c r="BR99" s="14"/>
      <c r="BS99" s="14"/>
      <c r="BT99" s="16"/>
      <c r="BU99" s="16"/>
      <c r="BV99" s="13"/>
      <c r="BW99" s="18" t="s">
        <v>6674</v>
      </c>
      <c r="BX99" s="13">
        <v>404</v>
      </c>
      <c r="BY99" s="17">
        <v>44127</v>
      </c>
      <c r="BZ99" s="18" t="s">
        <v>6675</v>
      </c>
      <c r="CA99" s="18"/>
      <c r="CB99" s="18" t="s">
        <v>6676</v>
      </c>
      <c r="CC99" s="18" t="s">
        <v>6677</v>
      </c>
      <c r="CD99" s="14" t="s">
        <v>6678</v>
      </c>
      <c r="CE99" s="17">
        <v>44039</v>
      </c>
      <c r="CF99" s="16"/>
      <c r="CG99" s="17"/>
      <c r="CH99" s="16"/>
      <c r="CI99" s="17"/>
      <c r="CJ99" s="16"/>
      <c r="CK99" s="17"/>
      <c r="CL99" s="16"/>
      <c r="CM99" s="17"/>
      <c r="CN99" s="19">
        <v>27.849743360829102</v>
      </c>
      <c r="CO99" s="19"/>
      <c r="CP99" s="17"/>
      <c r="CQ99" s="14" t="s">
        <v>6679</v>
      </c>
      <c r="CR99" s="14" t="s">
        <v>6680</v>
      </c>
      <c r="CS99" s="14" t="s">
        <v>5004</v>
      </c>
    </row>
    <row r="100" spans="1:97" ht="26.15" customHeight="1">
      <c r="A100" s="2">
        <v>259</v>
      </c>
      <c r="B100" s="25" t="s">
        <v>1417</v>
      </c>
      <c r="C100" s="25" t="e">
        <f>VLOOKUP(B100, Sheet6!$A$1:$B$77, 2, FALSE)</f>
        <v>#N/A</v>
      </c>
      <c r="D100" s="25" t="s">
        <v>1418</v>
      </c>
      <c r="E100" s="25" t="s">
        <v>1422</v>
      </c>
      <c r="F100" s="25" t="s">
        <v>8278</v>
      </c>
      <c r="G100" s="25" t="s">
        <v>10955</v>
      </c>
      <c r="H100" s="25" t="s">
        <v>10558</v>
      </c>
      <c r="I100" s="25" t="s">
        <v>11101</v>
      </c>
      <c r="J100" s="25" t="s">
        <v>10846</v>
      </c>
      <c r="L100" s="13">
        <v>2017</v>
      </c>
      <c r="M100" s="14" t="s">
        <v>5067</v>
      </c>
      <c r="N100" s="14" t="s">
        <v>5068</v>
      </c>
      <c r="O100" s="14" t="s">
        <v>3994</v>
      </c>
      <c r="P100" s="15" t="s">
        <v>3117</v>
      </c>
      <c r="Q100" s="16">
        <v>5386498</v>
      </c>
      <c r="R100" s="17">
        <v>43231</v>
      </c>
      <c r="S100" s="16" t="s">
        <v>6681</v>
      </c>
      <c r="T100" s="16">
        <v>386498</v>
      </c>
      <c r="U100" s="14" t="s">
        <v>109</v>
      </c>
      <c r="V100" s="13">
        <v>4</v>
      </c>
      <c r="W100" s="17">
        <v>44032</v>
      </c>
      <c r="X100" s="14" t="s">
        <v>5052</v>
      </c>
      <c r="Y100" s="17">
        <v>43847</v>
      </c>
      <c r="Z100" s="17">
        <v>43157</v>
      </c>
      <c r="AA100" s="14" t="s">
        <v>1</v>
      </c>
      <c r="AB100" s="14" t="s">
        <v>5007</v>
      </c>
      <c r="AC100" s="14" t="s">
        <v>968</v>
      </c>
      <c r="AD100" s="20" t="str">
        <f t="shared" si="5"/>
        <v>Crop Tech &gt; Content Platforms &gt; Farming Advice &gt; Expert Advisors</v>
      </c>
      <c r="AE100" s="20" t="str">
        <f t="shared" si="7"/>
        <v>Crop Tech</v>
      </c>
      <c r="AF100" s="20" t="str">
        <f t="shared" si="6"/>
        <v>Content Platforms</v>
      </c>
      <c r="AG100" s="20" t="str">
        <f t="shared" si="6"/>
        <v>Farming Advice</v>
      </c>
      <c r="AH100" s="20" t="str">
        <f t="shared" si="6"/>
        <v>Expert Advisors</v>
      </c>
      <c r="AI100" s="20" t="str">
        <f t="shared" si="6"/>
        <v/>
      </c>
      <c r="AJ100" s="20" t="str">
        <f t="shared" si="6"/>
        <v/>
      </c>
      <c r="AK100" s="20" t="str">
        <f t="shared" si="6"/>
        <v/>
      </c>
      <c r="AL100" s="14" t="s">
        <v>6682</v>
      </c>
      <c r="AM100" s="14"/>
      <c r="AO100" s="14"/>
      <c r="AP100" s="14" t="s">
        <v>3994</v>
      </c>
      <c r="AQ100" s="14" t="s">
        <v>6684</v>
      </c>
      <c r="AR100" s="14" t="s">
        <v>6685</v>
      </c>
      <c r="AS100" s="14" t="s">
        <v>6686</v>
      </c>
      <c r="AT100" s="14" t="s">
        <v>6687</v>
      </c>
      <c r="AU100" s="14" t="s">
        <v>6688</v>
      </c>
      <c r="AV100" s="18"/>
      <c r="AW100" s="16"/>
      <c r="AX100" s="17"/>
      <c r="AY100" s="15" t="s">
        <v>3117</v>
      </c>
      <c r="AZ100" s="17">
        <v>43031</v>
      </c>
      <c r="BA100" s="16">
        <v>1558</v>
      </c>
      <c r="BB100" s="14" t="s">
        <v>6689</v>
      </c>
      <c r="BC100" s="14"/>
      <c r="BD100" s="15" t="s">
        <v>3123</v>
      </c>
      <c r="BE100" s="14"/>
      <c r="BF100" s="17"/>
      <c r="BG100" s="16"/>
      <c r="BH100" s="14"/>
      <c r="BI100" s="15" t="s">
        <v>3123</v>
      </c>
      <c r="BJ100" s="14"/>
      <c r="BK100" s="17"/>
      <c r="BL100" s="16"/>
      <c r="BM100" s="16"/>
      <c r="BN100" s="16"/>
      <c r="BO100" s="16"/>
      <c r="BP100" s="15" t="s">
        <v>3123</v>
      </c>
      <c r="BQ100" s="17"/>
      <c r="BR100" s="14"/>
      <c r="BS100" s="14"/>
      <c r="BT100" s="16"/>
      <c r="BU100" s="16"/>
      <c r="BV100" s="13"/>
      <c r="BW100" s="18" t="s">
        <v>6690</v>
      </c>
      <c r="BX100" s="13">
        <v>200</v>
      </c>
      <c r="BY100" s="17">
        <v>44127</v>
      </c>
      <c r="BZ100" s="18"/>
      <c r="CA100" s="18" t="s">
        <v>6691</v>
      </c>
      <c r="CB100" s="18"/>
      <c r="CC100" s="18"/>
      <c r="CD100" s="14" t="s">
        <v>6692</v>
      </c>
      <c r="CE100" s="17">
        <v>43193</v>
      </c>
      <c r="CF100" s="16"/>
      <c r="CG100" s="17"/>
      <c r="CH100" s="16"/>
      <c r="CI100" s="17"/>
      <c r="CJ100" s="16">
        <v>1000000</v>
      </c>
      <c r="CK100" s="17">
        <v>43231</v>
      </c>
      <c r="CL100" s="16"/>
      <c r="CM100" s="17"/>
      <c r="CN100" s="19">
        <v>41.673976913244623</v>
      </c>
      <c r="CO100" s="19"/>
      <c r="CP100" s="17"/>
      <c r="CQ100" s="14" t="s">
        <v>5309</v>
      </c>
      <c r="CR100" s="14" t="s">
        <v>6050</v>
      </c>
      <c r="CS100" s="14" t="s">
        <v>5004</v>
      </c>
    </row>
    <row r="101" spans="1:97" ht="26.15" customHeight="1">
      <c r="A101" s="2">
        <v>155</v>
      </c>
      <c r="B101" s="25" t="s">
        <v>1490</v>
      </c>
      <c r="C101" s="25" t="e">
        <f>VLOOKUP(B101, Sheet6!$A$1:$B$77, 2, FALSE)</f>
        <v>#N/A</v>
      </c>
      <c r="D101" s="25" t="s">
        <v>1491</v>
      </c>
      <c r="E101" s="25" t="s">
        <v>1495</v>
      </c>
      <c r="F101" s="25" t="s">
        <v>6997</v>
      </c>
      <c r="G101" s="25" t="s">
        <v>10955</v>
      </c>
      <c r="H101" s="25" t="s">
        <v>10959</v>
      </c>
      <c r="I101" s="25" t="s">
        <v>10958</v>
      </c>
      <c r="J101" s="26" t="s">
        <v>10846</v>
      </c>
      <c r="L101" s="13">
        <v>2017</v>
      </c>
      <c r="M101" s="14" t="s">
        <v>5592</v>
      </c>
      <c r="N101" s="14" t="s">
        <v>5313</v>
      </c>
      <c r="O101" s="14" t="s">
        <v>3994</v>
      </c>
      <c r="P101" s="15" t="s">
        <v>3117</v>
      </c>
      <c r="Q101" s="16">
        <v>3160468</v>
      </c>
      <c r="R101" s="17">
        <v>44132</v>
      </c>
      <c r="S101" s="16" t="s">
        <v>5134</v>
      </c>
      <c r="T101" s="16">
        <v>1273650</v>
      </c>
      <c r="U101" s="14" t="s">
        <v>34</v>
      </c>
      <c r="V101" s="13">
        <v>4</v>
      </c>
      <c r="W101" s="17">
        <v>44078</v>
      </c>
      <c r="X101" s="14"/>
      <c r="Y101" s="17"/>
      <c r="Z101" s="17"/>
      <c r="AA101" s="14" t="s">
        <v>1</v>
      </c>
      <c r="AB101" s="14" t="s">
        <v>5007</v>
      </c>
      <c r="AC101" s="14" t="s">
        <v>5192</v>
      </c>
      <c r="AD101" s="20" t="str">
        <f t="shared" ref="AD101:AD156" si="8">IF(IFERROR(LEFT($A101, SEARCH(CHAR(10),$A101)-1),AC101)=0,"",IFERROR(LEFT($A101, SEARCH(CHAR(10),$A101)-1),AC101))</f>
        <v>Crop Tech &gt; Farm Management Software &gt; Diversified</v>
      </c>
      <c r="AE101" s="20" t="str">
        <f t="shared" si="7"/>
        <v>Crop Tech</v>
      </c>
      <c r="AF101" s="20" t="str">
        <f t="shared" si="6"/>
        <v>Farm Management Software</v>
      </c>
      <c r="AG101" s="20" t="str">
        <f t="shared" si="6"/>
        <v>Diversified</v>
      </c>
      <c r="AH101" s="20" t="str">
        <f t="shared" si="6"/>
        <v/>
      </c>
      <c r="AI101" s="20" t="str">
        <f t="shared" si="6"/>
        <v/>
      </c>
      <c r="AJ101" s="20" t="str">
        <f t="shared" si="6"/>
        <v/>
      </c>
      <c r="AK101" s="20" t="str">
        <f t="shared" si="6"/>
        <v/>
      </c>
      <c r="AL101" s="14" t="s">
        <v>6693</v>
      </c>
      <c r="AM101" s="14" t="s">
        <v>6694</v>
      </c>
      <c r="AO101" s="14"/>
      <c r="AP101" s="14" t="s">
        <v>3994</v>
      </c>
      <c r="AQ101" s="14" t="s">
        <v>6696</v>
      </c>
      <c r="AR101" s="14" t="s">
        <v>6697</v>
      </c>
      <c r="AS101" s="14" t="s">
        <v>6698</v>
      </c>
      <c r="AT101" s="14" t="s">
        <v>6699</v>
      </c>
      <c r="AU101" s="14" t="s">
        <v>6700</v>
      </c>
      <c r="AV101" s="18"/>
      <c r="AW101" s="16">
        <v>93300</v>
      </c>
      <c r="AX101" s="17">
        <v>43465</v>
      </c>
      <c r="AY101" s="15" t="s">
        <v>3123</v>
      </c>
      <c r="AZ101" s="17"/>
      <c r="BA101" s="16"/>
      <c r="BB101" s="14"/>
      <c r="BC101" s="14"/>
      <c r="BD101" s="15" t="s">
        <v>3123</v>
      </c>
      <c r="BE101" s="14"/>
      <c r="BF101" s="17"/>
      <c r="BG101" s="16"/>
      <c r="BH101" s="14"/>
      <c r="BI101" s="15" t="s">
        <v>3123</v>
      </c>
      <c r="BJ101" s="14"/>
      <c r="BK101" s="17"/>
      <c r="BL101" s="16"/>
      <c r="BM101" s="16"/>
      <c r="BN101" s="16"/>
      <c r="BO101" s="16"/>
      <c r="BP101" s="15" t="s">
        <v>3123</v>
      </c>
      <c r="BQ101" s="17"/>
      <c r="BR101" s="14"/>
      <c r="BS101" s="14"/>
      <c r="BT101" s="16"/>
      <c r="BU101" s="16"/>
      <c r="BV101" s="13"/>
      <c r="BW101" s="18" t="s">
        <v>6701</v>
      </c>
      <c r="BX101" s="13">
        <v>200</v>
      </c>
      <c r="BY101" s="17">
        <v>44127</v>
      </c>
      <c r="BZ101" s="18" t="s">
        <v>6702</v>
      </c>
      <c r="CA101" s="18" t="s">
        <v>6703</v>
      </c>
      <c r="CB101" s="18" t="s">
        <v>6704</v>
      </c>
      <c r="CC101" s="18" t="s">
        <v>6705</v>
      </c>
      <c r="CD101" s="14" t="s">
        <v>6706</v>
      </c>
      <c r="CE101" s="17">
        <v>44078</v>
      </c>
      <c r="CF101" s="16">
        <v>-50600</v>
      </c>
      <c r="CG101" s="17">
        <v>43465</v>
      </c>
      <c r="CH101" s="16">
        <v>-50200</v>
      </c>
      <c r="CI101" s="17">
        <v>43465</v>
      </c>
      <c r="CJ101" s="16">
        <v>3000000</v>
      </c>
      <c r="CK101" s="17">
        <v>43637</v>
      </c>
      <c r="CL101" s="16">
        <v>27</v>
      </c>
      <c r="CM101" s="17">
        <v>44012</v>
      </c>
      <c r="CN101" s="19">
        <v>51.087329090011707</v>
      </c>
      <c r="CO101" s="19"/>
      <c r="CP101" s="17"/>
      <c r="CQ101" s="14" t="s">
        <v>5309</v>
      </c>
      <c r="CR101" s="14" t="s">
        <v>6050</v>
      </c>
      <c r="CS101" s="14" t="s">
        <v>5004</v>
      </c>
    </row>
    <row r="102" spans="1:97" ht="26.15" customHeight="1">
      <c r="A102" s="2">
        <v>374</v>
      </c>
      <c r="B102" s="25" t="s">
        <v>2532</v>
      </c>
      <c r="C102" s="25" t="e">
        <f>VLOOKUP(B102, Sheet6!$A$1:$B$77, 2, FALSE)</f>
        <v>#N/A</v>
      </c>
      <c r="D102" s="25" t="s">
        <v>2533</v>
      </c>
      <c r="E102" s="25" t="s">
        <v>2534</v>
      </c>
      <c r="F102" s="25" t="s">
        <v>9183</v>
      </c>
      <c r="G102" s="25" t="s">
        <v>10955</v>
      </c>
      <c r="H102" s="25" t="s">
        <v>10967</v>
      </c>
      <c r="I102" s="25" t="s">
        <v>10558</v>
      </c>
      <c r="J102" s="25" t="s">
        <v>10718</v>
      </c>
      <c r="L102" s="13">
        <v>2012</v>
      </c>
      <c r="M102" s="14" t="s">
        <v>6707</v>
      </c>
      <c r="N102" s="14" t="s">
        <v>6708</v>
      </c>
      <c r="O102" s="14" t="s">
        <v>6297</v>
      </c>
      <c r="P102" s="15" t="s">
        <v>3117</v>
      </c>
      <c r="Q102" s="16"/>
      <c r="R102" s="17">
        <v>43832</v>
      </c>
      <c r="S102" s="16"/>
      <c r="T102" s="16" t="s">
        <v>50</v>
      </c>
      <c r="U102" s="14" t="s">
        <v>109</v>
      </c>
      <c r="V102" s="13">
        <v>3</v>
      </c>
      <c r="W102" s="17">
        <v>44019</v>
      </c>
      <c r="X102" s="14"/>
      <c r="Y102" s="17"/>
      <c r="Z102" s="17"/>
      <c r="AA102" s="14" t="s">
        <v>1</v>
      </c>
      <c r="AB102" s="14" t="s">
        <v>5007</v>
      </c>
      <c r="AC102" s="14" t="s">
        <v>968</v>
      </c>
      <c r="AD102" s="20" t="str">
        <f t="shared" si="8"/>
        <v>Crop Tech &gt; Content Platforms &gt; Farming Advice &gt; Expert Advisors</v>
      </c>
      <c r="AE102" s="20" t="str">
        <f t="shared" si="7"/>
        <v>Crop Tech</v>
      </c>
      <c r="AF102" s="20" t="str">
        <f t="shared" si="6"/>
        <v>Content Platforms</v>
      </c>
      <c r="AG102" s="20" t="str">
        <f t="shared" si="6"/>
        <v>Farming Advice</v>
      </c>
      <c r="AH102" s="20" t="str">
        <f t="shared" si="6"/>
        <v>Expert Advisors</v>
      </c>
      <c r="AI102" s="20" t="str">
        <f t="shared" si="6"/>
        <v/>
      </c>
      <c r="AJ102" s="20" t="str">
        <f t="shared" si="6"/>
        <v/>
      </c>
      <c r="AK102" s="20" t="str">
        <f t="shared" si="6"/>
        <v/>
      </c>
      <c r="AL102" s="14" t="s">
        <v>605</v>
      </c>
      <c r="AM102" s="14"/>
      <c r="AO102" s="14"/>
      <c r="AP102" s="14" t="s">
        <v>6297</v>
      </c>
      <c r="AQ102" s="14"/>
      <c r="AR102" s="14" t="s">
        <v>6710</v>
      </c>
      <c r="AS102" s="14"/>
      <c r="AT102" s="14"/>
      <c r="AU102" s="14"/>
      <c r="AV102" s="18"/>
      <c r="AW102" s="16"/>
      <c r="AX102" s="17"/>
      <c r="AY102" s="15" t="s">
        <v>3123</v>
      </c>
      <c r="AZ102" s="17"/>
      <c r="BA102" s="16"/>
      <c r="BB102" s="14"/>
      <c r="BC102" s="14"/>
      <c r="BD102" s="15" t="s">
        <v>3123</v>
      </c>
      <c r="BE102" s="14"/>
      <c r="BF102" s="17"/>
      <c r="BG102" s="16"/>
      <c r="BH102" s="14"/>
      <c r="BI102" s="15" t="s">
        <v>3123</v>
      </c>
      <c r="BJ102" s="14"/>
      <c r="BK102" s="17"/>
      <c r="BL102" s="16"/>
      <c r="BM102" s="16"/>
      <c r="BN102" s="16"/>
      <c r="BO102" s="16"/>
      <c r="BP102" s="15" t="s">
        <v>3123</v>
      </c>
      <c r="BQ102" s="17"/>
      <c r="BR102" s="14"/>
      <c r="BS102" s="14"/>
      <c r="BT102" s="16"/>
      <c r="BU102" s="16"/>
      <c r="BV102" s="13"/>
      <c r="BW102" s="18" t="s">
        <v>6711</v>
      </c>
      <c r="BX102" s="13">
        <v>200</v>
      </c>
      <c r="BY102" s="17">
        <v>44127</v>
      </c>
      <c r="BZ102" s="18"/>
      <c r="CA102" s="18"/>
      <c r="CB102" s="18"/>
      <c r="CC102" s="18"/>
      <c r="CD102" s="14" t="s">
        <v>6712</v>
      </c>
      <c r="CE102" s="17">
        <v>43032</v>
      </c>
      <c r="CF102" s="16"/>
      <c r="CG102" s="17"/>
      <c r="CH102" s="16"/>
      <c r="CI102" s="17"/>
      <c r="CJ102" s="16"/>
      <c r="CK102" s="17"/>
      <c r="CL102" s="16"/>
      <c r="CM102" s="17"/>
      <c r="CN102" s="19">
        <v>14.975092507056548</v>
      </c>
      <c r="CO102" s="19"/>
      <c r="CP102" s="17"/>
      <c r="CQ102" s="14" t="s">
        <v>5104</v>
      </c>
      <c r="CR102" s="14" t="s">
        <v>5962</v>
      </c>
      <c r="CS102" s="14" t="s">
        <v>5945</v>
      </c>
    </row>
    <row r="103" spans="1:97" ht="26.15" customHeight="1">
      <c r="A103" s="2">
        <v>131</v>
      </c>
      <c r="B103" s="25" t="s">
        <v>602</v>
      </c>
      <c r="C103" s="25" t="e">
        <f>VLOOKUP(B103, Sheet6!$A$1:$B$77, 2, FALSE)</f>
        <v>#N/A</v>
      </c>
      <c r="D103" s="25" t="s">
        <v>603</v>
      </c>
      <c r="E103" s="25" t="s">
        <v>606</v>
      </c>
      <c r="F103" s="25" t="s">
        <v>6709</v>
      </c>
      <c r="G103" s="25" t="s">
        <v>10955</v>
      </c>
      <c r="H103" s="25" t="s">
        <v>10959</v>
      </c>
      <c r="I103" s="25" t="s">
        <v>10958</v>
      </c>
      <c r="J103" s="26" t="s">
        <v>10842</v>
      </c>
      <c r="L103" s="13">
        <v>2016</v>
      </c>
      <c r="M103" s="14" t="s">
        <v>5038</v>
      </c>
      <c r="N103" s="14" t="s">
        <v>5039</v>
      </c>
      <c r="O103" s="14" t="s">
        <v>3994</v>
      </c>
      <c r="P103" s="15" t="s">
        <v>3117</v>
      </c>
      <c r="Q103" s="16">
        <v>23189</v>
      </c>
      <c r="R103" s="17">
        <v>42916</v>
      </c>
      <c r="S103" s="16" t="s">
        <v>6713</v>
      </c>
      <c r="T103" s="16">
        <v>23189</v>
      </c>
      <c r="U103" s="14" t="s">
        <v>34</v>
      </c>
      <c r="V103" s="13">
        <v>2</v>
      </c>
      <c r="W103" s="17">
        <v>44098</v>
      </c>
      <c r="X103" s="14"/>
      <c r="Y103" s="17"/>
      <c r="Z103" s="17"/>
      <c r="AA103" s="14" t="s">
        <v>1</v>
      </c>
      <c r="AB103" s="14" t="s">
        <v>5007</v>
      </c>
      <c r="AC103" s="14" t="s">
        <v>5393</v>
      </c>
      <c r="AD103" s="20" t="str">
        <f t="shared" si="8"/>
        <v>Crop Tech &gt; ECommerce &gt; Farm Produce &gt; B2B &gt; Fruits and Vegetables &gt; Marketplace</v>
      </c>
      <c r="AE103" s="20" t="str">
        <f t="shared" si="7"/>
        <v>Crop Tech</v>
      </c>
      <c r="AF103" s="20" t="str">
        <f t="shared" si="6"/>
        <v>ECommerce</v>
      </c>
      <c r="AG103" s="20" t="str">
        <f t="shared" si="6"/>
        <v>Farm Produce</v>
      </c>
      <c r="AH103" s="20" t="str">
        <f t="shared" si="6"/>
        <v>B2B</v>
      </c>
      <c r="AI103" s="20" t="str">
        <f t="shared" si="6"/>
        <v>Fruits and Vegetables</v>
      </c>
      <c r="AJ103" s="20" t="str">
        <f t="shared" si="6"/>
        <v>Marketplace</v>
      </c>
      <c r="AK103" s="20" t="str">
        <f t="shared" si="6"/>
        <v/>
      </c>
      <c r="AL103" s="14" t="s">
        <v>6714</v>
      </c>
      <c r="AM103" s="14"/>
      <c r="AO103" s="14"/>
      <c r="AP103" s="14" t="s">
        <v>3994</v>
      </c>
      <c r="AQ103" s="14" t="s">
        <v>6716</v>
      </c>
      <c r="AR103" s="14" t="s">
        <v>6717</v>
      </c>
      <c r="AS103" s="14" t="s">
        <v>6718</v>
      </c>
      <c r="AT103" s="14" t="s">
        <v>6719</v>
      </c>
      <c r="AU103" s="14" t="s">
        <v>6720</v>
      </c>
      <c r="AV103" s="18"/>
      <c r="AW103" s="16">
        <v>14300</v>
      </c>
      <c r="AX103" s="17">
        <v>43465</v>
      </c>
      <c r="AY103" s="15" t="s">
        <v>3117</v>
      </c>
      <c r="AZ103" s="17">
        <v>42516</v>
      </c>
      <c r="BA103" s="16">
        <v>148</v>
      </c>
      <c r="BB103" s="14" t="s">
        <v>6721</v>
      </c>
      <c r="BC103" s="14"/>
      <c r="BD103" s="15" t="s">
        <v>3123</v>
      </c>
      <c r="BE103" s="14"/>
      <c r="BF103" s="17"/>
      <c r="BG103" s="16"/>
      <c r="BH103" s="14"/>
      <c r="BI103" s="15" t="s">
        <v>3123</v>
      </c>
      <c r="BJ103" s="14"/>
      <c r="BK103" s="17"/>
      <c r="BL103" s="16"/>
      <c r="BM103" s="16"/>
      <c r="BN103" s="16"/>
      <c r="BO103" s="16"/>
      <c r="BP103" s="15" t="s">
        <v>3123</v>
      </c>
      <c r="BQ103" s="17"/>
      <c r="BR103" s="14"/>
      <c r="BS103" s="14"/>
      <c r="BT103" s="16"/>
      <c r="BU103" s="16"/>
      <c r="BV103" s="13"/>
      <c r="BW103" s="18" t="s">
        <v>6722</v>
      </c>
      <c r="BX103" s="13">
        <v>301</v>
      </c>
      <c r="BY103" s="17">
        <v>44135</v>
      </c>
      <c r="BZ103" s="18" t="s">
        <v>6723</v>
      </c>
      <c r="CA103" s="18"/>
      <c r="CB103" s="18"/>
      <c r="CC103" s="18"/>
      <c r="CD103" s="14" t="s">
        <v>6724</v>
      </c>
      <c r="CE103" s="17">
        <v>43185</v>
      </c>
      <c r="CF103" s="16">
        <v>-12700</v>
      </c>
      <c r="CG103" s="17">
        <v>43465</v>
      </c>
      <c r="CH103" s="16">
        <v>-12000</v>
      </c>
      <c r="CI103" s="17">
        <v>43465</v>
      </c>
      <c r="CJ103" s="16"/>
      <c r="CK103" s="17"/>
      <c r="CL103" s="16"/>
      <c r="CM103" s="17"/>
      <c r="CN103" s="19">
        <v>14.486817066190106</v>
      </c>
      <c r="CO103" s="19"/>
      <c r="CP103" s="17"/>
      <c r="CQ103" s="14" t="s">
        <v>5002</v>
      </c>
      <c r="CR103" s="14" t="s">
        <v>6557</v>
      </c>
      <c r="CS103" s="14" t="s">
        <v>5945</v>
      </c>
    </row>
    <row r="104" spans="1:97" ht="26.15" customHeight="1">
      <c r="A104" s="2">
        <v>32</v>
      </c>
      <c r="B104" s="25" t="s">
        <v>2083</v>
      </c>
      <c r="C104" s="25" t="e">
        <f>VLOOKUP(B104, Sheet6!$A$1:$B$77, 2, FALSE)</f>
        <v>#N/A</v>
      </c>
      <c r="D104" s="25" t="s">
        <v>2084</v>
      </c>
      <c r="E104" s="25" t="s">
        <v>2087</v>
      </c>
      <c r="F104" s="25" t="s">
        <v>5429</v>
      </c>
      <c r="G104" s="25" t="s">
        <v>10953</v>
      </c>
      <c r="H104" s="25" t="s">
        <v>10960</v>
      </c>
      <c r="I104" s="25" t="s">
        <v>10958</v>
      </c>
      <c r="J104" s="26" t="s">
        <v>10517</v>
      </c>
      <c r="L104" s="13">
        <v>2015</v>
      </c>
      <c r="M104" s="14" t="s">
        <v>6064</v>
      </c>
      <c r="N104" s="14" t="s">
        <v>6065</v>
      </c>
      <c r="O104" s="14" t="s">
        <v>2057</v>
      </c>
      <c r="P104" s="15" t="s">
        <v>3117</v>
      </c>
      <c r="Q104" s="16">
        <v>1475230</v>
      </c>
      <c r="R104" s="17">
        <v>43305</v>
      </c>
      <c r="S104" s="16" t="s">
        <v>5134</v>
      </c>
      <c r="T104" s="16">
        <v>1475230</v>
      </c>
      <c r="U104" s="14" t="s">
        <v>34</v>
      </c>
      <c r="V104" s="13">
        <v>3</v>
      </c>
      <c r="W104" s="17">
        <v>44081</v>
      </c>
      <c r="X104" s="14"/>
      <c r="Y104" s="17"/>
      <c r="Z104" s="17"/>
      <c r="AA104" s="14" t="s">
        <v>5509</v>
      </c>
      <c r="AB104" s="14" t="s">
        <v>6725</v>
      </c>
      <c r="AC104" s="14" t="s">
        <v>6726</v>
      </c>
      <c r="AD104" s="20" t="str">
        <f t="shared" si="8"/>
        <v>B2B E-Commerce &gt; Food &amp; Beverages &gt; Groceries &gt; Farm Products &gt; Marketplace
Online Grocery &gt; B2B Ecommerce &gt; Farm Produce &gt; Meat and Seafood &gt; Marketplace
Livestock Tech &gt; ECommerce &gt; Farm Produce &gt; B2B &gt; Marketplace &gt; Meat</v>
      </c>
      <c r="AE104" s="20" t="str">
        <f t="shared" si="7"/>
        <v>B2B E-Commerce</v>
      </c>
      <c r="AF104" s="20" t="str">
        <f t="shared" si="6"/>
        <v>Food &amp; Beverages</v>
      </c>
      <c r="AG104" s="20" t="str">
        <f t="shared" si="6"/>
        <v>Groceries</v>
      </c>
      <c r="AH104" s="20" t="str">
        <f t="shared" si="6"/>
        <v>Farm Products</v>
      </c>
      <c r="AI104" s="20" t="str">
        <f t="shared" si="6"/>
        <v>Marketplace
Online Grocery</v>
      </c>
      <c r="AJ104" s="20" t="str">
        <f t="shared" si="6"/>
        <v>B2B Ecommerce</v>
      </c>
      <c r="AK104" s="20" t="str">
        <f t="shared" si="6"/>
        <v>Farm Produce</v>
      </c>
      <c r="AL104" s="14" t="s">
        <v>4002</v>
      </c>
      <c r="AM104" s="14"/>
      <c r="AO104" s="14"/>
      <c r="AP104" s="14" t="s">
        <v>2057</v>
      </c>
      <c r="AQ104" s="14"/>
      <c r="AR104" s="14"/>
      <c r="AS104" s="14" t="s">
        <v>6728</v>
      </c>
      <c r="AT104" s="14"/>
      <c r="AU104" s="14"/>
      <c r="AV104" s="18"/>
      <c r="AW104" s="16"/>
      <c r="AX104" s="17"/>
      <c r="AY104" s="15" t="s">
        <v>3123</v>
      </c>
      <c r="AZ104" s="17"/>
      <c r="BA104" s="16"/>
      <c r="BB104" s="14"/>
      <c r="BC104" s="14"/>
      <c r="BD104" s="15" t="s">
        <v>3123</v>
      </c>
      <c r="BE104" s="14"/>
      <c r="BF104" s="17"/>
      <c r="BG104" s="16"/>
      <c r="BH104" s="14"/>
      <c r="BI104" s="15" t="s">
        <v>3123</v>
      </c>
      <c r="BJ104" s="14"/>
      <c r="BK104" s="17"/>
      <c r="BL104" s="16"/>
      <c r="BM104" s="16"/>
      <c r="BN104" s="16"/>
      <c r="BO104" s="16"/>
      <c r="BP104" s="15" t="s">
        <v>3123</v>
      </c>
      <c r="BQ104" s="17"/>
      <c r="BR104" s="14"/>
      <c r="BS104" s="14"/>
      <c r="BT104" s="16"/>
      <c r="BU104" s="16"/>
      <c r="BV104" s="13"/>
      <c r="BW104" s="18" t="s">
        <v>6729</v>
      </c>
      <c r="BX104" s="13">
        <v>200</v>
      </c>
      <c r="BY104" s="17">
        <v>44127</v>
      </c>
      <c r="BZ104" s="18"/>
      <c r="CA104" s="18"/>
      <c r="CB104" s="18"/>
      <c r="CC104" s="18"/>
      <c r="CD104" s="14" t="s">
        <v>6730</v>
      </c>
      <c r="CE104" s="17">
        <v>42937</v>
      </c>
      <c r="CF104" s="16"/>
      <c r="CG104" s="17"/>
      <c r="CH104" s="16"/>
      <c r="CI104" s="17"/>
      <c r="CJ104" s="16"/>
      <c r="CK104" s="17"/>
      <c r="CL104" s="16"/>
      <c r="CM104" s="17"/>
      <c r="CN104" s="19">
        <v>10.16550095825666</v>
      </c>
      <c r="CO104" s="19"/>
      <c r="CP104" s="17"/>
      <c r="CQ104" s="14" t="s">
        <v>5002</v>
      </c>
      <c r="CR104" s="14" t="s">
        <v>6731</v>
      </c>
      <c r="CS104" s="14" t="s">
        <v>6074</v>
      </c>
    </row>
    <row r="105" spans="1:97" ht="26.15" customHeight="1">
      <c r="A105" s="2">
        <v>340</v>
      </c>
      <c r="B105" s="25" t="s">
        <v>2588</v>
      </c>
      <c r="C105" s="25" t="e">
        <f>VLOOKUP(B105, Sheet6!$A$1:$B$77, 2, FALSE)</f>
        <v>#N/A</v>
      </c>
      <c r="D105" s="25" t="s">
        <v>2589</v>
      </c>
      <c r="E105" s="25" t="s">
        <v>2590</v>
      </c>
      <c r="F105" s="25" t="s">
        <v>9019</v>
      </c>
      <c r="G105" s="25" t="s">
        <v>10955</v>
      </c>
      <c r="H105" s="25" t="s">
        <v>10967</v>
      </c>
      <c r="I105" s="25" t="s">
        <v>10558</v>
      </c>
      <c r="J105" s="25" t="s">
        <v>10821</v>
      </c>
      <c r="L105" s="13">
        <v>2014</v>
      </c>
      <c r="M105" s="14" t="s">
        <v>6732</v>
      </c>
      <c r="N105" s="14" t="s">
        <v>5182</v>
      </c>
      <c r="O105" s="14" t="s">
        <v>2057</v>
      </c>
      <c r="P105" s="15" t="s">
        <v>3117</v>
      </c>
      <c r="Q105" s="16"/>
      <c r="R105" s="17">
        <v>43438</v>
      </c>
      <c r="S105" s="16"/>
      <c r="T105" s="16" t="s">
        <v>50</v>
      </c>
      <c r="U105" s="14" t="s">
        <v>34</v>
      </c>
      <c r="V105" s="13">
        <v>2</v>
      </c>
      <c r="W105" s="17">
        <v>43977</v>
      </c>
      <c r="X105" s="14"/>
      <c r="Y105" s="17"/>
      <c r="Z105" s="17"/>
      <c r="AA105" s="14" t="s">
        <v>1</v>
      </c>
      <c r="AB105" s="14" t="s">
        <v>5007</v>
      </c>
      <c r="AC105" s="14" t="s">
        <v>6482</v>
      </c>
      <c r="AD105" s="20" t="str">
        <f t="shared" si="8"/>
        <v>Crop Tech &gt; Farm Inputs &gt; Seeds &gt; Field Crops &gt; Hybrid</v>
      </c>
      <c r="AE105" s="20" t="str">
        <f t="shared" si="7"/>
        <v>Crop Tech</v>
      </c>
      <c r="AF105" s="20" t="str">
        <f t="shared" si="6"/>
        <v>Farm Inputs</v>
      </c>
      <c r="AG105" s="20" t="str">
        <f t="shared" si="6"/>
        <v>Seeds</v>
      </c>
      <c r="AH105" s="20" t="str">
        <f t="shared" si="6"/>
        <v>Field Crops</v>
      </c>
      <c r="AI105" s="20" t="str">
        <f t="shared" si="6"/>
        <v>Hybrid</v>
      </c>
      <c r="AJ105" s="20" t="str">
        <f t="shared" si="6"/>
        <v/>
      </c>
      <c r="AK105" s="20" t="str">
        <f t="shared" si="6"/>
        <v/>
      </c>
      <c r="AL105" s="14" t="s">
        <v>3849</v>
      </c>
      <c r="AM105" s="14"/>
      <c r="AO105" s="14"/>
      <c r="AP105" s="14" t="s">
        <v>2057</v>
      </c>
      <c r="AQ105" s="14" t="s">
        <v>6734</v>
      </c>
      <c r="AR105" s="14" t="s">
        <v>6735</v>
      </c>
      <c r="AS105" s="14"/>
      <c r="AT105" s="14"/>
      <c r="AU105" s="14"/>
      <c r="AV105" s="18"/>
      <c r="AW105" s="16"/>
      <c r="AX105" s="17"/>
      <c r="AY105" s="15" t="s">
        <v>3123</v>
      </c>
      <c r="AZ105" s="17"/>
      <c r="BA105" s="16"/>
      <c r="BB105" s="14"/>
      <c r="BC105" s="14"/>
      <c r="BD105" s="15" t="s">
        <v>3123</v>
      </c>
      <c r="BE105" s="14"/>
      <c r="BF105" s="17"/>
      <c r="BG105" s="16"/>
      <c r="BH105" s="14"/>
      <c r="BI105" s="15" t="s">
        <v>3123</v>
      </c>
      <c r="BJ105" s="14"/>
      <c r="BK105" s="17"/>
      <c r="BL105" s="16"/>
      <c r="BM105" s="16"/>
      <c r="BN105" s="16"/>
      <c r="BO105" s="16"/>
      <c r="BP105" s="15" t="s">
        <v>3123</v>
      </c>
      <c r="BQ105" s="17"/>
      <c r="BR105" s="14"/>
      <c r="BS105" s="14"/>
      <c r="BT105" s="16"/>
      <c r="BU105" s="16"/>
      <c r="BV105" s="13"/>
      <c r="BW105" s="18" t="s">
        <v>6736</v>
      </c>
      <c r="BX105" s="13">
        <v>200</v>
      </c>
      <c r="BY105" s="17">
        <v>44127</v>
      </c>
      <c r="BZ105" s="18"/>
      <c r="CA105" s="18"/>
      <c r="CB105" s="18" t="s">
        <v>6737</v>
      </c>
      <c r="CC105" s="18"/>
      <c r="CD105" s="14" t="s">
        <v>6738</v>
      </c>
      <c r="CE105" s="17">
        <v>43440</v>
      </c>
      <c r="CF105" s="16"/>
      <c r="CG105" s="17"/>
      <c r="CH105" s="16"/>
      <c r="CI105" s="17"/>
      <c r="CJ105" s="16"/>
      <c r="CK105" s="17"/>
      <c r="CL105" s="16"/>
      <c r="CM105" s="17"/>
      <c r="CN105" s="19">
        <v>8.3570513974014204</v>
      </c>
      <c r="CO105" s="19"/>
      <c r="CP105" s="17"/>
      <c r="CQ105" s="14" t="s">
        <v>5345</v>
      </c>
      <c r="CR105" s="14" t="s">
        <v>5361</v>
      </c>
      <c r="CS105" s="14" t="s">
        <v>5311</v>
      </c>
    </row>
    <row r="106" spans="1:97" ht="26.15" customHeight="1">
      <c r="A106" s="2">
        <v>294</v>
      </c>
      <c r="B106" s="25" t="s">
        <v>1442</v>
      </c>
      <c r="C106" s="25" t="e">
        <f>VLOOKUP(B106, Sheet6!$A$1:$B$77, 2, FALSE)</f>
        <v>#N/A</v>
      </c>
      <c r="D106" s="25" t="s">
        <v>1443</v>
      </c>
      <c r="E106" s="25" t="s">
        <v>1446</v>
      </c>
      <c r="F106" s="25" t="s">
        <v>8751</v>
      </c>
      <c r="G106" s="25" t="s">
        <v>10952</v>
      </c>
      <c r="H106" s="25" t="s">
        <v>10959</v>
      </c>
      <c r="I106" s="25" t="s">
        <v>10558</v>
      </c>
      <c r="J106" s="25" t="s">
        <v>10765</v>
      </c>
      <c r="L106" s="13">
        <v>2007</v>
      </c>
      <c r="M106" s="14" t="s">
        <v>6739</v>
      </c>
      <c r="N106" s="14" t="s">
        <v>5804</v>
      </c>
      <c r="O106" s="14" t="s">
        <v>5208</v>
      </c>
      <c r="P106" s="15" t="s">
        <v>3117</v>
      </c>
      <c r="Q106" s="16">
        <v>40000000</v>
      </c>
      <c r="R106" s="17">
        <v>43865</v>
      </c>
      <c r="S106" s="16" t="s">
        <v>6740</v>
      </c>
      <c r="T106" s="16">
        <v>20000000</v>
      </c>
      <c r="U106" s="14" t="s">
        <v>25</v>
      </c>
      <c r="V106" s="13">
        <v>4</v>
      </c>
      <c r="W106" s="17">
        <v>43983</v>
      </c>
      <c r="X106" s="14" t="s">
        <v>5544</v>
      </c>
      <c r="Y106" s="17">
        <v>43888</v>
      </c>
      <c r="Z106" s="17">
        <v>43865</v>
      </c>
      <c r="AA106" s="14" t="s">
        <v>1</v>
      </c>
      <c r="AB106" s="14" t="s">
        <v>5007</v>
      </c>
      <c r="AC106" s="14" t="s">
        <v>6741</v>
      </c>
      <c r="AD106" s="20" t="str">
        <f t="shared" si="8"/>
        <v>Crop Tech &gt; Autonomous Farming &gt; Diversified</v>
      </c>
      <c r="AE106" s="20" t="str">
        <f t="shared" si="7"/>
        <v>Crop Tech</v>
      </c>
      <c r="AF106" s="20" t="str">
        <f t="shared" si="6"/>
        <v>Autonomous Farming</v>
      </c>
      <c r="AG106" s="20" t="str">
        <f t="shared" si="6"/>
        <v>Diversified</v>
      </c>
      <c r="AH106" s="20" t="str">
        <f t="shared" si="6"/>
        <v/>
      </c>
      <c r="AI106" s="20" t="str">
        <f t="shared" si="6"/>
        <v/>
      </c>
      <c r="AJ106" s="20" t="str">
        <f t="shared" si="6"/>
        <v/>
      </c>
      <c r="AK106" s="20" t="str">
        <f t="shared" si="6"/>
        <v/>
      </c>
      <c r="AL106" s="14" t="s">
        <v>6742</v>
      </c>
      <c r="AM106" s="14"/>
      <c r="AO106" s="14"/>
      <c r="AP106" s="14" t="s">
        <v>5208</v>
      </c>
      <c r="AQ106" s="14" t="s">
        <v>6744</v>
      </c>
      <c r="AR106" s="14" t="s">
        <v>6745</v>
      </c>
      <c r="AS106" s="14" t="s">
        <v>6746</v>
      </c>
      <c r="AT106" s="14"/>
      <c r="AU106" s="14" t="s">
        <v>6747</v>
      </c>
      <c r="AV106" s="18"/>
      <c r="AW106" s="16"/>
      <c r="AX106" s="17"/>
      <c r="AY106" s="15" t="s">
        <v>3123</v>
      </c>
      <c r="AZ106" s="17"/>
      <c r="BA106" s="16"/>
      <c r="BB106" s="14"/>
      <c r="BC106" s="14"/>
      <c r="BD106" s="15" t="s">
        <v>3123</v>
      </c>
      <c r="BE106" s="14"/>
      <c r="BF106" s="17"/>
      <c r="BG106" s="16"/>
      <c r="BH106" s="14"/>
      <c r="BI106" s="15" t="s">
        <v>3123</v>
      </c>
      <c r="BJ106" s="14"/>
      <c r="BK106" s="17"/>
      <c r="BL106" s="16"/>
      <c r="BM106" s="16"/>
      <c r="BN106" s="16"/>
      <c r="BO106" s="16"/>
      <c r="BP106" s="15" t="s">
        <v>3123</v>
      </c>
      <c r="BQ106" s="17"/>
      <c r="BR106" s="14"/>
      <c r="BS106" s="14"/>
      <c r="BT106" s="16"/>
      <c r="BU106" s="16"/>
      <c r="BV106" s="13"/>
      <c r="BW106" s="18" t="s">
        <v>6748</v>
      </c>
      <c r="BX106" s="13">
        <v>200</v>
      </c>
      <c r="BY106" s="17">
        <v>44127</v>
      </c>
      <c r="BZ106" s="18" t="s">
        <v>6749</v>
      </c>
      <c r="CA106" s="18" t="s">
        <v>6750</v>
      </c>
      <c r="CB106" s="18" t="s">
        <v>6751</v>
      </c>
      <c r="CC106" s="18"/>
      <c r="CD106" s="14" t="s">
        <v>6752</v>
      </c>
      <c r="CE106" s="17">
        <v>43031</v>
      </c>
      <c r="CF106" s="16"/>
      <c r="CG106" s="17"/>
      <c r="CH106" s="16"/>
      <c r="CI106" s="17"/>
      <c r="CJ106" s="16"/>
      <c r="CK106" s="17"/>
      <c r="CL106" s="16"/>
      <c r="CM106" s="17"/>
      <c r="CN106" s="19">
        <v>55.121071032569922</v>
      </c>
      <c r="CO106" s="19"/>
      <c r="CP106" s="17"/>
      <c r="CQ106" s="14" t="s">
        <v>5104</v>
      </c>
      <c r="CR106" s="14" t="s">
        <v>5310</v>
      </c>
      <c r="CS106" s="14" t="s">
        <v>5521</v>
      </c>
    </row>
    <row r="107" spans="1:97" ht="26.15" customHeight="1">
      <c r="A107" s="2">
        <v>185</v>
      </c>
      <c r="B107" s="25" t="s">
        <v>687</v>
      </c>
      <c r="C107" s="25" t="e">
        <f>VLOOKUP(B107, Sheet6!$A$1:$B$77, 2, FALSE)</f>
        <v>#N/A</v>
      </c>
      <c r="D107" s="25" t="s">
        <v>688</v>
      </c>
      <c r="E107" s="25" t="s">
        <v>692</v>
      </c>
      <c r="F107" s="25" t="s">
        <v>7348</v>
      </c>
      <c r="G107" s="25" t="s">
        <v>10955</v>
      </c>
      <c r="H107" s="25" t="s">
        <v>10959</v>
      </c>
      <c r="I107" s="25" t="s">
        <v>10958</v>
      </c>
      <c r="J107" s="26" t="s">
        <v>10770</v>
      </c>
      <c r="L107" s="13">
        <v>2017</v>
      </c>
      <c r="M107" s="14" t="s">
        <v>5689</v>
      </c>
      <c r="N107" s="14" t="s">
        <v>5674</v>
      </c>
      <c r="O107" s="14" t="s">
        <v>2057</v>
      </c>
      <c r="P107" s="15" t="s">
        <v>3117</v>
      </c>
      <c r="Q107" s="16"/>
      <c r="R107" s="17">
        <v>43685</v>
      </c>
      <c r="S107" s="16"/>
      <c r="T107" s="16" t="s">
        <v>50</v>
      </c>
      <c r="U107" s="14" t="s">
        <v>25</v>
      </c>
      <c r="V107" s="13">
        <v>4</v>
      </c>
      <c r="W107" s="17">
        <v>44019</v>
      </c>
      <c r="X107" s="14"/>
      <c r="Y107" s="17"/>
      <c r="Z107" s="17"/>
      <c r="AA107" s="14" t="s">
        <v>6753</v>
      </c>
      <c r="AB107" s="14" t="s">
        <v>6754</v>
      </c>
      <c r="AC107" s="14" t="s">
        <v>6755</v>
      </c>
      <c r="AD107" s="20" t="str">
        <f t="shared" si="8"/>
        <v>Continued Learning &gt; Professional &gt; Courses &gt; Sector Specific &gt; Agriculture
Crop Tech &gt; Content Platforms &gt; Farming Advice &gt; Expert Advisors</v>
      </c>
      <c r="AE107" s="20" t="str">
        <f t="shared" si="7"/>
        <v>Continued Learning</v>
      </c>
      <c r="AF107" s="20" t="str">
        <f t="shared" si="6"/>
        <v>Professional</v>
      </c>
      <c r="AG107" s="20" t="str">
        <f t="shared" ref="AF107:AK142" si="9">TRIM(MID(SUBSTITUTE($AD107,"&gt;",REPT(" ",LEN($AD107))), (AG$6-1)*LEN($AD107)+1, LEN($AD107)))</f>
        <v>Courses</v>
      </c>
      <c r="AH107" s="20" t="str">
        <f t="shared" si="9"/>
        <v>Sector Specific</v>
      </c>
      <c r="AI107" s="20" t="str">
        <f t="shared" si="9"/>
        <v>Agriculture
Crop Tech</v>
      </c>
      <c r="AJ107" s="20" t="str">
        <f t="shared" si="9"/>
        <v>Content Platforms</v>
      </c>
      <c r="AK107" s="20" t="str">
        <f t="shared" si="9"/>
        <v>Farming Advice</v>
      </c>
      <c r="AL107" s="14" t="s">
        <v>2531</v>
      </c>
      <c r="AM107" s="14"/>
      <c r="AO107" s="14"/>
      <c r="AP107" s="14" t="s">
        <v>2057</v>
      </c>
      <c r="AQ107" s="14" t="s">
        <v>6757</v>
      </c>
      <c r="AR107" s="14" t="s">
        <v>6758</v>
      </c>
      <c r="AS107" s="14" t="s">
        <v>6759</v>
      </c>
      <c r="AT107" s="14"/>
      <c r="AU107" s="14"/>
      <c r="AV107" s="18"/>
      <c r="AW107" s="16"/>
      <c r="AX107" s="17"/>
      <c r="AY107" s="15" t="s">
        <v>3123</v>
      </c>
      <c r="AZ107" s="17"/>
      <c r="BA107" s="16"/>
      <c r="BB107" s="14"/>
      <c r="BC107" s="14"/>
      <c r="BD107" s="15" t="s">
        <v>3123</v>
      </c>
      <c r="BE107" s="14"/>
      <c r="BF107" s="17"/>
      <c r="BG107" s="16"/>
      <c r="BH107" s="14"/>
      <c r="BI107" s="15" t="s">
        <v>3123</v>
      </c>
      <c r="BJ107" s="14"/>
      <c r="BK107" s="17"/>
      <c r="BL107" s="16"/>
      <c r="BM107" s="16"/>
      <c r="BN107" s="16"/>
      <c r="BO107" s="16"/>
      <c r="BP107" s="15" t="s">
        <v>3123</v>
      </c>
      <c r="BQ107" s="17"/>
      <c r="BR107" s="14"/>
      <c r="BS107" s="14"/>
      <c r="BT107" s="16"/>
      <c r="BU107" s="16"/>
      <c r="BV107" s="13"/>
      <c r="BW107" s="18" t="s">
        <v>6760</v>
      </c>
      <c r="BX107" s="13">
        <v>200</v>
      </c>
      <c r="BY107" s="17">
        <v>44126</v>
      </c>
      <c r="BZ107" s="18"/>
      <c r="CA107" s="18"/>
      <c r="CB107" s="18"/>
      <c r="CC107" s="18"/>
      <c r="CD107" s="14" t="s">
        <v>6761</v>
      </c>
      <c r="CE107" s="17">
        <v>43228</v>
      </c>
      <c r="CF107" s="16"/>
      <c r="CG107" s="17"/>
      <c r="CH107" s="16"/>
      <c r="CI107" s="17"/>
      <c r="CJ107" s="16"/>
      <c r="CK107" s="17"/>
      <c r="CL107" s="16"/>
      <c r="CM107" s="17"/>
      <c r="CN107" s="19">
        <v>25.424866355035473</v>
      </c>
      <c r="CO107" s="19"/>
      <c r="CP107" s="17"/>
      <c r="CQ107" s="14" t="s">
        <v>5104</v>
      </c>
      <c r="CR107" s="14" t="s">
        <v>5962</v>
      </c>
      <c r="CS107" s="14" t="s">
        <v>5945</v>
      </c>
    </row>
    <row r="108" spans="1:97" ht="26.15" customHeight="1">
      <c r="A108" s="2">
        <v>2</v>
      </c>
      <c r="B108" s="25" t="s">
        <v>51</v>
      </c>
      <c r="C108" s="25" t="e">
        <f>VLOOKUP(B108, Sheet6!$A$1:$B$77, 2, FALSE)</f>
        <v>#N/A</v>
      </c>
      <c r="D108" s="25" t="s">
        <v>52</v>
      </c>
      <c r="E108" s="25" t="s">
        <v>57</v>
      </c>
      <c r="F108" s="25" t="s">
        <v>5008</v>
      </c>
      <c r="G108" s="25" t="s">
        <v>10955</v>
      </c>
      <c r="H108" s="25" t="s">
        <v>10959</v>
      </c>
      <c r="I108" s="25" t="s">
        <v>10958</v>
      </c>
      <c r="J108" s="52" t="s">
        <v>10842</v>
      </c>
      <c r="L108" s="13">
        <v>2017</v>
      </c>
      <c r="M108" s="14" t="s">
        <v>6762</v>
      </c>
      <c r="N108" s="14" t="s">
        <v>6763</v>
      </c>
      <c r="O108" s="14" t="s">
        <v>5333</v>
      </c>
      <c r="P108" s="15" t="s">
        <v>3117</v>
      </c>
      <c r="Q108" s="16">
        <v>100000</v>
      </c>
      <c r="R108" s="17">
        <v>43269</v>
      </c>
      <c r="S108" s="16" t="s">
        <v>5252</v>
      </c>
      <c r="T108" s="16">
        <v>100000</v>
      </c>
      <c r="U108" s="14" t="s">
        <v>34</v>
      </c>
      <c r="V108" s="13">
        <v>3</v>
      </c>
      <c r="W108" s="17">
        <v>44015</v>
      </c>
      <c r="X108" s="14"/>
      <c r="Y108" s="17"/>
      <c r="Z108" s="17"/>
      <c r="AA108" s="14" t="s">
        <v>5493</v>
      </c>
      <c r="AB108" s="14" t="s">
        <v>5494</v>
      </c>
      <c r="AC108" s="14" t="s">
        <v>6764</v>
      </c>
      <c r="AD108" s="20" t="str">
        <f t="shared" si="8"/>
        <v>B2B E-Commerce &gt; Agriculture &gt; Marketplace
Crop Tech &gt; ECommerce &gt; Farm Produce &gt; B2B &gt; Fruits and Vegetables &gt; Marketplace</v>
      </c>
      <c r="AE108" s="20" t="str">
        <f t="shared" si="7"/>
        <v>B2B E-Commerce</v>
      </c>
      <c r="AF108" s="20" t="str">
        <f t="shared" si="9"/>
        <v>Agriculture</v>
      </c>
      <c r="AG108" s="20" t="str">
        <f t="shared" si="9"/>
        <v>Marketplace
Crop Tech</v>
      </c>
      <c r="AH108" s="20" t="str">
        <f t="shared" si="9"/>
        <v>ECommerce</v>
      </c>
      <c r="AI108" s="20" t="str">
        <f t="shared" si="9"/>
        <v>Farm Produce</v>
      </c>
      <c r="AJ108" s="20" t="str">
        <f t="shared" si="9"/>
        <v>B2B</v>
      </c>
      <c r="AK108" s="20" t="str">
        <f t="shared" si="9"/>
        <v>Fruits and Vegetables</v>
      </c>
      <c r="AL108" s="14" t="s">
        <v>786</v>
      </c>
      <c r="AM108" s="14"/>
      <c r="AO108" s="14"/>
      <c r="AP108" s="14" t="s">
        <v>5333</v>
      </c>
      <c r="AQ108" s="14"/>
      <c r="AR108" s="14"/>
      <c r="AS108" s="14" t="s">
        <v>6766</v>
      </c>
      <c r="AT108" s="14" t="s">
        <v>6767</v>
      </c>
      <c r="AU108" s="14" t="s">
        <v>6768</v>
      </c>
      <c r="AV108" s="18"/>
      <c r="AW108" s="16"/>
      <c r="AX108" s="17"/>
      <c r="AY108" s="15" t="s">
        <v>3123</v>
      </c>
      <c r="AZ108" s="17"/>
      <c r="BA108" s="16"/>
      <c r="BB108" s="14"/>
      <c r="BC108" s="14"/>
      <c r="BD108" s="15" t="s">
        <v>3123</v>
      </c>
      <c r="BE108" s="14"/>
      <c r="BF108" s="17"/>
      <c r="BG108" s="16"/>
      <c r="BH108" s="14"/>
      <c r="BI108" s="15" t="s">
        <v>3123</v>
      </c>
      <c r="BJ108" s="14"/>
      <c r="BK108" s="17"/>
      <c r="BL108" s="16"/>
      <c r="BM108" s="16"/>
      <c r="BN108" s="16"/>
      <c r="BO108" s="16"/>
      <c r="BP108" s="15" t="s">
        <v>3123</v>
      </c>
      <c r="BQ108" s="17"/>
      <c r="BR108" s="14"/>
      <c r="BS108" s="14"/>
      <c r="BT108" s="16"/>
      <c r="BU108" s="16"/>
      <c r="BV108" s="13"/>
      <c r="BW108" s="18" t="s">
        <v>6769</v>
      </c>
      <c r="BX108" s="13">
        <v>200</v>
      </c>
      <c r="BY108" s="17">
        <v>44126</v>
      </c>
      <c r="BZ108" s="18" t="s">
        <v>6770</v>
      </c>
      <c r="CA108" s="18" t="s">
        <v>6771</v>
      </c>
      <c r="CB108" s="18" t="s">
        <v>6772</v>
      </c>
      <c r="CC108" s="18"/>
      <c r="CD108" s="14" t="s">
        <v>6773</v>
      </c>
      <c r="CE108" s="17">
        <v>43349</v>
      </c>
      <c r="CF108" s="16"/>
      <c r="CG108" s="17"/>
      <c r="CH108" s="16"/>
      <c r="CI108" s="17"/>
      <c r="CJ108" s="16"/>
      <c r="CK108" s="17"/>
      <c r="CL108" s="16"/>
      <c r="CM108" s="17"/>
      <c r="CN108" s="19">
        <v>22.289151807756326</v>
      </c>
      <c r="CO108" s="19"/>
      <c r="CP108" s="17"/>
      <c r="CQ108" s="14" t="s">
        <v>5104</v>
      </c>
      <c r="CR108" s="14" t="s">
        <v>5310</v>
      </c>
      <c r="CS108" s="14" t="s">
        <v>5521</v>
      </c>
    </row>
    <row r="109" spans="1:97" ht="26.15" customHeight="1">
      <c r="A109" s="2">
        <v>66</v>
      </c>
      <c r="B109" s="25" t="s">
        <v>316</v>
      </c>
      <c r="C109" s="25" t="e">
        <f>VLOOKUP(B109, Sheet6!$A$1:$B$77, 2, FALSE)</f>
        <v>#N/A</v>
      </c>
      <c r="D109" s="25" t="s">
        <v>317</v>
      </c>
      <c r="E109" s="25" t="s">
        <v>318</v>
      </c>
      <c r="F109" s="25" t="s">
        <v>5856</v>
      </c>
      <c r="G109" s="25" t="s">
        <v>10955</v>
      </c>
      <c r="H109" s="25" t="s">
        <v>10959</v>
      </c>
      <c r="I109" s="25" t="s">
        <v>10958</v>
      </c>
      <c r="J109" s="26" t="s">
        <v>10759</v>
      </c>
      <c r="L109" s="13">
        <v>2015</v>
      </c>
      <c r="M109" s="14" t="s">
        <v>6774</v>
      </c>
      <c r="N109" s="14" t="s">
        <v>6775</v>
      </c>
      <c r="O109" s="14" t="s">
        <v>2057</v>
      </c>
      <c r="P109" s="15" t="s">
        <v>3117</v>
      </c>
      <c r="Q109" s="16"/>
      <c r="R109" s="17">
        <v>43556</v>
      </c>
      <c r="S109" s="16"/>
      <c r="T109" s="16" t="s">
        <v>50</v>
      </c>
      <c r="U109" s="14" t="s">
        <v>109</v>
      </c>
      <c r="V109" s="13">
        <v>3</v>
      </c>
      <c r="W109" s="17">
        <v>44013</v>
      </c>
      <c r="X109" s="14"/>
      <c r="Y109" s="17"/>
      <c r="Z109" s="17"/>
      <c r="AA109" s="14" t="s">
        <v>5493</v>
      </c>
      <c r="AB109" s="14" t="s">
        <v>5494</v>
      </c>
      <c r="AC109" s="14" t="s">
        <v>6776</v>
      </c>
      <c r="AD109" s="20" t="str">
        <f t="shared" si="8"/>
        <v>B2B E-Commerce &gt; Agriculture &gt; E-Distributor
Crop Tech &gt; ECommerce &gt; Farm Produce &gt; B2B &gt; Fruits and Vegetables &gt; E Distributor</v>
      </c>
      <c r="AE109" s="20" t="str">
        <f t="shared" si="7"/>
        <v>B2B E-Commerce</v>
      </c>
      <c r="AF109" s="20" t="str">
        <f t="shared" si="9"/>
        <v>Agriculture</v>
      </c>
      <c r="AG109" s="20" t="str">
        <f t="shared" si="9"/>
        <v>E-Distributor
Crop Tech</v>
      </c>
      <c r="AH109" s="20" t="str">
        <f t="shared" si="9"/>
        <v>ECommerce</v>
      </c>
      <c r="AI109" s="20" t="str">
        <f t="shared" si="9"/>
        <v>Farm Produce</v>
      </c>
      <c r="AJ109" s="20" t="str">
        <f t="shared" si="9"/>
        <v>B2B</v>
      </c>
      <c r="AK109" s="20" t="str">
        <f t="shared" si="9"/>
        <v>Fruits and Vegetables</v>
      </c>
      <c r="AL109" s="14" t="s">
        <v>6777</v>
      </c>
      <c r="AM109" s="14"/>
      <c r="AO109" s="14"/>
      <c r="AP109" s="14" t="s">
        <v>2057</v>
      </c>
      <c r="AQ109" s="14"/>
      <c r="AR109" s="14" t="s">
        <v>6779</v>
      </c>
      <c r="AS109" s="14" t="s">
        <v>6780</v>
      </c>
      <c r="AT109" s="14"/>
      <c r="AU109" s="14"/>
      <c r="AV109" s="18"/>
      <c r="AW109" s="16"/>
      <c r="AX109" s="17"/>
      <c r="AY109" s="15" t="s">
        <v>3123</v>
      </c>
      <c r="AZ109" s="17"/>
      <c r="BA109" s="16"/>
      <c r="BB109" s="14"/>
      <c r="BC109" s="14"/>
      <c r="BD109" s="15" t="s">
        <v>3123</v>
      </c>
      <c r="BE109" s="14"/>
      <c r="BF109" s="17"/>
      <c r="BG109" s="16"/>
      <c r="BH109" s="14"/>
      <c r="BI109" s="15" t="s">
        <v>3123</v>
      </c>
      <c r="BJ109" s="14"/>
      <c r="BK109" s="17"/>
      <c r="BL109" s="16"/>
      <c r="BM109" s="16"/>
      <c r="BN109" s="16"/>
      <c r="BO109" s="16"/>
      <c r="BP109" s="15" t="s">
        <v>3123</v>
      </c>
      <c r="BQ109" s="17"/>
      <c r="BR109" s="14"/>
      <c r="BS109" s="14"/>
      <c r="BT109" s="16"/>
      <c r="BU109" s="16"/>
      <c r="BV109" s="13"/>
      <c r="BW109" s="18" t="s">
        <v>6781</v>
      </c>
      <c r="BX109" s="13">
        <v>403</v>
      </c>
      <c r="BY109" s="17">
        <v>44127</v>
      </c>
      <c r="BZ109" s="18"/>
      <c r="CA109" s="18"/>
      <c r="CB109" s="18"/>
      <c r="CC109" s="18"/>
      <c r="CD109" s="14" t="s">
        <v>6782</v>
      </c>
      <c r="CE109" s="17">
        <v>43494</v>
      </c>
      <c r="CF109" s="16"/>
      <c r="CG109" s="17"/>
      <c r="CH109" s="16"/>
      <c r="CI109" s="17"/>
      <c r="CJ109" s="16"/>
      <c r="CK109" s="17"/>
      <c r="CL109" s="16"/>
      <c r="CM109" s="17"/>
      <c r="CN109" s="19">
        <v>23.393198651618683</v>
      </c>
      <c r="CO109" s="19"/>
      <c r="CP109" s="17"/>
      <c r="CQ109" s="14" t="s">
        <v>5104</v>
      </c>
      <c r="CR109" s="14" t="s">
        <v>5439</v>
      </c>
      <c r="CS109" s="14" t="s">
        <v>5311</v>
      </c>
    </row>
    <row r="110" spans="1:97" ht="26.15" customHeight="1">
      <c r="A110" s="2">
        <v>209</v>
      </c>
      <c r="B110" s="25" t="s">
        <v>1282</v>
      </c>
      <c r="C110" s="25" t="e">
        <f>VLOOKUP(B110, Sheet6!$A$1:$B$77, 2, FALSE)</f>
        <v>#N/A</v>
      </c>
      <c r="D110" s="25" t="s">
        <v>1283</v>
      </c>
      <c r="E110" s="25" t="s">
        <v>1286</v>
      </c>
      <c r="F110" s="25" t="s">
        <v>7640</v>
      </c>
      <c r="G110" s="25" t="s">
        <v>10955</v>
      </c>
      <c r="H110" s="25" t="s">
        <v>10957</v>
      </c>
      <c r="I110" s="25" t="s">
        <v>10968</v>
      </c>
      <c r="J110" s="26" t="s">
        <v>10819</v>
      </c>
      <c r="L110" s="13">
        <v>2015</v>
      </c>
      <c r="M110" s="14" t="s">
        <v>6707</v>
      </c>
      <c r="N110" s="14" t="s">
        <v>6708</v>
      </c>
      <c r="O110" s="14" t="s">
        <v>6297</v>
      </c>
      <c r="P110" s="15" t="s">
        <v>3117</v>
      </c>
      <c r="Q110" s="16"/>
      <c r="R110" s="17">
        <v>43795</v>
      </c>
      <c r="S110" s="16" t="s">
        <v>6783</v>
      </c>
      <c r="T110" s="16">
        <v>10000</v>
      </c>
      <c r="U110" s="14" t="s">
        <v>34</v>
      </c>
      <c r="V110" s="13">
        <v>3</v>
      </c>
      <c r="W110" s="17">
        <v>44004</v>
      </c>
      <c r="X110" s="14"/>
      <c r="Y110" s="17"/>
      <c r="Z110" s="17"/>
      <c r="AA110" s="14" t="s">
        <v>1</v>
      </c>
      <c r="AB110" s="14" t="s">
        <v>5007</v>
      </c>
      <c r="AC110" s="14" t="s">
        <v>6146</v>
      </c>
      <c r="AD110" s="20" t="str">
        <f t="shared" si="8"/>
        <v>Crop Tech &gt; Content Platforms &gt; Data as a Service &gt; Market Data</v>
      </c>
      <c r="AE110" s="20" t="str">
        <f t="shared" si="7"/>
        <v>Crop Tech</v>
      </c>
      <c r="AF110" s="20" t="str">
        <f t="shared" si="9"/>
        <v>Content Platforms</v>
      </c>
      <c r="AG110" s="20" t="str">
        <f t="shared" si="9"/>
        <v>Data as a Service</v>
      </c>
      <c r="AH110" s="20" t="str">
        <f t="shared" si="9"/>
        <v>Market Data</v>
      </c>
      <c r="AI110" s="20" t="str">
        <f t="shared" si="9"/>
        <v/>
      </c>
      <c r="AJ110" s="20" t="str">
        <f t="shared" si="9"/>
        <v/>
      </c>
      <c r="AK110" s="20" t="str">
        <f t="shared" si="9"/>
        <v/>
      </c>
      <c r="AL110" s="14" t="s">
        <v>6784</v>
      </c>
      <c r="AM110" s="14"/>
      <c r="AO110" s="14"/>
      <c r="AP110" s="14" t="s">
        <v>6297</v>
      </c>
      <c r="AQ110" s="14" t="s">
        <v>6786</v>
      </c>
      <c r="AR110" s="14" t="s">
        <v>6787</v>
      </c>
      <c r="AS110" s="14" t="s">
        <v>6788</v>
      </c>
      <c r="AT110" s="14" t="s">
        <v>6789</v>
      </c>
      <c r="AU110" s="14" t="s">
        <v>6790</v>
      </c>
      <c r="AV110" s="18"/>
      <c r="AW110" s="16"/>
      <c r="AX110" s="17"/>
      <c r="AY110" s="15" t="s">
        <v>3123</v>
      </c>
      <c r="AZ110" s="17"/>
      <c r="BA110" s="16"/>
      <c r="BB110" s="14"/>
      <c r="BC110" s="14"/>
      <c r="BD110" s="15" t="s">
        <v>3123</v>
      </c>
      <c r="BE110" s="14"/>
      <c r="BF110" s="17"/>
      <c r="BG110" s="16"/>
      <c r="BH110" s="14"/>
      <c r="BI110" s="15" t="s">
        <v>3123</v>
      </c>
      <c r="BJ110" s="14"/>
      <c r="BK110" s="17"/>
      <c r="BL110" s="16"/>
      <c r="BM110" s="16"/>
      <c r="BN110" s="16"/>
      <c r="BO110" s="16"/>
      <c r="BP110" s="15" t="s">
        <v>3123</v>
      </c>
      <c r="BQ110" s="17"/>
      <c r="BR110" s="14"/>
      <c r="BS110" s="14"/>
      <c r="BT110" s="16"/>
      <c r="BU110" s="16"/>
      <c r="BV110" s="13"/>
      <c r="BW110" s="18" t="s">
        <v>6791</v>
      </c>
      <c r="BX110" s="13">
        <v>200</v>
      </c>
      <c r="BY110" s="17">
        <v>44126</v>
      </c>
      <c r="BZ110" s="18" t="s">
        <v>6792</v>
      </c>
      <c r="CA110" s="18" t="s">
        <v>6793</v>
      </c>
      <c r="CB110" s="18" t="s">
        <v>6794</v>
      </c>
      <c r="CC110" s="18" t="s">
        <v>6795</v>
      </c>
      <c r="CD110" s="14" t="s">
        <v>6796</v>
      </c>
      <c r="CE110" s="17">
        <v>43426</v>
      </c>
      <c r="CF110" s="16"/>
      <c r="CG110" s="17"/>
      <c r="CH110" s="16"/>
      <c r="CI110" s="17"/>
      <c r="CJ110" s="16"/>
      <c r="CK110" s="17"/>
      <c r="CL110" s="16"/>
      <c r="CM110" s="17"/>
      <c r="CN110" s="19">
        <v>37.965998590869184</v>
      </c>
      <c r="CO110" s="19"/>
      <c r="CP110" s="17"/>
      <c r="CQ110" s="14" t="s">
        <v>6797</v>
      </c>
      <c r="CR110" s="14" t="s">
        <v>5205</v>
      </c>
      <c r="CS110" s="14" t="s">
        <v>5004</v>
      </c>
    </row>
    <row r="111" spans="1:97" ht="26.15" customHeight="1">
      <c r="A111" s="2">
        <v>89</v>
      </c>
      <c r="B111" s="25" t="s">
        <v>1038</v>
      </c>
      <c r="C111" s="25" t="e">
        <f>VLOOKUP(B111, Sheet6!$A$1:$B$77, 2, FALSE)</f>
        <v>#N/A</v>
      </c>
      <c r="D111" s="25" t="s">
        <v>1039</v>
      </c>
      <c r="E111" s="25" t="s">
        <v>1043</v>
      </c>
      <c r="F111" s="25" t="s">
        <v>6173</v>
      </c>
      <c r="G111" s="25" t="s">
        <v>10955</v>
      </c>
      <c r="H111" s="25" t="s">
        <v>10959</v>
      </c>
      <c r="I111" s="25" t="s">
        <v>10958</v>
      </c>
      <c r="J111" s="26" t="s">
        <v>10766</v>
      </c>
      <c r="L111" s="13">
        <v>2017</v>
      </c>
      <c r="M111" s="14" t="s">
        <v>5312</v>
      </c>
      <c r="N111" s="14" t="s">
        <v>5313</v>
      </c>
      <c r="O111" s="14" t="s">
        <v>3994</v>
      </c>
      <c r="P111" s="15" t="s">
        <v>3117</v>
      </c>
      <c r="Q111" s="16">
        <v>101208</v>
      </c>
      <c r="R111" s="17">
        <v>43587</v>
      </c>
      <c r="S111" s="16" t="s">
        <v>6798</v>
      </c>
      <c r="T111" s="16">
        <v>64533</v>
      </c>
      <c r="U111" s="14" t="s">
        <v>34</v>
      </c>
      <c r="V111" s="13">
        <v>3</v>
      </c>
      <c r="W111" s="17">
        <v>44022</v>
      </c>
      <c r="X111" s="14"/>
      <c r="Y111" s="17"/>
      <c r="Z111" s="17"/>
      <c r="AA111" s="14" t="s">
        <v>1</v>
      </c>
      <c r="AB111" s="14" t="s">
        <v>5007</v>
      </c>
      <c r="AC111" s="14" t="s">
        <v>6799</v>
      </c>
      <c r="AD111" s="20" t="str">
        <f t="shared" si="8"/>
        <v>Crop Tech &gt; Farm Management Software &gt; Controlled Environment Farming</v>
      </c>
      <c r="AE111" s="20" t="str">
        <f t="shared" si="7"/>
        <v>Crop Tech</v>
      </c>
      <c r="AF111" s="20" t="str">
        <f t="shared" si="9"/>
        <v>Farm Management Software</v>
      </c>
      <c r="AG111" s="20" t="str">
        <f t="shared" si="9"/>
        <v>Controlled Environment Farming</v>
      </c>
      <c r="AH111" s="20" t="str">
        <f t="shared" si="9"/>
        <v/>
      </c>
      <c r="AI111" s="20" t="str">
        <f t="shared" si="9"/>
        <v/>
      </c>
      <c r="AJ111" s="20" t="str">
        <f t="shared" si="9"/>
        <v/>
      </c>
      <c r="AK111" s="20" t="str">
        <f t="shared" si="9"/>
        <v/>
      </c>
      <c r="AL111" s="14" t="s">
        <v>1814</v>
      </c>
      <c r="AM111" s="14" t="s">
        <v>1060</v>
      </c>
      <c r="AO111" s="14"/>
      <c r="AP111" s="14" t="s">
        <v>3994</v>
      </c>
      <c r="AQ111" s="14" t="s">
        <v>6801</v>
      </c>
      <c r="AR111" s="14"/>
      <c r="AS111" s="14" t="s">
        <v>6802</v>
      </c>
      <c r="AT111" s="14" t="s">
        <v>6803</v>
      </c>
      <c r="AU111" s="14" t="s">
        <v>6804</v>
      </c>
      <c r="AV111" s="18"/>
      <c r="AW111" s="16">
        <v>14700</v>
      </c>
      <c r="AX111" s="17">
        <v>43100</v>
      </c>
      <c r="AY111" s="15" t="s">
        <v>3123</v>
      </c>
      <c r="AZ111" s="17"/>
      <c r="BA111" s="16"/>
      <c r="BB111" s="14"/>
      <c r="BC111" s="14"/>
      <c r="BD111" s="15" t="s">
        <v>3123</v>
      </c>
      <c r="BE111" s="14"/>
      <c r="BF111" s="17"/>
      <c r="BG111" s="16"/>
      <c r="BH111" s="14"/>
      <c r="BI111" s="15" t="s">
        <v>3123</v>
      </c>
      <c r="BJ111" s="14"/>
      <c r="BK111" s="17"/>
      <c r="BL111" s="16"/>
      <c r="BM111" s="16"/>
      <c r="BN111" s="16"/>
      <c r="BO111" s="16"/>
      <c r="BP111" s="15" t="s">
        <v>3123</v>
      </c>
      <c r="BQ111" s="17"/>
      <c r="BR111" s="14"/>
      <c r="BS111" s="14"/>
      <c r="BT111" s="16"/>
      <c r="BU111" s="16"/>
      <c r="BV111" s="13"/>
      <c r="BW111" s="18" t="s">
        <v>6805</v>
      </c>
      <c r="BX111" s="13">
        <v>200</v>
      </c>
      <c r="BY111" s="17">
        <v>44126</v>
      </c>
      <c r="BZ111" s="18" t="s">
        <v>6806</v>
      </c>
      <c r="CA111" s="18" t="s">
        <v>6807</v>
      </c>
      <c r="CB111" s="18" t="s">
        <v>6808</v>
      </c>
      <c r="CC111" s="18"/>
      <c r="CD111" s="14" t="s">
        <v>6809</v>
      </c>
      <c r="CE111" s="17">
        <v>43021</v>
      </c>
      <c r="CF111" s="16">
        <v>-22400</v>
      </c>
      <c r="CG111" s="17">
        <v>43100</v>
      </c>
      <c r="CH111" s="16">
        <v>-22400</v>
      </c>
      <c r="CI111" s="17">
        <v>43100</v>
      </c>
      <c r="CJ111" s="16">
        <v>1000000</v>
      </c>
      <c r="CK111" s="17">
        <v>43587</v>
      </c>
      <c r="CL111" s="16"/>
      <c r="CM111" s="17"/>
      <c r="CN111" s="19">
        <v>34.404632171420339</v>
      </c>
      <c r="CO111" s="19"/>
      <c r="CP111" s="17"/>
      <c r="CQ111" s="14" t="s">
        <v>5309</v>
      </c>
      <c r="CR111" s="14" t="s">
        <v>6810</v>
      </c>
      <c r="CS111" s="14" t="s">
        <v>5004</v>
      </c>
    </row>
    <row r="112" spans="1:97" ht="26.15" customHeight="1">
      <c r="A112" s="2">
        <v>503</v>
      </c>
      <c r="B112" s="25" t="s">
        <v>2927</v>
      </c>
      <c r="C112" s="25" t="e">
        <f>VLOOKUP(B112, Sheet6!$A$1:$B$77, 2, FALSE)</f>
        <v>#N/A</v>
      </c>
      <c r="D112" s="25" t="s">
        <v>2928</v>
      </c>
      <c r="E112" s="25" t="s">
        <v>2929</v>
      </c>
      <c r="F112" s="25" t="s">
        <v>9996</v>
      </c>
      <c r="G112" s="25" t="s">
        <v>10955</v>
      </c>
      <c r="H112" s="25" t="s">
        <v>10558</v>
      </c>
      <c r="I112" s="25" t="s">
        <v>10558</v>
      </c>
      <c r="J112" s="25" t="s">
        <v>10846</v>
      </c>
      <c r="L112" s="13">
        <v>2015</v>
      </c>
      <c r="M112" s="14" t="s">
        <v>6811</v>
      </c>
      <c r="N112" s="14" t="s">
        <v>6812</v>
      </c>
      <c r="O112" s="14" t="s">
        <v>2057</v>
      </c>
      <c r="P112" s="15" t="s">
        <v>3117</v>
      </c>
      <c r="Q112" s="16"/>
      <c r="R112" s="17">
        <v>43300</v>
      </c>
      <c r="S112" s="16"/>
      <c r="T112" s="16" t="s">
        <v>50</v>
      </c>
      <c r="U112" s="14" t="s">
        <v>25</v>
      </c>
      <c r="V112" s="13">
        <v>1</v>
      </c>
      <c r="W112" s="17">
        <v>44012</v>
      </c>
      <c r="X112" s="14"/>
      <c r="Y112" s="17"/>
      <c r="Z112" s="17"/>
      <c r="AA112" s="14" t="s">
        <v>4995</v>
      </c>
      <c r="AB112" s="14" t="s">
        <v>5578</v>
      </c>
      <c r="AC112" s="14" t="s">
        <v>6813</v>
      </c>
      <c r="AD112" s="20" t="str">
        <f t="shared" si="8"/>
        <v>Online Grocery &gt; B2C Ecommerce &gt; Multi Category &gt; Marketplace &gt; Own Delivery Fleet
Crop Tech &gt; ECommerce &gt; Farm Produce &gt; B2C &gt; Fruits and Vegetables &gt; Marketplace</v>
      </c>
      <c r="AE112" s="20" t="str">
        <f t="shared" si="7"/>
        <v>Online Grocery</v>
      </c>
      <c r="AF112" s="20" t="str">
        <f t="shared" si="9"/>
        <v>B2C Ecommerce</v>
      </c>
      <c r="AG112" s="20" t="str">
        <f t="shared" si="9"/>
        <v>Multi Category</v>
      </c>
      <c r="AH112" s="20" t="str">
        <f t="shared" si="9"/>
        <v>Marketplace</v>
      </c>
      <c r="AI112" s="20" t="str">
        <f t="shared" si="9"/>
        <v>Own Delivery Fleet
Crop Tech</v>
      </c>
      <c r="AJ112" s="20" t="str">
        <f t="shared" si="9"/>
        <v>ECommerce</v>
      </c>
      <c r="AK112" s="20" t="str">
        <f t="shared" si="9"/>
        <v>Farm Produce</v>
      </c>
      <c r="AL112" s="14"/>
      <c r="AM112" s="14"/>
      <c r="AO112" s="14"/>
      <c r="AP112" s="14" t="s">
        <v>2057</v>
      </c>
      <c r="AQ112" s="14"/>
      <c r="AR112" s="14" t="s">
        <v>6815</v>
      </c>
      <c r="AS112" s="14"/>
      <c r="AT112" s="14"/>
      <c r="AU112" s="14"/>
      <c r="AV112" s="18"/>
      <c r="AW112" s="16"/>
      <c r="AX112" s="17"/>
      <c r="AY112" s="15" t="s">
        <v>3123</v>
      </c>
      <c r="AZ112" s="17"/>
      <c r="BA112" s="16"/>
      <c r="BB112" s="14"/>
      <c r="BC112" s="14"/>
      <c r="BD112" s="15" t="s">
        <v>3123</v>
      </c>
      <c r="BE112" s="14"/>
      <c r="BF112" s="17"/>
      <c r="BG112" s="16"/>
      <c r="BH112" s="14"/>
      <c r="BI112" s="15" t="s">
        <v>3123</v>
      </c>
      <c r="BJ112" s="14"/>
      <c r="BK112" s="17"/>
      <c r="BL112" s="16"/>
      <c r="BM112" s="16"/>
      <c r="BN112" s="16"/>
      <c r="BO112" s="16"/>
      <c r="BP112" s="15" t="s">
        <v>3123</v>
      </c>
      <c r="BQ112" s="17"/>
      <c r="BR112" s="14"/>
      <c r="BS112" s="14"/>
      <c r="BT112" s="16"/>
      <c r="BU112" s="16"/>
      <c r="BV112" s="13"/>
      <c r="BW112" s="18" t="s">
        <v>6816</v>
      </c>
      <c r="BX112" s="13">
        <v>403</v>
      </c>
      <c r="BY112" s="17">
        <v>44126</v>
      </c>
      <c r="BZ112" s="18"/>
      <c r="CA112" s="18"/>
      <c r="CB112" s="18"/>
      <c r="CC112" s="18"/>
      <c r="CD112" s="14" t="s">
        <v>6817</v>
      </c>
      <c r="CE112" s="17">
        <v>43305</v>
      </c>
      <c r="CF112" s="16"/>
      <c r="CG112" s="17"/>
      <c r="CH112" s="16"/>
      <c r="CI112" s="17"/>
      <c r="CJ112" s="16"/>
      <c r="CK112" s="17"/>
      <c r="CL112" s="16"/>
      <c r="CM112" s="17"/>
      <c r="CN112" s="19">
        <v>16.395755542550742</v>
      </c>
      <c r="CO112" s="19"/>
      <c r="CP112" s="17"/>
      <c r="CQ112" s="14" t="s">
        <v>5293</v>
      </c>
      <c r="CR112" s="14" t="s">
        <v>6818</v>
      </c>
      <c r="CS112" s="14" t="s">
        <v>5620</v>
      </c>
    </row>
    <row r="113" spans="1:97" ht="26.15" customHeight="1">
      <c r="A113" s="2">
        <v>200</v>
      </c>
      <c r="B113" s="25" t="s">
        <v>1724</v>
      </c>
      <c r="C113" s="25" t="e">
        <f>VLOOKUP(B113, Sheet6!$A$1:$B$77, 2, FALSE)</f>
        <v>#N/A</v>
      </c>
      <c r="D113" s="25" t="s">
        <v>1725</v>
      </c>
      <c r="E113" s="25" t="s">
        <v>1726</v>
      </c>
      <c r="F113" s="25" t="s">
        <v>7543</v>
      </c>
      <c r="G113" s="25" t="s">
        <v>10955</v>
      </c>
      <c r="H113" s="25" t="s">
        <v>10959</v>
      </c>
      <c r="I113" s="25" t="s">
        <v>10958</v>
      </c>
      <c r="J113" s="26" t="s">
        <v>10846</v>
      </c>
      <c r="L113" s="13">
        <v>2006</v>
      </c>
      <c r="M113" s="14" t="s">
        <v>6819</v>
      </c>
      <c r="N113" s="14" t="s">
        <v>5720</v>
      </c>
      <c r="O113" s="14" t="s">
        <v>2057</v>
      </c>
      <c r="P113" s="15" t="s">
        <v>3117</v>
      </c>
      <c r="Q113" s="16"/>
      <c r="R113" s="17">
        <v>43413</v>
      </c>
      <c r="S113" s="16"/>
      <c r="T113" s="16" t="s">
        <v>50</v>
      </c>
      <c r="U113" s="14" t="s">
        <v>95</v>
      </c>
      <c r="V113" s="13">
        <v>4</v>
      </c>
      <c r="W113" s="17">
        <v>43992</v>
      </c>
      <c r="X113" s="14"/>
      <c r="Y113" s="17"/>
      <c r="Z113" s="17"/>
      <c r="AA113" s="14" t="s">
        <v>1</v>
      </c>
      <c r="AB113" s="14" t="s">
        <v>5007</v>
      </c>
      <c r="AC113" s="14" t="s">
        <v>5594</v>
      </c>
      <c r="AD113" s="20" t="str">
        <f t="shared" si="8"/>
        <v>Crop Tech &gt; Content Platforms &gt; Data as a Service &gt; Farm Data Platform</v>
      </c>
      <c r="AE113" s="20" t="str">
        <f t="shared" si="7"/>
        <v>Crop Tech</v>
      </c>
      <c r="AF113" s="20" t="str">
        <f t="shared" si="9"/>
        <v>Content Platforms</v>
      </c>
      <c r="AG113" s="20" t="str">
        <f t="shared" si="9"/>
        <v>Data as a Service</v>
      </c>
      <c r="AH113" s="20" t="str">
        <f t="shared" si="9"/>
        <v>Farm Data Platform</v>
      </c>
      <c r="AI113" s="20" t="str">
        <f t="shared" si="9"/>
        <v/>
      </c>
      <c r="AJ113" s="20" t="str">
        <f t="shared" si="9"/>
        <v/>
      </c>
      <c r="AK113" s="20" t="str">
        <f t="shared" si="9"/>
        <v/>
      </c>
      <c r="AL113" s="14" t="s">
        <v>2696</v>
      </c>
      <c r="AM113" s="14"/>
      <c r="AO113" s="14"/>
      <c r="AP113" s="14" t="s">
        <v>2057</v>
      </c>
      <c r="AQ113" s="14" t="s">
        <v>6821</v>
      </c>
      <c r="AR113" s="14" t="s">
        <v>6822</v>
      </c>
      <c r="AS113" s="14"/>
      <c r="AT113" s="14"/>
      <c r="AU113" s="14"/>
      <c r="AV113" s="18"/>
      <c r="AW113" s="16"/>
      <c r="AX113" s="17"/>
      <c r="AY113" s="15" t="s">
        <v>3123</v>
      </c>
      <c r="AZ113" s="17"/>
      <c r="BA113" s="16"/>
      <c r="BB113" s="14"/>
      <c r="BC113" s="14"/>
      <c r="BD113" s="15" t="s">
        <v>3123</v>
      </c>
      <c r="BE113" s="14"/>
      <c r="BF113" s="17"/>
      <c r="BG113" s="16"/>
      <c r="BH113" s="14"/>
      <c r="BI113" s="15" t="s">
        <v>3123</v>
      </c>
      <c r="BJ113" s="14"/>
      <c r="BK113" s="17"/>
      <c r="BL113" s="16"/>
      <c r="BM113" s="16"/>
      <c r="BN113" s="16"/>
      <c r="BO113" s="16"/>
      <c r="BP113" s="15" t="s">
        <v>3123</v>
      </c>
      <c r="BQ113" s="17"/>
      <c r="BR113" s="14"/>
      <c r="BS113" s="14"/>
      <c r="BT113" s="16"/>
      <c r="BU113" s="16"/>
      <c r="BV113" s="13"/>
      <c r="BW113" s="18" t="s">
        <v>6823</v>
      </c>
      <c r="BX113" s="13">
        <v>200</v>
      </c>
      <c r="BY113" s="17">
        <v>44126</v>
      </c>
      <c r="BZ113" s="18"/>
      <c r="CA113" s="18"/>
      <c r="CB113" s="18"/>
      <c r="CC113" s="18"/>
      <c r="CD113" s="14" t="s">
        <v>6824</v>
      </c>
      <c r="CE113" s="17">
        <v>43895</v>
      </c>
      <c r="CF113" s="16"/>
      <c r="CG113" s="17"/>
      <c r="CH113" s="16"/>
      <c r="CI113" s="17"/>
      <c r="CJ113" s="16"/>
      <c r="CK113" s="17"/>
      <c r="CL113" s="16"/>
      <c r="CM113" s="17"/>
      <c r="CN113" s="19">
        <v>17.692451445534587</v>
      </c>
      <c r="CO113" s="19"/>
      <c r="CP113" s="17"/>
      <c r="CQ113" s="14" t="s">
        <v>5309</v>
      </c>
      <c r="CR113" s="14" t="s">
        <v>6825</v>
      </c>
      <c r="CS113" s="14" t="s">
        <v>5004</v>
      </c>
    </row>
    <row r="114" spans="1:97" ht="26.15" customHeight="1">
      <c r="A114" s="2">
        <v>90</v>
      </c>
      <c r="B114" s="25" t="s">
        <v>436</v>
      </c>
      <c r="C114" s="25" t="e">
        <f>VLOOKUP(B114, Sheet6!$A$1:$B$77, 2, FALSE)</f>
        <v>#N/A</v>
      </c>
      <c r="D114" s="25" t="s">
        <v>437</v>
      </c>
      <c r="E114" s="25" t="s">
        <v>441</v>
      </c>
      <c r="F114" s="25"/>
      <c r="G114" s="25" t="s">
        <v>10955</v>
      </c>
      <c r="H114" s="25" t="s">
        <v>10959</v>
      </c>
      <c r="I114" s="25" t="s">
        <v>10958</v>
      </c>
      <c r="J114" s="26" t="s">
        <v>10846</v>
      </c>
      <c r="L114" s="13">
        <v>2016</v>
      </c>
      <c r="M114" s="14" t="s">
        <v>6840</v>
      </c>
      <c r="N114" s="14" t="s">
        <v>6543</v>
      </c>
      <c r="O114" s="14" t="s">
        <v>3994</v>
      </c>
      <c r="P114" s="15" t="s">
        <v>3117</v>
      </c>
      <c r="Q114" s="16">
        <v>4352191</v>
      </c>
      <c r="R114" s="17">
        <v>43486</v>
      </c>
      <c r="S114" s="16" t="s">
        <v>5022</v>
      </c>
      <c r="T114" s="16">
        <v>2000000</v>
      </c>
      <c r="U114" s="14" t="s">
        <v>34</v>
      </c>
      <c r="V114" s="13">
        <v>4</v>
      </c>
      <c r="W114" s="17">
        <v>44062</v>
      </c>
      <c r="X114" s="14" t="s">
        <v>5052</v>
      </c>
      <c r="Y114" s="17">
        <v>43881</v>
      </c>
      <c r="Z114" s="17">
        <v>43486</v>
      </c>
      <c r="AA114" s="14" t="s">
        <v>1</v>
      </c>
      <c r="AB114" s="14" t="s">
        <v>5007</v>
      </c>
      <c r="AC114" s="14" t="s">
        <v>5093</v>
      </c>
      <c r="AD114" s="20" t="str">
        <f t="shared" si="8"/>
        <v>Crop Tech &gt; Post Harvest Management &gt; Traceability</v>
      </c>
      <c r="AE114" s="20" t="str">
        <f t="shared" si="7"/>
        <v>Crop Tech</v>
      </c>
      <c r="AF114" s="20" t="str">
        <f t="shared" si="9"/>
        <v>Post Harvest Management</v>
      </c>
      <c r="AG114" s="20" t="str">
        <f t="shared" si="9"/>
        <v>Traceability</v>
      </c>
      <c r="AH114" s="20" t="str">
        <f t="shared" si="9"/>
        <v/>
      </c>
      <c r="AI114" s="20" t="str">
        <f t="shared" si="9"/>
        <v/>
      </c>
      <c r="AJ114" s="20" t="str">
        <f t="shared" si="9"/>
        <v/>
      </c>
      <c r="AK114" s="20" t="str">
        <f t="shared" si="9"/>
        <v/>
      </c>
      <c r="AL114" s="14" t="s">
        <v>6841</v>
      </c>
      <c r="AM114" s="14" t="s">
        <v>6842</v>
      </c>
      <c r="AO114" s="14"/>
      <c r="AP114" s="14" t="s">
        <v>3994</v>
      </c>
      <c r="AQ114" s="14" t="s">
        <v>6844</v>
      </c>
      <c r="AR114" s="14" t="s">
        <v>6845</v>
      </c>
      <c r="AS114" s="14" t="s">
        <v>6846</v>
      </c>
      <c r="AT114" s="14" t="s">
        <v>6847</v>
      </c>
      <c r="AU114" s="14" t="s">
        <v>6848</v>
      </c>
      <c r="AV114" s="18"/>
      <c r="AW114" s="16">
        <v>97000</v>
      </c>
      <c r="AX114" s="17">
        <v>43465</v>
      </c>
      <c r="AY114" s="15" t="s">
        <v>3123</v>
      </c>
      <c r="AZ114" s="17"/>
      <c r="BA114" s="16"/>
      <c r="BB114" s="14"/>
      <c r="BC114" s="14"/>
      <c r="BD114" s="15" t="s">
        <v>3123</v>
      </c>
      <c r="BE114" s="14"/>
      <c r="BF114" s="17"/>
      <c r="BG114" s="16"/>
      <c r="BH114" s="14"/>
      <c r="BI114" s="15" t="s">
        <v>3123</v>
      </c>
      <c r="BJ114" s="14"/>
      <c r="BK114" s="17"/>
      <c r="BL114" s="16"/>
      <c r="BM114" s="16"/>
      <c r="BN114" s="16"/>
      <c r="BO114" s="16"/>
      <c r="BP114" s="15" t="s">
        <v>3123</v>
      </c>
      <c r="BQ114" s="17"/>
      <c r="BR114" s="14"/>
      <c r="BS114" s="14"/>
      <c r="BT114" s="16"/>
      <c r="BU114" s="16"/>
      <c r="BV114" s="13"/>
      <c r="BW114" s="18" t="s">
        <v>6849</v>
      </c>
      <c r="BX114" s="13">
        <v>200</v>
      </c>
      <c r="BY114" s="17">
        <v>44126</v>
      </c>
      <c r="BZ114" s="18" t="s">
        <v>6850</v>
      </c>
      <c r="CA114" s="18" t="s">
        <v>6851</v>
      </c>
      <c r="CB114" s="18" t="s">
        <v>6852</v>
      </c>
      <c r="CC114" s="18"/>
      <c r="CD114" s="14" t="s">
        <v>6853</v>
      </c>
      <c r="CE114" s="17">
        <v>44062</v>
      </c>
      <c r="CF114" s="16">
        <v>-258600</v>
      </c>
      <c r="CG114" s="17">
        <v>43465</v>
      </c>
      <c r="CH114" s="16">
        <v>-252900</v>
      </c>
      <c r="CI114" s="17">
        <v>43465</v>
      </c>
      <c r="CJ114" s="16">
        <v>20000000</v>
      </c>
      <c r="CK114" s="17">
        <v>43475</v>
      </c>
      <c r="CL114" s="16">
        <v>53</v>
      </c>
      <c r="CM114" s="17">
        <v>44012</v>
      </c>
      <c r="CN114" s="19">
        <v>54.118186870606145</v>
      </c>
      <c r="CO114" s="19"/>
      <c r="CP114" s="17"/>
      <c r="CQ114" s="14" t="s">
        <v>5018</v>
      </c>
      <c r="CR114" s="14" t="s">
        <v>5019</v>
      </c>
      <c r="CS114" s="14" t="s">
        <v>5004</v>
      </c>
    </row>
    <row r="115" spans="1:97" ht="26.15" customHeight="1">
      <c r="A115" s="2">
        <v>64</v>
      </c>
      <c r="B115" s="25" t="s">
        <v>466</v>
      </c>
      <c r="C115" s="25" t="e">
        <f>VLOOKUP(B115, Sheet6!$A$1:$B$77, 2, FALSE)</f>
        <v>#N/A</v>
      </c>
      <c r="D115" s="25" t="s">
        <v>467</v>
      </c>
      <c r="E115" s="25" t="s">
        <v>469</v>
      </c>
      <c r="F115" s="25" t="s">
        <v>5832</v>
      </c>
      <c r="G115" s="25" t="s">
        <v>10955</v>
      </c>
      <c r="H115" s="25" t="s">
        <v>10959</v>
      </c>
      <c r="I115" s="25" t="s">
        <v>10958</v>
      </c>
      <c r="J115" s="26" t="s">
        <v>10846</v>
      </c>
      <c r="L115" s="13">
        <v>2012</v>
      </c>
      <c r="M115" s="14" t="s">
        <v>6854</v>
      </c>
      <c r="N115" s="14" t="s">
        <v>6855</v>
      </c>
      <c r="O115" s="14" t="s">
        <v>1740</v>
      </c>
      <c r="P115" s="15" t="s">
        <v>3117</v>
      </c>
      <c r="Q115" s="16">
        <v>495862</v>
      </c>
      <c r="R115" s="17">
        <v>44056</v>
      </c>
      <c r="S115" s="16" t="s">
        <v>6856</v>
      </c>
      <c r="T115" s="16">
        <v>338300</v>
      </c>
      <c r="U115" s="14" t="s">
        <v>34</v>
      </c>
      <c r="V115" s="13">
        <v>3</v>
      </c>
      <c r="W115" s="17">
        <v>44064</v>
      </c>
      <c r="X115" s="14"/>
      <c r="Y115" s="17"/>
      <c r="Z115" s="17"/>
      <c r="AA115" s="14" t="s">
        <v>6857</v>
      </c>
      <c r="AB115" s="14" t="s">
        <v>6858</v>
      </c>
      <c r="AC115" s="14" t="s">
        <v>6859</v>
      </c>
      <c r="AD115" s="20" t="str">
        <f t="shared" si="8"/>
        <v>Drones &gt; Civilian Drones &gt; Drone Platform
Geographic Information Systems &gt; Location Analytics &gt; Agriculture
Crop Tech &gt; Farm Analytics &gt; Drones Based &gt; Software</v>
      </c>
      <c r="AE115" s="20" t="str">
        <f t="shared" si="7"/>
        <v>Drones</v>
      </c>
      <c r="AF115" s="20" t="str">
        <f t="shared" si="9"/>
        <v>Civilian Drones</v>
      </c>
      <c r="AG115" s="20" t="str">
        <f t="shared" si="9"/>
        <v>Drone Platform
Geographic Information Systems</v>
      </c>
      <c r="AH115" s="20" t="str">
        <f t="shared" si="9"/>
        <v>Location Analytics</v>
      </c>
      <c r="AI115" s="20" t="str">
        <f t="shared" si="9"/>
        <v>Agriculture
Crop Tech</v>
      </c>
      <c r="AJ115" s="20" t="str">
        <f t="shared" si="9"/>
        <v>Farm Analytics</v>
      </c>
      <c r="AK115" s="20" t="str">
        <f t="shared" si="9"/>
        <v>Drones Based</v>
      </c>
      <c r="AL115" s="14" t="s">
        <v>6860</v>
      </c>
      <c r="AM115" s="14"/>
      <c r="AO115" s="14"/>
      <c r="AP115" s="14" t="s">
        <v>1740</v>
      </c>
      <c r="AQ115" s="14" t="s">
        <v>6862</v>
      </c>
      <c r="AR115" s="14"/>
      <c r="AS115" s="14" t="s">
        <v>6863</v>
      </c>
      <c r="AT115" s="14"/>
      <c r="AU115" s="14" t="s">
        <v>6864</v>
      </c>
      <c r="AV115" s="18"/>
      <c r="AW115" s="16"/>
      <c r="AX115" s="17"/>
      <c r="AY115" s="15" t="s">
        <v>3123</v>
      </c>
      <c r="AZ115" s="17"/>
      <c r="BA115" s="16"/>
      <c r="BB115" s="14"/>
      <c r="BC115" s="14"/>
      <c r="BD115" s="15" t="s">
        <v>3123</v>
      </c>
      <c r="BE115" s="14"/>
      <c r="BF115" s="17"/>
      <c r="BG115" s="16"/>
      <c r="BH115" s="14"/>
      <c r="BI115" s="15" t="s">
        <v>3123</v>
      </c>
      <c r="BJ115" s="14"/>
      <c r="BK115" s="17"/>
      <c r="BL115" s="16"/>
      <c r="BM115" s="16"/>
      <c r="BN115" s="16"/>
      <c r="BO115" s="16"/>
      <c r="BP115" s="15" t="s">
        <v>3123</v>
      </c>
      <c r="BQ115" s="17"/>
      <c r="BR115" s="14"/>
      <c r="BS115" s="14"/>
      <c r="BT115" s="16"/>
      <c r="BU115" s="16"/>
      <c r="BV115" s="13"/>
      <c r="BW115" s="18" t="s">
        <v>6865</v>
      </c>
      <c r="BX115" s="13">
        <v>302</v>
      </c>
      <c r="BY115" s="17">
        <v>44126</v>
      </c>
      <c r="BZ115" s="18" t="s">
        <v>6866</v>
      </c>
      <c r="CA115" s="18" t="s">
        <v>6867</v>
      </c>
      <c r="CB115" s="18" t="s">
        <v>6868</v>
      </c>
      <c r="CC115" s="18" t="s">
        <v>6869</v>
      </c>
      <c r="CD115" s="14" t="s">
        <v>6870</v>
      </c>
      <c r="CE115" s="17">
        <v>42845</v>
      </c>
      <c r="CF115" s="16"/>
      <c r="CG115" s="17"/>
      <c r="CH115" s="16"/>
      <c r="CI115" s="17"/>
      <c r="CJ115" s="16"/>
      <c r="CK115" s="17"/>
      <c r="CL115" s="16"/>
      <c r="CM115" s="17"/>
      <c r="CN115" s="19">
        <v>28.484941451542987</v>
      </c>
      <c r="CO115" s="19"/>
      <c r="CP115" s="17"/>
      <c r="CQ115" s="14" t="s">
        <v>5036</v>
      </c>
      <c r="CR115" s="14" t="s">
        <v>5962</v>
      </c>
      <c r="CS115" s="14" t="s">
        <v>5945</v>
      </c>
    </row>
    <row r="116" spans="1:97" ht="26.15" customHeight="1">
      <c r="A116" s="2">
        <v>95</v>
      </c>
      <c r="B116" s="25" t="s">
        <v>1256</v>
      </c>
      <c r="C116" s="25" t="e">
        <f>VLOOKUP(B116, Sheet6!$A$1:$B$77, 2, FALSE)</f>
        <v>#N/A</v>
      </c>
      <c r="D116" s="25" t="s">
        <v>1257</v>
      </c>
      <c r="E116" s="25" t="s">
        <v>1259</v>
      </c>
      <c r="F116" s="25" t="s">
        <v>6261</v>
      </c>
      <c r="G116" s="25" t="s">
        <v>10955</v>
      </c>
      <c r="H116" s="25" t="s">
        <v>10957</v>
      </c>
      <c r="I116" s="25" t="s">
        <v>10958</v>
      </c>
      <c r="J116" s="26" t="s">
        <v>10966</v>
      </c>
      <c r="L116" s="13">
        <v>2017</v>
      </c>
      <c r="M116" s="14" t="s">
        <v>5005</v>
      </c>
      <c r="N116" s="14" t="s">
        <v>5006</v>
      </c>
      <c r="O116" s="14" t="s">
        <v>3994</v>
      </c>
      <c r="P116" s="15" t="s">
        <v>3117</v>
      </c>
      <c r="Q116" s="16">
        <v>878298</v>
      </c>
      <c r="R116" s="17">
        <v>43040</v>
      </c>
      <c r="S116" s="16" t="s">
        <v>6871</v>
      </c>
      <c r="T116" s="16">
        <v>878298</v>
      </c>
      <c r="U116" s="14" t="s">
        <v>5630</v>
      </c>
      <c r="V116" s="13"/>
      <c r="W116" s="17">
        <v>44013</v>
      </c>
      <c r="X116" s="14"/>
      <c r="Y116" s="17"/>
      <c r="Z116" s="17"/>
      <c r="AA116" s="14" t="s">
        <v>5509</v>
      </c>
      <c r="AB116" s="14" t="s">
        <v>5510</v>
      </c>
      <c r="AC116" s="14" t="s">
        <v>5696</v>
      </c>
      <c r="AD116" s="20" t="str">
        <f t="shared" si="8"/>
        <v>B2B E-Commerce &gt; Food &amp; Beverages &gt; Groceries &gt; Farm Products &gt; E-Distributor
Online Grocery &gt; B2B Ecommerce &gt; Farm Produce &gt; Fruits and Vegetables &gt; E-Distributor
Crop Tech &gt; ECommerce &gt; Farm Produce &gt; B2B &gt; Fruits and Vegetables &gt; E Distributor</v>
      </c>
      <c r="AE116" s="20" t="str">
        <f t="shared" si="7"/>
        <v>B2B E-Commerce</v>
      </c>
      <c r="AF116" s="20" t="str">
        <f t="shared" si="9"/>
        <v>Food &amp; Beverages</v>
      </c>
      <c r="AG116" s="20" t="str">
        <f t="shared" si="9"/>
        <v>Groceries</v>
      </c>
      <c r="AH116" s="20" t="str">
        <f t="shared" si="9"/>
        <v>Farm Products</v>
      </c>
      <c r="AI116" s="20" t="str">
        <f t="shared" si="9"/>
        <v>E-Distributor
Online Grocery</v>
      </c>
      <c r="AJ116" s="20" t="str">
        <f t="shared" si="9"/>
        <v>B2B Ecommerce</v>
      </c>
      <c r="AK116" s="20" t="str">
        <f t="shared" si="9"/>
        <v>Farm Produce</v>
      </c>
      <c r="AL116" s="14" t="s">
        <v>1929</v>
      </c>
      <c r="AM116" s="14"/>
      <c r="AO116" s="14"/>
      <c r="AP116" s="14" t="s">
        <v>3994</v>
      </c>
      <c r="AQ116" s="14" t="s">
        <v>6873</v>
      </c>
      <c r="AR116" s="14"/>
      <c r="AS116" s="14" t="s">
        <v>6874</v>
      </c>
      <c r="AT116" s="14" t="s">
        <v>6875</v>
      </c>
      <c r="AU116" s="14" t="s">
        <v>6876</v>
      </c>
      <c r="AV116" s="18"/>
      <c r="AW116" s="16">
        <v>517460</v>
      </c>
      <c r="AX116" s="17">
        <v>43100</v>
      </c>
      <c r="AY116" s="15" t="s">
        <v>3117</v>
      </c>
      <c r="AZ116" s="17">
        <v>42746</v>
      </c>
      <c r="BA116" s="16">
        <v>1464</v>
      </c>
      <c r="BB116" s="14" t="s">
        <v>6877</v>
      </c>
      <c r="BC116" s="14"/>
      <c r="BD116" s="15" t="s">
        <v>3123</v>
      </c>
      <c r="BE116" s="14"/>
      <c r="BF116" s="17"/>
      <c r="BG116" s="16"/>
      <c r="BH116" s="14"/>
      <c r="BI116" s="15" t="s">
        <v>3123</v>
      </c>
      <c r="BJ116" s="14"/>
      <c r="BK116" s="17"/>
      <c r="BL116" s="16"/>
      <c r="BM116" s="16"/>
      <c r="BN116" s="16"/>
      <c r="BO116" s="16"/>
      <c r="BP116" s="15" t="s">
        <v>3117</v>
      </c>
      <c r="BQ116" s="17"/>
      <c r="BR116" s="14"/>
      <c r="BS116" s="14"/>
      <c r="BT116" s="16"/>
      <c r="BU116" s="16"/>
      <c r="BV116" s="13"/>
      <c r="BW116" s="18" t="s">
        <v>6878</v>
      </c>
      <c r="BX116" s="13">
        <v>200</v>
      </c>
      <c r="BY116" s="17">
        <v>44126</v>
      </c>
      <c r="BZ116" s="18" t="s">
        <v>6879</v>
      </c>
      <c r="CA116" s="18" t="s">
        <v>6880</v>
      </c>
      <c r="CB116" s="18" t="s">
        <v>6881</v>
      </c>
      <c r="CC116" s="18"/>
      <c r="CD116" s="14" t="s">
        <v>6882</v>
      </c>
      <c r="CE116" s="17">
        <v>43045</v>
      </c>
      <c r="CF116" s="16">
        <v>-47049</v>
      </c>
      <c r="CG116" s="17">
        <v>43100</v>
      </c>
      <c r="CH116" s="16">
        <v>-106619</v>
      </c>
      <c r="CI116" s="17">
        <v>43100</v>
      </c>
      <c r="CJ116" s="16">
        <v>5000000</v>
      </c>
      <c r="CK116" s="17">
        <v>43038</v>
      </c>
      <c r="CL116" s="16">
        <v>3</v>
      </c>
      <c r="CM116" s="17">
        <v>43465</v>
      </c>
      <c r="CN116" s="19">
        <v>32.714433683201953</v>
      </c>
      <c r="CO116" s="19"/>
      <c r="CP116" s="17"/>
      <c r="CQ116" s="14" t="s">
        <v>6119</v>
      </c>
      <c r="CR116" s="14" t="s">
        <v>5962</v>
      </c>
      <c r="CS116" s="14" t="s">
        <v>6074</v>
      </c>
    </row>
    <row r="117" spans="1:97" ht="26.15" customHeight="1">
      <c r="A117" s="2">
        <v>18</v>
      </c>
      <c r="B117" s="25" t="s">
        <v>296</v>
      </c>
      <c r="C117" s="25" t="e">
        <f>VLOOKUP(B117, Sheet6!$A$1:$B$77, 2, FALSE)</f>
        <v>#N/A</v>
      </c>
      <c r="D117" s="25" t="s">
        <v>297</v>
      </c>
      <c r="E117" s="25" t="s">
        <v>300</v>
      </c>
      <c r="F117" s="25" t="s">
        <v>5240</v>
      </c>
      <c r="G117" s="25" t="s">
        <v>10955</v>
      </c>
      <c r="H117" s="25" t="s">
        <v>10959</v>
      </c>
      <c r="I117" s="25" t="s">
        <v>10958</v>
      </c>
      <c r="J117" s="26" t="s">
        <v>10759</v>
      </c>
      <c r="L117" s="13">
        <v>2014</v>
      </c>
      <c r="M117" s="14" t="s">
        <v>6707</v>
      </c>
      <c r="N117" s="14" t="s">
        <v>6708</v>
      </c>
      <c r="O117" s="14" t="s">
        <v>6297</v>
      </c>
      <c r="P117" s="15" t="s">
        <v>3117</v>
      </c>
      <c r="Q117" s="16">
        <v>10111973</v>
      </c>
      <c r="R117" s="17">
        <v>43971</v>
      </c>
      <c r="S117" s="16" t="s">
        <v>5543</v>
      </c>
      <c r="T117" s="16">
        <v>5463940</v>
      </c>
      <c r="U117" s="14" t="s">
        <v>25</v>
      </c>
      <c r="V117" s="13">
        <v>4</v>
      </c>
      <c r="W117" s="17">
        <v>44055</v>
      </c>
      <c r="X117" s="14" t="s">
        <v>5052</v>
      </c>
      <c r="Y117" s="17">
        <v>43818</v>
      </c>
      <c r="Z117" s="17">
        <v>43523</v>
      </c>
      <c r="AA117" s="14" t="s">
        <v>5253</v>
      </c>
      <c r="AB117" s="14" t="s">
        <v>5254</v>
      </c>
      <c r="AC117" s="14" t="s">
        <v>5255</v>
      </c>
      <c r="AD117" s="20" t="str">
        <f t="shared" si="8"/>
        <v>Drones &gt; Services &gt; Precision Agriculture
Crop Tech &gt; Farm Analytics &gt; Drones Based</v>
      </c>
      <c r="AE117" s="20" t="str">
        <f t="shared" si="7"/>
        <v>Drones</v>
      </c>
      <c r="AF117" s="20" t="str">
        <f t="shared" si="9"/>
        <v>Services</v>
      </c>
      <c r="AG117" s="20" t="str">
        <f t="shared" si="9"/>
        <v>Precision Agriculture
Crop Tech</v>
      </c>
      <c r="AH117" s="20" t="str">
        <f t="shared" si="9"/>
        <v>Farm Analytics</v>
      </c>
      <c r="AI117" s="20" t="str">
        <f t="shared" si="9"/>
        <v>Drones Based</v>
      </c>
      <c r="AJ117" s="20" t="str">
        <f t="shared" si="9"/>
        <v/>
      </c>
      <c r="AK117" s="20" t="str">
        <f t="shared" si="9"/>
        <v/>
      </c>
      <c r="AL117" s="14" t="s">
        <v>6904</v>
      </c>
      <c r="AM117" s="14" t="s">
        <v>6905</v>
      </c>
      <c r="AO117" s="14"/>
      <c r="AP117" s="14" t="s">
        <v>6297</v>
      </c>
      <c r="AQ117" s="14" t="s">
        <v>6907</v>
      </c>
      <c r="AR117" s="14" t="s">
        <v>6908</v>
      </c>
      <c r="AS117" s="14" t="s">
        <v>6909</v>
      </c>
      <c r="AT117" s="14" t="s">
        <v>6910</v>
      </c>
      <c r="AU117" s="14" t="s">
        <v>6911</v>
      </c>
      <c r="AV117" s="18"/>
      <c r="AW117" s="16"/>
      <c r="AX117" s="17"/>
      <c r="AY117" s="15" t="s">
        <v>3123</v>
      </c>
      <c r="AZ117" s="17"/>
      <c r="BA117" s="16"/>
      <c r="BB117" s="14"/>
      <c r="BC117" s="14"/>
      <c r="BD117" s="15" t="s">
        <v>3123</v>
      </c>
      <c r="BE117" s="14"/>
      <c r="BF117" s="17"/>
      <c r="BG117" s="16"/>
      <c r="BH117" s="14"/>
      <c r="BI117" s="15" t="s">
        <v>3123</v>
      </c>
      <c r="BJ117" s="14"/>
      <c r="BK117" s="17"/>
      <c r="BL117" s="16"/>
      <c r="BM117" s="16"/>
      <c r="BN117" s="16"/>
      <c r="BO117" s="16"/>
      <c r="BP117" s="15" t="s">
        <v>3123</v>
      </c>
      <c r="BQ117" s="17"/>
      <c r="BR117" s="14"/>
      <c r="BS117" s="14"/>
      <c r="BT117" s="16"/>
      <c r="BU117" s="16"/>
      <c r="BV117" s="13"/>
      <c r="BW117" s="18" t="s">
        <v>6912</v>
      </c>
      <c r="BX117" s="13">
        <v>200</v>
      </c>
      <c r="BY117" s="17">
        <v>44126</v>
      </c>
      <c r="BZ117" s="18" t="s">
        <v>6913</v>
      </c>
      <c r="CA117" s="18" t="s">
        <v>6914</v>
      </c>
      <c r="CB117" s="18" t="s">
        <v>6915</v>
      </c>
      <c r="CC117" s="18" t="s">
        <v>6916</v>
      </c>
      <c r="CD117" s="14" t="s">
        <v>6917</v>
      </c>
      <c r="CE117" s="17">
        <v>43892</v>
      </c>
      <c r="CF117" s="16"/>
      <c r="CG117" s="17"/>
      <c r="CH117" s="16"/>
      <c r="CI117" s="17"/>
      <c r="CJ117" s="16"/>
      <c r="CK117" s="17"/>
      <c r="CL117" s="16"/>
      <c r="CM117" s="17"/>
      <c r="CN117" s="19">
        <v>57.983842329237135</v>
      </c>
      <c r="CO117" s="19"/>
      <c r="CP117" s="17"/>
      <c r="CQ117" s="14" t="s">
        <v>6918</v>
      </c>
      <c r="CR117" s="14" t="s">
        <v>5091</v>
      </c>
      <c r="CS117" s="14" t="s">
        <v>5004</v>
      </c>
    </row>
    <row r="118" spans="1:97" ht="26.15" customHeight="1">
      <c r="A118" s="2">
        <v>49</v>
      </c>
      <c r="B118" s="25" t="s">
        <v>125</v>
      </c>
      <c r="C118" s="25" t="e">
        <f>VLOOKUP(B118, Sheet6!$A$1:$B$77, 2, FALSE)</f>
        <v>#N/A</v>
      </c>
      <c r="D118" s="25" t="s">
        <v>126</v>
      </c>
      <c r="E118" s="25" t="s">
        <v>129</v>
      </c>
      <c r="F118" s="25" t="s">
        <v>5660</v>
      </c>
      <c r="G118" s="25" t="s">
        <v>10955</v>
      </c>
      <c r="H118" s="25" t="s">
        <v>10957</v>
      </c>
      <c r="I118" s="25" t="s">
        <v>10958</v>
      </c>
      <c r="J118" s="26" t="s">
        <v>10821</v>
      </c>
      <c r="L118" s="13">
        <v>2012</v>
      </c>
      <c r="M118" s="14" t="s">
        <v>6919</v>
      </c>
      <c r="N118" s="14" t="s">
        <v>5039</v>
      </c>
      <c r="O118" s="14" t="s">
        <v>3994</v>
      </c>
      <c r="P118" s="15" t="s">
        <v>3117</v>
      </c>
      <c r="Q118" s="16">
        <v>1035150</v>
      </c>
      <c r="R118" s="17">
        <v>44111</v>
      </c>
      <c r="S118" s="16" t="s">
        <v>5134</v>
      </c>
      <c r="T118" s="16">
        <v>1035150</v>
      </c>
      <c r="U118" s="14" t="s">
        <v>34</v>
      </c>
      <c r="V118" s="13">
        <v>3</v>
      </c>
      <c r="W118" s="17">
        <v>44117</v>
      </c>
      <c r="X118" s="14"/>
      <c r="Y118" s="17"/>
      <c r="Z118" s="17"/>
      <c r="AA118" s="14" t="s">
        <v>1</v>
      </c>
      <c r="AB118" s="14" t="s">
        <v>5007</v>
      </c>
      <c r="AC118" s="14" t="s">
        <v>6920</v>
      </c>
      <c r="AD118" s="20" t="str">
        <f t="shared" si="8"/>
        <v>Crop Tech &gt; Farm Management Software &gt; Soil Management &gt; Soil Testing</v>
      </c>
      <c r="AE118" s="20" t="str">
        <f t="shared" si="7"/>
        <v>Crop Tech</v>
      </c>
      <c r="AF118" s="20" t="str">
        <f t="shared" si="9"/>
        <v>Farm Management Software</v>
      </c>
      <c r="AG118" s="20" t="str">
        <f t="shared" si="9"/>
        <v>Soil Management</v>
      </c>
      <c r="AH118" s="20" t="str">
        <f t="shared" si="9"/>
        <v>Soil Testing</v>
      </c>
      <c r="AI118" s="20" t="str">
        <f t="shared" si="9"/>
        <v/>
      </c>
      <c r="AJ118" s="20" t="str">
        <f t="shared" si="9"/>
        <v/>
      </c>
      <c r="AK118" s="20" t="str">
        <f t="shared" si="9"/>
        <v/>
      </c>
      <c r="AL118" s="14" t="s">
        <v>6921</v>
      </c>
      <c r="AM118" s="14"/>
      <c r="AO118" s="14"/>
      <c r="AP118" s="14" t="s">
        <v>3994</v>
      </c>
      <c r="AQ118" s="14"/>
      <c r="AR118" s="14"/>
      <c r="AS118" s="14" t="s">
        <v>6923</v>
      </c>
      <c r="AT118" s="14" t="s">
        <v>6924</v>
      </c>
      <c r="AU118" s="14" t="s">
        <v>6925</v>
      </c>
      <c r="AV118" s="18"/>
      <c r="AW118" s="16">
        <v>25533.3</v>
      </c>
      <c r="AX118" s="17">
        <v>43465</v>
      </c>
      <c r="AY118" s="15" t="s">
        <v>3123</v>
      </c>
      <c r="AZ118" s="17"/>
      <c r="BA118" s="16"/>
      <c r="BB118" s="14"/>
      <c r="BC118" s="14"/>
      <c r="BD118" s="15" t="s">
        <v>3123</v>
      </c>
      <c r="BE118" s="14"/>
      <c r="BF118" s="17"/>
      <c r="BG118" s="16"/>
      <c r="BH118" s="14"/>
      <c r="BI118" s="15" t="s">
        <v>3123</v>
      </c>
      <c r="BJ118" s="14"/>
      <c r="BK118" s="17"/>
      <c r="BL118" s="16"/>
      <c r="BM118" s="16"/>
      <c r="BN118" s="16"/>
      <c r="BO118" s="16"/>
      <c r="BP118" s="15" t="s">
        <v>3123</v>
      </c>
      <c r="BQ118" s="17"/>
      <c r="BR118" s="14"/>
      <c r="BS118" s="14"/>
      <c r="BT118" s="16"/>
      <c r="BU118" s="16"/>
      <c r="BV118" s="13"/>
      <c r="BW118" s="18" t="s">
        <v>6926</v>
      </c>
      <c r="BX118" s="13">
        <v>200</v>
      </c>
      <c r="BY118" s="17">
        <v>44126</v>
      </c>
      <c r="BZ118" s="18" t="s">
        <v>6927</v>
      </c>
      <c r="CA118" s="18" t="s">
        <v>6928</v>
      </c>
      <c r="CB118" s="18"/>
      <c r="CC118" s="18"/>
      <c r="CD118" s="14" t="s">
        <v>6929</v>
      </c>
      <c r="CE118" s="17">
        <v>43875</v>
      </c>
      <c r="CF118" s="16">
        <v>-6236</v>
      </c>
      <c r="CG118" s="17">
        <v>43465</v>
      </c>
      <c r="CH118" s="16">
        <v>4244.92</v>
      </c>
      <c r="CI118" s="17">
        <v>43465</v>
      </c>
      <c r="CJ118" s="16">
        <v>2924036.775710925</v>
      </c>
      <c r="CK118" s="17">
        <v>44113</v>
      </c>
      <c r="CL118" s="16"/>
      <c r="CM118" s="17"/>
      <c r="CN118" s="19">
        <v>31.923740263732675</v>
      </c>
      <c r="CO118" s="19"/>
      <c r="CP118" s="17"/>
      <c r="CQ118" s="14" t="s">
        <v>5082</v>
      </c>
      <c r="CR118" s="14" t="s">
        <v>5083</v>
      </c>
      <c r="CS118" s="14" t="s">
        <v>5004</v>
      </c>
    </row>
    <row r="119" spans="1:97" ht="26.15" customHeight="1">
      <c r="A119" s="2">
        <v>7</v>
      </c>
      <c r="B119" s="25" t="s">
        <v>976</v>
      </c>
      <c r="C119" s="25" t="e">
        <f>VLOOKUP(B119, Sheet6!$A$1:$B$77, 2, FALSE)</f>
        <v>#N/A</v>
      </c>
      <c r="D119" s="25" t="s">
        <v>977</v>
      </c>
      <c r="E119" s="25" t="s">
        <v>978</v>
      </c>
      <c r="F119" s="25"/>
      <c r="G119" s="25" t="s">
        <v>10952</v>
      </c>
      <c r="H119" s="25" t="s">
        <v>10959</v>
      </c>
      <c r="I119" s="25" t="s">
        <v>10958</v>
      </c>
      <c r="J119" s="26" t="s">
        <v>10846</v>
      </c>
      <c r="L119" s="13">
        <v>2016</v>
      </c>
      <c r="M119" s="14" t="s">
        <v>5038</v>
      </c>
      <c r="N119" s="14" t="s">
        <v>5039</v>
      </c>
      <c r="O119" s="14" t="s">
        <v>3994</v>
      </c>
      <c r="P119" s="15" t="s">
        <v>3117</v>
      </c>
      <c r="Q119" s="16">
        <v>57163</v>
      </c>
      <c r="R119" s="17">
        <v>43063</v>
      </c>
      <c r="S119" s="16" t="s">
        <v>6930</v>
      </c>
      <c r="T119" s="16">
        <v>57162</v>
      </c>
      <c r="U119" s="14" t="s">
        <v>34</v>
      </c>
      <c r="V119" s="13">
        <v>2</v>
      </c>
      <c r="W119" s="17">
        <v>44022</v>
      </c>
      <c r="X119" s="14"/>
      <c r="Y119" s="17"/>
      <c r="Z119" s="17"/>
      <c r="AA119" s="14" t="s">
        <v>5509</v>
      </c>
      <c r="AB119" s="14" t="s">
        <v>5510</v>
      </c>
      <c r="AC119" s="14" t="s">
        <v>5511</v>
      </c>
      <c r="AD119" s="20" t="str">
        <f t="shared" si="8"/>
        <v>B2B E-Commerce &gt; Food &amp; Beverages &gt; Groceries &gt; Farm Products &gt; Marketplace
Online Grocery &gt; B2B Ecommerce &gt; Farm Produce &gt; Fruits and Vegetables &gt; Marketplace
Crop Tech &gt; ECommerce &gt; Farm Produce &gt; B2B &gt; Fruits and Vegetables &gt; Marketplace</v>
      </c>
      <c r="AE119" s="20" t="str">
        <f t="shared" si="7"/>
        <v>B2B E-Commerce</v>
      </c>
      <c r="AF119" s="20" t="str">
        <f t="shared" si="9"/>
        <v>Food &amp; Beverages</v>
      </c>
      <c r="AG119" s="20" t="str">
        <f t="shared" si="9"/>
        <v>Groceries</v>
      </c>
      <c r="AH119" s="20" t="str">
        <f t="shared" si="9"/>
        <v>Farm Products</v>
      </c>
      <c r="AI119" s="20" t="str">
        <f t="shared" si="9"/>
        <v>Marketplace
Online Grocery</v>
      </c>
      <c r="AJ119" s="20" t="str">
        <f t="shared" si="9"/>
        <v>B2B Ecommerce</v>
      </c>
      <c r="AK119" s="20" t="str">
        <f t="shared" si="9"/>
        <v>Farm Produce</v>
      </c>
      <c r="AL119" s="14" t="s">
        <v>6931</v>
      </c>
      <c r="AM119" s="14" t="s">
        <v>1908</v>
      </c>
      <c r="AO119" s="14"/>
      <c r="AP119" s="14" t="s">
        <v>3994</v>
      </c>
      <c r="AQ119" s="14" t="s">
        <v>6933</v>
      </c>
      <c r="AR119" s="14" t="s">
        <v>6934</v>
      </c>
      <c r="AS119" s="14" t="s">
        <v>6935</v>
      </c>
      <c r="AT119" s="14" t="s">
        <v>6936</v>
      </c>
      <c r="AU119" s="14" t="s">
        <v>6937</v>
      </c>
      <c r="AV119" s="18"/>
      <c r="AW119" s="16">
        <v>1216900</v>
      </c>
      <c r="AX119" s="17">
        <v>43465</v>
      </c>
      <c r="AY119" s="15" t="s">
        <v>3117</v>
      </c>
      <c r="AZ119" s="17">
        <v>42653</v>
      </c>
      <c r="BA119" s="16">
        <v>1499</v>
      </c>
      <c r="BB119" s="14" t="s">
        <v>6938</v>
      </c>
      <c r="BC119" s="14"/>
      <c r="BD119" s="15" t="s">
        <v>3123</v>
      </c>
      <c r="BE119" s="14"/>
      <c r="BF119" s="17"/>
      <c r="BG119" s="16"/>
      <c r="BH119" s="14"/>
      <c r="BI119" s="15" t="s">
        <v>3123</v>
      </c>
      <c r="BJ119" s="14"/>
      <c r="BK119" s="17"/>
      <c r="BL119" s="16"/>
      <c r="BM119" s="16"/>
      <c r="BN119" s="16"/>
      <c r="BO119" s="16"/>
      <c r="BP119" s="15" t="s">
        <v>3123</v>
      </c>
      <c r="BQ119" s="17"/>
      <c r="BR119" s="14"/>
      <c r="BS119" s="14"/>
      <c r="BT119" s="16"/>
      <c r="BU119" s="16"/>
      <c r="BV119" s="13"/>
      <c r="BW119" s="18" t="s">
        <v>6939</v>
      </c>
      <c r="BX119" s="13">
        <v>200</v>
      </c>
      <c r="BY119" s="17">
        <v>44129</v>
      </c>
      <c r="BZ119" s="18" t="s">
        <v>6940</v>
      </c>
      <c r="CA119" s="18" t="s">
        <v>6941</v>
      </c>
      <c r="CB119" s="18" t="s">
        <v>6942</v>
      </c>
      <c r="CC119" s="18"/>
      <c r="CD119" s="14" t="s">
        <v>6943</v>
      </c>
      <c r="CE119" s="17">
        <v>43096</v>
      </c>
      <c r="CF119" s="16">
        <v>1100</v>
      </c>
      <c r="CG119" s="17">
        <v>43465</v>
      </c>
      <c r="CH119" s="16">
        <v>23900</v>
      </c>
      <c r="CI119" s="17">
        <v>43465</v>
      </c>
      <c r="CJ119" s="16">
        <v>1000000</v>
      </c>
      <c r="CK119" s="17">
        <v>43171</v>
      </c>
      <c r="CL119" s="16"/>
      <c r="CM119" s="17"/>
      <c r="CN119" s="19">
        <v>52.398575405527843</v>
      </c>
      <c r="CO119" s="19"/>
      <c r="CP119" s="17"/>
      <c r="CQ119" s="14" t="s">
        <v>5002</v>
      </c>
      <c r="CR119" s="14" t="s">
        <v>6557</v>
      </c>
      <c r="CS119" s="14" t="s">
        <v>5945</v>
      </c>
    </row>
    <row r="120" spans="1:97" ht="26.15" customHeight="1">
      <c r="A120" s="2">
        <v>189</v>
      </c>
      <c r="B120" s="25" t="s">
        <v>259</v>
      </c>
      <c r="C120" s="25" t="e">
        <f>VLOOKUP(B120, Sheet6!$A$1:$B$77, 2, FALSE)</f>
        <v>#N/A</v>
      </c>
      <c r="D120" s="25" t="s">
        <v>260</v>
      </c>
      <c r="E120" s="25" t="s">
        <v>264</v>
      </c>
      <c r="F120" s="25" t="s">
        <v>7396</v>
      </c>
      <c r="G120" s="25" t="s">
        <v>10955</v>
      </c>
      <c r="H120" s="25" t="s">
        <v>10959</v>
      </c>
      <c r="I120" s="25" t="s">
        <v>10958</v>
      </c>
      <c r="J120" s="26" t="s">
        <v>10770</v>
      </c>
      <c r="L120" s="13">
        <v>2016</v>
      </c>
      <c r="M120" s="14" t="s">
        <v>6212</v>
      </c>
      <c r="N120" s="14" t="s">
        <v>6212</v>
      </c>
      <c r="O120" s="14" t="s">
        <v>6213</v>
      </c>
      <c r="P120" s="15" t="s">
        <v>3117</v>
      </c>
      <c r="Q120" s="16">
        <v>150000</v>
      </c>
      <c r="R120" s="17">
        <v>43739</v>
      </c>
      <c r="S120" s="16" t="s">
        <v>5105</v>
      </c>
      <c r="T120" s="16">
        <v>150000</v>
      </c>
      <c r="U120" s="14" t="s">
        <v>34</v>
      </c>
      <c r="V120" s="13"/>
      <c r="W120" s="17"/>
      <c r="X120" s="14"/>
      <c r="Y120" s="17"/>
      <c r="Z120" s="17"/>
      <c r="AA120" s="14" t="s">
        <v>6944</v>
      </c>
      <c r="AB120" s="14" t="s">
        <v>6945</v>
      </c>
      <c r="AC120" s="14" t="s">
        <v>6946</v>
      </c>
      <c r="AD120" s="20" t="str">
        <f t="shared" si="8"/>
        <v>Crowdfunding &gt; Revenue Sharing &gt; Agriculture
Crop Tech &gt; Finance &gt; Crowdfunding
Y Combinator Batches &gt; 2019 &gt; Winter</v>
      </c>
      <c r="AE120" s="20" t="str">
        <f t="shared" si="7"/>
        <v>Crowdfunding</v>
      </c>
      <c r="AF120" s="20" t="str">
        <f t="shared" si="9"/>
        <v>Revenue Sharing</v>
      </c>
      <c r="AG120" s="20" t="str">
        <f t="shared" si="9"/>
        <v>Agriculture
Crop Tech</v>
      </c>
      <c r="AH120" s="20" t="str">
        <f t="shared" si="9"/>
        <v>Finance</v>
      </c>
      <c r="AI120" s="20" t="str">
        <f t="shared" si="9"/>
        <v>Crowdfunding
Y Combinator Batches</v>
      </c>
      <c r="AJ120" s="20" t="str">
        <f t="shared" si="9"/>
        <v>2019</v>
      </c>
      <c r="AK120" s="20" t="str">
        <f t="shared" si="9"/>
        <v>Winter</v>
      </c>
      <c r="AL120" s="14" t="s">
        <v>6947</v>
      </c>
      <c r="AM120" s="14"/>
      <c r="AO120" s="14"/>
      <c r="AP120" s="14" t="s">
        <v>6213</v>
      </c>
      <c r="AQ120" s="14"/>
      <c r="AR120" s="14"/>
      <c r="AS120" s="14" t="s">
        <v>6949</v>
      </c>
      <c r="AT120" s="14" t="s">
        <v>6950</v>
      </c>
      <c r="AU120" s="14" t="s">
        <v>6951</v>
      </c>
      <c r="AV120" s="18"/>
      <c r="AW120" s="16"/>
      <c r="AX120" s="17"/>
      <c r="AY120" s="15" t="s">
        <v>3123</v>
      </c>
      <c r="AZ120" s="17"/>
      <c r="BA120" s="16"/>
      <c r="BB120" s="14"/>
      <c r="BC120" s="14"/>
      <c r="BD120" s="15" t="s">
        <v>3123</v>
      </c>
      <c r="BE120" s="14"/>
      <c r="BF120" s="17"/>
      <c r="BG120" s="16"/>
      <c r="BH120" s="14"/>
      <c r="BI120" s="15" t="s">
        <v>3123</v>
      </c>
      <c r="BJ120" s="14"/>
      <c r="BK120" s="17"/>
      <c r="BL120" s="16"/>
      <c r="BM120" s="16"/>
      <c r="BN120" s="16"/>
      <c r="BO120" s="16"/>
      <c r="BP120" s="15" t="s">
        <v>3123</v>
      </c>
      <c r="BQ120" s="17"/>
      <c r="BR120" s="14"/>
      <c r="BS120" s="14"/>
      <c r="BT120" s="16"/>
      <c r="BU120" s="16"/>
      <c r="BV120" s="13"/>
      <c r="BW120" s="18" t="s">
        <v>6952</v>
      </c>
      <c r="BX120" s="13">
        <v>200</v>
      </c>
      <c r="BY120" s="17">
        <v>44126</v>
      </c>
      <c r="BZ120" s="18" t="s">
        <v>6953</v>
      </c>
      <c r="CA120" s="18"/>
      <c r="CB120" s="18" t="s">
        <v>6954</v>
      </c>
      <c r="CC120" s="18"/>
      <c r="CD120" s="14" t="s">
        <v>6955</v>
      </c>
      <c r="CE120" s="17">
        <v>42930</v>
      </c>
      <c r="CF120" s="16"/>
      <c r="CG120" s="17"/>
      <c r="CH120" s="16"/>
      <c r="CI120" s="17"/>
      <c r="CJ120" s="16"/>
      <c r="CK120" s="17"/>
      <c r="CL120" s="16"/>
      <c r="CM120" s="17"/>
      <c r="CN120" s="19">
        <v>28.379349764816446</v>
      </c>
      <c r="CO120" s="19"/>
      <c r="CP120" s="17"/>
      <c r="CQ120" s="14" t="s">
        <v>5036</v>
      </c>
      <c r="CR120" s="14" t="s">
        <v>5439</v>
      </c>
      <c r="CS120" s="14" t="s">
        <v>5311</v>
      </c>
    </row>
    <row r="121" spans="1:97" ht="26.15" customHeight="1">
      <c r="A121" s="2">
        <v>348</v>
      </c>
      <c r="B121" s="25" t="s">
        <v>2487</v>
      </c>
      <c r="C121" s="25" t="e">
        <f>VLOOKUP(B121, Sheet6!$A$1:$B$77, 2, FALSE)</f>
        <v>#N/A</v>
      </c>
      <c r="D121" s="25" t="s">
        <v>2488</v>
      </c>
      <c r="E121" s="25" t="s">
        <v>2489</v>
      </c>
      <c r="F121" s="25" t="s">
        <v>9060</v>
      </c>
      <c r="G121" s="25" t="s">
        <v>10955</v>
      </c>
      <c r="H121" s="25" t="s">
        <v>10957</v>
      </c>
      <c r="I121" s="25" t="s">
        <v>10558</v>
      </c>
      <c r="J121" s="25" t="s">
        <v>10846</v>
      </c>
      <c r="L121" s="13">
        <v>2016</v>
      </c>
      <c r="M121" s="14" t="s">
        <v>6227</v>
      </c>
      <c r="N121" s="14" t="s">
        <v>6228</v>
      </c>
      <c r="O121" s="14" t="s">
        <v>3994</v>
      </c>
      <c r="P121" s="15" t="s">
        <v>3117</v>
      </c>
      <c r="Q121" s="16">
        <v>1550000</v>
      </c>
      <c r="R121" s="17">
        <v>44132</v>
      </c>
      <c r="S121" s="16" t="s">
        <v>5134</v>
      </c>
      <c r="T121" s="16">
        <v>1400000</v>
      </c>
      <c r="U121" s="14" t="s">
        <v>34</v>
      </c>
      <c r="V121" s="13">
        <v>4</v>
      </c>
      <c r="W121" s="17">
        <v>44013</v>
      </c>
      <c r="X121" s="14"/>
      <c r="Y121" s="17"/>
      <c r="Z121" s="17"/>
      <c r="AA121" s="14" t="s">
        <v>5509</v>
      </c>
      <c r="AB121" s="14" t="s">
        <v>5510</v>
      </c>
      <c r="AC121" s="14" t="s">
        <v>5696</v>
      </c>
      <c r="AD121" s="20" t="str">
        <f t="shared" si="8"/>
        <v>B2B E-Commerce &gt; Food &amp; Beverages &gt; Groceries &gt; Farm Products &gt; E-Distributor
Online Grocery &gt; B2B Ecommerce &gt; Farm Produce &gt; Fruits and Vegetables &gt; E-Distributor
Crop Tech &gt; ECommerce &gt; Farm Produce &gt; B2B &gt; Fruits and Vegetables &gt; E Distributor</v>
      </c>
      <c r="AE121" s="20" t="str">
        <f t="shared" si="7"/>
        <v>B2B E-Commerce</v>
      </c>
      <c r="AF121" s="20" t="str">
        <f t="shared" si="9"/>
        <v>Food &amp; Beverages</v>
      </c>
      <c r="AG121" s="20" t="str">
        <f t="shared" si="9"/>
        <v>Groceries</v>
      </c>
      <c r="AH121" s="20" t="str">
        <f t="shared" si="9"/>
        <v>Farm Products</v>
      </c>
      <c r="AI121" s="20" t="str">
        <f t="shared" si="9"/>
        <v>E-Distributor
Online Grocery</v>
      </c>
      <c r="AJ121" s="20" t="str">
        <f t="shared" si="9"/>
        <v>B2B Ecommerce</v>
      </c>
      <c r="AK121" s="20" t="str">
        <f t="shared" si="9"/>
        <v>Farm Produce</v>
      </c>
      <c r="AL121" s="14" t="s">
        <v>6967</v>
      </c>
      <c r="AM121" s="14" t="s">
        <v>1074</v>
      </c>
      <c r="AO121" s="14"/>
      <c r="AP121" s="14" t="s">
        <v>3994</v>
      </c>
      <c r="AQ121" s="14" t="s">
        <v>6969</v>
      </c>
      <c r="AR121" s="14"/>
      <c r="AS121" s="14" t="s">
        <v>6970</v>
      </c>
      <c r="AT121" s="14" t="s">
        <v>6971</v>
      </c>
      <c r="AU121" s="14" t="s">
        <v>6972</v>
      </c>
      <c r="AV121" s="18"/>
      <c r="AW121" s="16">
        <v>491500</v>
      </c>
      <c r="AX121" s="17">
        <v>43465</v>
      </c>
      <c r="AY121" s="15" t="s">
        <v>3123</v>
      </c>
      <c r="AZ121" s="17"/>
      <c r="BA121" s="16"/>
      <c r="BB121" s="14"/>
      <c r="BC121" s="14"/>
      <c r="BD121" s="15" t="s">
        <v>3123</v>
      </c>
      <c r="BE121" s="14"/>
      <c r="BF121" s="17"/>
      <c r="BG121" s="16"/>
      <c r="BH121" s="14"/>
      <c r="BI121" s="15" t="s">
        <v>3123</v>
      </c>
      <c r="BJ121" s="14"/>
      <c r="BK121" s="17"/>
      <c r="BL121" s="16"/>
      <c r="BM121" s="16"/>
      <c r="BN121" s="16"/>
      <c r="BO121" s="16"/>
      <c r="BP121" s="15" t="s">
        <v>3123</v>
      </c>
      <c r="BQ121" s="17"/>
      <c r="BR121" s="14"/>
      <c r="BS121" s="14"/>
      <c r="BT121" s="16"/>
      <c r="BU121" s="16"/>
      <c r="BV121" s="13"/>
      <c r="BW121" s="18" t="s">
        <v>6973</v>
      </c>
      <c r="BX121" s="13">
        <v>200</v>
      </c>
      <c r="BY121" s="17">
        <v>44126</v>
      </c>
      <c r="BZ121" s="18" t="s">
        <v>6974</v>
      </c>
      <c r="CA121" s="18" t="s">
        <v>6975</v>
      </c>
      <c r="CB121" s="18" t="s">
        <v>6976</v>
      </c>
      <c r="CC121" s="18"/>
      <c r="CD121" s="14" t="s">
        <v>6977</v>
      </c>
      <c r="CE121" s="17">
        <v>42765</v>
      </c>
      <c r="CF121" s="16">
        <v>-71500</v>
      </c>
      <c r="CG121" s="17">
        <v>43465</v>
      </c>
      <c r="CH121" s="16">
        <v>-70700</v>
      </c>
      <c r="CI121" s="17">
        <v>43465</v>
      </c>
      <c r="CJ121" s="16">
        <v>557376.58667112631</v>
      </c>
      <c r="CK121" s="17">
        <v>43798</v>
      </c>
      <c r="CL121" s="16"/>
      <c r="CM121" s="17"/>
      <c r="CN121" s="19">
        <v>40.224418916902415</v>
      </c>
      <c r="CO121" s="19"/>
      <c r="CP121" s="17"/>
      <c r="CQ121" s="14" t="s">
        <v>5036</v>
      </c>
      <c r="CR121" s="14" t="s">
        <v>5037</v>
      </c>
      <c r="CS121" s="14" t="s">
        <v>5004</v>
      </c>
    </row>
    <row r="122" spans="1:97" ht="26.15" customHeight="1">
      <c r="A122" s="2">
        <v>269</v>
      </c>
      <c r="B122" s="25" t="s">
        <v>1094</v>
      </c>
      <c r="C122" s="25" t="e">
        <f>VLOOKUP(B122, Sheet6!$A$1:$B$77, 2, FALSE)</f>
        <v>#N/A</v>
      </c>
      <c r="D122" s="25" t="s">
        <v>1095</v>
      </c>
      <c r="E122" s="25" t="s">
        <v>1096</v>
      </c>
      <c r="F122" s="25" t="s">
        <v>8409</v>
      </c>
      <c r="G122" s="25" t="s">
        <v>10955</v>
      </c>
      <c r="H122" s="25" t="s">
        <v>10957</v>
      </c>
      <c r="I122" s="25" t="s">
        <v>10968</v>
      </c>
      <c r="J122" s="25" t="s">
        <v>10759</v>
      </c>
      <c r="L122" s="13">
        <v>2014</v>
      </c>
      <c r="M122" s="14" t="s">
        <v>6978</v>
      </c>
      <c r="N122" s="14" t="s">
        <v>6979</v>
      </c>
      <c r="O122" s="14" t="s">
        <v>4343</v>
      </c>
      <c r="P122" s="15" t="s">
        <v>3117</v>
      </c>
      <c r="Q122" s="16"/>
      <c r="R122" s="17">
        <v>43646</v>
      </c>
      <c r="S122" s="16"/>
      <c r="T122" s="16" t="s">
        <v>50</v>
      </c>
      <c r="U122" s="14" t="s">
        <v>109</v>
      </c>
      <c r="V122" s="13">
        <v>4</v>
      </c>
      <c r="W122" s="17">
        <v>44039</v>
      </c>
      <c r="X122" s="14"/>
      <c r="Y122" s="17"/>
      <c r="Z122" s="17"/>
      <c r="AA122" s="14" t="s">
        <v>5442</v>
      </c>
      <c r="AB122" s="14" t="s">
        <v>6980</v>
      </c>
      <c r="AC122" s="14" t="s">
        <v>6981</v>
      </c>
      <c r="AD122" s="20" t="str">
        <f t="shared" si="8"/>
        <v>Livestock Tech &gt; Breeding &gt; Gender Detection &gt; Poultry
MassChallenge Batches &gt; Israel &gt; 2016 &gt; Diamond</v>
      </c>
      <c r="AE122" s="20" t="str">
        <f t="shared" si="7"/>
        <v>Livestock Tech</v>
      </c>
      <c r="AF122" s="20" t="str">
        <f t="shared" si="9"/>
        <v>Breeding</v>
      </c>
      <c r="AG122" s="20" t="str">
        <f t="shared" si="9"/>
        <v>Gender Detection</v>
      </c>
      <c r="AH122" s="20" t="str">
        <f t="shared" si="9"/>
        <v>Poultry
MassChallenge Batches</v>
      </c>
      <c r="AI122" s="20" t="str">
        <f t="shared" si="9"/>
        <v>Israel</v>
      </c>
      <c r="AJ122" s="20" t="str">
        <f t="shared" si="9"/>
        <v>2016</v>
      </c>
      <c r="AK122" s="20" t="str">
        <f t="shared" si="9"/>
        <v>Diamond</v>
      </c>
      <c r="AL122" s="14" t="s">
        <v>6982</v>
      </c>
      <c r="AM122" s="14"/>
      <c r="AO122" s="14"/>
      <c r="AP122" s="14" t="s">
        <v>4343</v>
      </c>
      <c r="AQ122" s="14"/>
      <c r="AR122" s="14"/>
      <c r="AS122" s="14" t="s">
        <v>6984</v>
      </c>
      <c r="AT122" s="14" t="s">
        <v>6985</v>
      </c>
      <c r="AU122" s="14" t="s">
        <v>6986</v>
      </c>
      <c r="AV122" s="18"/>
      <c r="AW122" s="16"/>
      <c r="AX122" s="17"/>
      <c r="AY122" s="15" t="s">
        <v>3123</v>
      </c>
      <c r="AZ122" s="17"/>
      <c r="BA122" s="16"/>
      <c r="BB122" s="14"/>
      <c r="BC122" s="14"/>
      <c r="BD122" s="15" t="s">
        <v>3123</v>
      </c>
      <c r="BE122" s="14"/>
      <c r="BF122" s="17"/>
      <c r="BG122" s="16"/>
      <c r="BH122" s="14"/>
      <c r="BI122" s="15" t="s">
        <v>3123</v>
      </c>
      <c r="BJ122" s="14"/>
      <c r="BK122" s="17"/>
      <c r="BL122" s="16"/>
      <c r="BM122" s="16"/>
      <c r="BN122" s="16"/>
      <c r="BO122" s="16"/>
      <c r="BP122" s="15" t="s">
        <v>3123</v>
      </c>
      <c r="BQ122" s="17"/>
      <c r="BR122" s="14"/>
      <c r="BS122" s="14"/>
      <c r="BT122" s="16"/>
      <c r="BU122" s="16"/>
      <c r="BV122" s="13"/>
      <c r="BW122" s="18" t="s">
        <v>6987</v>
      </c>
      <c r="BX122" s="13">
        <v>200</v>
      </c>
      <c r="BY122" s="17">
        <v>44126</v>
      </c>
      <c r="BZ122" s="18" t="s">
        <v>6988</v>
      </c>
      <c r="CA122" s="18"/>
      <c r="CB122" s="18" t="s">
        <v>6989</v>
      </c>
      <c r="CC122" s="18"/>
      <c r="CD122" s="14" t="s">
        <v>6990</v>
      </c>
      <c r="CE122" s="17">
        <v>43056</v>
      </c>
      <c r="CF122" s="16"/>
      <c r="CG122" s="17"/>
      <c r="CH122" s="16"/>
      <c r="CI122" s="17"/>
      <c r="CJ122" s="16"/>
      <c r="CK122" s="17"/>
      <c r="CL122" s="16"/>
      <c r="CM122" s="17"/>
      <c r="CN122" s="19">
        <v>32.181807291156659</v>
      </c>
      <c r="CO122" s="19"/>
      <c r="CP122" s="17"/>
      <c r="CQ122" s="14" t="s">
        <v>5345</v>
      </c>
      <c r="CR122" s="14" t="s">
        <v>6991</v>
      </c>
      <c r="CS122" s="14" t="s">
        <v>5945</v>
      </c>
    </row>
    <row r="123" spans="1:97" ht="26.15" customHeight="1">
      <c r="A123" s="2">
        <v>537</v>
      </c>
      <c r="B123" s="25" t="s">
        <v>2951</v>
      </c>
      <c r="C123" s="25" t="e">
        <f>VLOOKUP(B123, Sheet6!$A$1:$B$77, 2, FALSE)</f>
        <v>#N/A</v>
      </c>
      <c r="D123" s="25" t="s">
        <v>2952</v>
      </c>
      <c r="E123" s="25" t="s">
        <v>2955</v>
      </c>
      <c r="F123" s="25" t="s">
        <v>10317</v>
      </c>
      <c r="G123" s="25" t="s">
        <v>10558</v>
      </c>
      <c r="H123" s="25" t="s">
        <v>10967</v>
      </c>
      <c r="I123" s="25" t="s">
        <v>10558</v>
      </c>
      <c r="J123" s="25" t="s">
        <v>10712</v>
      </c>
      <c r="L123" s="13">
        <v>2016</v>
      </c>
      <c r="M123" s="14" t="s">
        <v>6992</v>
      </c>
      <c r="N123" s="14" t="s">
        <v>5313</v>
      </c>
      <c r="O123" s="14" t="s">
        <v>3994</v>
      </c>
      <c r="P123" s="15" t="s">
        <v>3117</v>
      </c>
      <c r="Q123" s="16">
        <v>774776</v>
      </c>
      <c r="R123" s="17">
        <v>43325</v>
      </c>
      <c r="S123" s="16" t="s">
        <v>5417</v>
      </c>
      <c r="T123" s="16">
        <v>274776</v>
      </c>
      <c r="U123" s="14" t="s">
        <v>34</v>
      </c>
      <c r="V123" s="13">
        <v>4</v>
      </c>
      <c r="W123" s="17">
        <v>44043</v>
      </c>
      <c r="X123" s="14"/>
      <c r="Y123" s="17"/>
      <c r="Z123" s="17"/>
      <c r="AA123" s="14" t="s">
        <v>5442</v>
      </c>
      <c r="AB123" s="14" t="s">
        <v>6993</v>
      </c>
      <c r="AC123" s="14" t="s">
        <v>6994</v>
      </c>
      <c r="AD123" s="20" t="str">
        <f t="shared" si="8"/>
        <v>Crop Tech &gt; Post Harvest Management &gt; Quality Testing &gt; Fruits and Vegetables
CIIE Batches &gt; 2018</v>
      </c>
      <c r="AE123" s="20" t="str">
        <f t="shared" si="7"/>
        <v>Crop Tech</v>
      </c>
      <c r="AF123" s="20" t="str">
        <f t="shared" si="9"/>
        <v>Post Harvest Management</v>
      </c>
      <c r="AG123" s="20" t="str">
        <f t="shared" si="9"/>
        <v>Quality Testing</v>
      </c>
      <c r="AH123" s="20" t="str">
        <f t="shared" si="9"/>
        <v>Fruits and Vegetables
CIIE Batches</v>
      </c>
      <c r="AI123" s="20" t="str">
        <f t="shared" si="9"/>
        <v>2018</v>
      </c>
      <c r="AJ123" s="20" t="str">
        <f t="shared" si="9"/>
        <v/>
      </c>
      <c r="AK123" s="20" t="str">
        <f t="shared" si="9"/>
        <v/>
      </c>
      <c r="AL123" s="14" t="s">
        <v>6995</v>
      </c>
      <c r="AM123" s="14" t="s">
        <v>6996</v>
      </c>
      <c r="AO123" s="14"/>
      <c r="AP123" s="14" t="s">
        <v>3994</v>
      </c>
      <c r="AQ123" s="14" t="s">
        <v>6998</v>
      </c>
      <c r="AR123" s="14" t="s">
        <v>6999</v>
      </c>
      <c r="AS123" s="14" t="s">
        <v>7000</v>
      </c>
      <c r="AT123" s="14" t="s">
        <v>7001</v>
      </c>
      <c r="AU123" s="14" t="s">
        <v>7002</v>
      </c>
      <c r="AV123" s="18"/>
      <c r="AW123" s="16">
        <v>40700</v>
      </c>
      <c r="AX123" s="17">
        <v>43465</v>
      </c>
      <c r="AY123" s="15" t="s">
        <v>3117</v>
      </c>
      <c r="AZ123" s="17">
        <v>42653</v>
      </c>
      <c r="BA123" s="16">
        <v>4950</v>
      </c>
      <c r="BB123" s="14" t="s">
        <v>7003</v>
      </c>
      <c r="BC123" s="14"/>
      <c r="BD123" s="15" t="s">
        <v>3123</v>
      </c>
      <c r="BE123" s="14"/>
      <c r="BF123" s="17"/>
      <c r="BG123" s="16"/>
      <c r="BH123" s="14"/>
      <c r="BI123" s="15" t="s">
        <v>3123</v>
      </c>
      <c r="BJ123" s="14"/>
      <c r="BK123" s="17"/>
      <c r="BL123" s="16"/>
      <c r="BM123" s="16"/>
      <c r="BN123" s="16"/>
      <c r="BO123" s="16"/>
      <c r="BP123" s="15" t="s">
        <v>3123</v>
      </c>
      <c r="BQ123" s="17"/>
      <c r="BR123" s="14"/>
      <c r="BS123" s="14"/>
      <c r="BT123" s="16"/>
      <c r="BU123" s="16"/>
      <c r="BV123" s="13"/>
      <c r="BW123" s="18" t="s">
        <v>7004</v>
      </c>
      <c r="BX123" s="13">
        <v>200</v>
      </c>
      <c r="BY123" s="17">
        <v>44126</v>
      </c>
      <c r="BZ123" s="18" t="s">
        <v>7005</v>
      </c>
      <c r="CA123" s="18" t="s">
        <v>7006</v>
      </c>
      <c r="CB123" s="18" t="s">
        <v>7007</v>
      </c>
      <c r="CC123" s="18"/>
      <c r="CD123" s="14" t="s">
        <v>7008</v>
      </c>
      <c r="CE123" s="17">
        <v>43871</v>
      </c>
      <c r="CF123" s="16">
        <v>-145100</v>
      </c>
      <c r="CG123" s="17">
        <v>43465</v>
      </c>
      <c r="CH123" s="16">
        <v>-138700</v>
      </c>
      <c r="CI123" s="17">
        <v>43465</v>
      </c>
      <c r="CJ123" s="16">
        <v>1000000</v>
      </c>
      <c r="CK123" s="17">
        <v>43325</v>
      </c>
      <c r="CL123" s="16"/>
      <c r="CM123" s="17"/>
      <c r="CN123" s="19">
        <v>50.740117740502733</v>
      </c>
      <c r="CO123" s="19"/>
      <c r="CP123" s="17"/>
      <c r="CQ123" s="14" t="s">
        <v>7009</v>
      </c>
      <c r="CR123" s="14" t="s">
        <v>5879</v>
      </c>
      <c r="CS123" s="14" t="s">
        <v>5004</v>
      </c>
    </row>
    <row r="124" spans="1:97" ht="26.15" customHeight="1">
      <c r="A124" s="2">
        <v>231</v>
      </c>
      <c r="B124" s="25" t="s">
        <v>529</v>
      </c>
      <c r="C124" s="25" t="e">
        <f>VLOOKUP(B124, Sheet6!$A$1:$B$77, 2, FALSE)</f>
        <v>#N/A</v>
      </c>
      <c r="D124" s="25" t="s">
        <v>530</v>
      </c>
      <c r="E124" s="25" t="s">
        <v>533</v>
      </c>
      <c r="F124" s="25" t="s">
        <v>7899</v>
      </c>
      <c r="G124" s="25" t="s">
        <v>10955</v>
      </c>
      <c r="H124" s="25" t="s">
        <v>10558</v>
      </c>
      <c r="I124" s="25" t="s">
        <v>10558</v>
      </c>
      <c r="J124" s="25" t="s">
        <v>10993</v>
      </c>
      <c r="L124" s="13">
        <v>2014</v>
      </c>
      <c r="M124" s="14" t="s">
        <v>6762</v>
      </c>
      <c r="N124" s="14" t="s">
        <v>6763</v>
      </c>
      <c r="O124" s="14" t="s">
        <v>5333</v>
      </c>
      <c r="P124" s="15" t="s">
        <v>3117</v>
      </c>
      <c r="Q124" s="16">
        <v>1600000</v>
      </c>
      <c r="R124" s="17">
        <v>43269</v>
      </c>
      <c r="S124" s="16" t="s">
        <v>5252</v>
      </c>
      <c r="T124" s="16">
        <v>100000</v>
      </c>
      <c r="U124" s="14" t="s">
        <v>34</v>
      </c>
      <c r="V124" s="13"/>
      <c r="W124" s="17"/>
      <c r="X124" s="14"/>
      <c r="Y124" s="17"/>
      <c r="Z124" s="17"/>
      <c r="AA124" s="14" t="s">
        <v>5253</v>
      </c>
      <c r="AB124" s="14" t="s">
        <v>5254</v>
      </c>
      <c r="AC124" s="14" t="s">
        <v>5255</v>
      </c>
      <c r="AD124" s="20" t="str">
        <f t="shared" si="8"/>
        <v>Drones &gt; Services &gt; Precision Agriculture
Crop Tech &gt; Farm Analytics &gt; Drones Based</v>
      </c>
      <c r="AE124" s="20" t="str">
        <f t="shared" si="7"/>
        <v>Drones</v>
      </c>
      <c r="AF124" s="20" t="str">
        <f t="shared" si="9"/>
        <v>Services</v>
      </c>
      <c r="AG124" s="20" t="str">
        <f t="shared" si="9"/>
        <v>Precision Agriculture
Crop Tech</v>
      </c>
      <c r="AH124" s="20" t="str">
        <f t="shared" si="9"/>
        <v>Farm Analytics</v>
      </c>
      <c r="AI124" s="20" t="str">
        <f t="shared" si="9"/>
        <v>Drones Based</v>
      </c>
      <c r="AJ124" s="20" t="str">
        <f t="shared" si="9"/>
        <v/>
      </c>
      <c r="AK124" s="20" t="str">
        <f t="shared" si="9"/>
        <v/>
      </c>
      <c r="AL124" s="14" t="s">
        <v>7010</v>
      </c>
      <c r="AM124" s="14"/>
      <c r="AO124" s="14"/>
      <c r="AP124" s="14" t="s">
        <v>5333</v>
      </c>
      <c r="AQ124" s="14"/>
      <c r="AR124" s="14"/>
      <c r="AS124" s="14" t="s">
        <v>7012</v>
      </c>
      <c r="AT124" s="14"/>
      <c r="AU124" s="14" t="s">
        <v>7013</v>
      </c>
      <c r="AV124" s="18"/>
      <c r="AW124" s="16"/>
      <c r="AX124" s="17"/>
      <c r="AY124" s="15" t="s">
        <v>3123</v>
      </c>
      <c r="AZ124" s="17"/>
      <c r="BA124" s="16"/>
      <c r="BB124" s="14"/>
      <c r="BC124" s="14"/>
      <c r="BD124" s="15" t="s">
        <v>3123</v>
      </c>
      <c r="BE124" s="14"/>
      <c r="BF124" s="17"/>
      <c r="BG124" s="16"/>
      <c r="BH124" s="14"/>
      <c r="BI124" s="15" t="s">
        <v>3123</v>
      </c>
      <c r="BJ124" s="14"/>
      <c r="BK124" s="17"/>
      <c r="BL124" s="16"/>
      <c r="BM124" s="16"/>
      <c r="BN124" s="16"/>
      <c r="BO124" s="16"/>
      <c r="BP124" s="15" t="s">
        <v>3123</v>
      </c>
      <c r="BQ124" s="17"/>
      <c r="BR124" s="14"/>
      <c r="BS124" s="14"/>
      <c r="BT124" s="16"/>
      <c r="BU124" s="16"/>
      <c r="BV124" s="13"/>
      <c r="BW124" s="18" t="s">
        <v>7014</v>
      </c>
      <c r="BX124" s="13">
        <v>200</v>
      </c>
      <c r="BY124" s="17">
        <v>44126</v>
      </c>
      <c r="BZ124" s="18" t="s">
        <v>7015</v>
      </c>
      <c r="CA124" s="18"/>
      <c r="CB124" s="18" t="s">
        <v>7016</v>
      </c>
      <c r="CC124" s="18"/>
      <c r="CD124" s="14" t="s">
        <v>7017</v>
      </c>
      <c r="CE124" s="17">
        <v>43019</v>
      </c>
      <c r="CF124" s="16"/>
      <c r="CG124" s="17"/>
      <c r="CH124" s="16"/>
      <c r="CI124" s="17"/>
      <c r="CJ124" s="16"/>
      <c r="CK124" s="17"/>
      <c r="CL124" s="16"/>
      <c r="CM124" s="17"/>
      <c r="CN124" s="19">
        <v>25.132235194460712</v>
      </c>
      <c r="CO124" s="19"/>
      <c r="CP124" s="17"/>
      <c r="CQ124" s="14" t="s">
        <v>5036</v>
      </c>
      <c r="CR124" s="14" t="s">
        <v>5962</v>
      </c>
      <c r="CS124" s="14" t="s">
        <v>5945</v>
      </c>
    </row>
    <row r="125" spans="1:97" ht="26.15" customHeight="1">
      <c r="A125" s="2">
        <v>72</v>
      </c>
      <c r="B125" s="25" t="s">
        <v>753</v>
      </c>
      <c r="C125" s="25" t="e">
        <f>VLOOKUP(B125, Sheet6!$A$1:$B$77, 2, FALSE)</f>
        <v>#N/A</v>
      </c>
      <c r="D125" s="25" t="s">
        <v>754</v>
      </c>
      <c r="E125" s="25" t="s">
        <v>757</v>
      </c>
      <c r="F125" s="25" t="s">
        <v>5937</v>
      </c>
      <c r="G125" s="25" t="s">
        <v>10953</v>
      </c>
      <c r="H125" s="25" t="s">
        <v>10957</v>
      </c>
      <c r="I125" s="25" t="s">
        <v>10958</v>
      </c>
      <c r="J125" s="26" t="s">
        <v>10965</v>
      </c>
      <c r="L125" s="13">
        <v>2017</v>
      </c>
      <c r="M125" s="14" t="s">
        <v>5592</v>
      </c>
      <c r="N125" s="14" t="s">
        <v>5313</v>
      </c>
      <c r="O125" s="14" t="s">
        <v>3994</v>
      </c>
      <c r="P125" s="15" t="s">
        <v>3117</v>
      </c>
      <c r="Q125" s="16">
        <v>567108</v>
      </c>
      <c r="R125" s="17">
        <v>43530</v>
      </c>
      <c r="S125" s="16" t="s">
        <v>7018</v>
      </c>
      <c r="T125" s="16">
        <v>481083</v>
      </c>
      <c r="U125" s="14" t="s">
        <v>34</v>
      </c>
      <c r="V125" s="13">
        <v>4</v>
      </c>
      <c r="W125" s="17">
        <v>44098</v>
      </c>
      <c r="X125" s="14"/>
      <c r="Y125" s="17"/>
      <c r="Z125" s="17"/>
      <c r="AA125" s="14" t="s">
        <v>1</v>
      </c>
      <c r="AB125" s="14" t="s">
        <v>5007</v>
      </c>
      <c r="AC125" s="14" t="s">
        <v>968</v>
      </c>
      <c r="AD125" s="20" t="str">
        <f t="shared" si="8"/>
        <v>Crop Tech &gt; Content Platforms &gt; Farming Advice &gt; Expert Advisors</v>
      </c>
      <c r="AE125" s="20" t="str">
        <f t="shared" si="7"/>
        <v>Crop Tech</v>
      </c>
      <c r="AF125" s="20" t="str">
        <f t="shared" si="9"/>
        <v>Content Platforms</v>
      </c>
      <c r="AG125" s="20" t="str">
        <f t="shared" si="9"/>
        <v>Farming Advice</v>
      </c>
      <c r="AH125" s="20" t="str">
        <f t="shared" si="9"/>
        <v>Expert Advisors</v>
      </c>
      <c r="AI125" s="20" t="str">
        <f t="shared" si="9"/>
        <v/>
      </c>
      <c r="AJ125" s="20" t="str">
        <f t="shared" si="9"/>
        <v/>
      </c>
      <c r="AK125" s="20" t="str">
        <f t="shared" si="9"/>
        <v/>
      </c>
      <c r="AL125" s="14" t="s">
        <v>7019</v>
      </c>
      <c r="AM125" s="14" t="s">
        <v>7020</v>
      </c>
      <c r="AO125" s="14"/>
      <c r="AP125" s="14" t="s">
        <v>3994</v>
      </c>
      <c r="AQ125" s="14" t="s">
        <v>7022</v>
      </c>
      <c r="AR125" s="14" t="s">
        <v>7023</v>
      </c>
      <c r="AS125" s="14" t="s">
        <v>7024</v>
      </c>
      <c r="AT125" s="14" t="s">
        <v>7025</v>
      </c>
      <c r="AU125" s="14" t="s">
        <v>7026</v>
      </c>
      <c r="AV125" s="18"/>
      <c r="AW125" s="16">
        <v>93300</v>
      </c>
      <c r="AX125" s="17">
        <v>43465</v>
      </c>
      <c r="AY125" s="15" t="s">
        <v>3117</v>
      </c>
      <c r="AZ125" s="17">
        <v>42807</v>
      </c>
      <c r="BA125" s="16">
        <v>1499</v>
      </c>
      <c r="BB125" s="14" t="s">
        <v>7027</v>
      </c>
      <c r="BC125" s="14"/>
      <c r="BD125" s="15" t="s">
        <v>3123</v>
      </c>
      <c r="BE125" s="14"/>
      <c r="BF125" s="17"/>
      <c r="BG125" s="16"/>
      <c r="BH125" s="14"/>
      <c r="BI125" s="15" t="s">
        <v>3123</v>
      </c>
      <c r="BJ125" s="14"/>
      <c r="BK125" s="17"/>
      <c r="BL125" s="16"/>
      <c r="BM125" s="16"/>
      <c r="BN125" s="16"/>
      <c r="BO125" s="16"/>
      <c r="BP125" s="15" t="s">
        <v>3123</v>
      </c>
      <c r="BQ125" s="17"/>
      <c r="BR125" s="14"/>
      <c r="BS125" s="14"/>
      <c r="BT125" s="16"/>
      <c r="BU125" s="16"/>
      <c r="BV125" s="13"/>
      <c r="BW125" s="18" t="s">
        <v>7028</v>
      </c>
      <c r="BX125" s="13">
        <v>301</v>
      </c>
      <c r="BY125" s="17">
        <v>44126</v>
      </c>
      <c r="BZ125" s="18" t="s">
        <v>7029</v>
      </c>
      <c r="CA125" s="18"/>
      <c r="CB125" s="18"/>
      <c r="CC125" s="18"/>
      <c r="CD125" s="14" t="s">
        <v>7030</v>
      </c>
      <c r="CE125" s="17">
        <v>43920</v>
      </c>
      <c r="CF125" s="16">
        <v>-50600</v>
      </c>
      <c r="CG125" s="17">
        <v>43465</v>
      </c>
      <c r="CH125" s="16">
        <v>-50200</v>
      </c>
      <c r="CI125" s="17">
        <v>43465</v>
      </c>
      <c r="CJ125" s="16"/>
      <c r="CK125" s="17"/>
      <c r="CL125" s="16">
        <v>27</v>
      </c>
      <c r="CM125" s="17">
        <v>44012</v>
      </c>
      <c r="CN125" s="19">
        <v>38.139970486055262</v>
      </c>
      <c r="CO125" s="19"/>
      <c r="CP125" s="17"/>
      <c r="CQ125" s="14" t="s">
        <v>5309</v>
      </c>
      <c r="CR125" s="14" t="s">
        <v>6810</v>
      </c>
      <c r="CS125" s="14" t="s">
        <v>5004</v>
      </c>
    </row>
    <row r="126" spans="1:97" ht="26.15" customHeight="1">
      <c r="A126" s="2">
        <v>28</v>
      </c>
      <c r="B126" s="25" t="s">
        <v>1052</v>
      </c>
      <c r="C126" s="25" t="e">
        <f>VLOOKUP(B126, Sheet6!$A$1:$B$77, 2, FALSE)</f>
        <v>#N/A</v>
      </c>
      <c r="D126" s="25" t="s">
        <v>1053</v>
      </c>
      <c r="E126" s="25" t="s">
        <v>1056</v>
      </c>
      <c r="F126" s="25" t="s">
        <v>5378</v>
      </c>
      <c r="G126" s="25" t="s">
        <v>10954</v>
      </c>
      <c r="H126" s="25" t="s">
        <v>10957</v>
      </c>
      <c r="I126" s="25" t="s">
        <v>10958</v>
      </c>
      <c r="J126" s="26" t="s">
        <v>10766</v>
      </c>
      <c r="L126" s="13">
        <v>2016</v>
      </c>
      <c r="M126" s="14" t="s">
        <v>5038</v>
      </c>
      <c r="N126" s="14" t="s">
        <v>5039</v>
      </c>
      <c r="O126" s="14" t="s">
        <v>3994</v>
      </c>
      <c r="P126" s="15" t="s">
        <v>3117</v>
      </c>
      <c r="Q126" s="16"/>
      <c r="R126" s="17">
        <v>43587</v>
      </c>
      <c r="S126" s="16" t="s">
        <v>6783</v>
      </c>
      <c r="T126" s="16">
        <v>10000</v>
      </c>
      <c r="U126" s="14" t="s">
        <v>5040</v>
      </c>
      <c r="V126" s="13">
        <v>3</v>
      </c>
      <c r="W126" s="17">
        <v>44003</v>
      </c>
      <c r="X126" s="14"/>
      <c r="Y126" s="17"/>
      <c r="Z126" s="17"/>
      <c r="AA126" s="14" t="s">
        <v>6450</v>
      </c>
      <c r="AB126" s="14" t="s">
        <v>6451</v>
      </c>
      <c r="AC126" s="14" t="s">
        <v>7045</v>
      </c>
      <c r="AD126" s="20" t="str">
        <f t="shared" si="8"/>
        <v>Data as a Service &gt; Industries &gt; Horizontal &gt; Data Platforms &gt; Visualization Platform
Geographic Information Systems &gt; Location Analytics &gt; Horizontal
Crop Tech &gt; Content Platforms &gt; Data as a Service &gt; Farm Data Platform</v>
      </c>
      <c r="AE126" s="20" t="str">
        <f t="shared" si="7"/>
        <v>Data as a Service</v>
      </c>
      <c r="AF126" s="20" t="str">
        <f t="shared" si="9"/>
        <v>Industries</v>
      </c>
      <c r="AG126" s="20" t="str">
        <f t="shared" si="9"/>
        <v>Horizontal</v>
      </c>
      <c r="AH126" s="20" t="str">
        <f t="shared" si="9"/>
        <v>Data Platforms</v>
      </c>
      <c r="AI126" s="20" t="str">
        <f t="shared" si="9"/>
        <v>Visualization Platform
Geographic Information Systems</v>
      </c>
      <c r="AJ126" s="20" t="str">
        <f t="shared" si="9"/>
        <v>Location Analytics</v>
      </c>
      <c r="AK126" s="20" t="str">
        <f t="shared" si="9"/>
        <v>Horizontal
Crop Tech</v>
      </c>
      <c r="AL126" s="14" t="s">
        <v>7046</v>
      </c>
      <c r="AM126" s="14"/>
      <c r="AO126" s="14"/>
      <c r="AP126" s="14" t="s">
        <v>3994</v>
      </c>
      <c r="AQ126" s="14" t="s">
        <v>7048</v>
      </c>
      <c r="AR126" s="14" t="s">
        <v>7049</v>
      </c>
      <c r="AS126" s="14" t="s">
        <v>7050</v>
      </c>
      <c r="AT126" s="14" t="s">
        <v>7051</v>
      </c>
      <c r="AU126" s="14" t="s">
        <v>7052</v>
      </c>
      <c r="AV126" s="18"/>
      <c r="AW126" s="16">
        <v>30400</v>
      </c>
      <c r="AX126" s="17">
        <v>43100</v>
      </c>
      <c r="AY126" s="15" t="s">
        <v>3117</v>
      </c>
      <c r="AZ126" s="17">
        <v>42712</v>
      </c>
      <c r="BA126" s="16">
        <v>126</v>
      </c>
      <c r="BB126" s="14" t="s">
        <v>7053</v>
      </c>
      <c r="BC126" s="14"/>
      <c r="BD126" s="15" t="s">
        <v>3123</v>
      </c>
      <c r="BE126" s="14"/>
      <c r="BF126" s="17"/>
      <c r="BG126" s="16"/>
      <c r="BH126" s="14"/>
      <c r="BI126" s="15" t="s">
        <v>3123</v>
      </c>
      <c r="BJ126" s="14"/>
      <c r="BK126" s="17"/>
      <c r="BL126" s="16"/>
      <c r="BM126" s="16"/>
      <c r="BN126" s="16"/>
      <c r="BO126" s="16"/>
      <c r="BP126" s="15" t="s">
        <v>3123</v>
      </c>
      <c r="BQ126" s="17"/>
      <c r="BR126" s="14"/>
      <c r="BS126" s="14"/>
      <c r="BT126" s="16"/>
      <c r="BU126" s="16"/>
      <c r="BV126" s="13"/>
      <c r="BW126" s="18" t="s">
        <v>7054</v>
      </c>
      <c r="BX126" s="13">
        <v>200</v>
      </c>
      <c r="BY126" s="17">
        <v>44131</v>
      </c>
      <c r="BZ126" s="18" t="s">
        <v>7055</v>
      </c>
      <c r="CA126" s="18" t="s">
        <v>7056</v>
      </c>
      <c r="CB126" s="18" t="s">
        <v>7057</v>
      </c>
      <c r="CC126" s="18"/>
      <c r="CD126" s="14" t="s">
        <v>7058</v>
      </c>
      <c r="CE126" s="17">
        <v>43259</v>
      </c>
      <c r="CF126" s="16">
        <v>-35700</v>
      </c>
      <c r="CG126" s="17">
        <v>47118</v>
      </c>
      <c r="CH126" s="16">
        <v>-35200</v>
      </c>
      <c r="CI126" s="17">
        <v>47118</v>
      </c>
      <c r="CJ126" s="16"/>
      <c r="CK126" s="17"/>
      <c r="CL126" s="16">
        <v>14</v>
      </c>
      <c r="CM126" s="17">
        <v>43830</v>
      </c>
      <c r="CN126" s="19">
        <v>44.583040741661542</v>
      </c>
      <c r="CO126" s="19"/>
      <c r="CP126" s="17"/>
      <c r="CQ126" s="14" t="s">
        <v>7059</v>
      </c>
      <c r="CR126" s="14" t="s">
        <v>7060</v>
      </c>
      <c r="CS126" s="14" t="s">
        <v>5004</v>
      </c>
    </row>
    <row r="127" spans="1:97" ht="26.15" customHeight="1">
      <c r="A127" s="2">
        <v>196</v>
      </c>
      <c r="B127" s="25" t="s">
        <v>1994</v>
      </c>
      <c r="C127" s="25" t="e">
        <f>VLOOKUP(B127, Sheet6!$A$1:$B$77, 2, FALSE)</f>
        <v>#N/A</v>
      </c>
      <c r="D127" s="25" t="s">
        <v>1995</v>
      </c>
      <c r="E127" s="25" t="s">
        <v>1997</v>
      </c>
      <c r="F127" s="25" t="s">
        <v>7486</v>
      </c>
      <c r="G127" s="25" t="s">
        <v>10955</v>
      </c>
      <c r="H127" s="25" t="s">
        <v>10959</v>
      </c>
      <c r="I127" s="25" t="s">
        <v>10958</v>
      </c>
      <c r="J127" s="26" t="s">
        <v>10965</v>
      </c>
      <c r="L127" s="13">
        <v>2015</v>
      </c>
      <c r="M127" s="14" t="s">
        <v>7061</v>
      </c>
      <c r="N127" s="14" t="s">
        <v>5296</v>
      </c>
      <c r="O127" s="14" t="s">
        <v>3994</v>
      </c>
      <c r="P127" s="15" t="s">
        <v>3117</v>
      </c>
      <c r="Q127" s="16">
        <v>883280</v>
      </c>
      <c r="R127" s="17">
        <v>44090</v>
      </c>
      <c r="S127" s="16" t="s">
        <v>7062</v>
      </c>
      <c r="T127" s="16">
        <v>475612</v>
      </c>
      <c r="U127" s="14" t="s">
        <v>34</v>
      </c>
      <c r="V127" s="13">
        <v>4</v>
      </c>
      <c r="W127" s="17">
        <v>44096</v>
      </c>
      <c r="X127" s="14"/>
      <c r="Y127" s="17"/>
      <c r="Z127" s="17"/>
      <c r="AA127" s="14" t="s">
        <v>4995</v>
      </c>
      <c r="AB127" s="14" t="s">
        <v>5578</v>
      </c>
      <c r="AC127" s="14" t="s">
        <v>6813</v>
      </c>
      <c r="AD127" s="20" t="str">
        <f t="shared" si="8"/>
        <v>Online Grocery &gt; B2C Ecommerce &gt; Multi Category &gt; Marketplace &gt; Own Delivery Fleet
Crop Tech &gt; ECommerce &gt; Farm Produce &gt; B2C &gt; Fruits and Vegetables &gt; Marketplace</v>
      </c>
      <c r="AE127" s="20" t="str">
        <f t="shared" si="7"/>
        <v>Online Grocery</v>
      </c>
      <c r="AF127" s="20" t="str">
        <f t="shared" si="9"/>
        <v>B2C Ecommerce</v>
      </c>
      <c r="AG127" s="20" t="str">
        <f t="shared" si="9"/>
        <v>Multi Category</v>
      </c>
      <c r="AH127" s="20" t="str">
        <f t="shared" si="9"/>
        <v>Marketplace</v>
      </c>
      <c r="AI127" s="20" t="str">
        <f t="shared" si="9"/>
        <v>Own Delivery Fleet
Crop Tech</v>
      </c>
      <c r="AJ127" s="20" t="str">
        <f t="shared" si="9"/>
        <v>ECommerce</v>
      </c>
      <c r="AK127" s="20" t="str">
        <f t="shared" si="9"/>
        <v>Farm Produce</v>
      </c>
      <c r="AL127" s="14" t="s">
        <v>7063</v>
      </c>
      <c r="AM127" s="14" t="s">
        <v>7064</v>
      </c>
      <c r="AO127" s="14"/>
      <c r="AP127" s="14" t="s">
        <v>3994</v>
      </c>
      <c r="AQ127" s="14" t="s">
        <v>7066</v>
      </c>
      <c r="AR127" s="14" t="s">
        <v>7067</v>
      </c>
      <c r="AS127" s="14" t="s">
        <v>7068</v>
      </c>
      <c r="AT127" s="14" t="s">
        <v>7069</v>
      </c>
      <c r="AU127" s="14" t="s">
        <v>7070</v>
      </c>
      <c r="AV127" s="18"/>
      <c r="AW127" s="16">
        <v>169600</v>
      </c>
      <c r="AX127" s="17">
        <v>43465</v>
      </c>
      <c r="AY127" s="15" t="s">
        <v>3117</v>
      </c>
      <c r="AZ127" s="17">
        <v>42502</v>
      </c>
      <c r="BA127" s="16">
        <v>1497</v>
      </c>
      <c r="BB127" s="14" t="s">
        <v>7071</v>
      </c>
      <c r="BC127" s="14"/>
      <c r="BD127" s="15" t="s">
        <v>3123</v>
      </c>
      <c r="BE127" s="14"/>
      <c r="BF127" s="17"/>
      <c r="BG127" s="16"/>
      <c r="BH127" s="14"/>
      <c r="BI127" s="15" t="s">
        <v>3123</v>
      </c>
      <c r="BJ127" s="14"/>
      <c r="BK127" s="17"/>
      <c r="BL127" s="16"/>
      <c r="BM127" s="16"/>
      <c r="BN127" s="16"/>
      <c r="BO127" s="16"/>
      <c r="BP127" s="15" t="s">
        <v>3123</v>
      </c>
      <c r="BQ127" s="17"/>
      <c r="BR127" s="14"/>
      <c r="BS127" s="14"/>
      <c r="BT127" s="16"/>
      <c r="BU127" s="16"/>
      <c r="BV127" s="13"/>
      <c r="BW127" s="18" t="s">
        <v>7072</v>
      </c>
      <c r="BX127" s="13">
        <v>200</v>
      </c>
      <c r="BY127" s="17">
        <v>44126</v>
      </c>
      <c r="BZ127" s="18" t="s">
        <v>7073</v>
      </c>
      <c r="CA127" s="18" t="s">
        <v>7074</v>
      </c>
      <c r="CB127" s="18" t="s">
        <v>7075</v>
      </c>
      <c r="CC127" s="18"/>
      <c r="CD127" s="14" t="s">
        <v>7076</v>
      </c>
      <c r="CE127" s="17">
        <v>43398</v>
      </c>
      <c r="CF127" s="16">
        <v>-54200</v>
      </c>
      <c r="CG127" s="17">
        <v>43465</v>
      </c>
      <c r="CH127" s="16">
        <v>-49700</v>
      </c>
      <c r="CI127" s="17">
        <v>43465</v>
      </c>
      <c r="CJ127" s="16">
        <v>1000000</v>
      </c>
      <c r="CK127" s="17">
        <v>43383</v>
      </c>
      <c r="CL127" s="16">
        <v>4</v>
      </c>
      <c r="CM127" s="17">
        <v>43830</v>
      </c>
      <c r="CN127" s="19">
        <v>52.508733876960171</v>
      </c>
      <c r="CO127" s="19"/>
      <c r="CP127" s="17"/>
      <c r="CQ127" s="14" t="s">
        <v>5293</v>
      </c>
      <c r="CR127" s="14" t="s">
        <v>7077</v>
      </c>
      <c r="CS127" s="14" t="s">
        <v>5004</v>
      </c>
    </row>
    <row r="128" spans="1:97" ht="26.15" customHeight="1">
      <c r="A128" s="2">
        <v>75</v>
      </c>
      <c r="B128" s="25" t="s">
        <v>1795</v>
      </c>
      <c r="C128" s="25" t="e">
        <f>VLOOKUP(B128, Sheet6!$A$1:$B$77, 2, FALSE)</f>
        <v>#N/A</v>
      </c>
      <c r="D128" s="25" t="s">
        <v>1796</v>
      </c>
      <c r="E128" s="25" t="s">
        <v>1797</v>
      </c>
      <c r="F128" s="25" t="s">
        <v>5980</v>
      </c>
      <c r="G128" s="25" t="s">
        <v>10955</v>
      </c>
      <c r="H128" s="25" t="s">
        <v>10959</v>
      </c>
      <c r="I128" s="25" t="s">
        <v>10958</v>
      </c>
      <c r="J128" s="26" t="s">
        <v>10819</v>
      </c>
      <c r="L128" s="13">
        <v>2016</v>
      </c>
      <c r="M128" s="14" t="s">
        <v>7078</v>
      </c>
      <c r="N128" s="14" t="s">
        <v>5276</v>
      </c>
      <c r="O128" s="14" t="s">
        <v>5277</v>
      </c>
      <c r="P128" s="15" t="s">
        <v>3117</v>
      </c>
      <c r="Q128" s="16"/>
      <c r="R128" s="17">
        <v>43210</v>
      </c>
      <c r="S128" s="16"/>
      <c r="T128" s="16" t="s">
        <v>50</v>
      </c>
      <c r="U128" s="14" t="s">
        <v>34</v>
      </c>
      <c r="V128" s="13">
        <v>2</v>
      </c>
      <c r="W128" s="17">
        <v>44002</v>
      </c>
      <c r="X128" s="14"/>
      <c r="Y128" s="17"/>
      <c r="Z128" s="17"/>
      <c r="AA128" s="14" t="s">
        <v>1</v>
      </c>
      <c r="AB128" s="14" t="s">
        <v>5007</v>
      </c>
      <c r="AC128" s="14" t="s">
        <v>5963</v>
      </c>
      <c r="AD128" s="20" t="str">
        <f t="shared" si="8"/>
        <v>Crop Tech &gt; Farm Analytics &gt; Diversified</v>
      </c>
      <c r="AE128" s="20" t="str">
        <f t="shared" si="7"/>
        <v>Crop Tech</v>
      </c>
      <c r="AF128" s="20" t="str">
        <f t="shared" si="9"/>
        <v>Farm Analytics</v>
      </c>
      <c r="AG128" s="20" t="str">
        <f t="shared" si="9"/>
        <v>Diversified</v>
      </c>
      <c r="AH128" s="20" t="str">
        <f t="shared" si="9"/>
        <v/>
      </c>
      <c r="AI128" s="20" t="str">
        <f t="shared" si="9"/>
        <v/>
      </c>
      <c r="AJ128" s="20" t="str">
        <f t="shared" si="9"/>
        <v/>
      </c>
      <c r="AK128" s="20" t="str">
        <f t="shared" si="9"/>
        <v/>
      </c>
      <c r="AL128" s="14" t="s">
        <v>7079</v>
      </c>
      <c r="AM128" s="14"/>
      <c r="AO128" s="14"/>
      <c r="AP128" s="14" t="s">
        <v>5277</v>
      </c>
      <c r="AQ128" s="14"/>
      <c r="AR128" s="14" t="s">
        <v>7081</v>
      </c>
      <c r="AS128" s="14" t="s">
        <v>7082</v>
      </c>
      <c r="AT128" s="14"/>
      <c r="AU128" s="14"/>
      <c r="AV128" s="18"/>
      <c r="AW128" s="16"/>
      <c r="AX128" s="17"/>
      <c r="AY128" s="15" t="s">
        <v>3123</v>
      </c>
      <c r="AZ128" s="17"/>
      <c r="BA128" s="16"/>
      <c r="BB128" s="14"/>
      <c r="BC128" s="14"/>
      <c r="BD128" s="15" t="s">
        <v>3123</v>
      </c>
      <c r="BE128" s="14"/>
      <c r="BF128" s="17"/>
      <c r="BG128" s="16"/>
      <c r="BH128" s="14"/>
      <c r="BI128" s="15" t="s">
        <v>3123</v>
      </c>
      <c r="BJ128" s="14"/>
      <c r="BK128" s="17"/>
      <c r="BL128" s="16"/>
      <c r="BM128" s="16"/>
      <c r="BN128" s="16"/>
      <c r="BO128" s="16"/>
      <c r="BP128" s="15" t="s">
        <v>3123</v>
      </c>
      <c r="BQ128" s="17"/>
      <c r="BR128" s="14"/>
      <c r="BS128" s="14"/>
      <c r="BT128" s="16"/>
      <c r="BU128" s="16"/>
      <c r="BV128" s="13"/>
      <c r="BW128" s="18" t="s">
        <v>7083</v>
      </c>
      <c r="BX128" s="13">
        <v>200</v>
      </c>
      <c r="BY128" s="17">
        <v>44125</v>
      </c>
      <c r="BZ128" s="18"/>
      <c r="CA128" s="18"/>
      <c r="CB128" s="18"/>
      <c r="CC128" s="18"/>
      <c r="CD128" s="14" t="s">
        <v>7084</v>
      </c>
      <c r="CE128" s="17">
        <v>42929</v>
      </c>
      <c r="CF128" s="16"/>
      <c r="CG128" s="17"/>
      <c r="CH128" s="16"/>
      <c r="CI128" s="17"/>
      <c r="CJ128" s="16"/>
      <c r="CK128" s="17"/>
      <c r="CL128" s="16"/>
      <c r="CM128" s="17"/>
      <c r="CN128" s="19">
        <v>34.906001479301182</v>
      </c>
      <c r="CO128" s="19"/>
      <c r="CP128" s="17"/>
      <c r="CQ128" s="14" t="s">
        <v>5104</v>
      </c>
      <c r="CR128" s="14" t="s">
        <v>5962</v>
      </c>
      <c r="CS128" s="14" t="s">
        <v>5945</v>
      </c>
    </row>
    <row r="129" spans="1:97" ht="26.15" customHeight="1">
      <c r="A129" s="2">
        <v>350</v>
      </c>
      <c r="B129" s="25" t="s">
        <v>2194</v>
      </c>
      <c r="C129" s="25" t="e">
        <f>VLOOKUP(B129, Sheet6!$A$1:$B$77, 2, FALSE)</f>
        <v>#N/A</v>
      </c>
      <c r="D129" s="25" t="s">
        <v>2195</v>
      </c>
      <c r="E129" s="25" t="s">
        <v>2196</v>
      </c>
      <c r="F129" s="25" t="s">
        <v>9067</v>
      </c>
      <c r="G129" s="25" t="s">
        <v>10954</v>
      </c>
      <c r="H129" s="25" t="s">
        <v>10558</v>
      </c>
      <c r="I129" s="25" t="s">
        <v>10558</v>
      </c>
      <c r="J129" s="25" t="s">
        <v>10842</v>
      </c>
      <c r="L129" s="13">
        <v>2016</v>
      </c>
      <c r="M129" s="14" t="s">
        <v>7085</v>
      </c>
      <c r="N129" s="14" t="s">
        <v>7085</v>
      </c>
      <c r="O129" s="14" t="s">
        <v>7086</v>
      </c>
      <c r="P129" s="15" t="s">
        <v>3117</v>
      </c>
      <c r="Q129" s="16">
        <v>28150000</v>
      </c>
      <c r="R129" s="17">
        <v>43927</v>
      </c>
      <c r="S129" s="16" t="s">
        <v>7087</v>
      </c>
      <c r="T129" s="16">
        <v>20600000</v>
      </c>
      <c r="U129" s="14" t="s">
        <v>109</v>
      </c>
      <c r="V129" s="13">
        <v>4</v>
      </c>
      <c r="W129" s="17">
        <v>44055</v>
      </c>
      <c r="X129" s="14" t="s">
        <v>5052</v>
      </c>
      <c r="Y129" s="17">
        <v>44027</v>
      </c>
      <c r="Z129" s="17">
        <v>43055</v>
      </c>
      <c r="AA129" s="14" t="s">
        <v>1</v>
      </c>
      <c r="AB129" s="14" t="s">
        <v>5007</v>
      </c>
      <c r="AC129" s="14" t="s">
        <v>5238</v>
      </c>
      <c r="AD129" s="20" t="str">
        <f t="shared" si="8"/>
        <v>Crop Tech &gt; Indoor Farming &gt; Hydroponics</v>
      </c>
      <c r="AE129" s="20" t="str">
        <f t="shared" si="7"/>
        <v>Crop Tech</v>
      </c>
      <c r="AF129" s="20" t="str">
        <f t="shared" si="9"/>
        <v>Indoor Farming</v>
      </c>
      <c r="AG129" s="20" t="str">
        <f t="shared" si="9"/>
        <v>Hydroponics</v>
      </c>
      <c r="AH129" s="20" t="str">
        <f t="shared" si="9"/>
        <v/>
      </c>
      <c r="AI129" s="20" t="str">
        <f t="shared" si="9"/>
        <v/>
      </c>
      <c r="AJ129" s="20" t="str">
        <f t="shared" si="9"/>
        <v/>
      </c>
      <c r="AK129" s="20" t="str">
        <f t="shared" si="9"/>
        <v/>
      </c>
      <c r="AL129" s="14" t="s">
        <v>7088</v>
      </c>
      <c r="AM129" s="14" t="s">
        <v>1912</v>
      </c>
      <c r="AO129" s="14"/>
      <c r="AP129" s="14" t="s">
        <v>7086</v>
      </c>
      <c r="AQ129" s="14"/>
      <c r="AR129" s="14"/>
      <c r="AS129" s="14" t="s">
        <v>7090</v>
      </c>
      <c r="AT129" s="14" t="s">
        <v>7091</v>
      </c>
      <c r="AU129" s="14" t="s">
        <v>7092</v>
      </c>
      <c r="AV129" s="18"/>
      <c r="AW129" s="16"/>
      <c r="AX129" s="17"/>
      <c r="AY129" s="15" t="s">
        <v>3123</v>
      </c>
      <c r="AZ129" s="17"/>
      <c r="BA129" s="16"/>
      <c r="BB129" s="14"/>
      <c r="BC129" s="14"/>
      <c r="BD129" s="15" t="s">
        <v>3123</v>
      </c>
      <c r="BE129" s="14"/>
      <c r="BF129" s="17"/>
      <c r="BG129" s="16"/>
      <c r="BH129" s="14"/>
      <c r="BI129" s="15" t="s">
        <v>3123</v>
      </c>
      <c r="BJ129" s="14"/>
      <c r="BK129" s="17"/>
      <c r="BL129" s="16"/>
      <c r="BM129" s="16"/>
      <c r="BN129" s="16"/>
      <c r="BO129" s="16"/>
      <c r="BP129" s="15" t="s">
        <v>3123</v>
      </c>
      <c r="BQ129" s="17"/>
      <c r="BR129" s="14"/>
      <c r="BS129" s="14"/>
      <c r="BT129" s="16"/>
      <c r="BU129" s="16"/>
      <c r="BV129" s="13"/>
      <c r="BW129" s="18" t="s">
        <v>7093</v>
      </c>
      <c r="BX129" s="13">
        <v>200</v>
      </c>
      <c r="BY129" s="17">
        <v>44125</v>
      </c>
      <c r="BZ129" s="18" t="s">
        <v>7094</v>
      </c>
      <c r="CA129" s="18" t="s">
        <v>7095</v>
      </c>
      <c r="CB129" s="18"/>
      <c r="CC129" s="18"/>
      <c r="CD129" s="14" t="s">
        <v>7096</v>
      </c>
      <c r="CE129" s="17">
        <v>43033</v>
      </c>
      <c r="CF129" s="16"/>
      <c r="CG129" s="17"/>
      <c r="CH129" s="16"/>
      <c r="CI129" s="17"/>
      <c r="CJ129" s="16"/>
      <c r="CK129" s="17"/>
      <c r="CL129" s="16"/>
      <c r="CM129" s="17"/>
      <c r="CN129" s="19">
        <v>50.731528812474473</v>
      </c>
      <c r="CO129" s="19"/>
      <c r="CP129" s="17"/>
      <c r="CQ129" s="14" t="s">
        <v>6487</v>
      </c>
      <c r="CR129" s="14" t="s">
        <v>5083</v>
      </c>
      <c r="CS129" s="14" t="s">
        <v>5004</v>
      </c>
    </row>
    <row r="130" spans="1:97" ht="26.15" customHeight="1">
      <c r="A130" s="2">
        <v>11</v>
      </c>
      <c r="B130" s="25" t="s">
        <v>835</v>
      </c>
      <c r="C130" s="25" t="e">
        <f>VLOOKUP(B130, Sheet6!$A$1:$B$77, 2, FALSE)</f>
        <v>#N/A</v>
      </c>
      <c r="D130" s="25" t="s">
        <v>836</v>
      </c>
      <c r="E130" s="25" t="s">
        <v>839</v>
      </c>
      <c r="F130" s="25" t="s">
        <v>5138</v>
      </c>
      <c r="G130" s="25" t="s">
        <v>10954</v>
      </c>
      <c r="H130" s="25" t="s">
        <v>10959</v>
      </c>
      <c r="I130" s="25" t="s">
        <v>10958</v>
      </c>
      <c r="J130" s="26" t="s">
        <v>10846</v>
      </c>
      <c r="L130" s="13">
        <v>2004</v>
      </c>
      <c r="M130" s="14" t="s">
        <v>7097</v>
      </c>
      <c r="N130" s="14" t="s">
        <v>4994</v>
      </c>
      <c r="O130" s="14" t="s">
        <v>2057</v>
      </c>
      <c r="P130" s="15" t="s">
        <v>3117</v>
      </c>
      <c r="Q130" s="16">
        <v>7270620</v>
      </c>
      <c r="R130" s="17">
        <v>43370</v>
      </c>
      <c r="S130" s="16" t="s">
        <v>5051</v>
      </c>
      <c r="T130" s="16">
        <v>7270620</v>
      </c>
      <c r="U130" s="14" t="s">
        <v>25</v>
      </c>
      <c r="V130" s="13">
        <v>2</v>
      </c>
      <c r="W130" s="17">
        <v>44081</v>
      </c>
      <c r="X130" s="14"/>
      <c r="Y130" s="17"/>
      <c r="Z130" s="17"/>
      <c r="AA130" s="14" t="s">
        <v>1</v>
      </c>
      <c r="AB130" s="14" t="s">
        <v>5007</v>
      </c>
      <c r="AC130" s="14" t="s">
        <v>6408</v>
      </c>
      <c r="AD130" s="20" t="str">
        <f t="shared" si="8"/>
        <v>Crop Tech &gt; ECommerce &gt; Diversified &gt; Marketplace</v>
      </c>
      <c r="AE130" s="20" t="str">
        <f t="shared" si="7"/>
        <v>Crop Tech</v>
      </c>
      <c r="AF130" s="20" t="str">
        <f t="shared" si="9"/>
        <v>ECommerce</v>
      </c>
      <c r="AG130" s="20" t="str">
        <f t="shared" si="9"/>
        <v>Diversified</v>
      </c>
      <c r="AH130" s="20" t="str">
        <f t="shared" si="9"/>
        <v>Marketplace</v>
      </c>
      <c r="AI130" s="20" t="str">
        <f t="shared" si="9"/>
        <v/>
      </c>
      <c r="AJ130" s="20" t="str">
        <f t="shared" si="9"/>
        <v/>
      </c>
      <c r="AK130" s="20" t="str">
        <f t="shared" si="9"/>
        <v/>
      </c>
      <c r="AL130" s="14" t="s">
        <v>3971</v>
      </c>
      <c r="AM130" s="14"/>
      <c r="AO130" s="14"/>
      <c r="AP130" s="14" t="s">
        <v>2057</v>
      </c>
      <c r="AQ130" s="14" t="s">
        <v>7099</v>
      </c>
      <c r="AR130" s="14" t="s">
        <v>7100</v>
      </c>
      <c r="AS130" s="14"/>
      <c r="AT130" s="14"/>
      <c r="AU130" s="14"/>
      <c r="AV130" s="18"/>
      <c r="AW130" s="16"/>
      <c r="AX130" s="17"/>
      <c r="AY130" s="15" t="s">
        <v>3123</v>
      </c>
      <c r="AZ130" s="17"/>
      <c r="BA130" s="16"/>
      <c r="BB130" s="14"/>
      <c r="BC130" s="14"/>
      <c r="BD130" s="15" t="s">
        <v>3123</v>
      </c>
      <c r="BE130" s="14"/>
      <c r="BF130" s="17"/>
      <c r="BG130" s="16"/>
      <c r="BH130" s="14"/>
      <c r="BI130" s="15" t="s">
        <v>3123</v>
      </c>
      <c r="BJ130" s="14"/>
      <c r="BK130" s="17"/>
      <c r="BL130" s="16"/>
      <c r="BM130" s="16"/>
      <c r="BN130" s="16"/>
      <c r="BO130" s="16"/>
      <c r="BP130" s="15" t="s">
        <v>3123</v>
      </c>
      <c r="BQ130" s="17"/>
      <c r="BR130" s="14"/>
      <c r="BS130" s="14"/>
      <c r="BT130" s="16"/>
      <c r="BU130" s="16"/>
      <c r="BV130" s="13"/>
      <c r="BW130" s="18" t="s">
        <v>7101</v>
      </c>
      <c r="BX130" s="13">
        <v>200</v>
      </c>
      <c r="BY130" s="17">
        <v>44125</v>
      </c>
      <c r="BZ130" s="18"/>
      <c r="CA130" s="18"/>
      <c r="CB130" s="18"/>
      <c r="CC130" s="18"/>
      <c r="CD130" s="14" t="s">
        <v>7102</v>
      </c>
      <c r="CE130" s="17">
        <v>43376</v>
      </c>
      <c r="CF130" s="16"/>
      <c r="CG130" s="17"/>
      <c r="CH130" s="16"/>
      <c r="CI130" s="17"/>
      <c r="CJ130" s="16"/>
      <c r="CK130" s="17"/>
      <c r="CL130" s="16"/>
      <c r="CM130" s="17"/>
      <c r="CN130" s="19">
        <v>21.9411098197107</v>
      </c>
      <c r="CO130" s="19"/>
      <c r="CP130" s="17"/>
      <c r="CQ130" s="14" t="s">
        <v>5104</v>
      </c>
      <c r="CR130" s="14" t="s">
        <v>5310</v>
      </c>
      <c r="CS130" s="14" t="s">
        <v>5521</v>
      </c>
    </row>
    <row r="131" spans="1:97" ht="26.15" customHeight="1">
      <c r="A131" s="2">
        <v>216</v>
      </c>
      <c r="B131" s="25" t="s">
        <v>1900</v>
      </c>
      <c r="C131" s="25" t="e">
        <f>VLOOKUP(B131, Sheet6!$A$1:$B$77, 2, FALSE)</f>
        <v>#N/A</v>
      </c>
      <c r="D131" s="25" t="s">
        <v>1901</v>
      </c>
      <c r="E131" s="25" t="s">
        <v>1903</v>
      </c>
      <c r="F131" s="25" t="s">
        <v>7727</v>
      </c>
      <c r="G131" s="25" t="s">
        <v>10954</v>
      </c>
      <c r="H131" s="25" t="s">
        <v>10959</v>
      </c>
      <c r="I131" s="25" t="s">
        <v>10958</v>
      </c>
      <c r="J131" s="26" t="s">
        <v>10737</v>
      </c>
      <c r="L131" s="13">
        <v>2016</v>
      </c>
      <c r="M131" s="14" t="s">
        <v>5020</v>
      </c>
      <c r="N131" s="14" t="s">
        <v>5021</v>
      </c>
      <c r="O131" s="14" t="s">
        <v>3994</v>
      </c>
      <c r="P131" s="15" t="s">
        <v>3117</v>
      </c>
      <c r="Q131" s="16">
        <v>452321</v>
      </c>
      <c r="R131" s="17">
        <v>43894</v>
      </c>
      <c r="S131" s="16" t="s">
        <v>7103</v>
      </c>
      <c r="T131" s="16">
        <v>450924</v>
      </c>
      <c r="U131" s="14" t="s">
        <v>34</v>
      </c>
      <c r="V131" s="13">
        <v>3</v>
      </c>
      <c r="W131" s="17">
        <v>44048</v>
      </c>
      <c r="X131" s="14"/>
      <c r="Y131" s="17"/>
      <c r="Z131" s="17"/>
      <c r="AA131" s="14" t="s">
        <v>1</v>
      </c>
      <c r="AB131" s="14" t="s">
        <v>5007</v>
      </c>
      <c r="AC131" s="14" t="s">
        <v>527</v>
      </c>
      <c r="AD131" s="20" t="str">
        <f t="shared" si="8"/>
        <v>Crop Tech &gt; ECommerce &gt; Retail Enablers</v>
      </c>
      <c r="AE131" s="20" t="str">
        <f t="shared" si="7"/>
        <v>Crop Tech</v>
      </c>
      <c r="AF131" s="20" t="str">
        <f t="shared" si="9"/>
        <v>ECommerce</v>
      </c>
      <c r="AG131" s="20" t="str">
        <f t="shared" si="9"/>
        <v>Retail Enablers</v>
      </c>
      <c r="AH131" s="20" t="str">
        <f t="shared" si="9"/>
        <v/>
      </c>
      <c r="AI131" s="20" t="str">
        <f t="shared" si="9"/>
        <v/>
      </c>
      <c r="AJ131" s="20" t="str">
        <f t="shared" si="9"/>
        <v/>
      </c>
      <c r="AK131" s="20" t="str">
        <f t="shared" si="9"/>
        <v/>
      </c>
      <c r="AL131" s="14" t="s">
        <v>3461</v>
      </c>
      <c r="AM131" s="14" t="s">
        <v>7104</v>
      </c>
      <c r="AO131" s="14"/>
      <c r="AP131" s="14" t="s">
        <v>3994</v>
      </c>
      <c r="AQ131" s="14" t="s">
        <v>7105</v>
      </c>
      <c r="AR131" s="14" t="s">
        <v>7106</v>
      </c>
      <c r="AS131" s="14" t="s">
        <v>7107</v>
      </c>
      <c r="AT131" s="14" t="s">
        <v>7108</v>
      </c>
      <c r="AU131" s="14" t="s">
        <v>7109</v>
      </c>
      <c r="AV131" s="18"/>
      <c r="AW131" s="16">
        <v>10128605</v>
      </c>
      <c r="AX131" s="17">
        <v>43465</v>
      </c>
      <c r="AY131" s="15" t="s">
        <v>3123</v>
      </c>
      <c r="AZ131" s="17"/>
      <c r="BA131" s="16"/>
      <c r="BB131" s="14"/>
      <c r="BC131" s="14"/>
      <c r="BD131" s="15" t="s">
        <v>3123</v>
      </c>
      <c r="BE131" s="14"/>
      <c r="BF131" s="17"/>
      <c r="BG131" s="16"/>
      <c r="BH131" s="14"/>
      <c r="BI131" s="15" t="s">
        <v>3123</v>
      </c>
      <c r="BJ131" s="14"/>
      <c r="BK131" s="17"/>
      <c r="BL131" s="16"/>
      <c r="BM131" s="16"/>
      <c r="BN131" s="16"/>
      <c r="BO131" s="16"/>
      <c r="BP131" s="15" t="s">
        <v>3123</v>
      </c>
      <c r="BQ131" s="17"/>
      <c r="BR131" s="14"/>
      <c r="BS131" s="14"/>
      <c r="BT131" s="16"/>
      <c r="BU131" s="16"/>
      <c r="BV131" s="13"/>
      <c r="BW131" s="18" t="s">
        <v>7110</v>
      </c>
      <c r="BX131" s="13">
        <v>200</v>
      </c>
      <c r="BY131" s="17">
        <v>44125</v>
      </c>
      <c r="BZ131" s="18" t="s">
        <v>7111</v>
      </c>
      <c r="CA131" s="18" t="s">
        <v>5033</v>
      </c>
      <c r="CB131" s="18" t="s">
        <v>5034</v>
      </c>
      <c r="CC131" s="18"/>
      <c r="CD131" s="14" t="s">
        <v>7112</v>
      </c>
      <c r="CE131" s="17">
        <v>44043</v>
      </c>
      <c r="CF131" s="16">
        <v>61061</v>
      </c>
      <c r="CG131" s="17">
        <v>43465</v>
      </c>
      <c r="CH131" s="16">
        <v>96085</v>
      </c>
      <c r="CI131" s="17">
        <v>43465</v>
      </c>
      <c r="CJ131" s="16">
        <v>8000000</v>
      </c>
      <c r="CK131" s="17">
        <v>43894</v>
      </c>
      <c r="CL131" s="16"/>
      <c r="CM131" s="17"/>
      <c r="CN131" s="19">
        <v>33.868844598054913</v>
      </c>
      <c r="CO131" s="19"/>
      <c r="CP131" s="17"/>
      <c r="CQ131" s="14"/>
      <c r="CR131" s="14"/>
      <c r="CS131" s="14" t="s">
        <v>7113</v>
      </c>
    </row>
    <row r="132" spans="1:97" ht="26.15" customHeight="1">
      <c r="A132" s="2">
        <v>36</v>
      </c>
      <c r="B132" s="25" t="s">
        <v>1738</v>
      </c>
      <c r="C132" s="25" t="e">
        <f>VLOOKUP(B132, Sheet6!$A$1:$B$77, 2, FALSE)</f>
        <v>#N/A</v>
      </c>
      <c r="D132" s="25" t="s">
        <v>1739</v>
      </c>
      <c r="E132" s="25" t="s">
        <v>763</v>
      </c>
      <c r="F132" s="25" t="s">
        <v>5487</v>
      </c>
      <c r="G132" s="25" t="s">
        <v>10955</v>
      </c>
      <c r="H132" s="25" t="s">
        <v>10959</v>
      </c>
      <c r="I132" s="25" t="s">
        <v>10958</v>
      </c>
      <c r="J132" s="26" t="s">
        <v>10770</v>
      </c>
      <c r="L132" s="13">
        <v>2016</v>
      </c>
      <c r="M132" s="14" t="s">
        <v>7131</v>
      </c>
      <c r="N132" s="14" t="s">
        <v>7132</v>
      </c>
      <c r="O132" s="14" t="s">
        <v>7133</v>
      </c>
      <c r="P132" s="15" t="s">
        <v>3117</v>
      </c>
      <c r="Q132" s="16"/>
      <c r="R132" s="17">
        <v>43178</v>
      </c>
      <c r="S132" s="16" t="s">
        <v>5022</v>
      </c>
      <c r="T132" s="16">
        <v>2300000</v>
      </c>
      <c r="U132" s="14" t="s">
        <v>5040</v>
      </c>
      <c r="V132" s="13"/>
      <c r="W132" s="17"/>
      <c r="X132" s="14"/>
      <c r="Y132" s="17"/>
      <c r="Z132" s="17"/>
      <c r="AA132" s="14" t="s">
        <v>1</v>
      </c>
      <c r="AB132" s="14" t="s">
        <v>5007</v>
      </c>
      <c r="AC132" s="14" t="s">
        <v>968</v>
      </c>
      <c r="AD132" s="20" t="str">
        <f t="shared" si="8"/>
        <v>Crop Tech &gt; Content Platforms &gt; Farming Advice &gt; Expert Advisors</v>
      </c>
      <c r="AE132" s="20" t="str">
        <f t="shared" si="7"/>
        <v>Crop Tech</v>
      </c>
      <c r="AF132" s="20" t="str">
        <f t="shared" si="9"/>
        <v>Content Platforms</v>
      </c>
      <c r="AG132" s="20" t="str">
        <f t="shared" si="9"/>
        <v>Farming Advice</v>
      </c>
      <c r="AH132" s="20" t="str">
        <f t="shared" si="9"/>
        <v>Expert Advisors</v>
      </c>
      <c r="AI132" s="20" t="str">
        <f t="shared" si="9"/>
        <v/>
      </c>
      <c r="AJ132" s="20" t="str">
        <f t="shared" si="9"/>
        <v/>
      </c>
      <c r="AK132" s="20" t="str">
        <f t="shared" si="9"/>
        <v/>
      </c>
      <c r="AL132" s="14" t="s">
        <v>7134</v>
      </c>
      <c r="AM132" s="14"/>
      <c r="AO132" s="14"/>
      <c r="AP132" s="14" t="s">
        <v>7133</v>
      </c>
      <c r="AQ132" s="14" t="s">
        <v>7136</v>
      </c>
      <c r="AR132" s="14" t="s">
        <v>7137</v>
      </c>
      <c r="AS132" s="14" t="s">
        <v>7138</v>
      </c>
      <c r="AT132" s="14" t="s">
        <v>7139</v>
      </c>
      <c r="AU132" s="14" t="s">
        <v>7140</v>
      </c>
      <c r="AV132" s="18"/>
      <c r="AW132" s="16"/>
      <c r="AX132" s="17"/>
      <c r="AY132" s="15" t="s">
        <v>3123</v>
      </c>
      <c r="AZ132" s="17"/>
      <c r="BA132" s="16"/>
      <c r="BB132" s="14"/>
      <c r="BC132" s="14"/>
      <c r="BD132" s="15" t="s">
        <v>3123</v>
      </c>
      <c r="BE132" s="14"/>
      <c r="BF132" s="17"/>
      <c r="BG132" s="16"/>
      <c r="BH132" s="14"/>
      <c r="BI132" s="15" t="s">
        <v>3123</v>
      </c>
      <c r="BJ132" s="14"/>
      <c r="BK132" s="17"/>
      <c r="BL132" s="16"/>
      <c r="BM132" s="16"/>
      <c r="BN132" s="16"/>
      <c r="BO132" s="16"/>
      <c r="BP132" s="15" t="s">
        <v>3123</v>
      </c>
      <c r="BQ132" s="17"/>
      <c r="BR132" s="14"/>
      <c r="BS132" s="14"/>
      <c r="BT132" s="16"/>
      <c r="BU132" s="16"/>
      <c r="BV132" s="13"/>
      <c r="BW132" s="18" t="s">
        <v>7141</v>
      </c>
      <c r="BX132" s="13">
        <v>200</v>
      </c>
      <c r="BY132" s="17">
        <v>44125</v>
      </c>
      <c r="BZ132" s="18" t="s">
        <v>7142</v>
      </c>
      <c r="CA132" s="18" t="s">
        <v>7143</v>
      </c>
      <c r="CB132" s="18" t="s">
        <v>7144</v>
      </c>
      <c r="CC132" s="18"/>
      <c r="CD132" s="14" t="s">
        <v>7145</v>
      </c>
      <c r="CE132" s="17">
        <v>44021</v>
      </c>
      <c r="CF132" s="16"/>
      <c r="CG132" s="17"/>
      <c r="CH132" s="16"/>
      <c r="CI132" s="17"/>
      <c r="CJ132" s="16"/>
      <c r="CK132" s="17"/>
      <c r="CL132" s="16"/>
      <c r="CM132" s="17"/>
      <c r="CN132" s="19">
        <v>31.998911031968987</v>
      </c>
      <c r="CO132" s="19"/>
      <c r="CP132" s="17"/>
      <c r="CQ132" s="14" t="s">
        <v>7146</v>
      </c>
      <c r="CR132" s="14" t="s">
        <v>6050</v>
      </c>
      <c r="CS132" s="14" t="s">
        <v>5004</v>
      </c>
    </row>
    <row r="133" spans="1:97" ht="26.15" customHeight="1">
      <c r="A133" s="2">
        <v>16</v>
      </c>
      <c r="B133" s="25" t="s">
        <v>580</v>
      </c>
      <c r="C133" s="25" t="e">
        <f>VLOOKUP(B133, Sheet6!$A$1:$B$77, 2, FALSE)</f>
        <v>#N/A</v>
      </c>
      <c r="D133" s="25" t="s">
        <v>581</v>
      </c>
      <c r="E133" s="25" t="s">
        <v>585</v>
      </c>
      <c r="F133" s="25" t="s">
        <v>5211</v>
      </c>
      <c r="G133" s="25" t="s">
        <v>10955</v>
      </c>
      <c r="H133" s="25" t="s">
        <v>10959</v>
      </c>
      <c r="I133" s="25" t="s">
        <v>10958</v>
      </c>
      <c r="J133" s="26" t="s">
        <v>10842</v>
      </c>
      <c r="L133" s="13">
        <v>2016</v>
      </c>
      <c r="M133" s="14" t="s">
        <v>7147</v>
      </c>
      <c r="N133" s="14" t="s">
        <v>7147</v>
      </c>
      <c r="O133" s="14" t="s">
        <v>7148</v>
      </c>
      <c r="P133" s="15" t="s">
        <v>3117</v>
      </c>
      <c r="Q133" s="16">
        <v>120000</v>
      </c>
      <c r="R133" s="17">
        <v>43572</v>
      </c>
      <c r="S133" s="16" t="s">
        <v>7149</v>
      </c>
      <c r="T133" s="16">
        <v>120000</v>
      </c>
      <c r="U133" s="14" t="s">
        <v>34</v>
      </c>
      <c r="V133" s="13">
        <v>3</v>
      </c>
      <c r="W133" s="17">
        <v>44071</v>
      </c>
      <c r="X133" s="14"/>
      <c r="Y133" s="17"/>
      <c r="Z133" s="17"/>
      <c r="AA133" s="14" t="s">
        <v>7150</v>
      </c>
      <c r="AB133" s="14" t="s">
        <v>7151</v>
      </c>
      <c r="AC133" s="14" t="s">
        <v>7152</v>
      </c>
      <c r="AD133" s="20" t="str">
        <f t="shared" si="8"/>
        <v>Field Force Automation &gt; Agricultural industry
GRC Software &gt; Compliance &gt; QEHS Compliance &gt; Integrated QEHS Compliance
IoT Applications &gt; Industry Specific &gt; Agriculture &gt; Farms
Crop Tech &gt; Farm Management Software &gt; Diversified</v>
      </c>
      <c r="AE133" s="20" t="str">
        <f t="shared" si="7"/>
        <v>Field Force Automation</v>
      </c>
      <c r="AF133" s="20" t="str">
        <f t="shared" si="9"/>
        <v>Agricultural industry
GRC Software</v>
      </c>
      <c r="AG133" s="20" t="str">
        <f t="shared" si="9"/>
        <v>Compliance</v>
      </c>
      <c r="AH133" s="20" t="str">
        <f t="shared" si="9"/>
        <v>QEHS Compliance</v>
      </c>
      <c r="AI133" s="20" t="str">
        <f t="shared" si="9"/>
        <v>Integrated QEHS Compliance
IoT Applications</v>
      </c>
      <c r="AJ133" s="20" t="str">
        <f t="shared" si="9"/>
        <v>Industry Specific</v>
      </c>
      <c r="AK133" s="20" t="str">
        <f t="shared" si="9"/>
        <v>Agriculture</v>
      </c>
      <c r="AL133" s="14" t="s">
        <v>7153</v>
      </c>
      <c r="AM133" s="14"/>
      <c r="AO133" s="14"/>
      <c r="AP133" s="14" t="s">
        <v>7148</v>
      </c>
      <c r="AQ133" s="14" t="s">
        <v>7155</v>
      </c>
      <c r="AR133" s="14"/>
      <c r="AS133" s="14" t="s">
        <v>7156</v>
      </c>
      <c r="AT133" s="14" t="s">
        <v>7157</v>
      </c>
      <c r="AU133" s="14" t="s">
        <v>7158</v>
      </c>
      <c r="AV133" s="18"/>
      <c r="AW133" s="16"/>
      <c r="AX133" s="17"/>
      <c r="AY133" s="15" t="s">
        <v>3123</v>
      </c>
      <c r="AZ133" s="17"/>
      <c r="BA133" s="16"/>
      <c r="BB133" s="14"/>
      <c r="BC133" s="14"/>
      <c r="BD133" s="15" t="s">
        <v>3123</v>
      </c>
      <c r="BE133" s="14"/>
      <c r="BF133" s="17"/>
      <c r="BG133" s="16"/>
      <c r="BH133" s="14"/>
      <c r="BI133" s="15" t="s">
        <v>3123</v>
      </c>
      <c r="BJ133" s="14"/>
      <c r="BK133" s="17"/>
      <c r="BL133" s="16"/>
      <c r="BM133" s="16"/>
      <c r="BN133" s="16"/>
      <c r="BO133" s="16"/>
      <c r="BP133" s="15" t="s">
        <v>3123</v>
      </c>
      <c r="BQ133" s="17"/>
      <c r="BR133" s="14"/>
      <c r="BS133" s="14"/>
      <c r="BT133" s="16"/>
      <c r="BU133" s="16"/>
      <c r="BV133" s="13"/>
      <c r="BW133" s="18" t="s">
        <v>7159</v>
      </c>
      <c r="BX133" s="13">
        <v>200</v>
      </c>
      <c r="BY133" s="17">
        <v>44125</v>
      </c>
      <c r="BZ133" s="18" t="s">
        <v>7160</v>
      </c>
      <c r="CA133" s="18"/>
      <c r="CB133" s="18"/>
      <c r="CC133" s="18"/>
      <c r="CD133" s="14" t="s">
        <v>7161</v>
      </c>
      <c r="CE133" s="17">
        <v>42929</v>
      </c>
      <c r="CF133" s="16"/>
      <c r="CG133" s="17"/>
      <c r="CH133" s="16"/>
      <c r="CI133" s="17"/>
      <c r="CJ133" s="16"/>
      <c r="CK133" s="17"/>
      <c r="CL133" s="16"/>
      <c r="CM133" s="17"/>
      <c r="CN133" s="19">
        <v>30.506328633595775</v>
      </c>
      <c r="CO133" s="19"/>
      <c r="CP133" s="17"/>
      <c r="CQ133" s="14" t="s">
        <v>6797</v>
      </c>
      <c r="CR133" s="14" t="s">
        <v>6437</v>
      </c>
      <c r="CS133" s="14" t="s">
        <v>5311</v>
      </c>
    </row>
    <row r="134" spans="1:97" ht="26.15" customHeight="1">
      <c r="A134" s="2">
        <v>251</v>
      </c>
      <c r="B134" s="25" t="s">
        <v>1816</v>
      </c>
      <c r="C134" s="25" t="e">
        <f>VLOOKUP(B134, Sheet6!$A$1:$B$77, 2, FALSE)</f>
        <v>#N/A</v>
      </c>
      <c r="D134" s="25" t="s">
        <v>1817</v>
      </c>
      <c r="E134" s="25" t="s">
        <v>1819</v>
      </c>
      <c r="F134" s="25" t="s">
        <v>8163</v>
      </c>
      <c r="G134" s="25" t="s">
        <v>10955</v>
      </c>
      <c r="H134" s="25" t="s">
        <v>10957</v>
      </c>
      <c r="I134" s="25" t="s">
        <v>10558</v>
      </c>
      <c r="J134" s="25" t="s">
        <v>10846</v>
      </c>
      <c r="L134" s="13">
        <v>2016</v>
      </c>
      <c r="M134" s="14" t="s">
        <v>7162</v>
      </c>
      <c r="N134" s="14" t="s">
        <v>7163</v>
      </c>
      <c r="O134" s="14" t="s">
        <v>5391</v>
      </c>
      <c r="P134" s="15" t="s">
        <v>3117</v>
      </c>
      <c r="Q134" s="16"/>
      <c r="R134" s="17">
        <v>43747</v>
      </c>
      <c r="S134" s="16"/>
      <c r="T134" s="16" t="s">
        <v>50</v>
      </c>
      <c r="U134" s="14" t="s">
        <v>5040</v>
      </c>
      <c r="V134" s="13">
        <v>4</v>
      </c>
      <c r="W134" s="17">
        <v>44057</v>
      </c>
      <c r="X134" s="14"/>
      <c r="Y134" s="17"/>
      <c r="Z134" s="17"/>
      <c r="AA134" s="14" t="s">
        <v>7164</v>
      </c>
      <c r="AB134" s="14" t="s">
        <v>7165</v>
      </c>
      <c r="AC134" s="14" t="s">
        <v>7166</v>
      </c>
      <c r="AD134" s="20" t="str">
        <f t="shared" si="8"/>
        <v>IoT Applications &gt; Industry Specific &gt; Agriculture &gt; Farms
Crop Tech &gt; Farm Analytics &gt; Satellite Image Based
MassChallenge Batches &gt; Switzerland &gt; 2020</v>
      </c>
      <c r="AE134" s="20" t="str">
        <f t="shared" si="7"/>
        <v>IoT Applications</v>
      </c>
      <c r="AF134" s="20" t="str">
        <f t="shared" si="9"/>
        <v>Industry Specific</v>
      </c>
      <c r="AG134" s="20" t="str">
        <f t="shared" si="9"/>
        <v>Agriculture</v>
      </c>
      <c r="AH134" s="20" t="str">
        <f t="shared" si="9"/>
        <v>Farms
Crop Tech</v>
      </c>
      <c r="AI134" s="20" t="str">
        <f t="shared" si="9"/>
        <v>Farm Analytics</v>
      </c>
      <c r="AJ134" s="20" t="str">
        <f t="shared" si="9"/>
        <v>Satellite Image Based
MassChallenge Batches</v>
      </c>
      <c r="AK134" s="20" t="str">
        <f t="shared" si="9"/>
        <v>Switzerland</v>
      </c>
      <c r="AL134" s="14" t="s">
        <v>7167</v>
      </c>
      <c r="AM134" s="14"/>
      <c r="AO134" s="14"/>
      <c r="AP134" s="14" t="s">
        <v>5391</v>
      </c>
      <c r="AQ134" s="14"/>
      <c r="AR134" s="14" t="s">
        <v>7169</v>
      </c>
      <c r="AS134" s="14" t="s">
        <v>7170</v>
      </c>
      <c r="AT134" s="14" t="s">
        <v>7171</v>
      </c>
      <c r="AU134" s="14" t="s">
        <v>7172</v>
      </c>
      <c r="AV134" s="18"/>
      <c r="AW134" s="16"/>
      <c r="AX134" s="17"/>
      <c r="AY134" s="15" t="s">
        <v>3123</v>
      </c>
      <c r="AZ134" s="17"/>
      <c r="BA134" s="16"/>
      <c r="BB134" s="14"/>
      <c r="BC134" s="14"/>
      <c r="BD134" s="15" t="s">
        <v>3123</v>
      </c>
      <c r="BE134" s="14"/>
      <c r="BF134" s="17"/>
      <c r="BG134" s="16"/>
      <c r="BH134" s="14"/>
      <c r="BI134" s="15" t="s">
        <v>3123</v>
      </c>
      <c r="BJ134" s="14"/>
      <c r="BK134" s="17"/>
      <c r="BL134" s="16"/>
      <c r="BM134" s="16"/>
      <c r="BN134" s="16"/>
      <c r="BO134" s="16"/>
      <c r="BP134" s="15" t="s">
        <v>3123</v>
      </c>
      <c r="BQ134" s="17"/>
      <c r="BR134" s="14"/>
      <c r="BS134" s="14"/>
      <c r="BT134" s="16"/>
      <c r="BU134" s="16"/>
      <c r="BV134" s="13"/>
      <c r="BW134" s="18" t="s">
        <v>7173</v>
      </c>
      <c r="BX134" s="13">
        <v>200</v>
      </c>
      <c r="BY134" s="17">
        <v>44125</v>
      </c>
      <c r="BZ134" s="18" t="s">
        <v>7174</v>
      </c>
      <c r="CA134" s="18" t="s">
        <v>7175</v>
      </c>
      <c r="CB134" s="18" t="s">
        <v>7176</v>
      </c>
      <c r="CC134" s="18"/>
      <c r="CD134" s="14" t="s">
        <v>7177</v>
      </c>
      <c r="CE134" s="17">
        <v>43983</v>
      </c>
      <c r="CF134" s="16"/>
      <c r="CG134" s="17"/>
      <c r="CH134" s="16"/>
      <c r="CI134" s="17"/>
      <c r="CJ134" s="16"/>
      <c r="CK134" s="17"/>
      <c r="CL134" s="16"/>
      <c r="CM134" s="17"/>
      <c r="CN134" s="19">
        <v>44.92462466216088</v>
      </c>
      <c r="CO134" s="19"/>
      <c r="CP134" s="17"/>
      <c r="CQ134" s="14" t="s">
        <v>5309</v>
      </c>
      <c r="CR134" s="14" t="s">
        <v>6050</v>
      </c>
      <c r="CS134" s="14" t="s">
        <v>5004</v>
      </c>
    </row>
    <row r="135" spans="1:97" ht="26.15" customHeight="1">
      <c r="A135" s="2">
        <v>255</v>
      </c>
      <c r="B135" s="25" t="s">
        <v>322</v>
      </c>
      <c r="C135" s="25" t="e">
        <f>VLOOKUP(B135, Sheet6!$A$1:$B$77, 2, FALSE)</f>
        <v>#N/A</v>
      </c>
      <c r="D135" s="25" t="s">
        <v>323</v>
      </c>
      <c r="E135" s="25" t="s">
        <v>327</v>
      </c>
      <c r="F135" s="25" t="s">
        <v>8214</v>
      </c>
      <c r="G135" s="25" t="s">
        <v>10955</v>
      </c>
      <c r="H135" s="25" t="s">
        <v>10558</v>
      </c>
      <c r="I135" s="25" t="s">
        <v>10558</v>
      </c>
      <c r="J135" s="25" t="s">
        <v>10774</v>
      </c>
      <c r="L135" s="13">
        <v>2017</v>
      </c>
      <c r="M135" s="14" t="s">
        <v>5132</v>
      </c>
      <c r="N135" s="14" t="s">
        <v>5133</v>
      </c>
      <c r="O135" s="14" t="s">
        <v>3994</v>
      </c>
      <c r="P135" s="15" t="s">
        <v>3117</v>
      </c>
      <c r="Q135" s="16">
        <v>348442</v>
      </c>
      <c r="R135" s="17">
        <v>43864</v>
      </c>
      <c r="S135" s="16" t="s">
        <v>7178</v>
      </c>
      <c r="T135" s="16">
        <v>348442</v>
      </c>
      <c r="U135" s="14" t="s">
        <v>34</v>
      </c>
      <c r="V135" s="13">
        <v>4</v>
      </c>
      <c r="W135" s="17">
        <v>44008</v>
      </c>
      <c r="X135" s="14"/>
      <c r="Y135" s="17"/>
      <c r="Z135" s="17"/>
      <c r="AA135" s="14" t="s">
        <v>7179</v>
      </c>
      <c r="AB135" s="14" t="s">
        <v>7180</v>
      </c>
      <c r="AC135" s="14" t="s">
        <v>7181</v>
      </c>
      <c r="AD135" s="20" t="str">
        <f t="shared" si="8"/>
        <v>Alternative Lending &gt; Online Lenders &gt; Consumer Loans &gt; Farm Loans &gt; Marketplace
Internet First Insurance Platforms &gt; Internet First Insurers &gt; P&amp;C &gt; Crop
Crop Tech &gt; Finance &gt; Payments</v>
      </c>
      <c r="AE135" s="20" t="str">
        <f t="shared" si="7"/>
        <v>Alternative Lending</v>
      </c>
      <c r="AF135" s="20" t="str">
        <f t="shared" si="9"/>
        <v>Online Lenders</v>
      </c>
      <c r="AG135" s="20" t="str">
        <f t="shared" si="9"/>
        <v>Consumer Loans</v>
      </c>
      <c r="AH135" s="20" t="str">
        <f t="shared" si="9"/>
        <v>Farm Loans</v>
      </c>
      <c r="AI135" s="20" t="str">
        <f t="shared" si="9"/>
        <v>Marketplace
Internet First Insurance Platforms</v>
      </c>
      <c r="AJ135" s="20" t="str">
        <f t="shared" si="9"/>
        <v>Internet First Insurers</v>
      </c>
      <c r="AK135" s="20" t="str">
        <f t="shared" si="9"/>
        <v>P&amp;C</v>
      </c>
      <c r="AL135" s="14" t="s">
        <v>7182</v>
      </c>
      <c r="AM135" s="14" t="s">
        <v>7183</v>
      </c>
      <c r="AO135" s="14"/>
      <c r="AP135" s="14" t="s">
        <v>3994</v>
      </c>
      <c r="AQ135" s="14"/>
      <c r="AR135" s="14"/>
      <c r="AS135" s="14" t="s">
        <v>7185</v>
      </c>
      <c r="AT135" s="14" t="s">
        <v>7186</v>
      </c>
      <c r="AU135" s="14" t="s">
        <v>7187</v>
      </c>
      <c r="AV135" s="18"/>
      <c r="AW135" s="16">
        <v>9774.9219730162386</v>
      </c>
      <c r="AX135" s="17">
        <v>43100</v>
      </c>
      <c r="AY135" s="15" t="s">
        <v>3123</v>
      </c>
      <c r="AZ135" s="17"/>
      <c r="BA135" s="16"/>
      <c r="BB135" s="14"/>
      <c r="BC135" s="14"/>
      <c r="BD135" s="15" t="s">
        <v>3123</v>
      </c>
      <c r="BE135" s="14"/>
      <c r="BF135" s="17"/>
      <c r="BG135" s="16"/>
      <c r="BH135" s="14"/>
      <c r="BI135" s="15" t="s">
        <v>3123</v>
      </c>
      <c r="BJ135" s="14"/>
      <c r="BK135" s="17"/>
      <c r="BL135" s="16"/>
      <c r="BM135" s="16"/>
      <c r="BN135" s="16"/>
      <c r="BO135" s="16"/>
      <c r="BP135" s="15" t="s">
        <v>3123</v>
      </c>
      <c r="BQ135" s="17"/>
      <c r="BR135" s="14"/>
      <c r="BS135" s="14"/>
      <c r="BT135" s="16"/>
      <c r="BU135" s="16"/>
      <c r="BV135" s="13"/>
      <c r="BW135" s="18" t="s">
        <v>7188</v>
      </c>
      <c r="BX135" s="13">
        <v>200</v>
      </c>
      <c r="BY135" s="17">
        <v>44125</v>
      </c>
      <c r="BZ135" s="18" t="s">
        <v>7189</v>
      </c>
      <c r="CA135" s="18" t="s">
        <v>7190</v>
      </c>
      <c r="CB135" s="18" t="s">
        <v>7191</v>
      </c>
      <c r="CC135" s="18"/>
      <c r="CD135" s="14" t="s">
        <v>7192</v>
      </c>
      <c r="CE135" s="17">
        <v>43031</v>
      </c>
      <c r="CF135" s="16">
        <v>-10965.3020406408</v>
      </c>
      <c r="CG135" s="17">
        <v>43100</v>
      </c>
      <c r="CH135" s="16">
        <v>-9546.6369510023032</v>
      </c>
      <c r="CI135" s="17">
        <v>43100</v>
      </c>
      <c r="CJ135" s="16">
        <v>4000000</v>
      </c>
      <c r="CK135" s="17">
        <v>43864</v>
      </c>
      <c r="CL135" s="16">
        <v>13</v>
      </c>
      <c r="CM135" s="17">
        <v>44012</v>
      </c>
      <c r="CN135" s="19">
        <v>38.949173365944098</v>
      </c>
      <c r="CO135" s="19"/>
      <c r="CP135" s="17"/>
      <c r="CQ135" s="14" t="s">
        <v>7193</v>
      </c>
      <c r="CR135" s="14" t="s">
        <v>5962</v>
      </c>
      <c r="CS135" s="14" t="s">
        <v>7194</v>
      </c>
    </row>
    <row r="136" spans="1:97" ht="26.15" customHeight="1">
      <c r="A136" s="2">
        <v>467</v>
      </c>
      <c r="B136" s="25" t="s">
        <v>2604</v>
      </c>
      <c r="C136" s="25" t="e">
        <f>VLOOKUP(B136, Sheet6!$A$1:$B$77, 2, FALSE)</f>
        <v>#N/A</v>
      </c>
      <c r="D136" s="25" t="s">
        <v>2605</v>
      </c>
      <c r="E136" s="25" t="s">
        <v>2607</v>
      </c>
      <c r="F136" s="25" t="s">
        <v>9732</v>
      </c>
      <c r="G136" s="25" t="s">
        <v>10955</v>
      </c>
      <c r="H136" s="25" t="s">
        <v>10967</v>
      </c>
      <c r="I136" s="25" t="s">
        <v>10558</v>
      </c>
      <c r="J136" s="25" t="s">
        <v>10768</v>
      </c>
      <c r="L136" s="13">
        <v>2014</v>
      </c>
      <c r="M136" s="14" t="s">
        <v>5005</v>
      </c>
      <c r="N136" s="14" t="s">
        <v>5006</v>
      </c>
      <c r="O136" s="14" t="s">
        <v>3994</v>
      </c>
      <c r="P136" s="15" t="s">
        <v>3117</v>
      </c>
      <c r="Q136" s="16"/>
      <c r="R136" s="17">
        <v>43487</v>
      </c>
      <c r="S136" s="16"/>
      <c r="T136" s="16" t="s">
        <v>50</v>
      </c>
      <c r="U136" s="14" t="s">
        <v>34</v>
      </c>
      <c r="V136" s="13">
        <v>4</v>
      </c>
      <c r="W136" s="17">
        <v>44055</v>
      </c>
      <c r="X136" s="14"/>
      <c r="Y136" s="17"/>
      <c r="Z136" s="17"/>
      <c r="AA136" s="14" t="s">
        <v>1</v>
      </c>
      <c r="AB136" s="14" t="s">
        <v>5007</v>
      </c>
      <c r="AC136" s="14" t="s">
        <v>5238</v>
      </c>
      <c r="AD136" s="20" t="str">
        <f t="shared" si="8"/>
        <v>Crop Tech &gt; Indoor Farming &gt; Hydroponics</v>
      </c>
      <c r="AE136" s="20" t="str">
        <f t="shared" si="7"/>
        <v>Crop Tech</v>
      </c>
      <c r="AF136" s="20" t="str">
        <f t="shared" si="9"/>
        <v>Indoor Farming</v>
      </c>
      <c r="AG136" s="20" t="str">
        <f t="shared" si="9"/>
        <v>Hydroponics</v>
      </c>
      <c r="AH136" s="20" t="str">
        <f t="shared" si="9"/>
        <v/>
      </c>
      <c r="AI136" s="20" t="str">
        <f t="shared" si="9"/>
        <v/>
      </c>
      <c r="AJ136" s="20" t="str">
        <f t="shared" si="9"/>
        <v/>
      </c>
      <c r="AK136" s="20" t="str">
        <f t="shared" si="9"/>
        <v/>
      </c>
      <c r="AL136" s="14" t="s">
        <v>1228</v>
      </c>
      <c r="AM136" s="14"/>
      <c r="AO136" s="14"/>
      <c r="AP136" s="14" t="s">
        <v>3994</v>
      </c>
      <c r="AQ136" s="14" t="s">
        <v>7213</v>
      </c>
      <c r="AR136" s="14"/>
      <c r="AS136" s="14" t="s">
        <v>7214</v>
      </c>
      <c r="AT136" s="14" t="s">
        <v>7215</v>
      </c>
      <c r="AU136" s="14" t="s">
        <v>7216</v>
      </c>
      <c r="AV136" s="18"/>
      <c r="AW136" s="16">
        <v>78763</v>
      </c>
      <c r="AX136" s="17">
        <v>43465</v>
      </c>
      <c r="AY136" s="15" t="s">
        <v>3123</v>
      </c>
      <c r="AZ136" s="17"/>
      <c r="BA136" s="16"/>
      <c r="BB136" s="14"/>
      <c r="BC136" s="14"/>
      <c r="BD136" s="15" t="s">
        <v>3123</v>
      </c>
      <c r="BE136" s="14"/>
      <c r="BF136" s="17"/>
      <c r="BG136" s="16"/>
      <c r="BH136" s="14"/>
      <c r="BI136" s="15" t="s">
        <v>3123</v>
      </c>
      <c r="BJ136" s="14"/>
      <c r="BK136" s="17"/>
      <c r="BL136" s="16"/>
      <c r="BM136" s="16"/>
      <c r="BN136" s="16"/>
      <c r="BO136" s="16"/>
      <c r="BP136" s="15" t="s">
        <v>3123</v>
      </c>
      <c r="BQ136" s="17"/>
      <c r="BR136" s="14"/>
      <c r="BS136" s="14"/>
      <c r="BT136" s="16"/>
      <c r="BU136" s="16"/>
      <c r="BV136" s="13"/>
      <c r="BW136" s="18" t="s">
        <v>7217</v>
      </c>
      <c r="BX136" s="13">
        <v>200</v>
      </c>
      <c r="BY136" s="17">
        <v>44125</v>
      </c>
      <c r="BZ136" s="18" t="s">
        <v>7218</v>
      </c>
      <c r="CA136" s="18"/>
      <c r="CB136" s="18" t="s">
        <v>7219</v>
      </c>
      <c r="CC136" s="18"/>
      <c r="CD136" s="14" t="s">
        <v>7220</v>
      </c>
      <c r="CE136" s="17">
        <v>43033</v>
      </c>
      <c r="CF136" s="16">
        <v>953</v>
      </c>
      <c r="CG136" s="17">
        <v>43465</v>
      </c>
      <c r="CH136" s="16">
        <v>2378</v>
      </c>
      <c r="CI136" s="17">
        <v>43465</v>
      </c>
      <c r="CJ136" s="16"/>
      <c r="CK136" s="17"/>
      <c r="CL136" s="16"/>
      <c r="CM136" s="17"/>
      <c r="CN136" s="19">
        <v>27.913677649153197</v>
      </c>
      <c r="CO136" s="19"/>
      <c r="CP136" s="17"/>
      <c r="CQ136" s="14" t="s">
        <v>5345</v>
      </c>
      <c r="CR136" s="14" t="s">
        <v>7221</v>
      </c>
      <c r="CS136" s="14" t="s">
        <v>5945</v>
      </c>
    </row>
    <row r="137" spans="1:97" ht="26.15" customHeight="1">
      <c r="A137" s="2">
        <v>174</v>
      </c>
      <c r="B137" s="25" t="s">
        <v>1288</v>
      </c>
      <c r="C137" s="25" t="e">
        <f>VLOOKUP(B137, Sheet6!$A$1:$B$77, 2, FALSE)</f>
        <v>#N/A</v>
      </c>
      <c r="D137" s="25" t="s">
        <v>1289</v>
      </c>
      <c r="E137" s="25" t="s">
        <v>1293</v>
      </c>
      <c r="F137" s="25" t="s">
        <v>7242</v>
      </c>
      <c r="G137" s="25" t="s">
        <v>10955</v>
      </c>
      <c r="H137" s="25" t="s">
        <v>10959</v>
      </c>
      <c r="I137" s="25" t="s">
        <v>10958</v>
      </c>
      <c r="J137" s="26" t="s">
        <v>10766</v>
      </c>
      <c r="L137" s="13">
        <v>2016</v>
      </c>
      <c r="M137" s="14" t="s">
        <v>5829</v>
      </c>
      <c r="N137" s="14" t="s">
        <v>5164</v>
      </c>
      <c r="O137" s="14" t="s">
        <v>4343</v>
      </c>
      <c r="P137" s="15" t="s">
        <v>3117</v>
      </c>
      <c r="Q137" s="16">
        <v>2500000</v>
      </c>
      <c r="R137" s="17">
        <v>43677</v>
      </c>
      <c r="S137" s="16" t="s">
        <v>5022</v>
      </c>
      <c r="T137" s="16">
        <v>1500000</v>
      </c>
      <c r="U137" s="14" t="s">
        <v>34</v>
      </c>
      <c r="V137" s="13">
        <v>4</v>
      </c>
      <c r="W137" s="17">
        <v>44003</v>
      </c>
      <c r="X137" s="14"/>
      <c r="Y137" s="17"/>
      <c r="Z137" s="17"/>
      <c r="AA137" s="14" t="s">
        <v>1</v>
      </c>
      <c r="AB137" s="14" t="s">
        <v>5007</v>
      </c>
      <c r="AC137" s="14" t="s">
        <v>6741</v>
      </c>
      <c r="AD137" s="20" t="str">
        <f t="shared" si="8"/>
        <v>Crop Tech &gt; Autonomous Farming &gt; Diversified</v>
      </c>
      <c r="AE137" s="20" t="str">
        <f t="shared" si="7"/>
        <v>Crop Tech</v>
      </c>
      <c r="AF137" s="20" t="str">
        <f t="shared" si="9"/>
        <v>Autonomous Farming</v>
      </c>
      <c r="AG137" s="20" t="str">
        <f t="shared" si="9"/>
        <v>Diversified</v>
      </c>
      <c r="AH137" s="20" t="str">
        <f t="shared" si="9"/>
        <v/>
      </c>
      <c r="AI137" s="20" t="str">
        <f t="shared" si="9"/>
        <v/>
      </c>
      <c r="AJ137" s="20" t="str">
        <f t="shared" si="9"/>
        <v/>
      </c>
      <c r="AK137" s="20" t="str">
        <f t="shared" si="9"/>
        <v/>
      </c>
      <c r="AL137" s="14" t="s">
        <v>7222</v>
      </c>
      <c r="AM137" s="14"/>
      <c r="AO137" s="14"/>
      <c r="AP137" s="14" t="s">
        <v>4343</v>
      </c>
      <c r="AQ137" s="14"/>
      <c r="AR137" s="14"/>
      <c r="AS137" s="14" t="s">
        <v>7224</v>
      </c>
      <c r="AT137" s="14" t="s">
        <v>7225</v>
      </c>
      <c r="AU137" s="14" t="s">
        <v>7226</v>
      </c>
      <c r="AV137" s="18"/>
      <c r="AW137" s="16"/>
      <c r="AX137" s="17"/>
      <c r="AY137" s="15" t="s">
        <v>3123</v>
      </c>
      <c r="AZ137" s="17"/>
      <c r="BA137" s="16"/>
      <c r="BB137" s="14"/>
      <c r="BC137" s="14"/>
      <c r="BD137" s="15" t="s">
        <v>3123</v>
      </c>
      <c r="BE137" s="14"/>
      <c r="BF137" s="17"/>
      <c r="BG137" s="16"/>
      <c r="BH137" s="14"/>
      <c r="BI137" s="15" t="s">
        <v>3123</v>
      </c>
      <c r="BJ137" s="14"/>
      <c r="BK137" s="17"/>
      <c r="BL137" s="16"/>
      <c r="BM137" s="16"/>
      <c r="BN137" s="16"/>
      <c r="BO137" s="16"/>
      <c r="BP137" s="15" t="s">
        <v>3123</v>
      </c>
      <c r="BQ137" s="17"/>
      <c r="BR137" s="14"/>
      <c r="BS137" s="14"/>
      <c r="BT137" s="16"/>
      <c r="BU137" s="16"/>
      <c r="BV137" s="13"/>
      <c r="BW137" s="18" t="s">
        <v>7227</v>
      </c>
      <c r="BX137" s="13">
        <v>200</v>
      </c>
      <c r="BY137" s="17">
        <v>44125</v>
      </c>
      <c r="BZ137" s="18"/>
      <c r="CA137" s="18"/>
      <c r="CB137" s="18"/>
      <c r="CC137" s="18"/>
      <c r="CD137" s="14" t="s">
        <v>7228</v>
      </c>
      <c r="CE137" s="17">
        <v>42930</v>
      </c>
      <c r="CF137" s="16"/>
      <c r="CG137" s="17"/>
      <c r="CH137" s="16"/>
      <c r="CI137" s="17"/>
      <c r="CJ137" s="16"/>
      <c r="CK137" s="17"/>
      <c r="CL137" s="16"/>
      <c r="CM137" s="17"/>
      <c r="CN137" s="19">
        <v>32.091050066409608</v>
      </c>
      <c r="CO137" s="19"/>
      <c r="CP137" s="17"/>
      <c r="CQ137" s="14" t="s">
        <v>5036</v>
      </c>
      <c r="CR137" s="14" t="s">
        <v>5962</v>
      </c>
      <c r="CS137" s="14" t="s">
        <v>5945</v>
      </c>
    </row>
    <row r="138" spans="1:97" ht="26.15" customHeight="1">
      <c r="A138" s="2">
        <v>332</v>
      </c>
      <c r="B138" s="25" t="s">
        <v>2130</v>
      </c>
      <c r="C138" s="25" t="e">
        <f>VLOOKUP(B138, Sheet6!$A$1:$B$77, 2, FALSE)</f>
        <v>#N/A</v>
      </c>
      <c r="D138" s="25" t="s">
        <v>2131</v>
      </c>
      <c r="E138" s="25" t="s">
        <v>2132</v>
      </c>
      <c r="F138" s="25" t="s">
        <v>8980</v>
      </c>
      <c r="G138" s="25" t="s">
        <v>10955</v>
      </c>
      <c r="H138" s="25" t="s">
        <v>10558</v>
      </c>
      <c r="I138" s="25" t="s">
        <v>10558</v>
      </c>
      <c r="J138" s="25" t="s">
        <v>10821</v>
      </c>
      <c r="L138" s="13">
        <v>2015</v>
      </c>
      <c r="M138" s="14" t="s">
        <v>5689</v>
      </c>
      <c r="N138" s="14" t="s">
        <v>5674</v>
      </c>
      <c r="O138" s="14" t="s">
        <v>2057</v>
      </c>
      <c r="P138" s="15" t="s">
        <v>3117</v>
      </c>
      <c r="Q138" s="16">
        <v>732942</v>
      </c>
      <c r="R138" s="17">
        <v>43342</v>
      </c>
      <c r="S138" s="16" t="s">
        <v>7229</v>
      </c>
      <c r="T138" s="16">
        <v>732942</v>
      </c>
      <c r="U138" s="14" t="s">
        <v>34</v>
      </c>
      <c r="V138" s="13"/>
      <c r="W138" s="17"/>
      <c r="X138" s="14"/>
      <c r="Y138" s="17"/>
      <c r="Z138" s="17"/>
      <c r="AA138" s="14" t="s">
        <v>5791</v>
      </c>
      <c r="AB138" s="14" t="s">
        <v>5792</v>
      </c>
      <c r="AC138" s="14" t="s">
        <v>5793</v>
      </c>
      <c r="AD138" s="20" t="str">
        <f t="shared" si="8"/>
        <v>Energy Efficiency Tech &gt; Lighting Products &gt; LED &gt; Smart Lights &gt; Commercial &gt; Agriculture
Crop Tech &gt; Farm Equipment &gt; Grow Lights &gt; LED</v>
      </c>
      <c r="AE138" s="20" t="str">
        <f t="shared" si="7"/>
        <v>Energy Efficiency Tech</v>
      </c>
      <c r="AF138" s="20" t="str">
        <f t="shared" si="9"/>
        <v>Lighting Products</v>
      </c>
      <c r="AG138" s="20" t="str">
        <f t="shared" si="9"/>
        <v>LED</v>
      </c>
      <c r="AH138" s="20" t="str">
        <f t="shared" si="9"/>
        <v>Smart Lights</v>
      </c>
      <c r="AI138" s="20" t="str">
        <f t="shared" si="9"/>
        <v>Commercial</v>
      </c>
      <c r="AJ138" s="20" t="str">
        <f t="shared" si="9"/>
        <v>Agriculture
Crop Tech</v>
      </c>
      <c r="AK138" s="20" t="str">
        <f t="shared" si="9"/>
        <v>Farm Equipment</v>
      </c>
      <c r="AL138" s="14"/>
      <c r="AM138" s="14"/>
      <c r="AO138" s="14"/>
      <c r="AP138" s="14" t="s">
        <v>2057</v>
      </c>
      <c r="AQ138" s="14" t="s">
        <v>7231</v>
      </c>
      <c r="AR138" s="14"/>
      <c r="AS138" s="14"/>
      <c r="AT138" s="14"/>
      <c r="AU138" s="14"/>
      <c r="AV138" s="18"/>
      <c r="AW138" s="16"/>
      <c r="AX138" s="17"/>
      <c r="AY138" s="15" t="s">
        <v>3123</v>
      </c>
      <c r="AZ138" s="17"/>
      <c r="BA138" s="16"/>
      <c r="BB138" s="14"/>
      <c r="BC138" s="14"/>
      <c r="BD138" s="15" t="s">
        <v>3123</v>
      </c>
      <c r="BE138" s="14"/>
      <c r="BF138" s="17"/>
      <c r="BG138" s="16"/>
      <c r="BH138" s="14"/>
      <c r="BI138" s="15" t="s">
        <v>3123</v>
      </c>
      <c r="BJ138" s="14"/>
      <c r="BK138" s="17"/>
      <c r="BL138" s="16"/>
      <c r="BM138" s="16"/>
      <c r="BN138" s="16"/>
      <c r="BO138" s="16"/>
      <c r="BP138" s="15" t="s">
        <v>3123</v>
      </c>
      <c r="BQ138" s="17"/>
      <c r="BR138" s="14"/>
      <c r="BS138" s="14"/>
      <c r="BT138" s="16"/>
      <c r="BU138" s="16"/>
      <c r="BV138" s="13"/>
      <c r="BW138" s="18" t="s">
        <v>7232</v>
      </c>
      <c r="BX138" s="13">
        <v>200</v>
      </c>
      <c r="BY138" s="17">
        <v>44125</v>
      </c>
      <c r="BZ138" s="18" t="s">
        <v>7233</v>
      </c>
      <c r="CA138" s="18" t="s">
        <v>7234</v>
      </c>
      <c r="CB138" s="18" t="s">
        <v>7235</v>
      </c>
      <c r="CC138" s="18"/>
      <c r="CD138" s="14" t="s">
        <v>7236</v>
      </c>
      <c r="CE138" s="17">
        <v>43033</v>
      </c>
      <c r="CF138" s="16"/>
      <c r="CG138" s="17"/>
      <c r="CH138" s="16"/>
      <c r="CI138" s="17"/>
      <c r="CJ138" s="16"/>
      <c r="CK138" s="17"/>
      <c r="CL138" s="16"/>
      <c r="CM138" s="17"/>
      <c r="CN138" s="19">
        <v>21.08675227313115</v>
      </c>
      <c r="CO138" s="19"/>
      <c r="CP138" s="17"/>
      <c r="CQ138" s="14" t="s">
        <v>6838</v>
      </c>
      <c r="CR138" s="14" t="s">
        <v>6839</v>
      </c>
      <c r="CS138" s="14" t="s">
        <v>5945</v>
      </c>
    </row>
    <row r="139" spans="1:97" ht="26.15" customHeight="1">
      <c r="A139" s="2">
        <v>491</v>
      </c>
      <c r="B139" s="25" t="s">
        <v>2795</v>
      </c>
      <c r="C139" s="25" t="e">
        <f>VLOOKUP(B139, Sheet6!$A$1:$B$77, 2, FALSE)</f>
        <v>#N/A</v>
      </c>
      <c r="D139" s="25" t="s">
        <v>2796</v>
      </c>
      <c r="E139" s="25" t="s">
        <v>2798</v>
      </c>
      <c r="F139" s="25" t="s">
        <v>9897</v>
      </c>
      <c r="G139" s="25" t="s">
        <v>10955</v>
      </c>
      <c r="H139" s="25" t="s">
        <v>10558</v>
      </c>
      <c r="I139" s="25" t="s">
        <v>10558</v>
      </c>
      <c r="J139" s="25" t="s">
        <v>10813</v>
      </c>
      <c r="L139" s="13">
        <v>2016</v>
      </c>
      <c r="M139" s="14" t="s">
        <v>5312</v>
      </c>
      <c r="N139" s="14" t="s">
        <v>5313</v>
      </c>
      <c r="O139" s="14" t="s">
        <v>3994</v>
      </c>
      <c r="P139" s="15" t="s">
        <v>3117</v>
      </c>
      <c r="Q139" s="16">
        <v>195480</v>
      </c>
      <c r="R139" s="17">
        <v>43452</v>
      </c>
      <c r="S139" s="16" t="s">
        <v>7237</v>
      </c>
      <c r="T139" s="16">
        <v>195480</v>
      </c>
      <c r="U139" s="14" t="s">
        <v>34</v>
      </c>
      <c r="V139" s="13">
        <v>3</v>
      </c>
      <c r="W139" s="17">
        <v>44027</v>
      </c>
      <c r="X139" s="14"/>
      <c r="Y139" s="17"/>
      <c r="Z139" s="17"/>
      <c r="AA139" s="14" t="s">
        <v>7238</v>
      </c>
      <c r="AB139" s="14" t="s">
        <v>7239</v>
      </c>
      <c r="AC139" s="14" t="s">
        <v>7240</v>
      </c>
      <c r="AD139" s="20" t="str">
        <f t="shared" si="8"/>
        <v>Electric Vehicles &gt; Automaker &gt; Off Highway Vehicles &gt; Tractors
Crop Tech &gt; Tractor Solutions &gt; Electric Tractors &gt; Autonomous
Autonomous Vehicles &gt; Self Driving Technology &gt; Off Highway Vehicles &gt; OEMs &gt; Agriculture
Off Highway Vehicles Tech &gt; Autonomous Vehicles &gt; Agriculture</v>
      </c>
      <c r="AE139" s="20" t="str">
        <f t="shared" si="7"/>
        <v>Electric Vehicles</v>
      </c>
      <c r="AF139" s="20" t="str">
        <f t="shared" si="9"/>
        <v>Automaker</v>
      </c>
      <c r="AG139" s="20" t="str">
        <f t="shared" si="9"/>
        <v>Off Highway Vehicles</v>
      </c>
      <c r="AH139" s="20" t="str">
        <f t="shared" si="9"/>
        <v>Tractors
Crop Tech</v>
      </c>
      <c r="AI139" s="20" t="str">
        <f t="shared" si="9"/>
        <v>Tractor Solutions</v>
      </c>
      <c r="AJ139" s="20" t="str">
        <f t="shared" si="9"/>
        <v>Electric Tractors</v>
      </c>
      <c r="AK139" s="20" t="str">
        <f t="shared" si="9"/>
        <v>Autonomous
Autonomous Vehicles</v>
      </c>
      <c r="AL139" s="14" t="s">
        <v>3822</v>
      </c>
      <c r="AM139" s="14" t="s">
        <v>7241</v>
      </c>
      <c r="AO139" s="14"/>
      <c r="AP139" s="14" t="s">
        <v>3994</v>
      </c>
      <c r="AQ139" s="14"/>
      <c r="AR139" s="14"/>
      <c r="AS139" s="14" t="s">
        <v>7243</v>
      </c>
      <c r="AT139" s="14" t="s">
        <v>7244</v>
      </c>
      <c r="AU139" s="14" t="s">
        <v>7245</v>
      </c>
      <c r="AV139" s="18"/>
      <c r="AW139" s="16"/>
      <c r="AX139" s="17"/>
      <c r="AY139" s="15" t="s">
        <v>3123</v>
      </c>
      <c r="AZ139" s="17"/>
      <c r="BA139" s="16"/>
      <c r="BB139" s="14"/>
      <c r="BC139" s="14"/>
      <c r="BD139" s="15" t="s">
        <v>3123</v>
      </c>
      <c r="BE139" s="14"/>
      <c r="BF139" s="17"/>
      <c r="BG139" s="16"/>
      <c r="BH139" s="14"/>
      <c r="BI139" s="15" t="s">
        <v>3123</v>
      </c>
      <c r="BJ139" s="14"/>
      <c r="BK139" s="17"/>
      <c r="BL139" s="16"/>
      <c r="BM139" s="16"/>
      <c r="BN139" s="16"/>
      <c r="BO139" s="16"/>
      <c r="BP139" s="15" t="s">
        <v>3123</v>
      </c>
      <c r="BQ139" s="17"/>
      <c r="BR139" s="14"/>
      <c r="BS139" s="14"/>
      <c r="BT139" s="16"/>
      <c r="BU139" s="16"/>
      <c r="BV139" s="13"/>
      <c r="BW139" s="18" t="s">
        <v>7246</v>
      </c>
      <c r="BX139" s="13">
        <v>200</v>
      </c>
      <c r="BY139" s="17">
        <v>44125</v>
      </c>
      <c r="BZ139" s="18"/>
      <c r="CA139" s="18"/>
      <c r="CB139" s="18" t="s">
        <v>7247</v>
      </c>
      <c r="CC139" s="18"/>
      <c r="CD139" s="14" t="s">
        <v>7248</v>
      </c>
      <c r="CE139" s="17">
        <v>42640</v>
      </c>
      <c r="CF139" s="16"/>
      <c r="CG139" s="17"/>
      <c r="CH139" s="16"/>
      <c r="CI139" s="17"/>
      <c r="CJ139" s="16">
        <v>3000000</v>
      </c>
      <c r="CK139" s="17">
        <v>43452</v>
      </c>
      <c r="CL139" s="16"/>
      <c r="CM139" s="17"/>
      <c r="CN139" s="19">
        <v>12.375734030866283</v>
      </c>
      <c r="CO139" s="19"/>
      <c r="CP139" s="17"/>
      <c r="CQ139" s="14" t="s">
        <v>5036</v>
      </c>
      <c r="CR139" s="14" t="s">
        <v>7249</v>
      </c>
      <c r="CS139" s="14" t="s">
        <v>6074</v>
      </c>
    </row>
    <row r="140" spans="1:97" ht="26.15" customHeight="1">
      <c r="A140" s="2">
        <v>480</v>
      </c>
      <c r="B140" s="25" t="s">
        <v>2644</v>
      </c>
      <c r="C140" s="25" t="e">
        <f>VLOOKUP(B140, Sheet6!$A$1:$B$77, 2, FALSE)</f>
        <v>#N/A</v>
      </c>
      <c r="D140" s="25" t="s">
        <v>2645</v>
      </c>
      <c r="E140" s="25" t="s">
        <v>2646</v>
      </c>
      <c r="F140" s="25" t="s">
        <v>9843</v>
      </c>
      <c r="G140" s="25" t="s">
        <v>10955</v>
      </c>
      <c r="H140" s="25" t="s">
        <v>10558</v>
      </c>
      <c r="I140" s="25" t="s">
        <v>10558</v>
      </c>
      <c r="J140" s="25" t="s">
        <v>10846</v>
      </c>
      <c r="L140" s="13">
        <v>2016</v>
      </c>
      <c r="M140" s="14" t="s">
        <v>7250</v>
      </c>
      <c r="N140" s="14" t="s">
        <v>6004</v>
      </c>
      <c r="O140" s="14" t="s">
        <v>4343</v>
      </c>
      <c r="P140" s="15" t="s">
        <v>3117</v>
      </c>
      <c r="Q140" s="16">
        <v>4000000</v>
      </c>
      <c r="R140" s="17">
        <v>43732</v>
      </c>
      <c r="S140" s="16" t="s">
        <v>5456</v>
      </c>
      <c r="T140" s="16">
        <v>4000000</v>
      </c>
      <c r="U140" s="14" t="s">
        <v>109</v>
      </c>
      <c r="V140" s="13">
        <v>4</v>
      </c>
      <c r="W140" s="17">
        <v>44081</v>
      </c>
      <c r="X140" s="14" t="s">
        <v>5052</v>
      </c>
      <c r="Y140" s="17">
        <v>43880</v>
      </c>
      <c r="Z140" s="17">
        <v>43732</v>
      </c>
      <c r="AA140" s="14" t="s">
        <v>1</v>
      </c>
      <c r="AB140" s="14" t="s">
        <v>5007</v>
      </c>
      <c r="AC140" s="14" t="s">
        <v>7251</v>
      </c>
      <c r="AD140" s="20" t="str">
        <f t="shared" si="8"/>
        <v>Crop Tech &gt; Farm Analytics &gt; Satellite Image Based &gt; Crop Yield Prediction</v>
      </c>
      <c r="AE140" s="20" t="str">
        <f t="shared" si="7"/>
        <v>Crop Tech</v>
      </c>
      <c r="AF140" s="20" t="str">
        <f t="shared" si="9"/>
        <v>Farm Analytics</v>
      </c>
      <c r="AG140" s="20" t="str">
        <f t="shared" si="9"/>
        <v>Satellite Image Based</v>
      </c>
      <c r="AH140" s="20" t="str">
        <f t="shared" si="9"/>
        <v>Crop Yield Prediction</v>
      </c>
      <c r="AI140" s="20" t="str">
        <f t="shared" si="9"/>
        <v/>
      </c>
      <c r="AJ140" s="20" t="str">
        <f t="shared" si="9"/>
        <v/>
      </c>
      <c r="AK140" s="20" t="str">
        <f t="shared" si="9"/>
        <v/>
      </c>
      <c r="AL140" s="14" t="s">
        <v>7252</v>
      </c>
      <c r="AM140" s="14"/>
      <c r="AO140" s="14"/>
      <c r="AP140" s="14" t="s">
        <v>4343</v>
      </c>
      <c r="AQ140" s="14"/>
      <c r="AR140" s="14"/>
      <c r="AS140" s="14" t="s">
        <v>7254</v>
      </c>
      <c r="AT140" s="14" t="s">
        <v>7255</v>
      </c>
      <c r="AU140" s="14" t="s">
        <v>7256</v>
      </c>
      <c r="AV140" s="18"/>
      <c r="AW140" s="16"/>
      <c r="AX140" s="17"/>
      <c r="AY140" s="15" t="s">
        <v>3123</v>
      </c>
      <c r="AZ140" s="17"/>
      <c r="BA140" s="16"/>
      <c r="BB140" s="14"/>
      <c r="BC140" s="14"/>
      <c r="BD140" s="15" t="s">
        <v>3123</v>
      </c>
      <c r="BE140" s="14"/>
      <c r="BF140" s="17"/>
      <c r="BG140" s="16"/>
      <c r="BH140" s="14"/>
      <c r="BI140" s="15" t="s">
        <v>3123</v>
      </c>
      <c r="BJ140" s="14"/>
      <c r="BK140" s="17"/>
      <c r="BL140" s="16"/>
      <c r="BM140" s="16"/>
      <c r="BN140" s="16"/>
      <c r="BO140" s="16"/>
      <c r="BP140" s="15" t="s">
        <v>3123</v>
      </c>
      <c r="BQ140" s="17"/>
      <c r="BR140" s="14"/>
      <c r="BS140" s="14"/>
      <c r="BT140" s="16"/>
      <c r="BU140" s="16"/>
      <c r="BV140" s="13"/>
      <c r="BW140" s="18" t="s">
        <v>7257</v>
      </c>
      <c r="BX140" s="13">
        <v>200</v>
      </c>
      <c r="BY140" s="17">
        <v>44125</v>
      </c>
      <c r="BZ140" s="18"/>
      <c r="CA140" s="18"/>
      <c r="CB140" s="18"/>
      <c r="CC140" s="18"/>
      <c r="CD140" s="14" t="s">
        <v>7258</v>
      </c>
      <c r="CE140" s="17">
        <v>43019</v>
      </c>
      <c r="CF140" s="16"/>
      <c r="CG140" s="17"/>
      <c r="CH140" s="16"/>
      <c r="CI140" s="17"/>
      <c r="CJ140" s="16"/>
      <c r="CK140" s="17"/>
      <c r="CL140" s="16"/>
      <c r="CM140" s="17"/>
      <c r="CN140" s="19">
        <v>32.35777375966974</v>
      </c>
      <c r="CO140" s="19"/>
      <c r="CP140" s="17"/>
      <c r="CQ140" s="14" t="s">
        <v>7259</v>
      </c>
      <c r="CR140" s="14" t="s">
        <v>5962</v>
      </c>
      <c r="CS140" s="14" t="s">
        <v>6074</v>
      </c>
    </row>
    <row r="141" spans="1:97" ht="26.15" customHeight="1">
      <c r="A141" s="2">
        <v>297</v>
      </c>
      <c r="B141" s="25" t="s">
        <v>622</v>
      </c>
      <c r="C141" s="25" t="e">
        <f>VLOOKUP(B141, Sheet6!$A$1:$B$77, 2, FALSE)</f>
        <v>#N/A</v>
      </c>
      <c r="D141" s="25" t="s">
        <v>623</v>
      </c>
      <c r="E141" s="25" t="s">
        <v>625</v>
      </c>
      <c r="F141" s="25" t="s">
        <v>8796</v>
      </c>
      <c r="G141" s="25" t="s">
        <v>10955</v>
      </c>
      <c r="H141" s="25" t="s">
        <v>10558</v>
      </c>
      <c r="I141" s="25" t="s">
        <v>10558</v>
      </c>
      <c r="J141" s="25" t="s">
        <v>10715</v>
      </c>
      <c r="L141" s="13">
        <v>2014</v>
      </c>
      <c r="M141" s="14" t="s">
        <v>7260</v>
      </c>
      <c r="N141" s="14" t="s">
        <v>7261</v>
      </c>
      <c r="O141" s="14" t="s">
        <v>2057</v>
      </c>
      <c r="P141" s="15" t="s">
        <v>3117</v>
      </c>
      <c r="Q141" s="16">
        <v>7273280</v>
      </c>
      <c r="R141" s="17">
        <v>43336</v>
      </c>
      <c r="S141" s="16" t="s">
        <v>5051</v>
      </c>
      <c r="T141" s="16">
        <v>7273280</v>
      </c>
      <c r="U141" s="14" t="s">
        <v>109</v>
      </c>
      <c r="V141" s="13">
        <v>4</v>
      </c>
      <c r="W141" s="17">
        <v>44027</v>
      </c>
      <c r="X141" s="14"/>
      <c r="Y141" s="17"/>
      <c r="Z141" s="17"/>
      <c r="AA141" s="14" t="s">
        <v>1</v>
      </c>
      <c r="AB141" s="14" t="s">
        <v>5007</v>
      </c>
      <c r="AC141" s="14" t="s">
        <v>6157</v>
      </c>
      <c r="AD141" s="20" t="str">
        <f t="shared" si="8"/>
        <v>Crop Tech &gt; ECommerce &gt; Farm Inputs &gt; Multi Category &gt; Marketplace</v>
      </c>
      <c r="AE141" s="20" t="str">
        <f t="shared" si="7"/>
        <v>Crop Tech</v>
      </c>
      <c r="AF141" s="20" t="str">
        <f t="shared" si="9"/>
        <v>ECommerce</v>
      </c>
      <c r="AG141" s="20" t="str">
        <f t="shared" si="9"/>
        <v>Farm Inputs</v>
      </c>
      <c r="AH141" s="20" t="str">
        <f t="shared" si="9"/>
        <v>Multi Category</v>
      </c>
      <c r="AI141" s="20" t="str">
        <f t="shared" si="9"/>
        <v>Marketplace</v>
      </c>
      <c r="AJ141" s="20" t="str">
        <f t="shared" si="9"/>
        <v/>
      </c>
      <c r="AK141" s="20" t="str">
        <f t="shared" si="9"/>
        <v/>
      </c>
      <c r="AL141" s="14" t="s">
        <v>7262</v>
      </c>
      <c r="AM141" s="14"/>
      <c r="AO141" s="14"/>
      <c r="AP141" s="14" t="s">
        <v>2057</v>
      </c>
      <c r="AQ141" s="14"/>
      <c r="AR141" s="14"/>
      <c r="AS141" s="14"/>
      <c r="AT141" s="14"/>
      <c r="AU141" s="14"/>
      <c r="AV141" s="18"/>
      <c r="AW141" s="16"/>
      <c r="AX141" s="17"/>
      <c r="AY141" s="15" t="s">
        <v>3123</v>
      </c>
      <c r="AZ141" s="17"/>
      <c r="BA141" s="16"/>
      <c r="BB141" s="14"/>
      <c r="BC141" s="14"/>
      <c r="BD141" s="15" t="s">
        <v>3123</v>
      </c>
      <c r="BE141" s="14"/>
      <c r="BF141" s="17"/>
      <c r="BG141" s="16"/>
      <c r="BH141" s="14"/>
      <c r="BI141" s="15" t="s">
        <v>3123</v>
      </c>
      <c r="BJ141" s="14"/>
      <c r="BK141" s="17"/>
      <c r="BL141" s="16"/>
      <c r="BM141" s="16"/>
      <c r="BN141" s="16"/>
      <c r="BO141" s="16"/>
      <c r="BP141" s="15" t="s">
        <v>3123</v>
      </c>
      <c r="BQ141" s="17"/>
      <c r="BR141" s="14"/>
      <c r="BS141" s="14"/>
      <c r="BT141" s="16"/>
      <c r="BU141" s="16"/>
      <c r="BV141" s="13"/>
      <c r="BW141" s="18" t="s">
        <v>7264</v>
      </c>
      <c r="BX141" s="13">
        <v>-1</v>
      </c>
      <c r="BY141" s="17">
        <v>44125</v>
      </c>
      <c r="BZ141" s="18"/>
      <c r="CA141" s="18"/>
      <c r="CB141" s="18"/>
      <c r="CC141" s="18"/>
      <c r="CD141" s="14" t="s">
        <v>7265</v>
      </c>
      <c r="CE141" s="17">
        <v>43021</v>
      </c>
      <c r="CF141" s="16"/>
      <c r="CG141" s="17"/>
      <c r="CH141" s="16"/>
      <c r="CI141" s="17"/>
      <c r="CJ141" s="16"/>
      <c r="CK141" s="17"/>
      <c r="CL141" s="16"/>
      <c r="CM141" s="17"/>
      <c r="CN141" s="19">
        <v>23.26175887675339</v>
      </c>
      <c r="CO141" s="19"/>
      <c r="CP141" s="17"/>
      <c r="CQ141" s="14" t="s">
        <v>6556</v>
      </c>
      <c r="CR141" s="14" t="s">
        <v>6557</v>
      </c>
      <c r="CS141" s="14" t="s">
        <v>5945</v>
      </c>
    </row>
    <row r="142" spans="1:97" ht="26.15" customHeight="1">
      <c r="A142" s="2">
        <v>106</v>
      </c>
      <c r="B142" s="25" t="s">
        <v>1373</v>
      </c>
      <c r="C142" s="25" t="e">
        <f>VLOOKUP(B142, Sheet6!$A$1:$B$77, 2, FALSE)</f>
        <v>#N/A</v>
      </c>
      <c r="D142" s="25" t="s">
        <v>1374</v>
      </c>
      <c r="E142" s="25" t="s">
        <v>1365</v>
      </c>
      <c r="F142" s="25" t="s">
        <v>6397</v>
      </c>
      <c r="G142" s="25" t="s">
        <v>10953</v>
      </c>
      <c r="H142" s="25" t="s">
        <v>10967</v>
      </c>
      <c r="I142" s="25" t="s">
        <v>10958</v>
      </c>
      <c r="J142" s="26" t="s">
        <v>10517</v>
      </c>
      <c r="L142" s="13">
        <v>2013</v>
      </c>
      <c r="M142" s="14" t="s">
        <v>5389</v>
      </c>
      <c r="N142" s="14" t="s">
        <v>5390</v>
      </c>
      <c r="O142" s="14" t="s">
        <v>5391</v>
      </c>
      <c r="P142" s="15" t="s">
        <v>3117</v>
      </c>
      <c r="Q142" s="16"/>
      <c r="R142" s="17">
        <v>42986</v>
      </c>
      <c r="S142" s="16"/>
      <c r="T142" s="16" t="s">
        <v>50</v>
      </c>
      <c r="U142" s="14" t="s">
        <v>109</v>
      </c>
      <c r="V142" s="13">
        <v>3</v>
      </c>
      <c r="W142" s="17">
        <v>44139</v>
      </c>
      <c r="X142" s="14"/>
      <c r="Y142" s="17"/>
      <c r="Z142" s="17"/>
      <c r="AA142" s="14" t="s">
        <v>1</v>
      </c>
      <c r="AB142" s="14" t="s">
        <v>5007</v>
      </c>
      <c r="AC142" s="14" t="s">
        <v>7273</v>
      </c>
      <c r="AD142" s="20" t="str">
        <f t="shared" si="8"/>
        <v>Crop Tech &gt; ECommerce &gt; Farm Produce &gt; B2B &gt; Fruits and Vegetables &gt; E Distributor</v>
      </c>
      <c r="AE142" s="20" t="str">
        <f t="shared" si="7"/>
        <v>Crop Tech</v>
      </c>
      <c r="AF142" s="20" t="str">
        <f t="shared" si="9"/>
        <v>ECommerce</v>
      </c>
      <c r="AG142" s="20" t="str">
        <f t="shared" si="9"/>
        <v>Farm Produce</v>
      </c>
      <c r="AH142" s="20" t="str">
        <f t="shared" si="9"/>
        <v>B2B</v>
      </c>
      <c r="AI142" s="20" t="str">
        <f t="shared" si="9"/>
        <v>Fruits and Vegetables</v>
      </c>
      <c r="AJ142" s="20" t="str">
        <f t="shared" ref="AF142:AK178" si="10">TRIM(MID(SUBSTITUTE($AD142,"&gt;",REPT(" ",LEN($AD142))), (AJ$6-1)*LEN($AD142)+1, LEN($AD142)))</f>
        <v>E Distributor</v>
      </c>
      <c r="AK142" s="20" t="str">
        <f t="shared" si="10"/>
        <v/>
      </c>
      <c r="AL142" s="14" t="s">
        <v>7274</v>
      </c>
      <c r="AM142" s="14"/>
      <c r="AO142" s="14"/>
      <c r="AP142" s="14" t="s">
        <v>5391</v>
      </c>
      <c r="AQ142" s="14" t="s">
        <v>7276</v>
      </c>
      <c r="AR142" s="14" t="s">
        <v>7277</v>
      </c>
      <c r="AS142" s="14" t="s">
        <v>7278</v>
      </c>
      <c r="AT142" s="14" t="s">
        <v>7279</v>
      </c>
      <c r="AU142" s="14" t="s">
        <v>7280</v>
      </c>
      <c r="AV142" s="18"/>
      <c r="AW142" s="16"/>
      <c r="AX142" s="17"/>
      <c r="AY142" s="15" t="s">
        <v>3123</v>
      </c>
      <c r="AZ142" s="17"/>
      <c r="BA142" s="16"/>
      <c r="BB142" s="14"/>
      <c r="BC142" s="14"/>
      <c r="BD142" s="15" t="s">
        <v>3123</v>
      </c>
      <c r="BE142" s="14"/>
      <c r="BF142" s="17"/>
      <c r="BG142" s="16"/>
      <c r="BH142" s="14"/>
      <c r="BI142" s="15" t="s">
        <v>3123</v>
      </c>
      <c r="BJ142" s="14"/>
      <c r="BK142" s="17"/>
      <c r="BL142" s="16"/>
      <c r="BM142" s="16"/>
      <c r="BN142" s="16"/>
      <c r="BO142" s="16"/>
      <c r="BP142" s="15" t="s">
        <v>3123</v>
      </c>
      <c r="BQ142" s="17"/>
      <c r="BR142" s="14"/>
      <c r="BS142" s="14"/>
      <c r="BT142" s="16"/>
      <c r="BU142" s="16"/>
      <c r="BV142" s="13"/>
      <c r="BW142" s="18" t="s">
        <v>7281</v>
      </c>
      <c r="BX142" s="13">
        <v>200</v>
      </c>
      <c r="BY142" s="17">
        <v>44125</v>
      </c>
      <c r="BZ142" s="18" t="s">
        <v>7282</v>
      </c>
      <c r="CA142" s="18"/>
      <c r="CB142" s="18"/>
      <c r="CC142" s="18"/>
      <c r="CD142" s="14" t="s">
        <v>7283</v>
      </c>
      <c r="CE142" s="17">
        <v>44067</v>
      </c>
      <c r="CF142" s="16"/>
      <c r="CG142" s="17"/>
      <c r="CH142" s="16"/>
      <c r="CI142" s="17"/>
      <c r="CJ142" s="16"/>
      <c r="CK142" s="17"/>
      <c r="CL142" s="16"/>
      <c r="CM142" s="17"/>
      <c r="CN142" s="19">
        <v>23.541051810371226</v>
      </c>
      <c r="CO142" s="19"/>
      <c r="CP142" s="17"/>
      <c r="CQ142" s="14" t="s">
        <v>7284</v>
      </c>
      <c r="CR142" s="14" t="s">
        <v>6002</v>
      </c>
      <c r="CS142" s="14" t="s">
        <v>5945</v>
      </c>
    </row>
    <row r="143" spans="1:97" ht="26.15" customHeight="1">
      <c r="A143" s="2">
        <v>42</v>
      </c>
      <c r="B143" s="25" t="s">
        <v>338</v>
      </c>
      <c r="C143" s="25" t="e">
        <f>VLOOKUP(B143, Sheet6!$A$1:$B$77, 2, FALSE)</f>
        <v>#N/A</v>
      </c>
      <c r="D143" s="25" t="s">
        <v>339</v>
      </c>
      <c r="E143" s="25" t="s">
        <v>343</v>
      </c>
      <c r="F143" s="25" t="s">
        <v>5566</v>
      </c>
      <c r="G143" s="25" t="s">
        <v>10952</v>
      </c>
      <c r="H143" s="25" t="s">
        <v>10959</v>
      </c>
      <c r="I143" s="25" t="s">
        <v>10958</v>
      </c>
      <c r="J143" s="26" t="s">
        <v>10846</v>
      </c>
      <c r="L143" s="13">
        <v>2015</v>
      </c>
      <c r="M143" s="14" t="s">
        <v>7285</v>
      </c>
      <c r="N143" s="14" t="s">
        <v>7285</v>
      </c>
      <c r="O143" s="14" t="s">
        <v>5277</v>
      </c>
      <c r="P143" s="15" t="s">
        <v>3117</v>
      </c>
      <c r="Q143" s="16">
        <v>1070000</v>
      </c>
      <c r="R143" s="17">
        <v>43728</v>
      </c>
      <c r="S143" s="16" t="s">
        <v>5134</v>
      </c>
      <c r="T143" s="16">
        <v>1000000</v>
      </c>
      <c r="U143" s="14" t="s">
        <v>34</v>
      </c>
      <c r="V143" s="13">
        <v>4</v>
      </c>
      <c r="W143" s="17">
        <v>44012</v>
      </c>
      <c r="X143" s="14"/>
      <c r="Y143" s="17"/>
      <c r="Z143" s="17"/>
      <c r="AA143" s="14" t="s">
        <v>5426</v>
      </c>
      <c r="AB143" s="14" t="s">
        <v>5427</v>
      </c>
      <c r="AC143" s="14" t="s">
        <v>5428</v>
      </c>
      <c r="AD143" s="20" t="str">
        <f t="shared" si="8"/>
        <v>Crowdfunding &gt; Revenue Sharing &gt; Agriculture
Crop Tech &gt; Finance &gt; Crowdfunding</v>
      </c>
      <c r="AE143" s="20" t="str">
        <f t="shared" si="7"/>
        <v>Crowdfunding</v>
      </c>
      <c r="AF143" s="20" t="str">
        <f t="shared" si="10"/>
        <v>Revenue Sharing</v>
      </c>
      <c r="AG143" s="20" t="str">
        <f t="shared" si="10"/>
        <v>Agriculture
Crop Tech</v>
      </c>
      <c r="AH143" s="20" t="str">
        <f t="shared" si="10"/>
        <v>Finance</v>
      </c>
      <c r="AI143" s="20" t="str">
        <f t="shared" si="10"/>
        <v>Crowdfunding</v>
      </c>
      <c r="AJ143" s="20" t="str">
        <f t="shared" si="10"/>
        <v/>
      </c>
      <c r="AK143" s="20" t="str">
        <f t="shared" si="10"/>
        <v/>
      </c>
      <c r="AL143" s="14" t="s">
        <v>7286</v>
      </c>
      <c r="AM143" s="14"/>
      <c r="AO143" s="14"/>
      <c r="AP143" s="14" t="s">
        <v>5277</v>
      </c>
      <c r="AQ143" s="14" t="s">
        <v>7288</v>
      </c>
      <c r="AR143" s="14"/>
      <c r="AS143" s="14" t="s">
        <v>7289</v>
      </c>
      <c r="AT143" s="14" t="s">
        <v>7290</v>
      </c>
      <c r="AU143" s="14" t="s">
        <v>7291</v>
      </c>
      <c r="AV143" s="18"/>
      <c r="AW143" s="16"/>
      <c r="AX143" s="17"/>
      <c r="AY143" s="15" t="s">
        <v>3123</v>
      </c>
      <c r="AZ143" s="17"/>
      <c r="BA143" s="16"/>
      <c r="BB143" s="14"/>
      <c r="BC143" s="14"/>
      <c r="BD143" s="15" t="s">
        <v>3123</v>
      </c>
      <c r="BE143" s="14"/>
      <c r="BF143" s="17"/>
      <c r="BG143" s="16"/>
      <c r="BH143" s="14"/>
      <c r="BI143" s="15" t="s">
        <v>3123</v>
      </c>
      <c r="BJ143" s="14"/>
      <c r="BK143" s="17"/>
      <c r="BL143" s="16"/>
      <c r="BM143" s="16"/>
      <c r="BN143" s="16"/>
      <c r="BO143" s="16"/>
      <c r="BP143" s="15" t="s">
        <v>3123</v>
      </c>
      <c r="BQ143" s="17"/>
      <c r="BR143" s="14"/>
      <c r="BS143" s="14"/>
      <c r="BT143" s="16"/>
      <c r="BU143" s="16"/>
      <c r="BV143" s="13"/>
      <c r="BW143" s="18" t="s">
        <v>7292</v>
      </c>
      <c r="BX143" s="13">
        <v>200</v>
      </c>
      <c r="BY143" s="17">
        <v>44125</v>
      </c>
      <c r="BZ143" s="18" t="s">
        <v>7293</v>
      </c>
      <c r="CA143" s="18" t="s">
        <v>7294</v>
      </c>
      <c r="CB143" s="18"/>
      <c r="CC143" s="18"/>
      <c r="CD143" s="14" t="s">
        <v>7295</v>
      </c>
      <c r="CE143" s="17">
        <v>42822</v>
      </c>
      <c r="CF143" s="16"/>
      <c r="CG143" s="17"/>
      <c r="CH143" s="16"/>
      <c r="CI143" s="17"/>
      <c r="CJ143" s="16"/>
      <c r="CK143" s="17"/>
      <c r="CL143" s="16"/>
      <c r="CM143" s="17"/>
      <c r="CN143" s="19">
        <v>42.236802368544751</v>
      </c>
      <c r="CO143" s="19"/>
      <c r="CP143" s="17"/>
      <c r="CQ143" s="14" t="s">
        <v>5036</v>
      </c>
      <c r="CR143" s="14" t="s">
        <v>5962</v>
      </c>
      <c r="CS143" s="14" t="s">
        <v>5945</v>
      </c>
    </row>
    <row r="144" spans="1:97" ht="26.15" customHeight="1">
      <c r="A144" s="2">
        <v>13</v>
      </c>
      <c r="B144" s="25" t="s">
        <v>243</v>
      </c>
      <c r="C144" s="25" t="e">
        <f>VLOOKUP(B144, Sheet6!$A$1:$B$77, 2, FALSE)</f>
        <v>#N/A</v>
      </c>
      <c r="D144" s="25" t="s">
        <v>244</v>
      </c>
      <c r="E144" s="25" t="s">
        <v>249</v>
      </c>
      <c r="F144" s="25" t="s">
        <v>5170</v>
      </c>
      <c r="G144" s="25" t="s">
        <v>10952</v>
      </c>
      <c r="H144" s="25" t="s">
        <v>10959</v>
      </c>
      <c r="I144" s="25" t="s">
        <v>10958</v>
      </c>
      <c r="J144" s="26" t="s">
        <v>10766</v>
      </c>
      <c r="L144" s="13">
        <v>2014</v>
      </c>
      <c r="M144" s="14" t="s">
        <v>5673</v>
      </c>
      <c r="N144" s="14" t="s">
        <v>5674</v>
      </c>
      <c r="O144" s="14" t="s">
        <v>2057</v>
      </c>
      <c r="P144" s="15" t="s">
        <v>3117</v>
      </c>
      <c r="Q144" s="16"/>
      <c r="R144" s="17">
        <v>43115</v>
      </c>
      <c r="S144" s="16"/>
      <c r="T144" s="16" t="s">
        <v>50</v>
      </c>
      <c r="U144" s="14" t="s">
        <v>34</v>
      </c>
      <c r="V144" s="13">
        <v>2</v>
      </c>
      <c r="W144" s="17">
        <v>44055</v>
      </c>
      <c r="X144" s="14"/>
      <c r="Y144" s="17"/>
      <c r="Z144" s="17"/>
      <c r="AA144" s="14" t="s">
        <v>5947</v>
      </c>
      <c r="AB144" s="14" t="s">
        <v>7296</v>
      </c>
      <c r="AC144" s="14" t="s">
        <v>7297</v>
      </c>
      <c r="AD144" s="20" t="str">
        <f t="shared" si="8"/>
        <v>MarketingTech &gt; Suite &gt; SMB
Crop Tech &gt; Farm Management Software &gt; Diversified</v>
      </c>
      <c r="AE144" s="20" t="str">
        <f t="shared" ref="AE144:AE196" si="11">TRIM(MID(SUBSTITUTE($AD144,"&gt;",REPT(" ",LEN($AD144))), (AE$6-1)*LEN($AD144)+1, LEN($AD144)))</f>
        <v>MarketingTech</v>
      </c>
      <c r="AF144" s="20" t="str">
        <f t="shared" si="10"/>
        <v>Suite</v>
      </c>
      <c r="AG144" s="20" t="str">
        <f t="shared" si="10"/>
        <v>SMB
Crop Tech</v>
      </c>
      <c r="AH144" s="20" t="str">
        <f t="shared" si="10"/>
        <v>Farm Management Software</v>
      </c>
      <c r="AI144" s="20" t="str">
        <f t="shared" si="10"/>
        <v>Diversified</v>
      </c>
      <c r="AJ144" s="20" t="str">
        <f t="shared" si="10"/>
        <v/>
      </c>
      <c r="AK144" s="20" t="str">
        <f t="shared" si="10"/>
        <v/>
      </c>
      <c r="AL144" s="14" t="s">
        <v>7298</v>
      </c>
      <c r="AM144" s="14"/>
      <c r="AO144" s="14"/>
      <c r="AP144" s="14" t="s">
        <v>2057</v>
      </c>
      <c r="AQ144" s="14" t="s">
        <v>7300</v>
      </c>
      <c r="AR144" s="14" t="s">
        <v>7301</v>
      </c>
      <c r="AS144" s="14" t="s">
        <v>7302</v>
      </c>
      <c r="AT144" s="14"/>
      <c r="AU144" s="14"/>
      <c r="AV144" s="18"/>
      <c r="AW144" s="16"/>
      <c r="AX144" s="17"/>
      <c r="AY144" s="15" t="s">
        <v>3123</v>
      </c>
      <c r="AZ144" s="17"/>
      <c r="BA144" s="16"/>
      <c r="BB144" s="14"/>
      <c r="BC144" s="14"/>
      <c r="BD144" s="15" t="s">
        <v>3123</v>
      </c>
      <c r="BE144" s="14"/>
      <c r="BF144" s="17"/>
      <c r="BG144" s="16"/>
      <c r="BH144" s="14"/>
      <c r="BI144" s="15" t="s">
        <v>3123</v>
      </c>
      <c r="BJ144" s="14"/>
      <c r="BK144" s="17"/>
      <c r="BL144" s="16"/>
      <c r="BM144" s="16"/>
      <c r="BN144" s="16"/>
      <c r="BO144" s="16"/>
      <c r="BP144" s="15" t="s">
        <v>3123</v>
      </c>
      <c r="BQ144" s="17"/>
      <c r="BR144" s="14"/>
      <c r="BS144" s="14"/>
      <c r="BT144" s="16"/>
      <c r="BU144" s="16"/>
      <c r="BV144" s="13"/>
      <c r="BW144" s="18" t="s">
        <v>7303</v>
      </c>
      <c r="BX144" s="13">
        <v>200</v>
      </c>
      <c r="BY144" s="17">
        <v>44125</v>
      </c>
      <c r="BZ144" s="18"/>
      <c r="CA144" s="18"/>
      <c r="CB144" s="18"/>
      <c r="CC144" s="18"/>
      <c r="CD144" s="14" t="s">
        <v>7304</v>
      </c>
      <c r="CE144" s="17">
        <v>43656</v>
      </c>
      <c r="CF144" s="16"/>
      <c r="CG144" s="17"/>
      <c r="CH144" s="16"/>
      <c r="CI144" s="17"/>
      <c r="CJ144" s="16"/>
      <c r="CK144" s="17"/>
      <c r="CL144" s="16"/>
      <c r="CM144" s="17"/>
      <c r="CN144" s="19">
        <v>15.778765587636467</v>
      </c>
      <c r="CO144" s="19"/>
      <c r="CP144" s="17"/>
      <c r="CQ144" s="14" t="s">
        <v>7305</v>
      </c>
      <c r="CR144" s="14" t="s">
        <v>7306</v>
      </c>
      <c r="CS144" s="14" t="s">
        <v>5004</v>
      </c>
    </row>
    <row r="145" spans="1:97" ht="26.15" customHeight="1">
      <c r="A145" s="2">
        <v>100</v>
      </c>
      <c r="B145" s="25" t="s">
        <v>139</v>
      </c>
      <c r="C145" s="25" t="e">
        <f>VLOOKUP(B145, Sheet6!$A$1:$B$77, 2, FALSE)</f>
        <v>#N/A</v>
      </c>
      <c r="D145" s="25" t="s">
        <v>140</v>
      </c>
      <c r="E145" s="25" t="s">
        <v>144</v>
      </c>
      <c r="F145" s="25" t="s">
        <v>6327</v>
      </c>
      <c r="G145" s="25" t="s">
        <v>10955</v>
      </c>
      <c r="H145" s="25" t="s">
        <v>10959</v>
      </c>
      <c r="I145" s="25" t="s">
        <v>10958</v>
      </c>
      <c r="J145" s="26" t="s">
        <v>10759</v>
      </c>
      <c r="L145" s="13">
        <v>2015</v>
      </c>
      <c r="M145" s="14" t="s">
        <v>7307</v>
      </c>
      <c r="N145" s="14" t="s">
        <v>5267</v>
      </c>
      <c r="O145" s="14" t="s">
        <v>2057</v>
      </c>
      <c r="P145" s="15" t="s">
        <v>3117</v>
      </c>
      <c r="Q145" s="16"/>
      <c r="R145" s="17">
        <v>43208</v>
      </c>
      <c r="S145" s="16"/>
      <c r="T145" s="16" t="s">
        <v>50</v>
      </c>
      <c r="U145" s="14" t="s">
        <v>109</v>
      </c>
      <c r="V145" s="13">
        <v>2</v>
      </c>
      <c r="W145" s="17">
        <v>44081</v>
      </c>
      <c r="X145" s="14"/>
      <c r="Y145" s="17"/>
      <c r="Z145" s="17"/>
      <c r="AA145" s="14" t="s">
        <v>1</v>
      </c>
      <c r="AB145" s="14" t="s">
        <v>5084</v>
      </c>
      <c r="AC145" s="14" t="s">
        <v>6268</v>
      </c>
      <c r="AD145" s="20" t="str">
        <f t="shared" si="8"/>
        <v>Livestock Tech &gt; Livestock Management Software</v>
      </c>
      <c r="AE145" s="20" t="str">
        <f t="shared" si="11"/>
        <v>Livestock Tech</v>
      </c>
      <c r="AF145" s="20" t="str">
        <f t="shared" si="10"/>
        <v>Livestock Management Software</v>
      </c>
      <c r="AG145" s="20" t="str">
        <f t="shared" si="10"/>
        <v/>
      </c>
      <c r="AH145" s="20" t="str">
        <f t="shared" si="10"/>
        <v/>
      </c>
      <c r="AI145" s="20" t="str">
        <f t="shared" si="10"/>
        <v/>
      </c>
      <c r="AJ145" s="20" t="str">
        <f t="shared" si="10"/>
        <v/>
      </c>
      <c r="AK145" s="20" t="str">
        <f t="shared" si="10"/>
        <v/>
      </c>
      <c r="AL145" s="14" t="s">
        <v>7308</v>
      </c>
      <c r="AM145" s="14"/>
      <c r="AO145" s="14"/>
      <c r="AP145" s="14" t="s">
        <v>2057</v>
      </c>
      <c r="AQ145" s="14"/>
      <c r="AR145" s="14"/>
      <c r="AS145" s="14" t="s">
        <v>7310</v>
      </c>
      <c r="AT145" s="14"/>
      <c r="AU145" s="14"/>
      <c r="AV145" s="18"/>
      <c r="AW145" s="16"/>
      <c r="AX145" s="17"/>
      <c r="AY145" s="15" t="s">
        <v>3123</v>
      </c>
      <c r="AZ145" s="17"/>
      <c r="BA145" s="16"/>
      <c r="BB145" s="14"/>
      <c r="BC145" s="14"/>
      <c r="BD145" s="15" t="s">
        <v>3123</v>
      </c>
      <c r="BE145" s="14"/>
      <c r="BF145" s="17"/>
      <c r="BG145" s="16"/>
      <c r="BH145" s="14"/>
      <c r="BI145" s="15" t="s">
        <v>3123</v>
      </c>
      <c r="BJ145" s="14"/>
      <c r="BK145" s="17"/>
      <c r="BL145" s="16"/>
      <c r="BM145" s="16"/>
      <c r="BN145" s="16"/>
      <c r="BO145" s="16"/>
      <c r="BP145" s="15" t="s">
        <v>3123</v>
      </c>
      <c r="BQ145" s="17"/>
      <c r="BR145" s="14"/>
      <c r="BS145" s="14"/>
      <c r="BT145" s="16"/>
      <c r="BU145" s="16"/>
      <c r="BV145" s="13"/>
      <c r="BW145" s="18" t="s">
        <v>7311</v>
      </c>
      <c r="BX145" s="13">
        <v>200</v>
      </c>
      <c r="BY145" s="17">
        <v>44125</v>
      </c>
      <c r="BZ145" s="18"/>
      <c r="CA145" s="18"/>
      <c r="CB145" s="18"/>
      <c r="CC145" s="18"/>
      <c r="CD145" s="14" t="s">
        <v>7312</v>
      </c>
      <c r="CE145" s="17">
        <v>42969</v>
      </c>
      <c r="CF145" s="16"/>
      <c r="CG145" s="17"/>
      <c r="CH145" s="16"/>
      <c r="CI145" s="17"/>
      <c r="CJ145" s="16"/>
      <c r="CK145" s="17"/>
      <c r="CL145" s="16"/>
      <c r="CM145" s="17"/>
      <c r="CN145" s="19">
        <v>14.789998799106609</v>
      </c>
      <c r="CO145" s="19"/>
      <c r="CP145" s="17"/>
      <c r="CQ145" s="14" t="s">
        <v>5104</v>
      </c>
      <c r="CR145" s="14" t="s">
        <v>5962</v>
      </c>
      <c r="CS145" s="14" t="s">
        <v>5945</v>
      </c>
    </row>
    <row r="146" spans="1:97" ht="26.15" customHeight="1">
      <c r="A146" s="2">
        <v>325</v>
      </c>
      <c r="B146" s="25" t="s">
        <v>2569</v>
      </c>
      <c r="C146" s="25" t="e">
        <f>VLOOKUP(B146, Sheet6!$A$1:$B$77, 2, FALSE)</f>
        <v>#N/A</v>
      </c>
      <c r="D146" s="25" t="s">
        <v>2570</v>
      </c>
      <c r="E146" s="25" t="s">
        <v>2572</v>
      </c>
      <c r="F146" s="25" t="s">
        <v>8946</v>
      </c>
      <c r="G146" s="25" t="s">
        <v>10953</v>
      </c>
      <c r="H146" s="25" t="s">
        <v>10967</v>
      </c>
      <c r="I146" s="25" t="s">
        <v>10558</v>
      </c>
      <c r="J146" s="25" t="s">
        <v>10517</v>
      </c>
      <c r="L146" s="13">
        <v>2016</v>
      </c>
      <c r="M146" s="14" t="s">
        <v>7313</v>
      </c>
      <c r="N146" s="14" t="s">
        <v>5039</v>
      </c>
      <c r="O146" s="14" t="s">
        <v>3994</v>
      </c>
      <c r="P146" s="15" t="s">
        <v>3117</v>
      </c>
      <c r="Q146" s="16">
        <v>114859</v>
      </c>
      <c r="R146" s="17">
        <v>43355</v>
      </c>
      <c r="S146" s="16"/>
      <c r="T146" s="16" t="s">
        <v>50</v>
      </c>
      <c r="U146" s="14" t="s">
        <v>34</v>
      </c>
      <c r="V146" s="13">
        <v>4</v>
      </c>
      <c r="W146" s="17">
        <v>44018</v>
      </c>
      <c r="X146" s="14"/>
      <c r="Y146" s="17"/>
      <c r="Z146" s="17"/>
      <c r="AA146" s="14" t="s">
        <v>4995</v>
      </c>
      <c r="AB146" s="14" t="s">
        <v>5578</v>
      </c>
      <c r="AC146" s="14" t="s">
        <v>7314</v>
      </c>
      <c r="AD146" s="20" t="str">
        <f t="shared" si="8"/>
        <v>Online Grocery &gt; B2C Ecommerce &gt; Multi Category &gt; Retailer &gt; Outsourced Delivery
Crop Tech &gt; ECommerce &gt; Farm Produce &gt; B2C &gt; Fruits and Vegetables &gt; Retailer</v>
      </c>
      <c r="AE146" s="20" t="str">
        <f t="shared" si="11"/>
        <v>Online Grocery</v>
      </c>
      <c r="AF146" s="20" t="str">
        <f t="shared" si="10"/>
        <v>B2C Ecommerce</v>
      </c>
      <c r="AG146" s="20" t="str">
        <f t="shared" si="10"/>
        <v>Multi Category</v>
      </c>
      <c r="AH146" s="20" t="str">
        <f t="shared" si="10"/>
        <v>Retailer</v>
      </c>
      <c r="AI146" s="20" t="str">
        <f t="shared" si="10"/>
        <v>Outsourced Delivery
Crop Tech</v>
      </c>
      <c r="AJ146" s="20" t="str">
        <f t="shared" si="10"/>
        <v>ECommerce</v>
      </c>
      <c r="AK146" s="20" t="str">
        <f t="shared" si="10"/>
        <v>Farm Produce</v>
      </c>
      <c r="AL146" s="14" t="s">
        <v>7315</v>
      </c>
      <c r="AM146" s="14" t="s">
        <v>1925</v>
      </c>
      <c r="AO146" s="14"/>
      <c r="AP146" s="14" t="s">
        <v>3994</v>
      </c>
      <c r="AQ146" s="14" t="s">
        <v>7317</v>
      </c>
      <c r="AR146" s="14" t="s">
        <v>7318</v>
      </c>
      <c r="AS146" s="14" t="s">
        <v>7319</v>
      </c>
      <c r="AT146" s="14" t="s">
        <v>7320</v>
      </c>
      <c r="AU146" s="14" t="s">
        <v>7321</v>
      </c>
      <c r="AV146" s="18"/>
      <c r="AW146" s="16">
        <v>647200</v>
      </c>
      <c r="AX146" s="17">
        <v>43100</v>
      </c>
      <c r="AY146" s="15" t="s">
        <v>3117</v>
      </c>
      <c r="AZ146" s="17">
        <v>42598</v>
      </c>
      <c r="BA146" s="16">
        <v>1493</v>
      </c>
      <c r="BB146" s="14" t="s">
        <v>7322</v>
      </c>
      <c r="BC146" s="14" t="s">
        <v>7323</v>
      </c>
      <c r="BD146" s="15" t="s">
        <v>3123</v>
      </c>
      <c r="BE146" s="14"/>
      <c r="BF146" s="17"/>
      <c r="BG146" s="16"/>
      <c r="BH146" s="14"/>
      <c r="BI146" s="15" t="s">
        <v>3123</v>
      </c>
      <c r="BJ146" s="14"/>
      <c r="BK146" s="17"/>
      <c r="BL146" s="16"/>
      <c r="BM146" s="16"/>
      <c r="BN146" s="16"/>
      <c r="BO146" s="16"/>
      <c r="BP146" s="15" t="s">
        <v>3123</v>
      </c>
      <c r="BQ146" s="17"/>
      <c r="BR146" s="14"/>
      <c r="BS146" s="14"/>
      <c r="BT146" s="16"/>
      <c r="BU146" s="16"/>
      <c r="BV146" s="13"/>
      <c r="BW146" s="18" t="s">
        <v>7324</v>
      </c>
      <c r="BX146" s="13">
        <v>200</v>
      </c>
      <c r="BY146" s="17">
        <v>44125</v>
      </c>
      <c r="BZ146" s="18" t="s">
        <v>7325</v>
      </c>
      <c r="CA146" s="18" t="s">
        <v>7326</v>
      </c>
      <c r="CB146" s="18" t="s">
        <v>7327</v>
      </c>
      <c r="CC146" s="18"/>
      <c r="CD146" s="14" t="s">
        <v>7328</v>
      </c>
      <c r="CE146" s="17">
        <v>43335</v>
      </c>
      <c r="CF146" s="16">
        <v>-27600</v>
      </c>
      <c r="CG146" s="17">
        <v>43100</v>
      </c>
      <c r="CH146" s="16">
        <v>-20800</v>
      </c>
      <c r="CI146" s="17">
        <v>43100</v>
      </c>
      <c r="CJ146" s="16"/>
      <c r="CK146" s="17"/>
      <c r="CL146" s="16"/>
      <c r="CM146" s="17"/>
      <c r="CN146" s="19">
        <v>38.555205465746276</v>
      </c>
      <c r="CO146" s="19"/>
      <c r="CP146" s="17"/>
      <c r="CQ146" s="14" t="s">
        <v>6487</v>
      </c>
      <c r="CR146" s="14" t="s">
        <v>7329</v>
      </c>
      <c r="CS146" s="14" t="s">
        <v>5004</v>
      </c>
    </row>
    <row r="147" spans="1:97" ht="26.15" customHeight="1">
      <c r="A147" s="2">
        <v>114</v>
      </c>
      <c r="B147" s="25" t="s">
        <v>1075</v>
      </c>
      <c r="C147" s="25" t="e">
        <f>VLOOKUP(B147, Sheet6!$A$1:$B$77, 2, FALSE)</f>
        <v>#N/A</v>
      </c>
      <c r="D147" s="25" t="s">
        <v>1076</v>
      </c>
      <c r="E147" s="25" t="s">
        <v>1079</v>
      </c>
      <c r="F147" s="25" t="s">
        <v>6489</v>
      </c>
      <c r="G147" s="25" t="s">
        <v>10955</v>
      </c>
      <c r="H147" s="25" t="s">
        <v>10959</v>
      </c>
      <c r="I147" s="25" t="s">
        <v>10958</v>
      </c>
      <c r="J147" s="26" t="s">
        <v>10766</v>
      </c>
      <c r="L147" s="13">
        <v>2011</v>
      </c>
      <c r="M147" s="14" t="s">
        <v>7330</v>
      </c>
      <c r="N147" s="14" t="s">
        <v>7331</v>
      </c>
      <c r="O147" s="14" t="s">
        <v>2057</v>
      </c>
      <c r="P147" s="15" t="s">
        <v>3117</v>
      </c>
      <c r="Q147" s="16">
        <v>1577228</v>
      </c>
      <c r="R147" s="17">
        <v>43823</v>
      </c>
      <c r="S147" s="16"/>
      <c r="T147" s="16" t="s">
        <v>50</v>
      </c>
      <c r="U147" s="14" t="s">
        <v>25</v>
      </c>
      <c r="V147" s="13">
        <v>3</v>
      </c>
      <c r="W147" s="17">
        <v>44081</v>
      </c>
      <c r="X147" s="14"/>
      <c r="Y147" s="17"/>
      <c r="Z147" s="17"/>
      <c r="AA147" s="14" t="s">
        <v>5041</v>
      </c>
      <c r="AB147" s="14" t="s">
        <v>5042</v>
      </c>
      <c r="AC147" s="14" t="s">
        <v>7332</v>
      </c>
      <c r="AD147" s="20" t="str">
        <f t="shared" si="8"/>
        <v>IoT Applications &gt; Industry Specific &gt; Agriculture &gt; Farms
Crop Tech &gt; Farm Management Software &gt; Controlled Environment Farming</v>
      </c>
      <c r="AE147" s="20" t="str">
        <f t="shared" si="11"/>
        <v>IoT Applications</v>
      </c>
      <c r="AF147" s="20" t="str">
        <f t="shared" si="10"/>
        <v>Industry Specific</v>
      </c>
      <c r="AG147" s="20" t="str">
        <f t="shared" si="10"/>
        <v>Agriculture</v>
      </c>
      <c r="AH147" s="20" t="str">
        <f t="shared" si="10"/>
        <v>Farms
Crop Tech</v>
      </c>
      <c r="AI147" s="20" t="str">
        <f t="shared" si="10"/>
        <v>Farm Management Software</v>
      </c>
      <c r="AJ147" s="20" t="str">
        <f t="shared" si="10"/>
        <v>Controlled Environment Farming</v>
      </c>
      <c r="AK147" s="20" t="str">
        <f t="shared" si="10"/>
        <v/>
      </c>
      <c r="AL147" s="14" t="s">
        <v>7333</v>
      </c>
      <c r="AM147" s="14"/>
      <c r="AO147" s="14"/>
      <c r="AP147" s="14" t="s">
        <v>2057</v>
      </c>
      <c r="AQ147" s="14"/>
      <c r="AR147" s="14"/>
      <c r="AS147" s="14"/>
      <c r="AT147" s="14"/>
      <c r="AU147" s="14"/>
      <c r="AV147" s="18"/>
      <c r="AW147" s="16"/>
      <c r="AX147" s="17"/>
      <c r="AY147" s="15" t="s">
        <v>3123</v>
      </c>
      <c r="AZ147" s="17"/>
      <c r="BA147" s="16"/>
      <c r="BB147" s="14"/>
      <c r="BC147" s="14"/>
      <c r="BD147" s="15" t="s">
        <v>3123</v>
      </c>
      <c r="BE147" s="14"/>
      <c r="BF147" s="17"/>
      <c r="BG147" s="16"/>
      <c r="BH147" s="14"/>
      <c r="BI147" s="15" t="s">
        <v>3123</v>
      </c>
      <c r="BJ147" s="14"/>
      <c r="BK147" s="17"/>
      <c r="BL147" s="16"/>
      <c r="BM147" s="16"/>
      <c r="BN147" s="16"/>
      <c r="BO147" s="16"/>
      <c r="BP147" s="15" t="s">
        <v>3123</v>
      </c>
      <c r="BQ147" s="17"/>
      <c r="BR147" s="14"/>
      <c r="BS147" s="14"/>
      <c r="BT147" s="16"/>
      <c r="BU147" s="16"/>
      <c r="BV147" s="13"/>
      <c r="BW147" s="18" t="s">
        <v>7335</v>
      </c>
      <c r="BX147" s="13">
        <v>200</v>
      </c>
      <c r="BY147" s="17">
        <v>44125</v>
      </c>
      <c r="BZ147" s="18" t="s">
        <v>7336</v>
      </c>
      <c r="CA147" s="18"/>
      <c r="CB147" s="18"/>
      <c r="CC147" s="18"/>
      <c r="CD147" s="14" t="s">
        <v>7337</v>
      </c>
      <c r="CE147" s="17">
        <v>42929</v>
      </c>
      <c r="CF147" s="16"/>
      <c r="CG147" s="17"/>
      <c r="CH147" s="16"/>
      <c r="CI147" s="17"/>
      <c r="CJ147" s="16"/>
      <c r="CK147" s="17"/>
      <c r="CL147" s="16"/>
      <c r="CM147" s="17"/>
      <c r="CN147" s="19">
        <v>28.412474731814701</v>
      </c>
      <c r="CO147" s="19"/>
      <c r="CP147" s="17"/>
      <c r="CQ147" s="14" t="s">
        <v>5036</v>
      </c>
      <c r="CR147" s="14" t="s">
        <v>5962</v>
      </c>
      <c r="CS147" s="14" t="s">
        <v>5945</v>
      </c>
    </row>
    <row r="148" spans="1:97" ht="26.15" customHeight="1">
      <c r="A148" s="2">
        <v>212</v>
      </c>
      <c r="B148" s="25" t="s">
        <v>1658</v>
      </c>
      <c r="C148" s="25" t="e">
        <f>VLOOKUP(B148, Sheet6!$A$1:$B$77, 2, FALSE)</f>
        <v>#N/A</v>
      </c>
      <c r="D148" s="25" t="s">
        <v>1659</v>
      </c>
      <c r="E148" s="25" t="s">
        <v>1662</v>
      </c>
      <c r="F148" s="25" t="s">
        <v>7674</v>
      </c>
      <c r="G148" s="25" t="s">
        <v>10955</v>
      </c>
      <c r="H148" s="25" t="s">
        <v>10959</v>
      </c>
      <c r="I148" s="25" t="s">
        <v>10958</v>
      </c>
      <c r="J148" s="26" t="s">
        <v>10846</v>
      </c>
      <c r="L148" s="13">
        <v>2016</v>
      </c>
      <c r="M148" s="14" t="s">
        <v>7338</v>
      </c>
      <c r="N148" s="14" t="s">
        <v>5152</v>
      </c>
      <c r="O148" s="14" t="s">
        <v>2057</v>
      </c>
      <c r="P148" s="15" t="s">
        <v>3117</v>
      </c>
      <c r="Q148" s="16">
        <v>280450</v>
      </c>
      <c r="R148" s="17">
        <v>43976</v>
      </c>
      <c r="S148" s="16" t="s">
        <v>5371</v>
      </c>
      <c r="T148" s="16">
        <v>280450</v>
      </c>
      <c r="U148" s="14" t="s">
        <v>34</v>
      </c>
      <c r="V148" s="13">
        <v>3</v>
      </c>
      <c r="W148" s="17">
        <v>43985</v>
      </c>
      <c r="X148" s="14"/>
      <c r="Y148" s="17"/>
      <c r="Z148" s="17"/>
      <c r="AA148" s="14" t="s">
        <v>1</v>
      </c>
      <c r="AB148" s="14" t="s">
        <v>5007</v>
      </c>
      <c r="AC148" s="14" t="s">
        <v>5192</v>
      </c>
      <c r="AD148" s="20" t="str">
        <f t="shared" si="8"/>
        <v>Crop Tech &gt; Farm Management Software &gt; Diversified</v>
      </c>
      <c r="AE148" s="20" t="str">
        <f t="shared" si="11"/>
        <v>Crop Tech</v>
      </c>
      <c r="AF148" s="20" t="str">
        <f t="shared" si="10"/>
        <v>Farm Management Software</v>
      </c>
      <c r="AG148" s="20" t="str">
        <f t="shared" si="10"/>
        <v>Diversified</v>
      </c>
      <c r="AH148" s="20" t="str">
        <f t="shared" si="10"/>
        <v/>
      </c>
      <c r="AI148" s="20" t="str">
        <f t="shared" si="10"/>
        <v/>
      </c>
      <c r="AJ148" s="20" t="str">
        <f t="shared" si="10"/>
        <v/>
      </c>
      <c r="AK148" s="20" t="str">
        <f t="shared" si="10"/>
        <v/>
      </c>
      <c r="AL148" s="14"/>
      <c r="AM148" s="14"/>
      <c r="AO148" s="14"/>
      <c r="AP148" s="14" t="s">
        <v>2057</v>
      </c>
      <c r="AQ148" s="14" t="s">
        <v>7340</v>
      </c>
      <c r="AR148" s="14" t="s">
        <v>7341</v>
      </c>
      <c r="AS148" s="14"/>
      <c r="AT148" s="14"/>
      <c r="AU148" s="14"/>
      <c r="AV148" s="18"/>
      <c r="AW148" s="16"/>
      <c r="AX148" s="17"/>
      <c r="AY148" s="15" t="s">
        <v>3123</v>
      </c>
      <c r="AZ148" s="17"/>
      <c r="BA148" s="16"/>
      <c r="BB148" s="14"/>
      <c r="BC148" s="14"/>
      <c r="BD148" s="15" t="s">
        <v>3123</v>
      </c>
      <c r="BE148" s="14"/>
      <c r="BF148" s="17"/>
      <c r="BG148" s="16"/>
      <c r="BH148" s="14"/>
      <c r="BI148" s="15" t="s">
        <v>3123</v>
      </c>
      <c r="BJ148" s="14"/>
      <c r="BK148" s="17"/>
      <c r="BL148" s="16"/>
      <c r="BM148" s="16"/>
      <c r="BN148" s="16"/>
      <c r="BO148" s="16"/>
      <c r="BP148" s="15" t="s">
        <v>3123</v>
      </c>
      <c r="BQ148" s="17"/>
      <c r="BR148" s="14"/>
      <c r="BS148" s="14"/>
      <c r="BT148" s="16"/>
      <c r="BU148" s="16"/>
      <c r="BV148" s="13"/>
      <c r="BW148" s="18" t="s">
        <v>7342</v>
      </c>
      <c r="BX148" s="13">
        <v>200</v>
      </c>
      <c r="BY148" s="17">
        <v>44125</v>
      </c>
      <c r="BZ148" s="18"/>
      <c r="CA148" s="18"/>
      <c r="CB148" s="18"/>
      <c r="CC148" s="18"/>
      <c r="CD148" s="14" t="s">
        <v>7343</v>
      </c>
      <c r="CE148" s="17">
        <v>43980</v>
      </c>
      <c r="CF148" s="16"/>
      <c r="CG148" s="17"/>
      <c r="CH148" s="16"/>
      <c r="CI148" s="17"/>
      <c r="CJ148" s="16"/>
      <c r="CK148" s="17"/>
      <c r="CL148" s="16"/>
      <c r="CM148" s="17"/>
      <c r="CN148" s="19">
        <v>14.731697768340959</v>
      </c>
      <c r="CO148" s="19"/>
      <c r="CP148" s="17"/>
      <c r="CQ148" s="14" t="s">
        <v>5149</v>
      </c>
      <c r="CR148" s="14" t="s">
        <v>5150</v>
      </c>
      <c r="CS148" s="14" t="s">
        <v>5004</v>
      </c>
    </row>
    <row r="149" spans="1:97" ht="26.15" customHeight="1">
      <c r="A149" s="2">
        <v>130</v>
      </c>
      <c r="B149" s="25" t="s">
        <v>42</v>
      </c>
      <c r="C149" s="25" t="e">
        <f>VLOOKUP(B149, Sheet6!$A$1:$B$77, 2, FALSE)</f>
        <v>#N/A</v>
      </c>
      <c r="D149" s="25" t="s">
        <v>43</v>
      </c>
      <c r="E149" s="25" t="s">
        <v>48</v>
      </c>
      <c r="F149" s="25" t="s">
        <v>6695</v>
      </c>
      <c r="G149" s="25" t="s">
        <v>10955</v>
      </c>
      <c r="H149" s="25" t="s">
        <v>10959</v>
      </c>
      <c r="I149" s="25" t="s">
        <v>10958</v>
      </c>
      <c r="J149" s="26" t="s">
        <v>10846</v>
      </c>
      <c r="L149" s="13">
        <v>2008</v>
      </c>
      <c r="M149" s="14" t="s">
        <v>7344</v>
      </c>
      <c r="N149" s="14" t="s">
        <v>5050</v>
      </c>
      <c r="O149" s="14" t="s">
        <v>4343</v>
      </c>
      <c r="P149" s="15" t="s">
        <v>3117</v>
      </c>
      <c r="Q149" s="16">
        <v>14500000</v>
      </c>
      <c r="R149" s="17">
        <v>43774</v>
      </c>
      <c r="S149" s="16" t="s">
        <v>6597</v>
      </c>
      <c r="T149" s="16">
        <v>8500000</v>
      </c>
      <c r="U149" s="14" t="s">
        <v>109</v>
      </c>
      <c r="V149" s="13">
        <v>4</v>
      </c>
      <c r="W149" s="17">
        <v>44055</v>
      </c>
      <c r="X149" s="14" t="s">
        <v>5052</v>
      </c>
      <c r="Y149" s="17">
        <v>43783</v>
      </c>
      <c r="Z149" s="17">
        <v>43613</v>
      </c>
      <c r="AA149" s="14" t="s">
        <v>5947</v>
      </c>
      <c r="AB149" s="14" t="s">
        <v>7345</v>
      </c>
      <c r="AC149" s="14" t="s">
        <v>7346</v>
      </c>
      <c r="AD149" s="20" t="str">
        <f t="shared" si="8"/>
        <v>Vertical Business Intelligence &gt; Industry Specific &gt; Agriculture
Crop Tech &gt; Farm Management Software &gt; Diversified</v>
      </c>
      <c r="AE149" s="20" t="str">
        <f t="shared" si="11"/>
        <v>Vertical Business Intelligence</v>
      </c>
      <c r="AF149" s="20" t="str">
        <f t="shared" si="10"/>
        <v>Industry Specific</v>
      </c>
      <c r="AG149" s="20" t="str">
        <f t="shared" si="10"/>
        <v>Agriculture
Crop Tech</v>
      </c>
      <c r="AH149" s="20" t="str">
        <f t="shared" si="10"/>
        <v>Farm Management Software</v>
      </c>
      <c r="AI149" s="20" t="str">
        <f t="shared" si="10"/>
        <v>Diversified</v>
      </c>
      <c r="AJ149" s="20" t="str">
        <f t="shared" si="10"/>
        <v/>
      </c>
      <c r="AK149" s="20" t="str">
        <f t="shared" si="10"/>
        <v/>
      </c>
      <c r="AL149" s="14" t="s">
        <v>7347</v>
      </c>
      <c r="AM149" s="14"/>
      <c r="AO149" s="14"/>
      <c r="AP149" s="14" t="s">
        <v>4343</v>
      </c>
      <c r="AQ149" s="14"/>
      <c r="AR149" s="14"/>
      <c r="AS149" s="14" t="s">
        <v>7349</v>
      </c>
      <c r="AT149" s="14"/>
      <c r="AU149" s="14" t="s">
        <v>7350</v>
      </c>
      <c r="AV149" s="18"/>
      <c r="AW149" s="16"/>
      <c r="AX149" s="17"/>
      <c r="AY149" s="15" t="s">
        <v>3123</v>
      </c>
      <c r="AZ149" s="17"/>
      <c r="BA149" s="16"/>
      <c r="BB149" s="14"/>
      <c r="BC149" s="14"/>
      <c r="BD149" s="15" t="s">
        <v>3123</v>
      </c>
      <c r="BE149" s="14"/>
      <c r="BF149" s="17"/>
      <c r="BG149" s="16"/>
      <c r="BH149" s="14"/>
      <c r="BI149" s="15" t="s">
        <v>3123</v>
      </c>
      <c r="BJ149" s="14"/>
      <c r="BK149" s="17"/>
      <c r="BL149" s="16"/>
      <c r="BM149" s="16"/>
      <c r="BN149" s="16"/>
      <c r="BO149" s="16"/>
      <c r="BP149" s="15" t="s">
        <v>3123</v>
      </c>
      <c r="BQ149" s="17"/>
      <c r="BR149" s="14" t="s">
        <v>3082</v>
      </c>
      <c r="BS149" s="14"/>
      <c r="BT149" s="16"/>
      <c r="BU149" s="16"/>
      <c r="BV149" s="13"/>
      <c r="BW149" s="18" t="s">
        <v>7351</v>
      </c>
      <c r="BX149" s="13">
        <v>200</v>
      </c>
      <c r="BY149" s="17">
        <v>44125</v>
      </c>
      <c r="BZ149" s="18" t="s">
        <v>7352</v>
      </c>
      <c r="CA149" s="18"/>
      <c r="CB149" s="18"/>
      <c r="CC149" s="18"/>
      <c r="CD149" s="14" t="s">
        <v>7353</v>
      </c>
      <c r="CE149" s="17">
        <v>42929</v>
      </c>
      <c r="CF149" s="16"/>
      <c r="CG149" s="17"/>
      <c r="CH149" s="16"/>
      <c r="CI149" s="17"/>
      <c r="CJ149" s="16"/>
      <c r="CK149" s="17"/>
      <c r="CL149" s="16"/>
      <c r="CM149" s="17"/>
      <c r="CN149" s="19">
        <v>44.166848499883116</v>
      </c>
      <c r="CO149" s="19"/>
      <c r="CP149" s="17"/>
      <c r="CQ149" s="14" t="s">
        <v>7284</v>
      </c>
      <c r="CR149" s="14" t="s">
        <v>6002</v>
      </c>
      <c r="CS149" s="14" t="s">
        <v>5945</v>
      </c>
    </row>
    <row r="150" spans="1:97" ht="26.15" customHeight="1">
      <c r="A150" s="2">
        <v>249</v>
      </c>
      <c r="B150" s="25" t="s">
        <v>217</v>
      </c>
      <c r="C150" s="25" t="e">
        <f>VLOOKUP(B150, Sheet6!$A$1:$B$77, 2, FALSE)</f>
        <v>#N/A</v>
      </c>
      <c r="D150" s="25" t="s">
        <v>218</v>
      </c>
      <c r="E150" s="25" t="s">
        <v>221</v>
      </c>
      <c r="F150" s="25" t="s">
        <v>8133</v>
      </c>
      <c r="G150" s="25" t="s">
        <v>10955</v>
      </c>
      <c r="H150" s="25" t="s">
        <v>10967</v>
      </c>
      <c r="I150" s="25" t="s">
        <v>10558</v>
      </c>
      <c r="J150" s="25" t="s">
        <v>10718</v>
      </c>
      <c r="L150" s="13">
        <v>2014</v>
      </c>
      <c r="M150" s="14" t="s">
        <v>5389</v>
      </c>
      <c r="N150" s="14" t="s">
        <v>5390</v>
      </c>
      <c r="O150" s="14" t="s">
        <v>5391</v>
      </c>
      <c r="P150" s="15" t="s">
        <v>3117</v>
      </c>
      <c r="Q150" s="16">
        <v>220000</v>
      </c>
      <c r="R150" s="17">
        <v>44138</v>
      </c>
      <c r="S150" s="16" t="s">
        <v>7354</v>
      </c>
      <c r="T150" s="16">
        <v>220000</v>
      </c>
      <c r="U150" s="14" t="s">
        <v>34</v>
      </c>
      <c r="V150" s="13">
        <v>3</v>
      </c>
      <c r="W150" s="17">
        <v>44014</v>
      </c>
      <c r="X150" s="14"/>
      <c r="Y150" s="17"/>
      <c r="Z150" s="17"/>
      <c r="AA150" s="14" t="s">
        <v>1</v>
      </c>
      <c r="AB150" s="14" t="s">
        <v>5007</v>
      </c>
      <c r="AC150" s="14" t="s">
        <v>6408</v>
      </c>
      <c r="AD150" s="20" t="str">
        <f t="shared" si="8"/>
        <v>Crop Tech &gt; ECommerce &gt; Diversified &gt; Marketplace</v>
      </c>
      <c r="AE150" s="20" t="str">
        <f t="shared" si="11"/>
        <v>Crop Tech</v>
      </c>
      <c r="AF150" s="20" t="str">
        <f t="shared" si="10"/>
        <v>ECommerce</v>
      </c>
      <c r="AG150" s="20" t="str">
        <f t="shared" si="10"/>
        <v>Diversified</v>
      </c>
      <c r="AH150" s="20" t="str">
        <f t="shared" si="10"/>
        <v>Marketplace</v>
      </c>
      <c r="AI150" s="20" t="str">
        <f t="shared" si="10"/>
        <v/>
      </c>
      <c r="AJ150" s="20" t="str">
        <f t="shared" si="10"/>
        <v/>
      </c>
      <c r="AK150" s="20" t="str">
        <f t="shared" si="10"/>
        <v/>
      </c>
      <c r="AL150" s="14" t="s">
        <v>7355</v>
      </c>
      <c r="AM150" s="14"/>
      <c r="AO150" s="14"/>
      <c r="AP150" s="14" t="s">
        <v>5391</v>
      </c>
      <c r="AQ150" s="14" t="s">
        <v>7357</v>
      </c>
      <c r="AR150" s="14" t="s">
        <v>7358</v>
      </c>
      <c r="AS150" s="14" t="s">
        <v>7359</v>
      </c>
      <c r="AT150" s="14" t="s">
        <v>7360</v>
      </c>
      <c r="AU150" s="14" t="s">
        <v>7361</v>
      </c>
      <c r="AV150" s="18"/>
      <c r="AW150" s="16"/>
      <c r="AX150" s="17"/>
      <c r="AY150" s="15" t="s">
        <v>3123</v>
      </c>
      <c r="AZ150" s="17"/>
      <c r="BA150" s="16"/>
      <c r="BB150" s="14"/>
      <c r="BC150" s="14"/>
      <c r="BD150" s="15" t="s">
        <v>3123</v>
      </c>
      <c r="BE150" s="14"/>
      <c r="BF150" s="17"/>
      <c r="BG150" s="16"/>
      <c r="BH150" s="14"/>
      <c r="BI150" s="15" t="s">
        <v>3123</v>
      </c>
      <c r="BJ150" s="14"/>
      <c r="BK150" s="17"/>
      <c r="BL150" s="16"/>
      <c r="BM150" s="16"/>
      <c r="BN150" s="16"/>
      <c r="BO150" s="16"/>
      <c r="BP150" s="15" t="s">
        <v>3123</v>
      </c>
      <c r="BQ150" s="17"/>
      <c r="BR150" s="14"/>
      <c r="BS150" s="14"/>
      <c r="BT150" s="16"/>
      <c r="BU150" s="16"/>
      <c r="BV150" s="13"/>
      <c r="BW150" s="18" t="s">
        <v>7362</v>
      </c>
      <c r="BX150" s="13">
        <v>200</v>
      </c>
      <c r="BY150" s="17">
        <v>44125</v>
      </c>
      <c r="BZ150" s="18" t="s">
        <v>7363</v>
      </c>
      <c r="CA150" s="18" t="s">
        <v>7364</v>
      </c>
      <c r="CB150" s="18" t="s">
        <v>7365</v>
      </c>
      <c r="CC150" s="18" t="s">
        <v>7366</v>
      </c>
      <c r="CD150" s="14" t="s">
        <v>7367</v>
      </c>
      <c r="CE150" s="17">
        <v>44014</v>
      </c>
      <c r="CF150" s="16"/>
      <c r="CG150" s="17"/>
      <c r="CH150" s="16"/>
      <c r="CI150" s="17"/>
      <c r="CJ150" s="16"/>
      <c r="CK150" s="17"/>
      <c r="CL150" s="16"/>
      <c r="CM150" s="17"/>
      <c r="CN150" s="19">
        <v>38.6922915769605</v>
      </c>
      <c r="CO150" s="19"/>
      <c r="CP150" s="17"/>
      <c r="CQ150" s="14" t="s">
        <v>6902</v>
      </c>
      <c r="CR150" s="14" t="s">
        <v>6903</v>
      </c>
      <c r="CS150" s="14" t="s">
        <v>5004</v>
      </c>
    </row>
    <row r="151" spans="1:97" ht="26.15" customHeight="1">
      <c r="A151" s="2">
        <v>125</v>
      </c>
      <c r="B151" s="25" t="s">
        <v>2078</v>
      </c>
      <c r="C151" s="25" t="e">
        <f>VLOOKUP(B151, Sheet6!$A$1:$B$77, 2, FALSE)</f>
        <v>#N/A</v>
      </c>
      <c r="D151" s="25" t="s">
        <v>2079</v>
      </c>
      <c r="E151" s="25" t="s">
        <v>2080</v>
      </c>
      <c r="F151" s="25" t="s">
        <v>6635</v>
      </c>
      <c r="G151" s="25" t="s">
        <v>10955</v>
      </c>
      <c r="H151" s="25" t="s">
        <v>10959</v>
      </c>
      <c r="I151" s="25" t="s">
        <v>10958</v>
      </c>
      <c r="J151" s="26" t="s">
        <v>10813</v>
      </c>
      <c r="L151" s="13">
        <v>2015</v>
      </c>
      <c r="M151" s="14" t="s">
        <v>7378</v>
      </c>
      <c r="N151" s="14" t="s">
        <v>7379</v>
      </c>
      <c r="O151" s="14" t="s">
        <v>3468</v>
      </c>
      <c r="P151" s="15" t="s">
        <v>3117</v>
      </c>
      <c r="Q151" s="16">
        <v>170000</v>
      </c>
      <c r="R151" s="17">
        <v>42887</v>
      </c>
      <c r="S151" s="16" t="s">
        <v>7149</v>
      </c>
      <c r="T151" s="16">
        <v>120000</v>
      </c>
      <c r="U151" s="14" t="s">
        <v>34</v>
      </c>
      <c r="V151" s="13">
        <v>4</v>
      </c>
      <c r="W151" s="17">
        <v>44057</v>
      </c>
      <c r="X151" s="14"/>
      <c r="Y151" s="17"/>
      <c r="Z151" s="17"/>
      <c r="AA151" s="14" t="s">
        <v>7380</v>
      </c>
      <c r="AB151" s="14" t="s">
        <v>7381</v>
      </c>
      <c r="AC151" s="14" t="s">
        <v>7382</v>
      </c>
      <c r="AD151" s="20" t="str">
        <f t="shared" si="8"/>
        <v>Wearable Technology &gt; Pet Wearables &gt; Cattle Monitoring
IoT Applications &gt; Industry Specific &gt; Agriculture &gt; Livestock
Pet Tech &gt; Pet Care Management &gt; Health Monitoring &gt; Cats and Dogs &gt; Wearable
Livestock Tech &gt; Tracking &gt; GPS Collars &gt; Cattle
Y Combinator Batches &gt; 2017 &gt; Winter</v>
      </c>
      <c r="AE151" s="20" t="str">
        <f t="shared" si="11"/>
        <v>Wearable Technology</v>
      </c>
      <c r="AF151" s="20" t="str">
        <f t="shared" si="10"/>
        <v>Pet Wearables</v>
      </c>
      <c r="AG151" s="20" t="str">
        <f t="shared" si="10"/>
        <v>Cattle Monitoring
IoT Applications</v>
      </c>
      <c r="AH151" s="20" t="str">
        <f t="shared" si="10"/>
        <v>Industry Specific</v>
      </c>
      <c r="AI151" s="20" t="str">
        <f t="shared" si="10"/>
        <v>Agriculture</v>
      </c>
      <c r="AJ151" s="20" t="str">
        <f t="shared" si="10"/>
        <v>Livestock
Pet Tech</v>
      </c>
      <c r="AK151" s="20" t="str">
        <f t="shared" si="10"/>
        <v>Pet Care Management</v>
      </c>
      <c r="AL151" s="14" t="s">
        <v>7383</v>
      </c>
      <c r="AM151" s="14"/>
      <c r="AO151" s="14"/>
      <c r="AP151" s="14" t="s">
        <v>3468</v>
      </c>
      <c r="AQ151" s="14" t="s">
        <v>7385</v>
      </c>
      <c r="AR151" s="14"/>
      <c r="AS151" s="14" t="s">
        <v>7386</v>
      </c>
      <c r="AT151" s="14" t="s">
        <v>7387</v>
      </c>
      <c r="AU151" s="14" t="s">
        <v>7388</v>
      </c>
      <c r="AV151" s="18"/>
      <c r="AW151" s="16"/>
      <c r="AX151" s="17"/>
      <c r="AY151" s="15" t="s">
        <v>3123</v>
      </c>
      <c r="AZ151" s="17"/>
      <c r="BA151" s="16"/>
      <c r="BB151" s="14"/>
      <c r="BC151" s="14"/>
      <c r="BD151" s="15" t="s">
        <v>3123</v>
      </c>
      <c r="BE151" s="14"/>
      <c r="BF151" s="17"/>
      <c r="BG151" s="16"/>
      <c r="BH151" s="14"/>
      <c r="BI151" s="15" t="s">
        <v>3123</v>
      </c>
      <c r="BJ151" s="14"/>
      <c r="BK151" s="17"/>
      <c r="BL151" s="16"/>
      <c r="BM151" s="16"/>
      <c r="BN151" s="16"/>
      <c r="BO151" s="16"/>
      <c r="BP151" s="15" t="s">
        <v>3123</v>
      </c>
      <c r="BQ151" s="17"/>
      <c r="BR151" s="14"/>
      <c r="BS151" s="14"/>
      <c r="BT151" s="16"/>
      <c r="BU151" s="16"/>
      <c r="BV151" s="13"/>
      <c r="BW151" s="18" t="s">
        <v>7389</v>
      </c>
      <c r="BX151" s="13">
        <v>200</v>
      </c>
      <c r="BY151" s="17">
        <v>44125</v>
      </c>
      <c r="BZ151" s="18" t="s">
        <v>7390</v>
      </c>
      <c r="CA151" s="18" t="s">
        <v>7391</v>
      </c>
      <c r="CB151" s="18" t="s">
        <v>7392</v>
      </c>
      <c r="CC151" s="18"/>
      <c r="CD151" s="14" t="s">
        <v>7393</v>
      </c>
      <c r="CE151" s="17">
        <v>42888</v>
      </c>
      <c r="CF151" s="16"/>
      <c r="CG151" s="17"/>
      <c r="CH151" s="16"/>
      <c r="CI151" s="17"/>
      <c r="CJ151" s="16"/>
      <c r="CK151" s="17"/>
      <c r="CL151" s="16"/>
      <c r="CM151" s="17"/>
      <c r="CN151" s="19">
        <v>42.539428447828634</v>
      </c>
      <c r="CO151" s="19"/>
      <c r="CP151" s="17"/>
      <c r="CQ151" s="14" t="s">
        <v>5036</v>
      </c>
      <c r="CR151" s="14" t="s">
        <v>5962</v>
      </c>
      <c r="CS151" s="14" t="s">
        <v>5945</v>
      </c>
    </row>
    <row r="152" spans="1:97" ht="26.15" customHeight="1">
      <c r="A152" s="2">
        <v>215</v>
      </c>
      <c r="B152" s="25" t="s">
        <v>1131</v>
      </c>
      <c r="C152" s="25" t="e">
        <f>VLOOKUP(B152, Sheet6!$A$1:$B$77, 2, FALSE)</f>
        <v>#N/A</v>
      </c>
      <c r="D152" s="25" t="s">
        <v>1132</v>
      </c>
      <c r="E152" s="25" t="s">
        <v>1135</v>
      </c>
      <c r="F152" s="25" t="s">
        <v>7716</v>
      </c>
      <c r="G152" s="25" t="s">
        <v>10954</v>
      </c>
      <c r="H152" s="25" t="s">
        <v>10959</v>
      </c>
      <c r="I152" s="25" t="s">
        <v>10958</v>
      </c>
      <c r="J152" s="26" t="s">
        <v>10794</v>
      </c>
      <c r="L152" s="13">
        <v>2013</v>
      </c>
      <c r="M152" s="14" t="s">
        <v>5038</v>
      </c>
      <c r="N152" s="14" t="s">
        <v>5039</v>
      </c>
      <c r="O152" s="14" t="s">
        <v>3994</v>
      </c>
      <c r="P152" s="15" t="s">
        <v>3117</v>
      </c>
      <c r="Q152" s="16">
        <v>5345286</v>
      </c>
      <c r="R152" s="17">
        <v>44019</v>
      </c>
      <c r="S152" s="16" t="s">
        <v>5022</v>
      </c>
      <c r="T152" s="16">
        <v>2000000</v>
      </c>
      <c r="U152" s="14" t="s">
        <v>34</v>
      </c>
      <c r="V152" s="13">
        <v>4</v>
      </c>
      <c r="W152" s="17">
        <v>44022</v>
      </c>
      <c r="X152" s="14" t="s">
        <v>5052</v>
      </c>
      <c r="Y152" s="17">
        <v>43537</v>
      </c>
      <c r="Z152" s="17">
        <v>43525</v>
      </c>
      <c r="AA152" s="14" t="s">
        <v>1</v>
      </c>
      <c r="AB152" s="14" t="s">
        <v>5007</v>
      </c>
      <c r="AC152" s="14" t="s">
        <v>5192</v>
      </c>
      <c r="AD152" s="20" t="str">
        <f t="shared" si="8"/>
        <v>Crop Tech &gt; Farm Management Software &gt; Diversified</v>
      </c>
      <c r="AE152" s="20" t="str">
        <f t="shared" si="11"/>
        <v>Crop Tech</v>
      </c>
      <c r="AF152" s="20" t="str">
        <f t="shared" si="10"/>
        <v>Farm Management Software</v>
      </c>
      <c r="AG152" s="20" t="str">
        <f t="shared" si="10"/>
        <v>Diversified</v>
      </c>
      <c r="AH152" s="20" t="str">
        <f t="shared" si="10"/>
        <v/>
      </c>
      <c r="AI152" s="20" t="str">
        <f t="shared" si="10"/>
        <v/>
      </c>
      <c r="AJ152" s="20" t="str">
        <f t="shared" si="10"/>
        <v/>
      </c>
      <c r="AK152" s="20" t="str">
        <f t="shared" si="10"/>
        <v/>
      </c>
      <c r="AL152" s="14" t="s">
        <v>7394</v>
      </c>
      <c r="AM152" s="14" t="s">
        <v>7395</v>
      </c>
      <c r="AO152" s="14"/>
      <c r="AP152" s="14" t="s">
        <v>3994</v>
      </c>
      <c r="AQ152" s="14" t="s">
        <v>7397</v>
      </c>
      <c r="AR152" s="14" t="s">
        <v>7398</v>
      </c>
      <c r="AS152" s="14" t="s">
        <v>7399</v>
      </c>
      <c r="AT152" s="14" t="s">
        <v>7400</v>
      </c>
      <c r="AU152" s="14" t="s">
        <v>7401</v>
      </c>
      <c r="AV152" s="18"/>
      <c r="AW152" s="16">
        <v>244200</v>
      </c>
      <c r="AX152" s="17">
        <v>43465</v>
      </c>
      <c r="AY152" s="15" t="s">
        <v>3117</v>
      </c>
      <c r="AZ152" s="17">
        <v>41597</v>
      </c>
      <c r="BA152" s="16">
        <v>1599</v>
      </c>
      <c r="BB152" s="14" t="s">
        <v>7402</v>
      </c>
      <c r="BC152" s="14"/>
      <c r="BD152" s="15" t="s">
        <v>3123</v>
      </c>
      <c r="BE152" s="14"/>
      <c r="BF152" s="17"/>
      <c r="BG152" s="16"/>
      <c r="BH152" s="14"/>
      <c r="BI152" s="15" t="s">
        <v>3123</v>
      </c>
      <c r="BJ152" s="14"/>
      <c r="BK152" s="17"/>
      <c r="BL152" s="16"/>
      <c r="BM152" s="16"/>
      <c r="BN152" s="16"/>
      <c r="BO152" s="16"/>
      <c r="BP152" s="15" t="s">
        <v>3123</v>
      </c>
      <c r="BQ152" s="17"/>
      <c r="BR152" s="14"/>
      <c r="BS152" s="14"/>
      <c r="BT152" s="16"/>
      <c r="BU152" s="16"/>
      <c r="BV152" s="13"/>
      <c r="BW152" s="18" t="s">
        <v>7403</v>
      </c>
      <c r="BX152" s="13">
        <v>200</v>
      </c>
      <c r="BY152" s="17">
        <v>44125</v>
      </c>
      <c r="BZ152" s="18" t="s">
        <v>7404</v>
      </c>
      <c r="CA152" s="18" t="s">
        <v>7405</v>
      </c>
      <c r="CB152" s="18" t="s">
        <v>7406</v>
      </c>
      <c r="CC152" s="18" t="s">
        <v>7407</v>
      </c>
      <c r="CD152" s="14" t="s">
        <v>7408</v>
      </c>
      <c r="CE152" s="17">
        <v>43019</v>
      </c>
      <c r="CF152" s="16">
        <v>-739100</v>
      </c>
      <c r="CG152" s="17">
        <v>43465</v>
      </c>
      <c r="CH152" s="16">
        <v>-662800</v>
      </c>
      <c r="CI152" s="17">
        <v>43465</v>
      </c>
      <c r="CJ152" s="16">
        <v>11999320.973009994</v>
      </c>
      <c r="CK152" s="17">
        <v>44019</v>
      </c>
      <c r="CL152" s="16">
        <v>115</v>
      </c>
      <c r="CM152" s="17">
        <v>43921</v>
      </c>
      <c r="CN152" s="19">
        <v>47.561983158256794</v>
      </c>
      <c r="CO152" s="19"/>
      <c r="CP152" s="17"/>
      <c r="CQ152" s="14" t="s">
        <v>7409</v>
      </c>
      <c r="CR152" s="14" t="s">
        <v>7272</v>
      </c>
      <c r="CS152" s="14" t="s">
        <v>7194</v>
      </c>
    </row>
    <row r="153" spans="1:97" ht="26.15" customHeight="1">
      <c r="A153" s="54">
        <v>278</v>
      </c>
      <c r="B153" s="51" t="s">
        <v>1754</v>
      </c>
      <c r="C153" s="25" t="e">
        <f>VLOOKUP(B153, Sheet6!$A$1:$B$77, 2, FALSE)</f>
        <v>#N/A</v>
      </c>
      <c r="D153" s="51" t="s">
        <v>1755</v>
      </c>
      <c r="E153" s="51" t="s">
        <v>1758</v>
      </c>
      <c r="F153" s="51" t="s">
        <v>8532</v>
      </c>
      <c r="G153" s="25">
        <v>0</v>
      </c>
      <c r="H153" s="25">
        <v>0</v>
      </c>
      <c r="I153" s="25">
        <v>0</v>
      </c>
      <c r="J153" s="25">
        <v>0</v>
      </c>
      <c r="L153" s="13">
        <v>2013</v>
      </c>
      <c r="M153" s="14" t="s">
        <v>7410</v>
      </c>
      <c r="N153" s="14" t="s">
        <v>7411</v>
      </c>
      <c r="O153" s="14" t="s">
        <v>7412</v>
      </c>
      <c r="P153" s="15" t="s">
        <v>3117</v>
      </c>
      <c r="Q153" s="16"/>
      <c r="R153" s="17">
        <v>42917</v>
      </c>
      <c r="S153" s="16"/>
      <c r="T153" s="16" t="s">
        <v>50</v>
      </c>
      <c r="U153" s="14" t="s">
        <v>34</v>
      </c>
      <c r="V153" s="13">
        <v>3</v>
      </c>
      <c r="W153" s="17">
        <v>44057</v>
      </c>
      <c r="X153" s="14"/>
      <c r="Y153" s="17"/>
      <c r="Z153" s="17"/>
      <c r="AA153" s="14" t="s">
        <v>5041</v>
      </c>
      <c r="AB153" s="14" t="s">
        <v>5042</v>
      </c>
      <c r="AC153" s="14" t="s">
        <v>7413</v>
      </c>
      <c r="AD153" s="20" t="str">
        <f t="shared" si="8"/>
        <v>IoT Applications &gt; Industry Specific &gt; Agriculture &gt; Farms
Crop Tech &gt; Farm Management Software &gt; Diversified</v>
      </c>
      <c r="AE153" s="20" t="str">
        <f t="shared" si="11"/>
        <v>IoT Applications</v>
      </c>
      <c r="AF153" s="20" t="str">
        <f t="shared" si="10"/>
        <v>Industry Specific</v>
      </c>
      <c r="AG153" s="20" t="str">
        <f t="shared" si="10"/>
        <v>Agriculture</v>
      </c>
      <c r="AH153" s="20" t="str">
        <f t="shared" si="10"/>
        <v>Farms
Crop Tech</v>
      </c>
      <c r="AI153" s="20" t="str">
        <f t="shared" si="10"/>
        <v>Farm Management Software</v>
      </c>
      <c r="AJ153" s="20" t="str">
        <f t="shared" si="10"/>
        <v>Diversified</v>
      </c>
      <c r="AK153" s="20" t="str">
        <f t="shared" si="10"/>
        <v/>
      </c>
      <c r="AL153" s="14" t="s">
        <v>4328</v>
      </c>
      <c r="AM153" s="14"/>
      <c r="AO153" s="14"/>
      <c r="AP153" s="14" t="s">
        <v>5508</v>
      </c>
      <c r="AQ153" s="14" t="s">
        <v>7415</v>
      </c>
      <c r="AR153" s="14" t="s">
        <v>7416</v>
      </c>
      <c r="AS153" s="14" t="s">
        <v>7417</v>
      </c>
      <c r="AT153" s="14"/>
      <c r="AU153" s="14" t="s">
        <v>7418</v>
      </c>
      <c r="AV153" s="18"/>
      <c r="AW153" s="16"/>
      <c r="AX153" s="17"/>
      <c r="AY153" s="15" t="s">
        <v>3123</v>
      </c>
      <c r="AZ153" s="17"/>
      <c r="BA153" s="16"/>
      <c r="BB153" s="14"/>
      <c r="BC153" s="14"/>
      <c r="BD153" s="15" t="s">
        <v>3123</v>
      </c>
      <c r="BE153" s="14"/>
      <c r="BF153" s="17"/>
      <c r="BG153" s="16"/>
      <c r="BH153" s="14"/>
      <c r="BI153" s="15" t="s">
        <v>3123</v>
      </c>
      <c r="BJ153" s="14"/>
      <c r="BK153" s="17"/>
      <c r="BL153" s="16"/>
      <c r="BM153" s="16"/>
      <c r="BN153" s="16"/>
      <c r="BO153" s="16"/>
      <c r="BP153" s="15" t="s">
        <v>3123</v>
      </c>
      <c r="BQ153" s="17"/>
      <c r="BR153" s="14"/>
      <c r="BS153" s="14"/>
      <c r="BT153" s="16"/>
      <c r="BU153" s="16"/>
      <c r="BV153" s="13"/>
      <c r="BW153" s="18" t="s">
        <v>7419</v>
      </c>
      <c r="BX153" s="13">
        <v>200</v>
      </c>
      <c r="BY153" s="17">
        <v>44125</v>
      </c>
      <c r="BZ153" s="18" t="s">
        <v>7420</v>
      </c>
      <c r="CA153" s="18" t="s">
        <v>7421</v>
      </c>
      <c r="CB153" s="18"/>
      <c r="CC153" s="18"/>
      <c r="CD153" s="14" t="s">
        <v>7422</v>
      </c>
      <c r="CE153" s="17">
        <v>43311</v>
      </c>
      <c r="CF153" s="16"/>
      <c r="CG153" s="17"/>
      <c r="CH153" s="16"/>
      <c r="CI153" s="17"/>
      <c r="CJ153" s="16"/>
      <c r="CK153" s="17"/>
      <c r="CL153" s="16"/>
      <c r="CM153" s="17"/>
      <c r="CN153" s="19">
        <v>25.578092587371085</v>
      </c>
      <c r="CO153" s="19"/>
      <c r="CP153" s="17"/>
      <c r="CQ153" s="14" t="s">
        <v>5104</v>
      </c>
      <c r="CR153" s="14" t="s">
        <v>6266</v>
      </c>
      <c r="CS153" s="14" t="s">
        <v>5620</v>
      </c>
    </row>
    <row r="154" spans="1:97" ht="26.15" customHeight="1">
      <c r="A154" s="2">
        <v>110</v>
      </c>
      <c r="B154" s="25" t="s">
        <v>1483</v>
      </c>
      <c r="C154" s="25" t="e">
        <f>VLOOKUP(B154, Sheet6!$A$1:$B$77, 2, FALSE)</f>
        <v>#N/A</v>
      </c>
      <c r="D154" s="25" t="s">
        <v>1484</v>
      </c>
      <c r="E154" s="25" t="s">
        <v>1488</v>
      </c>
      <c r="F154" s="25" t="s">
        <v>6440</v>
      </c>
      <c r="G154" s="25" t="s">
        <v>10955</v>
      </c>
      <c r="H154" s="25" t="s">
        <v>10959</v>
      </c>
      <c r="I154" s="25" t="s">
        <v>10958</v>
      </c>
      <c r="J154" s="26" t="s">
        <v>10726</v>
      </c>
      <c r="L154" s="13">
        <v>2014</v>
      </c>
      <c r="M154" s="14" t="s">
        <v>7250</v>
      </c>
      <c r="N154" s="14" t="s">
        <v>6004</v>
      </c>
      <c r="O154" s="14" t="s">
        <v>4343</v>
      </c>
      <c r="P154" s="15" t="s">
        <v>3117</v>
      </c>
      <c r="Q154" s="16">
        <v>5000000</v>
      </c>
      <c r="R154" s="17">
        <v>43937</v>
      </c>
      <c r="S154" s="16" t="s">
        <v>5069</v>
      </c>
      <c r="T154" s="16">
        <v>3000000</v>
      </c>
      <c r="U154" s="14" t="s">
        <v>109</v>
      </c>
      <c r="V154" s="13">
        <v>5</v>
      </c>
      <c r="W154" s="17">
        <v>44081</v>
      </c>
      <c r="X154" s="14"/>
      <c r="Y154" s="17"/>
      <c r="Z154" s="17"/>
      <c r="AA154" s="14" t="s">
        <v>4995</v>
      </c>
      <c r="AB154" s="14" t="s">
        <v>7423</v>
      </c>
      <c r="AC154" s="14" t="s">
        <v>7424</v>
      </c>
      <c r="AD154" s="20" t="str">
        <f t="shared" si="8"/>
        <v>Food Tech &gt; Novel Foods &gt; Food Ingredients &gt; Protein
Insect Farming Tech &gt; Insects &gt; Insect based Products &gt; Novel Foods</v>
      </c>
      <c r="AE154" s="20" t="str">
        <f t="shared" si="11"/>
        <v>Food Tech</v>
      </c>
      <c r="AF154" s="20" t="str">
        <f t="shared" si="10"/>
        <v>Novel Foods</v>
      </c>
      <c r="AG154" s="20" t="str">
        <f t="shared" si="10"/>
        <v>Food Ingredients</v>
      </c>
      <c r="AH154" s="20" t="str">
        <f t="shared" si="10"/>
        <v>Protein
Insect Farming Tech</v>
      </c>
      <c r="AI154" s="20" t="str">
        <f t="shared" si="10"/>
        <v>Insects</v>
      </c>
      <c r="AJ154" s="20" t="str">
        <f t="shared" si="10"/>
        <v>Insect based Products</v>
      </c>
      <c r="AK154" s="20" t="str">
        <f t="shared" si="10"/>
        <v>Novel Foods</v>
      </c>
      <c r="AL154" s="14" t="s">
        <v>7425</v>
      </c>
      <c r="AM154" s="14"/>
      <c r="AO154" s="14"/>
      <c r="AP154" s="14" t="s">
        <v>4343</v>
      </c>
      <c r="AQ154" s="14"/>
      <c r="AR154" s="14"/>
      <c r="AS154" s="14" t="s">
        <v>7427</v>
      </c>
      <c r="AT154" s="14" t="s">
        <v>7428</v>
      </c>
      <c r="AU154" s="14" t="s">
        <v>7429</v>
      </c>
      <c r="AV154" s="18" t="s">
        <v>7430</v>
      </c>
      <c r="AW154" s="16"/>
      <c r="AX154" s="17"/>
      <c r="AY154" s="15" t="s">
        <v>3123</v>
      </c>
      <c r="AZ154" s="17"/>
      <c r="BA154" s="16"/>
      <c r="BB154" s="14"/>
      <c r="BC154" s="14"/>
      <c r="BD154" s="15" t="s">
        <v>3123</v>
      </c>
      <c r="BE154" s="14"/>
      <c r="BF154" s="17"/>
      <c r="BG154" s="16"/>
      <c r="BH154" s="14"/>
      <c r="BI154" s="15" t="s">
        <v>3123</v>
      </c>
      <c r="BJ154" s="14"/>
      <c r="BK154" s="17"/>
      <c r="BL154" s="16"/>
      <c r="BM154" s="16"/>
      <c r="BN154" s="16"/>
      <c r="BO154" s="16"/>
      <c r="BP154" s="15" t="s">
        <v>3123</v>
      </c>
      <c r="BQ154" s="17"/>
      <c r="BR154" s="14"/>
      <c r="BS154" s="14"/>
      <c r="BT154" s="16"/>
      <c r="BU154" s="16"/>
      <c r="BV154" s="13"/>
      <c r="BW154" s="18" t="s">
        <v>7431</v>
      </c>
      <c r="BX154" s="13">
        <v>200</v>
      </c>
      <c r="BY154" s="17">
        <v>44125</v>
      </c>
      <c r="BZ154" s="18" t="s">
        <v>7432</v>
      </c>
      <c r="CA154" s="18" t="s">
        <v>7433</v>
      </c>
      <c r="CB154" s="18"/>
      <c r="CC154" s="18"/>
      <c r="CD154" s="14" t="s">
        <v>7434</v>
      </c>
      <c r="CE154" s="17">
        <v>42936</v>
      </c>
      <c r="CF154" s="16"/>
      <c r="CG154" s="17"/>
      <c r="CH154" s="16"/>
      <c r="CI154" s="17"/>
      <c r="CJ154" s="16"/>
      <c r="CK154" s="17"/>
      <c r="CL154" s="16"/>
      <c r="CM154" s="17"/>
      <c r="CN154" s="19">
        <v>53.078719283078989</v>
      </c>
      <c r="CO154" s="19"/>
      <c r="CP154" s="17"/>
      <c r="CQ154" s="14" t="s">
        <v>5104</v>
      </c>
      <c r="CR154" s="14" t="s">
        <v>5962</v>
      </c>
      <c r="CS154" s="14" t="s">
        <v>5945</v>
      </c>
    </row>
    <row r="155" spans="1:97" ht="26.15" customHeight="1">
      <c r="A155" s="2">
        <v>536</v>
      </c>
      <c r="B155" s="25" t="s">
        <v>2918</v>
      </c>
      <c r="C155" s="25" t="e">
        <f>VLOOKUP(B155, Sheet6!$A$1:$B$77, 2, FALSE)</f>
        <v>#N/A</v>
      </c>
      <c r="D155" s="25" t="s">
        <v>2919</v>
      </c>
      <c r="E155" s="25" t="s">
        <v>2921</v>
      </c>
      <c r="F155" s="25" t="s">
        <v>10305</v>
      </c>
      <c r="G155" s="25" t="s">
        <v>10955</v>
      </c>
      <c r="H155" s="25" t="s">
        <v>10967</v>
      </c>
      <c r="I155" s="25" t="s">
        <v>10558</v>
      </c>
      <c r="J155" s="25" t="s">
        <v>10715</v>
      </c>
      <c r="L155" s="13">
        <v>2016</v>
      </c>
      <c r="M155" s="14" t="s">
        <v>5050</v>
      </c>
      <c r="N155" s="14" t="s">
        <v>5050</v>
      </c>
      <c r="O155" s="14" t="s">
        <v>4343</v>
      </c>
      <c r="P155" s="15" t="s">
        <v>3117</v>
      </c>
      <c r="Q155" s="16"/>
      <c r="R155" s="17">
        <v>43165</v>
      </c>
      <c r="S155" s="16" t="s">
        <v>7435</v>
      </c>
      <c r="T155" s="16">
        <v>123762</v>
      </c>
      <c r="U155" s="14" t="s">
        <v>34</v>
      </c>
      <c r="V155" s="13">
        <v>4</v>
      </c>
      <c r="W155" s="17">
        <v>43993</v>
      </c>
      <c r="X155" s="14"/>
      <c r="Y155" s="17"/>
      <c r="Z155" s="17"/>
      <c r="AA155" s="14" t="s">
        <v>7436</v>
      </c>
      <c r="AB155" s="14" t="s">
        <v>7437</v>
      </c>
      <c r="AC155" s="14" t="s">
        <v>7438</v>
      </c>
      <c r="AD155" s="20" t="str">
        <f t="shared" si="8"/>
        <v>Drones &gt; Services &gt; Precision Agriculture &gt; Swarm Drones
Crop Tech &gt; Autonomous Farming &gt; Pest Control &gt; Drones
MassChallenge Batches &gt; Israel &gt; 2016</v>
      </c>
      <c r="AE155" s="20" t="str">
        <f t="shared" si="11"/>
        <v>Drones</v>
      </c>
      <c r="AF155" s="20" t="str">
        <f t="shared" si="10"/>
        <v>Services</v>
      </c>
      <c r="AG155" s="20" t="str">
        <f t="shared" si="10"/>
        <v>Precision Agriculture</v>
      </c>
      <c r="AH155" s="20" t="str">
        <f t="shared" si="10"/>
        <v>Swarm Drones
Crop Tech</v>
      </c>
      <c r="AI155" s="20" t="str">
        <f t="shared" si="10"/>
        <v>Autonomous Farming</v>
      </c>
      <c r="AJ155" s="20" t="str">
        <f t="shared" si="10"/>
        <v>Pest Control</v>
      </c>
      <c r="AK155" s="20" t="str">
        <f t="shared" si="10"/>
        <v>Drones
MassChallenge Batches</v>
      </c>
      <c r="AL155" s="14" t="s">
        <v>7439</v>
      </c>
      <c r="AM155" s="14"/>
      <c r="AO155" s="14"/>
      <c r="AP155" s="14" t="s">
        <v>4343</v>
      </c>
      <c r="AQ155" s="14"/>
      <c r="AR155" s="14"/>
      <c r="AS155" s="14" t="s">
        <v>7441</v>
      </c>
      <c r="AT155" s="14" t="s">
        <v>7442</v>
      </c>
      <c r="AU155" s="14" t="s">
        <v>7443</v>
      </c>
      <c r="AV155" s="18"/>
      <c r="AW155" s="16"/>
      <c r="AX155" s="17"/>
      <c r="AY155" s="15" t="s">
        <v>3123</v>
      </c>
      <c r="AZ155" s="17"/>
      <c r="BA155" s="16"/>
      <c r="BB155" s="14"/>
      <c r="BC155" s="14"/>
      <c r="BD155" s="15" t="s">
        <v>3123</v>
      </c>
      <c r="BE155" s="14"/>
      <c r="BF155" s="17"/>
      <c r="BG155" s="16"/>
      <c r="BH155" s="14"/>
      <c r="BI155" s="15" t="s">
        <v>3123</v>
      </c>
      <c r="BJ155" s="14"/>
      <c r="BK155" s="17"/>
      <c r="BL155" s="16"/>
      <c r="BM155" s="16"/>
      <c r="BN155" s="16"/>
      <c r="BO155" s="16"/>
      <c r="BP155" s="15" t="s">
        <v>3123</v>
      </c>
      <c r="BQ155" s="17"/>
      <c r="BR155" s="14"/>
      <c r="BS155" s="14"/>
      <c r="BT155" s="16"/>
      <c r="BU155" s="16"/>
      <c r="BV155" s="13"/>
      <c r="BW155" s="18" t="s">
        <v>7444</v>
      </c>
      <c r="BX155" s="13">
        <v>200</v>
      </c>
      <c r="BY155" s="17">
        <v>44124</v>
      </c>
      <c r="BZ155" s="18"/>
      <c r="CA155" s="18"/>
      <c r="CB155" s="18"/>
      <c r="CC155" s="18"/>
      <c r="CD155" s="14" t="s">
        <v>7445</v>
      </c>
      <c r="CE155" s="17">
        <v>42930</v>
      </c>
      <c r="CF155" s="16"/>
      <c r="CG155" s="17"/>
      <c r="CH155" s="16"/>
      <c r="CI155" s="17"/>
      <c r="CJ155" s="16"/>
      <c r="CK155" s="17"/>
      <c r="CL155" s="16"/>
      <c r="CM155" s="17"/>
      <c r="CN155" s="19">
        <v>36.41318209722305</v>
      </c>
      <c r="CO155" s="19"/>
      <c r="CP155" s="17"/>
      <c r="CQ155" s="14" t="s">
        <v>7259</v>
      </c>
      <c r="CR155" s="14" t="s">
        <v>5962</v>
      </c>
      <c r="CS155" s="14" t="s">
        <v>6074</v>
      </c>
    </row>
    <row r="156" spans="1:97" ht="26.15" customHeight="1">
      <c r="A156" s="2">
        <v>22</v>
      </c>
      <c r="B156" s="25" t="s">
        <v>281</v>
      </c>
      <c r="C156" s="25" t="e">
        <f>VLOOKUP(B156, Sheet6!$A$1:$B$77, 2, FALSE)</f>
        <v>#N/A</v>
      </c>
      <c r="D156" s="25" t="s">
        <v>282</v>
      </c>
      <c r="E156" s="25" t="s">
        <v>287</v>
      </c>
      <c r="F156" s="25" t="s">
        <v>5299</v>
      </c>
      <c r="G156" s="25" t="s">
        <v>10952</v>
      </c>
      <c r="H156" s="25" t="s">
        <v>10959</v>
      </c>
      <c r="I156" s="25" t="s">
        <v>10958</v>
      </c>
      <c r="J156" s="26" t="s">
        <v>10780</v>
      </c>
      <c r="L156" s="13">
        <v>2016</v>
      </c>
      <c r="M156" s="14" t="s">
        <v>7446</v>
      </c>
      <c r="N156" s="14" t="s">
        <v>6004</v>
      </c>
      <c r="O156" s="14" t="s">
        <v>4343</v>
      </c>
      <c r="P156" s="15" t="s">
        <v>3117</v>
      </c>
      <c r="Q156" s="16">
        <v>31500000</v>
      </c>
      <c r="R156" s="17">
        <v>44131</v>
      </c>
      <c r="S156" s="16" t="s">
        <v>6740</v>
      </c>
      <c r="T156" s="16">
        <v>20000000</v>
      </c>
      <c r="U156" s="14" t="s">
        <v>25</v>
      </c>
      <c r="V156" s="13">
        <v>4</v>
      </c>
      <c r="W156" s="17">
        <v>44056</v>
      </c>
      <c r="X156" s="14"/>
      <c r="Y156" s="17"/>
      <c r="Z156" s="17"/>
      <c r="AA156" s="14" t="s">
        <v>5253</v>
      </c>
      <c r="AB156" s="14" t="s">
        <v>5254</v>
      </c>
      <c r="AC156" s="14" t="s">
        <v>7447</v>
      </c>
      <c r="AD156" s="20" t="str">
        <f t="shared" si="8"/>
        <v>Drones &gt; Civilian Drones &gt; Drone Platform
Crop Tech &gt; Autonomous Farming &gt; Harvesting</v>
      </c>
      <c r="AE156" s="20" t="str">
        <f t="shared" si="11"/>
        <v>Drones</v>
      </c>
      <c r="AF156" s="20" t="str">
        <f t="shared" si="10"/>
        <v>Civilian Drones</v>
      </c>
      <c r="AG156" s="20" t="str">
        <f t="shared" si="10"/>
        <v>Drone Platform
Crop Tech</v>
      </c>
      <c r="AH156" s="20" t="str">
        <f t="shared" si="10"/>
        <v>Autonomous Farming</v>
      </c>
      <c r="AI156" s="20" t="str">
        <f t="shared" si="10"/>
        <v>Harvesting</v>
      </c>
      <c r="AJ156" s="20" t="str">
        <f t="shared" si="10"/>
        <v/>
      </c>
      <c r="AK156" s="20" t="str">
        <f t="shared" si="10"/>
        <v/>
      </c>
      <c r="AL156" s="14" t="s">
        <v>7448</v>
      </c>
      <c r="AM156" s="14" t="s">
        <v>69</v>
      </c>
      <c r="AO156" s="14"/>
      <c r="AP156" s="14" t="s">
        <v>4343</v>
      </c>
      <c r="AQ156" s="14" t="s">
        <v>7450</v>
      </c>
      <c r="AR156" s="14" t="s">
        <v>7451</v>
      </c>
      <c r="AS156" s="14" t="s">
        <v>7452</v>
      </c>
      <c r="AT156" s="14" t="s">
        <v>7453</v>
      </c>
      <c r="AU156" s="14" t="s">
        <v>7454</v>
      </c>
      <c r="AV156" s="18"/>
      <c r="AW156" s="16"/>
      <c r="AX156" s="17"/>
      <c r="AY156" s="15" t="s">
        <v>3123</v>
      </c>
      <c r="AZ156" s="17"/>
      <c r="BA156" s="16"/>
      <c r="BB156" s="14"/>
      <c r="BC156" s="14"/>
      <c r="BD156" s="15" t="s">
        <v>3123</v>
      </c>
      <c r="BE156" s="14"/>
      <c r="BF156" s="17"/>
      <c r="BG156" s="16"/>
      <c r="BH156" s="14"/>
      <c r="BI156" s="15" t="s">
        <v>3123</v>
      </c>
      <c r="BJ156" s="14"/>
      <c r="BK156" s="17"/>
      <c r="BL156" s="16"/>
      <c r="BM156" s="16"/>
      <c r="BN156" s="16"/>
      <c r="BO156" s="16"/>
      <c r="BP156" s="15" t="s">
        <v>3123</v>
      </c>
      <c r="BQ156" s="17"/>
      <c r="BR156" s="14"/>
      <c r="BS156" s="14"/>
      <c r="BT156" s="16"/>
      <c r="BU156" s="16"/>
      <c r="BV156" s="13"/>
      <c r="BW156" s="18" t="s">
        <v>7455</v>
      </c>
      <c r="BX156" s="13">
        <v>200</v>
      </c>
      <c r="BY156" s="17">
        <v>44124</v>
      </c>
      <c r="BZ156" s="18" t="s">
        <v>7456</v>
      </c>
      <c r="CA156" s="18"/>
      <c r="CB156" s="18"/>
      <c r="CC156" s="18"/>
      <c r="CD156" s="14" t="s">
        <v>7457</v>
      </c>
      <c r="CE156" s="17">
        <v>43661</v>
      </c>
      <c r="CF156" s="16"/>
      <c r="CG156" s="17"/>
      <c r="CH156" s="16"/>
      <c r="CI156" s="17"/>
      <c r="CJ156" s="16"/>
      <c r="CK156" s="17"/>
      <c r="CL156" s="16"/>
      <c r="CM156" s="17"/>
      <c r="CN156" s="19">
        <v>48.299975869301534</v>
      </c>
      <c r="CO156" s="19"/>
      <c r="CP156" s="17"/>
      <c r="CQ156" s="14" t="s">
        <v>7458</v>
      </c>
      <c r="CR156" s="14" t="s">
        <v>7459</v>
      </c>
      <c r="CS156" s="14" t="s">
        <v>5004</v>
      </c>
    </row>
    <row r="157" spans="1:97" s="53" customFormat="1" ht="26.15" customHeight="1">
      <c r="A157" s="54">
        <v>194</v>
      </c>
      <c r="B157" s="51" t="s">
        <v>1645</v>
      </c>
      <c r="C157" s="25" t="e">
        <f>VLOOKUP(B157, Sheet6!$A$1:$B$77, 2, FALSE)</f>
        <v>#N/A</v>
      </c>
      <c r="D157" s="51" t="s">
        <v>1646</v>
      </c>
      <c r="E157" s="51" t="s">
        <v>1649</v>
      </c>
      <c r="F157" s="51" t="s">
        <v>7462</v>
      </c>
      <c r="G157" s="25">
        <v>0</v>
      </c>
      <c r="H157" s="25">
        <v>0</v>
      </c>
      <c r="I157" s="25">
        <v>0</v>
      </c>
      <c r="J157" s="25">
        <v>0</v>
      </c>
      <c r="K157" s="256"/>
      <c r="L157" s="57">
        <v>2008</v>
      </c>
      <c r="M157" s="56" t="s">
        <v>6003</v>
      </c>
      <c r="N157" s="56" t="s">
        <v>6004</v>
      </c>
      <c r="O157" s="56" t="s">
        <v>4343</v>
      </c>
      <c r="P157" s="58" t="s">
        <v>3117</v>
      </c>
      <c r="Q157" s="59">
        <v>20810000</v>
      </c>
      <c r="R157" s="60">
        <v>43241</v>
      </c>
      <c r="S157" s="59" t="s">
        <v>7460</v>
      </c>
      <c r="T157" s="59">
        <v>11100000</v>
      </c>
      <c r="U157" s="56" t="s">
        <v>109</v>
      </c>
      <c r="V157" s="57"/>
      <c r="W157" s="60"/>
      <c r="X157" s="56"/>
      <c r="Y157" s="60"/>
      <c r="Z157" s="60"/>
      <c r="AA157" s="56" t="s">
        <v>1</v>
      </c>
      <c r="AB157" s="56" t="s">
        <v>5007</v>
      </c>
      <c r="AC157" s="56" t="s">
        <v>7461</v>
      </c>
      <c r="AD157" s="53" t="str">
        <f t="shared" ref="AD157:AD208" si="12">IF(IFERROR(LEFT($A157, SEARCH(CHAR(10),$A157)-1),AC157)=0,"",IFERROR(LEFT($A157, SEARCH(CHAR(10),$A157)-1),AC157))</f>
        <v>Crop Tech &gt; Indoor Farming</v>
      </c>
      <c r="AE157" s="53" t="str">
        <f t="shared" si="11"/>
        <v>Crop Tech</v>
      </c>
      <c r="AF157" s="53" t="str">
        <f t="shared" si="10"/>
        <v>Indoor Farming</v>
      </c>
      <c r="AG157" s="53" t="str">
        <f t="shared" si="10"/>
        <v/>
      </c>
      <c r="AH157" s="53" t="str">
        <f t="shared" si="10"/>
        <v/>
      </c>
      <c r="AI157" s="53" t="str">
        <f t="shared" si="10"/>
        <v/>
      </c>
      <c r="AJ157" s="53" t="str">
        <f t="shared" si="10"/>
        <v/>
      </c>
      <c r="AK157" s="53" t="str">
        <f t="shared" si="10"/>
        <v/>
      </c>
      <c r="AL157" s="56" t="s">
        <v>1648</v>
      </c>
      <c r="AM157" s="56"/>
      <c r="AO157" s="56"/>
      <c r="AP157" s="56" t="s">
        <v>4343</v>
      </c>
      <c r="AQ157" s="56" t="s">
        <v>7463</v>
      </c>
      <c r="AR157" s="56"/>
      <c r="AS157" s="56" t="s">
        <v>7464</v>
      </c>
      <c r="AT157" s="56" t="s">
        <v>7465</v>
      </c>
      <c r="AU157" s="56" t="s">
        <v>7466</v>
      </c>
      <c r="AV157" s="61"/>
      <c r="AW157" s="59"/>
      <c r="AX157" s="60"/>
      <c r="AY157" s="58" t="s">
        <v>3123</v>
      </c>
      <c r="AZ157" s="60"/>
      <c r="BA157" s="59"/>
      <c r="BB157" s="56"/>
      <c r="BC157" s="56"/>
      <c r="BD157" s="58" t="s">
        <v>3123</v>
      </c>
      <c r="BE157" s="56"/>
      <c r="BF157" s="60"/>
      <c r="BG157" s="59"/>
      <c r="BH157" s="56"/>
      <c r="BI157" s="58" t="s">
        <v>3123</v>
      </c>
      <c r="BJ157" s="56"/>
      <c r="BK157" s="60"/>
      <c r="BL157" s="59"/>
      <c r="BM157" s="59"/>
      <c r="BN157" s="59"/>
      <c r="BO157" s="59"/>
      <c r="BP157" s="58" t="s">
        <v>3123</v>
      </c>
      <c r="BQ157" s="60"/>
      <c r="BR157" s="56"/>
      <c r="BS157" s="56"/>
      <c r="BT157" s="59"/>
      <c r="BU157" s="59"/>
      <c r="BV157" s="57"/>
      <c r="BW157" s="61" t="s">
        <v>7467</v>
      </c>
      <c r="BX157" s="57">
        <v>200</v>
      </c>
      <c r="BY157" s="60">
        <v>44124</v>
      </c>
      <c r="BZ157" s="61"/>
      <c r="CA157" s="61"/>
      <c r="CB157" s="61" t="s">
        <v>7468</v>
      </c>
      <c r="CC157" s="61"/>
      <c r="CD157" s="56" t="s">
        <v>7469</v>
      </c>
      <c r="CE157" s="60">
        <v>43033</v>
      </c>
      <c r="CF157" s="59"/>
      <c r="CG157" s="60"/>
      <c r="CH157" s="59"/>
      <c r="CI157" s="60"/>
      <c r="CJ157" s="59"/>
      <c r="CK157" s="60"/>
      <c r="CL157" s="59"/>
      <c r="CM157" s="60"/>
      <c r="CN157" s="62">
        <v>25.88024116351626</v>
      </c>
      <c r="CO157" s="62"/>
      <c r="CP157" s="60"/>
      <c r="CQ157" s="56" t="s">
        <v>5345</v>
      </c>
      <c r="CR157" s="56" t="s">
        <v>7272</v>
      </c>
      <c r="CS157" s="56" t="s">
        <v>5945</v>
      </c>
    </row>
    <row r="158" spans="1:97" ht="26.15" customHeight="1">
      <c r="A158" s="2">
        <v>459</v>
      </c>
      <c r="B158" s="25" t="s">
        <v>2440</v>
      </c>
      <c r="C158" s="25" t="e">
        <f>VLOOKUP(B158, Sheet6!$A$1:$B$77, 2, FALSE)</f>
        <v>#N/A</v>
      </c>
      <c r="D158" s="25" t="s">
        <v>2441</v>
      </c>
      <c r="E158" s="25" t="s">
        <v>2442</v>
      </c>
      <c r="F158" s="25" t="s">
        <v>9685</v>
      </c>
      <c r="G158" s="25" t="s">
        <v>10955</v>
      </c>
      <c r="H158" s="25" t="s">
        <v>10558</v>
      </c>
      <c r="I158" s="25" t="s">
        <v>10558</v>
      </c>
      <c r="J158" s="25" t="s">
        <v>10846</v>
      </c>
      <c r="L158" s="13">
        <v>2012</v>
      </c>
      <c r="M158" s="14" t="s">
        <v>7250</v>
      </c>
      <c r="N158" s="14" t="s">
        <v>6004</v>
      </c>
      <c r="O158" s="14" t="s">
        <v>4343</v>
      </c>
      <c r="P158" s="15" t="s">
        <v>3117</v>
      </c>
      <c r="Q158" s="16"/>
      <c r="R158" s="17">
        <v>44067</v>
      </c>
      <c r="S158" s="16"/>
      <c r="T158" s="16" t="s">
        <v>50</v>
      </c>
      <c r="U158" s="14" t="s">
        <v>5314</v>
      </c>
      <c r="V158" s="13">
        <v>4</v>
      </c>
      <c r="W158" s="17">
        <v>44049</v>
      </c>
      <c r="X158" s="14"/>
      <c r="Y158" s="17"/>
      <c r="Z158" s="17"/>
      <c r="AA158" s="14" t="s">
        <v>7470</v>
      </c>
      <c r="AB158" s="14" t="s">
        <v>7471</v>
      </c>
      <c r="AC158" s="14" t="s">
        <v>7472</v>
      </c>
      <c r="AD158" s="20" t="str">
        <f t="shared" si="12"/>
        <v>Solar Energy &gt; Solar Products &gt; Pumps
Crop Tech &gt; Autonomous Farming &gt; Irrigation</v>
      </c>
      <c r="AE158" s="20" t="str">
        <f t="shared" si="11"/>
        <v>Solar Energy</v>
      </c>
      <c r="AF158" s="20" t="str">
        <f t="shared" si="10"/>
        <v>Solar Products</v>
      </c>
      <c r="AG158" s="20" t="str">
        <f t="shared" si="10"/>
        <v>Pumps
Crop Tech</v>
      </c>
      <c r="AH158" s="20" t="str">
        <f t="shared" si="10"/>
        <v>Autonomous Farming</v>
      </c>
      <c r="AI158" s="20" t="str">
        <f t="shared" si="10"/>
        <v>Irrigation</v>
      </c>
      <c r="AJ158" s="20" t="str">
        <f t="shared" si="10"/>
        <v/>
      </c>
      <c r="AK158" s="20" t="str">
        <f t="shared" si="10"/>
        <v/>
      </c>
      <c r="AL158" s="14" t="s">
        <v>7473</v>
      </c>
      <c r="AM158" s="14"/>
      <c r="AO158" s="14"/>
      <c r="AP158" s="14" t="s">
        <v>4343</v>
      </c>
      <c r="AQ158" s="14" t="s">
        <v>7475</v>
      </c>
      <c r="AR158" s="14"/>
      <c r="AS158" s="14" t="s">
        <v>7476</v>
      </c>
      <c r="AT158" s="14" t="s">
        <v>7477</v>
      </c>
      <c r="AU158" s="14" t="s">
        <v>7478</v>
      </c>
      <c r="AV158" s="18"/>
      <c r="AW158" s="16"/>
      <c r="AX158" s="17"/>
      <c r="AY158" s="15" t="s">
        <v>3123</v>
      </c>
      <c r="AZ158" s="17"/>
      <c r="BA158" s="16"/>
      <c r="BB158" s="14"/>
      <c r="BC158" s="14"/>
      <c r="BD158" s="15" t="s">
        <v>3123</v>
      </c>
      <c r="BE158" s="14"/>
      <c r="BF158" s="17"/>
      <c r="BG158" s="16"/>
      <c r="BH158" s="14"/>
      <c r="BI158" s="15" t="s">
        <v>3117</v>
      </c>
      <c r="BJ158" s="14" t="s">
        <v>7479</v>
      </c>
      <c r="BK158" s="17">
        <v>43076</v>
      </c>
      <c r="BL158" s="16"/>
      <c r="BM158" s="16"/>
      <c r="BN158" s="16">
        <v>9231679</v>
      </c>
      <c r="BO158" s="16"/>
      <c r="BP158" s="15" t="s">
        <v>3123</v>
      </c>
      <c r="BQ158" s="17"/>
      <c r="BR158" s="14"/>
      <c r="BS158" s="14"/>
      <c r="BT158" s="16"/>
      <c r="BU158" s="16"/>
      <c r="BV158" s="13"/>
      <c r="BW158" s="18" t="s">
        <v>7480</v>
      </c>
      <c r="BX158" s="13">
        <v>200</v>
      </c>
      <c r="BY158" s="17">
        <v>44124</v>
      </c>
      <c r="BZ158" s="18"/>
      <c r="CA158" s="18"/>
      <c r="CB158" s="18"/>
      <c r="CC158" s="18"/>
      <c r="CD158" s="14" t="s">
        <v>7481</v>
      </c>
      <c r="CE158" s="17">
        <v>43031</v>
      </c>
      <c r="CF158" s="16"/>
      <c r="CG158" s="17"/>
      <c r="CH158" s="16"/>
      <c r="CI158" s="17"/>
      <c r="CJ158" s="16"/>
      <c r="CK158" s="17"/>
      <c r="CL158" s="16"/>
      <c r="CM158" s="17"/>
      <c r="CN158" s="19">
        <v>37.665846708285507</v>
      </c>
      <c r="CO158" s="19"/>
      <c r="CP158" s="17"/>
      <c r="CQ158" s="14" t="s">
        <v>5541</v>
      </c>
      <c r="CR158" s="14" t="s">
        <v>7482</v>
      </c>
      <c r="CS158" s="14" t="s">
        <v>5521</v>
      </c>
    </row>
    <row r="159" spans="1:97" ht="26.15" customHeight="1">
      <c r="A159" s="2">
        <v>236</v>
      </c>
      <c r="B159" s="25" t="s">
        <v>1846</v>
      </c>
      <c r="C159" s="25" t="e">
        <f>VLOOKUP(B159, Sheet6!$A$1:$B$77, 2, FALSE)</f>
        <v>#N/A</v>
      </c>
      <c r="D159" s="25" t="s">
        <v>1847</v>
      </c>
      <c r="E159" s="25" t="s">
        <v>1850</v>
      </c>
      <c r="F159" s="25" t="s">
        <v>7956</v>
      </c>
      <c r="G159" s="25" t="s">
        <v>10952</v>
      </c>
      <c r="H159" s="25" t="s">
        <v>10967</v>
      </c>
      <c r="I159" s="25" t="s">
        <v>10558</v>
      </c>
      <c r="J159" s="25" t="s">
        <v>10821</v>
      </c>
      <c r="L159" s="13">
        <v>2014</v>
      </c>
      <c r="M159" s="14" t="s">
        <v>7483</v>
      </c>
      <c r="N159" s="14" t="s">
        <v>5039</v>
      </c>
      <c r="O159" s="14" t="s">
        <v>3994</v>
      </c>
      <c r="P159" s="15" t="s">
        <v>3117</v>
      </c>
      <c r="Q159" s="16"/>
      <c r="R159" s="17">
        <v>42977</v>
      </c>
      <c r="S159" s="16"/>
      <c r="T159" s="16" t="s">
        <v>50</v>
      </c>
      <c r="U159" s="14" t="s">
        <v>5040</v>
      </c>
      <c r="V159" s="13">
        <v>4</v>
      </c>
      <c r="W159" s="17">
        <v>44061</v>
      </c>
      <c r="X159" s="14"/>
      <c r="Y159" s="17"/>
      <c r="Z159" s="17"/>
      <c r="AA159" s="14" t="s">
        <v>5442</v>
      </c>
      <c r="AB159" s="14" t="s">
        <v>5443</v>
      </c>
      <c r="AC159" s="14" t="s">
        <v>7484</v>
      </c>
      <c r="AD159" s="20" t="str">
        <f t="shared" si="12"/>
        <v>Crop Tech &gt; Post Harvest Management &gt; Quality Testing &gt; Grains
MassChallenge Batches &gt; Switzerland &gt; 2019</v>
      </c>
      <c r="AE159" s="20" t="str">
        <f t="shared" si="11"/>
        <v>Crop Tech</v>
      </c>
      <c r="AF159" s="20" t="str">
        <f t="shared" si="10"/>
        <v>Post Harvest Management</v>
      </c>
      <c r="AG159" s="20" t="str">
        <f t="shared" si="10"/>
        <v>Quality Testing</v>
      </c>
      <c r="AH159" s="20" t="str">
        <f t="shared" si="10"/>
        <v>Grains
MassChallenge Batches</v>
      </c>
      <c r="AI159" s="20" t="str">
        <f t="shared" si="10"/>
        <v>Switzerland</v>
      </c>
      <c r="AJ159" s="20" t="str">
        <f t="shared" si="10"/>
        <v>2019</v>
      </c>
      <c r="AK159" s="20" t="str">
        <f t="shared" si="10"/>
        <v/>
      </c>
      <c r="AL159" s="14" t="s">
        <v>7485</v>
      </c>
      <c r="AM159" s="14"/>
      <c r="AO159" s="14"/>
      <c r="AP159" s="14" t="s">
        <v>3994</v>
      </c>
      <c r="AQ159" s="14" t="s">
        <v>7487</v>
      </c>
      <c r="AR159" s="14" t="s">
        <v>7488</v>
      </c>
      <c r="AS159" s="14" t="s">
        <v>7489</v>
      </c>
      <c r="AT159" s="14" t="s">
        <v>7490</v>
      </c>
      <c r="AU159" s="14" t="s">
        <v>7491</v>
      </c>
      <c r="AV159" s="18"/>
      <c r="AW159" s="16"/>
      <c r="AX159" s="17"/>
      <c r="AY159" s="15" t="s">
        <v>3123</v>
      </c>
      <c r="AZ159" s="17"/>
      <c r="BA159" s="16"/>
      <c r="BB159" s="14"/>
      <c r="BC159" s="14"/>
      <c r="BD159" s="15" t="s">
        <v>3123</v>
      </c>
      <c r="BE159" s="14"/>
      <c r="BF159" s="17"/>
      <c r="BG159" s="16"/>
      <c r="BH159" s="14"/>
      <c r="BI159" s="15" t="s">
        <v>3123</v>
      </c>
      <c r="BJ159" s="14"/>
      <c r="BK159" s="17"/>
      <c r="BL159" s="16"/>
      <c r="BM159" s="16"/>
      <c r="BN159" s="16"/>
      <c r="BO159" s="16"/>
      <c r="BP159" s="15" t="s">
        <v>3123</v>
      </c>
      <c r="BQ159" s="17"/>
      <c r="BR159" s="14"/>
      <c r="BS159" s="14"/>
      <c r="BT159" s="16"/>
      <c r="BU159" s="16"/>
      <c r="BV159" s="13"/>
      <c r="BW159" s="18" t="s">
        <v>7492</v>
      </c>
      <c r="BX159" s="13">
        <v>200</v>
      </c>
      <c r="BY159" s="17">
        <v>44124</v>
      </c>
      <c r="BZ159" s="18" t="s">
        <v>7493</v>
      </c>
      <c r="CA159" s="18"/>
      <c r="CB159" s="18"/>
      <c r="CC159" s="18"/>
      <c r="CD159" s="14" t="s">
        <v>7494</v>
      </c>
      <c r="CE159" s="17">
        <v>43473</v>
      </c>
      <c r="CF159" s="16"/>
      <c r="CG159" s="17"/>
      <c r="CH159" s="16"/>
      <c r="CI159" s="17"/>
      <c r="CJ159" s="16"/>
      <c r="CK159" s="17"/>
      <c r="CL159" s="16"/>
      <c r="CM159" s="17"/>
      <c r="CN159" s="19">
        <v>25.250509637789694</v>
      </c>
      <c r="CO159" s="19"/>
      <c r="CP159" s="17"/>
      <c r="CQ159" s="14" t="s">
        <v>5048</v>
      </c>
      <c r="CR159" s="14" t="s">
        <v>6266</v>
      </c>
      <c r="CS159" s="14" t="s">
        <v>5311</v>
      </c>
    </row>
    <row r="160" spans="1:97" ht="26.15" customHeight="1">
      <c r="A160" s="2">
        <v>410</v>
      </c>
      <c r="B160" s="25" t="s">
        <v>2551</v>
      </c>
      <c r="C160" s="25" t="e">
        <f>VLOOKUP(B160, Sheet6!$A$1:$B$77, 2, FALSE)</f>
        <v>#N/A</v>
      </c>
      <c r="D160" s="25" t="s">
        <v>2552</v>
      </c>
      <c r="E160" s="25" t="s">
        <v>2553</v>
      </c>
      <c r="F160" s="25" t="s">
        <v>9377</v>
      </c>
      <c r="G160" s="25" t="s">
        <v>10955</v>
      </c>
      <c r="H160" s="25" t="s">
        <v>10558</v>
      </c>
      <c r="I160" s="25" t="s">
        <v>10558</v>
      </c>
      <c r="J160" s="25" t="s">
        <v>10718</v>
      </c>
      <c r="L160" s="13">
        <v>2016</v>
      </c>
      <c r="M160" s="14" t="s">
        <v>7507</v>
      </c>
      <c r="N160" s="14" t="s">
        <v>5207</v>
      </c>
      <c r="O160" s="14" t="s">
        <v>5208</v>
      </c>
      <c r="P160" s="15" t="s">
        <v>3117</v>
      </c>
      <c r="Q160" s="16">
        <v>627744</v>
      </c>
      <c r="R160" s="17">
        <v>43243</v>
      </c>
      <c r="S160" s="16" t="s">
        <v>7508</v>
      </c>
      <c r="T160" s="16">
        <v>627744</v>
      </c>
      <c r="U160" s="14" t="s">
        <v>34</v>
      </c>
      <c r="V160" s="13">
        <v>2</v>
      </c>
      <c r="W160" s="17">
        <v>44020</v>
      </c>
      <c r="X160" s="14"/>
      <c r="Y160" s="17"/>
      <c r="Z160" s="17"/>
      <c r="AA160" s="14" t="s">
        <v>5493</v>
      </c>
      <c r="AB160" s="14" t="s">
        <v>5494</v>
      </c>
      <c r="AC160" s="14" t="s">
        <v>7509</v>
      </c>
      <c r="AD160" s="20" t="str">
        <f t="shared" si="12"/>
        <v>B2B E-Commerce &gt; Agriculture &gt; Marketplace
Crop Tech &gt; ECommerce &gt; Farm Produce &gt; B2B &gt; Grains</v>
      </c>
      <c r="AE160" s="20" t="str">
        <f t="shared" si="11"/>
        <v>B2B E-Commerce</v>
      </c>
      <c r="AF160" s="20" t="str">
        <f t="shared" si="10"/>
        <v>Agriculture</v>
      </c>
      <c r="AG160" s="20" t="str">
        <f t="shared" si="10"/>
        <v>Marketplace
Crop Tech</v>
      </c>
      <c r="AH160" s="20" t="str">
        <f t="shared" si="10"/>
        <v>ECommerce</v>
      </c>
      <c r="AI160" s="20" t="str">
        <f t="shared" si="10"/>
        <v>Farm Produce</v>
      </c>
      <c r="AJ160" s="20" t="str">
        <f t="shared" si="10"/>
        <v>B2B</v>
      </c>
      <c r="AK160" s="20" t="str">
        <f t="shared" si="10"/>
        <v>Grains</v>
      </c>
      <c r="AL160" s="14" t="s">
        <v>7510</v>
      </c>
      <c r="AM160" s="14"/>
      <c r="AO160" s="14"/>
      <c r="AP160" s="14" t="s">
        <v>5208</v>
      </c>
      <c r="AQ160" s="14" t="s">
        <v>7512</v>
      </c>
      <c r="AR160" s="14" t="s">
        <v>7513</v>
      </c>
      <c r="AS160" s="14" t="s">
        <v>7514</v>
      </c>
      <c r="AT160" s="14" t="s">
        <v>7515</v>
      </c>
      <c r="AU160" s="14" t="s">
        <v>7516</v>
      </c>
      <c r="AV160" s="18"/>
      <c r="AW160" s="16"/>
      <c r="AX160" s="17"/>
      <c r="AY160" s="15" t="s">
        <v>3123</v>
      </c>
      <c r="AZ160" s="17"/>
      <c r="BA160" s="16"/>
      <c r="BB160" s="14"/>
      <c r="BC160" s="14"/>
      <c r="BD160" s="15" t="s">
        <v>3123</v>
      </c>
      <c r="BE160" s="14"/>
      <c r="BF160" s="17"/>
      <c r="BG160" s="16"/>
      <c r="BH160" s="14"/>
      <c r="BI160" s="15" t="s">
        <v>3123</v>
      </c>
      <c r="BJ160" s="14"/>
      <c r="BK160" s="17"/>
      <c r="BL160" s="16"/>
      <c r="BM160" s="16"/>
      <c r="BN160" s="16"/>
      <c r="BO160" s="16"/>
      <c r="BP160" s="15" t="s">
        <v>3123</v>
      </c>
      <c r="BQ160" s="17"/>
      <c r="BR160" s="14"/>
      <c r="BS160" s="14"/>
      <c r="BT160" s="16"/>
      <c r="BU160" s="16"/>
      <c r="BV160" s="13"/>
      <c r="BW160" s="18" t="s">
        <v>7517</v>
      </c>
      <c r="BX160" s="13">
        <v>200</v>
      </c>
      <c r="BY160" s="17">
        <v>44129</v>
      </c>
      <c r="BZ160" s="18" t="s">
        <v>7518</v>
      </c>
      <c r="CA160" s="18" t="s">
        <v>7519</v>
      </c>
      <c r="CB160" s="18" t="s">
        <v>7520</v>
      </c>
      <c r="CC160" s="18"/>
      <c r="CD160" s="14" t="s">
        <v>7521</v>
      </c>
      <c r="CE160" s="17">
        <v>43250</v>
      </c>
      <c r="CF160" s="16"/>
      <c r="CG160" s="17"/>
      <c r="CH160" s="16"/>
      <c r="CI160" s="17"/>
      <c r="CJ160" s="16"/>
      <c r="CK160" s="17"/>
      <c r="CL160" s="16"/>
      <c r="CM160" s="17"/>
      <c r="CN160" s="19">
        <v>53.860022523169803</v>
      </c>
      <c r="CO160" s="19"/>
      <c r="CP160" s="17"/>
      <c r="CQ160" s="14" t="s">
        <v>5401</v>
      </c>
      <c r="CR160" s="14" t="s">
        <v>7522</v>
      </c>
      <c r="CS160" s="14" t="s">
        <v>5945</v>
      </c>
    </row>
    <row r="161" spans="1:97" ht="26.15" customHeight="1">
      <c r="A161" s="2">
        <v>372</v>
      </c>
      <c r="B161" s="25" t="s">
        <v>2454</v>
      </c>
      <c r="C161" s="25" t="e">
        <f>VLOOKUP(B161, Sheet6!$A$1:$B$77, 2, FALSE)</f>
        <v>#N/A</v>
      </c>
      <c r="D161" s="25" t="s">
        <v>2455</v>
      </c>
      <c r="E161" s="25" t="s">
        <v>2456</v>
      </c>
      <c r="F161" s="25" t="s">
        <v>9175</v>
      </c>
      <c r="G161" s="25" t="s">
        <v>10955</v>
      </c>
      <c r="H161" s="25" t="s">
        <v>10957</v>
      </c>
      <c r="I161" s="25" t="s">
        <v>10558</v>
      </c>
      <c r="J161" s="25" t="s">
        <v>10842</v>
      </c>
      <c r="L161" s="13">
        <v>2006</v>
      </c>
      <c r="M161" s="14" t="s">
        <v>7523</v>
      </c>
      <c r="N161" s="14" t="s">
        <v>7524</v>
      </c>
      <c r="O161" s="14" t="s">
        <v>5391</v>
      </c>
      <c r="P161" s="15" t="s">
        <v>3117</v>
      </c>
      <c r="Q161" s="16">
        <v>37911025</v>
      </c>
      <c r="R161" s="17">
        <v>44026</v>
      </c>
      <c r="S161" s="16" t="s">
        <v>7525</v>
      </c>
      <c r="T161" s="16">
        <v>28000000</v>
      </c>
      <c r="U161" s="14" t="s">
        <v>25</v>
      </c>
      <c r="V161" s="13">
        <v>4</v>
      </c>
      <c r="W161" s="17">
        <v>44139</v>
      </c>
      <c r="X161" s="14" t="s">
        <v>5544</v>
      </c>
      <c r="Y161" s="17">
        <v>44138</v>
      </c>
      <c r="Z161" s="17">
        <v>44026</v>
      </c>
      <c r="AA161" s="14" t="s">
        <v>1</v>
      </c>
      <c r="AB161" s="14" t="s">
        <v>5007</v>
      </c>
      <c r="AC161" s="14" t="s">
        <v>257</v>
      </c>
      <c r="AD161" s="20" t="str">
        <f t="shared" si="12"/>
        <v>Crop Tech &gt; Farming as a Service &gt; Tech Enabled Services</v>
      </c>
      <c r="AE161" s="20" t="str">
        <f t="shared" si="11"/>
        <v>Crop Tech</v>
      </c>
      <c r="AF161" s="20" t="str">
        <f t="shared" si="10"/>
        <v>Farming as a Service</v>
      </c>
      <c r="AG161" s="20" t="str">
        <f t="shared" si="10"/>
        <v>Tech Enabled Services</v>
      </c>
      <c r="AH161" s="20" t="str">
        <f t="shared" si="10"/>
        <v/>
      </c>
      <c r="AI161" s="20" t="str">
        <f t="shared" si="10"/>
        <v/>
      </c>
      <c r="AJ161" s="20" t="str">
        <f t="shared" si="10"/>
        <v/>
      </c>
      <c r="AK161" s="20" t="str">
        <f t="shared" si="10"/>
        <v/>
      </c>
      <c r="AL161" s="14" t="s">
        <v>7526</v>
      </c>
      <c r="AM161" s="14"/>
      <c r="AO161" s="14"/>
      <c r="AP161" s="14" t="s">
        <v>5391</v>
      </c>
      <c r="AQ161" s="14" t="s">
        <v>7528</v>
      </c>
      <c r="AR161" s="14" t="s">
        <v>7529</v>
      </c>
      <c r="AS161" s="14" t="s">
        <v>7530</v>
      </c>
      <c r="AT161" s="14" t="s">
        <v>7531</v>
      </c>
      <c r="AU161" s="14" t="s">
        <v>7532</v>
      </c>
      <c r="AV161" s="18" t="s">
        <v>7533</v>
      </c>
      <c r="AW161" s="16"/>
      <c r="AX161" s="17"/>
      <c r="AY161" s="15" t="s">
        <v>3123</v>
      </c>
      <c r="AZ161" s="17"/>
      <c r="BA161" s="16"/>
      <c r="BB161" s="14"/>
      <c r="BC161" s="14"/>
      <c r="BD161" s="15" t="s">
        <v>3123</v>
      </c>
      <c r="BE161" s="14"/>
      <c r="BF161" s="17"/>
      <c r="BG161" s="16"/>
      <c r="BH161" s="14"/>
      <c r="BI161" s="15" t="s">
        <v>3123</v>
      </c>
      <c r="BJ161" s="14"/>
      <c r="BK161" s="17"/>
      <c r="BL161" s="16"/>
      <c r="BM161" s="16"/>
      <c r="BN161" s="16"/>
      <c r="BO161" s="16"/>
      <c r="BP161" s="15" t="s">
        <v>3123</v>
      </c>
      <c r="BQ161" s="17"/>
      <c r="BR161" s="14"/>
      <c r="BS161" s="14"/>
      <c r="BT161" s="16"/>
      <c r="BU161" s="16"/>
      <c r="BV161" s="13"/>
      <c r="BW161" s="18" t="s">
        <v>7534</v>
      </c>
      <c r="BX161" s="13">
        <v>200</v>
      </c>
      <c r="BY161" s="17">
        <v>44126</v>
      </c>
      <c r="BZ161" s="18" t="s">
        <v>7535</v>
      </c>
      <c r="CA161" s="18" t="s">
        <v>7536</v>
      </c>
      <c r="CB161" s="18" t="s">
        <v>7537</v>
      </c>
      <c r="CC161" s="18"/>
      <c r="CD161" s="14" t="s">
        <v>7538</v>
      </c>
      <c r="CE161" s="17">
        <v>44138</v>
      </c>
      <c r="CF161" s="16"/>
      <c r="CG161" s="17"/>
      <c r="CH161" s="16"/>
      <c r="CI161" s="17"/>
      <c r="CJ161" s="16"/>
      <c r="CK161" s="17"/>
      <c r="CL161" s="16"/>
      <c r="CM161" s="17"/>
      <c r="CN161" s="19">
        <v>43.73103563786362</v>
      </c>
      <c r="CO161" s="19"/>
      <c r="CP161" s="17"/>
      <c r="CQ161" s="14" t="s">
        <v>7409</v>
      </c>
      <c r="CR161" s="14" t="s">
        <v>7539</v>
      </c>
      <c r="CS161" s="14" t="s">
        <v>7194</v>
      </c>
    </row>
    <row r="162" spans="1:97" ht="26.15" customHeight="1">
      <c r="A162" s="2">
        <v>389</v>
      </c>
      <c r="B162" s="25" t="s">
        <v>2814</v>
      </c>
      <c r="C162" s="25" t="e">
        <f>VLOOKUP(B162, Sheet6!$A$1:$B$77, 2, FALSE)</f>
        <v>#N/A</v>
      </c>
      <c r="D162" s="25" t="s">
        <v>2815</v>
      </c>
      <c r="E162" s="25" t="s">
        <v>2816</v>
      </c>
      <c r="F162" s="25" t="s">
        <v>9253</v>
      </c>
      <c r="G162" s="25" t="s">
        <v>10953</v>
      </c>
      <c r="H162" s="25" t="s">
        <v>10558</v>
      </c>
      <c r="I162" s="25" t="s">
        <v>10558</v>
      </c>
      <c r="J162" s="25" t="s">
        <v>10821</v>
      </c>
      <c r="L162" s="13">
        <v>2015</v>
      </c>
      <c r="M162" s="14" t="s">
        <v>6105</v>
      </c>
      <c r="N162" s="14" t="s">
        <v>5804</v>
      </c>
      <c r="O162" s="14" t="s">
        <v>5208</v>
      </c>
      <c r="P162" s="15" t="s">
        <v>3117</v>
      </c>
      <c r="Q162" s="16">
        <v>810223</v>
      </c>
      <c r="R162" s="17">
        <v>43208</v>
      </c>
      <c r="S162" s="16" t="s">
        <v>5252</v>
      </c>
      <c r="T162" s="16">
        <v>100000</v>
      </c>
      <c r="U162" s="14" t="s">
        <v>34</v>
      </c>
      <c r="V162" s="13"/>
      <c r="W162" s="17"/>
      <c r="X162" s="14"/>
      <c r="Y162" s="17"/>
      <c r="Z162" s="17"/>
      <c r="AA162" s="14" t="s">
        <v>5976</v>
      </c>
      <c r="AB162" s="14" t="s">
        <v>7540</v>
      </c>
      <c r="AC162" s="14" t="s">
        <v>7541</v>
      </c>
      <c r="AD162" s="20" t="str">
        <f t="shared" si="12"/>
        <v>Geographic Information Systems &gt; Location Analytics &gt; Agriculture
Crop Tech &gt; Farm Analytics &gt; Satellite Image Based</v>
      </c>
      <c r="AE162" s="20" t="str">
        <f t="shared" si="11"/>
        <v>Geographic Information Systems</v>
      </c>
      <c r="AF162" s="20" t="str">
        <f t="shared" si="10"/>
        <v>Location Analytics</v>
      </c>
      <c r="AG162" s="20" t="str">
        <f t="shared" si="10"/>
        <v>Agriculture
Crop Tech</v>
      </c>
      <c r="AH162" s="20" t="str">
        <f t="shared" si="10"/>
        <v>Farm Analytics</v>
      </c>
      <c r="AI162" s="20" t="str">
        <f t="shared" si="10"/>
        <v>Satellite Image Based</v>
      </c>
      <c r="AJ162" s="20" t="str">
        <f t="shared" si="10"/>
        <v/>
      </c>
      <c r="AK162" s="20" t="str">
        <f t="shared" si="10"/>
        <v/>
      </c>
      <c r="AL162" s="14" t="s">
        <v>7542</v>
      </c>
      <c r="AM162" s="14"/>
      <c r="AO162" s="14"/>
      <c r="AP162" s="14" t="s">
        <v>5208</v>
      </c>
      <c r="AQ162" s="14"/>
      <c r="AR162" s="14"/>
      <c r="AS162" s="14" t="s">
        <v>7544</v>
      </c>
      <c r="AT162" s="14" t="s">
        <v>7545</v>
      </c>
      <c r="AU162" s="14" t="s">
        <v>7546</v>
      </c>
      <c r="AV162" s="18"/>
      <c r="AW162" s="16"/>
      <c r="AX162" s="17"/>
      <c r="AY162" s="15" t="s">
        <v>3123</v>
      </c>
      <c r="AZ162" s="17"/>
      <c r="BA162" s="16"/>
      <c r="BB162" s="14"/>
      <c r="BC162" s="14"/>
      <c r="BD162" s="15" t="s">
        <v>3123</v>
      </c>
      <c r="BE162" s="14"/>
      <c r="BF162" s="17"/>
      <c r="BG162" s="16"/>
      <c r="BH162" s="14"/>
      <c r="BI162" s="15" t="s">
        <v>3123</v>
      </c>
      <c r="BJ162" s="14"/>
      <c r="BK162" s="17"/>
      <c r="BL162" s="16"/>
      <c r="BM162" s="16"/>
      <c r="BN162" s="16"/>
      <c r="BO162" s="16"/>
      <c r="BP162" s="15" t="s">
        <v>3123</v>
      </c>
      <c r="BQ162" s="17"/>
      <c r="BR162" s="14"/>
      <c r="BS162" s="14"/>
      <c r="BT162" s="16"/>
      <c r="BU162" s="16"/>
      <c r="BV162" s="13"/>
      <c r="BW162" s="18" t="s">
        <v>7547</v>
      </c>
      <c r="BX162" s="13">
        <v>200</v>
      </c>
      <c r="BY162" s="17">
        <v>44124</v>
      </c>
      <c r="BZ162" s="18" t="s">
        <v>7548</v>
      </c>
      <c r="CA162" s="18" t="s">
        <v>7549</v>
      </c>
      <c r="CB162" s="18"/>
      <c r="CC162" s="18"/>
      <c r="CD162" s="14" t="s">
        <v>7550</v>
      </c>
      <c r="CE162" s="17">
        <v>42929</v>
      </c>
      <c r="CF162" s="16"/>
      <c r="CG162" s="17"/>
      <c r="CH162" s="16"/>
      <c r="CI162" s="17"/>
      <c r="CJ162" s="16"/>
      <c r="CK162" s="17"/>
      <c r="CL162" s="16"/>
      <c r="CM162" s="17"/>
      <c r="CN162" s="19">
        <v>39.992324357257338</v>
      </c>
      <c r="CO162" s="19"/>
      <c r="CP162" s="17"/>
      <c r="CQ162" s="14" t="s">
        <v>7551</v>
      </c>
      <c r="CR162" s="14" t="s">
        <v>6002</v>
      </c>
      <c r="CS162" s="14" t="s">
        <v>6074</v>
      </c>
    </row>
    <row r="163" spans="1:97" ht="26.15" customHeight="1">
      <c r="A163" s="2">
        <v>316</v>
      </c>
      <c r="B163" s="25" t="s">
        <v>2974</v>
      </c>
      <c r="C163" s="25" t="e">
        <f>VLOOKUP(B163, Sheet6!$A$1:$B$77, 2, FALSE)</f>
        <v>#N/A</v>
      </c>
      <c r="D163" s="25" t="s">
        <v>2975</v>
      </c>
      <c r="E163" s="25" t="s">
        <v>2979</v>
      </c>
      <c r="F163" s="25" t="s">
        <v>8912</v>
      </c>
      <c r="G163" s="25" t="s">
        <v>10955</v>
      </c>
      <c r="H163" s="25" t="s">
        <v>10558</v>
      </c>
      <c r="I163" s="25" t="s">
        <v>10558</v>
      </c>
      <c r="J163" s="25" t="s">
        <v>10993</v>
      </c>
      <c r="L163" s="13">
        <v>2015</v>
      </c>
      <c r="M163" s="14" t="s">
        <v>7552</v>
      </c>
      <c r="N163" s="14" t="s">
        <v>6296</v>
      </c>
      <c r="O163" s="14" t="s">
        <v>6297</v>
      </c>
      <c r="P163" s="15" t="s">
        <v>3117</v>
      </c>
      <c r="Q163" s="16"/>
      <c r="R163" s="17">
        <v>43712</v>
      </c>
      <c r="S163" s="16" t="s">
        <v>7553</v>
      </c>
      <c r="T163" s="16">
        <v>131755</v>
      </c>
      <c r="U163" s="14" t="s">
        <v>5040</v>
      </c>
      <c r="V163" s="13">
        <v>3</v>
      </c>
      <c r="W163" s="17">
        <v>44012</v>
      </c>
      <c r="X163" s="14"/>
      <c r="Y163" s="17"/>
      <c r="Z163" s="17"/>
      <c r="AA163" s="14" t="s">
        <v>7554</v>
      </c>
      <c r="AB163" s="14" t="s">
        <v>7555</v>
      </c>
      <c r="AC163" s="14" t="s">
        <v>7556</v>
      </c>
      <c r="AD163" s="20" t="str">
        <f t="shared" si="12"/>
        <v>Alternative Lending &gt; Online Lenders &gt; Consumer Loans &gt; Farm Loans &gt; Marketplace
Crowdfunding &gt; Revenue Sharing &gt; Horizontal
Livestock Tech &gt; Financing Platforms &gt; Crowdfunding
Crop Tech &gt; Finance &gt; Crowdfunding
MassChallenge Batches &gt; Cohort Information Unavailable</v>
      </c>
      <c r="AE163" s="20" t="str">
        <f t="shared" si="11"/>
        <v>Alternative Lending</v>
      </c>
      <c r="AF163" s="20" t="str">
        <f t="shared" si="10"/>
        <v>Online Lenders</v>
      </c>
      <c r="AG163" s="20" t="str">
        <f t="shared" si="10"/>
        <v>Consumer Loans</v>
      </c>
      <c r="AH163" s="20" t="str">
        <f t="shared" si="10"/>
        <v>Farm Loans</v>
      </c>
      <c r="AI163" s="20" t="str">
        <f t="shared" si="10"/>
        <v>Marketplace
Crowdfunding</v>
      </c>
      <c r="AJ163" s="20" t="str">
        <f t="shared" si="10"/>
        <v>Revenue Sharing</v>
      </c>
      <c r="AK163" s="20" t="str">
        <f t="shared" si="10"/>
        <v>Horizontal
Livestock Tech</v>
      </c>
      <c r="AL163" s="14" t="s">
        <v>7557</v>
      </c>
      <c r="AM163" s="14"/>
      <c r="AO163" s="14"/>
      <c r="AP163" s="14" t="s">
        <v>6297</v>
      </c>
      <c r="AQ163" s="14" t="s">
        <v>7559</v>
      </c>
      <c r="AR163" s="14"/>
      <c r="AS163" s="14" t="s">
        <v>7560</v>
      </c>
      <c r="AT163" s="14" t="s">
        <v>7561</v>
      </c>
      <c r="AU163" s="14" t="s">
        <v>7562</v>
      </c>
      <c r="AV163" s="18"/>
      <c r="AW163" s="16"/>
      <c r="AX163" s="17"/>
      <c r="AY163" s="15" t="s">
        <v>3123</v>
      </c>
      <c r="AZ163" s="17"/>
      <c r="BA163" s="16"/>
      <c r="BB163" s="14"/>
      <c r="BC163" s="14"/>
      <c r="BD163" s="15" t="s">
        <v>3123</v>
      </c>
      <c r="BE163" s="14"/>
      <c r="BF163" s="17"/>
      <c r="BG163" s="16"/>
      <c r="BH163" s="14"/>
      <c r="BI163" s="15" t="s">
        <v>3123</v>
      </c>
      <c r="BJ163" s="14"/>
      <c r="BK163" s="17"/>
      <c r="BL163" s="16"/>
      <c r="BM163" s="16"/>
      <c r="BN163" s="16"/>
      <c r="BO163" s="16"/>
      <c r="BP163" s="15" t="s">
        <v>3123</v>
      </c>
      <c r="BQ163" s="17"/>
      <c r="BR163" s="14"/>
      <c r="BS163" s="14"/>
      <c r="BT163" s="16"/>
      <c r="BU163" s="16"/>
      <c r="BV163" s="13"/>
      <c r="BW163" s="18" t="s">
        <v>7563</v>
      </c>
      <c r="BX163" s="13">
        <v>200</v>
      </c>
      <c r="BY163" s="17">
        <v>44124</v>
      </c>
      <c r="BZ163" s="18" t="s">
        <v>7564</v>
      </c>
      <c r="CA163" s="18" t="s">
        <v>7565</v>
      </c>
      <c r="CB163" s="18" t="s">
        <v>7566</v>
      </c>
      <c r="CC163" s="18" t="s">
        <v>7567</v>
      </c>
      <c r="CD163" s="14" t="s">
        <v>7568</v>
      </c>
      <c r="CE163" s="17">
        <v>43263</v>
      </c>
      <c r="CF163" s="16"/>
      <c r="CG163" s="17"/>
      <c r="CH163" s="16"/>
      <c r="CI163" s="17"/>
      <c r="CJ163" s="16"/>
      <c r="CK163" s="17"/>
      <c r="CL163" s="16"/>
      <c r="CM163" s="17"/>
      <c r="CN163" s="19">
        <v>49.207175267874184</v>
      </c>
      <c r="CO163" s="19"/>
      <c r="CP163" s="17"/>
      <c r="CQ163" s="14" t="s">
        <v>7569</v>
      </c>
      <c r="CR163" s="14" t="s">
        <v>7570</v>
      </c>
      <c r="CS163" s="14" t="s">
        <v>6074</v>
      </c>
    </row>
    <row r="164" spans="1:97" ht="26.15" customHeight="1">
      <c r="A164" s="2">
        <v>534</v>
      </c>
      <c r="B164" s="25" t="s">
        <v>2150</v>
      </c>
      <c r="C164" s="25" t="e">
        <f>VLOOKUP(B164, Sheet6!$A$1:$B$77, 2, FALSE)</f>
        <v>#N/A</v>
      </c>
      <c r="D164" s="25" t="s">
        <v>2151</v>
      </c>
      <c r="E164" s="25" t="s">
        <v>2153</v>
      </c>
      <c r="F164" s="25" t="s">
        <v>10283</v>
      </c>
      <c r="G164" s="25" t="s">
        <v>10952</v>
      </c>
      <c r="H164" s="25" t="s">
        <v>10558</v>
      </c>
      <c r="I164" s="25" t="s">
        <v>10558</v>
      </c>
      <c r="J164" s="25" t="s">
        <v>10784</v>
      </c>
      <c r="L164" s="13">
        <v>2015</v>
      </c>
      <c r="M164" s="14" t="s">
        <v>6630</v>
      </c>
      <c r="N164" s="14" t="s">
        <v>6631</v>
      </c>
      <c r="O164" s="14" t="s">
        <v>6632</v>
      </c>
      <c r="P164" s="15" t="s">
        <v>3117</v>
      </c>
      <c r="Q164" s="16">
        <v>2839000</v>
      </c>
      <c r="R164" s="17">
        <v>42943</v>
      </c>
      <c r="S164" s="16" t="s">
        <v>5022</v>
      </c>
      <c r="T164" s="16">
        <v>2375000</v>
      </c>
      <c r="U164" s="14" t="s">
        <v>109</v>
      </c>
      <c r="V164" s="13">
        <v>4</v>
      </c>
      <c r="W164" s="17">
        <v>44008</v>
      </c>
      <c r="X164" s="14"/>
      <c r="Y164" s="17"/>
      <c r="Z164" s="17"/>
      <c r="AA164" s="14" t="s">
        <v>5426</v>
      </c>
      <c r="AB164" s="14" t="s">
        <v>5427</v>
      </c>
      <c r="AC164" s="14" t="s">
        <v>7571</v>
      </c>
      <c r="AD164" s="20" t="str">
        <f t="shared" si="12"/>
        <v>Crowdfunding &gt; Equity &gt; Agriculture
Crop Tech &gt; Finance &gt; Crowdfunding</v>
      </c>
      <c r="AE164" s="20" t="str">
        <f t="shared" si="11"/>
        <v>Crowdfunding</v>
      </c>
      <c r="AF164" s="20" t="str">
        <f t="shared" si="10"/>
        <v>Equity</v>
      </c>
      <c r="AG164" s="20" t="str">
        <f t="shared" si="10"/>
        <v>Agriculture
Crop Tech</v>
      </c>
      <c r="AH164" s="20" t="str">
        <f t="shared" si="10"/>
        <v>Finance</v>
      </c>
      <c r="AI164" s="20" t="str">
        <f t="shared" si="10"/>
        <v>Crowdfunding</v>
      </c>
      <c r="AJ164" s="20" t="str">
        <f t="shared" si="10"/>
        <v/>
      </c>
      <c r="AK164" s="20" t="str">
        <f t="shared" si="10"/>
        <v/>
      </c>
      <c r="AL164" s="14"/>
      <c r="AM164" s="14"/>
      <c r="AO164" s="14"/>
      <c r="AP164" s="14" t="s">
        <v>6632</v>
      </c>
      <c r="AQ164" s="14" t="s">
        <v>7573</v>
      </c>
      <c r="AR164" s="14"/>
      <c r="AS164" s="14" t="s">
        <v>7574</v>
      </c>
      <c r="AT164" s="14" t="s">
        <v>7575</v>
      </c>
      <c r="AU164" s="14" t="s">
        <v>7576</v>
      </c>
      <c r="AV164" s="18"/>
      <c r="AW164" s="16"/>
      <c r="AX164" s="17"/>
      <c r="AY164" s="15" t="s">
        <v>3123</v>
      </c>
      <c r="AZ164" s="17"/>
      <c r="BA164" s="16"/>
      <c r="BB164" s="14"/>
      <c r="BC164" s="14"/>
      <c r="BD164" s="15" t="s">
        <v>3123</v>
      </c>
      <c r="BE164" s="14"/>
      <c r="BF164" s="17"/>
      <c r="BG164" s="16"/>
      <c r="BH164" s="14"/>
      <c r="BI164" s="15" t="s">
        <v>3123</v>
      </c>
      <c r="BJ164" s="14"/>
      <c r="BK164" s="17"/>
      <c r="BL164" s="16"/>
      <c r="BM164" s="16"/>
      <c r="BN164" s="16"/>
      <c r="BO164" s="16"/>
      <c r="BP164" s="15" t="s">
        <v>3123</v>
      </c>
      <c r="BQ164" s="17"/>
      <c r="BR164" s="14"/>
      <c r="BS164" s="14"/>
      <c r="BT164" s="16"/>
      <c r="BU164" s="16"/>
      <c r="BV164" s="13"/>
      <c r="BW164" s="18" t="s">
        <v>7577</v>
      </c>
      <c r="BX164" s="13">
        <v>200</v>
      </c>
      <c r="BY164" s="17">
        <v>44124</v>
      </c>
      <c r="BZ164" s="18" t="s">
        <v>7578</v>
      </c>
      <c r="CA164" s="18" t="s">
        <v>7579</v>
      </c>
      <c r="CB164" s="18"/>
      <c r="CC164" s="18"/>
      <c r="CD164" s="14" t="s">
        <v>7580</v>
      </c>
      <c r="CE164" s="17">
        <v>42930</v>
      </c>
      <c r="CF164" s="16"/>
      <c r="CG164" s="17"/>
      <c r="CH164" s="16"/>
      <c r="CI164" s="17"/>
      <c r="CJ164" s="16"/>
      <c r="CK164" s="17"/>
      <c r="CL164" s="16"/>
      <c r="CM164" s="17"/>
      <c r="CN164" s="19">
        <v>33.133962369244891</v>
      </c>
      <c r="CO164" s="19"/>
      <c r="CP164" s="17"/>
      <c r="CQ164" s="14" t="s">
        <v>5036</v>
      </c>
      <c r="CR164" s="14" t="s">
        <v>5962</v>
      </c>
      <c r="CS164" s="14" t="s">
        <v>5945</v>
      </c>
    </row>
    <row r="165" spans="1:97" ht="26.15" customHeight="1">
      <c r="A165" s="2">
        <v>115</v>
      </c>
      <c r="B165" s="25" t="s">
        <v>565</v>
      </c>
      <c r="C165" s="25" t="e">
        <f>VLOOKUP(B165, Sheet6!$A$1:$B$77, 2, FALSE)</f>
        <v>#N/A</v>
      </c>
      <c r="D165" s="25" t="s">
        <v>566</v>
      </c>
      <c r="E165" s="25" t="s">
        <v>570</v>
      </c>
      <c r="F165" s="25" t="s">
        <v>6499</v>
      </c>
      <c r="G165" s="25" t="s">
        <v>10955</v>
      </c>
      <c r="H165" s="25" t="s">
        <v>10957</v>
      </c>
      <c r="I165" s="25" t="s">
        <v>10958</v>
      </c>
      <c r="J165" s="26" t="s">
        <v>10965</v>
      </c>
      <c r="L165" s="13">
        <v>2014</v>
      </c>
      <c r="M165" s="14" t="s">
        <v>7581</v>
      </c>
      <c r="N165" s="14" t="s">
        <v>7582</v>
      </c>
      <c r="O165" s="14" t="s">
        <v>2057</v>
      </c>
      <c r="P165" s="15" t="s">
        <v>3117</v>
      </c>
      <c r="Q165" s="16">
        <v>6141730</v>
      </c>
      <c r="R165" s="17">
        <v>43335</v>
      </c>
      <c r="S165" s="16"/>
      <c r="T165" s="16" t="s">
        <v>50</v>
      </c>
      <c r="U165" s="14" t="s">
        <v>25</v>
      </c>
      <c r="V165" s="13"/>
      <c r="W165" s="17"/>
      <c r="X165" s="14"/>
      <c r="Y165" s="17"/>
      <c r="Z165" s="17"/>
      <c r="AA165" s="14" t="s">
        <v>5493</v>
      </c>
      <c r="AB165" s="14" t="s">
        <v>5494</v>
      </c>
      <c r="AC165" s="14" t="s">
        <v>6764</v>
      </c>
      <c r="AD165" s="20" t="str">
        <f t="shared" si="12"/>
        <v>B2B E-Commerce &gt; Agriculture &gt; Marketplace
Crop Tech &gt; ECommerce &gt; Farm Produce &gt; B2B &gt; Fruits and Vegetables &gt; Marketplace</v>
      </c>
      <c r="AE165" s="20" t="str">
        <f t="shared" si="11"/>
        <v>B2B E-Commerce</v>
      </c>
      <c r="AF165" s="20" t="str">
        <f t="shared" si="10"/>
        <v>Agriculture</v>
      </c>
      <c r="AG165" s="20" t="str">
        <f t="shared" si="10"/>
        <v>Marketplace
Crop Tech</v>
      </c>
      <c r="AH165" s="20" t="str">
        <f t="shared" si="10"/>
        <v>ECommerce</v>
      </c>
      <c r="AI165" s="20" t="str">
        <f t="shared" si="10"/>
        <v>Farm Produce</v>
      </c>
      <c r="AJ165" s="20" t="str">
        <f t="shared" si="10"/>
        <v>B2B</v>
      </c>
      <c r="AK165" s="20" t="str">
        <f t="shared" si="10"/>
        <v>Fruits and Vegetables</v>
      </c>
      <c r="AL165" s="14" t="s">
        <v>7583</v>
      </c>
      <c r="AM165" s="14"/>
      <c r="AO165" s="14"/>
      <c r="AP165" s="14" t="s">
        <v>2057</v>
      </c>
      <c r="AQ165" s="14"/>
      <c r="AR165" s="14" t="s">
        <v>7585</v>
      </c>
      <c r="AS165" s="14" t="s">
        <v>7586</v>
      </c>
      <c r="AT165" s="14"/>
      <c r="AU165" s="14"/>
      <c r="AV165" s="18"/>
      <c r="AW165" s="16"/>
      <c r="AX165" s="17"/>
      <c r="AY165" s="15" t="s">
        <v>3123</v>
      </c>
      <c r="AZ165" s="17"/>
      <c r="BA165" s="16"/>
      <c r="BB165" s="14"/>
      <c r="BC165" s="14"/>
      <c r="BD165" s="15" t="s">
        <v>3123</v>
      </c>
      <c r="BE165" s="14"/>
      <c r="BF165" s="17"/>
      <c r="BG165" s="16"/>
      <c r="BH165" s="14"/>
      <c r="BI165" s="15" t="s">
        <v>3123</v>
      </c>
      <c r="BJ165" s="14"/>
      <c r="BK165" s="17"/>
      <c r="BL165" s="16"/>
      <c r="BM165" s="16"/>
      <c r="BN165" s="16"/>
      <c r="BO165" s="16"/>
      <c r="BP165" s="15" t="s">
        <v>3123</v>
      </c>
      <c r="BQ165" s="17"/>
      <c r="BR165" s="14"/>
      <c r="BS165" s="14"/>
      <c r="BT165" s="16"/>
      <c r="BU165" s="16"/>
      <c r="BV165" s="13"/>
      <c r="BW165" s="18" t="s">
        <v>7587</v>
      </c>
      <c r="BX165" s="13">
        <v>-1</v>
      </c>
      <c r="BY165" s="17">
        <v>44124</v>
      </c>
      <c r="BZ165" s="18"/>
      <c r="CA165" s="18"/>
      <c r="CB165" s="18"/>
      <c r="CC165" s="18"/>
      <c r="CD165" s="14" t="s">
        <v>7588</v>
      </c>
      <c r="CE165" s="17">
        <v>43020</v>
      </c>
      <c r="CF165" s="16"/>
      <c r="CG165" s="17"/>
      <c r="CH165" s="16"/>
      <c r="CI165" s="17"/>
      <c r="CJ165" s="16"/>
      <c r="CK165" s="17"/>
      <c r="CL165" s="16"/>
      <c r="CM165" s="17"/>
      <c r="CN165" s="19">
        <v>27.545533698751679</v>
      </c>
      <c r="CO165" s="19"/>
      <c r="CP165" s="17"/>
      <c r="CQ165" s="14" t="s">
        <v>6556</v>
      </c>
      <c r="CR165" s="14" t="s">
        <v>6557</v>
      </c>
      <c r="CS165" s="14" t="s">
        <v>5945</v>
      </c>
    </row>
    <row r="166" spans="1:97" ht="26.15" customHeight="1">
      <c r="A166" s="2">
        <v>396</v>
      </c>
      <c r="B166" s="25" t="s">
        <v>2767</v>
      </c>
      <c r="C166" s="25" t="e">
        <f>VLOOKUP(B166, Sheet6!$A$1:$B$77, 2, FALSE)</f>
        <v>#N/A</v>
      </c>
      <c r="D166" s="25" t="s">
        <v>2768</v>
      </c>
      <c r="E166" s="25" t="s">
        <v>2770</v>
      </c>
      <c r="F166" s="25" t="s">
        <v>9289</v>
      </c>
      <c r="G166" s="25" t="s">
        <v>10955</v>
      </c>
      <c r="H166" s="25" t="s">
        <v>10957</v>
      </c>
      <c r="I166" s="25" t="s">
        <v>10558</v>
      </c>
      <c r="J166" s="25" t="s">
        <v>10846</v>
      </c>
      <c r="L166" s="13">
        <v>2013</v>
      </c>
      <c r="M166" s="14" t="s">
        <v>5592</v>
      </c>
      <c r="N166" s="14" t="s">
        <v>5313</v>
      </c>
      <c r="O166" s="14" t="s">
        <v>3994</v>
      </c>
      <c r="P166" s="15" t="s">
        <v>3117</v>
      </c>
      <c r="Q166" s="16">
        <v>264994</v>
      </c>
      <c r="R166" s="17">
        <v>43552</v>
      </c>
      <c r="S166" s="16" t="s">
        <v>7589</v>
      </c>
      <c r="T166" s="16">
        <v>216833</v>
      </c>
      <c r="U166" s="14" t="s">
        <v>34</v>
      </c>
      <c r="V166" s="13">
        <v>3</v>
      </c>
      <c r="W166" s="17">
        <v>44022</v>
      </c>
      <c r="X166" s="14"/>
      <c r="Y166" s="17"/>
      <c r="Z166" s="17"/>
      <c r="AA166" s="14" t="s">
        <v>1</v>
      </c>
      <c r="AB166" s="14" t="s">
        <v>5007</v>
      </c>
      <c r="AC166" s="14" t="s">
        <v>968</v>
      </c>
      <c r="AD166" s="20" t="str">
        <f t="shared" si="12"/>
        <v>Crop Tech &gt; Content Platforms &gt; Farming Advice &gt; Expert Advisors</v>
      </c>
      <c r="AE166" s="20" t="str">
        <f t="shared" si="11"/>
        <v>Crop Tech</v>
      </c>
      <c r="AF166" s="20" t="str">
        <f t="shared" si="10"/>
        <v>Content Platforms</v>
      </c>
      <c r="AG166" s="20" t="str">
        <f t="shared" si="10"/>
        <v>Farming Advice</v>
      </c>
      <c r="AH166" s="20" t="str">
        <f t="shared" si="10"/>
        <v>Expert Advisors</v>
      </c>
      <c r="AI166" s="20" t="str">
        <f t="shared" si="10"/>
        <v/>
      </c>
      <c r="AJ166" s="20" t="str">
        <f t="shared" si="10"/>
        <v/>
      </c>
      <c r="AK166" s="20" t="str">
        <f t="shared" si="10"/>
        <v/>
      </c>
      <c r="AL166" s="14" t="s">
        <v>1129</v>
      </c>
      <c r="AM166" s="14" t="s">
        <v>7590</v>
      </c>
      <c r="AO166" s="14"/>
      <c r="AP166" s="14" t="s">
        <v>3994</v>
      </c>
      <c r="AQ166" s="14" t="s">
        <v>7592</v>
      </c>
      <c r="AR166" s="14"/>
      <c r="AS166" s="14" t="s">
        <v>7593</v>
      </c>
      <c r="AT166" s="14" t="s">
        <v>7594</v>
      </c>
      <c r="AU166" s="14" t="s">
        <v>7595</v>
      </c>
      <c r="AV166" s="18"/>
      <c r="AW166" s="16">
        <v>33100</v>
      </c>
      <c r="AX166" s="17">
        <v>43465</v>
      </c>
      <c r="AY166" s="15" t="s">
        <v>3123</v>
      </c>
      <c r="AZ166" s="17"/>
      <c r="BA166" s="16"/>
      <c r="BB166" s="14"/>
      <c r="BC166" s="14"/>
      <c r="BD166" s="15" t="s">
        <v>3123</v>
      </c>
      <c r="BE166" s="14"/>
      <c r="BF166" s="17"/>
      <c r="BG166" s="16"/>
      <c r="BH166" s="14"/>
      <c r="BI166" s="15" t="s">
        <v>3123</v>
      </c>
      <c r="BJ166" s="14"/>
      <c r="BK166" s="17"/>
      <c r="BL166" s="16"/>
      <c r="BM166" s="16"/>
      <c r="BN166" s="16"/>
      <c r="BO166" s="16"/>
      <c r="BP166" s="15" t="s">
        <v>3123</v>
      </c>
      <c r="BQ166" s="17"/>
      <c r="BR166" s="14"/>
      <c r="BS166" s="14"/>
      <c r="BT166" s="16"/>
      <c r="BU166" s="16"/>
      <c r="BV166" s="13"/>
      <c r="BW166" s="18" t="s">
        <v>7596</v>
      </c>
      <c r="BX166" s="13">
        <v>200</v>
      </c>
      <c r="BY166" s="17">
        <v>44124</v>
      </c>
      <c r="BZ166" s="18" t="s">
        <v>7597</v>
      </c>
      <c r="CA166" s="18" t="s">
        <v>7598</v>
      </c>
      <c r="CB166" s="18"/>
      <c r="CC166" s="18"/>
      <c r="CD166" s="14" t="s">
        <v>7599</v>
      </c>
      <c r="CE166" s="17">
        <v>43032</v>
      </c>
      <c r="CF166" s="16">
        <v>-38700</v>
      </c>
      <c r="CG166" s="17">
        <v>43465</v>
      </c>
      <c r="CH166" s="16">
        <v>-36600</v>
      </c>
      <c r="CI166" s="17">
        <v>43465</v>
      </c>
      <c r="CJ166" s="16">
        <v>1000000</v>
      </c>
      <c r="CK166" s="17">
        <v>43552</v>
      </c>
      <c r="CL166" s="16">
        <v>62</v>
      </c>
      <c r="CM166" s="17">
        <v>43921</v>
      </c>
      <c r="CN166" s="19">
        <v>22.520556200848389</v>
      </c>
      <c r="CO166" s="19"/>
      <c r="CP166" s="17"/>
      <c r="CQ166" s="14" t="s">
        <v>5345</v>
      </c>
      <c r="CR166" s="14" t="s">
        <v>7272</v>
      </c>
      <c r="CS166" s="14" t="s">
        <v>5945</v>
      </c>
    </row>
    <row r="167" spans="1:97" ht="26.15" customHeight="1">
      <c r="A167" s="2">
        <v>80</v>
      </c>
      <c r="B167" s="25" t="s">
        <v>807</v>
      </c>
      <c r="C167" s="25" t="e">
        <f>VLOOKUP(B167, Sheet6!$A$1:$B$77, 2, FALSE)</f>
        <v>#N/A</v>
      </c>
      <c r="D167" s="25" t="s">
        <v>808</v>
      </c>
      <c r="E167" s="25" t="s">
        <v>810</v>
      </c>
      <c r="F167" s="25" t="s">
        <v>6053</v>
      </c>
      <c r="G167" s="25" t="s">
        <v>10954</v>
      </c>
      <c r="H167" s="25" t="s">
        <v>10959</v>
      </c>
      <c r="I167" s="25" t="s">
        <v>10958</v>
      </c>
      <c r="J167" s="26" t="s">
        <v>10846</v>
      </c>
      <c r="L167" s="13">
        <v>2014</v>
      </c>
      <c r="M167" s="14" t="s">
        <v>5719</v>
      </c>
      <c r="N167" s="14" t="s">
        <v>5720</v>
      </c>
      <c r="O167" s="14" t="s">
        <v>2057</v>
      </c>
      <c r="P167" s="15" t="s">
        <v>3117</v>
      </c>
      <c r="Q167" s="16">
        <v>14470000</v>
      </c>
      <c r="R167" s="17">
        <v>43202</v>
      </c>
      <c r="S167" s="16"/>
      <c r="T167" s="16" t="s">
        <v>50</v>
      </c>
      <c r="U167" s="14" t="s">
        <v>95</v>
      </c>
      <c r="V167" s="13">
        <v>4</v>
      </c>
      <c r="W167" s="17">
        <v>44013</v>
      </c>
      <c r="X167" s="14"/>
      <c r="Y167" s="17"/>
      <c r="Z167" s="17"/>
      <c r="AA167" s="14" t="s">
        <v>5426</v>
      </c>
      <c r="AB167" s="14" t="s">
        <v>6018</v>
      </c>
      <c r="AC167" s="14" t="s">
        <v>7600</v>
      </c>
      <c r="AD167" s="20" t="str">
        <f t="shared" si="12"/>
        <v>Alternative Lending &gt; Online Lenders &gt; Business Loans &gt; Equipment Financing &gt; Marketplace
Crop Tech &gt; Finance &gt; Loans</v>
      </c>
      <c r="AE167" s="20" t="str">
        <f t="shared" si="11"/>
        <v>Alternative Lending</v>
      </c>
      <c r="AF167" s="20" t="str">
        <f t="shared" si="10"/>
        <v>Online Lenders</v>
      </c>
      <c r="AG167" s="20" t="str">
        <f t="shared" si="10"/>
        <v>Business Loans</v>
      </c>
      <c r="AH167" s="20" t="str">
        <f t="shared" si="10"/>
        <v>Equipment Financing</v>
      </c>
      <c r="AI167" s="20" t="str">
        <f t="shared" si="10"/>
        <v>Marketplace
Crop Tech</v>
      </c>
      <c r="AJ167" s="20" t="str">
        <f t="shared" si="10"/>
        <v>Finance</v>
      </c>
      <c r="AK167" s="20" t="str">
        <f t="shared" si="10"/>
        <v>Loans</v>
      </c>
      <c r="AL167" s="14" t="s">
        <v>7601</v>
      </c>
      <c r="AM167" s="14"/>
      <c r="AO167" s="14"/>
      <c r="AP167" s="14" t="s">
        <v>2057</v>
      </c>
      <c r="AQ167" s="14"/>
      <c r="AR167" s="14"/>
      <c r="AS167" s="14" t="s">
        <v>7603</v>
      </c>
      <c r="AT167" s="14"/>
      <c r="AU167" s="14"/>
      <c r="AV167" s="18"/>
      <c r="AW167" s="16"/>
      <c r="AX167" s="17"/>
      <c r="AY167" s="15" t="s">
        <v>3123</v>
      </c>
      <c r="AZ167" s="17"/>
      <c r="BA167" s="16"/>
      <c r="BB167" s="14"/>
      <c r="BC167" s="14"/>
      <c r="BD167" s="15" t="s">
        <v>3123</v>
      </c>
      <c r="BE167" s="14"/>
      <c r="BF167" s="17"/>
      <c r="BG167" s="16"/>
      <c r="BH167" s="14"/>
      <c r="BI167" s="15" t="s">
        <v>3123</v>
      </c>
      <c r="BJ167" s="14"/>
      <c r="BK167" s="17"/>
      <c r="BL167" s="16"/>
      <c r="BM167" s="16"/>
      <c r="BN167" s="16"/>
      <c r="BO167" s="16"/>
      <c r="BP167" s="15" t="s">
        <v>3123</v>
      </c>
      <c r="BQ167" s="17"/>
      <c r="BR167" s="14"/>
      <c r="BS167" s="14"/>
      <c r="BT167" s="16"/>
      <c r="BU167" s="16"/>
      <c r="BV167" s="13"/>
      <c r="BW167" s="18" t="s">
        <v>7604</v>
      </c>
      <c r="BX167" s="13">
        <v>200</v>
      </c>
      <c r="BY167" s="17">
        <v>44124</v>
      </c>
      <c r="BZ167" s="18"/>
      <c r="CA167" s="18"/>
      <c r="CB167" s="18"/>
      <c r="CC167" s="18"/>
      <c r="CD167" s="14" t="s">
        <v>7605</v>
      </c>
      <c r="CE167" s="17">
        <v>42768</v>
      </c>
      <c r="CF167" s="16"/>
      <c r="CG167" s="17"/>
      <c r="CH167" s="16"/>
      <c r="CI167" s="17"/>
      <c r="CJ167" s="16"/>
      <c r="CK167" s="17"/>
      <c r="CL167" s="16"/>
      <c r="CM167" s="17"/>
      <c r="CN167" s="19">
        <v>41.255255272855273</v>
      </c>
      <c r="CO167" s="19"/>
      <c r="CP167" s="17"/>
      <c r="CQ167" s="14" t="s">
        <v>7606</v>
      </c>
      <c r="CR167" s="14" t="s">
        <v>7607</v>
      </c>
      <c r="CS167" s="14" t="s">
        <v>5945</v>
      </c>
    </row>
    <row r="168" spans="1:97" ht="26.15" customHeight="1">
      <c r="A168" s="2">
        <v>244</v>
      </c>
      <c r="B168" s="25" t="s">
        <v>1505</v>
      </c>
      <c r="C168" s="25" t="e">
        <f>VLOOKUP(B168, Sheet6!$A$1:$B$77, 2, FALSE)</f>
        <v>#N/A</v>
      </c>
      <c r="D168" s="25" t="s">
        <v>1506</v>
      </c>
      <c r="E168" s="25" t="s">
        <v>1508</v>
      </c>
      <c r="F168" s="25" t="s">
        <v>8067</v>
      </c>
      <c r="G168" s="25" t="s">
        <v>10955</v>
      </c>
      <c r="H168" s="25" t="s">
        <v>10558</v>
      </c>
      <c r="I168" s="25" t="s">
        <v>10558</v>
      </c>
      <c r="J168" s="25" t="s">
        <v>10811</v>
      </c>
      <c r="L168" s="13">
        <v>2006</v>
      </c>
      <c r="M168" s="14" t="s">
        <v>7608</v>
      </c>
      <c r="N168" s="14" t="s">
        <v>7609</v>
      </c>
      <c r="O168" s="14" t="s">
        <v>4343</v>
      </c>
      <c r="P168" s="15" t="s">
        <v>3117</v>
      </c>
      <c r="Q168" s="16">
        <v>40000000</v>
      </c>
      <c r="R168" s="17">
        <v>43227</v>
      </c>
      <c r="S168" s="16" t="s">
        <v>5165</v>
      </c>
      <c r="T168" s="16">
        <v>10000000</v>
      </c>
      <c r="U168" s="14" t="s">
        <v>95</v>
      </c>
      <c r="V168" s="13">
        <v>4</v>
      </c>
      <c r="W168" s="17">
        <v>43977</v>
      </c>
      <c r="X168" s="14"/>
      <c r="Y168" s="17"/>
      <c r="Z168" s="17"/>
      <c r="AA168" s="14" t="s">
        <v>1</v>
      </c>
      <c r="AB168" s="14" t="s">
        <v>5007</v>
      </c>
      <c r="AC168" s="14" t="s">
        <v>1684</v>
      </c>
      <c r="AD168" s="20" t="str">
        <f t="shared" si="12"/>
        <v>Crop Tech &gt; Farm Inputs &gt; Tissue Culture</v>
      </c>
      <c r="AE168" s="20" t="str">
        <f t="shared" si="11"/>
        <v>Crop Tech</v>
      </c>
      <c r="AF168" s="20" t="str">
        <f t="shared" si="10"/>
        <v>Farm Inputs</v>
      </c>
      <c r="AG168" s="20" t="str">
        <f t="shared" si="10"/>
        <v>Tissue Culture</v>
      </c>
      <c r="AH168" s="20" t="str">
        <f t="shared" si="10"/>
        <v/>
      </c>
      <c r="AI168" s="20" t="str">
        <f t="shared" si="10"/>
        <v/>
      </c>
      <c r="AJ168" s="20" t="str">
        <f t="shared" si="10"/>
        <v/>
      </c>
      <c r="AK168" s="20" t="str">
        <f t="shared" si="10"/>
        <v/>
      </c>
      <c r="AL168" s="14" t="s">
        <v>7610</v>
      </c>
      <c r="AM168" s="14"/>
      <c r="AO168" s="14"/>
      <c r="AP168" s="14" t="s">
        <v>4343</v>
      </c>
      <c r="AQ168" s="14"/>
      <c r="AR168" s="14"/>
      <c r="AS168" s="14" t="s">
        <v>7612</v>
      </c>
      <c r="AT168" s="14" t="s">
        <v>7613</v>
      </c>
      <c r="AU168" s="14" t="s">
        <v>7614</v>
      </c>
      <c r="AV168" s="18"/>
      <c r="AW168" s="16"/>
      <c r="AX168" s="17"/>
      <c r="AY168" s="15" t="s">
        <v>3123</v>
      </c>
      <c r="AZ168" s="17"/>
      <c r="BA168" s="16"/>
      <c r="BB168" s="14"/>
      <c r="BC168" s="14"/>
      <c r="BD168" s="15" t="s">
        <v>3123</v>
      </c>
      <c r="BE168" s="14"/>
      <c r="BF168" s="17"/>
      <c r="BG168" s="16"/>
      <c r="BH168" s="14"/>
      <c r="BI168" s="15" t="s">
        <v>3123</v>
      </c>
      <c r="BJ168" s="14"/>
      <c r="BK168" s="17"/>
      <c r="BL168" s="16"/>
      <c r="BM168" s="16"/>
      <c r="BN168" s="16"/>
      <c r="BO168" s="16"/>
      <c r="BP168" s="15" t="s">
        <v>3123</v>
      </c>
      <c r="BQ168" s="17"/>
      <c r="BR168" s="14"/>
      <c r="BS168" s="14"/>
      <c r="BT168" s="16"/>
      <c r="BU168" s="16"/>
      <c r="BV168" s="13"/>
      <c r="BW168" s="18" t="s">
        <v>7615</v>
      </c>
      <c r="BX168" s="13">
        <v>200</v>
      </c>
      <c r="BY168" s="17">
        <v>44124</v>
      </c>
      <c r="BZ168" s="18" t="s">
        <v>7616</v>
      </c>
      <c r="CA168" s="18"/>
      <c r="CB168" s="18"/>
      <c r="CC168" s="18"/>
      <c r="CD168" s="14" t="s">
        <v>7617</v>
      </c>
      <c r="CE168" s="17">
        <v>42983</v>
      </c>
      <c r="CF168" s="16"/>
      <c r="CG168" s="17"/>
      <c r="CH168" s="16"/>
      <c r="CI168" s="17"/>
      <c r="CJ168" s="16"/>
      <c r="CK168" s="17"/>
      <c r="CL168" s="16"/>
      <c r="CM168" s="17"/>
      <c r="CN168" s="19">
        <v>39.768229759844118</v>
      </c>
      <c r="CO168" s="19"/>
      <c r="CP168" s="17"/>
      <c r="CQ168" s="14" t="s">
        <v>5345</v>
      </c>
      <c r="CR168" s="14" t="s">
        <v>7272</v>
      </c>
      <c r="CS168" s="14" t="s">
        <v>5945</v>
      </c>
    </row>
    <row r="169" spans="1:97" ht="26.15" customHeight="1">
      <c r="A169" s="2">
        <v>188</v>
      </c>
      <c r="B169" s="25" t="s">
        <v>2073</v>
      </c>
      <c r="C169" s="25" t="e">
        <f>VLOOKUP(B169, Sheet6!$A$1:$B$77, 2, FALSE)</f>
        <v>#N/A</v>
      </c>
      <c r="D169" s="25" t="s">
        <v>2074</v>
      </c>
      <c r="E169" s="25" t="s">
        <v>2076</v>
      </c>
      <c r="F169" s="25" t="s">
        <v>7384</v>
      </c>
      <c r="G169" s="25" t="s">
        <v>10952</v>
      </c>
      <c r="H169" s="25" t="s">
        <v>10959</v>
      </c>
      <c r="I169" s="25" t="s">
        <v>10958</v>
      </c>
      <c r="J169" s="26" t="s">
        <v>10780</v>
      </c>
      <c r="L169" s="13">
        <v>2016</v>
      </c>
      <c r="M169" s="14" t="s">
        <v>7285</v>
      </c>
      <c r="N169" s="14" t="s">
        <v>7285</v>
      </c>
      <c r="O169" s="14" t="s">
        <v>5277</v>
      </c>
      <c r="P169" s="15" t="s">
        <v>3117</v>
      </c>
      <c r="Q169" s="16">
        <v>5500000</v>
      </c>
      <c r="R169" s="17">
        <v>44055</v>
      </c>
      <c r="S169" s="16" t="s">
        <v>6481</v>
      </c>
      <c r="T169" s="16">
        <v>5500000</v>
      </c>
      <c r="U169" s="14" t="s">
        <v>109</v>
      </c>
      <c r="V169" s="13">
        <v>4</v>
      </c>
      <c r="W169" s="17">
        <v>44081</v>
      </c>
      <c r="X169" s="14" t="s">
        <v>5052</v>
      </c>
      <c r="Y169" s="17">
        <v>44060</v>
      </c>
      <c r="Z169" s="17">
        <v>44055</v>
      </c>
      <c r="AA169" s="14" t="s">
        <v>1</v>
      </c>
      <c r="AB169" s="14" t="s">
        <v>5135</v>
      </c>
      <c r="AC169" s="14" t="s">
        <v>7629</v>
      </c>
      <c r="AD169" s="20" t="str">
        <f t="shared" si="12"/>
        <v>Aquaculture Tech &gt; ECommerce &gt; Farm Produce &gt; B2C &gt; Fish &gt; Marketplace</v>
      </c>
      <c r="AE169" s="20" t="str">
        <f t="shared" si="11"/>
        <v>Aquaculture Tech</v>
      </c>
      <c r="AF169" s="20" t="str">
        <f t="shared" si="10"/>
        <v>ECommerce</v>
      </c>
      <c r="AG169" s="20" t="str">
        <f t="shared" si="10"/>
        <v>Farm Produce</v>
      </c>
      <c r="AH169" s="20" t="str">
        <f t="shared" si="10"/>
        <v>B2C</v>
      </c>
      <c r="AI169" s="20" t="str">
        <f t="shared" si="10"/>
        <v>Fish</v>
      </c>
      <c r="AJ169" s="20" t="str">
        <f t="shared" si="10"/>
        <v>Marketplace</v>
      </c>
      <c r="AK169" s="20" t="str">
        <f t="shared" si="10"/>
        <v/>
      </c>
      <c r="AL169" s="14" t="s">
        <v>7630</v>
      </c>
      <c r="AM169" s="14"/>
      <c r="AO169" s="14"/>
      <c r="AP169" s="14" t="s">
        <v>5277</v>
      </c>
      <c r="AQ169" s="14"/>
      <c r="AR169" s="14"/>
      <c r="AS169" s="14" t="s">
        <v>7632</v>
      </c>
      <c r="AT169" s="14" t="s">
        <v>7633</v>
      </c>
      <c r="AU169" s="14" t="s">
        <v>7634</v>
      </c>
      <c r="AV169" s="18"/>
      <c r="AW169" s="16"/>
      <c r="AX169" s="17"/>
      <c r="AY169" s="15" t="s">
        <v>3123</v>
      </c>
      <c r="AZ169" s="17"/>
      <c r="BA169" s="16"/>
      <c r="BB169" s="14"/>
      <c r="BC169" s="14"/>
      <c r="BD169" s="15" t="s">
        <v>3123</v>
      </c>
      <c r="BE169" s="14"/>
      <c r="BF169" s="17"/>
      <c r="BG169" s="16"/>
      <c r="BH169" s="14"/>
      <c r="BI169" s="15" t="s">
        <v>3123</v>
      </c>
      <c r="BJ169" s="14"/>
      <c r="BK169" s="17"/>
      <c r="BL169" s="16"/>
      <c r="BM169" s="16"/>
      <c r="BN169" s="16"/>
      <c r="BO169" s="16"/>
      <c r="BP169" s="15" t="s">
        <v>3123</v>
      </c>
      <c r="BQ169" s="17"/>
      <c r="BR169" s="14"/>
      <c r="BS169" s="14"/>
      <c r="BT169" s="16"/>
      <c r="BU169" s="16"/>
      <c r="BV169" s="13"/>
      <c r="BW169" s="18" t="s">
        <v>7635</v>
      </c>
      <c r="BX169" s="13">
        <v>200</v>
      </c>
      <c r="BY169" s="17">
        <v>44124</v>
      </c>
      <c r="BZ169" s="18" t="s">
        <v>7636</v>
      </c>
      <c r="CA169" s="18"/>
      <c r="CB169" s="18"/>
      <c r="CC169" s="18"/>
      <c r="CD169" s="14" t="s">
        <v>7637</v>
      </c>
      <c r="CE169" s="17">
        <v>43140</v>
      </c>
      <c r="CF169" s="16"/>
      <c r="CG169" s="17"/>
      <c r="CH169" s="16"/>
      <c r="CI169" s="17"/>
      <c r="CJ169" s="16"/>
      <c r="CK169" s="17"/>
      <c r="CL169" s="16"/>
      <c r="CM169" s="17"/>
      <c r="CN169" s="19">
        <v>41.994332667315881</v>
      </c>
      <c r="CO169" s="19"/>
      <c r="CP169" s="17"/>
      <c r="CQ169" s="14" t="s">
        <v>7284</v>
      </c>
      <c r="CR169" s="14" t="s">
        <v>6002</v>
      </c>
      <c r="CS169" s="14" t="s">
        <v>5945</v>
      </c>
    </row>
    <row r="170" spans="1:97" ht="26.15" customHeight="1">
      <c r="A170" s="2">
        <v>117</v>
      </c>
      <c r="B170" s="25" t="s">
        <v>1347</v>
      </c>
      <c r="C170" s="25" t="e">
        <f>VLOOKUP(B170, Sheet6!$A$1:$B$77, 2, FALSE)</f>
        <v>#N/A</v>
      </c>
      <c r="D170" s="25" t="s">
        <v>1348</v>
      </c>
      <c r="E170" s="25" t="s">
        <v>1351</v>
      </c>
      <c r="F170" s="25" t="s">
        <v>6528</v>
      </c>
      <c r="G170" s="25" t="s">
        <v>10952</v>
      </c>
      <c r="H170" s="25" t="s">
        <v>10959</v>
      </c>
      <c r="I170" s="25" t="s">
        <v>10958</v>
      </c>
      <c r="J170" s="26" t="s">
        <v>10780</v>
      </c>
      <c r="L170" s="13">
        <v>2014</v>
      </c>
      <c r="M170" s="14" t="s">
        <v>7648</v>
      </c>
      <c r="N170" s="14" t="s">
        <v>5152</v>
      </c>
      <c r="O170" s="14" t="s">
        <v>2057</v>
      </c>
      <c r="P170" s="15" t="s">
        <v>3117</v>
      </c>
      <c r="Q170" s="16">
        <v>10000000</v>
      </c>
      <c r="R170" s="17">
        <v>42922</v>
      </c>
      <c r="S170" s="16" t="s">
        <v>5165</v>
      </c>
      <c r="T170" s="16">
        <v>10000000</v>
      </c>
      <c r="U170" s="14" t="s">
        <v>5630</v>
      </c>
      <c r="V170" s="13"/>
      <c r="W170" s="17"/>
      <c r="X170" s="14"/>
      <c r="Y170" s="17"/>
      <c r="Z170" s="17"/>
      <c r="AA170" s="14" t="s">
        <v>7649</v>
      </c>
      <c r="AB170" s="14" t="s">
        <v>7650</v>
      </c>
      <c r="AC170" s="14" t="s">
        <v>7651</v>
      </c>
      <c r="AD170" s="20" t="str">
        <f t="shared" si="12"/>
        <v>Logistics Tech &gt; Parcel &gt; Hyperlocal &gt; B2C &gt; Grocery
Online Grocery &gt; B2C Ecommerce &gt; Multi Category &gt; Marketplace &gt; Own Delivery Fleet
Crop Tech &gt; ECommerce &gt; Farm Produce &gt; B2C &gt; Fruits and Vegetables &gt; Marketplace</v>
      </c>
      <c r="AE170" s="20" t="str">
        <f t="shared" si="11"/>
        <v>Logistics Tech</v>
      </c>
      <c r="AF170" s="20" t="str">
        <f t="shared" si="10"/>
        <v>Parcel</v>
      </c>
      <c r="AG170" s="20" t="str">
        <f t="shared" si="10"/>
        <v>Hyperlocal</v>
      </c>
      <c r="AH170" s="20" t="str">
        <f t="shared" si="10"/>
        <v>B2C</v>
      </c>
      <c r="AI170" s="20" t="str">
        <f t="shared" si="10"/>
        <v>Grocery
Online Grocery</v>
      </c>
      <c r="AJ170" s="20" t="str">
        <f t="shared" si="10"/>
        <v>B2C Ecommerce</v>
      </c>
      <c r="AK170" s="20" t="str">
        <f t="shared" si="10"/>
        <v>Multi Category</v>
      </c>
      <c r="AL170" s="14" t="s">
        <v>7652</v>
      </c>
      <c r="AM170" s="14"/>
      <c r="AO170" s="14"/>
      <c r="AP170" s="14" t="s">
        <v>2057</v>
      </c>
      <c r="AQ170" s="14"/>
      <c r="AR170" s="14"/>
      <c r="AS170" s="14"/>
      <c r="AT170" s="14"/>
      <c r="AU170" s="14"/>
      <c r="AV170" s="18"/>
      <c r="AW170" s="16"/>
      <c r="AX170" s="17"/>
      <c r="AY170" s="15" t="s">
        <v>3123</v>
      </c>
      <c r="AZ170" s="17"/>
      <c r="BA170" s="16"/>
      <c r="BB170" s="14"/>
      <c r="BC170" s="14"/>
      <c r="BD170" s="15" t="s">
        <v>3123</v>
      </c>
      <c r="BE170" s="14"/>
      <c r="BF170" s="17"/>
      <c r="BG170" s="16"/>
      <c r="BH170" s="14"/>
      <c r="BI170" s="15" t="s">
        <v>3123</v>
      </c>
      <c r="BJ170" s="14"/>
      <c r="BK170" s="17"/>
      <c r="BL170" s="16"/>
      <c r="BM170" s="16"/>
      <c r="BN170" s="16"/>
      <c r="BO170" s="16"/>
      <c r="BP170" s="15" t="s">
        <v>3117</v>
      </c>
      <c r="BQ170" s="17">
        <v>42156</v>
      </c>
      <c r="BR170" s="14"/>
      <c r="BS170" s="14"/>
      <c r="BT170" s="16"/>
      <c r="BU170" s="16"/>
      <c r="BV170" s="13"/>
      <c r="BW170" s="18" t="s">
        <v>7654</v>
      </c>
      <c r="BX170" s="13">
        <v>-1</v>
      </c>
      <c r="BY170" s="17">
        <v>44124</v>
      </c>
      <c r="BZ170" s="18"/>
      <c r="CA170" s="18" t="s">
        <v>7655</v>
      </c>
      <c r="CB170" s="18"/>
      <c r="CC170" s="18"/>
      <c r="CD170" s="14" t="s">
        <v>7656</v>
      </c>
      <c r="CE170" s="17">
        <v>43021</v>
      </c>
      <c r="CF170" s="16"/>
      <c r="CG170" s="17"/>
      <c r="CH170" s="16"/>
      <c r="CI170" s="17"/>
      <c r="CJ170" s="16"/>
      <c r="CK170" s="17"/>
      <c r="CL170" s="16"/>
      <c r="CM170" s="17"/>
      <c r="CN170" s="19">
        <v>24.225459432865986</v>
      </c>
      <c r="CO170" s="19"/>
      <c r="CP170" s="17"/>
      <c r="CQ170" s="14" t="s">
        <v>7606</v>
      </c>
      <c r="CR170" s="14" t="s">
        <v>7607</v>
      </c>
      <c r="CS170" s="14" t="s">
        <v>5945</v>
      </c>
    </row>
    <row r="171" spans="1:97" ht="26.15" customHeight="1">
      <c r="A171" s="2">
        <v>87</v>
      </c>
      <c r="B171" s="25" t="s">
        <v>1225</v>
      </c>
      <c r="C171" s="25" t="e">
        <f>VLOOKUP(B171, Sheet6!$A$1:$B$77, 2, FALSE)</f>
        <v>#N/A</v>
      </c>
      <c r="D171" s="25" t="s">
        <v>1226</v>
      </c>
      <c r="E171" s="25" t="s">
        <v>1229</v>
      </c>
      <c r="F171" s="25" t="s">
        <v>6147</v>
      </c>
      <c r="G171" s="25" t="s">
        <v>10955</v>
      </c>
      <c r="H171" s="25" t="s">
        <v>10959</v>
      </c>
      <c r="I171" s="25" t="s">
        <v>10958</v>
      </c>
      <c r="J171" s="26" t="s">
        <v>10846</v>
      </c>
      <c r="L171" s="13">
        <v>2003</v>
      </c>
      <c r="M171" s="14" t="s">
        <v>7657</v>
      </c>
      <c r="N171" s="14" t="s">
        <v>7658</v>
      </c>
      <c r="O171" s="14" t="s">
        <v>5524</v>
      </c>
      <c r="P171" s="15" t="s">
        <v>3117</v>
      </c>
      <c r="Q171" s="16"/>
      <c r="R171" s="17">
        <v>43634</v>
      </c>
      <c r="S171" s="16"/>
      <c r="T171" s="16" t="s">
        <v>50</v>
      </c>
      <c r="U171" s="14" t="s">
        <v>5040</v>
      </c>
      <c r="V171" s="13">
        <v>5</v>
      </c>
      <c r="W171" s="17">
        <v>44021</v>
      </c>
      <c r="X171" s="14"/>
      <c r="Y171" s="17"/>
      <c r="Z171" s="17"/>
      <c r="AA171" s="14" t="s">
        <v>1</v>
      </c>
      <c r="AB171" s="14" t="s">
        <v>5007</v>
      </c>
      <c r="AC171" s="14" t="s">
        <v>968</v>
      </c>
      <c r="AD171" s="20" t="str">
        <f t="shared" si="12"/>
        <v>Crop Tech &gt; Content Platforms &gt; Farming Advice &gt; Expert Advisors</v>
      </c>
      <c r="AE171" s="20" t="str">
        <f t="shared" si="11"/>
        <v>Crop Tech</v>
      </c>
      <c r="AF171" s="20" t="str">
        <f t="shared" si="10"/>
        <v>Content Platforms</v>
      </c>
      <c r="AG171" s="20" t="str">
        <f t="shared" si="10"/>
        <v>Farming Advice</v>
      </c>
      <c r="AH171" s="20" t="str">
        <f t="shared" si="10"/>
        <v>Expert Advisors</v>
      </c>
      <c r="AI171" s="20" t="str">
        <f t="shared" si="10"/>
        <v/>
      </c>
      <c r="AJ171" s="20" t="str">
        <f t="shared" si="10"/>
        <v/>
      </c>
      <c r="AK171" s="20" t="str">
        <f t="shared" si="10"/>
        <v/>
      </c>
      <c r="AL171" s="14" t="s">
        <v>7659</v>
      </c>
      <c r="AM171" s="14"/>
      <c r="AO171" s="14"/>
      <c r="AP171" s="14" t="s">
        <v>5524</v>
      </c>
      <c r="AQ171" s="14" t="s">
        <v>7661</v>
      </c>
      <c r="AR171" s="14"/>
      <c r="AS171" s="14" t="s">
        <v>7662</v>
      </c>
      <c r="AT171" s="14" t="s">
        <v>7663</v>
      </c>
      <c r="AU171" s="14" t="s">
        <v>7664</v>
      </c>
      <c r="AV171" s="18" t="s">
        <v>7665</v>
      </c>
      <c r="AW171" s="16"/>
      <c r="AX171" s="17"/>
      <c r="AY171" s="15" t="s">
        <v>3123</v>
      </c>
      <c r="AZ171" s="17"/>
      <c r="BA171" s="16"/>
      <c r="BB171" s="14"/>
      <c r="BC171" s="14"/>
      <c r="BD171" s="15" t="s">
        <v>3123</v>
      </c>
      <c r="BE171" s="14"/>
      <c r="BF171" s="17"/>
      <c r="BG171" s="16"/>
      <c r="BH171" s="14"/>
      <c r="BI171" s="15" t="s">
        <v>3123</v>
      </c>
      <c r="BJ171" s="14"/>
      <c r="BK171" s="17"/>
      <c r="BL171" s="16"/>
      <c r="BM171" s="16"/>
      <c r="BN171" s="16"/>
      <c r="BO171" s="16"/>
      <c r="BP171" s="15" t="s">
        <v>3123</v>
      </c>
      <c r="BQ171" s="17"/>
      <c r="BR171" s="14"/>
      <c r="BS171" s="14"/>
      <c r="BT171" s="16"/>
      <c r="BU171" s="16"/>
      <c r="BV171" s="13"/>
      <c r="BW171" s="18" t="s">
        <v>7666</v>
      </c>
      <c r="BX171" s="13">
        <v>200</v>
      </c>
      <c r="BY171" s="17">
        <v>44125</v>
      </c>
      <c r="BZ171" s="18" t="s">
        <v>7667</v>
      </c>
      <c r="CA171" s="18" t="s">
        <v>7668</v>
      </c>
      <c r="CB171" s="18" t="s">
        <v>7669</v>
      </c>
      <c r="CC171" s="18" t="s">
        <v>7670</v>
      </c>
      <c r="CD171" s="14" t="s">
        <v>7671</v>
      </c>
      <c r="CE171" s="17">
        <v>43032</v>
      </c>
      <c r="CF171" s="16"/>
      <c r="CG171" s="17"/>
      <c r="CH171" s="16"/>
      <c r="CI171" s="17"/>
      <c r="CJ171" s="16"/>
      <c r="CK171" s="17"/>
      <c r="CL171" s="16"/>
      <c r="CM171" s="17"/>
      <c r="CN171" s="19">
        <v>52.52492742338773</v>
      </c>
      <c r="CO171" s="19"/>
      <c r="CP171" s="17"/>
      <c r="CQ171" s="14" t="s">
        <v>5345</v>
      </c>
      <c r="CR171" s="14" t="s">
        <v>7272</v>
      </c>
      <c r="CS171" s="14" t="s">
        <v>5945</v>
      </c>
    </row>
    <row r="172" spans="1:97" ht="26.15" customHeight="1">
      <c r="A172" s="2">
        <v>65</v>
      </c>
      <c r="B172" s="25" t="s">
        <v>737</v>
      </c>
      <c r="C172" s="25" t="e">
        <f>VLOOKUP(B172, Sheet6!$A$1:$B$77, 2, FALSE)</f>
        <v>#N/A</v>
      </c>
      <c r="D172" s="25" t="s">
        <v>738</v>
      </c>
      <c r="E172" s="25" t="s">
        <v>741</v>
      </c>
      <c r="F172" s="25" t="s">
        <v>5848</v>
      </c>
      <c r="G172" s="25" t="s">
        <v>10962</v>
      </c>
      <c r="H172" s="25" t="s">
        <v>10957</v>
      </c>
      <c r="I172" s="25" t="s">
        <v>10958</v>
      </c>
      <c r="J172" s="26" t="s">
        <v>10963</v>
      </c>
      <c r="L172" s="13">
        <v>2015</v>
      </c>
      <c r="M172" s="14" t="s">
        <v>5005</v>
      </c>
      <c r="N172" s="14" t="s">
        <v>5006</v>
      </c>
      <c r="O172" s="14" t="s">
        <v>3994</v>
      </c>
      <c r="P172" s="15" t="s">
        <v>3117</v>
      </c>
      <c r="Q172" s="16">
        <v>36777</v>
      </c>
      <c r="R172" s="17">
        <v>43236</v>
      </c>
      <c r="S172" s="16" t="s">
        <v>7672</v>
      </c>
      <c r="T172" s="16">
        <v>36777</v>
      </c>
      <c r="U172" s="14" t="s">
        <v>34</v>
      </c>
      <c r="V172" s="13">
        <v>3</v>
      </c>
      <c r="W172" s="17">
        <v>44003</v>
      </c>
      <c r="X172" s="14"/>
      <c r="Y172" s="17"/>
      <c r="Z172" s="17"/>
      <c r="AA172" s="14" t="s">
        <v>1</v>
      </c>
      <c r="AB172" s="14" t="s">
        <v>5007</v>
      </c>
      <c r="AC172" s="14" t="s">
        <v>6067</v>
      </c>
      <c r="AD172" s="20" t="str">
        <f t="shared" si="12"/>
        <v>Crop Tech &gt; Farm Analytics &gt; Multispectral Sensing</v>
      </c>
      <c r="AE172" s="20" t="str">
        <f t="shared" si="11"/>
        <v>Crop Tech</v>
      </c>
      <c r="AF172" s="20" t="str">
        <f t="shared" si="10"/>
        <v>Farm Analytics</v>
      </c>
      <c r="AG172" s="20" t="str">
        <f t="shared" si="10"/>
        <v>Multispectral Sensing</v>
      </c>
      <c r="AH172" s="20" t="str">
        <f t="shared" si="10"/>
        <v/>
      </c>
      <c r="AI172" s="20" t="str">
        <f t="shared" si="10"/>
        <v/>
      </c>
      <c r="AJ172" s="20" t="str">
        <f t="shared" si="10"/>
        <v/>
      </c>
      <c r="AK172" s="20" t="str">
        <f t="shared" si="10"/>
        <v/>
      </c>
      <c r="AL172" s="14" t="s">
        <v>7673</v>
      </c>
      <c r="AM172" s="14"/>
      <c r="AO172" s="14"/>
      <c r="AP172" s="14" t="s">
        <v>3994</v>
      </c>
      <c r="AQ172" s="14" t="s">
        <v>7675</v>
      </c>
      <c r="AR172" s="14"/>
      <c r="AS172" s="14" t="s">
        <v>7676</v>
      </c>
      <c r="AT172" s="14" t="s">
        <v>7677</v>
      </c>
      <c r="AU172" s="14" t="s">
        <v>7678</v>
      </c>
      <c r="AV172" s="18"/>
      <c r="AW172" s="16">
        <v>62400</v>
      </c>
      <c r="AX172" s="17">
        <v>43465</v>
      </c>
      <c r="AY172" s="15" t="s">
        <v>3123</v>
      </c>
      <c r="AZ172" s="17"/>
      <c r="BA172" s="16"/>
      <c r="BB172" s="14"/>
      <c r="BC172" s="14"/>
      <c r="BD172" s="15" t="s">
        <v>3123</v>
      </c>
      <c r="BE172" s="14"/>
      <c r="BF172" s="17"/>
      <c r="BG172" s="16"/>
      <c r="BH172" s="14"/>
      <c r="BI172" s="15" t="s">
        <v>3123</v>
      </c>
      <c r="BJ172" s="14"/>
      <c r="BK172" s="17"/>
      <c r="BL172" s="16"/>
      <c r="BM172" s="16"/>
      <c r="BN172" s="16"/>
      <c r="BO172" s="16"/>
      <c r="BP172" s="15" t="s">
        <v>3123</v>
      </c>
      <c r="BQ172" s="17"/>
      <c r="BR172" s="14"/>
      <c r="BS172" s="14"/>
      <c r="BT172" s="16"/>
      <c r="BU172" s="16"/>
      <c r="BV172" s="13"/>
      <c r="BW172" s="18" t="s">
        <v>7679</v>
      </c>
      <c r="BX172" s="13">
        <v>200</v>
      </c>
      <c r="BY172" s="17">
        <v>44124</v>
      </c>
      <c r="BZ172" s="18" t="s">
        <v>7680</v>
      </c>
      <c r="CA172" s="18" t="s">
        <v>7681</v>
      </c>
      <c r="CB172" s="18" t="s">
        <v>7682</v>
      </c>
      <c r="CC172" s="18"/>
      <c r="CD172" s="14" t="s">
        <v>7683</v>
      </c>
      <c r="CE172" s="17">
        <v>43019</v>
      </c>
      <c r="CF172" s="16">
        <v>-3200</v>
      </c>
      <c r="CG172" s="17">
        <v>43465</v>
      </c>
      <c r="CH172" s="16">
        <v>3100</v>
      </c>
      <c r="CI172" s="17">
        <v>43465</v>
      </c>
      <c r="CJ172" s="16">
        <v>840000</v>
      </c>
      <c r="CK172" s="17">
        <v>43236</v>
      </c>
      <c r="CL172" s="16"/>
      <c r="CM172" s="17"/>
      <c r="CN172" s="19">
        <v>26.900594393951213</v>
      </c>
      <c r="CO172" s="19"/>
      <c r="CP172" s="17"/>
      <c r="CQ172" s="14" t="s">
        <v>7193</v>
      </c>
      <c r="CR172" s="14" t="s">
        <v>5962</v>
      </c>
      <c r="CS172" s="14" t="s">
        <v>7194</v>
      </c>
    </row>
    <row r="173" spans="1:97" ht="26.15" customHeight="1">
      <c r="A173" s="2">
        <v>197</v>
      </c>
      <c r="B173" s="25" t="s">
        <v>160</v>
      </c>
      <c r="C173" s="25" t="e">
        <f>VLOOKUP(B173, Sheet6!$A$1:$B$77, 2, FALSE)</f>
        <v>#N/A</v>
      </c>
      <c r="D173" s="25" t="s">
        <v>161</v>
      </c>
      <c r="E173" s="25" t="s">
        <v>164</v>
      </c>
      <c r="F173" s="25" t="s">
        <v>7497</v>
      </c>
      <c r="G173" s="25" t="s">
        <v>10955</v>
      </c>
      <c r="H173" s="25" t="s">
        <v>10957</v>
      </c>
      <c r="I173" s="25" t="s">
        <v>10958</v>
      </c>
      <c r="J173" s="26" t="s">
        <v>10819</v>
      </c>
      <c r="L173" s="13">
        <v>2015</v>
      </c>
      <c r="M173" s="14" t="s">
        <v>5005</v>
      </c>
      <c r="N173" s="14" t="s">
        <v>5006</v>
      </c>
      <c r="O173" s="14" t="s">
        <v>3994</v>
      </c>
      <c r="P173" s="15" t="s">
        <v>3117</v>
      </c>
      <c r="Q173" s="16">
        <v>3493115</v>
      </c>
      <c r="R173" s="17">
        <v>43908</v>
      </c>
      <c r="S173" s="16" t="s">
        <v>5069</v>
      </c>
      <c r="T173" s="16">
        <v>3373115</v>
      </c>
      <c r="U173" s="14" t="s">
        <v>34</v>
      </c>
      <c r="V173" s="13">
        <v>4</v>
      </c>
      <c r="W173" s="17">
        <v>44015</v>
      </c>
      <c r="X173" s="14" t="s">
        <v>5052</v>
      </c>
      <c r="Y173" s="17">
        <v>43494</v>
      </c>
      <c r="Z173" s="17">
        <v>43282</v>
      </c>
      <c r="AA173" s="14" t="s">
        <v>5278</v>
      </c>
      <c r="AB173" s="14" t="s">
        <v>7684</v>
      </c>
      <c r="AC173" s="14" t="s">
        <v>7685</v>
      </c>
      <c r="AD173" s="20" t="str">
        <f t="shared" si="12"/>
        <v>B2B E-Commerce &gt; Food &amp; Beverages &gt; Groceries &gt; Farm Products &gt; Marketplace
Online Grocery &gt; B2B Ecommerce &gt; Farm Produce &gt; Multi-Category &gt; Marketplace
Crop Tech &gt; ECommerce &gt; Farm Produce &gt; B2B &gt; Fruits and Vegetables &gt; Marketplace
Y Combinator Batches &gt; 2016 &gt; Winter</v>
      </c>
      <c r="AE173" s="20" t="str">
        <f t="shared" si="11"/>
        <v>B2B E-Commerce</v>
      </c>
      <c r="AF173" s="20" t="str">
        <f t="shared" si="10"/>
        <v>Food &amp; Beverages</v>
      </c>
      <c r="AG173" s="20" t="str">
        <f t="shared" si="10"/>
        <v>Groceries</v>
      </c>
      <c r="AH173" s="20" t="str">
        <f t="shared" si="10"/>
        <v>Farm Products</v>
      </c>
      <c r="AI173" s="20" t="str">
        <f t="shared" si="10"/>
        <v>Marketplace
Online Grocery</v>
      </c>
      <c r="AJ173" s="20" t="str">
        <f t="shared" si="10"/>
        <v>B2B Ecommerce</v>
      </c>
      <c r="AK173" s="20" t="str">
        <f t="shared" si="10"/>
        <v>Farm Produce</v>
      </c>
      <c r="AL173" s="14" t="s">
        <v>7686</v>
      </c>
      <c r="AM173" s="14" t="s">
        <v>503</v>
      </c>
      <c r="AO173" s="14"/>
      <c r="AP173" s="14" t="s">
        <v>3994</v>
      </c>
      <c r="AQ173" s="14" t="s">
        <v>7688</v>
      </c>
      <c r="AR173" s="14" t="s">
        <v>7689</v>
      </c>
      <c r="AS173" s="14" t="s">
        <v>7690</v>
      </c>
      <c r="AT173" s="14" t="s">
        <v>7691</v>
      </c>
      <c r="AU173" s="14" t="s">
        <v>7692</v>
      </c>
      <c r="AV173" s="18"/>
      <c r="AW173" s="16">
        <v>859162</v>
      </c>
      <c r="AX173" s="17">
        <v>43465</v>
      </c>
      <c r="AY173" s="15" t="s">
        <v>3117</v>
      </c>
      <c r="AZ173" s="17">
        <v>42240</v>
      </c>
      <c r="BA173" s="16">
        <v>15073</v>
      </c>
      <c r="BB173" s="14" t="s">
        <v>7693</v>
      </c>
      <c r="BC173" s="14"/>
      <c r="BD173" s="15" t="s">
        <v>3123</v>
      </c>
      <c r="BE173" s="14"/>
      <c r="BF173" s="17"/>
      <c r="BG173" s="16"/>
      <c r="BH173" s="14"/>
      <c r="BI173" s="15" t="s">
        <v>3123</v>
      </c>
      <c r="BJ173" s="14"/>
      <c r="BK173" s="17"/>
      <c r="BL173" s="16"/>
      <c r="BM173" s="16"/>
      <c r="BN173" s="16"/>
      <c r="BO173" s="16"/>
      <c r="BP173" s="15" t="s">
        <v>3123</v>
      </c>
      <c r="BQ173" s="17"/>
      <c r="BR173" s="14"/>
      <c r="BS173" s="14"/>
      <c r="BT173" s="16"/>
      <c r="BU173" s="16"/>
      <c r="BV173" s="13"/>
      <c r="BW173" s="18" t="s">
        <v>7694</v>
      </c>
      <c r="BX173" s="13">
        <v>200</v>
      </c>
      <c r="BY173" s="17">
        <v>44124</v>
      </c>
      <c r="BZ173" s="18" t="s">
        <v>7695</v>
      </c>
      <c r="CA173" s="18" t="s">
        <v>7696</v>
      </c>
      <c r="CB173" s="18"/>
      <c r="CC173" s="18"/>
      <c r="CD173" s="14" t="s">
        <v>7697</v>
      </c>
      <c r="CE173" s="17">
        <v>42950</v>
      </c>
      <c r="CF173" s="16">
        <v>-309963</v>
      </c>
      <c r="CG173" s="17">
        <v>43465</v>
      </c>
      <c r="CH173" s="16">
        <v>-308885</v>
      </c>
      <c r="CI173" s="17">
        <v>43465</v>
      </c>
      <c r="CJ173" s="16"/>
      <c r="CK173" s="17"/>
      <c r="CL173" s="16">
        <v>21</v>
      </c>
      <c r="CM173" s="17">
        <v>43921</v>
      </c>
      <c r="CN173" s="19">
        <v>49.66228832280644</v>
      </c>
      <c r="CO173" s="19"/>
      <c r="CP173" s="17"/>
      <c r="CQ173" s="14" t="s">
        <v>6556</v>
      </c>
      <c r="CR173" s="14" t="s">
        <v>6557</v>
      </c>
      <c r="CS173" s="14" t="s">
        <v>5945</v>
      </c>
    </row>
    <row r="174" spans="1:97" ht="26.15" customHeight="1">
      <c r="A174" s="2">
        <v>85</v>
      </c>
      <c r="B174" s="25" t="s">
        <v>910</v>
      </c>
      <c r="C174" s="25" t="e">
        <f>VLOOKUP(B174, Sheet6!$A$1:$B$77, 2, FALSE)</f>
        <v>#N/A</v>
      </c>
      <c r="D174" s="25" t="s">
        <v>911</v>
      </c>
      <c r="E174" s="25" t="s">
        <v>912</v>
      </c>
      <c r="F174" s="25" t="s">
        <v>6121</v>
      </c>
      <c r="G174" s="25" t="s">
        <v>10955</v>
      </c>
      <c r="H174" s="25" t="s">
        <v>10959</v>
      </c>
      <c r="I174" s="25" t="s">
        <v>10958</v>
      </c>
      <c r="J174" s="26" t="s">
        <v>10712</v>
      </c>
      <c r="L174" s="13">
        <v>2013</v>
      </c>
      <c r="M174" s="14" t="s">
        <v>5829</v>
      </c>
      <c r="N174" s="14" t="s">
        <v>5164</v>
      </c>
      <c r="O174" s="14" t="s">
        <v>4343</v>
      </c>
      <c r="P174" s="15" t="s">
        <v>3117</v>
      </c>
      <c r="Q174" s="16">
        <v>2400000</v>
      </c>
      <c r="R174" s="17">
        <v>43551</v>
      </c>
      <c r="S174" s="16" t="s">
        <v>5022</v>
      </c>
      <c r="T174" s="16">
        <v>2400000</v>
      </c>
      <c r="U174" s="14" t="s">
        <v>109</v>
      </c>
      <c r="V174" s="13">
        <v>4</v>
      </c>
      <c r="W174" s="17">
        <v>44050</v>
      </c>
      <c r="X174" s="14" t="s">
        <v>5052</v>
      </c>
      <c r="Y174" s="17">
        <v>43557</v>
      </c>
      <c r="Z174" s="17">
        <v>43551</v>
      </c>
      <c r="AA174" s="14" t="s">
        <v>1</v>
      </c>
      <c r="AB174" s="14" t="s">
        <v>5135</v>
      </c>
      <c r="AC174" s="14" t="s">
        <v>1136</v>
      </c>
      <c r="AD174" s="20" t="str">
        <f t="shared" si="12"/>
        <v>Aquaculture Tech &gt; Farm Equipment &gt; Water Treatment</v>
      </c>
      <c r="AE174" s="20" t="str">
        <f t="shared" si="11"/>
        <v>Aquaculture Tech</v>
      </c>
      <c r="AF174" s="20" t="str">
        <f t="shared" si="10"/>
        <v>Farm Equipment</v>
      </c>
      <c r="AG174" s="20" t="str">
        <f t="shared" si="10"/>
        <v>Water Treatment</v>
      </c>
      <c r="AH174" s="20" t="str">
        <f t="shared" si="10"/>
        <v/>
      </c>
      <c r="AI174" s="20" t="str">
        <f t="shared" si="10"/>
        <v/>
      </c>
      <c r="AJ174" s="20" t="str">
        <f t="shared" si="10"/>
        <v/>
      </c>
      <c r="AK174" s="20" t="str">
        <f t="shared" si="10"/>
        <v/>
      </c>
      <c r="AL174" s="14" t="s">
        <v>7715</v>
      </c>
      <c r="AM174" s="14"/>
      <c r="AO174" s="14"/>
      <c r="AP174" s="14" t="s">
        <v>4343</v>
      </c>
      <c r="AQ174" s="14" t="s">
        <v>7717</v>
      </c>
      <c r="AR174" s="14"/>
      <c r="AS174" s="14" t="s">
        <v>7718</v>
      </c>
      <c r="AT174" s="14" t="s">
        <v>7719</v>
      </c>
      <c r="AU174" s="14" t="s">
        <v>7720</v>
      </c>
      <c r="AV174" s="18"/>
      <c r="AW174" s="16"/>
      <c r="AX174" s="17"/>
      <c r="AY174" s="15" t="s">
        <v>3123</v>
      </c>
      <c r="AZ174" s="17"/>
      <c r="BA174" s="16"/>
      <c r="BB174" s="14"/>
      <c r="BC174" s="14"/>
      <c r="BD174" s="15" t="s">
        <v>3123</v>
      </c>
      <c r="BE174" s="14"/>
      <c r="BF174" s="17"/>
      <c r="BG174" s="16"/>
      <c r="BH174" s="14"/>
      <c r="BI174" s="15" t="s">
        <v>3123</v>
      </c>
      <c r="BJ174" s="14"/>
      <c r="BK174" s="17"/>
      <c r="BL174" s="16"/>
      <c r="BM174" s="16"/>
      <c r="BN174" s="16"/>
      <c r="BO174" s="16"/>
      <c r="BP174" s="15" t="s">
        <v>3123</v>
      </c>
      <c r="BQ174" s="17"/>
      <c r="BR174" s="14"/>
      <c r="BS174" s="14"/>
      <c r="BT174" s="16"/>
      <c r="BU174" s="16"/>
      <c r="BV174" s="13"/>
      <c r="BW174" s="18" t="s">
        <v>7721</v>
      </c>
      <c r="BX174" s="13">
        <v>200</v>
      </c>
      <c r="BY174" s="17">
        <v>44124</v>
      </c>
      <c r="BZ174" s="18" t="s">
        <v>7722</v>
      </c>
      <c r="CA174" s="18"/>
      <c r="CB174" s="18" t="s">
        <v>7723</v>
      </c>
      <c r="CC174" s="18"/>
      <c r="CD174" s="14" t="s">
        <v>7724</v>
      </c>
      <c r="CE174" s="17">
        <v>42482</v>
      </c>
      <c r="CF174" s="16"/>
      <c r="CG174" s="17"/>
      <c r="CH174" s="16"/>
      <c r="CI174" s="17"/>
      <c r="CJ174" s="16"/>
      <c r="CK174" s="17"/>
      <c r="CL174" s="16"/>
      <c r="CM174" s="17"/>
      <c r="CN174" s="19">
        <v>33.260719164381925</v>
      </c>
      <c r="CO174" s="19"/>
      <c r="CP174" s="17"/>
      <c r="CQ174" s="14" t="s">
        <v>5345</v>
      </c>
      <c r="CR174" s="14" t="s">
        <v>7272</v>
      </c>
      <c r="CS174" s="14" t="s">
        <v>5945</v>
      </c>
    </row>
    <row r="175" spans="1:97" ht="26.15" customHeight="1">
      <c r="A175" s="2">
        <v>414</v>
      </c>
      <c r="B175" s="25" t="s">
        <v>2335</v>
      </c>
      <c r="C175" s="25" t="e">
        <f>VLOOKUP(B175, Sheet6!$A$1:$B$77, 2, FALSE)</f>
        <v>#N/A</v>
      </c>
      <c r="D175" s="25" t="s">
        <v>2336</v>
      </c>
      <c r="E175" s="25" t="s">
        <v>2339</v>
      </c>
      <c r="F175" s="25" t="s">
        <v>9411</v>
      </c>
      <c r="G175" s="25" t="s">
        <v>10955</v>
      </c>
      <c r="H175" s="25" t="s">
        <v>10967</v>
      </c>
      <c r="I175" s="25" t="s">
        <v>10558</v>
      </c>
      <c r="J175" s="25" t="s">
        <v>10517</v>
      </c>
      <c r="L175" s="13">
        <v>2015</v>
      </c>
      <c r="M175" s="14" t="s">
        <v>5829</v>
      </c>
      <c r="N175" s="14" t="s">
        <v>5164</v>
      </c>
      <c r="O175" s="14" t="s">
        <v>4343</v>
      </c>
      <c r="P175" s="15" t="s">
        <v>3117</v>
      </c>
      <c r="Q175" s="16">
        <v>1500000</v>
      </c>
      <c r="R175" s="17">
        <v>43066</v>
      </c>
      <c r="S175" s="16" t="s">
        <v>5022</v>
      </c>
      <c r="T175" s="16">
        <v>1500000</v>
      </c>
      <c r="U175" s="14" t="s">
        <v>34</v>
      </c>
      <c r="V175" s="13">
        <v>3</v>
      </c>
      <c r="W175" s="17">
        <v>44081</v>
      </c>
      <c r="X175" s="14"/>
      <c r="Y175" s="17"/>
      <c r="Z175" s="17"/>
      <c r="AA175" s="14" t="s">
        <v>1</v>
      </c>
      <c r="AB175" s="14" t="s">
        <v>5135</v>
      </c>
      <c r="AC175" s="14" t="s">
        <v>7725</v>
      </c>
      <c r="AD175" s="20" t="str">
        <f t="shared" si="12"/>
        <v>Aquaculture Tech &gt; Feeding &gt; Sustainable Feeds &gt; Microbial Based</v>
      </c>
      <c r="AE175" s="20" t="str">
        <f t="shared" si="11"/>
        <v>Aquaculture Tech</v>
      </c>
      <c r="AF175" s="20" t="str">
        <f t="shared" si="10"/>
        <v>Feeding</v>
      </c>
      <c r="AG175" s="20" t="str">
        <f t="shared" si="10"/>
        <v>Sustainable Feeds</v>
      </c>
      <c r="AH175" s="20" t="str">
        <f t="shared" si="10"/>
        <v>Microbial Based</v>
      </c>
      <c r="AI175" s="20" t="str">
        <f t="shared" si="10"/>
        <v/>
      </c>
      <c r="AJ175" s="20" t="str">
        <f t="shared" si="10"/>
        <v/>
      </c>
      <c r="AK175" s="20" t="str">
        <f t="shared" si="10"/>
        <v/>
      </c>
      <c r="AL175" s="14" t="s">
        <v>7726</v>
      </c>
      <c r="AM175" s="14"/>
      <c r="AO175" s="14"/>
      <c r="AP175" s="14" t="s">
        <v>4343</v>
      </c>
      <c r="AQ175" s="14"/>
      <c r="AR175" s="14"/>
      <c r="AS175" s="14" t="s">
        <v>7728</v>
      </c>
      <c r="AT175" s="14" t="s">
        <v>7729</v>
      </c>
      <c r="AU175" s="14" t="s">
        <v>7730</v>
      </c>
      <c r="AV175" s="18"/>
      <c r="AW175" s="16"/>
      <c r="AX175" s="17"/>
      <c r="AY175" s="15" t="s">
        <v>3123</v>
      </c>
      <c r="AZ175" s="17"/>
      <c r="BA175" s="16"/>
      <c r="BB175" s="14"/>
      <c r="BC175" s="14"/>
      <c r="BD175" s="15" t="s">
        <v>3123</v>
      </c>
      <c r="BE175" s="14"/>
      <c r="BF175" s="17"/>
      <c r="BG175" s="16"/>
      <c r="BH175" s="14"/>
      <c r="BI175" s="15" t="s">
        <v>3123</v>
      </c>
      <c r="BJ175" s="14"/>
      <c r="BK175" s="17"/>
      <c r="BL175" s="16"/>
      <c r="BM175" s="16"/>
      <c r="BN175" s="16"/>
      <c r="BO175" s="16"/>
      <c r="BP175" s="15" t="s">
        <v>3123</v>
      </c>
      <c r="BQ175" s="17"/>
      <c r="BR175" s="14"/>
      <c r="BS175" s="14"/>
      <c r="BT175" s="16"/>
      <c r="BU175" s="16"/>
      <c r="BV175" s="13"/>
      <c r="BW175" s="18" t="s">
        <v>7731</v>
      </c>
      <c r="BX175" s="13">
        <v>301</v>
      </c>
      <c r="BY175" s="17">
        <v>44124</v>
      </c>
      <c r="BZ175" s="18"/>
      <c r="CA175" s="18"/>
      <c r="CB175" s="18"/>
      <c r="CC175" s="18"/>
      <c r="CD175" s="14" t="s">
        <v>7732</v>
      </c>
      <c r="CE175" s="17">
        <v>42934</v>
      </c>
      <c r="CF175" s="16"/>
      <c r="CG175" s="17"/>
      <c r="CH175" s="16"/>
      <c r="CI175" s="17"/>
      <c r="CJ175" s="16"/>
      <c r="CK175" s="17"/>
      <c r="CL175" s="16"/>
      <c r="CM175" s="17"/>
      <c r="CN175" s="19">
        <v>32.213476435824575</v>
      </c>
      <c r="CO175" s="19"/>
      <c r="CP175" s="17"/>
      <c r="CQ175" s="14" t="s">
        <v>5345</v>
      </c>
      <c r="CR175" s="14" t="s">
        <v>7272</v>
      </c>
      <c r="CS175" s="14" t="s">
        <v>5945</v>
      </c>
    </row>
    <row r="176" spans="1:97" ht="26.15" customHeight="1">
      <c r="A176" s="2">
        <v>247</v>
      </c>
      <c r="B176" s="25" t="s">
        <v>885</v>
      </c>
      <c r="C176" s="25" t="e">
        <f>VLOOKUP(B176, Sheet6!$A$1:$B$77, 2, FALSE)</f>
        <v>#N/A</v>
      </c>
      <c r="D176" s="25" t="s">
        <v>886</v>
      </c>
      <c r="E176" s="25" t="s">
        <v>889</v>
      </c>
      <c r="F176" s="25" t="s">
        <v>8106</v>
      </c>
      <c r="G176" s="25" t="s">
        <v>10955</v>
      </c>
      <c r="H176" s="25" t="s">
        <v>10957</v>
      </c>
      <c r="I176" s="25" t="s">
        <v>10558</v>
      </c>
      <c r="J176" s="25" t="s">
        <v>10861</v>
      </c>
      <c r="L176" s="13">
        <v>2012</v>
      </c>
      <c r="M176" s="14" t="s">
        <v>6826</v>
      </c>
      <c r="N176" s="14" t="s">
        <v>6004</v>
      </c>
      <c r="O176" s="14" t="s">
        <v>4343</v>
      </c>
      <c r="P176" s="15" t="s">
        <v>3117</v>
      </c>
      <c r="Q176" s="16">
        <v>17600000</v>
      </c>
      <c r="R176" s="17">
        <v>43812</v>
      </c>
      <c r="S176" s="16" t="s">
        <v>5165</v>
      </c>
      <c r="T176" s="16">
        <v>10000000</v>
      </c>
      <c r="U176" s="14" t="s">
        <v>25</v>
      </c>
      <c r="V176" s="13">
        <v>4</v>
      </c>
      <c r="W176" s="17">
        <v>44003</v>
      </c>
      <c r="X176" s="14"/>
      <c r="Y176" s="17"/>
      <c r="Z176" s="17"/>
      <c r="AA176" s="14" t="s">
        <v>6586</v>
      </c>
      <c r="AB176" s="14" t="s">
        <v>6587</v>
      </c>
      <c r="AC176" s="14" t="s">
        <v>7733</v>
      </c>
      <c r="AD176" s="20" t="str">
        <f t="shared" si="12"/>
        <v>Biotech R&amp;D &gt; Research Applications &gt; Genomics &gt; Suite
Genomics &gt; Applied Genomics &gt; Agrigenomics
Crop Tech &gt; Farm Inputs &gt; Seeds &gt; Field Crops &gt; Hybrid</v>
      </c>
      <c r="AE176" s="20" t="str">
        <f t="shared" si="11"/>
        <v>Biotech R&amp;D</v>
      </c>
      <c r="AF176" s="20" t="str">
        <f t="shared" si="10"/>
        <v>Research Applications</v>
      </c>
      <c r="AG176" s="20" t="str">
        <f t="shared" si="10"/>
        <v>Genomics</v>
      </c>
      <c r="AH176" s="20" t="str">
        <f t="shared" si="10"/>
        <v>Suite
Genomics</v>
      </c>
      <c r="AI176" s="20" t="str">
        <f t="shared" si="10"/>
        <v>Applied Genomics</v>
      </c>
      <c r="AJ176" s="20" t="str">
        <f t="shared" si="10"/>
        <v>Agrigenomics
Crop Tech</v>
      </c>
      <c r="AK176" s="20" t="str">
        <f t="shared" si="10"/>
        <v>Farm Inputs</v>
      </c>
      <c r="AL176" s="14" t="s">
        <v>7734</v>
      </c>
      <c r="AM176" s="14"/>
      <c r="AO176" s="14"/>
      <c r="AP176" s="14" t="s">
        <v>4343</v>
      </c>
      <c r="AQ176" s="14"/>
      <c r="AR176" s="14"/>
      <c r="AS176" s="14" t="s">
        <v>7736</v>
      </c>
      <c r="AT176" s="14" t="s">
        <v>7737</v>
      </c>
      <c r="AU176" s="14" t="s">
        <v>7738</v>
      </c>
      <c r="AV176" s="18"/>
      <c r="AW176" s="16"/>
      <c r="AX176" s="17"/>
      <c r="AY176" s="15" t="s">
        <v>3123</v>
      </c>
      <c r="AZ176" s="17"/>
      <c r="BA176" s="16"/>
      <c r="BB176" s="14"/>
      <c r="BC176" s="14"/>
      <c r="BD176" s="15" t="s">
        <v>3123</v>
      </c>
      <c r="BE176" s="14"/>
      <c r="BF176" s="17"/>
      <c r="BG176" s="16"/>
      <c r="BH176" s="14"/>
      <c r="BI176" s="15" t="s">
        <v>3123</v>
      </c>
      <c r="BJ176" s="14"/>
      <c r="BK176" s="17"/>
      <c r="BL176" s="16"/>
      <c r="BM176" s="16"/>
      <c r="BN176" s="16"/>
      <c r="BO176" s="16"/>
      <c r="BP176" s="15" t="s">
        <v>3123</v>
      </c>
      <c r="BQ176" s="17"/>
      <c r="BR176" s="14"/>
      <c r="BS176" s="14"/>
      <c r="BT176" s="16"/>
      <c r="BU176" s="16"/>
      <c r="BV176" s="13"/>
      <c r="BW176" s="18" t="s">
        <v>7739</v>
      </c>
      <c r="BX176" s="13">
        <v>200</v>
      </c>
      <c r="BY176" s="17">
        <v>44124</v>
      </c>
      <c r="BZ176" s="18"/>
      <c r="CA176" s="18"/>
      <c r="CB176" s="18"/>
      <c r="CC176" s="18"/>
      <c r="CD176" s="14" t="s">
        <v>7740</v>
      </c>
      <c r="CE176" s="17">
        <v>42685</v>
      </c>
      <c r="CF176" s="16"/>
      <c r="CG176" s="17"/>
      <c r="CH176" s="16"/>
      <c r="CI176" s="17"/>
      <c r="CJ176" s="16"/>
      <c r="CK176" s="17"/>
      <c r="CL176" s="16"/>
      <c r="CM176" s="17"/>
      <c r="CN176" s="19">
        <v>46.383035809497812</v>
      </c>
      <c r="CO176" s="19"/>
      <c r="CP176" s="17"/>
      <c r="CQ176" s="14" t="s">
        <v>5345</v>
      </c>
      <c r="CR176" s="14" t="s">
        <v>7741</v>
      </c>
      <c r="CS176" s="14" t="s">
        <v>5521</v>
      </c>
    </row>
    <row r="177" spans="1:97" ht="26.15" customHeight="1">
      <c r="A177" s="2">
        <v>179</v>
      </c>
      <c r="B177" s="25" t="s">
        <v>829</v>
      </c>
      <c r="C177" s="25" t="e">
        <f>VLOOKUP(B177, Sheet6!$A$1:$B$77, 2, FALSE)</f>
        <v>#N/A</v>
      </c>
      <c r="D177" s="25" t="s">
        <v>830</v>
      </c>
      <c r="E177" s="25" t="s">
        <v>833</v>
      </c>
      <c r="F177" s="25" t="s">
        <v>7287</v>
      </c>
      <c r="G177" s="25" t="s">
        <v>10953</v>
      </c>
      <c r="H177" s="25" t="s">
        <v>10967</v>
      </c>
      <c r="I177" s="25" t="s">
        <v>10958</v>
      </c>
      <c r="J177" s="26" t="s">
        <v>10517</v>
      </c>
      <c r="L177" s="13">
        <v>2015</v>
      </c>
      <c r="M177" s="14" t="s">
        <v>5222</v>
      </c>
      <c r="N177" s="14" t="s">
        <v>5223</v>
      </c>
      <c r="O177" s="14" t="s">
        <v>3994</v>
      </c>
      <c r="P177" s="15" t="s">
        <v>3117</v>
      </c>
      <c r="Q177" s="16">
        <v>739765</v>
      </c>
      <c r="R177" s="17">
        <v>43761</v>
      </c>
      <c r="S177" s="16" t="s">
        <v>7752</v>
      </c>
      <c r="T177" s="16">
        <v>494497</v>
      </c>
      <c r="U177" s="14" t="s">
        <v>34</v>
      </c>
      <c r="V177" s="13">
        <v>4</v>
      </c>
      <c r="W177" s="17">
        <v>44022</v>
      </c>
      <c r="X177" s="14"/>
      <c r="Y177" s="17"/>
      <c r="Z177" s="17"/>
      <c r="AA177" s="14" t="s">
        <v>5426</v>
      </c>
      <c r="AB177" s="14" t="s">
        <v>6018</v>
      </c>
      <c r="AC177" s="14" t="s">
        <v>7753</v>
      </c>
      <c r="AD177" s="20" t="str">
        <f t="shared" si="12"/>
        <v>Alternative Lending &gt; Online Lenders &gt; Consumer Loans &gt; Farm Loans &gt; Marketplace
Crop Tech &gt; ECommerce &gt; Retail Enablers &gt; Farm Inputs Retail</v>
      </c>
      <c r="AE177" s="20" t="str">
        <f t="shared" si="11"/>
        <v>Alternative Lending</v>
      </c>
      <c r="AF177" s="20" t="str">
        <f t="shared" si="10"/>
        <v>Online Lenders</v>
      </c>
      <c r="AG177" s="20" t="str">
        <f t="shared" si="10"/>
        <v>Consumer Loans</v>
      </c>
      <c r="AH177" s="20" t="str">
        <f t="shared" si="10"/>
        <v>Farm Loans</v>
      </c>
      <c r="AI177" s="20" t="str">
        <f t="shared" si="10"/>
        <v>Marketplace
Crop Tech</v>
      </c>
      <c r="AJ177" s="20" t="str">
        <f t="shared" si="10"/>
        <v>ECommerce</v>
      </c>
      <c r="AK177" s="20" t="str">
        <f t="shared" si="10"/>
        <v>Retail Enablers</v>
      </c>
      <c r="AL177" s="14" t="s">
        <v>7754</v>
      </c>
      <c r="AM177" s="14" t="s">
        <v>7755</v>
      </c>
      <c r="AO177" s="14"/>
      <c r="AP177" s="14" t="s">
        <v>3994</v>
      </c>
      <c r="AQ177" s="14"/>
      <c r="AR177" s="14"/>
      <c r="AS177" s="14" t="s">
        <v>7757</v>
      </c>
      <c r="AT177" s="14" t="s">
        <v>7758</v>
      </c>
      <c r="AU177" s="14" t="s">
        <v>7759</v>
      </c>
      <c r="AV177" s="18"/>
      <c r="AW177" s="16">
        <v>35000</v>
      </c>
      <c r="AX177" s="17">
        <v>43465</v>
      </c>
      <c r="AY177" s="15" t="s">
        <v>3123</v>
      </c>
      <c r="AZ177" s="17"/>
      <c r="BA177" s="16"/>
      <c r="BB177" s="14"/>
      <c r="BC177" s="14"/>
      <c r="BD177" s="15" t="s">
        <v>3123</v>
      </c>
      <c r="BE177" s="14"/>
      <c r="BF177" s="17"/>
      <c r="BG177" s="16"/>
      <c r="BH177" s="14"/>
      <c r="BI177" s="15" t="s">
        <v>3123</v>
      </c>
      <c r="BJ177" s="14"/>
      <c r="BK177" s="17"/>
      <c r="BL177" s="16"/>
      <c r="BM177" s="16"/>
      <c r="BN177" s="16"/>
      <c r="BO177" s="16"/>
      <c r="BP177" s="15" t="s">
        <v>3123</v>
      </c>
      <c r="BQ177" s="17"/>
      <c r="BR177" s="14"/>
      <c r="BS177" s="14"/>
      <c r="BT177" s="16"/>
      <c r="BU177" s="16"/>
      <c r="BV177" s="13"/>
      <c r="BW177" s="18" t="s">
        <v>7760</v>
      </c>
      <c r="BX177" s="13">
        <v>200</v>
      </c>
      <c r="BY177" s="17">
        <v>44124</v>
      </c>
      <c r="BZ177" s="18" t="s">
        <v>7761</v>
      </c>
      <c r="CA177" s="18" t="s">
        <v>7762</v>
      </c>
      <c r="CB177" s="18" t="s">
        <v>7763</v>
      </c>
      <c r="CC177" s="18"/>
      <c r="CD177" s="14" t="s">
        <v>7764</v>
      </c>
      <c r="CE177" s="17">
        <v>42933</v>
      </c>
      <c r="CF177" s="16">
        <v>-118900</v>
      </c>
      <c r="CG177" s="17">
        <v>43465</v>
      </c>
      <c r="CH177" s="16">
        <v>-128700</v>
      </c>
      <c r="CI177" s="17">
        <v>43465</v>
      </c>
      <c r="CJ177" s="16">
        <v>4000000</v>
      </c>
      <c r="CK177" s="17">
        <v>43761</v>
      </c>
      <c r="CL177" s="16"/>
      <c r="CM177" s="17"/>
      <c r="CN177" s="19">
        <v>50.432904887484881</v>
      </c>
      <c r="CO177" s="19"/>
      <c r="CP177" s="17"/>
      <c r="CQ177" s="14" t="s">
        <v>7606</v>
      </c>
      <c r="CR177" s="14" t="s">
        <v>7607</v>
      </c>
      <c r="CS177" s="14" t="s">
        <v>5945</v>
      </c>
    </row>
    <row r="178" spans="1:97" ht="26.15" customHeight="1">
      <c r="A178" s="2">
        <v>495</v>
      </c>
      <c r="B178" s="25" t="s">
        <v>2985</v>
      </c>
      <c r="C178" s="25" t="e">
        <f>VLOOKUP(B178, Sheet6!$A$1:$B$77, 2, FALSE)</f>
        <v>#N/A</v>
      </c>
      <c r="D178" s="25" t="s">
        <v>2986</v>
      </c>
      <c r="E178" s="25" t="s">
        <v>2987</v>
      </c>
      <c r="F178" s="25" t="s">
        <v>9939</v>
      </c>
      <c r="G178" s="25" t="s">
        <v>10955</v>
      </c>
      <c r="H178" s="25" t="s">
        <v>10957</v>
      </c>
      <c r="I178" s="25" t="s">
        <v>10558</v>
      </c>
      <c r="J178" s="25" t="s">
        <v>10850</v>
      </c>
      <c r="L178" s="13">
        <v>2014</v>
      </c>
      <c r="M178" s="14" t="s">
        <v>7775</v>
      </c>
      <c r="N178" s="14" t="s">
        <v>7776</v>
      </c>
      <c r="O178" s="14" t="s">
        <v>7777</v>
      </c>
      <c r="P178" s="15" t="s">
        <v>3117</v>
      </c>
      <c r="Q178" s="16"/>
      <c r="R178" s="17">
        <v>43012</v>
      </c>
      <c r="S178" s="16"/>
      <c r="T178" s="16" t="s">
        <v>50</v>
      </c>
      <c r="U178" s="14" t="s">
        <v>5040</v>
      </c>
      <c r="V178" s="13"/>
      <c r="W178" s="17"/>
      <c r="X178" s="14"/>
      <c r="Y178" s="17"/>
      <c r="Z178" s="17"/>
      <c r="AA178" s="14" t="s">
        <v>5442</v>
      </c>
      <c r="AB178" s="14" t="s">
        <v>5443</v>
      </c>
      <c r="AC178" s="14" t="s">
        <v>7778</v>
      </c>
      <c r="AD178" s="20" t="str">
        <f t="shared" si="12"/>
        <v>Crop Tech &gt; Farm Inputs &gt; Biologicals &gt; Crop Nutrition &gt; Food Waste &gt; Harvester Technology
MassChallenge Batches &gt; Switzerland &gt; 2017 &gt; Gold</v>
      </c>
      <c r="AE178" s="20" t="str">
        <f t="shared" si="11"/>
        <v>Crop Tech</v>
      </c>
      <c r="AF178" s="20" t="str">
        <f t="shared" si="10"/>
        <v>Farm Inputs</v>
      </c>
      <c r="AG178" s="20" t="str">
        <f t="shared" ref="AF178:AK213" si="13">TRIM(MID(SUBSTITUTE($AD178,"&gt;",REPT(" ",LEN($AD178))), (AG$6-1)*LEN($AD178)+1, LEN($AD178)))</f>
        <v>Biologicals</v>
      </c>
      <c r="AH178" s="20" t="str">
        <f t="shared" si="13"/>
        <v>Crop Nutrition</v>
      </c>
      <c r="AI178" s="20" t="str">
        <f t="shared" si="13"/>
        <v>Food Waste</v>
      </c>
      <c r="AJ178" s="20" t="str">
        <f t="shared" si="13"/>
        <v>Harvester Technology
MassChallenge Batches</v>
      </c>
      <c r="AK178" s="20" t="str">
        <f t="shared" si="13"/>
        <v>Switzerland</v>
      </c>
      <c r="AL178" s="14" t="s">
        <v>1609</v>
      </c>
      <c r="AM178" s="14"/>
      <c r="AO178" s="14"/>
      <c r="AP178" s="14" t="s">
        <v>7777</v>
      </c>
      <c r="AQ178" s="14"/>
      <c r="AR178" s="14"/>
      <c r="AS178" s="14" t="s">
        <v>7780</v>
      </c>
      <c r="AT178" s="14" t="s">
        <v>7781</v>
      </c>
      <c r="AU178" s="14" t="s">
        <v>7782</v>
      </c>
      <c r="AV178" s="18"/>
      <c r="AW178" s="16"/>
      <c r="AX178" s="17"/>
      <c r="AY178" s="15" t="s">
        <v>3123</v>
      </c>
      <c r="AZ178" s="17"/>
      <c r="BA178" s="16"/>
      <c r="BB178" s="14"/>
      <c r="BC178" s="14"/>
      <c r="BD178" s="15" t="s">
        <v>3123</v>
      </c>
      <c r="BE178" s="14"/>
      <c r="BF178" s="17"/>
      <c r="BG178" s="16"/>
      <c r="BH178" s="14"/>
      <c r="BI178" s="15" t="s">
        <v>3123</v>
      </c>
      <c r="BJ178" s="14"/>
      <c r="BK178" s="17"/>
      <c r="BL178" s="16"/>
      <c r="BM178" s="16"/>
      <c r="BN178" s="16"/>
      <c r="BO178" s="16"/>
      <c r="BP178" s="15" t="s">
        <v>3123</v>
      </c>
      <c r="BQ178" s="17"/>
      <c r="BR178" s="14"/>
      <c r="BS178" s="14"/>
      <c r="BT178" s="16"/>
      <c r="BU178" s="16"/>
      <c r="BV178" s="13"/>
      <c r="BW178" s="18" t="s">
        <v>7783</v>
      </c>
      <c r="BX178" s="13">
        <v>200</v>
      </c>
      <c r="BY178" s="17">
        <v>44124</v>
      </c>
      <c r="BZ178" s="18" t="s">
        <v>7784</v>
      </c>
      <c r="CA178" s="18" t="s">
        <v>7785</v>
      </c>
      <c r="CB178" s="18"/>
      <c r="CC178" s="18"/>
      <c r="CD178" s="14" t="s">
        <v>7786</v>
      </c>
      <c r="CE178" s="17">
        <v>42667</v>
      </c>
      <c r="CF178" s="16"/>
      <c r="CG178" s="17"/>
      <c r="CH178" s="16"/>
      <c r="CI178" s="17"/>
      <c r="CJ178" s="16"/>
      <c r="CK178" s="17"/>
      <c r="CL178" s="16"/>
      <c r="CM178" s="17"/>
      <c r="CN178" s="19">
        <v>30.387839754552392</v>
      </c>
      <c r="CO178" s="19"/>
      <c r="CP178" s="17"/>
      <c r="CQ178" s="14" t="s">
        <v>5345</v>
      </c>
      <c r="CR178" s="14" t="s">
        <v>7272</v>
      </c>
      <c r="CS178" s="14" t="s">
        <v>5945</v>
      </c>
    </row>
    <row r="179" spans="1:97" ht="26.15" customHeight="1">
      <c r="A179" s="2">
        <v>264</v>
      </c>
      <c r="B179" s="25" t="s">
        <v>2005</v>
      </c>
      <c r="C179" s="25" t="e">
        <f>VLOOKUP(B179, Sheet6!$A$1:$B$77, 2, FALSE)</f>
        <v>#N/A</v>
      </c>
      <c r="D179" s="25" t="s">
        <v>2006</v>
      </c>
      <c r="E179" s="25" t="s">
        <v>2009</v>
      </c>
      <c r="F179" s="25" t="s">
        <v>8346</v>
      </c>
      <c r="G179" s="25" t="s">
        <v>10955</v>
      </c>
      <c r="H179" s="25" t="s">
        <v>10558</v>
      </c>
      <c r="I179" s="25" t="s">
        <v>10558</v>
      </c>
      <c r="J179" s="25" t="s">
        <v>10842</v>
      </c>
      <c r="L179" s="13">
        <v>2015</v>
      </c>
      <c r="M179" s="14" t="s">
        <v>7787</v>
      </c>
      <c r="N179" s="14" t="s">
        <v>7788</v>
      </c>
      <c r="O179" s="14" t="s">
        <v>7789</v>
      </c>
      <c r="P179" s="15" t="s">
        <v>3117</v>
      </c>
      <c r="Q179" s="16">
        <v>60000000</v>
      </c>
      <c r="R179" s="17">
        <v>44033</v>
      </c>
      <c r="S179" s="16" t="s">
        <v>7790</v>
      </c>
      <c r="T179" s="16">
        <v>30000000</v>
      </c>
      <c r="U179" s="14" t="s">
        <v>95</v>
      </c>
      <c r="V179" s="13">
        <v>5</v>
      </c>
      <c r="W179" s="17">
        <v>44057</v>
      </c>
      <c r="X179" s="14" t="s">
        <v>5544</v>
      </c>
      <c r="Y179" s="17">
        <v>44039</v>
      </c>
      <c r="Z179" s="17">
        <v>43410</v>
      </c>
      <c r="AA179" s="14" t="s">
        <v>1</v>
      </c>
      <c r="AB179" s="14" t="s">
        <v>5007</v>
      </c>
      <c r="AC179" s="14" t="s">
        <v>5192</v>
      </c>
      <c r="AD179" s="20" t="str">
        <f t="shared" si="12"/>
        <v>Crop Tech &gt; Farm Management Software &gt; Diversified</v>
      </c>
      <c r="AE179" s="20" t="str">
        <f t="shared" si="11"/>
        <v>Crop Tech</v>
      </c>
      <c r="AF179" s="20" t="str">
        <f t="shared" si="13"/>
        <v>Farm Management Software</v>
      </c>
      <c r="AG179" s="20" t="str">
        <f t="shared" si="13"/>
        <v>Diversified</v>
      </c>
      <c r="AH179" s="20" t="str">
        <f t="shared" si="13"/>
        <v/>
      </c>
      <c r="AI179" s="20" t="str">
        <f t="shared" si="13"/>
        <v/>
      </c>
      <c r="AJ179" s="20" t="str">
        <f t="shared" si="13"/>
        <v/>
      </c>
      <c r="AK179" s="20" t="str">
        <f t="shared" si="13"/>
        <v/>
      </c>
      <c r="AL179" s="14" t="s">
        <v>7791</v>
      </c>
      <c r="AM179" s="14" t="s">
        <v>7792</v>
      </c>
      <c r="AO179" s="14"/>
      <c r="AP179" s="14" t="s">
        <v>4343</v>
      </c>
      <c r="AQ179" s="14" t="s">
        <v>7794</v>
      </c>
      <c r="AR179" s="14"/>
      <c r="AS179" s="14" t="s">
        <v>7795</v>
      </c>
      <c r="AT179" s="14" t="s">
        <v>7796</v>
      </c>
      <c r="AU179" s="14" t="s">
        <v>7797</v>
      </c>
      <c r="AV179" s="18"/>
      <c r="AW179" s="16"/>
      <c r="AX179" s="17"/>
      <c r="AY179" s="15" t="s">
        <v>3123</v>
      </c>
      <c r="AZ179" s="17"/>
      <c r="BA179" s="16"/>
      <c r="BB179" s="14"/>
      <c r="BC179" s="14" t="s">
        <v>7798</v>
      </c>
      <c r="BD179" s="15" t="s">
        <v>3123</v>
      </c>
      <c r="BE179" s="14"/>
      <c r="BF179" s="17"/>
      <c r="BG179" s="16"/>
      <c r="BH179" s="14"/>
      <c r="BI179" s="15" t="s">
        <v>3123</v>
      </c>
      <c r="BJ179" s="14"/>
      <c r="BK179" s="17"/>
      <c r="BL179" s="16"/>
      <c r="BM179" s="16"/>
      <c r="BN179" s="16"/>
      <c r="BO179" s="16"/>
      <c r="BP179" s="15" t="s">
        <v>3123</v>
      </c>
      <c r="BQ179" s="17"/>
      <c r="BR179" s="14"/>
      <c r="BS179" s="14"/>
      <c r="BT179" s="16"/>
      <c r="BU179" s="16"/>
      <c r="BV179" s="13"/>
      <c r="BW179" s="18" t="s">
        <v>7799</v>
      </c>
      <c r="BX179" s="13">
        <v>200</v>
      </c>
      <c r="BY179" s="17">
        <v>44124</v>
      </c>
      <c r="BZ179" s="18" t="s">
        <v>7800</v>
      </c>
      <c r="CA179" s="18" t="s">
        <v>7801</v>
      </c>
      <c r="CB179" s="18" t="s">
        <v>7802</v>
      </c>
      <c r="CC179" s="18" t="s">
        <v>7803</v>
      </c>
      <c r="CD179" s="14" t="s">
        <v>7804</v>
      </c>
      <c r="CE179" s="17">
        <v>42929</v>
      </c>
      <c r="CF179" s="16"/>
      <c r="CG179" s="17"/>
      <c r="CH179" s="16"/>
      <c r="CI179" s="17"/>
      <c r="CJ179" s="16"/>
      <c r="CK179" s="17"/>
      <c r="CL179" s="16"/>
      <c r="CM179" s="17"/>
      <c r="CN179" s="19">
        <v>59.139031802193053</v>
      </c>
      <c r="CO179" s="19"/>
      <c r="CP179" s="17"/>
      <c r="CQ179" s="14" t="s">
        <v>7805</v>
      </c>
      <c r="CR179" s="14" t="s">
        <v>7806</v>
      </c>
      <c r="CS179" s="14" t="s">
        <v>5004</v>
      </c>
    </row>
    <row r="180" spans="1:97" ht="26.15" customHeight="1">
      <c r="A180" s="2">
        <v>123</v>
      </c>
      <c r="B180" s="25" t="s">
        <v>650</v>
      </c>
      <c r="C180" s="25" t="e">
        <f>VLOOKUP(B180, Sheet6!$A$1:$B$77, 2, FALSE)</f>
        <v>#N/A</v>
      </c>
      <c r="D180" s="25" t="s">
        <v>651</v>
      </c>
      <c r="E180" s="25" t="s">
        <v>654</v>
      </c>
      <c r="F180" s="25" t="s">
        <v>6609</v>
      </c>
      <c r="G180" s="25" t="s">
        <v>10955</v>
      </c>
      <c r="H180" s="25" t="s">
        <v>10959</v>
      </c>
      <c r="I180" s="25" t="s">
        <v>10958</v>
      </c>
      <c r="J180" s="26" t="s">
        <v>10766</v>
      </c>
      <c r="L180" s="13">
        <v>2015</v>
      </c>
      <c r="M180" s="14" t="s">
        <v>6064</v>
      </c>
      <c r="N180" s="14" t="s">
        <v>6065</v>
      </c>
      <c r="O180" s="14" t="s">
        <v>2057</v>
      </c>
      <c r="P180" s="15" t="s">
        <v>3117</v>
      </c>
      <c r="Q180" s="16">
        <v>62610600</v>
      </c>
      <c r="R180" s="17">
        <v>43301</v>
      </c>
      <c r="S180" s="16" t="s">
        <v>7818</v>
      </c>
      <c r="T180" s="16">
        <v>26610600</v>
      </c>
      <c r="U180" s="14" t="s">
        <v>25</v>
      </c>
      <c r="V180" s="13"/>
      <c r="W180" s="17"/>
      <c r="X180" s="14"/>
      <c r="Y180" s="17"/>
      <c r="Z180" s="17"/>
      <c r="AA180" s="14" t="s">
        <v>5509</v>
      </c>
      <c r="AB180" s="14" t="s">
        <v>5510</v>
      </c>
      <c r="AC180" s="14" t="s">
        <v>7819</v>
      </c>
      <c r="AD180" s="20" t="str">
        <f t="shared" si="12"/>
        <v>B2B E-Commerce &gt; Food &amp; Beverages &gt; Groceries &gt; Farm Products &gt; E-Distributor
Online Grocery &gt; B2B Ecommerce &gt; Farm Produce &gt; Multi-Category &gt; E-Distributor
Crop Tech &gt; ECommerce &gt; Farm Produce &gt; B2B &gt; Fruits and Vegetables &gt; E Distributor</v>
      </c>
      <c r="AE180" s="20" t="str">
        <f t="shared" si="11"/>
        <v>B2B E-Commerce</v>
      </c>
      <c r="AF180" s="20" t="str">
        <f t="shared" si="13"/>
        <v>Food &amp; Beverages</v>
      </c>
      <c r="AG180" s="20" t="str">
        <f t="shared" si="13"/>
        <v>Groceries</v>
      </c>
      <c r="AH180" s="20" t="str">
        <f t="shared" si="13"/>
        <v>Farm Products</v>
      </c>
      <c r="AI180" s="20" t="str">
        <f t="shared" si="13"/>
        <v>E-Distributor
Online Grocery</v>
      </c>
      <c r="AJ180" s="20" t="str">
        <f t="shared" si="13"/>
        <v>B2B Ecommerce</v>
      </c>
      <c r="AK180" s="20" t="str">
        <f t="shared" si="13"/>
        <v>Farm Produce</v>
      </c>
      <c r="AL180" s="14" t="s">
        <v>7820</v>
      </c>
      <c r="AM180" s="14"/>
      <c r="AO180" s="14"/>
      <c r="AP180" s="14" t="s">
        <v>2057</v>
      </c>
      <c r="AQ180" s="14" t="s">
        <v>7822</v>
      </c>
      <c r="AR180" s="14" t="s">
        <v>7823</v>
      </c>
      <c r="AS180" s="14" t="s">
        <v>7824</v>
      </c>
      <c r="AT180" s="14"/>
      <c r="AU180" s="14"/>
      <c r="AV180" s="18"/>
      <c r="AW180" s="16"/>
      <c r="AX180" s="17"/>
      <c r="AY180" s="15" t="s">
        <v>3123</v>
      </c>
      <c r="AZ180" s="17"/>
      <c r="BA180" s="16"/>
      <c r="BB180" s="14"/>
      <c r="BC180" s="14"/>
      <c r="BD180" s="15" t="s">
        <v>3123</v>
      </c>
      <c r="BE180" s="14"/>
      <c r="BF180" s="17"/>
      <c r="BG180" s="16"/>
      <c r="BH180" s="14"/>
      <c r="BI180" s="15" t="s">
        <v>3123</v>
      </c>
      <c r="BJ180" s="14"/>
      <c r="BK180" s="17"/>
      <c r="BL180" s="16"/>
      <c r="BM180" s="16"/>
      <c r="BN180" s="16"/>
      <c r="BO180" s="16"/>
      <c r="BP180" s="15" t="s">
        <v>3123</v>
      </c>
      <c r="BQ180" s="17"/>
      <c r="BR180" s="14"/>
      <c r="BS180" s="14"/>
      <c r="BT180" s="16"/>
      <c r="BU180" s="16"/>
      <c r="BV180" s="13"/>
      <c r="BW180" s="18" t="s">
        <v>7825</v>
      </c>
      <c r="BX180" s="13">
        <v>200</v>
      </c>
      <c r="BY180" s="17">
        <v>44124</v>
      </c>
      <c r="BZ180" s="18"/>
      <c r="CA180" s="18"/>
      <c r="CB180" s="18"/>
      <c r="CC180" s="18"/>
      <c r="CD180" s="14" t="s">
        <v>7826</v>
      </c>
      <c r="CE180" s="17">
        <v>42685</v>
      </c>
      <c r="CF180" s="16"/>
      <c r="CG180" s="17"/>
      <c r="CH180" s="16"/>
      <c r="CI180" s="17"/>
      <c r="CJ180" s="16"/>
      <c r="CK180" s="17"/>
      <c r="CL180" s="16"/>
      <c r="CM180" s="17"/>
      <c r="CN180" s="19">
        <v>34.687787406085839</v>
      </c>
      <c r="CO180" s="19"/>
      <c r="CP180" s="17"/>
      <c r="CQ180" s="14" t="s">
        <v>5036</v>
      </c>
      <c r="CR180" s="14" t="s">
        <v>7827</v>
      </c>
      <c r="CS180" s="14" t="s">
        <v>5004</v>
      </c>
    </row>
    <row r="181" spans="1:97" ht="26.15" customHeight="1">
      <c r="A181" s="2">
        <v>351</v>
      </c>
      <c r="B181" s="25" t="s">
        <v>2804</v>
      </c>
      <c r="C181" s="25" t="e">
        <f>VLOOKUP(B181, Sheet6!$A$1:$B$77, 2, FALSE)</f>
        <v>#N/A</v>
      </c>
      <c r="D181" s="25" t="s">
        <v>2805</v>
      </c>
      <c r="E181" s="25" t="s">
        <v>2807</v>
      </c>
      <c r="F181" s="25" t="s">
        <v>9075</v>
      </c>
      <c r="G181" s="25" t="s">
        <v>10955</v>
      </c>
      <c r="H181" s="25" t="s">
        <v>10558</v>
      </c>
      <c r="I181" s="25" t="s">
        <v>10558</v>
      </c>
      <c r="J181" s="25" t="s">
        <v>10735</v>
      </c>
      <c r="L181" s="13">
        <v>2015</v>
      </c>
      <c r="M181" s="14" t="s">
        <v>7828</v>
      </c>
      <c r="N181" s="14" t="s">
        <v>5050</v>
      </c>
      <c r="O181" s="14" t="s">
        <v>4343</v>
      </c>
      <c r="P181" s="15" t="s">
        <v>3117</v>
      </c>
      <c r="Q181" s="16"/>
      <c r="R181" s="17">
        <v>43756</v>
      </c>
      <c r="S181" s="16"/>
      <c r="T181" s="16" t="s">
        <v>50</v>
      </c>
      <c r="U181" s="14" t="s">
        <v>34</v>
      </c>
      <c r="V181" s="13">
        <v>4</v>
      </c>
      <c r="W181" s="17">
        <v>44081</v>
      </c>
      <c r="X181" s="14"/>
      <c r="Y181" s="17"/>
      <c r="Z181" s="17"/>
      <c r="AA181" s="14" t="s">
        <v>7829</v>
      </c>
      <c r="AB181" s="14" t="s">
        <v>7830</v>
      </c>
      <c r="AC181" s="14" t="s">
        <v>7831</v>
      </c>
      <c r="AD181" s="20" t="str">
        <f t="shared" si="12"/>
        <v>Food Tech &gt; Novel Foods &gt; Food Ingredients &gt; Protein
Insect Farming Tech &gt; Insects &gt; Insect based Products &gt; Novel Foods
Nutraceuticals &gt; Nutraceutical Ingredients
MassChallenge Batches &gt; Cohort Information Unavailable</v>
      </c>
      <c r="AE181" s="20" t="str">
        <f t="shared" si="11"/>
        <v>Food Tech</v>
      </c>
      <c r="AF181" s="20" t="str">
        <f t="shared" si="13"/>
        <v>Novel Foods</v>
      </c>
      <c r="AG181" s="20" t="str">
        <f t="shared" si="13"/>
        <v>Food Ingredients</v>
      </c>
      <c r="AH181" s="20" t="str">
        <f t="shared" si="13"/>
        <v>Protein
Insect Farming Tech</v>
      </c>
      <c r="AI181" s="20" t="str">
        <f t="shared" si="13"/>
        <v>Insects</v>
      </c>
      <c r="AJ181" s="20" t="str">
        <f t="shared" si="13"/>
        <v>Insect based Products</v>
      </c>
      <c r="AK181" s="20" t="str">
        <f t="shared" si="13"/>
        <v>Novel Foods
Nutraceuticals</v>
      </c>
      <c r="AL181" s="14" t="s">
        <v>7832</v>
      </c>
      <c r="AM181" s="14"/>
      <c r="AO181" s="14"/>
      <c r="AP181" s="14" t="s">
        <v>4343</v>
      </c>
      <c r="AQ181" s="14" t="s">
        <v>7834</v>
      </c>
      <c r="AR181" s="14"/>
      <c r="AS181" s="14" t="s">
        <v>7835</v>
      </c>
      <c r="AT181" s="14" t="s">
        <v>7836</v>
      </c>
      <c r="AU181" s="14" t="s">
        <v>7837</v>
      </c>
      <c r="AV181" s="18"/>
      <c r="AW181" s="16"/>
      <c r="AX181" s="17"/>
      <c r="AY181" s="15" t="s">
        <v>3123</v>
      </c>
      <c r="AZ181" s="17"/>
      <c r="BA181" s="16"/>
      <c r="BB181" s="14"/>
      <c r="BC181" s="14"/>
      <c r="BD181" s="15" t="s">
        <v>3123</v>
      </c>
      <c r="BE181" s="14"/>
      <c r="BF181" s="17"/>
      <c r="BG181" s="16"/>
      <c r="BH181" s="14"/>
      <c r="BI181" s="15" t="s">
        <v>3123</v>
      </c>
      <c r="BJ181" s="14"/>
      <c r="BK181" s="17"/>
      <c r="BL181" s="16"/>
      <c r="BM181" s="16"/>
      <c r="BN181" s="16"/>
      <c r="BO181" s="16"/>
      <c r="BP181" s="15" t="s">
        <v>3123</v>
      </c>
      <c r="BQ181" s="17"/>
      <c r="BR181" s="14"/>
      <c r="BS181" s="14"/>
      <c r="BT181" s="16"/>
      <c r="BU181" s="16"/>
      <c r="BV181" s="13"/>
      <c r="BW181" s="18" t="s">
        <v>7838</v>
      </c>
      <c r="BX181" s="13">
        <v>301</v>
      </c>
      <c r="BY181" s="17">
        <v>44124</v>
      </c>
      <c r="BZ181" s="18"/>
      <c r="CA181" s="18"/>
      <c r="CB181" s="18"/>
      <c r="CC181" s="18"/>
      <c r="CD181" s="14" t="s">
        <v>7839</v>
      </c>
      <c r="CE181" s="17">
        <v>42642</v>
      </c>
      <c r="CF181" s="16"/>
      <c r="CG181" s="17"/>
      <c r="CH181" s="16"/>
      <c r="CI181" s="17"/>
      <c r="CJ181" s="16"/>
      <c r="CK181" s="17"/>
      <c r="CL181" s="16"/>
      <c r="CM181" s="17"/>
      <c r="CN181" s="19">
        <v>38.338201448918475</v>
      </c>
      <c r="CO181" s="19"/>
      <c r="CP181" s="17"/>
      <c r="CQ181" s="14" t="s">
        <v>6487</v>
      </c>
      <c r="CR181" s="14" t="s">
        <v>5944</v>
      </c>
      <c r="CS181" s="14" t="s">
        <v>5945</v>
      </c>
    </row>
    <row r="182" spans="1:97" ht="26.15" customHeight="1">
      <c r="A182" s="2">
        <v>221</v>
      </c>
      <c r="B182" s="25" t="s">
        <v>1958</v>
      </c>
      <c r="C182" s="25" t="e">
        <f>VLOOKUP(B182, Sheet6!$A$1:$B$77, 2, FALSE)</f>
        <v>#N/A</v>
      </c>
      <c r="D182" s="25" t="s">
        <v>1959</v>
      </c>
      <c r="E182" s="25" t="s">
        <v>1961</v>
      </c>
      <c r="F182" s="25" t="s">
        <v>7779</v>
      </c>
      <c r="G182" s="25" t="s">
        <v>10955</v>
      </c>
      <c r="H182" s="25" t="s">
        <v>10958</v>
      </c>
      <c r="I182" s="25" t="s">
        <v>10958</v>
      </c>
      <c r="J182" s="26" t="s">
        <v>10813</v>
      </c>
      <c r="L182" s="13">
        <v>2012</v>
      </c>
      <c r="M182" s="14" t="s">
        <v>5067</v>
      </c>
      <c r="N182" s="14" t="s">
        <v>5068</v>
      </c>
      <c r="O182" s="14" t="s">
        <v>3994</v>
      </c>
      <c r="P182" s="15" t="s">
        <v>3117</v>
      </c>
      <c r="Q182" s="16">
        <v>987327</v>
      </c>
      <c r="R182" s="17">
        <v>43615</v>
      </c>
      <c r="S182" s="16"/>
      <c r="T182" s="16" t="s">
        <v>50</v>
      </c>
      <c r="U182" s="14" t="s">
        <v>5335</v>
      </c>
      <c r="V182" s="13">
        <v>4</v>
      </c>
      <c r="W182" s="17">
        <v>44003</v>
      </c>
      <c r="X182" s="14"/>
      <c r="Y182" s="17"/>
      <c r="Z182" s="17"/>
      <c r="AA182" s="14" t="s">
        <v>1</v>
      </c>
      <c r="AB182" s="14" t="s">
        <v>5007</v>
      </c>
      <c r="AC182" s="14" t="s">
        <v>6482</v>
      </c>
      <c r="AD182" s="20" t="str">
        <f t="shared" si="12"/>
        <v>Crop Tech &gt; Farm Inputs &gt; Seeds &gt; Field Crops &gt; Hybrid</v>
      </c>
      <c r="AE182" s="20" t="str">
        <f t="shared" si="11"/>
        <v>Crop Tech</v>
      </c>
      <c r="AF182" s="20" t="str">
        <f t="shared" si="13"/>
        <v>Farm Inputs</v>
      </c>
      <c r="AG182" s="20" t="str">
        <f t="shared" si="13"/>
        <v>Seeds</v>
      </c>
      <c r="AH182" s="20" t="str">
        <f t="shared" si="13"/>
        <v>Field Crops</v>
      </c>
      <c r="AI182" s="20" t="str">
        <f t="shared" si="13"/>
        <v>Hybrid</v>
      </c>
      <c r="AJ182" s="20" t="str">
        <f t="shared" si="13"/>
        <v/>
      </c>
      <c r="AK182" s="20" t="str">
        <f t="shared" si="13"/>
        <v/>
      </c>
      <c r="AL182" s="14" t="s">
        <v>7840</v>
      </c>
      <c r="AM182" s="14" t="s">
        <v>7841</v>
      </c>
      <c r="AO182" s="14"/>
      <c r="AP182" s="14" t="s">
        <v>3994</v>
      </c>
      <c r="AQ182" s="14"/>
      <c r="AR182" s="14"/>
      <c r="AS182" s="14" t="s">
        <v>7843</v>
      </c>
      <c r="AT182" s="14" t="s">
        <v>7844</v>
      </c>
      <c r="AU182" s="14" t="s">
        <v>7845</v>
      </c>
      <c r="AV182" s="18"/>
      <c r="AW182" s="16"/>
      <c r="AX182" s="17"/>
      <c r="AY182" s="15" t="s">
        <v>3123</v>
      </c>
      <c r="AZ182" s="17"/>
      <c r="BA182" s="16"/>
      <c r="BB182" s="14"/>
      <c r="BC182" s="14"/>
      <c r="BD182" s="15" t="s">
        <v>3117</v>
      </c>
      <c r="BE182" s="14" t="s">
        <v>3669</v>
      </c>
      <c r="BF182" s="17">
        <v>43910</v>
      </c>
      <c r="BG182" s="16"/>
      <c r="BH182" s="14" t="s">
        <v>5342</v>
      </c>
      <c r="BI182" s="15" t="s">
        <v>3123</v>
      </c>
      <c r="BJ182" s="14"/>
      <c r="BK182" s="17"/>
      <c r="BL182" s="16"/>
      <c r="BM182" s="16"/>
      <c r="BN182" s="16"/>
      <c r="BO182" s="16"/>
      <c r="BP182" s="15" t="s">
        <v>3123</v>
      </c>
      <c r="BQ182" s="17"/>
      <c r="BR182" s="14"/>
      <c r="BS182" s="14"/>
      <c r="BT182" s="16"/>
      <c r="BU182" s="16"/>
      <c r="BV182" s="13"/>
      <c r="BW182" s="18" t="s">
        <v>7846</v>
      </c>
      <c r="BX182" s="13">
        <v>200</v>
      </c>
      <c r="BY182" s="17">
        <v>44138</v>
      </c>
      <c r="BZ182" s="18"/>
      <c r="CA182" s="18"/>
      <c r="CB182" s="18" t="s">
        <v>7847</v>
      </c>
      <c r="CC182" s="18"/>
      <c r="CD182" s="14" t="s">
        <v>7848</v>
      </c>
      <c r="CE182" s="17">
        <v>42933</v>
      </c>
      <c r="CF182" s="16"/>
      <c r="CG182" s="17"/>
      <c r="CH182" s="16"/>
      <c r="CI182" s="17"/>
      <c r="CJ182" s="16">
        <v>15000000</v>
      </c>
      <c r="CK182" s="17">
        <v>42346</v>
      </c>
      <c r="CL182" s="16">
        <v>15</v>
      </c>
      <c r="CM182" s="17">
        <v>43646</v>
      </c>
      <c r="CN182" s="19">
        <v>33.540308478202768</v>
      </c>
      <c r="CO182" s="19"/>
      <c r="CP182" s="17"/>
      <c r="CQ182" s="14" t="s">
        <v>5345</v>
      </c>
      <c r="CR182" s="14" t="s">
        <v>7221</v>
      </c>
      <c r="CS182" s="14" t="s">
        <v>5945</v>
      </c>
    </row>
    <row r="183" spans="1:97" ht="26.15" customHeight="1">
      <c r="A183" s="2">
        <v>79</v>
      </c>
      <c r="B183" s="25" t="s">
        <v>1031</v>
      </c>
      <c r="C183" s="25" t="e">
        <f>VLOOKUP(B183, Sheet6!$A$1:$B$77, 2, FALSE)</f>
        <v>#N/A</v>
      </c>
      <c r="D183" s="25" t="s">
        <v>1032</v>
      </c>
      <c r="E183" s="25" t="s">
        <v>1036</v>
      </c>
      <c r="F183" s="25" t="s">
        <v>6038</v>
      </c>
      <c r="G183" s="25" t="s">
        <v>10955</v>
      </c>
      <c r="H183" s="25" t="s">
        <v>10959</v>
      </c>
      <c r="I183" s="25" t="s">
        <v>10958</v>
      </c>
      <c r="J183" s="26" t="s">
        <v>10770</v>
      </c>
      <c r="L183" s="13">
        <v>2015</v>
      </c>
      <c r="M183" s="14" t="s">
        <v>5067</v>
      </c>
      <c r="N183" s="14" t="s">
        <v>5068</v>
      </c>
      <c r="O183" s="14" t="s">
        <v>3994</v>
      </c>
      <c r="P183" s="15" t="s">
        <v>3117</v>
      </c>
      <c r="Q183" s="16"/>
      <c r="R183" s="17">
        <v>44067</v>
      </c>
      <c r="S183" s="16"/>
      <c r="T183" s="16" t="s">
        <v>50</v>
      </c>
      <c r="U183" s="14" t="s">
        <v>34</v>
      </c>
      <c r="V183" s="13">
        <v>4</v>
      </c>
      <c r="W183" s="17">
        <v>44074</v>
      </c>
      <c r="X183" s="14"/>
      <c r="Y183" s="17"/>
      <c r="Z183" s="17"/>
      <c r="AA183" s="14" t="s">
        <v>5442</v>
      </c>
      <c r="AB183" s="14" t="s">
        <v>5443</v>
      </c>
      <c r="AC183" s="14" t="s">
        <v>7849</v>
      </c>
      <c r="AD183" s="20" t="str">
        <f t="shared" si="12"/>
        <v>Crop Tech &gt; Farm Equipment &gt; Greenhouse Systems
MassChallenge Batches &gt; Israel &gt; 2017 &gt; Diamond</v>
      </c>
      <c r="AE183" s="20" t="str">
        <f t="shared" si="11"/>
        <v>Crop Tech</v>
      </c>
      <c r="AF183" s="20" t="str">
        <f t="shared" si="13"/>
        <v>Farm Equipment</v>
      </c>
      <c r="AG183" s="20" t="str">
        <f t="shared" si="13"/>
        <v>Greenhouse Systems
MassChallenge Batches</v>
      </c>
      <c r="AH183" s="20" t="str">
        <f t="shared" si="13"/>
        <v>Israel</v>
      </c>
      <c r="AI183" s="20" t="str">
        <f t="shared" si="13"/>
        <v>2017</v>
      </c>
      <c r="AJ183" s="20" t="str">
        <f t="shared" si="13"/>
        <v>Diamond</v>
      </c>
      <c r="AK183" s="20" t="str">
        <f t="shared" si="13"/>
        <v/>
      </c>
      <c r="AL183" s="14" t="s">
        <v>7850</v>
      </c>
      <c r="AM183" s="14"/>
      <c r="AO183" s="14"/>
      <c r="AP183" s="14" t="s">
        <v>3994</v>
      </c>
      <c r="AQ183" s="14"/>
      <c r="AR183" s="14"/>
      <c r="AS183" s="14" t="s">
        <v>7852</v>
      </c>
      <c r="AT183" s="14" t="s">
        <v>7853</v>
      </c>
      <c r="AU183" s="14" t="s">
        <v>7854</v>
      </c>
      <c r="AV183" s="18"/>
      <c r="AW183" s="16">
        <v>105300</v>
      </c>
      <c r="AX183" s="17">
        <v>43100</v>
      </c>
      <c r="AY183" s="15" t="s">
        <v>3123</v>
      </c>
      <c r="AZ183" s="17"/>
      <c r="BA183" s="16"/>
      <c r="BB183" s="14"/>
      <c r="BC183" s="14"/>
      <c r="BD183" s="15" t="s">
        <v>3123</v>
      </c>
      <c r="BE183" s="14"/>
      <c r="BF183" s="17"/>
      <c r="BG183" s="16"/>
      <c r="BH183" s="14"/>
      <c r="BI183" s="15" t="s">
        <v>3123</v>
      </c>
      <c r="BJ183" s="14"/>
      <c r="BK183" s="17"/>
      <c r="BL183" s="16"/>
      <c r="BM183" s="16"/>
      <c r="BN183" s="16"/>
      <c r="BO183" s="16"/>
      <c r="BP183" s="15" t="s">
        <v>3123</v>
      </c>
      <c r="BQ183" s="17"/>
      <c r="BR183" s="14"/>
      <c r="BS183" s="14"/>
      <c r="BT183" s="16"/>
      <c r="BU183" s="16"/>
      <c r="BV183" s="13"/>
      <c r="BW183" s="18" t="s">
        <v>7855</v>
      </c>
      <c r="BX183" s="13">
        <v>200</v>
      </c>
      <c r="BY183" s="17">
        <v>44137</v>
      </c>
      <c r="BZ183" s="18" t="s">
        <v>7856</v>
      </c>
      <c r="CA183" s="18"/>
      <c r="CB183" s="18"/>
      <c r="CC183" s="18"/>
      <c r="CD183" s="14" t="s">
        <v>7857</v>
      </c>
      <c r="CE183" s="17">
        <v>42601</v>
      </c>
      <c r="CF183" s="16">
        <v>-85900</v>
      </c>
      <c r="CG183" s="17">
        <v>43100</v>
      </c>
      <c r="CH183" s="16">
        <v>-112900</v>
      </c>
      <c r="CI183" s="17">
        <v>43100</v>
      </c>
      <c r="CJ183" s="16"/>
      <c r="CK183" s="17"/>
      <c r="CL183" s="16"/>
      <c r="CM183" s="17"/>
      <c r="CN183" s="19">
        <v>36.439562615776104</v>
      </c>
      <c r="CO183" s="19"/>
      <c r="CP183" s="17"/>
      <c r="CQ183" s="14" t="s">
        <v>7409</v>
      </c>
      <c r="CR183" s="14" t="s">
        <v>7272</v>
      </c>
      <c r="CS183" s="14" t="s">
        <v>7194</v>
      </c>
    </row>
    <row r="184" spans="1:97" ht="26.15" customHeight="1">
      <c r="A184" s="2">
        <v>109</v>
      </c>
      <c r="B184" s="25" t="s">
        <v>329</v>
      </c>
      <c r="C184" s="25" t="e">
        <f>VLOOKUP(B184, Sheet6!$A$1:$B$77, 2, FALSE)</f>
        <v>#N/A</v>
      </c>
      <c r="D184" s="25" t="s">
        <v>330</v>
      </c>
      <c r="E184" s="25" t="s">
        <v>334</v>
      </c>
      <c r="F184" s="25" t="s">
        <v>6432</v>
      </c>
      <c r="G184" s="25" t="s">
        <v>10955</v>
      </c>
      <c r="H184" s="25" t="s">
        <v>10957</v>
      </c>
      <c r="I184" s="25" t="s">
        <v>10958</v>
      </c>
      <c r="J184" s="26" t="s">
        <v>10819</v>
      </c>
      <c r="L184" s="13">
        <v>2015</v>
      </c>
      <c r="M184" s="14" t="s">
        <v>7858</v>
      </c>
      <c r="N184" s="14" t="s">
        <v>7859</v>
      </c>
      <c r="O184" s="14" t="s">
        <v>1740</v>
      </c>
      <c r="P184" s="15" t="s">
        <v>3117</v>
      </c>
      <c r="Q184" s="16"/>
      <c r="R184" s="17">
        <v>43076</v>
      </c>
      <c r="S184" s="16"/>
      <c r="T184" s="16" t="s">
        <v>50</v>
      </c>
      <c r="U184" s="14" t="s">
        <v>5040</v>
      </c>
      <c r="V184" s="13">
        <v>3</v>
      </c>
      <c r="W184" s="17">
        <v>43973</v>
      </c>
      <c r="X184" s="14"/>
      <c r="Y184" s="17"/>
      <c r="Z184" s="17"/>
      <c r="AA184" s="14" t="s">
        <v>5442</v>
      </c>
      <c r="AB184" s="14" t="s">
        <v>5443</v>
      </c>
      <c r="AC184" s="14" t="s">
        <v>7860</v>
      </c>
      <c r="AD184" s="20" t="str">
        <f t="shared" si="12"/>
        <v>Crop Tech &gt; Farm Inputs &gt; Biologicals &gt; Diversified
MassChallenge Batches &gt; Mexico &gt; 2017</v>
      </c>
      <c r="AE184" s="20" t="str">
        <f t="shared" si="11"/>
        <v>Crop Tech</v>
      </c>
      <c r="AF184" s="20" t="str">
        <f t="shared" si="13"/>
        <v>Farm Inputs</v>
      </c>
      <c r="AG184" s="20" t="str">
        <f t="shared" si="13"/>
        <v>Biologicals</v>
      </c>
      <c r="AH184" s="20" t="str">
        <f t="shared" si="13"/>
        <v>Diversified
MassChallenge Batches</v>
      </c>
      <c r="AI184" s="20" t="str">
        <f t="shared" si="13"/>
        <v>Mexico</v>
      </c>
      <c r="AJ184" s="20" t="str">
        <f t="shared" si="13"/>
        <v>2017</v>
      </c>
      <c r="AK184" s="20" t="str">
        <f t="shared" si="13"/>
        <v/>
      </c>
      <c r="AL184" s="14" t="s">
        <v>7861</v>
      </c>
      <c r="AM184" s="14"/>
      <c r="AO184" s="14"/>
      <c r="AP184" s="14" t="s">
        <v>1740</v>
      </c>
      <c r="AQ184" s="14" t="s">
        <v>7863</v>
      </c>
      <c r="AR184" s="14" t="s">
        <v>7864</v>
      </c>
      <c r="AS184" s="14" t="s">
        <v>7865</v>
      </c>
      <c r="AT184" s="14" t="s">
        <v>7866</v>
      </c>
      <c r="AU184" s="14" t="s">
        <v>7867</v>
      </c>
      <c r="AV184" s="18"/>
      <c r="AW184" s="16"/>
      <c r="AX184" s="17"/>
      <c r="AY184" s="15" t="s">
        <v>3123</v>
      </c>
      <c r="AZ184" s="17"/>
      <c r="BA184" s="16"/>
      <c r="BB184" s="14"/>
      <c r="BC184" s="14"/>
      <c r="BD184" s="15" t="s">
        <v>3123</v>
      </c>
      <c r="BE184" s="14"/>
      <c r="BF184" s="17"/>
      <c r="BG184" s="16"/>
      <c r="BH184" s="14"/>
      <c r="BI184" s="15" t="s">
        <v>3123</v>
      </c>
      <c r="BJ184" s="14"/>
      <c r="BK184" s="17"/>
      <c r="BL184" s="16"/>
      <c r="BM184" s="16"/>
      <c r="BN184" s="16"/>
      <c r="BO184" s="16"/>
      <c r="BP184" s="15" t="s">
        <v>3123</v>
      </c>
      <c r="BQ184" s="17"/>
      <c r="BR184" s="14"/>
      <c r="BS184" s="14"/>
      <c r="BT184" s="16"/>
      <c r="BU184" s="16"/>
      <c r="BV184" s="13"/>
      <c r="BW184" s="18" t="s">
        <v>7868</v>
      </c>
      <c r="BX184" s="13">
        <v>200</v>
      </c>
      <c r="BY184" s="17">
        <v>44123</v>
      </c>
      <c r="BZ184" s="18" t="s">
        <v>7869</v>
      </c>
      <c r="CA184" s="18" t="s">
        <v>7870</v>
      </c>
      <c r="CB184" s="18" t="s">
        <v>7871</v>
      </c>
      <c r="CC184" s="18" t="s">
        <v>7872</v>
      </c>
      <c r="CD184" s="14" t="s">
        <v>7873</v>
      </c>
      <c r="CE184" s="17">
        <v>43447</v>
      </c>
      <c r="CF184" s="16"/>
      <c r="CG184" s="17"/>
      <c r="CH184" s="16"/>
      <c r="CI184" s="17"/>
      <c r="CJ184" s="16"/>
      <c r="CK184" s="17"/>
      <c r="CL184" s="16"/>
      <c r="CM184" s="17"/>
      <c r="CN184" s="19">
        <v>35.346059456599285</v>
      </c>
      <c r="CO184" s="19"/>
      <c r="CP184" s="17"/>
      <c r="CQ184" s="14" t="s">
        <v>5345</v>
      </c>
      <c r="CR184" s="14" t="s">
        <v>7874</v>
      </c>
      <c r="CS184" s="14" t="s">
        <v>5311</v>
      </c>
    </row>
    <row r="185" spans="1:97" ht="26.15" customHeight="1">
      <c r="A185" s="2">
        <v>403</v>
      </c>
      <c r="B185" s="25" t="s">
        <v>2560</v>
      </c>
      <c r="C185" s="25" t="e">
        <f>VLOOKUP(B185, Sheet6!$A$1:$B$77, 2, FALSE)</f>
        <v>#N/A</v>
      </c>
      <c r="D185" s="25" t="s">
        <v>2561</v>
      </c>
      <c r="E185" s="25" t="s">
        <v>2562</v>
      </c>
      <c r="F185" s="25" t="s">
        <v>9342</v>
      </c>
      <c r="G185" s="25" t="s">
        <v>11119</v>
      </c>
      <c r="H185" s="25" t="s">
        <v>10558</v>
      </c>
      <c r="I185" s="25" t="s">
        <v>10558</v>
      </c>
      <c r="J185" s="25" t="s">
        <v>10821</v>
      </c>
      <c r="L185" s="13">
        <v>2015</v>
      </c>
      <c r="M185" s="14" t="s">
        <v>7285</v>
      </c>
      <c r="N185" s="14" t="s">
        <v>7285</v>
      </c>
      <c r="O185" s="14" t="s">
        <v>5277</v>
      </c>
      <c r="P185" s="15" t="s">
        <v>3117</v>
      </c>
      <c r="Q185" s="16">
        <v>29000000</v>
      </c>
      <c r="R185" s="17">
        <v>43922</v>
      </c>
      <c r="S185" s="16" t="s">
        <v>7885</v>
      </c>
      <c r="T185" s="16">
        <v>17000000</v>
      </c>
      <c r="U185" s="14" t="s">
        <v>109</v>
      </c>
      <c r="V185" s="13">
        <v>4</v>
      </c>
      <c r="W185" s="17">
        <v>44028</v>
      </c>
      <c r="X185" s="14" t="s">
        <v>5052</v>
      </c>
      <c r="Y185" s="17">
        <v>43927</v>
      </c>
      <c r="Z185" s="17">
        <v>43612</v>
      </c>
      <c r="AA185" s="14" t="s">
        <v>5509</v>
      </c>
      <c r="AB185" s="14" t="s">
        <v>5510</v>
      </c>
      <c r="AC185" s="14" t="s">
        <v>7886</v>
      </c>
      <c r="AD185" s="20" t="str">
        <f t="shared" si="12"/>
        <v>B2B E-Commerce &gt; Food &amp; Beverages &gt; Groceries &gt; Farm Products &gt; Marketplace
Online Grocery &gt; B2B Ecommerce &gt; Farm Produce &gt; Multi-Category &gt; Marketplace
Crop Tech &gt; ECommerce &gt; Farm Produce &gt; B2B &gt; Fruits and Vegetables &gt; Marketplace</v>
      </c>
      <c r="AE185" s="20" t="str">
        <f t="shared" si="11"/>
        <v>B2B E-Commerce</v>
      </c>
      <c r="AF185" s="20" t="str">
        <f t="shared" si="13"/>
        <v>Food &amp; Beverages</v>
      </c>
      <c r="AG185" s="20" t="str">
        <f t="shared" si="13"/>
        <v>Groceries</v>
      </c>
      <c r="AH185" s="20" t="str">
        <f t="shared" si="13"/>
        <v>Farm Products</v>
      </c>
      <c r="AI185" s="20" t="str">
        <f t="shared" si="13"/>
        <v>Marketplace
Online Grocery</v>
      </c>
      <c r="AJ185" s="20" t="str">
        <f t="shared" si="13"/>
        <v>B2B Ecommerce</v>
      </c>
      <c r="AK185" s="20" t="str">
        <f t="shared" si="13"/>
        <v>Farm Produce</v>
      </c>
      <c r="AL185" s="14" t="s">
        <v>7887</v>
      </c>
      <c r="AM185" s="14"/>
      <c r="AO185" s="14"/>
      <c r="AP185" s="14" t="s">
        <v>5277</v>
      </c>
      <c r="AQ185" s="14" t="s">
        <v>7889</v>
      </c>
      <c r="AR185" s="14"/>
      <c r="AS185" s="14" t="s">
        <v>7890</v>
      </c>
      <c r="AT185" s="14" t="s">
        <v>7891</v>
      </c>
      <c r="AU185" s="14" t="s">
        <v>7892</v>
      </c>
      <c r="AV185" s="18"/>
      <c r="AW185" s="16"/>
      <c r="AX185" s="17"/>
      <c r="AY185" s="15" t="s">
        <v>3123</v>
      </c>
      <c r="AZ185" s="17"/>
      <c r="BA185" s="16"/>
      <c r="BB185" s="14"/>
      <c r="BC185" s="14"/>
      <c r="BD185" s="15" t="s">
        <v>3123</v>
      </c>
      <c r="BE185" s="14"/>
      <c r="BF185" s="17"/>
      <c r="BG185" s="16"/>
      <c r="BH185" s="14"/>
      <c r="BI185" s="15" t="s">
        <v>3123</v>
      </c>
      <c r="BJ185" s="14"/>
      <c r="BK185" s="17"/>
      <c r="BL185" s="16"/>
      <c r="BM185" s="16"/>
      <c r="BN185" s="16"/>
      <c r="BO185" s="16"/>
      <c r="BP185" s="15" t="s">
        <v>3123</v>
      </c>
      <c r="BQ185" s="17"/>
      <c r="BR185" s="14"/>
      <c r="BS185" s="14"/>
      <c r="BT185" s="16"/>
      <c r="BU185" s="16"/>
      <c r="BV185" s="13"/>
      <c r="BW185" s="18" t="s">
        <v>7893</v>
      </c>
      <c r="BX185" s="13">
        <v>200</v>
      </c>
      <c r="BY185" s="17">
        <v>44123</v>
      </c>
      <c r="BZ185" s="18" t="s">
        <v>7894</v>
      </c>
      <c r="CA185" s="18" t="s">
        <v>7895</v>
      </c>
      <c r="CB185" s="18" t="s">
        <v>7896</v>
      </c>
      <c r="CC185" s="18"/>
      <c r="CD185" s="14" t="s">
        <v>7897</v>
      </c>
      <c r="CE185" s="17">
        <v>42383</v>
      </c>
      <c r="CF185" s="16"/>
      <c r="CG185" s="17"/>
      <c r="CH185" s="16"/>
      <c r="CI185" s="17"/>
      <c r="CJ185" s="16"/>
      <c r="CK185" s="17"/>
      <c r="CL185" s="16"/>
      <c r="CM185" s="17"/>
      <c r="CN185" s="19">
        <v>66.802083303148478</v>
      </c>
      <c r="CO185" s="19"/>
      <c r="CP185" s="17"/>
      <c r="CQ185" s="14" t="s">
        <v>7816</v>
      </c>
      <c r="CR185" s="14" t="s">
        <v>7898</v>
      </c>
      <c r="CS185" s="14" t="s">
        <v>5004</v>
      </c>
    </row>
    <row r="186" spans="1:97" ht="26.15" customHeight="1">
      <c r="A186" s="2">
        <v>533</v>
      </c>
      <c r="B186" s="25" t="s">
        <v>2232</v>
      </c>
      <c r="C186" s="25" t="e">
        <f>VLOOKUP(B186, Sheet6!$A$1:$B$77, 2, FALSE)</f>
        <v>#N/A</v>
      </c>
      <c r="D186" s="25" t="s">
        <v>2233</v>
      </c>
      <c r="E186" s="25" t="s">
        <v>2235</v>
      </c>
      <c r="F186" s="25" t="s">
        <v>10272</v>
      </c>
      <c r="G186" s="25" t="s">
        <v>10955</v>
      </c>
      <c r="H186" s="25" t="s">
        <v>10558</v>
      </c>
      <c r="I186" s="25" t="s">
        <v>11102</v>
      </c>
      <c r="J186" s="25" t="s">
        <v>10993</v>
      </c>
      <c r="L186" s="13">
        <v>1993</v>
      </c>
      <c r="M186" s="14" t="s">
        <v>6542</v>
      </c>
      <c r="N186" s="14" t="s">
        <v>6543</v>
      </c>
      <c r="O186" s="14" t="s">
        <v>3468</v>
      </c>
      <c r="P186" s="15" t="s">
        <v>3117</v>
      </c>
      <c r="Q186" s="16"/>
      <c r="R186" s="17">
        <v>43889</v>
      </c>
      <c r="S186" s="16"/>
      <c r="T186" s="16" t="s">
        <v>50</v>
      </c>
      <c r="U186" s="14" t="s">
        <v>5040</v>
      </c>
      <c r="V186" s="13">
        <v>3</v>
      </c>
      <c r="W186" s="17">
        <v>43894</v>
      </c>
      <c r="X186" s="14"/>
      <c r="Y186" s="17"/>
      <c r="Z186" s="17"/>
      <c r="AA186" s="14" t="s">
        <v>1</v>
      </c>
      <c r="AB186" s="14" t="s">
        <v>5007</v>
      </c>
      <c r="AC186" s="14" t="s">
        <v>5336</v>
      </c>
      <c r="AD186" s="20" t="str">
        <f t="shared" si="12"/>
        <v>Crop Tech &gt; Farm Inputs &gt; Biologicals &gt; Diversified</v>
      </c>
      <c r="AE186" s="20" t="str">
        <f t="shared" si="11"/>
        <v>Crop Tech</v>
      </c>
      <c r="AF186" s="20" t="str">
        <f t="shared" si="13"/>
        <v>Farm Inputs</v>
      </c>
      <c r="AG186" s="20" t="str">
        <f t="shared" si="13"/>
        <v>Biologicals</v>
      </c>
      <c r="AH186" s="20" t="str">
        <f t="shared" si="13"/>
        <v>Diversified</v>
      </c>
      <c r="AI186" s="20" t="str">
        <f t="shared" si="13"/>
        <v/>
      </c>
      <c r="AJ186" s="20" t="str">
        <f t="shared" si="13"/>
        <v/>
      </c>
      <c r="AK186" s="20" t="str">
        <f t="shared" si="13"/>
        <v/>
      </c>
      <c r="AL186" s="14" t="s">
        <v>532</v>
      </c>
      <c r="AM186" s="14"/>
      <c r="AO186" s="14"/>
      <c r="AP186" s="14" t="s">
        <v>3468</v>
      </c>
      <c r="AQ186" s="14" t="s">
        <v>7900</v>
      </c>
      <c r="AR186" s="14" t="s">
        <v>7901</v>
      </c>
      <c r="AS186" s="14" t="s">
        <v>7902</v>
      </c>
      <c r="AT186" s="14" t="s">
        <v>7903</v>
      </c>
      <c r="AU186" s="14"/>
      <c r="AV186" s="18"/>
      <c r="AW186" s="16"/>
      <c r="AX186" s="17"/>
      <c r="AY186" s="15" t="s">
        <v>3123</v>
      </c>
      <c r="AZ186" s="17"/>
      <c r="BA186" s="16"/>
      <c r="BB186" s="14"/>
      <c r="BC186" s="14"/>
      <c r="BD186" s="15" t="s">
        <v>3123</v>
      </c>
      <c r="BE186" s="14"/>
      <c r="BF186" s="17"/>
      <c r="BG186" s="16"/>
      <c r="BH186" s="14"/>
      <c r="BI186" s="15" t="s">
        <v>3123</v>
      </c>
      <c r="BJ186" s="14"/>
      <c r="BK186" s="17"/>
      <c r="BL186" s="16"/>
      <c r="BM186" s="16"/>
      <c r="BN186" s="16"/>
      <c r="BO186" s="16"/>
      <c r="BP186" s="15" t="s">
        <v>3123</v>
      </c>
      <c r="BQ186" s="17"/>
      <c r="BR186" s="14"/>
      <c r="BS186" s="14"/>
      <c r="BT186" s="16"/>
      <c r="BU186" s="16"/>
      <c r="BV186" s="13"/>
      <c r="BW186" s="18" t="s">
        <v>7904</v>
      </c>
      <c r="BX186" s="13">
        <v>200</v>
      </c>
      <c r="BY186" s="17">
        <v>44123</v>
      </c>
      <c r="BZ186" s="18"/>
      <c r="CA186" s="18" t="s">
        <v>7905</v>
      </c>
      <c r="CB186" s="18" t="s">
        <v>7906</v>
      </c>
      <c r="CC186" s="18"/>
      <c r="CD186" s="14" t="s">
        <v>7907</v>
      </c>
      <c r="CE186" s="17">
        <v>43889</v>
      </c>
      <c r="CF186" s="16"/>
      <c r="CG186" s="17"/>
      <c r="CH186" s="16"/>
      <c r="CI186" s="17"/>
      <c r="CJ186" s="16"/>
      <c r="CK186" s="17"/>
      <c r="CL186" s="16"/>
      <c r="CM186" s="17"/>
      <c r="CN186" s="19">
        <v>17.248171785481478</v>
      </c>
      <c r="CO186" s="19"/>
      <c r="CP186" s="17"/>
      <c r="CQ186" s="14" t="s">
        <v>5247</v>
      </c>
      <c r="CR186" s="14" t="s">
        <v>5753</v>
      </c>
      <c r="CS186" s="14" t="s">
        <v>5004</v>
      </c>
    </row>
    <row r="187" spans="1:97" ht="26.15" customHeight="1">
      <c r="A187" s="2">
        <v>479</v>
      </c>
      <c r="B187" s="25" t="s">
        <v>2444</v>
      </c>
      <c r="C187" s="25" t="e">
        <f>VLOOKUP(B187, Sheet6!$A$1:$B$77, 2, FALSE)</f>
        <v>#N/A</v>
      </c>
      <c r="D187" s="25" t="s">
        <v>2445</v>
      </c>
      <c r="E187" s="25" t="s">
        <v>2446</v>
      </c>
      <c r="F187" s="25" t="s">
        <v>9831</v>
      </c>
      <c r="G187" s="25" t="s">
        <v>10955</v>
      </c>
      <c r="H187" s="25" t="s">
        <v>10558</v>
      </c>
      <c r="I187" s="25" t="s">
        <v>10558</v>
      </c>
      <c r="J187" s="25" t="s">
        <v>10765</v>
      </c>
      <c r="L187" s="13">
        <v>2015</v>
      </c>
      <c r="M187" s="14" t="s">
        <v>7908</v>
      </c>
      <c r="N187" s="14" t="s">
        <v>7909</v>
      </c>
      <c r="O187" s="14" t="s">
        <v>1740</v>
      </c>
      <c r="P187" s="15" t="s">
        <v>3117</v>
      </c>
      <c r="Q187" s="16"/>
      <c r="R187" s="17">
        <v>43252</v>
      </c>
      <c r="S187" s="16"/>
      <c r="T187" s="16" t="s">
        <v>50</v>
      </c>
      <c r="U187" s="14" t="s">
        <v>34</v>
      </c>
      <c r="V187" s="13">
        <v>3</v>
      </c>
      <c r="W187" s="17">
        <v>44011</v>
      </c>
      <c r="X187" s="14"/>
      <c r="Y187" s="17"/>
      <c r="Z187" s="17"/>
      <c r="AA187" s="14" t="s">
        <v>5442</v>
      </c>
      <c r="AB187" s="14" t="s">
        <v>6980</v>
      </c>
      <c r="AC187" s="14" t="s">
        <v>7910</v>
      </c>
      <c r="AD187" s="20" t="str">
        <f t="shared" si="12"/>
        <v>Livestock Tech &gt; ECommerce &gt; Diversified &gt; Marketplace
MassChallenge Batches &gt; Mexico &gt; 2018</v>
      </c>
      <c r="AE187" s="20" t="str">
        <f t="shared" si="11"/>
        <v>Livestock Tech</v>
      </c>
      <c r="AF187" s="20" t="str">
        <f t="shared" si="13"/>
        <v>ECommerce</v>
      </c>
      <c r="AG187" s="20" t="str">
        <f t="shared" si="13"/>
        <v>Diversified</v>
      </c>
      <c r="AH187" s="20" t="str">
        <f t="shared" si="13"/>
        <v>Marketplace
MassChallenge Batches</v>
      </c>
      <c r="AI187" s="20" t="str">
        <f t="shared" si="13"/>
        <v>Mexico</v>
      </c>
      <c r="AJ187" s="20" t="str">
        <f t="shared" si="13"/>
        <v>2018</v>
      </c>
      <c r="AK187" s="20" t="str">
        <f t="shared" si="13"/>
        <v/>
      </c>
      <c r="AL187" s="14" t="s">
        <v>1609</v>
      </c>
      <c r="AM187" s="14"/>
      <c r="AO187" s="14"/>
      <c r="AP187" s="14" t="s">
        <v>1740</v>
      </c>
      <c r="AQ187" s="14"/>
      <c r="AR187" s="14"/>
      <c r="AS187" s="14" t="s">
        <v>7912</v>
      </c>
      <c r="AT187" s="14" t="s">
        <v>7913</v>
      </c>
      <c r="AU187" s="14" t="s">
        <v>7914</v>
      </c>
      <c r="AV187" s="18"/>
      <c r="AW187" s="16"/>
      <c r="AX187" s="17"/>
      <c r="AY187" s="15" t="s">
        <v>3123</v>
      </c>
      <c r="AZ187" s="17"/>
      <c r="BA187" s="16"/>
      <c r="BB187" s="14"/>
      <c r="BC187" s="14"/>
      <c r="BD187" s="15" t="s">
        <v>3123</v>
      </c>
      <c r="BE187" s="14"/>
      <c r="BF187" s="17"/>
      <c r="BG187" s="16"/>
      <c r="BH187" s="14"/>
      <c r="BI187" s="15" t="s">
        <v>3123</v>
      </c>
      <c r="BJ187" s="14"/>
      <c r="BK187" s="17"/>
      <c r="BL187" s="16"/>
      <c r="BM187" s="16"/>
      <c r="BN187" s="16"/>
      <c r="BO187" s="16"/>
      <c r="BP187" s="15" t="s">
        <v>3123</v>
      </c>
      <c r="BQ187" s="17"/>
      <c r="BR187" s="14"/>
      <c r="BS187" s="14"/>
      <c r="BT187" s="16"/>
      <c r="BU187" s="16"/>
      <c r="BV187" s="13"/>
      <c r="BW187" s="18" t="s">
        <v>7915</v>
      </c>
      <c r="BX187" s="13">
        <v>200</v>
      </c>
      <c r="BY187" s="17">
        <v>44123</v>
      </c>
      <c r="BZ187" s="18"/>
      <c r="CA187" s="18" t="s">
        <v>7916</v>
      </c>
      <c r="CB187" s="18"/>
      <c r="CC187" s="18"/>
      <c r="CD187" s="14" t="s">
        <v>7917</v>
      </c>
      <c r="CE187" s="17">
        <v>43031</v>
      </c>
      <c r="CF187" s="16"/>
      <c r="CG187" s="17"/>
      <c r="CH187" s="16"/>
      <c r="CI187" s="17"/>
      <c r="CJ187" s="16"/>
      <c r="CK187" s="17"/>
      <c r="CL187" s="16"/>
      <c r="CM187" s="17"/>
      <c r="CN187" s="19">
        <v>33.473307672322477</v>
      </c>
      <c r="CO187" s="19"/>
      <c r="CP187" s="17"/>
      <c r="CQ187" s="14" t="s">
        <v>5541</v>
      </c>
      <c r="CR187" s="14" t="s">
        <v>6523</v>
      </c>
      <c r="CS187" s="14" t="s">
        <v>5945</v>
      </c>
    </row>
    <row r="188" spans="1:97" ht="26.15" customHeight="1">
      <c r="A188" s="2">
        <v>116</v>
      </c>
      <c r="B188" s="25" t="s">
        <v>1666</v>
      </c>
      <c r="C188" s="25" t="e">
        <f>VLOOKUP(B188, Sheet6!$A$1:$B$77, 2, FALSE)</f>
        <v>#N/A</v>
      </c>
      <c r="D188" s="25" t="s">
        <v>1667</v>
      </c>
      <c r="E188" s="25" t="s">
        <v>1670</v>
      </c>
      <c r="F188" s="25" t="s">
        <v>6512</v>
      </c>
      <c r="G188" s="25" t="s">
        <v>10955</v>
      </c>
      <c r="H188" s="25" t="s">
        <v>10957</v>
      </c>
      <c r="I188" s="25" t="s">
        <v>10958</v>
      </c>
      <c r="J188" s="26" t="s">
        <v>10821</v>
      </c>
      <c r="L188" s="13">
        <v>2015</v>
      </c>
      <c r="M188" s="14" t="s">
        <v>5050</v>
      </c>
      <c r="N188" s="14" t="s">
        <v>5050</v>
      </c>
      <c r="O188" s="14" t="s">
        <v>4343</v>
      </c>
      <c r="P188" s="15" t="s">
        <v>3117</v>
      </c>
      <c r="Q188" s="16">
        <v>910000</v>
      </c>
      <c r="R188" s="17">
        <v>43160</v>
      </c>
      <c r="S188" s="16" t="s">
        <v>7918</v>
      </c>
      <c r="T188" s="16">
        <v>110000</v>
      </c>
      <c r="U188" s="14" t="s">
        <v>34</v>
      </c>
      <c r="V188" s="13">
        <v>4</v>
      </c>
      <c r="W188" s="17">
        <v>44057</v>
      </c>
      <c r="X188" s="14"/>
      <c r="Y188" s="17"/>
      <c r="Z188" s="17"/>
      <c r="AA188" s="14" t="s">
        <v>1</v>
      </c>
      <c r="AB188" s="14" t="s">
        <v>5007</v>
      </c>
      <c r="AC188" s="14" t="s">
        <v>5053</v>
      </c>
      <c r="AD188" s="20" t="str">
        <f t="shared" si="12"/>
        <v>Crop Tech &gt; Farm Management Software &gt; Pest Monitoring</v>
      </c>
      <c r="AE188" s="20" t="str">
        <f t="shared" si="11"/>
        <v>Crop Tech</v>
      </c>
      <c r="AF188" s="20" t="str">
        <f t="shared" si="13"/>
        <v>Farm Management Software</v>
      </c>
      <c r="AG188" s="20" t="str">
        <f t="shared" si="13"/>
        <v>Pest Monitoring</v>
      </c>
      <c r="AH188" s="20" t="str">
        <f t="shared" si="13"/>
        <v/>
      </c>
      <c r="AI188" s="20" t="str">
        <f t="shared" si="13"/>
        <v/>
      </c>
      <c r="AJ188" s="20" t="str">
        <f t="shared" si="13"/>
        <v/>
      </c>
      <c r="AK188" s="20" t="str">
        <f t="shared" si="13"/>
        <v/>
      </c>
      <c r="AL188" s="14" t="s">
        <v>7919</v>
      </c>
      <c r="AM188" s="14"/>
      <c r="AO188" s="14"/>
      <c r="AP188" s="14" t="s">
        <v>5319</v>
      </c>
      <c r="AQ188" s="14" t="s">
        <v>7921</v>
      </c>
      <c r="AR188" s="14"/>
      <c r="AS188" s="14" t="s">
        <v>7922</v>
      </c>
      <c r="AT188" s="14" t="s">
        <v>7923</v>
      </c>
      <c r="AU188" s="14" t="s">
        <v>7924</v>
      </c>
      <c r="AV188" s="18" t="s">
        <v>7925</v>
      </c>
      <c r="AW188" s="16"/>
      <c r="AX188" s="17"/>
      <c r="AY188" s="15" t="s">
        <v>3123</v>
      </c>
      <c r="AZ188" s="17"/>
      <c r="BA188" s="16"/>
      <c r="BB188" s="14"/>
      <c r="BC188" s="14"/>
      <c r="BD188" s="15" t="s">
        <v>3123</v>
      </c>
      <c r="BE188" s="14"/>
      <c r="BF188" s="17"/>
      <c r="BG188" s="16"/>
      <c r="BH188" s="14"/>
      <c r="BI188" s="15" t="s">
        <v>3123</v>
      </c>
      <c r="BJ188" s="14"/>
      <c r="BK188" s="17"/>
      <c r="BL188" s="16"/>
      <c r="BM188" s="16"/>
      <c r="BN188" s="16"/>
      <c r="BO188" s="16"/>
      <c r="BP188" s="15" t="s">
        <v>3123</v>
      </c>
      <c r="BQ188" s="17"/>
      <c r="BR188" s="14"/>
      <c r="BS188" s="14"/>
      <c r="BT188" s="16"/>
      <c r="BU188" s="16"/>
      <c r="BV188" s="13"/>
      <c r="BW188" s="18" t="s">
        <v>7926</v>
      </c>
      <c r="BX188" s="13">
        <v>200</v>
      </c>
      <c r="BY188" s="17">
        <v>44123</v>
      </c>
      <c r="BZ188" s="18" t="s">
        <v>7927</v>
      </c>
      <c r="CA188" s="18" t="s">
        <v>7928</v>
      </c>
      <c r="CB188" s="18" t="s">
        <v>7929</v>
      </c>
      <c r="CC188" s="18" t="s">
        <v>7930</v>
      </c>
      <c r="CD188" s="14" t="s">
        <v>7931</v>
      </c>
      <c r="CE188" s="17">
        <v>43973</v>
      </c>
      <c r="CF188" s="16"/>
      <c r="CG188" s="17"/>
      <c r="CH188" s="16"/>
      <c r="CI188" s="17"/>
      <c r="CJ188" s="16"/>
      <c r="CK188" s="17"/>
      <c r="CL188" s="16"/>
      <c r="CM188" s="17"/>
      <c r="CN188" s="19">
        <v>41.457566891446191</v>
      </c>
      <c r="CO188" s="19"/>
      <c r="CP188" s="17"/>
      <c r="CQ188" s="14" t="s">
        <v>6797</v>
      </c>
      <c r="CR188" s="14" t="s">
        <v>5205</v>
      </c>
      <c r="CS188" s="14" t="s">
        <v>5004</v>
      </c>
    </row>
    <row r="189" spans="1:97" ht="26.15" customHeight="1">
      <c r="A189" s="2">
        <v>411</v>
      </c>
      <c r="B189" s="25" t="s">
        <v>2827</v>
      </c>
      <c r="C189" s="25" t="e">
        <f>VLOOKUP(B189, Sheet6!$A$1:$B$77, 2, FALSE)</f>
        <v>#N/A</v>
      </c>
      <c r="D189" s="25" t="s">
        <v>2828</v>
      </c>
      <c r="E189" s="25" t="s">
        <v>2830</v>
      </c>
      <c r="F189" s="25" t="s">
        <v>9392</v>
      </c>
      <c r="G189" s="25" t="s">
        <v>10955</v>
      </c>
      <c r="H189" s="25" t="s">
        <v>10558</v>
      </c>
      <c r="I189" s="25" t="s">
        <v>10558</v>
      </c>
      <c r="J189" s="25" t="s">
        <v>10821</v>
      </c>
      <c r="L189" s="13">
        <v>2015</v>
      </c>
      <c r="M189" s="14" t="s">
        <v>5038</v>
      </c>
      <c r="N189" s="14" t="s">
        <v>5039</v>
      </c>
      <c r="O189" s="14" t="s">
        <v>3994</v>
      </c>
      <c r="P189" s="15" t="s">
        <v>3117</v>
      </c>
      <c r="Q189" s="16"/>
      <c r="R189" s="17">
        <v>43099</v>
      </c>
      <c r="S189" s="16"/>
      <c r="T189" s="16" t="s">
        <v>50</v>
      </c>
      <c r="U189" s="14" t="s">
        <v>5040</v>
      </c>
      <c r="V189" s="13">
        <v>4</v>
      </c>
      <c r="W189" s="17">
        <v>44033</v>
      </c>
      <c r="X189" s="14"/>
      <c r="Y189" s="17"/>
      <c r="Z189" s="17"/>
      <c r="AA189" s="14" t="s">
        <v>4995</v>
      </c>
      <c r="AB189" s="14" t="s">
        <v>5578</v>
      </c>
      <c r="AC189" s="14" t="s">
        <v>7932</v>
      </c>
      <c r="AD189" s="20" t="str">
        <f t="shared" si="12"/>
        <v>Online Grocery &gt; B2C Ecommerce &gt; Multi Category &gt; Marketplace &gt; Drop Shipping
Crop Tech &gt; ECommerce &gt; Farm Produce &gt; B2C &gt; Fruits and Vegetables &gt; Marketplace</v>
      </c>
      <c r="AE189" s="20" t="str">
        <f t="shared" si="11"/>
        <v>Online Grocery</v>
      </c>
      <c r="AF189" s="20" t="str">
        <f t="shared" si="13"/>
        <v>B2C Ecommerce</v>
      </c>
      <c r="AG189" s="20" t="str">
        <f t="shared" si="13"/>
        <v>Multi Category</v>
      </c>
      <c r="AH189" s="20" t="str">
        <f t="shared" si="13"/>
        <v>Marketplace</v>
      </c>
      <c r="AI189" s="20" t="str">
        <f t="shared" si="13"/>
        <v>Drop Shipping
Crop Tech</v>
      </c>
      <c r="AJ189" s="20" t="str">
        <f t="shared" si="13"/>
        <v>ECommerce</v>
      </c>
      <c r="AK189" s="20" t="str">
        <f t="shared" si="13"/>
        <v>Farm Produce</v>
      </c>
      <c r="AL189" s="14" t="s">
        <v>7933</v>
      </c>
      <c r="AM189" s="14"/>
      <c r="AO189" s="14"/>
      <c r="AP189" s="14" t="s">
        <v>3994</v>
      </c>
      <c r="AQ189" s="14"/>
      <c r="AR189" s="14"/>
      <c r="AS189" s="14" t="s">
        <v>7935</v>
      </c>
      <c r="AT189" s="14" t="s">
        <v>7936</v>
      </c>
      <c r="AU189" s="14" t="s">
        <v>7937</v>
      </c>
      <c r="AV189" s="18"/>
      <c r="AW189" s="16">
        <v>316400</v>
      </c>
      <c r="AX189" s="17">
        <v>43465</v>
      </c>
      <c r="AY189" s="15" t="s">
        <v>3123</v>
      </c>
      <c r="AZ189" s="17"/>
      <c r="BA189" s="16"/>
      <c r="BB189" s="14"/>
      <c r="BC189" s="14"/>
      <c r="BD189" s="15" t="s">
        <v>3123</v>
      </c>
      <c r="BE189" s="14"/>
      <c r="BF189" s="17"/>
      <c r="BG189" s="16"/>
      <c r="BH189" s="14"/>
      <c r="BI189" s="15" t="s">
        <v>3123</v>
      </c>
      <c r="BJ189" s="14"/>
      <c r="BK189" s="17"/>
      <c r="BL189" s="16"/>
      <c r="BM189" s="16"/>
      <c r="BN189" s="16"/>
      <c r="BO189" s="16"/>
      <c r="BP189" s="15" t="s">
        <v>3123</v>
      </c>
      <c r="BQ189" s="17"/>
      <c r="BR189" s="14"/>
      <c r="BS189" s="14"/>
      <c r="BT189" s="16"/>
      <c r="BU189" s="16"/>
      <c r="BV189" s="13"/>
      <c r="BW189" s="18" t="s">
        <v>7938</v>
      </c>
      <c r="BX189" s="13">
        <v>200</v>
      </c>
      <c r="BY189" s="17">
        <v>44123</v>
      </c>
      <c r="BZ189" s="18"/>
      <c r="CA189" s="18" t="s">
        <v>7939</v>
      </c>
      <c r="CB189" s="18"/>
      <c r="CC189" s="18"/>
      <c r="CD189" s="14" t="s">
        <v>7940</v>
      </c>
      <c r="CE189" s="17">
        <v>43021</v>
      </c>
      <c r="CF189" s="16">
        <v>-35200</v>
      </c>
      <c r="CG189" s="17">
        <v>43465</v>
      </c>
      <c r="CH189" s="16">
        <v>-28000</v>
      </c>
      <c r="CI189" s="17">
        <v>43465</v>
      </c>
      <c r="CJ189" s="16"/>
      <c r="CK189" s="17"/>
      <c r="CL189" s="16"/>
      <c r="CM189" s="17"/>
      <c r="CN189" s="19">
        <v>30.089978635775235</v>
      </c>
      <c r="CO189" s="19"/>
      <c r="CP189" s="17"/>
      <c r="CQ189" s="14" t="s">
        <v>7606</v>
      </c>
      <c r="CR189" s="14" t="s">
        <v>7607</v>
      </c>
      <c r="CS189" s="14" t="s">
        <v>5945</v>
      </c>
    </row>
    <row r="190" spans="1:97" ht="26.15" customHeight="1">
      <c r="A190" s="2">
        <v>132</v>
      </c>
      <c r="B190" s="25" t="s">
        <v>2060</v>
      </c>
      <c r="C190" s="25" t="e">
        <f>VLOOKUP(B190, Sheet6!$A$1:$B$77, 2, FALSE)</f>
        <v>#N/A</v>
      </c>
      <c r="D190" s="25" t="s">
        <v>2061</v>
      </c>
      <c r="E190" s="25" t="s">
        <v>2062</v>
      </c>
      <c r="F190" s="25" t="s">
        <v>6715</v>
      </c>
      <c r="G190" s="25" t="s">
        <v>10955</v>
      </c>
      <c r="H190" s="25" t="s">
        <v>10957</v>
      </c>
      <c r="I190" s="25" t="s">
        <v>10958</v>
      </c>
      <c r="J190" s="26" t="s">
        <v>10821</v>
      </c>
      <c r="L190" s="13">
        <v>2015</v>
      </c>
      <c r="M190" s="14" t="s">
        <v>5038</v>
      </c>
      <c r="N190" s="14" t="s">
        <v>5039</v>
      </c>
      <c r="O190" s="14" t="s">
        <v>3994</v>
      </c>
      <c r="P190" s="15" t="s">
        <v>3117</v>
      </c>
      <c r="Q190" s="16">
        <v>10693115</v>
      </c>
      <c r="R190" s="17">
        <v>43013</v>
      </c>
      <c r="S190" s="16" t="s">
        <v>7941</v>
      </c>
      <c r="T190" s="16">
        <v>8000000</v>
      </c>
      <c r="U190" s="14" t="s">
        <v>109</v>
      </c>
      <c r="V190" s="13">
        <v>4</v>
      </c>
      <c r="W190" s="17">
        <v>44013</v>
      </c>
      <c r="X190" s="14"/>
      <c r="Y190" s="17"/>
      <c r="Z190" s="17"/>
      <c r="AA190" s="14" t="s">
        <v>5509</v>
      </c>
      <c r="AB190" s="14" t="s">
        <v>5510</v>
      </c>
      <c r="AC190" s="14" t="s">
        <v>5696</v>
      </c>
      <c r="AD190" s="20" t="str">
        <f t="shared" si="12"/>
        <v>B2B E-Commerce &gt; Food &amp; Beverages &gt; Groceries &gt; Farm Products &gt; E-Distributor
Online Grocery &gt; B2B Ecommerce &gt; Farm Produce &gt; Fruits and Vegetables &gt; E-Distributor
Crop Tech &gt; ECommerce &gt; Farm Produce &gt; B2B &gt; Fruits and Vegetables &gt; E Distributor</v>
      </c>
      <c r="AE190" s="20" t="str">
        <f t="shared" si="11"/>
        <v>B2B E-Commerce</v>
      </c>
      <c r="AF190" s="20" t="str">
        <f t="shared" si="13"/>
        <v>Food &amp; Beverages</v>
      </c>
      <c r="AG190" s="20" t="str">
        <f t="shared" si="13"/>
        <v>Groceries</v>
      </c>
      <c r="AH190" s="20" t="str">
        <f t="shared" si="13"/>
        <v>Farm Products</v>
      </c>
      <c r="AI190" s="20" t="str">
        <f t="shared" si="13"/>
        <v>E-Distributor
Online Grocery</v>
      </c>
      <c r="AJ190" s="20" t="str">
        <f t="shared" si="13"/>
        <v>B2B Ecommerce</v>
      </c>
      <c r="AK190" s="20" t="str">
        <f t="shared" si="13"/>
        <v>Farm Produce</v>
      </c>
      <c r="AL190" s="14" t="s">
        <v>7942</v>
      </c>
      <c r="AM190" s="14" t="s">
        <v>7943</v>
      </c>
      <c r="AO190" s="14"/>
      <c r="AP190" s="14" t="s">
        <v>3994</v>
      </c>
      <c r="AQ190" s="14" t="s">
        <v>7945</v>
      </c>
      <c r="AR190" s="14" t="s">
        <v>7946</v>
      </c>
      <c r="AS190" s="14" t="s">
        <v>7947</v>
      </c>
      <c r="AT190" s="14" t="s">
        <v>7948</v>
      </c>
      <c r="AU190" s="14" t="s">
        <v>7949</v>
      </c>
      <c r="AV190" s="18" t="s">
        <v>7950</v>
      </c>
      <c r="AW190" s="16">
        <v>3025053.8572877548</v>
      </c>
      <c r="AX190" s="17">
        <v>43465</v>
      </c>
      <c r="AY190" s="15" t="s">
        <v>3117</v>
      </c>
      <c r="AZ190" s="17">
        <v>42181</v>
      </c>
      <c r="BA190" s="16">
        <v>16985</v>
      </c>
      <c r="BB190" s="14" t="s">
        <v>7951</v>
      </c>
      <c r="BC190" s="14"/>
      <c r="BD190" s="15" t="s">
        <v>3123</v>
      </c>
      <c r="BE190" s="14"/>
      <c r="BF190" s="17"/>
      <c r="BG190" s="16"/>
      <c r="BH190" s="14"/>
      <c r="BI190" s="15" t="s">
        <v>3123</v>
      </c>
      <c r="BJ190" s="14"/>
      <c r="BK190" s="17"/>
      <c r="BL190" s="16"/>
      <c r="BM190" s="16"/>
      <c r="BN190" s="16"/>
      <c r="BO190" s="16"/>
      <c r="BP190" s="15" t="s">
        <v>3123</v>
      </c>
      <c r="BQ190" s="17"/>
      <c r="BR190" s="14"/>
      <c r="BS190" s="14"/>
      <c r="BT190" s="16"/>
      <c r="BU190" s="16"/>
      <c r="BV190" s="13"/>
      <c r="BW190" s="18" t="s">
        <v>7952</v>
      </c>
      <c r="BX190" s="13">
        <v>200</v>
      </c>
      <c r="BY190" s="17">
        <v>44123</v>
      </c>
      <c r="BZ190" s="18"/>
      <c r="CA190" s="18"/>
      <c r="CB190" s="18"/>
      <c r="CC190" s="18"/>
      <c r="CD190" s="14" t="s">
        <v>7953</v>
      </c>
      <c r="CE190" s="17">
        <v>42572</v>
      </c>
      <c r="CF190" s="16">
        <v>-1817777.6512987397</v>
      </c>
      <c r="CG190" s="17">
        <v>43465</v>
      </c>
      <c r="CH190" s="16">
        <v>-1644788.3796747874</v>
      </c>
      <c r="CI190" s="17">
        <v>43465</v>
      </c>
      <c r="CJ190" s="16"/>
      <c r="CK190" s="17"/>
      <c r="CL190" s="16">
        <v>36</v>
      </c>
      <c r="CM190" s="17">
        <v>44012</v>
      </c>
      <c r="CN190" s="19">
        <v>34.208530577255488</v>
      </c>
      <c r="CO190" s="19"/>
      <c r="CP190" s="17"/>
      <c r="CQ190" s="14" t="s">
        <v>5345</v>
      </c>
      <c r="CR190" s="14" t="s">
        <v>7221</v>
      </c>
      <c r="CS190" s="14" t="s">
        <v>5945</v>
      </c>
    </row>
    <row r="191" spans="1:97" ht="26.15" customHeight="1">
      <c r="A191" s="2">
        <v>27</v>
      </c>
      <c r="B191" s="25" t="s">
        <v>360</v>
      </c>
      <c r="C191" s="25" t="e">
        <f>VLOOKUP(B191, Sheet6!$A$1:$B$77, 2, FALSE)</f>
        <v>#N/A</v>
      </c>
      <c r="D191" s="25" t="s">
        <v>361</v>
      </c>
      <c r="E191" s="25" t="s">
        <v>363</v>
      </c>
      <c r="F191" s="25" t="s">
        <v>5372</v>
      </c>
      <c r="G191" s="25" t="s">
        <v>10955</v>
      </c>
      <c r="H191" s="25" t="s">
        <v>10957</v>
      </c>
      <c r="I191" s="25" t="s">
        <v>10958</v>
      </c>
      <c r="J191" s="26" t="s">
        <v>10821</v>
      </c>
      <c r="L191" s="13">
        <v>2014</v>
      </c>
      <c r="M191" s="14" t="s">
        <v>5038</v>
      </c>
      <c r="N191" s="14" t="s">
        <v>5039</v>
      </c>
      <c r="O191" s="14" t="s">
        <v>3994</v>
      </c>
      <c r="P191" s="15" t="s">
        <v>3117</v>
      </c>
      <c r="Q191" s="16">
        <v>214702</v>
      </c>
      <c r="R191" s="17">
        <v>43104</v>
      </c>
      <c r="S191" s="16" t="s">
        <v>7954</v>
      </c>
      <c r="T191" s="16">
        <v>39403</v>
      </c>
      <c r="U191" s="14" t="s">
        <v>34</v>
      </c>
      <c r="V191" s="13">
        <v>2</v>
      </c>
      <c r="W191" s="17">
        <v>44004</v>
      </c>
      <c r="X191" s="14"/>
      <c r="Y191" s="17"/>
      <c r="Z191" s="17"/>
      <c r="AA191" s="14" t="s">
        <v>4995</v>
      </c>
      <c r="AB191" s="14" t="s">
        <v>4996</v>
      </c>
      <c r="AC191" s="14" t="s">
        <v>5418</v>
      </c>
      <c r="AD191" s="20" t="str">
        <f t="shared" si="12"/>
        <v>Online Grocery &gt; B2C Ecommerce &gt; Meat and Seafood &gt; Retailer &gt; Meat
Livestock Tech &gt; ECommerce &gt; Farm Produce &gt; B2C &gt; Retailer &gt; Meat</v>
      </c>
      <c r="AE191" s="20" t="str">
        <f t="shared" si="11"/>
        <v>Online Grocery</v>
      </c>
      <c r="AF191" s="20" t="str">
        <f t="shared" si="13"/>
        <v>B2C Ecommerce</v>
      </c>
      <c r="AG191" s="20" t="str">
        <f t="shared" si="13"/>
        <v>Meat and Seafood</v>
      </c>
      <c r="AH191" s="20" t="str">
        <f t="shared" si="13"/>
        <v>Retailer</v>
      </c>
      <c r="AI191" s="20" t="str">
        <f t="shared" si="13"/>
        <v>Meat
Livestock Tech</v>
      </c>
      <c r="AJ191" s="20" t="str">
        <f t="shared" si="13"/>
        <v>ECommerce</v>
      </c>
      <c r="AK191" s="20" t="str">
        <f t="shared" si="13"/>
        <v>Farm Produce</v>
      </c>
      <c r="AL191" s="14" t="s">
        <v>2514</v>
      </c>
      <c r="AM191" s="14" t="s">
        <v>7955</v>
      </c>
      <c r="AO191" s="14"/>
      <c r="AP191" s="14" t="s">
        <v>3994</v>
      </c>
      <c r="AQ191" s="14" t="s">
        <v>7957</v>
      </c>
      <c r="AR191" s="14"/>
      <c r="AS191" s="14" t="s">
        <v>7958</v>
      </c>
      <c r="AT191" s="14" t="s">
        <v>7959</v>
      </c>
      <c r="AU191" s="14" t="s">
        <v>7960</v>
      </c>
      <c r="AV191" s="18"/>
      <c r="AW191" s="16">
        <v>303</v>
      </c>
      <c r="AX191" s="17">
        <v>42004</v>
      </c>
      <c r="AY191" s="15" t="s">
        <v>3117</v>
      </c>
      <c r="AZ191" s="17">
        <v>41990</v>
      </c>
      <c r="BA191" s="16">
        <v>1566</v>
      </c>
      <c r="BB191" s="14" t="s">
        <v>7961</v>
      </c>
      <c r="BC191" s="14"/>
      <c r="BD191" s="15" t="s">
        <v>3123</v>
      </c>
      <c r="BE191" s="14"/>
      <c r="BF191" s="17"/>
      <c r="BG191" s="16"/>
      <c r="BH191" s="14"/>
      <c r="BI191" s="15" t="s">
        <v>3123</v>
      </c>
      <c r="BJ191" s="14"/>
      <c r="BK191" s="17"/>
      <c r="BL191" s="16"/>
      <c r="BM191" s="16"/>
      <c r="BN191" s="16"/>
      <c r="BO191" s="16"/>
      <c r="BP191" s="15" t="s">
        <v>3123</v>
      </c>
      <c r="BQ191" s="17"/>
      <c r="BR191" s="14"/>
      <c r="BS191" s="14"/>
      <c r="BT191" s="16"/>
      <c r="BU191" s="16"/>
      <c r="BV191" s="13"/>
      <c r="BW191" s="18" t="s">
        <v>7962</v>
      </c>
      <c r="BX191" s="13">
        <v>521</v>
      </c>
      <c r="BY191" s="17">
        <v>44123</v>
      </c>
      <c r="BZ191" s="18"/>
      <c r="CA191" s="18" t="s">
        <v>7963</v>
      </c>
      <c r="CB191" s="18" t="s">
        <v>7964</v>
      </c>
      <c r="CC191" s="18"/>
      <c r="CD191" s="14" t="s">
        <v>7965</v>
      </c>
      <c r="CE191" s="17">
        <v>42685</v>
      </c>
      <c r="CF191" s="16">
        <v>-11400</v>
      </c>
      <c r="CG191" s="17">
        <v>42004</v>
      </c>
      <c r="CH191" s="16">
        <v>-10400</v>
      </c>
      <c r="CI191" s="17">
        <v>42004</v>
      </c>
      <c r="CJ191" s="16"/>
      <c r="CK191" s="17"/>
      <c r="CL191" s="16"/>
      <c r="CM191" s="17"/>
      <c r="CN191" s="19">
        <v>19.927879732593524</v>
      </c>
      <c r="CO191" s="19"/>
      <c r="CP191" s="17"/>
      <c r="CQ191" s="14" t="s">
        <v>5082</v>
      </c>
      <c r="CR191" s="14"/>
      <c r="CS191" s="14" t="s">
        <v>7966</v>
      </c>
    </row>
    <row r="192" spans="1:97" ht="26.15" customHeight="1">
      <c r="A192" s="2">
        <v>274</v>
      </c>
      <c r="B192" s="25" t="s">
        <v>1970</v>
      </c>
      <c r="C192" s="25" t="e">
        <f>VLOOKUP(B192, Sheet6!$A$1:$B$77, 2, FALSE)</f>
        <v>#N/A</v>
      </c>
      <c r="D192" s="25" t="s">
        <v>1971</v>
      </c>
      <c r="E192" s="25" t="s">
        <v>1973</v>
      </c>
      <c r="F192" s="25" t="s">
        <v>8478</v>
      </c>
      <c r="G192" s="25" t="s">
        <v>10955</v>
      </c>
      <c r="H192" s="25" t="s">
        <v>10558</v>
      </c>
      <c r="I192" s="25" t="s">
        <v>10558</v>
      </c>
      <c r="J192" s="25" t="s">
        <v>10709</v>
      </c>
      <c r="L192" s="13">
        <v>2014</v>
      </c>
      <c r="M192" s="14" t="s">
        <v>7967</v>
      </c>
      <c r="N192" s="14" t="s">
        <v>5190</v>
      </c>
      <c r="O192" s="14" t="s">
        <v>1258</v>
      </c>
      <c r="P192" s="15" t="s">
        <v>3117</v>
      </c>
      <c r="Q192" s="16">
        <v>400000</v>
      </c>
      <c r="R192" s="17">
        <v>43901</v>
      </c>
      <c r="S192" s="16" t="s">
        <v>5252</v>
      </c>
      <c r="T192" s="16">
        <v>100000</v>
      </c>
      <c r="U192" s="14" t="s">
        <v>34</v>
      </c>
      <c r="V192" s="13">
        <v>4</v>
      </c>
      <c r="W192" s="17">
        <v>43983</v>
      </c>
      <c r="X192" s="14"/>
      <c r="Y192" s="17"/>
      <c r="Z192" s="17"/>
      <c r="AA192" s="14" t="s">
        <v>6496</v>
      </c>
      <c r="AB192" s="14" t="s">
        <v>6497</v>
      </c>
      <c r="AC192" s="14" t="s">
        <v>7968</v>
      </c>
      <c r="AD192" s="20" t="str">
        <f t="shared" si="12"/>
        <v>Sensors &gt; Industry Applications &gt; Agriculture &gt; Soil Moisture
Crop Tech &gt; Farm Management Software &gt; Soil Management &gt; Soil Moisture Monitoring &gt; Sensors</v>
      </c>
      <c r="AE192" s="20" t="str">
        <f t="shared" si="11"/>
        <v>Sensors</v>
      </c>
      <c r="AF192" s="20" t="str">
        <f t="shared" si="13"/>
        <v>Industry Applications</v>
      </c>
      <c r="AG192" s="20" t="str">
        <f t="shared" si="13"/>
        <v>Agriculture</v>
      </c>
      <c r="AH192" s="20" t="str">
        <f t="shared" si="13"/>
        <v>Soil Moisture
Crop Tech</v>
      </c>
      <c r="AI192" s="20" t="str">
        <f t="shared" si="13"/>
        <v>Farm Management Software</v>
      </c>
      <c r="AJ192" s="20" t="str">
        <f t="shared" si="13"/>
        <v>Soil Management</v>
      </c>
      <c r="AK192" s="20" t="str">
        <f t="shared" si="13"/>
        <v>Soil Moisture Monitoring</v>
      </c>
      <c r="AL192" s="14" t="s">
        <v>7969</v>
      </c>
      <c r="AM192" s="14"/>
      <c r="AO192" s="14"/>
      <c r="AP192" s="14" t="s">
        <v>1258</v>
      </c>
      <c r="AQ192" s="14" t="s">
        <v>7971</v>
      </c>
      <c r="AR192" s="14" t="s">
        <v>7972</v>
      </c>
      <c r="AS192" s="14" t="s">
        <v>7973</v>
      </c>
      <c r="AT192" s="14" t="s">
        <v>7974</v>
      </c>
      <c r="AU192" s="14" t="s">
        <v>7975</v>
      </c>
      <c r="AV192" s="18"/>
      <c r="AW192" s="16"/>
      <c r="AX192" s="17"/>
      <c r="AY192" s="15" t="s">
        <v>3123</v>
      </c>
      <c r="AZ192" s="17"/>
      <c r="BA192" s="16"/>
      <c r="BB192" s="14"/>
      <c r="BC192" s="14"/>
      <c r="BD192" s="15" t="s">
        <v>3123</v>
      </c>
      <c r="BE192" s="14"/>
      <c r="BF192" s="17"/>
      <c r="BG192" s="16"/>
      <c r="BH192" s="14"/>
      <c r="BI192" s="15" t="s">
        <v>3123</v>
      </c>
      <c r="BJ192" s="14"/>
      <c r="BK192" s="17"/>
      <c r="BL192" s="16"/>
      <c r="BM192" s="16"/>
      <c r="BN192" s="16"/>
      <c r="BO192" s="16"/>
      <c r="BP192" s="15" t="s">
        <v>3123</v>
      </c>
      <c r="BQ192" s="17"/>
      <c r="BR192" s="14"/>
      <c r="BS192" s="14"/>
      <c r="BT192" s="16"/>
      <c r="BU192" s="16"/>
      <c r="BV192" s="13"/>
      <c r="BW192" s="18" t="s">
        <v>7976</v>
      </c>
      <c r="BX192" s="13">
        <v>200</v>
      </c>
      <c r="BY192" s="17">
        <v>44123</v>
      </c>
      <c r="BZ192" s="18" t="s">
        <v>7977</v>
      </c>
      <c r="CA192" s="18" t="s">
        <v>7978</v>
      </c>
      <c r="CB192" s="18" t="s">
        <v>7979</v>
      </c>
      <c r="CC192" s="18" t="s">
        <v>7980</v>
      </c>
      <c r="CD192" s="14" t="s">
        <v>7981</v>
      </c>
      <c r="CE192" s="17">
        <v>42929</v>
      </c>
      <c r="CF192" s="16"/>
      <c r="CG192" s="17"/>
      <c r="CH192" s="16"/>
      <c r="CI192" s="17"/>
      <c r="CJ192" s="16"/>
      <c r="CK192" s="17"/>
      <c r="CL192" s="16"/>
      <c r="CM192" s="17"/>
      <c r="CN192" s="19">
        <v>45.623742774585004</v>
      </c>
      <c r="CO192" s="19"/>
      <c r="CP192" s="17"/>
      <c r="CQ192" s="14" t="s">
        <v>7259</v>
      </c>
      <c r="CR192" s="14" t="s">
        <v>5962</v>
      </c>
      <c r="CS192" s="14" t="s">
        <v>6074</v>
      </c>
    </row>
    <row r="193" spans="1:97" ht="26.15" customHeight="1">
      <c r="A193" s="2">
        <v>105</v>
      </c>
      <c r="B193" s="25" t="s">
        <v>1576</v>
      </c>
      <c r="C193" s="25" t="e">
        <f>VLOOKUP(B193, Sheet6!$A$1:$B$77, 2, FALSE)</f>
        <v>#N/A</v>
      </c>
      <c r="D193" s="25" t="s">
        <v>1577</v>
      </c>
      <c r="E193" s="25" t="s">
        <v>1579</v>
      </c>
      <c r="F193" s="25" t="s">
        <v>6383</v>
      </c>
      <c r="G193" s="25" t="s">
        <v>10955</v>
      </c>
      <c r="H193" s="25" t="s">
        <v>10959</v>
      </c>
      <c r="I193" s="25" t="s">
        <v>10958</v>
      </c>
      <c r="J193" s="26" t="s">
        <v>10766</v>
      </c>
      <c r="L193" s="13">
        <v>2014</v>
      </c>
      <c r="M193" s="14" t="s">
        <v>5038</v>
      </c>
      <c r="N193" s="14" t="s">
        <v>5039</v>
      </c>
      <c r="O193" s="14" t="s">
        <v>3994</v>
      </c>
      <c r="P193" s="15" t="s">
        <v>3117</v>
      </c>
      <c r="Q193" s="16"/>
      <c r="R193" s="17">
        <v>42977</v>
      </c>
      <c r="S193" s="16"/>
      <c r="T193" s="16" t="s">
        <v>50</v>
      </c>
      <c r="U193" s="14" t="s">
        <v>34</v>
      </c>
      <c r="V193" s="13">
        <v>3</v>
      </c>
      <c r="W193" s="17">
        <v>44003</v>
      </c>
      <c r="X193" s="14"/>
      <c r="Y193" s="17"/>
      <c r="Z193" s="17"/>
      <c r="AA193" s="14" t="s">
        <v>5976</v>
      </c>
      <c r="AB193" s="14" t="s">
        <v>7999</v>
      </c>
      <c r="AC193" s="14" t="s">
        <v>8000</v>
      </c>
      <c r="AD193" s="20" t="str">
        <f t="shared" si="12"/>
        <v>Industrial Robotics &gt; Agriculture
Crop Tech &gt; Autonomous Farming &gt; Harvesting</v>
      </c>
      <c r="AE193" s="20" t="str">
        <f t="shared" si="11"/>
        <v>Industrial Robotics</v>
      </c>
      <c r="AF193" s="20" t="str">
        <f t="shared" si="13"/>
        <v>Agriculture
Crop Tech</v>
      </c>
      <c r="AG193" s="20" t="str">
        <f t="shared" si="13"/>
        <v>Autonomous Farming</v>
      </c>
      <c r="AH193" s="20" t="str">
        <f t="shared" si="13"/>
        <v>Harvesting</v>
      </c>
      <c r="AI193" s="20" t="str">
        <f t="shared" si="13"/>
        <v/>
      </c>
      <c r="AJ193" s="20" t="str">
        <f t="shared" si="13"/>
        <v/>
      </c>
      <c r="AK193" s="20" t="str">
        <f t="shared" si="13"/>
        <v/>
      </c>
      <c r="AL193" s="14" t="s">
        <v>8001</v>
      </c>
      <c r="AM193" s="14"/>
      <c r="AO193" s="14"/>
      <c r="AP193" s="14" t="s">
        <v>3994</v>
      </c>
      <c r="AQ193" s="14"/>
      <c r="AR193" s="14"/>
      <c r="AS193" s="14" t="s">
        <v>8003</v>
      </c>
      <c r="AT193" s="14" t="s">
        <v>8004</v>
      </c>
      <c r="AU193" s="14" t="s">
        <v>8005</v>
      </c>
      <c r="AV193" s="18" t="s">
        <v>8006</v>
      </c>
      <c r="AW193" s="16">
        <v>9</v>
      </c>
      <c r="AX193" s="17">
        <v>43465</v>
      </c>
      <c r="AY193" s="15" t="s">
        <v>3117</v>
      </c>
      <c r="AZ193" s="17">
        <v>41851</v>
      </c>
      <c r="BA193" s="16">
        <v>9966</v>
      </c>
      <c r="BB193" s="14" t="s">
        <v>8007</v>
      </c>
      <c r="BC193" s="14"/>
      <c r="BD193" s="15" t="s">
        <v>3123</v>
      </c>
      <c r="BE193" s="14"/>
      <c r="BF193" s="17"/>
      <c r="BG193" s="16"/>
      <c r="BH193" s="14"/>
      <c r="BI193" s="15" t="s">
        <v>3123</v>
      </c>
      <c r="BJ193" s="14"/>
      <c r="BK193" s="17"/>
      <c r="BL193" s="16"/>
      <c r="BM193" s="16"/>
      <c r="BN193" s="16"/>
      <c r="BO193" s="16"/>
      <c r="BP193" s="15" t="s">
        <v>3123</v>
      </c>
      <c r="BQ193" s="17"/>
      <c r="BR193" s="14"/>
      <c r="BS193" s="14"/>
      <c r="BT193" s="16"/>
      <c r="BU193" s="16"/>
      <c r="BV193" s="13"/>
      <c r="BW193" s="18" t="s">
        <v>8008</v>
      </c>
      <c r="BX193" s="13">
        <v>200</v>
      </c>
      <c r="BY193" s="17">
        <v>44137</v>
      </c>
      <c r="BZ193" s="18" t="s">
        <v>8009</v>
      </c>
      <c r="CA193" s="18"/>
      <c r="CB193" s="18" t="s">
        <v>8010</v>
      </c>
      <c r="CC193" s="18"/>
      <c r="CD193" s="14" t="s">
        <v>8011</v>
      </c>
      <c r="CE193" s="17">
        <v>42614</v>
      </c>
      <c r="CF193" s="16">
        <v>-8700</v>
      </c>
      <c r="CG193" s="17">
        <v>43465</v>
      </c>
      <c r="CH193" s="16">
        <v>-9500</v>
      </c>
      <c r="CI193" s="17">
        <v>43465</v>
      </c>
      <c r="CJ193" s="16"/>
      <c r="CK193" s="17"/>
      <c r="CL193" s="16"/>
      <c r="CM193" s="17"/>
      <c r="CN193" s="19">
        <v>22.414119982037011</v>
      </c>
      <c r="CO193" s="19"/>
      <c r="CP193" s="17"/>
      <c r="CQ193" s="14" t="s">
        <v>7647</v>
      </c>
      <c r="CR193" s="14" t="s">
        <v>7249</v>
      </c>
      <c r="CS193" s="14" t="s">
        <v>5620</v>
      </c>
    </row>
    <row r="194" spans="1:97" ht="26.15" customHeight="1">
      <c r="A194" s="2">
        <v>498</v>
      </c>
      <c r="B194" s="25" t="s">
        <v>3041</v>
      </c>
      <c r="C194" s="25" t="e">
        <f>VLOOKUP(B194, Sheet6!$A$1:$B$77, 2, FALSE)</f>
        <v>#N/A</v>
      </c>
      <c r="D194" s="25" t="s">
        <v>3042</v>
      </c>
      <c r="E194" s="25" t="s">
        <v>3045</v>
      </c>
      <c r="F194" s="25" t="s">
        <v>9960</v>
      </c>
      <c r="G194" s="25" t="s">
        <v>10955</v>
      </c>
      <c r="H194" s="25" t="s">
        <v>10957</v>
      </c>
      <c r="I194" s="25" t="s">
        <v>10968</v>
      </c>
      <c r="J194" s="25" t="s">
        <v>10819</v>
      </c>
      <c r="L194" s="13">
        <v>2005</v>
      </c>
      <c r="M194" s="14" t="s">
        <v>5719</v>
      </c>
      <c r="N194" s="14" t="s">
        <v>5720</v>
      </c>
      <c r="O194" s="14" t="s">
        <v>2057</v>
      </c>
      <c r="P194" s="15" t="s">
        <v>3117</v>
      </c>
      <c r="Q194" s="16"/>
      <c r="R194" s="17">
        <v>43173</v>
      </c>
      <c r="S194" s="16"/>
      <c r="T194" s="16" t="s">
        <v>50</v>
      </c>
      <c r="U194" s="14" t="s">
        <v>34</v>
      </c>
      <c r="V194" s="13"/>
      <c r="W194" s="17"/>
      <c r="X194" s="14"/>
      <c r="Y194" s="17"/>
      <c r="Z194" s="17"/>
      <c r="AA194" s="14" t="s">
        <v>1</v>
      </c>
      <c r="AB194" s="14" t="s">
        <v>5084</v>
      </c>
      <c r="AC194" s="14" t="s">
        <v>1783</v>
      </c>
      <c r="AD194" s="20" t="str">
        <f t="shared" si="12"/>
        <v>Livestock Tech &gt; Livestock Management Software &gt; Cattle</v>
      </c>
      <c r="AE194" s="20" t="str">
        <f t="shared" si="11"/>
        <v>Livestock Tech</v>
      </c>
      <c r="AF194" s="20" t="str">
        <f t="shared" si="13"/>
        <v>Livestock Management Software</v>
      </c>
      <c r="AG194" s="20" t="str">
        <f t="shared" si="13"/>
        <v>Cattle</v>
      </c>
      <c r="AH194" s="20" t="str">
        <f t="shared" si="13"/>
        <v/>
      </c>
      <c r="AI194" s="20" t="str">
        <f t="shared" si="13"/>
        <v/>
      </c>
      <c r="AJ194" s="20" t="str">
        <f t="shared" si="13"/>
        <v/>
      </c>
      <c r="AK194" s="20" t="str">
        <f t="shared" si="13"/>
        <v/>
      </c>
      <c r="AL194" s="14"/>
      <c r="AM194" s="14"/>
      <c r="AO194" s="14"/>
      <c r="AP194" s="14" t="s">
        <v>2057</v>
      </c>
      <c r="AQ194" s="14" t="s">
        <v>8013</v>
      </c>
      <c r="AR194" s="14"/>
      <c r="AS194" s="14"/>
      <c r="AT194" s="14"/>
      <c r="AU194" s="14"/>
      <c r="AV194" s="18" t="s">
        <v>8014</v>
      </c>
      <c r="AW194" s="16"/>
      <c r="AX194" s="17"/>
      <c r="AY194" s="15" t="s">
        <v>3123</v>
      </c>
      <c r="AZ194" s="17"/>
      <c r="BA194" s="16"/>
      <c r="BB194" s="14"/>
      <c r="BC194" s="14"/>
      <c r="BD194" s="15" t="s">
        <v>3123</v>
      </c>
      <c r="BE194" s="14"/>
      <c r="BF194" s="17"/>
      <c r="BG194" s="16"/>
      <c r="BH194" s="14"/>
      <c r="BI194" s="15" t="s">
        <v>3123</v>
      </c>
      <c r="BJ194" s="14"/>
      <c r="BK194" s="17"/>
      <c r="BL194" s="16"/>
      <c r="BM194" s="16"/>
      <c r="BN194" s="16"/>
      <c r="BO194" s="16"/>
      <c r="BP194" s="15" t="s">
        <v>3123</v>
      </c>
      <c r="BQ194" s="17"/>
      <c r="BR194" s="14"/>
      <c r="BS194" s="14"/>
      <c r="BT194" s="16"/>
      <c r="BU194" s="16"/>
      <c r="BV194" s="13"/>
      <c r="BW194" s="18" t="s">
        <v>8015</v>
      </c>
      <c r="BX194" s="13">
        <v>200</v>
      </c>
      <c r="BY194" s="17">
        <v>44123</v>
      </c>
      <c r="BZ194" s="18" t="s">
        <v>8016</v>
      </c>
      <c r="CA194" s="18"/>
      <c r="CB194" s="18"/>
      <c r="CC194" s="18"/>
      <c r="CD194" s="14" t="s">
        <v>8017</v>
      </c>
      <c r="CE194" s="17">
        <v>42891</v>
      </c>
      <c r="CF194" s="16"/>
      <c r="CG194" s="17"/>
      <c r="CH194" s="16"/>
      <c r="CI194" s="17"/>
      <c r="CJ194" s="16"/>
      <c r="CK194" s="17"/>
      <c r="CL194" s="16"/>
      <c r="CM194" s="17"/>
      <c r="CN194" s="19">
        <v>10.385512958658749</v>
      </c>
      <c r="CO194" s="19"/>
      <c r="CP194" s="17"/>
      <c r="CQ194" s="14" t="s">
        <v>5345</v>
      </c>
      <c r="CR194" s="14" t="s">
        <v>7272</v>
      </c>
      <c r="CS194" s="14" t="s">
        <v>5945</v>
      </c>
    </row>
    <row r="195" spans="1:97" ht="26.15" customHeight="1">
      <c r="A195" s="2">
        <v>272</v>
      </c>
      <c r="B195" s="25" t="s">
        <v>210</v>
      </c>
      <c r="C195" s="25" t="e">
        <f>VLOOKUP(B195, Sheet6!$A$1:$B$77, 2, FALSE)</f>
        <v>#N/A</v>
      </c>
      <c r="D195" s="25" t="s">
        <v>211</v>
      </c>
      <c r="E195" s="25" t="s">
        <v>215</v>
      </c>
      <c r="F195" s="25" t="s">
        <v>8450</v>
      </c>
      <c r="G195" s="25" t="s">
        <v>10954</v>
      </c>
      <c r="H195" s="25" t="s">
        <v>10558</v>
      </c>
      <c r="I195" s="25" t="s">
        <v>10558</v>
      </c>
      <c r="J195" s="25" t="s">
        <v>10793</v>
      </c>
      <c r="L195" s="13">
        <v>2014</v>
      </c>
      <c r="M195" s="14" t="s">
        <v>8018</v>
      </c>
      <c r="N195" s="14" t="s">
        <v>8019</v>
      </c>
      <c r="O195" s="14" t="s">
        <v>5208</v>
      </c>
      <c r="P195" s="15" t="s">
        <v>3117</v>
      </c>
      <c r="Q195" s="16">
        <v>885610</v>
      </c>
      <c r="R195" s="17">
        <v>43203</v>
      </c>
      <c r="S195" s="16" t="s">
        <v>8020</v>
      </c>
      <c r="T195" s="16">
        <v>885610</v>
      </c>
      <c r="U195" s="14" t="s">
        <v>109</v>
      </c>
      <c r="V195" s="13">
        <v>4</v>
      </c>
      <c r="W195" s="17">
        <v>44082</v>
      </c>
      <c r="X195" s="14"/>
      <c r="Y195" s="17"/>
      <c r="Z195" s="17"/>
      <c r="AA195" s="14" t="s">
        <v>1</v>
      </c>
      <c r="AB195" s="14" t="s">
        <v>5084</v>
      </c>
      <c r="AC195" s="14" t="s">
        <v>6268</v>
      </c>
      <c r="AD195" s="20" t="str">
        <f t="shared" si="12"/>
        <v>Livestock Tech &gt; Livestock Management Software</v>
      </c>
      <c r="AE195" s="20" t="str">
        <f t="shared" si="11"/>
        <v>Livestock Tech</v>
      </c>
      <c r="AF195" s="20" t="str">
        <f t="shared" si="13"/>
        <v>Livestock Management Software</v>
      </c>
      <c r="AG195" s="20" t="str">
        <f t="shared" si="13"/>
        <v/>
      </c>
      <c r="AH195" s="20" t="str">
        <f t="shared" si="13"/>
        <v/>
      </c>
      <c r="AI195" s="20" t="str">
        <f t="shared" si="13"/>
        <v/>
      </c>
      <c r="AJ195" s="20" t="str">
        <f t="shared" si="13"/>
        <v/>
      </c>
      <c r="AK195" s="20" t="str">
        <f t="shared" si="13"/>
        <v/>
      </c>
      <c r="AL195" s="14" t="s">
        <v>8021</v>
      </c>
      <c r="AM195" s="14"/>
      <c r="AO195" s="14"/>
      <c r="AP195" s="14" t="s">
        <v>5208</v>
      </c>
      <c r="AQ195" s="14"/>
      <c r="AR195" s="14"/>
      <c r="AS195" s="14" t="s">
        <v>8023</v>
      </c>
      <c r="AT195" s="14" t="s">
        <v>8024</v>
      </c>
      <c r="AU195" s="14" t="s">
        <v>8025</v>
      </c>
      <c r="AV195" s="18" t="s">
        <v>8026</v>
      </c>
      <c r="AW195" s="16"/>
      <c r="AX195" s="17"/>
      <c r="AY195" s="15" t="s">
        <v>3123</v>
      </c>
      <c r="AZ195" s="17"/>
      <c r="BA195" s="16"/>
      <c r="BB195" s="14"/>
      <c r="BC195" s="14"/>
      <c r="BD195" s="15" t="s">
        <v>3123</v>
      </c>
      <c r="BE195" s="14"/>
      <c r="BF195" s="17"/>
      <c r="BG195" s="16"/>
      <c r="BH195" s="14"/>
      <c r="BI195" s="15" t="s">
        <v>3123</v>
      </c>
      <c r="BJ195" s="14"/>
      <c r="BK195" s="17"/>
      <c r="BL195" s="16"/>
      <c r="BM195" s="16"/>
      <c r="BN195" s="16"/>
      <c r="BO195" s="16"/>
      <c r="BP195" s="15" t="s">
        <v>3123</v>
      </c>
      <c r="BQ195" s="17"/>
      <c r="BR195" s="14"/>
      <c r="BS195" s="14"/>
      <c r="BT195" s="16"/>
      <c r="BU195" s="16"/>
      <c r="BV195" s="13"/>
      <c r="BW195" s="18" t="s">
        <v>8027</v>
      </c>
      <c r="BX195" s="13">
        <v>200</v>
      </c>
      <c r="BY195" s="17">
        <v>44123</v>
      </c>
      <c r="BZ195" s="18" t="s">
        <v>8028</v>
      </c>
      <c r="CA195" s="18" t="s">
        <v>8029</v>
      </c>
      <c r="CB195" s="18" t="s">
        <v>8030</v>
      </c>
      <c r="CC195" s="18"/>
      <c r="CD195" s="14" t="s">
        <v>8031</v>
      </c>
      <c r="CE195" s="17">
        <v>42891</v>
      </c>
      <c r="CF195" s="16"/>
      <c r="CG195" s="17"/>
      <c r="CH195" s="16"/>
      <c r="CI195" s="17"/>
      <c r="CJ195" s="16"/>
      <c r="CK195" s="17"/>
      <c r="CL195" s="16"/>
      <c r="CM195" s="17"/>
      <c r="CN195" s="19">
        <v>43.34723423506157</v>
      </c>
      <c r="CO195" s="19"/>
      <c r="CP195" s="17"/>
      <c r="CQ195" s="14" t="s">
        <v>7284</v>
      </c>
      <c r="CR195" s="14" t="s">
        <v>6002</v>
      </c>
      <c r="CS195" s="14" t="s">
        <v>5945</v>
      </c>
    </row>
    <row r="196" spans="1:97" s="53" customFormat="1" ht="26.15" customHeight="1">
      <c r="A196" s="2">
        <v>20</v>
      </c>
      <c r="B196" s="25" t="s">
        <v>673</v>
      </c>
      <c r="C196" s="25" t="e">
        <f>VLOOKUP(B196, Sheet6!$A$1:$B$77, 2, FALSE)</f>
        <v>#N/A</v>
      </c>
      <c r="D196" s="25" t="s">
        <v>674</v>
      </c>
      <c r="E196" s="25" t="s">
        <v>678</v>
      </c>
      <c r="F196" s="25" t="s">
        <v>5269</v>
      </c>
      <c r="G196" s="25" t="s">
        <v>10952</v>
      </c>
      <c r="H196" s="25" t="s">
        <v>10957</v>
      </c>
      <c r="I196" s="25" t="s">
        <v>10958</v>
      </c>
      <c r="J196" s="26" t="s">
        <v>10821</v>
      </c>
      <c r="K196" s="256"/>
      <c r="L196" s="57">
        <v>2016</v>
      </c>
      <c r="M196" s="56" t="s">
        <v>5050</v>
      </c>
      <c r="N196" s="56" t="s">
        <v>5050</v>
      </c>
      <c r="O196" s="56" t="s">
        <v>4343</v>
      </c>
      <c r="P196" s="58" t="s">
        <v>3117</v>
      </c>
      <c r="Q196" s="59">
        <v>9004795</v>
      </c>
      <c r="R196" s="60">
        <v>43591</v>
      </c>
      <c r="S196" s="59" t="s">
        <v>5543</v>
      </c>
      <c r="T196" s="59">
        <v>4500000</v>
      </c>
      <c r="U196" s="56" t="s">
        <v>109</v>
      </c>
      <c r="V196" s="57">
        <v>4</v>
      </c>
      <c r="W196" s="60">
        <v>44048</v>
      </c>
      <c r="X196" s="56" t="s">
        <v>5052</v>
      </c>
      <c r="Y196" s="60">
        <v>43697</v>
      </c>
      <c r="Z196" s="60">
        <v>43591</v>
      </c>
      <c r="AA196" s="56" t="s">
        <v>5041</v>
      </c>
      <c r="AB196" s="56" t="s">
        <v>8049</v>
      </c>
      <c r="AC196" s="56" t="s">
        <v>8050</v>
      </c>
      <c r="AD196" s="53" t="str">
        <f t="shared" si="12"/>
        <v>Smart Homes &gt; Gardening &gt; Indoor Gardening
Crop Tech &gt; Autonomous Farming &gt; Growing Systems &gt; Hydroponics &gt; Commercial &gt; Cannabis</v>
      </c>
      <c r="AE196" s="53" t="str">
        <f t="shared" si="11"/>
        <v>Smart Homes</v>
      </c>
      <c r="AF196" s="53" t="str">
        <f t="shared" si="13"/>
        <v>Gardening</v>
      </c>
      <c r="AG196" s="53" t="str">
        <f t="shared" si="13"/>
        <v>Indoor Gardening
Crop Tech</v>
      </c>
      <c r="AH196" s="53" t="str">
        <f t="shared" si="13"/>
        <v>Autonomous Farming</v>
      </c>
      <c r="AI196" s="53" t="str">
        <f t="shared" si="13"/>
        <v>Growing Systems</v>
      </c>
      <c r="AJ196" s="53" t="str">
        <f t="shared" si="13"/>
        <v>Hydroponics</v>
      </c>
      <c r="AK196" s="53" t="str">
        <f t="shared" si="13"/>
        <v>Commercial</v>
      </c>
      <c r="AL196" s="56" t="s">
        <v>8051</v>
      </c>
      <c r="AM196" s="56" t="s">
        <v>8052</v>
      </c>
      <c r="AO196" s="56"/>
      <c r="AP196" s="56" t="s">
        <v>4343</v>
      </c>
      <c r="AQ196" s="56"/>
      <c r="AR196" s="56"/>
      <c r="AS196" s="56" t="s">
        <v>8054</v>
      </c>
      <c r="AT196" s="56" t="s">
        <v>8055</v>
      </c>
      <c r="AU196" s="56" t="s">
        <v>8056</v>
      </c>
      <c r="AV196" s="61" t="s">
        <v>8057</v>
      </c>
      <c r="AW196" s="59"/>
      <c r="AX196" s="60"/>
      <c r="AY196" s="58" t="s">
        <v>3123</v>
      </c>
      <c r="AZ196" s="60"/>
      <c r="BA196" s="59"/>
      <c r="BB196" s="56"/>
      <c r="BC196" s="56"/>
      <c r="BD196" s="58" t="s">
        <v>3123</v>
      </c>
      <c r="BE196" s="56"/>
      <c r="BF196" s="60"/>
      <c r="BG196" s="59"/>
      <c r="BH196" s="56"/>
      <c r="BI196" s="58" t="s">
        <v>3123</v>
      </c>
      <c r="BJ196" s="56"/>
      <c r="BK196" s="60"/>
      <c r="BL196" s="59"/>
      <c r="BM196" s="59"/>
      <c r="BN196" s="59"/>
      <c r="BO196" s="59"/>
      <c r="BP196" s="58" t="s">
        <v>3123</v>
      </c>
      <c r="BQ196" s="60"/>
      <c r="BR196" s="56"/>
      <c r="BS196" s="56"/>
      <c r="BT196" s="59"/>
      <c r="BU196" s="59"/>
      <c r="BV196" s="57"/>
      <c r="BW196" s="61" t="s">
        <v>8058</v>
      </c>
      <c r="BX196" s="57">
        <v>200</v>
      </c>
      <c r="BY196" s="60">
        <v>44123</v>
      </c>
      <c r="BZ196" s="61" t="s">
        <v>8059</v>
      </c>
      <c r="CA196" s="61" t="s">
        <v>8060</v>
      </c>
      <c r="CB196" s="61" t="s">
        <v>8061</v>
      </c>
      <c r="CC196" s="61"/>
      <c r="CD196" s="56" t="s">
        <v>8062</v>
      </c>
      <c r="CE196" s="60">
        <v>42814</v>
      </c>
      <c r="CF196" s="59"/>
      <c r="CG196" s="60"/>
      <c r="CH196" s="59"/>
      <c r="CI196" s="60"/>
      <c r="CJ196" s="59"/>
      <c r="CK196" s="60"/>
      <c r="CL196" s="59"/>
      <c r="CM196" s="60"/>
      <c r="CN196" s="62">
        <v>47.958594775044169</v>
      </c>
      <c r="CO196" s="62"/>
      <c r="CP196" s="60"/>
      <c r="CQ196" s="56" t="s">
        <v>6487</v>
      </c>
      <c r="CR196" s="56" t="s">
        <v>5944</v>
      </c>
      <c r="CS196" s="56" t="s">
        <v>5945</v>
      </c>
    </row>
    <row r="197" spans="1:97" ht="26.15" customHeight="1">
      <c r="A197" s="2">
        <v>45</v>
      </c>
      <c r="B197" s="25" t="s">
        <v>391</v>
      </c>
      <c r="C197" s="25" t="e">
        <f>VLOOKUP(B197, Sheet6!$A$1:$B$77, 2, FALSE)</f>
        <v>#N/A</v>
      </c>
      <c r="D197" s="25" t="s">
        <v>392</v>
      </c>
      <c r="E197" s="25" t="s">
        <v>396</v>
      </c>
      <c r="F197" s="25" t="s">
        <v>5610</v>
      </c>
      <c r="G197" s="25" t="s">
        <v>10952</v>
      </c>
      <c r="H197" s="25" t="s">
        <v>10959</v>
      </c>
      <c r="I197" s="25" t="s">
        <v>10958</v>
      </c>
      <c r="J197" s="26" t="s">
        <v>10784</v>
      </c>
      <c r="L197" s="13">
        <v>2014</v>
      </c>
      <c r="M197" s="14" t="s">
        <v>8063</v>
      </c>
      <c r="N197" s="14" t="s">
        <v>8064</v>
      </c>
      <c r="O197" s="14" t="s">
        <v>6213</v>
      </c>
      <c r="P197" s="15" t="s">
        <v>3117</v>
      </c>
      <c r="Q197" s="16"/>
      <c r="R197" s="17">
        <v>43315</v>
      </c>
      <c r="S197" s="16"/>
      <c r="T197" s="16" t="s">
        <v>50</v>
      </c>
      <c r="U197" s="14" t="s">
        <v>34</v>
      </c>
      <c r="V197" s="13">
        <v>3</v>
      </c>
      <c r="W197" s="17">
        <v>44081</v>
      </c>
      <c r="X197" s="14"/>
      <c r="Y197" s="17"/>
      <c r="Z197" s="17"/>
      <c r="AA197" s="14" t="s">
        <v>7470</v>
      </c>
      <c r="AB197" s="14" t="s">
        <v>7471</v>
      </c>
      <c r="AC197" s="14" t="s">
        <v>8065</v>
      </c>
      <c r="AD197" s="20" t="str">
        <f t="shared" si="12"/>
        <v>Solar Energy &gt; Hardware Developer &gt; Balance of Systems &gt; Storage
Crop Tech &gt; Post Harvest Management &gt; Quality Control &gt; Fruits and Vegetables &gt; Solar Powered Cold Storage</v>
      </c>
      <c r="AE197" s="20" t="str">
        <f t="shared" ref="AE197:AE250" si="14">TRIM(MID(SUBSTITUTE($AD197,"&gt;",REPT(" ",LEN($AD197))), (AE$6-1)*LEN($AD197)+1, LEN($AD197)))</f>
        <v>Solar Energy</v>
      </c>
      <c r="AF197" s="20" t="str">
        <f t="shared" si="13"/>
        <v>Hardware Developer</v>
      </c>
      <c r="AG197" s="20" t="str">
        <f t="shared" si="13"/>
        <v>Balance of Systems</v>
      </c>
      <c r="AH197" s="20" t="str">
        <f t="shared" si="13"/>
        <v>Storage
Crop Tech</v>
      </c>
      <c r="AI197" s="20" t="str">
        <f t="shared" si="13"/>
        <v>Post Harvest Management</v>
      </c>
      <c r="AJ197" s="20" t="str">
        <f t="shared" si="13"/>
        <v>Quality Control</v>
      </c>
      <c r="AK197" s="20" t="str">
        <f t="shared" si="13"/>
        <v>Fruits and Vegetables</v>
      </c>
      <c r="AL197" s="14" t="s">
        <v>8066</v>
      </c>
      <c r="AM197" s="14"/>
      <c r="AO197" s="14"/>
      <c r="AP197" s="14" t="s">
        <v>6213</v>
      </c>
      <c r="AQ197" s="14" t="s">
        <v>8068</v>
      </c>
      <c r="AR197" s="14"/>
      <c r="AS197" s="14" t="s">
        <v>8069</v>
      </c>
      <c r="AT197" s="14" t="s">
        <v>8070</v>
      </c>
      <c r="AU197" s="14" t="s">
        <v>8071</v>
      </c>
      <c r="AV197" s="18"/>
      <c r="AW197" s="16"/>
      <c r="AX197" s="17"/>
      <c r="AY197" s="15" t="s">
        <v>3123</v>
      </c>
      <c r="AZ197" s="17"/>
      <c r="BA197" s="16"/>
      <c r="BB197" s="14"/>
      <c r="BC197" s="14"/>
      <c r="BD197" s="15" t="s">
        <v>3123</v>
      </c>
      <c r="BE197" s="14"/>
      <c r="BF197" s="17"/>
      <c r="BG197" s="16"/>
      <c r="BH197" s="14"/>
      <c r="BI197" s="15" t="s">
        <v>3123</v>
      </c>
      <c r="BJ197" s="14"/>
      <c r="BK197" s="17"/>
      <c r="BL197" s="16"/>
      <c r="BM197" s="16"/>
      <c r="BN197" s="16"/>
      <c r="BO197" s="16"/>
      <c r="BP197" s="15" t="s">
        <v>3123</v>
      </c>
      <c r="BQ197" s="17"/>
      <c r="BR197" s="14"/>
      <c r="BS197" s="14"/>
      <c r="BT197" s="16"/>
      <c r="BU197" s="16"/>
      <c r="BV197" s="13"/>
      <c r="BW197" s="18" t="s">
        <v>8072</v>
      </c>
      <c r="BX197" s="13">
        <v>200</v>
      </c>
      <c r="BY197" s="17">
        <v>44123</v>
      </c>
      <c r="BZ197" s="18"/>
      <c r="CA197" s="18" t="s">
        <v>8073</v>
      </c>
      <c r="CB197" s="18"/>
      <c r="CC197" s="18"/>
      <c r="CD197" s="14" t="s">
        <v>8074</v>
      </c>
      <c r="CE197" s="17">
        <v>42447</v>
      </c>
      <c r="CF197" s="16"/>
      <c r="CG197" s="17"/>
      <c r="CH197" s="16"/>
      <c r="CI197" s="17"/>
      <c r="CJ197" s="16"/>
      <c r="CK197" s="17"/>
      <c r="CL197" s="16"/>
      <c r="CM197" s="17"/>
      <c r="CN197" s="19">
        <v>35.602425067175879</v>
      </c>
      <c r="CO197" s="19"/>
      <c r="CP197" s="17"/>
      <c r="CQ197" s="14" t="s">
        <v>7409</v>
      </c>
      <c r="CR197" s="14" t="s">
        <v>7272</v>
      </c>
      <c r="CS197" s="14" t="s">
        <v>7194</v>
      </c>
    </row>
    <row r="198" spans="1:97" ht="26.15" customHeight="1">
      <c r="A198" s="2">
        <v>154</v>
      </c>
      <c r="B198" s="25" t="s">
        <v>950</v>
      </c>
      <c r="C198" s="25" t="e">
        <f>VLOOKUP(B198, Sheet6!$A$1:$B$77, 2, FALSE)</f>
        <v>#N/A</v>
      </c>
      <c r="D198" s="25" t="s">
        <v>951</v>
      </c>
      <c r="E198" s="25" t="s">
        <v>955</v>
      </c>
      <c r="F198" s="25" t="s">
        <v>6983</v>
      </c>
      <c r="G198" s="25" t="s">
        <v>10952</v>
      </c>
      <c r="H198" s="25" t="s">
        <v>10959</v>
      </c>
      <c r="I198" s="25" t="s">
        <v>10958</v>
      </c>
      <c r="J198" s="26" t="s">
        <v>10733</v>
      </c>
      <c r="L198" s="13">
        <v>2015</v>
      </c>
      <c r="M198" s="14" t="s">
        <v>5331</v>
      </c>
      <c r="N198" s="14" t="s">
        <v>5332</v>
      </c>
      <c r="O198" s="14" t="s">
        <v>5333</v>
      </c>
      <c r="P198" s="15" t="s">
        <v>3117</v>
      </c>
      <c r="Q198" s="16">
        <v>30000000</v>
      </c>
      <c r="R198" s="17">
        <v>44138</v>
      </c>
      <c r="S198" s="16" t="s">
        <v>5134</v>
      </c>
      <c r="T198" s="16">
        <v>1000000</v>
      </c>
      <c r="U198" s="14" t="s">
        <v>25</v>
      </c>
      <c r="V198" s="13">
        <v>4</v>
      </c>
      <c r="W198" s="17">
        <v>44056</v>
      </c>
      <c r="X198" s="14" t="s">
        <v>5052</v>
      </c>
      <c r="Y198" s="17">
        <v>44049</v>
      </c>
      <c r="Z198" s="17">
        <v>43173</v>
      </c>
      <c r="AA198" s="14" t="s">
        <v>1</v>
      </c>
      <c r="AB198" s="14" t="s">
        <v>5007</v>
      </c>
      <c r="AC198" s="14" t="s">
        <v>6157</v>
      </c>
      <c r="AD198" s="20" t="str">
        <f t="shared" si="12"/>
        <v>Crop Tech &gt; ECommerce &gt; Farm Inputs &gt; Multi Category &gt; Marketplace</v>
      </c>
      <c r="AE198" s="20" t="str">
        <f t="shared" si="14"/>
        <v>Crop Tech</v>
      </c>
      <c r="AF198" s="20" t="str">
        <f t="shared" si="13"/>
        <v>ECommerce</v>
      </c>
      <c r="AG198" s="20" t="str">
        <f t="shared" si="13"/>
        <v>Farm Inputs</v>
      </c>
      <c r="AH198" s="20" t="str">
        <f t="shared" si="13"/>
        <v>Multi Category</v>
      </c>
      <c r="AI198" s="20" t="str">
        <f t="shared" si="13"/>
        <v>Marketplace</v>
      </c>
      <c r="AJ198" s="20" t="str">
        <f t="shared" si="13"/>
        <v/>
      </c>
      <c r="AK198" s="20" t="str">
        <f t="shared" si="13"/>
        <v/>
      </c>
      <c r="AL198" s="14" t="s">
        <v>8075</v>
      </c>
      <c r="AM198" s="14"/>
      <c r="AO198" s="14"/>
      <c r="AP198" s="14" t="s">
        <v>5333</v>
      </c>
      <c r="AQ198" s="14" t="s">
        <v>8077</v>
      </c>
      <c r="AR198" s="14"/>
      <c r="AS198" s="14" t="s">
        <v>8078</v>
      </c>
      <c r="AT198" s="14" t="s">
        <v>8079</v>
      </c>
      <c r="AU198" s="14" t="s">
        <v>8080</v>
      </c>
      <c r="AV198" s="18" t="s">
        <v>8081</v>
      </c>
      <c r="AW198" s="16"/>
      <c r="AX198" s="17"/>
      <c r="AY198" s="15" t="s">
        <v>3123</v>
      </c>
      <c r="AZ198" s="17"/>
      <c r="BA198" s="16"/>
      <c r="BB198" s="14"/>
      <c r="BC198" s="14"/>
      <c r="BD198" s="15" t="s">
        <v>3123</v>
      </c>
      <c r="BE198" s="14"/>
      <c r="BF198" s="17"/>
      <c r="BG198" s="16"/>
      <c r="BH198" s="14"/>
      <c r="BI198" s="15" t="s">
        <v>3123</v>
      </c>
      <c r="BJ198" s="14"/>
      <c r="BK198" s="17"/>
      <c r="BL198" s="16"/>
      <c r="BM198" s="16"/>
      <c r="BN198" s="16"/>
      <c r="BO198" s="16"/>
      <c r="BP198" s="15" t="s">
        <v>3123</v>
      </c>
      <c r="BQ198" s="17"/>
      <c r="BR198" s="14"/>
      <c r="BS198" s="14"/>
      <c r="BT198" s="16"/>
      <c r="BU198" s="16"/>
      <c r="BV198" s="13"/>
      <c r="BW198" s="18" t="s">
        <v>8082</v>
      </c>
      <c r="BX198" s="13">
        <v>200</v>
      </c>
      <c r="BY198" s="17">
        <v>44123</v>
      </c>
      <c r="BZ198" s="18" t="s">
        <v>8083</v>
      </c>
      <c r="CA198" s="18" t="s">
        <v>8084</v>
      </c>
      <c r="CB198" s="18" t="s">
        <v>8085</v>
      </c>
      <c r="CC198" s="18" t="s">
        <v>8086</v>
      </c>
      <c r="CD198" s="14" t="s">
        <v>8087</v>
      </c>
      <c r="CE198" s="17">
        <v>44046</v>
      </c>
      <c r="CF198" s="16"/>
      <c r="CG198" s="17"/>
      <c r="CH198" s="16"/>
      <c r="CI198" s="17"/>
      <c r="CJ198" s="16"/>
      <c r="CK198" s="17"/>
      <c r="CL198" s="16"/>
      <c r="CM198" s="17"/>
      <c r="CN198" s="19">
        <v>43.778038868093915</v>
      </c>
      <c r="CO198" s="19"/>
      <c r="CP198" s="17"/>
      <c r="CQ198" s="14" t="s">
        <v>8088</v>
      </c>
      <c r="CR198" s="14" t="s">
        <v>8089</v>
      </c>
      <c r="CS198" s="14" t="s">
        <v>5945</v>
      </c>
    </row>
    <row r="199" spans="1:97" ht="26.15" customHeight="1">
      <c r="A199" s="2">
        <v>242</v>
      </c>
      <c r="B199" s="25" t="s">
        <v>1322</v>
      </c>
      <c r="C199" s="25" t="e">
        <f>VLOOKUP(B199, Sheet6!$A$1:$B$77, 2, FALSE)</f>
        <v>#N/A</v>
      </c>
      <c r="D199" s="25" t="s">
        <v>1323</v>
      </c>
      <c r="E199" s="25" t="s">
        <v>1327</v>
      </c>
      <c r="F199" s="25" t="s">
        <v>8038</v>
      </c>
      <c r="G199" s="25" t="s">
        <v>10955</v>
      </c>
      <c r="H199" s="25" t="s">
        <v>10957</v>
      </c>
      <c r="I199" s="25" t="s">
        <v>10558</v>
      </c>
      <c r="J199" s="25" t="s">
        <v>10766</v>
      </c>
      <c r="L199" s="13">
        <v>2013</v>
      </c>
      <c r="M199" s="14" t="s">
        <v>5050</v>
      </c>
      <c r="N199" s="14" t="s">
        <v>5050</v>
      </c>
      <c r="O199" s="14" t="s">
        <v>4343</v>
      </c>
      <c r="P199" s="15" t="s">
        <v>3117</v>
      </c>
      <c r="Q199" s="16">
        <v>30000000</v>
      </c>
      <c r="R199" s="17">
        <v>43698</v>
      </c>
      <c r="S199" s="16" t="s">
        <v>5165</v>
      </c>
      <c r="T199" s="16">
        <v>10000000</v>
      </c>
      <c r="U199" s="14" t="s">
        <v>109</v>
      </c>
      <c r="V199" s="13">
        <v>5</v>
      </c>
      <c r="W199" s="17">
        <v>44057</v>
      </c>
      <c r="X199" s="14" t="s">
        <v>5052</v>
      </c>
      <c r="Y199" s="17">
        <v>44027</v>
      </c>
      <c r="Z199" s="17">
        <v>42177</v>
      </c>
      <c r="AA199" s="14" t="s">
        <v>8102</v>
      </c>
      <c r="AB199" s="14" t="s">
        <v>8103</v>
      </c>
      <c r="AC199" s="14" t="s">
        <v>8104</v>
      </c>
      <c r="AD199" s="20" t="str">
        <f t="shared" si="12"/>
        <v>IoT Applications &gt; Industry Specific &gt; Agriculture &gt; Farms
Crop Tech &gt; Farm Management Software &gt; Soil Management &gt; Soil Moisture Monitoring
Water and Wastewater Management Tech &gt; Smart Irrigation &gt; Farming &gt; Soil Moisture Monitoring</v>
      </c>
      <c r="AE199" s="20" t="str">
        <f t="shared" si="14"/>
        <v>IoT Applications</v>
      </c>
      <c r="AF199" s="20" t="str">
        <f t="shared" si="13"/>
        <v>Industry Specific</v>
      </c>
      <c r="AG199" s="20" t="str">
        <f t="shared" si="13"/>
        <v>Agriculture</v>
      </c>
      <c r="AH199" s="20" t="str">
        <f t="shared" si="13"/>
        <v>Farms
Crop Tech</v>
      </c>
      <c r="AI199" s="20" t="str">
        <f t="shared" si="13"/>
        <v>Farm Management Software</v>
      </c>
      <c r="AJ199" s="20" t="str">
        <f t="shared" si="13"/>
        <v>Soil Management</v>
      </c>
      <c r="AK199" s="20" t="str">
        <f t="shared" si="13"/>
        <v>Soil Moisture Monitoring
Water and Wastewater Management Tech</v>
      </c>
      <c r="AL199" s="14" t="s">
        <v>8105</v>
      </c>
      <c r="AM199" s="14"/>
      <c r="AO199" s="14"/>
      <c r="AP199" s="14" t="s">
        <v>4343</v>
      </c>
      <c r="AQ199" s="14"/>
      <c r="AR199" s="14"/>
      <c r="AS199" s="14" t="s">
        <v>8107</v>
      </c>
      <c r="AT199" s="14" t="s">
        <v>8108</v>
      </c>
      <c r="AU199" s="14" t="s">
        <v>8109</v>
      </c>
      <c r="AV199" s="18"/>
      <c r="AW199" s="16"/>
      <c r="AX199" s="17"/>
      <c r="AY199" s="15" t="s">
        <v>3123</v>
      </c>
      <c r="AZ199" s="17"/>
      <c r="BA199" s="16"/>
      <c r="BB199" s="14"/>
      <c r="BC199" s="14" t="s">
        <v>8110</v>
      </c>
      <c r="BD199" s="15" t="s">
        <v>3123</v>
      </c>
      <c r="BE199" s="14"/>
      <c r="BF199" s="17"/>
      <c r="BG199" s="16"/>
      <c r="BH199" s="14"/>
      <c r="BI199" s="15" t="s">
        <v>3123</v>
      </c>
      <c r="BJ199" s="14"/>
      <c r="BK199" s="17"/>
      <c r="BL199" s="16"/>
      <c r="BM199" s="16"/>
      <c r="BN199" s="16"/>
      <c r="BO199" s="16"/>
      <c r="BP199" s="15" t="s">
        <v>3123</v>
      </c>
      <c r="BQ199" s="17"/>
      <c r="BR199" s="14"/>
      <c r="BS199" s="14"/>
      <c r="BT199" s="16"/>
      <c r="BU199" s="16"/>
      <c r="BV199" s="13"/>
      <c r="BW199" s="18" t="s">
        <v>8111</v>
      </c>
      <c r="BX199" s="13">
        <v>200</v>
      </c>
      <c r="BY199" s="17">
        <v>44123</v>
      </c>
      <c r="BZ199" s="18" t="s">
        <v>8112</v>
      </c>
      <c r="CA199" s="18" t="s">
        <v>8113</v>
      </c>
      <c r="CB199" s="18" t="s">
        <v>8114</v>
      </c>
      <c r="CC199" s="18"/>
      <c r="CD199" s="14" t="s">
        <v>8115</v>
      </c>
      <c r="CE199" s="17">
        <v>42930</v>
      </c>
      <c r="CF199" s="16"/>
      <c r="CG199" s="17"/>
      <c r="CH199" s="16"/>
      <c r="CI199" s="17"/>
      <c r="CJ199" s="16"/>
      <c r="CK199" s="17"/>
      <c r="CL199" s="16"/>
      <c r="CM199" s="17"/>
      <c r="CN199" s="19">
        <v>58.847737822899433</v>
      </c>
      <c r="CO199" s="19"/>
      <c r="CP199" s="17"/>
      <c r="CQ199" s="14" t="s">
        <v>8116</v>
      </c>
      <c r="CR199" s="14" t="s">
        <v>8117</v>
      </c>
      <c r="CS199" s="14" t="s">
        <v>5311</v>
      </c>
    </row>
    <row r="200" spans="1:97" ht="26.15" customHeight="1">
      <c r="A200" s="2">
        <v>156</v>
      </c>
      <c r="B200" s="25" t="s">
        <v>1586</v>
      </c>
      <c r="C200" s="25" t="e">
        <f>VLOOKUP(B200, Sheet6!$A$1:$B$77, 2, FALSE)</f>
        <v>#N/A</v>
      </c>
      <c r="D200" s="25" t="s">
        <v>1587</v>
      </c>
      <c r="E200" s="25" t="s">
        <v>1589</v>
      </c>
      <c r="F200" s="25" t="s">
        <v>7011</v>
      </c>
      <c r="G200" s="25" t="s">
        <v>10955</v>
      </c>
      <c r="H200" s="25" t="s">
        <v>10959</v>
      </c>
      <c r="I200" s="25" t="s">
        <v>10958</v>
      </c>
      <c r="J200" s="26" t="s">
        <v>10846</v>
      </c>
      <c r="L200" s="13">
        <v>2013</v>
      </c>
      <c r="M200" s="14" t="s">
        <v>5132</v>
      </c>
      <c r="N200" s="14" t="s">
        <v>5133</v>
      </c>
      <c r="O200" s="14" t="s">
        <v>3994</v>
      </c>
      <c r="P200" s="15" t="s">
        <v>3117</v>
      </c>
      <c r="Q200" s="16">
        <v>234941</v>
      </c>
      <c r="R200" s="17">
        <v>43296</v>
      </c>
      <c r="S200" s="16" t="s">
        <v>8118</v>
      </c>
      <c r="T200" s="16">
        <v>218911</v>
      </c>
      <c r="U200" s="14" t="s">
        <v>34</v>
      </c>
      <c r="V200" s="13">
        <v>3</v>
      </c>
      <c r="W200" s="17">
        <v>44003</v>
      </c>
      <c r="X200" s="14"/>
      <c r="Y200" s="17"/>
      <c r="Z200" s="17"/>
      <c r="AA200" s="14" t="s">
        <v>6645</v>
      </c>
      <c r="AB200" s="14" t="s">
        <v>8119</v>
      </c>
      <c r="AC200" s="14" t="s">
        <v>8120</v>
      </c>
      <c r="AD200" s="20" t="str">
        <f t="shared" si="12"/>
        <v>Genomics &gt; Applied Genomics &gt; Agrigenomics
Crop Tech &gt; Farm Inputs &gt; Biologicals &gt; Crop Nutrition &gt; BioChar</v>
      </c>
      <c r="AE200" s="20" t="str">
        <f t="shared" si="14"/>
        <v>Genomics</v>
      </c>
      <c r="AF200" s="20" t="str">
        <f t="shared" si="13"/>
        <v>Applied Genomics</v>
      </c>
      <c r="AG200" s="20" t="str">
        <f t="shared" si="13"/>
        <v>Agrigenomics
Crop Tech</v>
      </c>
      <c r="AH200" s="20" t="str">
        <f t="shared" si="13"/>
        <v>Farm Inputs</v>
      </c>
      <c r="AI200" s="20" t="str">
        <f t="shared" si="13"/>
        <v>Biologicals</v>
      </c>
      <c r="AJ200" s="20" t="str">
        <f t="shared" si="13"/>
        <v>Crop Nutrition</v>
      </c>
      <c r="AK200" s="20" t="str">
        <f t="shared" si="13"/>
        <v>BioChar</v>
      </c>
      <c r="AL200" s="14" t="s">
        <v>8121</v>
      </c>
      <c r="AM200" s="14" t="s">
        <v>8122</v>
      </c>
      <c r="AO200" s="14"/>
      <c r="AP200" s="14" t="s">
        <v>3994</v>
      </c>
      <c r="AQ200" s="14"/>
      <c r="AR200" s="14"/>
      <c r="AS200" s="14" t="s">
        <v>8124</v>
      </c>
      <c r="AT200" s="14" t="s">
        <v>8125</v>
      </c>
      <c r="AU200" s="14" t="s">
        <v>8126</v>
      </c>
      <c r="AV200" s="18"/>
      <c r="AW200" s="16">
        <v>33900</v>
      </c>
      <c r="AX200" s="17">
        <v>43465</v>
      </c>
      <c r="AY200" s="15" t="s">
        <v>3117</v>
      </c>
      <c r="AZ200" s="17">
        <v>41639</v>
      </c>
      <c r="BA200" s="16">
        <v>1614</v>
      </c>
      <c r="BB200" s="14" t="s">
        <v>8127</v>
      </c>
      <c r="BC200" s="14"/>
      <c r="BD200" s="15" t="s">
        <v>3123</v>
      </c>
      <c r="BE200" s="14"/>
      <c r="BF200" s="17"/>
      <c r="BG200" s="16"/>
      <c r="BH200" s="14"/>
      <c r="BI200" s="15" t="s">
        <v>3123</v>
      </c>
      <c r="BJ200" s="14"/>
      <c r="BK200" s="17"/>
      <c r="BL200" s="16"/>
      <c r="BM200" s="16"/>
      <c r="BN200" s="16"/>
      <c r="BO200" s="16"/>
      <c r="BP200" s="15" t="s">
        <v>3123</v>
      </c>
      <c r="BQ200" s="17"/>
      <c r="BR200" s="14"/>
      <c r="BS200" s="14"/>
      <c r="BT200" s="16"/>
      <c r="BU200" s="16"/>
      <c r="BV200" s="13"/>
      <c r="BW200" s="18" t="s">
        <v>8128</v>
      </c>
      <c r="BX200" s="13">
        <v>200</v>
      </c>
      <c r="BY200" s="17">
        <v>44123</v>
      </c>
      <c r="BZ200" s="18"/>
      <c r="CA200" s="18"/>
      <c r="CB200" s="18" t="s">
        <v>8129</v>
      </c>
      <c r="CC200" s="18"/>
      <c r="CD200" s="14" t="s">
        <v>8130</v>
      </c>
      <c r="CE200" s="17">
        <v>43032</v>
      </c>
      <c r="CF200" s="16">
        <v>-93500</v>
      </c>
      <c r="CG200" s="17">
        <v>43465</v>
      </c>
      <c r="CH200" s="16">
        <v>-87600</v>
      </c>
      <c r="CI200" s="17">
        <v>43465</v>
      </c>
      <c r="CJ200" s="16"/>
      <c r="CK200" s="17"/>
      <c r="CL200" s="16"/>
      <c r="CM200" s="17"/>
      <c r="CN200" s="19">
        <v>28.283812153437367</v>
      </c>
      <c r="CO200" s="19"/>
      <c r="CP200" s="17"/>
      <c r="CQ200" s="14" t="s">
        <v>5036</v>
      </c>
      <c r="CR200" s="14" t="s">
        <v>5037</v>
      </c>
      <c r="CS200" s="14" t="s">
        <v>5004</v>
      </c>
    </row>
    <row r="201" spans="1:97" ht="26.15" customHeight="1">
      <c r="A201" s="2">
        <v>530</v>
      </c>
      <c r="B201" s="25" t="s">
        <v>2809</v>
      </c>
      <c r="C201" s="25" t="e">
        <f>VLOOKUP(B201, Sheet6!$A$1:$B$77, 2, FALSE)</f>
        <v>#N/A</v>
      </c>
      <c r="D201" s="25" t="s">
        <v>2810</v>
      </c>
      <c r="E201" s="25" t="s">
        <v>2812</v>
      </c>
      <c r="F201" s="25" t="s">
        <v>10254</v>
      </c>
      <c r="G201" s="25" t="s">
        <v>10953</v>
      </c>
      <c r="H201" s="25" t="s">
        <v>10957</v>
      </c>
      <c r="I201" s="25" t="s">
        <v>10558</v>
      </c>
      <c r="J201" s="25" t="s">
        <v>10517</v>
      </c>
      <c r="L201" s="13">
        <v>2015</v>
      </c>
      <c r="M201" s="14" t="s">
        <v>5038</v>
      </c>
      <c r="N201" s="14" t="s">
        <v>5039</v>
      </c>
      <c r="O201" s="14" t="s">
        <v>3994</v>
      </c>
      <c r="P201" s="15" t="s">
        <v>3117</v>
      </c>
      <c r="Q201" s="16">
        <v>2569628</v>
      </c>
      <c r="R201" s="17">
        <v>44053</v>
      </c>
      <c r="S201" s="16" t="s">
        <v>5022</v>
      </c>
      <c r="T201" s="16">
        <v>2000000</v>
      </c>
      <c r="U201" s="14" t="s">
        <v>34</v>
      </c>
      <c r="V201" s="13">
        <v>4</v>
      </c>
      <c r="W201" s="17">
        <v>44060</v>
      </c>
      <c r="X201" s="14"/>
      <c r="Y201" s="17"/>
      <c r="Z201" s="17"/>
      <c r="AA201" s="14" t="s">
        <v>5493</v>
      </c>
      <c r="AB201" s="14" t="s">
        <v>5494</v>
      </c>
      <c r="AC201" s="14" t="s">
        <v>8131</v>
      </c>
      <c r="AD201" s="20" t="str">
        <f t="shared" si="12"/>
        <v>B2B E-Commerce &gt; Agriculture &gt; Marketplace
Crop Tech &gt; ECommerce &gt; Farm Inputs &gt; Multi Category &gt; Retailer</v>
      </c>
      <c r="AE201" s="20" t="str">
        <f t="shared" si="14"/>
        <v>B2B E-Commerce</v>
      </c>
      <c r="AF201" s="20" t="str">
        <f t="shared" si="13"/>
        <v>Agriculture</v>
      </c>
      <c r="AG201" s="20" t="str">
        <f t="shared" si="13"/>
        <v>Marketplace
Crop Tech</v>
      </c>
      <c r="AH201" s="20" t="str">
        <f t="shared" si="13"/>
        <v>ECommerce</v>
      </c>
      <c r="AI201" s="20" t="str">
        <f t="shared" si="13"/>
        <v>Farm Inputs</v>
      </c>
      <c r="AJ201" s="20" t="str">
        <f t="shared" si="13"/>
        <v>Multi Category</v>
      </c>
      <c r="AK201" s="20" t="str">
        <f t="shared" si="13"/>
        <v>Retailer</v>
      </c>
      <c r="AL201" s="14" t="s">
        <v>8132</v>
      </c>
      <c r="AM201" s="14"/>
      <c r="AO201" s="14"/>
      <c r="AP201" s="14" t="s">
        <v>3994</v>
      </c>
      <c r="AQ201" s="14" t="s">
        <v>8134</v>
      </c>
      <c r="AR201" s="14" t="s">
        <v>8135</v>
      </c>
      <c r="AS201" s="14" t="s">
        <v>8136</v>
      </c>
      <c r="AT201" s="14" t="s">
        <v>8137</v>
      </c>
      <c r="AU201" s="14" t="s">
        <v>8138</v>
      </c>
      <c r="AV201" s="18"/>
      <c r="AW201" s="16">
        <v>103894</v>
      </c>
      <c r="AX201" s="17">
        <v>43465</v>
      </c>
      <c r="AY201" s="15" t="s">
        <v>3117</v>
      </c>
      <c r="AZ201" s="17">
        <v>42256</v>
      </c>
      <c r="BA201" s="16">
        <v>1500</v>
      </c>
      <c r="BB201" s="14" t="s">
        <v>8139</v>
      </c>
      <c r="BC201" s="14"/>
      <c r="BD201" s="15" t="s">
        <v>3123</v>
      </c>
      <c r="BE201" s="14"/>
      <c r="BF201" s="17"/>
      <c r="BG201" s="16"/>
      <c r="BH201" s="14"/>
      <c r="BI201" s="15" t="s">
        <v>3123</v>
      </c>
      <c r="BJ201" s="14"/>
      <c r="BK201" s="17"/>
      <c r="BL201" s="16"/>
      <c r="BM201" s="16"/>
      <c r="BN201" s="16"/>
      <c r="BO201" s="16"/>
      <c r="BP201" s="15" t="s">
        <v>3123</v>
      </c>
      <c r="BQ201" s="17"/>
      <c r="BR201" s="14"/>
      <c r="BS201" s="14"/>
      <c r="BT201" s="16"/>
      <c r="BU201" s="16"/>
      <c r="BV201" s="13"/>
      <c r="BW201" s="18" t="s">
        <v>8140</v>
      </c>
      <c r="BX201" s="13">
        <v>200</v>
      </c>
      <c r="BY201" s="17">
        <v>44123</v>
      </c>
      <c r="BZ201" s="18" t="s">
        <v>8141</v>
      </c>
      <c r="CA201" s="18" t="s">
        <v>8142</v>
      </c>
      <c r="CB201" s="18" t="s">
        <v>8143</v>
      </c>
      <c r="CC201" s="18"/>
      <c r="CD201" s="14" t="s">
        <v>8144</v>
      </c>
      <c r="CE201" s="17">
        <v>42863</v>
      </c>
      <c r="CF201" s="16">
        <v>-267375</v>
      </c>
      <c r="CG201" s="17">
        <v>43465</v>
      </c>
      <c r="CH201" s="16">
        <v>-350714</v>
      </c>
      <c r="CI201" s="17">
        <v>43465</v>
      </c>
      <c r="CJ201" s="16">
        <v>8000000</v>
      </c>
      <c r="CK201" s="17">
        <v>43812</v>
      </c>
      <c r="CL201" s="16">
        <v>24</v>
      </c>
      <c r="CM201" s="17">
        <v>44012</v>
      </c>
      <c r="CN201" s="19">
        <v>55.033441808089066</v>
      </c>
      <c r="CO201" s="19"/>
      <c r="CP201" s="17"/>
      <c r="CQ201" s="14" t="s">
        <v>7816</v>
      </c>
      <c r="CR201" s="14" t="s">
        <v>8145</v>
      </c>
      <c r="CS201" s="14" t="s">
        <v>5004</v>
      </c>
    </row>
    <row r="202" spans="1:97" ht="26.15" customHeight="1">
      <c r="A202" s="2">
        <v>529</v>
      </c>
      <c r="B202" s="25" t="s">
        <v>3102</v>
      </c>
      <c r="C202" s="25" t="e">
        <f>VLOOKUP(B202, Sheet6!$A$1:$B$77, 2, FALSE)</f>
        <v>#N/A</v>
      </c>
      <c r="D202" s="25" t="s">
        <v>3103</v>
      </c>
      <c r="E202" s="25" t="s">
        <v>3105</v>
      </c>
      <c r="F202" s="25" t="s">
        <v>10245</v>
      </c>
      <c r="G202" s="25" t="s">
        <v>10955</v>
      </c>
      <c r="H202" s="25" t="s">
        <v>10957</v>
      </c>
      <c r="I202" s="25" t="s">
        <v>10558</v>
      </c>
      <c r="J202" s="25" t="s">
        <v>10765</v>
      </c>
      <c r="L202" s="13">
        <v>2013</v>
      </c>
      <c r="M202" s="14" t="s">
        <v>5020</v>
      </c>
      <c r="N202" s="14" t="s">
        <v>5021</v>
      </c>
      <c r="O202" s="14" t="s">
        <v>3994</v>
      </c>
      <c r="P202" s="15" t="s">
        <v>3117</v>
      </c>
      <c r="Q202" s="16">
        <v>17022002</v>
      </c>
      <c r="R202" s="17">
        <v>43750</v>
      </c>
      <c r="S202" s="16" t="s">
        <v>5022</v>
      </c>
      <c r="T202" s="16">
        <v>2386360</v>
      </c>
      <c r="U202" s="14" t="s">
        <v>25</v>
      </c>
      <c r="V202" s="13">
        <v>5</v>
      </c>
      <c r="W202" s="17">
        <v>44008</v>
      </c>
      <c r="X202" s="14" t="s">
        <v>5052</v>
      </c>
      <c r="Y202" s="17">
        <v>44054</v>
      </c>
      <c r="Z202" s="17">
        <v>43750</v>
      </c>
      <c r="AA202" s="14" t="s">
        <v>1</v>
      </c>
      <c r="AB202" s="14" t="s">
        <v>5007</v>
      </c>
      <c r="AC202" s="14" t="s">
        <v>257</v>
      </c>
      <c r="AD202" s="20" t="str">
        <f t="shared" si="12"/>
        <v>Crop Tech &gt; Farming as a Service &gt; Tech Enabled Services</v>
      </c>
      <c r="AE202" s="20" t="str">
        <f t="shared" si="14"/>
        <v>Crop Tech</v>
      </c>
      <c r="AF202" s="20" t="str">
        <f t="shared" si="13"/>
        <v>Farming as a Service</v>
      </c>
      <c r="AG202" s="20" t="str">
        <f t="shared" si="13"/>
        <v>Tech Enabled Services</v>
      </c>
      <c r="AH202" s="20" t="str">
        <f t="shared" si="13"/>
        <v/>
      </c>
      <c r="AI202" s="20" t="str">
        <f t="shared" si="13"/>
        <v/>
      </c>
      <c r="AJ202" s="20" t="str">
        <f t="shared" si="13"/>
        <v/>
      </c>
      <c r="AK202" s="20" t="str">
        <f t="shared" si="13"/>
        <v/>
      </c>
      <c r="AL202" s="14" t="s">
        <v>8146</v>
      </c>
      <c r="AM202" s="14" t="s">
        <v>8147</v>
      </c>
      <c r="AO202" s="14"/>
      <c r="AP202" s="14" t="s">
        <v>3994</v>
      </c>
      <c r="AQ202" s="14" t="s">
        <v>8149</v>
      </c>
      <c r="AR202" s="14" t="s">
        <v>8150</v>
      </c>
      <c r="AS202" s="14" t="s">
        <v>8151</v>
      </c>
      <c r="AT202" s="14" t="s">
        <v>8152</v>
      </c>
      <c r="AU202" s="14" t="s">
        <v>8153</v>
      </c>
      <c r="AV202" s="18"/>
      <c r="AW202" s="16">
        <v>1173648</v>
      </c>
      <c r="AX202" s="17">
        <v>43465</v>
      </c>
      <c r="AY202" s="15" t="s">
        <v>3117</v>
      </c>
      <c r="AZ202" s="17">
        <v>41347</v>
      </c>
      <c r="BA202" s="16">
        <v>1839</v>
      </c>
      <c r="BB202" s="14" t="s">
        <v>8154</v>
      </c>
      <c r="BC202" s="14"/>
      <c r="BD202" s="15" t="s">
        <v>3123</v>
      </c>
      <c r="BE202" s="14"/>
      <c r="BF202" s="17"/>
      <c r="BG202" s="16"/>
      <c r="BH202" s="14"/>
      <c r="BI202" s="15" t="s">
        <v>3123</v>
      </c>
      <c r="BJ202" s="14"/>
      <c r="BK202" s="17"/>
      <c r="BL202" s="16"/>
      <c r="BM202" s="16"/>
      <c r="BN202" s="16"/>
      <c r="BO202" s="16"/>
      <c r="BP202" s="15" t="s">
        <v>3123</v>
      </c>
      <c r="BQ202" s="17"/>
      <c r="BR202" s="14"/>
      <c r="BS202" s="14"/>
      <c r="BT202" s="16"/>
      <c r="BU202" s="16"/>
      <c r="BV202" s="13"/>
      <c r="BW202" s="18" t="s">
        <v>8155</v>
      </c>
      <c r="BX202" s="13">
        <v>200</v>
      </c>
      <c r="BY202" s="17">
        <v>44123</v>
      </c>
      <c r="BZ202" s="18" t="s">
        <v>8156</v>
      </c>
      <c r="CA202" s="18" t="s">
        <v>8157</v>
      </c>
      <c r="CB202" s="18" t="s">
        <v>8158</v>
      </c>
      <c r="CC202" s="18" t="s">
        <v>8159</v>
      </c>
      <c r="CD202" s="14" t="s">
        <v>8160</v>
      </c>
      <c r="CE202" s="17">
        <v>42601</v>
      </c>
      <c r="CF202" s="16">
        <v>-2655803</v>
      </c>
      <c r="CG202" s="17">
        <v>43465</v>
      </c>
      <c r="CH202" s="16">
        <v>-2497716</v>
      </c>
      <c r="CI202" s="17">
        <v>43465</v>
      </c>
      <c r="CJ202" s="16">
        <v>50000000</v>
      </c>
      <c r="CK202" s="17">
        <v>43750</v>
      </c>
      <c r="CL202" s="16">
        <v>93</v>
      </c>
      <c r="CM202" s="17">
        <v>44104</v>
      </c>
      <c r="CN202" s="19">
        <v>53.746238555836605</v>
      </c>
      <c r="CO202" s="19"/>
      <c r="CP202" s="17"/>
      <c r="CQ202" s="14" t="s">
        <v>6540</v>
      </c>
      <c r="CR202" s="14" t="s">
        <v>6629</v>
      </c>
      <c r="CS202" s="14" t="s">
        <v>5004</v>
      </c>
    </row>
    <row r="203" spans="1:97" ht="26.15" customHeight="1">
      <c r="A203" s="2">
        <v>277</v>
      </c>
      <c r="B203" s="25" t="s">
        <v>1296</v>
      </c>
      <c r="C203" s="25" t="e">
        <f>VLOOKUP(B203, Sheet6!$A$1:$B$77, 2, FALSE)</f>
        <v>#N/A</v>
      </c>
      <c r="D203" s="25" t="s">
        <v>1297</v>
      </c>
      <c r="E203" s="25" t="s">
        <v>1301</v>
      </c>
      <c r="F203" s="25" t="s">
        <v>8521</v>
      </c>
      <c r="G203" s="25" t="s">
        <v>10952</v>
      </c>
      <c r="H203" s="25" t="s">
        <v>10959</v>
      </c>
      <c r="I203" s="25" t="s">
        <v>10558</v>
      </c>
      <c r="J203" s="25" t="s">
        <v>10728</v>
      </c>
      <c r="L203" s="13">
        <v>2014</v>
      </c>
      <c r="M203" s="14" t="s">
        <v>6762</v>
      </c>
      <c r="N203" s="14" t="s">
        <v>6763</v>
      </c>
      <c r="O203" s="14" t="s">
        <v>5333</v>
      </c>
      <c r="P203" s="15" t="s">
        <v>3117</v>
      </c>
      <c r="Q203" s="16">
        <v>350000</v>
      </c>
      <c r="R203" s="17">
        <v>43150</v>
      </c>
      <c r="S203" s="16" t="s">
        <v>8161</v>
      </c>
      <c r="T203" s="16">
        <v>350000</v>
      </c>
      <c r="U203" s="14" t="s">
        <v>34</v>
      </c>
      <c r="V203" s="13">
        <v>3</v>
      </c>
      <c r="W203" s="17">
        <v>44090</v>
      </c>
      <c r="X203" s="14"/>
      <c r="Y203" s="17"/>
      <c r="Z203" s="17"/>
      <c r="AA203" s="14" t="s">
        <v>1</v>
      </c>
      <c r="AB203" s="14" t="s">
        <v>5007</v>
      </c>
      <c r="AC203" s="14" t="s">
        <v>5963</v>
      </c>
      <c r="AD203" s="20" t="str">
        <f t="shared" si="12"/>
        <v>Crop Tech &gt; Farm Analytics &gt; Diversified</v>
      </c>
      <c r="AE203" s="20" t="str">
        <f t="shared" si="14"/>
        <v>Crop Tech</v>
      </c>
      <c r="AF203" s="20" t="str">
        <f t="shared" si="13"/>
        <v>Farm Analytics</v>
      </c>
      <c r="AG203" s="20" t="str">
        <f t="shared" si="13"/>
        <v>Diversified</v>
      </c>
      <c r="AH203" s="20" t="str">
        <f t="shared" si="13"/>
        <v/>
      </c>
      <c r="AI203" s="20" t="str">
        <f t="shared" si="13"/>
        <v/>
      </c>
      <c r="AJ203" s="20" t="str">
        <f t="shared" si="13"/>
        <v/>
      </c>
      <c r="AK203" s="20" t="str">
        <f t="shared" si="13"/>
        <v/>
      </c>
      <c r="AL203" s="14" t="s">
        <v>8162</v>
      </c>
      <c r="AM203" s="14"/>
      <c r="AO203" s="14"/>
      <c r="AP203" s="14" t="s">
        <v>5333</v>
      </c>
      <c r="AQ203" s="14" t="s">
        <v>8164</v>
      </c>
      <c r="AR203" s="14"/>
      <c r="AS203" s="14" t="s">
        <v>8165</v>
      </c>
      <c r="AT203" s="14" t="s">
        <v>8166</v>
      </c>
      <c r="AU203" s="14" t="s">
        <v>8167</v>
      </c>
      <c r="AV203" s="18" t="s">
        <v>8168</v>
      </c>
      <c r="AW203" s="16"/>
      <c r="AX203" s="17"/>
      <c r="AY203" s="15" t="s">
        <v>3123</v>
      </c>
      <c r="AZ203" s="17"/>
      <c r="BA203" s="16"/>
      <c r="BB203" s="14"/>
      <c r="BC203" s="14"/>
      <c r="BD203" s="15" t="s">
        <v>3123</v>
      </c>
      <c r="BE203" s="14"/>
      <c r="BF203" s="17"/>
      <c r="BG203" s="16"/>
      <c r="BH203" s="14"/>
      <c r="BI203" s="15" t="s">
        <v>3123</v>
      </c>
      <c r="BJ203" s="14"/>
      <c r="BK203" s="17"/>
      <c r="BL203" s="16"/>
      <c r="BM203" s="16"/>
      <c r="BN203" s="16"/>
      <c r="BO203" s="16"/>
      <c r="BP203" s="15" t="s">
        <v>3123</v>
      </c>
      <c r="BQ203" s="17"/>
      <c r="BR203" s="14"/>
      <c r="BS203" s="14"/>
      <c r="BT203" s="16"/>
      <c r="BU203" s="16"/>
      <c r="BV203" s="13"/>
      <c r="BW203" s="18" t="s">
        <v>8169</v>
      </c>
      <c r="BX203" s="13">
        <v>200</v>
      </c>
      <c r="BY203" s="17">
        <v>44122</v>
      </c>
      <c r="BZ203" s="18" t="s">
        <v>8170</v>
      </c>
      <c r="CA203" s="18" t="s">
        <v>8171</v>
      </c>
      <c r="CB203" s="18"/>
      <c r="CC203" s="18"/>
      <c r="CD203" s="14" t="s">
        <v>8172</v>
      </c>
      <c r="CE203" s="17">
        <v>43019</v>
      </c>
      <c r="CF203" s="16"/>
      <c r="CG203" s="17"/>
      <c r="CH203" s="16"/>
      <c r="CI203" s="17"/>
      <c r="CJ203" s="16"/>
      <c r="CK203" s="17"/>
      <c r="CL203" s="16"/>
      <c r="CM203" s="17"/>
      <c r="CN203" s="19">
        <v>39.346362428590005</v>
      </c>
      <c r="CO203" s="19"/>
      <c r="CP203" s="17"/>
      <c r="CQ203" s="14" t="s">
        <v>7284</v>
      </c>
      <c r="CR203" s="14" t="s">
        <v>8173</v>
      </c>
      <c r="CS203" s="14" t="s">
        <v>6074</v>
      </c>
    </row>
    <row r="204" spans="1:97" ht="26.15" customHeight="1">
      <c r="A204" s="2">
        <v>378</v>
      </c>
      <c r="B204" s="25" t="s">
        <v>2782</v>
      </c>
      <c r="C204" s="25" t="e">
        <f>VLOOKUP(B204, Sheet6!$A$1:$B$77, 2, FALSE)</f>
        <v>#N/A</v>
      </c>
      <c r="D204" s="25" t="s">
        <v>2783</v>
      </c>
      <c r="E204" s="25" t="s">
        <v>2784</v>
      </c>
      <c r="F204" s="25" t="s">
        <v>9204</v>
      </c>
      <c r="G204" s="25" t="s">
        <v>10955</v>
      </c>
      <c r="H204" s="25" t="s">
        <v>10558</v>
      </c>
      <c r="I204" s="25" t="s">
        <v>10558</v>
      </c>
      <c r="J204" s="25" t="s">
        <v>10766</v>
      </c>
      <c r="L204" s="13">
        <v>2013</v>
      </c>
      <c r="M204" s="14" t="s">
        <v>8174</v>
      </c>
      <c r="N204" s="14" t="s">
        <v>8174</v>
      </c>
      <c r="O204" s="14" t="s">
        <v>5844</v>
      </c>
      <c r="P204" s="15" t="s">
        <v>3117</v>
      </c>
      <c r="Q204" s="16">
        <v>1800000</v>
      </c>
      <c r="R204" s="17">
        <v>43531</v>
      </c>
      <c r="S204" s="16" t="s">
        <v>5134</v>
      </c>
      <c r="T204" s="16">
        <v>1130430</v>
      </c>
      <c r="U204" s="14" t="s">
        <v>34</v>
      </c>
      <c r="V204" s="13">
        <v>4</v>
      </c>
      <c r="W204" s="17">
        <v>44081</v>
      </c>
      <c r="X204" s="14"/>
      <c r="Y204" s="17"/>
      <c r="Z204" s="17"/>
      <c r="AA204" s="14" t="s">
        <v>6131</v>
      </c>
      <c r="AB204" s="14" t="s">
        <v>6132</v>
      </c>
      <c r="AC204" s="14" t="s">
        <v>6133</v>
      </c>
      <c r="AD204" s="20" t="str">
        <f t="shared" si="12"/>
        <v>Livestock Tech &gt; Feeding &gt; Sustainable Feeds &gt; Insect Based
Insect Farming Tech &gt; Insects &gt; Insect based Products &gt; Animal Feed &gt; Diversified</v>
      </c>
      <c r="AE204" s="20" t="str">
        <f t="shared" si="14"/>
        <v>Livestock Tech</v>
      </c>
      <c r="AF204" s="20" t="str">
        <f t="shared" si="13"/>
        <v>Feeding</v>
      </c>
      <c r="AG204" s="20" t="str">
        <f t="shared" si="13"/>
        <v>Sustainable Feeds</v>
      </c>
      <c r="AH204" s="20" t="str">
        <f t="shared" si="13"/>
        <v>Insect Based
Insect Farming Tech</v>
      </c>
      <c r="AI204" s="20" t="str">
        <f t="shared" si="13"/>
        <v>Insects</v>
      </c>
      <c r="AJ204" s="20" t="str">
        <f t="shared" si="13"/>
        <v>Insect based Products</v>
      </c>
      <c r="AK204" s="20" t="str">
        <f t="shared" si="13"/>
        <v>Animal Feed</v>
      </c>
      <c r="AL204" s="14"/>
      <c r="AM204" s="14"/>
      <c r="AO204" s="14"/>
      <c r="AP204" s="14" t="s">
        <v>5844</v>
      </c>
      <c r="AQ204" s="14" t="s">
        <v>8176</v>
      </c>
      <c r="AR204" s="14"/>
      <c r="AS204" s="14" t="s">
        <v>8177</v>
      </c>
      <c r="AT204" s="14" t="s">
        <v>8178</v>
      </c>
      <c r="AU204" s="14" t="s">
        <v>8179</v>
      </c>
      <c r="AV204" s="18" t="s">
        <v>8180</v>
      </c>
      <c r="AW204" s="16"/>
      <c r="AX204" s="17"/>
      <c r="AY204" s="15" t="s">
        <v>3123</v>
      </c>
      <c r="AZ204" s="17"/>
      <c r="BA204" s="16"/>
      <c r="BB204" s="14"/>
      <c r="BC204" s="14"/>
      <c r="BD204" s="15" t="s">
        <v>3123</v>
      </c>
      <c r="BE204" s="14"/>
      <c r="BF204" s="17"/>
      <c r="BG204" s="16"/>
      <c r="BH204" s="14"/>
      <c r="BI204" s="15" t="s">
        <v>3123</v>
      </c>
      <c r="BJ204" s="14"/>
      <c r="BK204" s="17"/>
      <c r="BL204" s="16"/>
      <c r="BM204" s="16"/>
      <c r="BN204" s="16"/>
      <c r="BO204" s="16"/>
      <c r="BP204" s="15" t="s">
        <v>3123</v>
      </c>
      <c r="BQ204" s="17"/>
      <c r="BR204" s="14"/>
      <c r="BS204" s="14"/>
      <c r="BT204" s="16"/>
      <c r="BU204" s="16"/>
      <c r="BV204" s="13"/>
      <c r="BW204" s="18" t="s">
        <v>8181</v>
      </c>
      <c r="BX204" s="13">
        <v>200</v>
      </c>
      <c r="BY204" s="17">
        <v>44122</v>
      </c>
      <c r="BZ204" s="18" t="s">
        <v>8182</v>
      </c>
      <c r="CA204" s="18"/>
      <c r="CB204" s="18"/>
      <c r="CC204" s="18"/>
      <c r="CD204" s="14" t="s">
        <v>8183</v>
      </c>
      <c r="CE204" s="17">
        <v>43090</v>
      </c>
      <c r="CF204" s="16"/>
      <c r="CG204" s="17"/>
      <c r="CH204" s="16"/>
      <c r="CI204" s="17"/>
      <c r="CJ204" s="16"/>
      <c r="CK204" s="17"/>
      <c r="CL204" s="16"/>
      <c r="CM204" s="17"/>
      <c r="CN204" s="19">
        <v>23.511773376952821</v>
      </c>
      <c r="CO204" s="19"/>
      <c r="CP204" s="17"/>
      <c r="CQ204" s="14" t="s">
        <v>5036</v>
      </c>
      <c r="CR204" s="14" t="s">
        <v>5962</v>
      </c>
      <c r="CS204" s="14" t="s">
        <v>5945</v>
      </c>
    </row>
    <row r="205" spans="1:97" ht="26.15" customHeight="1">
      <c r="A205" s="2">
        <v>252</v>
      </c>
      <c r="B205" s="25" t="s">
        <v>1186</v>
      </c>
      <c r="C205" s="25" t="e">
        <f>VLOOKUP(B205, Sheet6!$A$1:$B$77, 2, FALSE)</f>
        <v>#N/A</v>
      </c>
      <c r="D205" s="25" t="s">
        <v>1187</v>
      </c>
      <c r="E205" s="25" t="s">
        <v>1189</v>
      </c>
      <c r="F205" s="25" t="s">
        <v>8175</v>
      </c>
      <c r="G205" s="25" t="s">
        <v>10952</v>
      </c>
      <c r="H205" s="25" t="s">
        <v>10967</v>
      </c>
      <c r="I205" s="25" t="s">
        <v>10558</v>
      </c>
      <c r="J205" s="25" t="s">
        <v>10728</v>
      </c>
      <c r="L205" s="13">
        <v>2013</v>
      </c>
      <c r="M205" s="14" t="s">
        <v>5050</v>
      </c>
      <c r="N205" s="14" t="s">
        <v>5050</v>
      </c>
      <c r="O205" s="14" t="s">
        <v>4343</v>
      </c>
      <c r="P205" s="15" t="s">
        <v>3117</v>
      </c>
      <c r="Q205" s="16">
        <v>22000000</v>
      </c>
      <c r="R205" s="17">
        <v>42941</v>
      </c>
      <c r="S205" s="16" t="s">
        <v>5755</v>
      </c>
      <c r="T205" s="16">
        <v>15000000</v>
      </c>
      <c r="U205" s="14" t="s">
        <v>25</v>
      </c>
      <c r="V205" s="13">
        <v>5</v>
      </c>
      <c r="W205" s="17">
        <v>44057</v>
      </c>
      <c r="X205" s="14" t="s">
        <v>5052</v>
      </c>
      <c r="Y205" s="17">
        <v>43248</v>
      </c>
      <c r="Z205" s="17">
        <v>42577</v>
      </c>
      <c r="AA205" s="14" t="s">
        <v>6605</v>
      </c>
      <c r="AB205" s="14" t="s">
        <v>6606</v>
      </c>
      <c r="AC205" s="14" t="s">
        <v>6607</v>
      </c>
      <c r="AD205" s="20" t="str">
        <f t="shared" si="12"/>
        <v>IoT Applications &gt; Industry Specific &gt; Agriculture &gt; Farms
Computer Vision &gt; Industry Specific Applications &gt; Agriculture &gt; Crops
Crop Tech &gt; Farm Management Software &gt; Diversified</v>
      </c>
      <c r="AE205" s="20" t="str">
        <f t="shared" si="14"/>
        <v>IoT Applications</v>
      </c>
      <c r="AF205" s="20" t="str">
        <f t="shared" si="13"/>
        <v>Industry Specific</v>
      </c>
      <c r="AG205" s="20" t="str">
        <f t="shared" si="13"/>
        <v>Agriculture</v>
      </c>
      <c r="AH205" s="20" t="str">
        <f t="shared" si="13"/>
        <v>Farms
Computer Vision</v>
      </c>
      <c r="AI205" s="20" t="str">
        <f t="shared" si="13"/>
        <v>Industry Specific Applications</v>
      </c>
      <c r="AJ205" s="20" t="str">
        <f t="shared" si="13"/>
        <v>Agriculture</v>
      </c>
      <c r="AK205" s="20" t="str">
        <f t="shared" si="13"/>
        <v>Crops
Crop Tech</v>
      </c>
      <c r="AL205" s="14" t="s">
        <v>8184</v>
      </c>
      <c r="AM205" s="14"/>
      <c r="AO205" s="14"/>
      <c r="AP205" s="14" t="s">
        <v>4343</v>
      </c>
      <c r="AQ205" s="14" t="s">
        <v>8186</v>
      </c>
      <c r="AR205" s="14"/>
      <c r="AS205" s="14" t="s">
        <v>8187</v>
      </c>
      <c r="AT205" s="14" t="s">
        <v>8188</v>
      </c>
      <c r="AU205" s="14" t="s">
        <v>8189</v>
      </c>
      <c r="AV205" s="18" t="s">
        <v>8190</v>
      </c>
      <c r="AW205" s="16"/>
      <c r="AX205" s="17"/>
      <c r="AY205" s="15" t="s">
        <v>3123</v>
      </c>
      <c r="AZ205" s="17"/>
      <c r="BA205" s="16"/>
      <c r="BB205" s="14"/>
      <c r="BC205" s="14"/>
      <c r="BD205" s="15" t="s">
        <v>3123</v>
      </c>
      <c r="BE205" s="14"/>
      <c r="BF205" s="17"/>
      <c r="BG205" s="16"/>
      <c r="BH205" s="14"/>
      <c r="BI205" s="15" t="s">
        <v>3123</v>
      </c>
      <c r="BJ205" s="14"/>
      <c r="BK205" s="17"/>
      <c r="BL205" s="16"/>
      <c r="BM205" s="16"/>
      <c r="BN205" s="16"/>
      <c r="BO205" s="16"/>
      <c r="BP205" s="15" t="s">
        <v>3123</v>
      </c>
      <c r="BQ205" s="17"/>
      <c r="BR205" s="14"/>
      <c r="BS205" s="14"/>
      <c r="BT205" s="16"/>
      <c r="BU205" s="16"/>
      <c r="BV205" s="13"/>
      <c r="BW205" s="18" t="s">
        <v>8191</v>
      </c>
      <c r="BX205" s="13">
        <v>200</v>
      </c>
      <c r="BY205" s="17">
        <v>44122</v>
      </c>
      <c r="BZ205" s="18" t="s">
        <v>8192</v>
      </c>
      <c r="CA205" s="18" t="s">
        <v>8193</v>
      </c>
      <c r="CB205" s="18" t="s">
        <v>8194</v>
      </c>
      <c r="CC205" s="18"/>
      <c r="CD205" s="14" t="s">
        <v>8195</v>
      </c>
      <c r="CE205" s="17">
        <v>42929</v>
      </c>
      <c r="CF205" s="16"/>
      <c r="CG205" s="17"/>
      <c r="CH205" s="16"/>
      <c r="CI205" s="17"/>
      <c r="CJ205" s="16"/>
      <c r="CK205" s="17"/>
      <c r="CL205" s="16"/>
      <c r="CM205" s="17"/>
      <c r="CN205" s="19">
        <v>51.90438698173493</v>
      </c>
      <c r="CO205" s="19"/>
      <c r="CP205" s="17"/>
      <c r="CQ205" s="14" t="s">
        <v>7551</v>
      </c>
      <c r="CR205" s="14" t="s">
        <v>6002</v>
      </c>
      <c r="CS205" s="14" t="s">
        <v>6074</v>
      </c>
    </row>
    <row r="206" spans="1:97" ht="26.15" customHeight="1">
      <c r="A206" s="2">
        <v>217</v>
      </c>
      <c r="B206" s="25" t="s">
        <v>634</v>
      </c>
      <c r="C206" s="25" t="e">
        <f>VLOOKUP(B206, Sheet6!$A$1:$B$77, 2, FALSE)</f>
        <v>#N/A</v>
      </c>
      <c r="D206" s="25" t="s">
        <v>635</v>
      </c>
      <c r="E206" s="25" t="s">
        <v>639</v>
      </c>
      <c r="F206" s="25" t="s">
        <v>7735</v>
      </c>
      <c r="G206" s="25" t="s">
        <v>10955</v>
      </c>
      <c r="H206" s="25" t="s">
        <v>10959</v>
      </c>
      <c r="I206" s="25" t="s">
        <v>10958</v>
      </c>
      <c r="J206" s="26" t="s">
        <v>10993</v>
      </c>
      <c r="L206" s="13">
        <v>2015</v>
      </c>
      <c r="M206" s="14" t="s">
        <v>5005</v>
      </c>
      <c r="N206" s="14" t="s">
        <v>5006</v>
      </c>
      <c r="O206" s="14" t="s">
        <v>3994</v>
      </c>
      <c r="P206" s="15" t="s">
        <v>3117</v>
      </c>
      <c r="Q206" s="16">
        <v>9059375</v>
      </c>
      <c r="R206" s="17">
        <v>43701</v>
      </c>
      <c r="S206" s="16" t="s">
        <v>5022</v>
      </c>
      <c r="T206" s="16">
        <v>2226700</v>
      </c>
      <c r="U206" s="14" t="s">
        <v>109</v>
      </c>
      <c r="V206" s="13">
        <v>4</v>
      </c>
      <c r="W206" s="17">
        <v>44033</v>
      </c>
      <c r="X206" s="14" t="s">
        <v>5052</v>
      </c>
      <c r="Y206" s="17">
        <v>43941</v>
      </c>
      <c r="Z206" s="17">
        <v>43178</v>
      </c>
      <c r="AA206" s="14" t="s">
        <v>4995</v>
      </c>
      <c r="AB206" s="14" t="s">
        <v>4996</v>
      </c>
      <c r="AC206" s="14" t="s">
        <v>5418</v>
      </c>
      <c r="AD206" s="20" t="str">
        <f t="shared" si="12"/>
        <v>Online Grocery &gt; B2C Ecommerce &gt; Meat and Seafood &gt; Retailer &gt; Meat
Livestock Tech &gt; ECommerce &gt; Farm Produce &gt; B2C &gt; Retailer &gt; Meat</v>
      </c>
      <c r="AE206" s="20" t="str">
        <f t="shared" si="14"/>
        <v>Online Grocery</v>
      </c>
      <c r="AF206" s="20" t="str">
        <f t="shared" si="13"/>
        <v>B2C Ecommerce</v>
      </c>
      <c r="AG206" s="20" t="str">
        <f t="shared" si="13"/>
        <v>Meat and Seafood</v>
      </c>
      <c r="AH206" s="20" t="str">
        <f t="shared" si="13"/>
        <v>Retailer</v>
      </c>
      <c r="AI206" s="20" t="str">
        <f t="shared" si="13"/>
        <v>Meat
Livestock Tech</v>
      </c>
      <c r="AJ206" s="20" t="str">
        <f t="shared" si="13"/>
        <v>ECommerce</v>
      </c>
      <c r="AK206" s="20" t="str">
        <f t="shared" si="13"/>
        <v>Farm Produce</v>
      </c>
      <c r="AL206" s="14" t="s">
        <v>8196</v>
      </c>
      <c r="AM206" s="14" t="s">
        <v>8197</v>
      </c>
      <c r="AO206" s="14"/>
      <c r="AP206" s="14" t="s">
        <v>3994</v>
      </c>
      <c r="AQ206" s="14"/>
      <c r="AR206" s="14" t="s">
        <v>8199</v>
      </c>
      <c r="AS206" s="14" t="s">
        <v>8200</v>
      </c>
      <c r="AT206" s="14" t="s">
        <v>8201</v>
      </c>
      <c r="AU206" s="14" t="s">
        <v>8202</v>
      </c>
      <c r="AV206" s="18" t="s">
        <v>8203</v>
      </c>
      <c r="AW206" s="16">
        <v>4087400</v>
      </c>
      <c r="AX206" s="17">
        <v>43465</v>
      </c>
      <c r="AY206" s="15" t="s">
        <v>3117</v>
      </c>
      <c r="AZ206" s="17">
        <v>42144</v>
      </c>
      <c r="BA206" s="16">
        <v>1566</v>
      </c>
      <c r="BB206" s="14" t="s">
        <v>8204</v>
      </c>
      <c r="BC206" s="14"/>
      <c r="BD206" s="15" t="s">
        <v>3123</v>
      </c>
      <c r="BE206" s="14"/>
      <c r="BF206" s="17"/>
      <c r="BG206" s="16"/>
      <c r="BH206" s="14"/>
      <c r="BI206" s="15" t="s">
        <v>3123</v>
      </c>
      <c r="BJ206" s="14"/>
      <c r="BK206" s="17"/>
      <c r="BL206" s="16"/>
      <c r="BM206" s="16"/>
      <c r="BN206" s="16"/>
      <c r="BO206" s="16"/>
      <c r="BP206" s="15" t="s">
        <v>3123</v>
      </c>
      <c r="BQ206" s="17"/>
      <c r="BR206" s="14"/>
      <c r="BS206" s="14"/>
      <c r="BT206" s="16"/>
      <c r="BU206" s="16"/>
      <c r="BV206" s="13"/>
      <c r="BW206" s="18" t="s">
        <v>8205</v>
      </c>
      <c r="BX206" s="13">
        <v>200</v>
      </c>
      <c r="BY206" s="17">
        <v>44122</v>
      </c>
      <c r="BZ206" s="18" t="s">
        <v>8206</v>
      </c>
      <c r="CA206" s="18" t="s">
        <v>8207</v>
      </c>
      <c r="CB206" s="18" t="s">
        <v>8208</v>
      </c>
      <c r="CC206" s="18"/>
      <c r="CD206" s="14" t="s">
        <v>8209</v>
      </c>
      <c r="CE206" s="17">
        <v>42602</v>
      </c>
      <c r="CF206" s="16">
        <v>-1037200</v>
      </c>
      <c r="CG206" s="17">
        <v>43465</v>
      </c>
      <c r="CH206" s="16">
        <v>-955600</v>
      </c>
      <c r="CI206" s="17">
        <v>43465</v>
      </c>
      <c r="CJ206" s="16">
        <v>20000000</v>
      </c>
      <c r="CK206" s="17">
        <v>43701</v>
      </c>
      <c r="CL206" s="16">
        <v>70</v>
      </c>
      <c r="CM206" s="17">
        <v>44012</v>
      </c>
      <c r="CN206" s="19">
        <v>61.840213692403182</v>
      </c>
      <c r="CO206" s="19"/>
      <c r="CP206" s="17"/>
      <c r="CQ206" s="14" t="s">
        <v>6487</v>
      </c>
      <c r="CR206" s="14" t="s">
        <v>5944</v>
      </c>
      <c r="CS206" s="14" t="s">
        <v>5945</v>
      </c>
    </row>
    <row r="207" spans="1:97" ht="26.15" customHeight="1">
      <c r="A207" s="2">
        <v>405</v>
      </c>
      <c r="B207" s="25" t="s">
        <v>2324</v>
      </c>
      <c r="C207" s="25" t="e">
        <f>VLOOKUP(B207, Sheet6!$A$1:$B$77, 2, FALSE)</f>
        <v>#N/A</v>
      </c>
      <c r="D207" s="25" t="s">
        <v>2325</v>
      </c>
      <c r="E207" s="25" t="s">
        <v>2327</v>
      </c>
      <c r="F207" s="25" t="s">
        <v>9351</v>
      </c>
      <c r="G207" s="25" t="s">
        <v>10955</v>
      </c>
      <c r="H207" s="25" t="s">
        <v>10959</v>
      </c>
      <c r="I207" s="25" t="s">
        <v>10968</v>
      </c>
      <c r="J207" s="25" t="s">
        <v>10846</v>
      </c>
      <c r="L207" s="13">
        <v>2014</v>
      </c>
      <c r="M207" s="14" t="s">
        <v>4993</v>
      </c>
      <c r="N207" s="14" t="s">
        <v>4994</v>
      </c>
      <c r="O207" s="14" t="s">
        <v>2057</v>
      </c>
      <c r="P207" s="15" t="s">
        <v>3117</v>
      </c>
      <c r="Q207" s="16">
        <v>1303000000</v>
      </c>
      <c r="R207" s="17">
        <v>43382</v>
      </c>
      <c r="S207" s="16" t="s">
        <v>8227</v>
      </c>
      <c r="T207" s="16">
        <v>600000000</v>
      </c>
      <c r="U207" s="14" t="s">
        <v>1410</v>
      </c>
      <c r="V207" s="13">
        <v>5</v>
      </c>
      <c r="W207" s="17">
        <v>44014</v>
      </c>
      <c r="X207" s="14" t="s">
        <v>8228</v>
      </c>
      <c r="Y207" s="17">
        <v>43804</v>
      </c>
      <c r="Z207" s="17">
        <v>43111</v>
      </c>
      <c r="AA207" s="14" t="s">
        <v>5509</v>
      </c>
      <c r="AB207" s="14" t="s">
        <v>5510</v>
      </c>
      <c r="AC207" s="14" t="s">
        <v>7819</v>
      </c>
      <c r="AD207" s="20" t="str">
        <f t="shared" si="12"/>
        <v>B2B E-Commerce &gt; Food &amp; Beverages &gt; Groceries &gt; Farm Products &gt; E-Distributor
Online Grocery &gt; B2B Ecommerce &gt; Farm Produce &gt; Multi-Category &gt; E-Distributor
Crop Tech &gt; ECommerce &gt; Farm Produce &gt; B2B &gt; Fruits and Vegetables &gt; E Distributor</v>
      </c>
      <c r="AE207" s="20" t="str">
        <f t="shared" si="14"/>
        <v>B2B E-Commerce</v>
      </c>
      <c r="AF207" s="20" t="str">
        <f t="shared" si="13"/>
        <v>Food &amp; Beverages</v>
      </c>
      <c r="AG207" s="20" t="str">
        <f t="shared" si="13"/>
        <v>Groceries</v>
      </c>
      <c r="AH207" s="20" t="str">
        <f t="shared" si="13"/>
        <v>Farm Products</v>
      </c>
      <c r="AI207" s="20" t="str">
        <f t="shared" si="13"/>
        <v>E-Distributor
Online Grocery</v>
      </c>
      <c r="AJ207" s="20" t="str">
        <f t="shared" si="13"/>
        <v>B2B Ecommerce</v>
      </c>
      <c r="AK207" s="20" t="str">
        <f t="shared" si="13"/>
        <v>Farm Produce</v>
      </c>
      <c r="AL207" s="14" t="s">
        <v>8229</v>
      </c>
      <c r="AM207" s="14"/>
      <c r="AO207" s="14"/>
      <c r="AP207" s="14" t="s">
        <v>2057</v>
      </c>
      <c r="AQ207" s="14"/>
      <c r="AR207" s="14"/>
      <c r="AS207" s="14" t="s">
        <v>8231</v>
      </c>
      <c r="AT207" s="14" t="s">
        <v>8232</v>
      </c>
      <c r="AU207" s="14" t="s">
        <v>8233</v>
      </c>
      <c r="AV207" s="18"/>
      <c r="AW207" s="16"/>
      <c r="AX207" s="17"/>
      <c r="AY207" s="15" t="s">
        <v>3123</v>
      </c>
      <c r="AZ207" s="17"/>
      <c r="BA207" s="16"/>
      <c r="BB207" s="14"/>
      <c r="BC207" s="14"/>
      <c r="BD207" s="15" t="s">
        <v>3123</v>
      </c>
      <c r="BE207" s="14"/>
      <c r="BF207" s="17"/>
      <c r="BG207" s="16"/>
      <c r="BH207" s="14"/>
      <c r="BI207" s="15" t="s">
        <v>3123</v>
      </c>
      <c r="BJ207" s="14"/>
      <c r="BK207" s="17"/>
      <c r="BL207" s="16"/>
      <c r="BM207" s="16"/>
      <c r="BN207" s="16"/>
      <c r="BO207" s="16"/>
      <c r="BP207" s="15" t="s">
        <v>3123</v>
      </c>
      <c r="BQ207" s="17"/>
      <c r="BR207" s="14"/>
      <c r="BS207" s="14"/>
      <c r="BT207" s="16"/>
      <c r="BU207" s="16"/>
      <c r="BV207" s="13"/>
      <c r="BW207" s="18" t="s">
        <v>8234</v>
      </c>
      <c r="BX207" s="13">
        <v>200</v>
      </c>
      <c r="BY207" s="17">
        <v>44122</v>
      </c>
      <c r="BZ207" s="18" t="s">
        <v>8235</v>
      </c>
      <c r="CA207" s="18"/>
      <c r="CB207" s="18"/>
      <c r="CC207" s="18"/>
      <c r="CD207" s="14" t="s">
        <v>8236</v>
      </c>
      <c r="CE207" s="17">
        <v>42430</v>
      </c>
      <c r="CF207" s="16"/>
      <c r="CG207" s="17"/>
      <c r="CH207" s="16"/>
      <c r="CI207" s="17"/>
      <c r="CJ207" s="16"/>
      <c r="CK207" s="17"/>
      <c r="CL207" s="16"/>
      <c r="CM207" s="17"/>
      <c r="CN207" s="19">
        <v>44.690128028016112</v>
      </c>
      <c r="CO207" s="19"/>
      <c r="CP207" s="17"/>
      <c r="CQ207" s="14" t="s">
        <v>5036</v>
      </c>
      <c r="CR207" s="14" t="s">
        <v>7827</v>
      </c>
      <c r="CS207" s="14" t="s">
        <v>5004</v>
      </c>
    </row>
    <row r="208" spans="1:97" ht="26.15" customHeight="1">
      <c r="A208" s="2">
        <v>528</v>
      </c>
      <c r="B208" s="25" t="s">
        <v>2319</v>
      </c>
      <c r="C208" s="25" t="e">
        <f>VLOOKUP(B208, Sheet6!$A$1:$B$77, 2, FALSE)</f>
        <v>#N/A</v>
      </c>
      <c r="D208" s="25" t="s">
        <v>2320</v>
      </c>
      <c r="E208" s="25" t="s">
        <v>2322</v>
      </c>
      <c r="F208" s="25" t="s">
        <v>10232</v>
      </c>
      <c r="G208" s="25" t="s">
        <v>10955</v>
      </c>
      <c r="H208" s="25" t="s">
        <v>10957</v>
      </c>
      <c r="I208" s="25" t="s">
        <v>10968</v>
      </c>
      <c r="J208" s="25" t="s">
        <v>10842</v>
      </c>
      <c r="L208" s="13">
        <v>2010</v>
      </c>
      <c r="M208" s="14" t="s">
        <v>5038</v>
      </c>
      <c r="N208" s="14" t="s">
        <v>5039</v>
      </c>
      <c r="O208" s="14" t="s">
        <v>3994</v>
      </c>
      <c r="P208" s="15" t="s">
        <v>3117</v>
      </c>
      <c r="Q208" s="16">
        <v>15568800</v>
      </c>
      <c r="R208" s="17">
        <v>43424</v>
      </c>
      <c r="S208" s="16" t="s">
        <v>7941</v>
      </c>
      <c r="T208" s="16">
        <v>8113650</v>
      </c>
      <c r="U208" s="14" t="s">
        <v>25</v>
      </c>
      <c r="V208" s="13">
        <v>5</v>
      </c>
      <c r="W208" s="17">
        <v>44098</v>
      </c>
      <c r="X208" s="14" t="s">
        <v>5052</v>
      </c>
      <c r="Y208" s="17">
        <v>44042</v>
      </c>
      <c r="Z208" s="17">
        <v>42522</v>
      </c>
      <c r="AA208" s="14" t="s">
        <v>8237</v>
      </c>
      <c r="AB208" s="14" t="s">
        <v>8238</v>
      </c>
      <c r="AC208" s="14" t="s">
        <v>8239</v>
      </c>
      <c r="AD208" s="20" t="str">
        <f t="shared" si="12"/>
        <v>Cognitive Computing &gt; Applications &gt; Agriculture &gt; Farm Monitoring
Crop Tech &gt; Farm Management Software &gt; Diversified</v>
      </c>
      <c r="AE208" s="20" t="str">
        <f t="shared" si="14"/>
        <v>Cognitive Computing</v>
      </c>
      <c r="AF208" s="20" t="str">
        <f t="shared" si="13"/>
        <v>Applications</v>
      </c>
      <c r="AG208" s="20" t="str">
        <f t="shared" si="13"/>
        <v>Agriculture</v>
      </c>
      <c r="AH208" s="20" t="str">
        <f t="shared" si="13"/>
        <v>Farm Monitoring
Crop Tech</v>
      </c>
      <c r="AI208" s="20" t="str">
        <f t="shared" si="13"/>
        <v>Farm Management Software</v>
      </c>
      <c r="AJ208" s="20" t="str">
        <f t="shared" si="13"/>
        <v>Diversified</v>
      </c>
      <c r="AK208" s="20" t="str">
        <f t="shared" si="13"/>
        <v/>
      </c>
      <c r="AL208" s="14" t="s">
        <v>8240</v>
      </c>
      <c r="AM208" s="14" t="s">
        <v>8241</v>
      </c>
      <c r="AO208" s="14"/>
      <c r="AP208" s="14" t="s">
        <v>3994</v>
      </c>
      <c r="AQ208" s="14" t="s">
        <v>8243</v>
      </c>
      <c r="AR208" s="14" t="s">
        <v>8244</v>
      </c>
      <c r="AS208" s="14" t="s">
        <v>8245</v>
      </c>
      <c r="AT208" s="14" t="s">
        <v>8246</v>
      </c>
      <c r="AU208" s="14" t="s">
        <v>8247</v>
      </c>
      <c r="AV208" s="18"/>
      <c r="AW208" s="16">
        <v>1622700</v>
      </c>
      <c r="AX208" s="17">
        <v>43465</v>
      </c>
      <c r="AY208" s="15" t="s">
        <v>3117</v>
      </c>
      <c r="AZ208" s="17">
        <v>40416</v>
      </c>
      <c r="BA208" s="16">
        <v>2132</v>
      </c>
      <c r="BB208" s="14" t="s">
        <v>8248</v>
      </c>
      <c r="BC208" s="14"/>
      <c r="BD208" s="15" t="s">
        <v>3123</v>
      </c>
      <c r="BE208" s="14"/>
      <c r="BF208" s="17"/>
      <c r="BG208" s="16"/>
      <c r="BH208" s="14"/>
      <c r="BI208" s="15" t="s">
        <v>3123</v>
      </c>
      <c r="BJ208" s="14"/>
      <c r="BK208" s="17"/>
      <c r="BL208" s="16"/>
      <c r="BM208" s="16"/>
      <c r="BN208" s="16"/>
      <c r="BO208" s="16"/>
      <c r="BP208" s="15" t="s">
        <v>3123</v>
      </c>
      <c r="BQ208" s="17"/>
      <c r="BR208" s="14"/>
      <c r="BS208" s="14"/>
      <c r="BT208" s="16"/>
      <c r="BU208" s="16"/>
      <c r="BV208" s="13"/>
      <c r="BW208" s="18" t="s">
        <v>8249</v>
      </c>
      <c r="BX208" s="13">
        <v>200</v>
      </c>
      <c r="BY208" s="17">
        <v>44122</v>
      </c>
      <c r="BZ208" s="18" t="s">
        <v>8250</v>
      </c>
      <c r="CA208" s="18" t="s">
        <v>8251</v>
      </c>
      <c r="CB208" s="18" t="s">
        <v>8252</v>
      </c>
      <c r="CC208" s="18" t="s">
        <v>8253</v>
      </c>
      <c r="CD208" s="14" t="s">
        <v>8254</v>
      </c>
      <c r="CE208" s="17">
        <v>43353</v>
      </c>
      <c r="CF208" s="16">
        <v>-2289300</v>
      </c>
      <c r="CG208" s="17">
        <v>43465</v>
      </c>
      <c r="CH208" s="16">
        <v>-1768900</v>
      </c>
      <c r="CI208" s="17">
        <v>43465</v>
      </c>
      <c r="CJ208" s="16">
        <v>28000000</v>
      </c>
      <c r="CK208" s="17">
        <v>43357</v>
      </c>
      <c r="CL208" s="16">
        <v>172</v>
      </c>
      <c r="CM208" s="17">
        <v>44012</v>
      </c>
      <c r="CN208" s="19">
        <v>60.337808733667373</v>
      </c>
      <c r="CO208" s="19"/>
      <c r="CP208" s="17"/>
      <c r="CQ208" s="14" t="s">
        <v>7305</v>
      </c>
      <c r="CR208" s="14" t="s">
        <v>5879</v>
      </c>
      <c r="CS208" s="14" t="s">
        <v>5004</v>
      </c>
    </row>
    <row r="209" spans="1:97" ht="26.15" customHeight="1">
      <c r="A209" s="2">
        <v>437</v>
      </c>
      <c r="B209" s="25" t="s">
        <v>2157</v>
      </c>
      <c r="C209" s="25" t="e">
        <f>VLOOKUP(B209, Sheet6!$A$1:$B$77, 2, FALSE)</f>
        <v>#N/A</v>
      </c>
      <c r="D209" s="25" t="s">
        <v>2158</v>
      </c>
      <c r="E209" s="25" t="s">
        <v>2161</v>
      </c>
      <c r="F209" s="25" t="s">
        <v>9545</v>
      </c>
      <c r="G209" s="25" t="s">
        <v>10955</v>
      </c>
      <c r="H209" s="25" t="s">
        <v>10558</v>
      </c>
      <c r="I209" s="25" t="s">
        <v>10968</v>
      </c>
      <c r="J209" s="25" t="s">
        <v>10846</v>
      </c>
      <c r="L209" s="13">
        <v>2015</v>
      </c>
      <c r="M209" s="14" t="s">
        <v>5038</v>
      </c>
      <c r="N209" s="14" t="s">
        <v>5039</v>
      </c>
      <c r="O209" s="14" t="s">
        <v>3994</v>
      </c>
      <c r="P209" s="15" t="s">
        <v>3117</v>
      </c>
      <c r="Q209" s="16">
        <v>163285834</v>
      </c>
      <c r="R209" s="17">
        <v>44116</v>
      </c>
      <c r="S209" s="16"/>
      <c r="T209" s="16" t="s">
        <v>50</v>
      </c>
      <c r="U209" s="14" t="s">
        <v>95</v>
      </c>
      <c r="V209" s="13">
        <v>5</v>
      </c>
      <c r="W209" s="17">
        <v>44110</v>
      </c>
      <c r="X209" s="14" t="s">
        <v>5544</v>
      </c>
      <c r="Y209" s="17">
        <v>44124</v>
      </c>
      <c r="Z209" s="17">
        <v>43446</v>
      </c>
      <c r="AA209" s="14" t="s">
        <v>8255</v>
      </c>
      <c r="AB209" s="14" t="s">
        <v>8256</v>
      </c>
      <c r="AC209" s="14" t="s">
        <v>8257</v>
      </c>
      <c r="AD209" s="20" t="str">
        <f t="shared" ref="AD209:AD261" si="15">IF(IFERROR(LEFT($A209, SEARCH(CHAR(10),$A209)-1),AC209)=0,"",IFERROR(LEFT($A209, SEARCH(CHAR(10),$A209)-1),AC209))</f>
        <v>Logistics Tech &gt; Parcel &gt; Hyperlocal &gt; B2B &gt; Food
B2B E-Commerce &gt; Food &amp; Beverages &gt; Groceries &gt; Farm Products &gt; Marketplace
Online Grocery &gt; B2B Ecommerce &gt; Farm Produce &gt; Fruits and Vegetables &gt; Marketplace
Crop Tech &gt; ECommerce &gt; Farm Produce &gt; B2B &gt; Fruits and Vegetables &gt; Marketplace</v>
      </c>
      <c r="AE209" s="20" t="str">
        <f t="shared" si="14"/>
        <v>Logistics Tech</v>
      </c>
      <c r="AF209" s="20" t="str">
        <f t="shared" si="13"/>
        <v>Parcel</v>
      </c>
      <c r="AG209" s="20" t="str">
        <f t="shared" si="13"/>
        <v>Hyperlocal</v>
      </c>
      <c r="AH209" s="20" t="str">
        <f t="shared" si="13"/>
        <v>B2B</v>
      </c>
      <c r="AI209" s="20" t="str">
        <f t="shared" si="13"/>
        <v>Food
B2B E-Commerce</v>
      </c>
      <c r="AJ209" s="20" t="str">
        <f t="shared" si="13"/>
        <v>Food &amp; Beverages</v>
      </c>
      <c r="AK209" s="20" t="str">
        <f t="shared" si="13"/>
        <v>Groceries</v>
      </c>
      <c r="AL209" s="14" t="s">
        <v>8258</v>
      </c>
      <c r="AM209" s="14" t="s">
        <v>8259</v>
      </c>
      <c r="AO209" s="14"/>
      <c r="AP209" s="14" t="s">
        <v>3994</v>
      </c>
      <c r="AQ209" s="14" t="s">
        <v>8261</v>
      </c>
      <c r="AR209" s="14" t="s">
        <v>8262</v>
      </c>
      <c r="AS209" s="14" t="s">
        <v>8263</v>
      </c>
      <c r="AT209" s="14" t="s">
        <v>8264</v>
      </c>
      <c r="AU209" s="14" t="s">
        <v>8265</v>
      </c>
      <c r="AV209" s="18" t="s">
        <v>8266</v>
      </c>
      <c r="AW209" s="16">
        <v>17109500</v>
      </c>
      <c r="AX209" s="17">
        <v>43465</v>
      </c>
      <c r="AY209" s="15" t="s">
        <v>3117</v>
      </c>
      <c r="AZ209" s="17">
        <v>42187</v>
      </c>
      <c r="BA209" s="16">
        <v>1573</v>
      </c>
      <c r="BB209" s="14" t="s">
        <v>8267</v>
      </c>
      <c r="BC209" s="14"/>
      <c r="BD209" s="15" t="s">
        <v>3123</v>
      </c>
      <c r="BE209" s="14"/>
      <c r="BF209" s="17"/>
      <c r="BG209" s="16"/>
      <c r="BH209" s="14"/>
      <c r="BI209" s="15" t="s">
        <v>3123</v>
      </c>
      <c r="BJ209" s="14"/>
      <c r="BK209" s="17"/>
      <c r="BL209" s="16"/>
      <c r="BM209" s="16"/>
      <c r="BN209" s="16"/>
      <c r="BO209" s="16"/>
      <c r="BP209" s="15" t="s">
        <v>3123</v>
      </c>
      <c r="BQ209" s="17"/>
      <c r="BR209" s="14"/>
      <c r="BS209" s="14"/>
      <c r="BT209" s="16"/>
      <c r="BU209" s="16"/>
      <c r="BV209" s="13"/>
      <c r="BW209" s="18" t="s">
        <v>8268</v>
      </c>
      <c r="BX209" s="13">
        <v>200</v>
      </c>
      <c r="BY209" s="17">
        <v>44122</v>
      </c>
      <c r="BZ209" s="18" t="s">
        <v>8269</v>
      </c>
      <c r="CA209" s="18" t="s">
        <v>8270</v>
      </c>
      <c r="CB209" s="18" t="s">
        <v>8271</v>
      </c>
      <c r="CC209" s="18" t="s">
        <v>8272</v>
      </c>
      <c r="CD209" s="14" t="s">
        <v>8273</v>
      </c>
      <c r="CE209" s="17">
        <v>43788</v>
      </c>
      <c r="CF209" s="16">
        <v>-11795100</v>
      </c>
      <c r="CG209" s="17">
        <v>43465</v>
      </c>
      <c r="CH209" s="16">
        <v>-11030500</v>
      </c>
      <c r="CI209" s="17">
        <v>43465</v>
      </c>
      <c r="CJ209" s="16">
        <v>350000000</v>
      </c>
      <c r="CK209" s="17">
        <v>43841</v>
      </c>
      <c r="CL209" s="16">
        <v>3783</v>
      </c>
      <c r="CM209" s="17">
        <v>44012</v>
      </c>
      <c r="CN209" s="19">
        <v>67.923045062986645</v>
      </c>
      <c r="CO209" s="19"/>
      <c r="CP209" s="17"/>
      <c r="CQ209" s="14" t="s">
        <v>8274</v>
      </c>
      <c r="CR209" s="14" t="s">
        <v>8275</v>
      </c>
      <c r="CS209" s="14" t="s">
        <v>5004</v>
      </c>
    </row>
    <row r="210" spans="1:97" ht="26.15" customHeight="1">
      <c r="A210" s="2">
        <v>58</v>
      </c>
      <c r="B210" s="25" t="s">
        <v>1784</v>
      </c>
      <c r="C210" s="25" t="e">
        <f>VLOOKUP(B210, Sheet6!$A$1:$B$77, 2, FALSE)</f>
        <v>#N/A</v>
      </c>
      <c r="D210" s="25" t="s">
        <v>1785</v>
      </c>
      <c r="E210" s="25" t="s">
        <v>935</v>
      </c>
      <c r="F210" s="25" t="s">
        <v>5767</v>
      </c>
      <c r="G210" s="25" t="s">
        <v>10955</v>
      </c>
      <c r="H210" s="25" t="s">
        <v>10959</v>
      </c>
      <c r="I210" s="25" t="s">
        <v>10958</v>
      </c>
      <c r="J210" s="26" t="s">
        <v>10759</v>
      </c>
      <c r="L210" s="13">
        <v>2015</v>
      </c>
      <c r="M210" s="14" t="s">
        <v>7618</v>
      </c>
      <c r="N210" s="14" t="s">
        <v>7618</v>
      </c>
      <c r="O210" s="14" t="s">
        <v>2057</v>
      </c>
      <c r="P210" s="15" t="s">
        <v>3117</v>
      </c>
      <c r="Q210" s="16">
        <v>2800000</v>
      </c>
      <c r="R210" s="17">
        <v>43379</v>
      </c>
      <c r="S210" s="16" t="s">
        <v>5069</v>
      </c>
      <c r="T210" s="16">
        <v>2800000</v>
      </c>
      <c r="U210" s="14" t="s">
        <v>109</v>
      </c>
      <c r="V210" s="13">
        <v>4</v>
      </c>
      <c r="W210" s="17">
        <v>44021</v>
      </c>
      <c r="X210" s="14" t="s">
        <v>5052</v>
      </c>
      <c r="Y210" s="17">
        <v>43650</v>
      </c>
      <c r="Z210" s="17">
        <v>43379</v>
      </c>
      <c r="AA210" s="14" t="s">
        <v>1</v>
      </c>
      <c r="AB210" s="14" t="s">
        <v>5007</v>
      </c>
      <c r="AC210" s="14" t="s">
        <v>968</v>
      </c>
      <c r="AD210" s="20" t="str">
        <f t="shared" si="15"/>
        <v>Crop Tech &gt; Content Platforms &gt; Farming Advice &gt; Expert Advisors</v>
      </c>
      <c r="AE210" s="20" t="str">
        <f t="shared" si="14"/>
        <v>Crop Tech</v>
      </c>
      <c r="AF210" s="20" t="str">
        <f t="shared" si="13"/>
        <v>Content Platforms</v>
      </c>
      <c r="AG210" s="20" t="str">
        <f t="shared" si="13"/>
        <v>Farming Advice</v>
      </c>
      <c r="AH210" s="20" t="str">
        <f t="shared" si="13"/>
        <v>Expert Advisors</v>
      </c>
      <c r="AI210" s="20" t="str">
        <f t="shared" si="13"/>
        <v/>
      </c>
      <c r="AJ210" s="20" t="str">
        <f t="shared" si="13"/>
        <v/>
      </c>
      <c r="AK210" s="20" t="str">
        <f t="shared" si="13"/>
        <v/>
      </c>
      <c r="AL210" s="14" t="s">
        <v>8276</v>
      </c>
      <c r="AM210" s="14" t="s">
        <v>8277</v>
      </c>
      <c r="AO210" s="14"/>
      <c r="AP210" s="14" t="s">
        <v>2057</v>
      </c>
      <c r="AQ210" s="14"/>
      <c r="AR210" s="14"/>
      <c r="AS210" s="14" t="s">
        <v>8279</v>
      </c>
      <c r="AT210" s="14" t="s">
        <v>8280</v>
      </c>
      <c r="AU210" s="14" t="s">
        <v>8281</v>
      </c>
      <c r="AV210" s="18"/>
      <c r="AW210" s="16"/>
      <c r="AX210" s="17"/>
      <c r="AY210" s="15" t="s">
        <v>3123</v>
      </c>
      <c r="AZ210" s="17"/>
      <c r="BA210" s="16"/>
      <c r="BB210" s="14"/>
      <c r="BC210" s="14"/>
      <c r="BD210" s="15" t="s">
        <v>3123</v>
      </c>
      <c r="BE210" s="14"/>
      <c r="BF210" s="17"/>
      <c r="BG210" s="16"/>
      <c r="BH210" s="14"/>
      <c r="BI210" s="15" t="s">
        <v>3123</v>
      </c>
      <c r="BJ210" s="14"/>
      <c r="BK210" s="17"/>
      <c r="BL210" s="16"/>
      <c r="BM210" s="16"/>
      <c r="BN210" s="16"/>
      <c r="BO210" s="16"/>
      <c r="BP210" s="15" t="s">
        <v>3123</v>
      </c>
      <c r="BQ210" s="17"/>
      <c r="BR210" s="14"/>
      <c r="BS210" s="14"/>
      <c r="BT210" s="16"/>
      <c r="BU210" s="16"/>
      <c r="BV210" s="13"/>
      <c r="BW210" s="18" t="s">
        <v>8282</v>
      </c>
      <c r="BX210" s="13">
        <v>200</v>
      </c>
      <c r="BY210" s="17">
        <v>44122</v>
      </c>
      <c r="BZ210" s="18" t="s">
        <v>8283</v>
      </c>
      <c r="CA210" s="18" t="s">
        <v>8284</v>
      </c>
      <c r="CB210" s="18" t="s">
        <v>8285</v>
      </c>
      <c r="CC210" s="18"/>
      <c r="CD210" s="14" t="s">
        <v>8286</v>
      </c>
      <c r="CE210" s="17">
        <v>43032</v>
      </c>
      <c r="CF210" s="16"/>
      <c r="CG210" s="17"/>
      <c r="CH210" s="16"/>
      <c r="CI210" s="17"/>
      <c r="CJ210" s="16"/>
      <c r="CK210" s="17"/>
      <c r="CL210" s="16"/>
      <c r="CM210" s="17"/>
      <c r="CN210" s="19">
        <v>47.945783473013478</v>
      </c>
      <c r="CO210" s="19"/>
      <c r="CP210" s="17"/>
      <c r="CQ210" s="14" t="s">
        <v>7284</v>
      </c>
      <c r="CR210" s="14" t="s">
        <v>6002</v>
      </c>
      <c r="CS210" s="14" t="s">
        <v>5945</v>
      </c>
    </row>
    <row r="211" spans="1:97" ht="26.15" customHeight="1">
      <c r="A211" s="2">
        <v>107</v>
      </c>
      <c r="B211" s="25" t="s">
        <v>680</v>
      </c>
      <c r="C211" s="25" t="e">
        <f>VLOOKUP(B211, Sheet6!$A$1:$B$77, 2, FALSE)</f>
        <v>#N/A</v>
      </c>
      <c r="D211" s="25" t="s">
        <v>681</v>
      </c>
      <c r="E211" s="25" t="s">
        <v>685</v>
      </c>
      <c r="F211" s="25" t="s">
        <v>6410</v>
      </c>
      <c r="G211" s="25" t="s">
        <v>10955</v>
      </c>
      <c r="H211" s="25" t="s">
        <v>10957</v>
      </c>
      <c r="I211" s="25" t="s">
        <v>10958</v>
      </c>
      <c r="J211" s="26" t="s">
        <v>10821</v>
      </c>
      <c r="L211" s="13">
        <v>2014</v>
      </c>
      <c r="M211" s="14" t="s">
        <v>5592</v>
      </c>
      <c r="N211" s="14" t="s">
        <v>5313</v>
      </c>
      <c r="O211" s="14" t="s">
        <v>3994</v>
      </c>
      <c r="P211" s="15" t="s">
        <v>3117</v>
      </c>
      <c r="Q211" s="16">
        <v>1000000</v>
      </c>
      <c r="R211" s="17">
        <v>43901</v>
      </c>
      <c r="S211" s="16"/>
      <c r="T211" s="16" t="s">
        <v>50</v>
      </c>
      <c r="U211" s="14" t="s">
        <v>34</v>
      </c>
      <c r="V211" s="13">
        <v>4</v>
      </c>
      <c r="W211" s="17">
        <v>44025</v>
      </c>
      <c r="X211" s="14"/>
      <c r="Y211" s="17"/>
      <c r="Z211" s="17"/>
      <c r="AA211" s="14" t="s">
        <v>4995</v>
      </c>
      <c r="AB211" s="14" t="s">
        <v>5578</v>
      </c>
      <c r="AC211" s="14" t="s">
        <v>6813</v>
      </c>
      <c r="AD211" s="20" t="str">
        <f t="shared" si="15"/>
        <v>Online Grocery &gt; B2C Ecommerce &gt; Multi Category &gt; Marketplace &gt; Own Delivery Fleet
Crop Tech &gt; ECommerce &gt; Farm Produce &gt; B2C &gt; Fruits and Vegetables &gt; Marketplace</v>
      </c>
      <c r="AE211" s="20" t="str">
        <f t="shared" si="14"/>
        <v>Online Grocery</v>
      </c>
      <c r="AF211" s="20" t="str">
        <f t="shared" si="13"/>
        <v>B2C Ecommerce</v>
      </c>
      <c r="AG211" s="20" t="str">
        <f t="shared" si="13"/>
        <v>Multi Category</v>
      </c>
      <c r="AH211" s="20" t="str">
        <f t="shared" si="13"/>
        <v>Marketplace</v>
      </c>
      <c r="AI211" s="20" t="str">
        <f t="shared" si="13"/>
        <v>Own Delivery Fleet
Crop Tech</v>
      </c>
      <c r="AJ211" s="20" t="str">
        <f t="shared" si="13"/>
        <v>ECommerce</v>
      </c>
      <c r="AK211" s="20" t="str">
        <f t="shared" si="13"/>
        <v>Farm Produce</v>
      </c>
      <c r="AL211" s="14" t="s">
        <v>4488</v>
      </c>
      <c r="AM211" s="14" t="s">
        <v>509</v>
      </c>
      <c r="AO211" s="14"/>
      <c r="AP211" s="14" t="s">
        <v>3994</v>
      </c>
      <c r="AQ211" s="14" t="s">
        <v>8288</v>
      </c>
      <c r="AR211" s="14" t="s">
        <v>8289</v>
      </c>
      <c r="AS211" s="14" t="s">
        <v>8290</v>
      </c>
      <c r="AT211" s="14" t="s">
        <v>8291</v>
      </c>
      <c r="AU211" s="14" t="s">
        <v>8292</v>
      </c>
      <c r="AV211" s="18"/>
      <c r="AW211" s="16">
        <v>819100</v>
      </c>
      <c r="AX211" s="17">
        <v>43465</v>
      </c>
      <c r="AY211" s="15" t="s">
        <v>3123</v>
      </c>
      <c r="AZ211" s="17"/>
      <c r="BA211" s="16"/>
      <c r="BB211" s="14"/>
      <c r="BC211" s="14"/>
      <c r="BD211" s="15" t="s">
        <v>3123</v>
      </c>
      <c r="BE211" s="14"/>
      <c r="BF211" s="17"/>
      <c r="BG211" s="16"/>
      <c r="BH211" s="14"/>
      <c r="BI211" s="15" t="s">
        <v>3123</v>
      </c>
      <c r="BJ211" s="14"/>
      <c r="BK211" s="17"/>
      <c r="BL211" s="16"/>
      <c r="BM211" s="16"/>
      <c r="BN211" s="16"/>
      <c r="BO211" s="16"/>
      <c r="BP211" s="15" t="s">
        <v>3123</v>
      </c>
      <c r="BQ211" s="17"/>
      <c r="BR211" s="14"/>
      <c r="BS211" s="14"/>
      <c r="BT211" s="16"/>
      <c r="BU211" s="16"/>
      <c r="BV211" s="13"/>
      <c r="BW211" s="18" t="s">
        <v>8293</v>
      </c>
      <c r="BX211" s="13">
        <v>200</v>
      </c>
      <c r="BY211" s="17">
        <v>44122</v>
      </c>
      <c r="BZ211" s="18"/>
      <c r="CA211" s="18" t="s">
        <v>8294</v>
      </c>
      <c r="CB211" s="18" t="s">
        <v>8295</v>
      </c>
      <c r="CC211" s="18"/>
      <c r="CD211" s="14" t="s">
        <v>8296</v>
      </c>
      <c r="CE211" s="17">
        <v>42880</v>
      </c>
      <c r="CF211" s="16">
        <v>-372300</v>
      </c>
      <c r="CG211" s="17">
        <v>43465</v>
      </c>
      <c r="CH211" s="16">
        <v>-341600</v>
      </c>
      <c r="CI211" s="17">
        <v>43465</v>
      </c>
      <c r="CJ211" s="16"/>
      <c r="CK211" s="17"/>
      <c r="CL211" s="16">
        <v>12</v>
      </c>
      <c r="CM211" s="17">
        <v>44012</v>
      </c>
      <c r="CN211" s="19">
        <v>41.05103619534475</v>
      </c>
      <c r="CO211" s="19"/>
      <c r="CP211" s="17"/>
      <c r="CQ211" s="14" t="s">
        <v>7606</v>
      </c>
      <c r="CR211" s="14" t="s">
        <v>8297</v>
      </c>
      <c r="CS211" s="14" t="s">
        <v>5004</v>
      </c>
    </row>
    <row r="212" spans="1:97" ht="26.15" customHeight="1">
      <c r="A212" s="2">
        <v>233</v>
      </c>
      <c r="B212" s="25" t="s">
        <v>1802</v>
      </c>
      <c r="C212" s="25" t="e">
        <f>VLOOKUP(B212, Sheet6!$A$1:$B$77, 2, FALSE)</f>
        <v>#N/A</v>
      </c>
      <c r="D212" s="25" t="s">
        <v>1803</v>
      </c>
      <c r="E212" s="25" t="s">
        <v>1806</v>
      </c>
      <c r="F212" s="25" t="s">
        <v>7920</v>
      </c>
      <c r="G212" s="25" t="s">
        <v>10955</v>
      </c>
      <c r="H212" s="25" t="s">
        <v>10957</v>
      </c>
      <c r="I212" s="25" t="s">
        <v>10558</v>
      </c>
      <c r="J212" s="25" t="s">
        <v>10846</v>
      </c>
      <c r="L212" s="13">
        <v>2010</v>
      </c>
      <c r="M212" s="14" t="s">
        <v>5038</v>
      </c>
      <c r="N212" s="14" t="s">
        <v>5039</v>
      </c>
      <c r="O212" s="14" t="s">
        <v>3994</v>
      </c>
      <c r="P212" s="15" t="s">
        <v>3117</v>
      </c>
      <c r="Q212" s="16">
        <v>10726419</v>
      </c>
      <c r="R212" s="17">
        <v>44111</v>
      </c>
      <c r="S212" s="16" t="s">
        <v>5456</v>
      </c>
      <c r="T212" s="16">
        <v>4457650</v>
      </c>
      <c r="U212" s="14" t="s">
        <v>109</v>
      </c>
      <c r="V212" s="13">
        <v>4</v>
      </c>
      <c r="W212" s="17">
        <v>44117</v>
      </c>
      <c r="X212" s="14"/>
      <c r="Y212" s="17"/>
      <c r="Z212" s="17"/>
      <c r="AA212" s="14" t="s">
        <v>8298</v>
      </c>
      <c r="AB212" s="14" t="s">
        <v>8299</v>
      </c>
      <c r="AC212" s="14" t="s">
        <v>8300</v>
      </c>
      <c r="AD212" s="20" t="str">
        <f t="shared" si="15"/>
        <v>Crop Tech &gt; ECommerce &gt; Farm Produce &gt; B2C &gt; Fruits and Vegetables &gt; Retailer
Cold Chain Logistics &gt; Integrated &gt; Horizontal</v>
      </c>
      <c r="AE212" s="20" t="str">
        <f t="shared" si="14"/>
        <v>Crop Tech</v>
      </c>
      <c r="AF212" s="20" t="str">
        <f t="shared" si="13"/>
        <v>ECommerce</v>
      </c>
      <c r="AG212" s="20" t="str">
        <f t="shared" si="13"/>
        <v>Farm Produce</v>
      </c>
      <c r="AH212" s="20" t="str">
        <f t="shared" si="13"/>
        <v>B2C</v>
      </c>
      <c r="AI212" s="20" t="str">
        <f t="shared" si="13"/>
        <v>Fruits and Vegetables</v>
      </c>
      <c r="AJ212" s="20" t="str">
        <f t="shared" si="13"/>
        <v>Retailer
Cold Chain Logistics</v>
      </c>
      <c r="AK212" s="20" t="str">
        <f t="shared" si="13"/>
        <v>Integrated</v>
      </c>
      <c r="AL212" s="14" t="s">
        <v>8301</v>
      </c>
      <c r="AM212" s="14" t="s">
        <v>2751</v>
      </c>
      <c r="AO212" s="14"/>
      <c r="AP212" s="14" t="s">
        <v>3994</v>
      </c>
      <c r="AQ212" s="14" t="s">
        <v>8303</v>
      </c>
      <c r="AR212" s="14" t="s">
        <v>8304</v>
      </c>
      <c r="AS212" s="14" t="s">
        <v>8305</v>
      </c>
      <c r="AT212" s="14" t="s">
        <v>8306</v>
      </c>
      <c r="AU212" s="14" t="s">
        <v>8307</v>
      </c>
      <c r="AV212" s="18"/>
      <c r="AW212" s="16">
        <v>2361270.2240646211</v>
      </c>
      <c r="AX212" s="17">
        <v>43100</v>
      </c>
      <c r="AY212" s="15" t="s">
        <v>3117</v>
      </c>
      <c r="AZ212" s="17">
        <v>41001</v>
      </c>
      <c r="BA212" s="16">
        <v>1916</v>
      </c>
      <c r="BB212" s="14" t="s">
        <v>8308</v>
      </c>
      <c r="BC212" s="14"/>
      <c r="BD212" s="15" t="s">
        <v>3123</v>
      </c>
      <c r="BE212" s="14"/>
      <c r="BF212" s="17"/>
      <c r="BG212" s="16"/>
      <c r="BH212" s="14"/>
      <c r="BI212" s="15" t="s">
        <v>3123</v>
      </c>
      <c r="BJ212" s="14"/>
      <c r="BK212" s="17"/>
      <c r="BL212" s="16"/>
      <c r="BM212" s="16"/>
      <c r="BN212" s="16"/>
      <c r="BO212" s="16"/>
      <c r="BP212" s="15" t="s">
        <v>3123</v>
      </c>
      <c r="BQ212" s="17"/>
      <c r="BR212" s="14"/>
      <c r="BS212" s="14"/>
      <c r="BT212" s="16"/>
      <c r="BU212" s="16"/>
      <c r="BV212" s="13"/>
      <c r="BW212" s="18" t="s">
        <v>8309</v>
      </c>
      <c r="BX212" s="13">
        <v>200</v>
      </c>
      <c r="BY212" s="17">
        <v>44122</v>
      </c>
      <c r="BZ212" s="18"/>
      <c r="CA212" s="18"/>
      <c r="CB212" s="18" t="s">
        <v>8310</v>
      </c>
      <c r="CC212" s="18"/>
      <c r="CD212" s="14" t="s">
        <v>8311</v>
      </c>
      <c r="CE212" s="17">
        <v>42338</v>
      </c>
      <c r="CF212" s="16">
        <v>-111510.30019563364</v>
      </c>
      <c r="CG212" s="17">
        <v>43100</v>
      </c>
      <c r="CH212" s="16">
        <v>-82007.642168857114</v>
      </c>
      <c r="CI212" s="17">
        <v>43100</v>
      </c>
      <c r="CJ212" s="16">
        <v>10000000</v>
      </c>
      <c r="CK212" s="17">
        <v>43920</v>
      </c>
      <c r="CL212" s="16">
        <v>124</v>
      </c>
      <c r="CM212" s="17">
        <v>44012</v>
      </c>
      <c r="CN212" s="19">
        <v>53.161392342942918</v>
      </c>
      <c r="CO212" s="19"/>
      <c r="CP212" s="17"/>
      <c r="CQ212" s="14" t="s">
        <v>7193</v>
      </c>
      <c r="CR212" s="14" t="s">
        <v>8312</v>
      </c>
      <c r="CS212" s="14" t="s">
        <v>5311</v>
      </c>
    </row>
    <row r="213" spans="1:97" ht="26.15" customHeight="1">
      <c r="A213" s="2">
        <v>300</v>
      </c>
      <c r="B213" s="25" t="s">
        <v>558</v>
      </c>
      <c r="C213" s="25" t="e">
        <f>VLOOKUP(B213, Sheet6!$A$1:$B$77, 2, FALSE)</f>
        <v>#N/A</v>
      </c>
      <c r="D213" s="25" t="s">
        <v>559</v>
      </c>
      <c r="E213" s="25" t="s">
        <v>563</v>
      </c>
      <c r="F213" s="25" t="s">
        <v>8843</v>
      </c>
      <c r="G213" s="25" t="s">
        <v>10955</v>
      </c>
      <c r="H213" s="25" t="s">
        <v>10957</v>
      </c>
      <c r="I213" s="25" t="s">
        <v>10558</v>
      </c>
      <c r="J213" s="25" t="s">
        <v>10846</v>
      </c>
      <c r="L213" s="13">
        <v>2014</v>
      </c>
      <c r="M213" s="14" t="s">
        <v>5389</v>
      </c>
      <c r="N213" s="14" t="s">
        <v>5390</v>
      </c>
      <c r="O213" s="14" t="s">
        <v>5391</v>
      </c>
      <c r="P213" s="15" t="s">
        <v>3117</v>
      </c>
      <c r="Q213" s="16"/>
      <c r="R213" s="17">
        <v>43500</v>
      </c>
      <c r="S213" s="16"/>
      <c r="T213" s="16" t="s">
        <v>50</v>
      </c>
      <c r="U213" s="14" t="s">
        <v>34</v>
      </c>
      <c r="V213" s="13">
        <v>4</v>
      </c>
      <c r="W213" s="17">
        <v>44013</v>
      </c>
      <c r="X213" s="14"/>
      <c r="Y213" s="17"/>
      <c r="Z213" s="17"/>
      <c r="AA213" s="14" t="s">
        <v>8325</v>
      </c>
      <c r="AB213" s="14" t="s">
        <v>8326</v>
      </c>
      <c r="AC213" s="14" t="s">
        <v>8327</v>
      </c>
      <c r="AD213" s="20" t="str">
        <f t="shared" si="15"/>
        <v>Alternative Lending &gt; Enablers &gt; Alternative Credit Score &gt; Individuals
Banking Tech &gt; Loan Life Cycle Management &gt; Credit Assessment &gt; Alternative Credit Score
Crop Tech &gt; Finance &gt; Credit Scoring</v>
      </c>
      <c r="AE213" s="20" t="str">
        <f t="shared" si="14"/>
        <v>Alternative Lending</v>
      </c>
      <c r="AF213" s="20" t="str">
        <f t="shared" si="13"/>
        <v>Enablers</v>
      </c>
      <c r="AG213" s="20" t="str">
        <f t="shared" si="13"/>
        <v>Alternative Credit Score</v>
      </c>
      <c r="AH213" s="20" t="str">
        <f t="shared" si="13"/>
        <v>Individuals
Banking Tech</v>
      </c>
      <c r="AI213" s="20" t="str">
        <f t="shared" si="13"/>
        <v>Loan Life Cycle Management</v>
      </c>
      <c r="AJ213" s="20" t="str">
        <f t="shared" ref="AF213:AK249" si="16">TRIM(MID(SUBSTITUTE($AD213,"&gt;",REPT(" ",LEN($AD213))), (AJ$6-1)*LEN($AD213)+1, LEN($AD213)))</f>
        <v>Credit Assessment</v>
      </c>
      <c r="AK213" s="20" t="str">
        <f t="shared" si="16"/>
        <v>Alternative Credit Score
Crop Tech</v>
      </c>
      <c r="AL213" s="14" t="s">
        <v>8328</v>
      </c>
      <c r="AM213" s="14"/>
      <c r="AO213" s="14"/>
      <c r="AP213" s="14" t="s">
        <v>5391</v>
      </c>
      <c r="AQ213" s="14" t="s">
        <v>8330</v>
      </c>
      <c r="AR213" s="14" t="s">
        <v>8331</v>
      </c>
      <c r="AS213" s="14" t="s">
        <v>8332</v>
      </c>
      <c r="AT213" s="14" t="s">
        <v>8333</v>
      </c>
      <c r="AU213" s="14" t="s">
        <v>8334</v>
      </c>
      <c r="AV213" s="18" t="s">
        <v>8335</v>
      </c>
      <c r="AW213" s="16"/>
      <c r="AX213" s="17"/>
      <c r="AY213" s="15" t="s">
        <v>3123</v>
      </c>
      <c r="AZ213" s="17"/>
      <c r="BA213" s="16"/>
      <c r="BB213" s="14"/>
      <c r="BC213" s="14"/>
      <c r="BD213" s="15" t="s">
        <v>3123</v>
      </c>
      <c r="BE213" s="14"/>
      <c r="BF213" s="17"/>
      <c r="BG213" s="16"/>
      <c r="BH213" s="14"/>
      <c r="BI213" s="15" t="s">
        <v>3123</v>
      </c>
      <c r="BJ213" s="14"/>
      <c r="BK213" s="17"/>
      <c r="BL213" s="16"/>
      <c r="BM213" s="16"/>
      <c r="BN213" s="16"/>
      <c r="BO213" s="16"/>
      <c r="BP213" s="15" t="s">
        <v>3123</v>
      </c>
      <c r="BQ213" s="17"/>
      <c r="BR213" s="14"/>
      <c r="BS213" s="14"/>
      <c r="BT213" s="16"/>
      <c r="BU213" s="16"/>
      <c r="BV213" s="13"/>
      <c r="BW213" s="18" t="s">
        <v>8336</v>
      </c>
      <c r="BX213" s="13">
        <v>200</v>
      </c>
      <c r="BY213" s="17">
        <v>44121</v>
      </c>
      <c r="BZ213" s="18" t="s">
        <v>8337</v>
      </c>
      <c r="CA213" s="18" t="s">
        <v>8338</v>
      </c>
      <c r="CB213" s="18" t="s">
        <v>8339</v>
      </c>
      <c r="CC213" s="18"/>
      <c r="CD213" s="14" t="s">
        <v>8340</v>
      </c>
      <c r="CE213" s="17">
        <v>42586</v>
      </c>
      <c r="CF213" s="16"/>
      <c r="CG213" s="17"/>
      <c r="CH213" s="16"/>
      <c r="CI213" s="17"/>
      <c r="CJ213" s="16"/>
      <c r="CK213" s="17"/>
      <c r="CL213" s="16"/>
      <c r="CM213" s="17"/>
      <c r="CN213" s="19">
        <v>42.46388502461155</v>
      </c>
      <c r="CO213" s="19"/>
      <c r="CP213" s="17"/>
      <c r="CQ213" s="14" t="s">
        <v>8341</v>
      </c>
      <c r="CR213" s="14" t="s">
        <v>6839</v>
      </c>
      <c r="CS213" s="14" t="s">
        <v>7194</v>
      </c>
    </row>
    <row r="214" spans="1:97" ht="26.15" customHeight="1">
      <c r="A214" s="2">
        <v>465</v>
      </c>
      <c r="B214" s="25" t="s">
        <v>2448</v>
      </c>
      <c r="C214" s="25" t="e">
        <f>VLOOKUP(B214, Sheet6!$A$1:$B$77, 2, FALSE)</f>
        <v>#N/A</v>
      </c>
      <c r="D214" s="25" t="s">
        <v>2449</v>
      </c>
      <c r="E214" s="25" t="s">
        <v>2450</v>
      </c>
      <c r="F214" s="25" t="s">
        <v>9720</v>
      </c>
      <c r="G214" s="25" t="s">
        <v>10955</v>
      </c>
      <c r="H214" s="25" t="s">
        <v>10957</v>
      </c>
      <c r="I214" s="25" t="s">
        <v>10558</v>
      </c>
      <c r="J214" s="25" t="s">
        <v>10846</v>
      </c>
      <c r="L214" s="13">
        <v>2014</v>
      </c>
      <c r="M214" s="14" t="s">
        <v>8342</v>
      </c>
      <c r="N214" s="14" t="s">
        <v>8343</v>
      </c>
      <c r="O214" s="14" t="s">
        <v>6632</v>
      </c>
      <c r="P214" s="15" t="s">
        <v>3117</v>
      </c>
      <c r="Q214" s="16"/>
      <c r="R214" s="17">
        <v>42972</v>
      </c>
      <c r="S214" s="16"/>
      <c r="T214" s="16" t="s">
        <v>50</v>
      </c>
      <c r="U214" s="14" t="s">
        <v>5040</v>
      </c>
      <c r="V214" s="13">
        <v>2</v>
      </c>
      <c r="W214" s="17">
        <v>44019</v>
      </c>
      <c r="X214" s="14"/>
      <c r="Y214" s="17"/>
      <c r="Z214" s="17"/>
      <c r="AA214" s="14" t="s">
        <v>5493</v>
      </c>
      <c r="AB214" s="14" t="s">
        <v>5494</v>
      </c>
      <c r="AC214" s="14" t="s">
        <v>8344</v>
      </c>
      <c r="AD214" s="20" t="str">
        <f t="shared" si="15"/>
        <v>B2B E-Commerce &gt; Food &amp; Beverages &gt; Groceries &gt; Farm Products &gt; Marketplace
Crop Tech &gt; ECommerce &gt; Farm Produce &gt; B2B &gt; Fruits and Vegetables &gt; Marketplace</v>
      </c>
      <c r="AE214" s="20" t="str">
        <f t="shared" si="14"/>
        <v>B2B E-Commerce</v>
      </c>
      <c r="AF214" s="20" t="str">
        <f t="shared" si="16"/>
        <v>Food &amp; Beverages</v>
      </c>
      <c r="AG214" s="20" t="str">
        <f t="shared" si="16"/>
        <v>Groceries</v>
      </c>
      <c r="AH214" s="20" t="str">
        <f t="shared" si="16"/>
        <v>Farm Products</v>
      </c>
      <c r="AI214" s="20" t="str">
        <f t="shared" si="16"/>
        <v>Marketplace
Crop Tech</v>
      </c>
      <c r="AJ214" s="20" t="str">
        <f t="shared" si="16"/>
        <v>ECommerce</v>
      </c>
      <c r="AK214" s="20" t="str">
        <f t="shared" si="16"/>
        <v>Farm Produce</v>
      </c>
      <c r="AL214" s="14" t="s">
        <v>8345</v>
      </c>
      <c r="AM214" s="14"/>
      <c r="AO214" s="14"/>
      <c r="AP214" s="14" t="s">
        <v>6632</v>
      </c>
      <c r="AQ214" s="14" t="s">
        <v>8347</v>
      </c>
      <c r="AR214" s="14"/>
      <c r="AS214" s="14" t="s">
        <v>8348</v>
      </c>
      <c r="AT214" s="14"/>
      <c r="AU214" s="14" t="s">
        <v>8349</v>
      </c>
      <c r="AV214" s="18" t="s">
        <v>8350</v>
      </c>
      <c r="AW214" s="16"/>
      <c r="AX214" s="17"/>
      <c r="AY214" s="15" t="s">
        <v>3123</v>
      </c>
      <c r="AZ214" s="17"/>
      <c r="BA214" s="16"/>
      <c r="BB214" s="14"/>
      <c r="BC214" s="14"/>
      <c r="BD214" s="15" t="s">
        <v>3123</v>
      </c>
      <c r="BE214" s="14"/>
      <c r="BF214" s="17"/>
      <c r="BG214" s="16"/>
      <c r="BH214" s="14"/>
      <c r="BI214" s="15" t="s">
        <v>3123</v>
      </c>
      <c r="BJ214" s="14"/>
      <c r="BK214" s="17"/>
      <c r="BL214" s="16"/>
      <c r="BM214" s="16"/>
      <c r="BN214" s="16"/>
      <c r="BO214" s="16"/>
      <c r="BP214" s="15" t="s">
        <v>3123</v>
      </c>
      <c r="BQ214" s="17"/>
      <c r="BR214" s="14"/>
      <c r="BS214" s="14"/>
      <c r="BT214" s="16"/>
      <c r="BU214" s="16"/>
      <c r="BV214" s="13"/>
      <c r="BW214" s="18" t="s">
        <v>8351</v>
      </c>
      <c r="BX214" s="13">
        <v>200</v>
      </c>
      <c r="BY214" s="17">
        <v>44121</v>
      </c>
      <c r="BZ214" s="18" t="s">
        <v>8352</v>
      </c>
      <c r="CA214" s="18" t="s">
        <v>8353</v>
      </c>
      <c r="CB214" s="18" t="s">
        <v>8354</v>
      </c>
      <c r="CC214" s="18"/>
      <c r="CD214" s="14" t="s">
        <v>8355</v>
      </c>
      <c r="CE214" s="17">
        <v>43020</v>
      </c>
      <c r="CF214" s="16"/>
      <c r="CG214" s="17"/>
      <c r="CH214" s="16"/>
      <c r="CI214" s="17"/>
      <c r="CJ214" s="16"/>
      <c r="CK214" s="17"/>
      <c r="CL214" s="16"/>
      <c r="CM214" s="17"/>
      <c r="CN214" s="19">
        <v>30.734636613479633</v>
      </c>
      <c r="CO214" s="19"/>
      <c r="CP214" s="17"/>
      <c r="CQ214" s="14" t="s">
        <v>8356</v>
      </c>
      <c r="CR214" s="14" t="s">
        <v>6557</v>
      </c>
      <c r="CS214" s="14" t="s">
        <v>5945</v>
      </c>
    </row>
    <row r="215" spans="1:97" ht="26.15" customHeight="1">
      <c r="A215" s="2">
        <v>219</v>
      </c>
      <c r="B215" s="25" t="s">
        <v>724</v>
      </c>
      <c r="C215" s="25" t="e">
        <f>VLOOKUP(B215, Sheet6!$A$1:$B$77, 2, FALSE)</f>
        <v>#N/A</v>
      </c>
      <c r="D215" s="25" t="s">
        <v>725</v>
      </c>
      <c r="E215" s="25" t="s">
        <v>728</v>
      </c>
      <c r="F215" s="25" t="s">
        <v>7756</v>
      </c>
      <c r="G215" s="25" t="s">
        <v>10955</v>
      </c>
      <c r="H215" s="25" t="s">
        <v>10959</v>
      </c>
      <c r="I215" s="25" t="s">
        <v>10958</v>
      </c>
      <c r="J215" s="26" t="s">
        <v>10765</v>
      </c>
      <c r="L215" s="13">
        <v>2014</v>
      </c>
      <c r="M215" s="14" t="s">
        <v>8357</v>
      </c>
      <c r="N215" s="14" t="s">
        <v>5804</v>
      </c>
      <c r="O215" s="14" t="s">
        <v>5208</v>
      </c>
      <c r="P215" s="15" t="s">
        <v>3117</v>
      </c>
      <c r="Q215" s="16">
        <v>7000000</v>
      </c>
      <c r="R215" s="17">
        <v>43712</v>
      </c>
      <c r="S215" s="16" t="s">
        <v>6481</v>
      </c>
      <c r="T215" s="16">
        <v>5800000</v>
      </c>
      <c r="U215" s="14" t="s">
        <v>109</v>
      </c>
      <c r="V215" s="13">
        <v>5</v>
      </c>
      <c r="W215" s="17">
        <v>44057</v>
      </c>
      <c r="X215" s="14" t="s">
        <v>5052</v>
      </c>
      <c r="Y215" s="17">
        <v>43719</v>
      </c>
      <c r="Z215" s="17">
        <v>43712</v>
      </c>
      <c r="AA215" s="14" t="s">
        <v>5041</v>
      </c>
      <c r="AB215" s="14" t="s">
        <v>5042</v>
      </c>
      <c r="AC215" s="14" t="s">
        <v>7413</v>
      </c>
      <c r="AD215" s="20" t="str">
        <f t="shared" si="15"/>
        <v>IoT Applications &gt; Industry Specific &gt; Agriculture &gt; Farms
Crop Tech &gt; Farm Management Software &gt; Diversified</v>
      </c>
      <c r="AE215" s="20" t="str">
        <f t="shared" si="14"/>
        <v>IoT Applications</v>
      </c>
      <c r="AF215" s="20" t="str">
        <f t="shared" si="16"/>
        <v>Industry Specific</v>
      </c>
      <c r="AG215" s="20" t="str">
        <f t="shared" si="16"/>
        <v>Agriculture</v>
      </c>
      <c r="AH215" s="20" t="str">
        <f t="shared" si="16"/>
        <v>Farms
Crop Tech</v>
      </c>
      <c r="AI215" s="20" t="str">
        <f t="shared" si="16"/>
        <v>Farm Management Software</v>
      </c>
      <c r="AJ215" s="20" t="str">
        <f t="shared" si="16"/>
        <v>Diversified</v>
      </c>
      <c r="AK215" s="20" t="str">
        <f t="shared" si="16"/>
        <v/>
      </c>
      <c r="AL215" s="14" t="s">
        <v>8358</v>
      </c>
      <c r="AM215" s="14"/>
      <c r="AO215" s="14"/>
      <c r="AP215" s="14" t="s">
        <v>5208</v>
      </c>
      <c r="AQ215" s="14" t="s">
        <v>8360</v>
      </c>
      <c r="AR215" s="14" t="s">
        <v>8361</v>
      </c>
      <c r="AS215" s="14" t="s">
        <v>8362</v>
      </c>
      <c r="AT215" s="14" t="s">
        <v>8363</v>
      </c>
      <c r="AU215" s="14" t="s">
        <v>8364</v>
      </c>
      <c r="AV215" s="18" t="s">
        <v>8365</v>
      </c>
      <c r="AW215" s="16"/>
      <c r="AX215" s="17"/>
      <c r="AY215" s="15" t="s">
        <v>3123</v>
      </c>
      <c r="AZ215" s="17"/>
      <c r="BA215" s="16"/>
      <c r="BB215" s="14"/>
      <c r="BC215" s="14"/>
      <c r="BD215" s="15" t="s">
        <v>3123</v>
      </c>
      <c r="BE215" s="14"/>
      <c r="BF215" s="17"/>
      <c r="BG215" s="16"/>
      <c r="BH215" s="14"/>
      <c r="BI215" s="15" t="s">
        <v>3123</v>
      </c>
      <c r="BJ215" s="14"/>
      <c r="BK215" s="17"/>
      <c r="BL215" s="16"/>
      <c r="BM215" s="16"/>
      <c r="BN215" s="16"/>
      <c r="BO215" s="16"/>
      <c r="BP215" s="15" t="s">
        <v>3123</v>
      </c>
      <c r="BQ215" s="17"/>
      <c r="BR215" s="14"/>
      <c r="BS215" s="14"/>
      <c r="BT215" s="16"/>
      <c r="BU215" s="16"/>
      <c r="BV215" s="13"/>
      <c r="BW215" s="18" t="s">
        <v>8366</v>
      </c>
      <c r="BX215" s="13">
        <v>200</v>
      </c>
      <c r="BY215" s="17">
        <v>44121</v>
      </c>
      <c r="BZ215" s="18" t="s">
        <v>8367</v>
      </c>
      <c r="CA215" s="18" t="s">
        <v>8368</v>
      </c>
      <c r="CB215" s="18" t="s">
        <v>8369</v>
      </c>
      <c r="CC215" s="18" t="s">
        <v>8370</v>
      </c>
      <c r="CD215" s="14" t="s">
        <v>8371</v>
      </c>
      <c r="CE215" s="17">
        <v>43019</v>
      </c>
      <c r="CF215" s="16"/>
      <c r="CG215" s="17"/>
      <c r="CH215" s="16"/>
      <c r="CI215" s="17"/>
      <c r="CJ215" s="16"/>
      <c r="CK215" s="17"/>
      <c r="CL215" s="16"/>
      <c r="CM215" s="17"/>
      <c r="CN215" s="19">
        <v>49.110272606634908</v>
      </c>
      <c r="CO215" s="19"/>
      <c r="CP215" s="17"/>
      <c r="CQ215" s="14" t="s">
        <v>8372</v>
      </c>
      <c r="CR215" s="14" t="s">
        <v>5879</v>
      </c>
      <c r="CS215" s="14" t="s">
        <v>5004</v>
      </c>
    </row>
    <row r="216" spans="1:97" ht="26.15" customHeight="1">
      <c r="A216" s="2">
        <v>44</v>
      </c>
      <c r="B216" s="25" t="s">
        <v>1763</v>
      </c>
      <c r="C216" s="25" t="e">
        <f>VLOOKUP(B216, Sheet6!$A$1:$B$77, 2, FALSE)</f>
        <v>#N/A</v>
      </c>
      <c r="D216" s="25" t="s">
        <v>1764</v>
      </c>
      <c r="E216" s="25" t="s">
        <v>1767</v>
      </c>
      <c r="F216" s="25" t="s">
        <v>5596</v>
      </c>
      <c r="G216" s="25" t="s">
        <v>10955</v>
      </c>
      <c r="H216" s="25" t="s">
        <v>10959</v>
      </c>
      <c r="I216" s="25" t="s">
        <v>10958</v>
      </c>
      <c r="J216" s="26" t="s">
        <v>10842</v>
      </c>
      <c r="L216" s="13">
        <v>2011</v>
      </c>
      <c r="M216" s="14" t="s">
        <v>4993</v>
      </c>
      <c r="N216" s="14" t="s">
        <v>4994</v>
      </c>
      <c r="O216" s="14" t="s">
        <v>2057</v>
      </c>
      <c r="P216" s="15" t="s">
        <v>3117</v>
      </c>
      <c r="Q216" s="16">
        <v>20000000</v>
      </c>
      <c r="R216" s="17">
        <v>43467</v>
      </c>
      <c r="S216" s="16"/>
      <c r="T216" s="16" t="s">
        <v>50</v>
      </c>
      <c r="U216" s="14" t="s">
        <v>95</v>
      </c>
      <c r="V216" s="13">
        <v>5</v>
      </c>
      <c r="W216" s="17">
        <v>44027</v>
      </c>
      <c r="X216" s="14"/>
      <c r="Y216" s="17"/>
      <c r="Z216" s="17"/>
      <c r="AA216" s="14" t="s">
        <v>5509</v>
      </c>
      <c r="AB216" s="14" t="s">
        <v>5510</v>
      </c>
      <c r="AC216" s="14" t="s">
        <v>7886</v>
      </c>
      <c r="AD216" s="20" t="str">
        <f t="shared" si="15"/>
        <v>B2B E-Commerce &gt; Food &amp; Beverages &gt; Groceries &gt; Farm Products &gt; Marketplace
Online Grocery &gt; B2B Ecommerce &gt; Farm Produce &gt; Multi-Category &gt; Marketplace
Crop Tech &gt; ECommerce &gt; Farm Produce &gt; B2B &gt; Fruits and Vegetables &gt; Marketplace</v>
      </c>
      <c r="AE216" s="20" t="str">
        <f t="shared" si="14"/>
        <v>B2B E-Commerce</v>
      </c>
      <c r="AF216" s="20" t="str">
        <f t="shared" si="16"/>
        <v>Food &amp; Beverages</v>
      </c>
      <c r="AG216" s="20" t="str">
        <f t="shared" si="16"/>
        <v>Groceries</v>
      </c>
      <c r="AH216" s="20" t="str">
        <f t="shared" si="16"/>
        <v>Farm Products</v>
      </c>
      <c r="AI216" s="20" t="str">
        <f t="shared" si="16"/>
        <v>Marketplace
Online Grocery</v>
      </c>
      <c r="AJ216" s="20" t="str">
        <f t="shared" si="16"/>
        <v>B2B Ecommerce</v>
      </c>
      <c r="AK216" s="20" t="str">
        <f t="shared" si="16"/>
        <v>Farm Produce</v>
      </c>
      <c r="AL216" s="14" t="s">
        <v>8389</v>
      </c>
      <c r="AM216" s="14"/>
      <c r="AO216" s="14"/>
      <c r="AP216" s="14" t="s">
        <v>2057</v>
      </c>
      <c r="AQ216" s="14"/>
      <c r="AR216" s="14"/>
      <c r="AS216" s="14"/>
      <c r="AT216" s="14"/>
      <c r="AU216" s="14"/>
      <c r="AV216" s="18"/>
      <c r="AW216" s="16"/>
      <c r="AX216" s="17"/>
      <c r="AY216" s="15" t="s">
        <v>3123</v>
      </c>
      <c r="AZ216" s="17"/>
      <c r="BA216" s="16"/>
      <c r="BB216" s="14"/>
      <c r="BC216" s="14"/>
      <c r="BD216" s="15" t="s">
        <v>3123</v>
      </c>
      <c r="BE216" s="14"/>
      <c r="BF216" s="17"/>
      <c r="BG216" s="16"/>
      <c r="BH216" s="14"/>
      <c r="BI216" s="15" t="s">
        <v>3123</v>
      </c>
      <c r="BJ216" s="14"/>
      <c r="BK216" s="17"/>
      <c r="BL216" s="16"/>
      <c r="BM216" s="16"/>
      <c r="BN216" s="16"/>
      <c r="BO216" s="16"/>
      <c r="BP216" s="15" t="s">
        <v>3123</v>
      </c>
      <c r="BQ216" s="17"/>
      <c r="BR216" s="14"/>
      <c r="BS216" s="14"/>
      <c r="BT216" s="16"/>
      <c r="BU216" s="16"/>
      <c r="BV216" s="13"/>
      <c r="BW216" s="18" t="s">
        <v>8391</v>
      </c>
      <c r="BX216" s="13">
        <v>200</v>
      </c>
      <c r="BY216" s="17">
        <v>44121</v>
      </c>
      <c r="BZ216" s="18"/>
      <c r="CA216" s="18"/>
      <c r="CB216" s="18"/>
      <c r="CC216" s="18"/>
      <c r="CD216" s="14" t="s">
        <v>8392</v>
      </c>
      <c r="CE216" s="17">
        <v>42492</v>
      </c>
      <c r="CF216" s="16"/>
      <c r="CG216" s="17"/>
      <c r="CH216" s="16"/>
      <c r="CI216" s="17"/>
      <c r="CJ216" s="16"/>
      <c r="CK216" s="17"/>
      <c r="CL216" s="16"/>
      <c r="CM216" s="17"/>
      <c r="CN216" s="19">
        <v>45.561121317924353</v>
      </c>
      <c r="CO216" s="19"/>
      <c r="CP216" s="17"/>
      <c r="CQ216" s="14" t="s">
        <v>6556</v>
      </c>
      <c r="CR216" s="14" t="s">
        <v>6731</v>
      </c>
      <c r="CS216" s="14" t="s">
        <v>6074</v>
      </c>
    </row>
    <row r="217" spans="1:97" ht="26.15" customHeight="1">
      <c r="A217" s="2">
        <v>170</v>
      </c>
      <c r="B217" s="25" t="s">
        <v>1147</v>
      </c>
      <c r="C217" s="25" t="e">
        <f>VLOOKUP(B217, Sheet6!$A$1:$B$77, 2, FALSE)</f>
        <v>#N/A</v>
      </c>
      <c r="D217" s="25" t="s">
        <v>1148</v>
      </c>
      <c r="E217" s="25" t="s">
        <v>1152</v>
      </c>
      <c r="F217" s="25" t="s">
        <v>7200</v>
      </c>
      <c r="G217" s="25" t="s">
        <v>10953</v>
      </c>
      <c r="H217" s="25" t="s">
        <v>10967</v>
      </c>
      <c r="I217" s="25" t="s">
        <v>10958</v>
      </c>
      <c r="J217" s="26" t="s">
        <v>10517</v>
      </c>
      <c r="L217" s="13">
        <v>2013</v>
      </c>
      <c r="M217" s="14" t="s">
        <v>4993</v>
      </c>
      <c r="N217" s="14" t="s">
        <v>4994</v>
      </c>
      <c r="O217" s="14" t="s">
        <v>2057</v>
      </c>
      <c r="P217" s="15" t="s">
        <v>3117</v>
      </c>
      <c r="Q217" s="16">
        <v>100000</v>
      </c>
      <c r="R217" s="17">
        <v>43559</v>
      </c>
      <c r="S217" s="16" t="s">
        <v>5252</v>
      </c>
      <c r="T217" s="16">
        <v>100000</v>
      </c>
      <c r="U217" s="14" t="s">
        <v>34</v>
      </c>
      <c r="V217" s="13">
        <v>4</v>
      </c>
      <c r="W217" s="17">
        <v>44047</v>
      </c>
      <c r="X217" s="14"/>
      <c r="Y217" s="17"/>
      <c r="Z217" s="17"/>
      <c r="AA217" s="14" t="s">
        <v>1</v>
      </c>
      <c r="AB217" s="14" t="s">
        <v>5007</v>
      </c>
      <c r="AC217" s="14" t="s">
        <v>1097</v>
      </c>
      <c r="AD217" s="20" t="str">
        <f t="shared" si="15"/>
        <v>Crop Tech &gt; Farm Equipment &gt; Diversified</v>
      </c>
      <c r="AE217" s="20" t="str">
        <f t="shared" si="14"/>
        <v>Crop Tech</v>
      </c>
      <c r="AF217" s="20" t="str">
        <f t="shared" si="16"/>
        <v>Farm Equipment</v>
      </c>
      <c r="AG217" s="20" t="str">
        <f t="shared" si="16"/>
        <v>Diversified</v>
      </c>
      <c r="AH217" s="20" t="str">
        <f t="shared" si="16"/>
        <v/>
      </c>
      <c r="AI217" s="20" t="str">
        <f t="shared" si="16"/>
        <v/>
      </c>
      <c r="AJ217" s="20" t="str">
        <f t="shared" si="16"/>
        <v/>
      </c>
      <c r="AK217" s="20" t="str">
        <f t="shared" si="16"/>
        <v/>
      </c>
      <c r="AL217" s="14" t="s">
        <v>8408</v>
      </c>
      <c r="AM217" s="14"/>
      <c r="AO217" s="14"/>
      <c r="AP217" s="14" t="s">
        <v>2057</v>
      </c>
      <c r="AQ217" s="14"/>
      <c r="AR217" s="14"/>
      <c r="AS217" s="14" t="s">
        <v>8410</v>
      </c>
      <c r="AT217" s="14" t="s">
        <v>8411</v>
      </c>
      <c r="AU217" s="14" t="s">
        <v>8412</v>
      </c>
      <c r="AV217" s="18" t="s">
        <v>8413</v>
      </c>
      <c r="AW217" s="16"/>
      <c r="AX217" s="17"/>
      <c r="AY217" s="15" t="s">
        <v>3123</v>
      </c>
      <c r="AZ217" s="17"/>
      <c r="BA217" s="16"/>
      <c r="BB217" s="14"/>
      <c r="BC217" s="14"/>
      <c r="BD217" s="15" t="s">
        <v>3123</v>
      </c>
      <c r="BE217" s="14"/>
      <c r="BF217" s="17"/>
      <c r="BG217" s="16"/>
      <c r="BH217" s="14"/>
      <c r="BI217" s="15" t="s">
        <v>3123</v>
      </c>
      <c r="BJ217" s="14"/>
      <c r="BK217" s="17"/>
      <c r="BL217" s="16"/>
      <c r="BM217" s="16"/>
      <c r="BN217" s="16"/>
      <c r="BO217" s="16"/>
      <c r="BP217" s="15" t="s">
        <v>3123</v>
      </c>
      <c r="BQ217" s="17"/>
      <c r="BR217" s="14"/>
      <c r="BS217" s="14"/>
      <c r="BT217" s="16"/>
      <c r="BU217" s="16"/>
      <c r="BV217" s="13"/>
      <c r="BW217" s="18" t="s">
        <v>8414</v>
      </c>
      <c r="BX217" s="13">
        <v>200</v>
      </c>
      <c r="BY217" s="17">
        <v>44121</v>
      </c>
      <c r="BZ217" s="18" t="s">
        <v>8415</v>
      </c>
      <c r="CA217" s="18" t="s">
        <v>8416</v>
      </c>
      <c r="CB217" s="18"/>
      <c r="CC217" s="18"/>
      <c r="CD217" s="14" t="s">
        <v>8417</v>
      </c>
      <c r="CE217" s="17">
        <v>43021</v>
      </c>
      <c r="CF217" s="16"/>
      <c r="CG217" s="17"/>
      <c r="CH217" s="16"/>
      <c r="CI217" s="17"/>
      <c r="CJ217" s="16"/>
      <c r="CK217" s="17"/>
      <c r="CL217" s="16"/>
      <c r="CM217" s="17"/>
      <c r="CN217" s="19">
        <v>42.64848556484931</v>
      </c>
      <c r="CO217" s="19"/>
      <c r="CP217" s="17"/>
      <c r="CQ217" s="14" t="s">
        <v>8418</v>
      </c>
      <c r="CR217" s="14" t="s">
        <v>8419</v>
      </c>
      <c r="CS217" s="14" t="s">
        <v>5521</v>
      </c>
    </row>
    <row r="218" spans="1:97" ht="26.15" customHeight="1">
      <c r="A218" s="2">
        <v>263</v>
      </c>
      <c r="B218" s="25" t="s">
        <v>1205</v>
      </c>
      <c r="C218" s="25" t="e">
        <f>VLOOKUP(B218, Sheet6!$A$1:$B$77, 2, FALSE)</f>
        <v>#N/A</v>
      </c>
      <c r="D218" s="25" t="s">
        <v>1206</v>
      </c>
      <c r="E218" s="25" t="s">
        <v>1209</v>
      </c>
      <c r="F218" s="25" t="s">
        <v>8329</v>
      </c>
      <c r="G218" s="25" t="s">
        <v>10955</v>
      </c>
      <c r="H218" s="25" t="s">
        <v>10957</v>
      </c>
      <c r="I218" s="25" t="s">
        <v>10968</v>
      </c>
      <c r="J218" s="25" t="s">
        <v>10517</v>
      </c>
      <c r="L218" s="13">
        <v>2013</v>
      </c>
      <c r="M218" s="14" t="s">
        <v>5507</v>
      </c>
      <c r="N218" s="14" t="s">
        <v>5507</v>
      </c>
      <c r="O218" s="14" t="s">
        <v>5508</v>
      </c>
      <c r="P218" s="15" t="s">
        <v>3117</v>
      </c>
      <c r="Q218" s="16"/>
      <c r="R218" s="17">
        <v>43443</v>
      </c>
      <c r="S218" s="16"/>
      <c r="T218" s="16" t="s">
        <v>50</v>
      </c>
      <c r="U218" s="14" t="s">
        <v>34</v>
      </c>
      <c r="V218" s="13">
        <v>4</v>
      </c>
      <c r="W218" s="17">
        <v>44063</v>
      </c>
      <c r="X218" s="14"/>
      <c r="Y218" s="17"/>
      <c r="Z218" s="17"/>
      <c r="AA218" s="14" t="s">
        <v>8102</v>
      </c>
      <c r="AB218" s="14" t="s">
        <v>8420</v>
      </c>
      <c r="AC218" s="14" t="s">
        <v>8421</v>
      </c>
      <c r="AD218" s="20" t="str">
        <f t="shared" si="15"/>
        <v>IoT Applications &gt; Industry Specific &gt; Agriculture &gt; Aquaculture
Aquaculture Tech &gt; Farm Monitoring &gt; Fishes &gt; Water Quality
Water and Wastewater Management Tech &gt; Smart Irrigation &gt; Farming &gt; Aquaculture Water Monitoring</v>
      </c>
      <c r="AE218" s="20" t="str">
        <f t="shared" si="14"/>
        <v>IoT Applications</v>
      </c>
      <c r="AF218" s="20" t="str">
        <f t="shared" si="16"/>
        <v>Industry Specific</v>
      </c>
      <c r="AG218" s="20" t="str">
        <f t="shared" si="16"/>
        <v>Agriculture</v>
      </c>
      <c r="AH218" s="20" t="str">
        <f t="shared" si="16"/>
        <v>Aquaculture
Aquaculture Tech</v>
      </c>
      <c r="AI218" s="20" t="str">
        <f t="shared" si="16"/>
        <v>Farm Monitoring</v>
      </c>
      <c r="AJ218" s="20" t="str">
        <f t="shared" si="16"/>
        <v>Fishes</v>
      </c>
      <c r="AK218" s="20" t="str">
        <f t="shared" si="16"/>
        <v>Water Quality
Water and Wastewater Management Tech</v>
      </c>
      <c r="AL218" s="14" t="s">
        <v>8422</v>
      </c>
      <c r="AM218" s="14"/>
      <c r="AO218" s="14"/>
      <c r="AP218" s="14" t="s">
        <v>5508</v>
      </c>
      <c r="AQ218" s="14" t="s">
        <v>8424</v>
      </c>
      <c r="AR218" s="14"/>
      <c r="AS218" s="14" t="s">
        <v>8425</v>
      </c>
      <c r="AT218" s="14" t="s">
        <v>8426</v>
      </c>
      <c r="AU218" s="14" t="s">
        <v>8427</v>
      </c>
      <c r="AV218" s="18"/>
      <c r="AW218" s="16"/>
      <c r="AX218" s="17"/>
      <c r="AY218" s="15" t="s">
        <v>3123</v>
      </c>
      <c r="AZ218" s="17"/>
      <c r="BA218" s="16"/>
      <c r="BB218" s="14"/>
      <c r="BC218" s="14"/>
      <c r="BD218" s="15" t="s">
        <v>3123</v>
      </c>
      <c r="BE218" s="14"/>
      <c r="BF218" s="17"/>
      <c r="BG218" s="16"/>
      <c r="BH218" s="14"/>
      <c r="BI218" s="15" t="s">
        <v>3123</v>
      </c>
      <c r="BJ218" s="14"/>
      <c r="BK218" s="17"/>
      <c r="BL218" s="16"/>
      <c r="BM218" s="16"/>
      <c r="BN218" s="16"/>
      <c r="BO218" s="16"/>
      <c r="BP218" s="15" t="s">
        <v>3123</v>
      </c>
      <c r="BQ218" s="17"/>
      <c r="BR218" s="14"/>
      <c r="BS218" s="14"/>
      <c r="BT218" s="16"/>
      <c r="BU218" s="16"/>
      <c r="BV218" s="13"/>
      <c r="BW218" s="18" t="s">
        <v>8428</v>
      </c>
      <c r="BX218" s="13">
        <v>200</v>
      </c>
      <c r="BY218" s="17">
        <v>44121</v>
      </c>
      <c r="BZ218" s="18"/>
      <c r="CA218" s="18" t="s">
        <v>8429</v>
      </c>
      <c r="CB218" s="18" t="s">
        <v>8430</v>
      </c>
      <c r="CC218" s="18"/>
      <c r="CD218" s="14" t="s">
        <v>8431</v>
      </c>
      <c r="CE218" s="17">
        <v>42934</v>
      </c>
      <c r="CF218" s="16"/>
      <c r="CG218" s="17"/>
      <c r="CH218" s="16"/>
      <c r="CI218" s="17"/>
      <c r="CJ218" s="16"/>
      <c r="CK218" s="17"/>
      <c r="CL218" s="16"/>
      <c r="CM218" s="17"/>
      <c r="CN218" s="19">
        <v>40.589010179588598</v>
      </c>
      <c r="CO218" s="19"/>
      <c r="CP218" s="17"/>
      <c r="CQ218" s="14" t="s">
        <v>8432</v>
      </c>
      <c r="CR218" s="14" t="s">
        <v>6266</v>
      </c>
      <c r="CS218" s="14" t="s">
        <v>5311</v>
      </c>
    </row>
    <row r="219" spans="1:97" ht="26.15" customHeight="1">
      <c r="A219" s="2">
        <v>211</v>
      </c>
      <c r="B219" s="25" t="s">
        <v>963</v>
      </c>
      <c r="C219" s="25" t="e">
        <f>VLOOKUP(B219, Sheet6!$A$1:$B$77, 2, FALSE)</f>
        <v>#N/A</v>
      </c>
      <c r="D219" s="25" t="s">
        <v>964</v>
      </c>
      <c r="E219" s="25" t="s">
        <v>967</v>
      </c>
      <c r="F219" s="25" t="s">
        <v>7660</v>
      </c>
      <c r="G219" s="25" t="s">
        <v>10955</v>
      </c>
      <c r="H219" s="25" t="s">
        <v>10959</v>
      </c>
      <c r="I219" s="25" t="s">
        <v>10968</v>
      </c>
      <c r="J219" s="26" t="s">
        <v>10842</v>
      </c>
      <c r="L219" s="13">
        <v>2013</v>
      </c>
      <c r="M219" s="14" t="s">
        <v>8447</v>
      </c>
      <c r="N219" s="14" t="s">
        <v>5276</v>
      </c>
      <c r="O219" s="14" t="s">
        <v>5277</v>
      </c>
      <c r="P219" s="15" t="s">
        <v>3117</v>
      </c>
      <c r="Q219" s="16">
        <v>4000000</v>
      </c>
      <c r="R219" s="17">
        <v>44055</v>
      </c>
      <c r="S219" s="16"/>
      <c r="T219" s="16" t="s">
        <v>50</v>
      </c>
      <c r="U219" s="14" t="s">
        <v>25</v>
      </c>
      <c r="V219" s="13">
        <v>5</v>
      </c>
      <c r="W219" s="17">
        <v>44057</v>
      </c>
      <c r="X219" s="14" t="s">
        <v>5052</v>
      </c>
      <c r="Y219" s="17">
        <v>44060</v>
      </c>
      <c r="Z219" s="17">
        <v>42255</v>
      </c>
      <c r="AA219" s="14" t="s">
        <v>5041</v>
      </c>
      <c r="AB219" s="14" t="s">
        <v>6243</v>
      </c>
      <c r="AC219" s="14" t="s">
        <v>8448</v>
      </c>
      <c r="AD219" s="20" t="str">
        <f t="shared" si="15"/>
        <v>IoT Applications &gt; Industry Specific &gt; Agriculture &gt; Aquaculture
Aquaculture Tech &gt; Feeding &gt; Automated Feeding Systems</v>
      </c>
      <c r="AE219" s="20" t="str">
        <f t="shared" si="14"/>
        <v>IoT Applications</v>
      </c>
      <c r="AF219" s="20" t="str">
        <f t="shared" si="16"/>
        <v>Industry Specific</v>
      </c>
      <c r="AG219" s="20" t="str">
        <f t="shared" si="16"/>
        <v>Agriculture</v>
      </c>
      <c r="AH219" s="20" t="str">
        <f t="shared" si="16"/>
        <v>Aquaculture
Aquaculture Tech</v>
      </c>
      <c r="AI219" s="20" t="str">
        <f t="shared" si="16"/>
        <v>Feeding</v>
      </c>
      <c r="AJ219" s="20" t="str">
        <f t="shared" si="16"/>
        <v>Automated Feeding Systems</v>
      </c>
      <c r="AK219" s="20" t="str">
        <f t="shared" si="16"/>
        <v/>
      </c>
      <c r="AL219" s="14" t="s">
        <v>8449</v>
      </c>
      <c r="AM219" s="14"/>
      <c r="AO219" s="14"/>
      <c r="AP219" s="14" t="s">
        <v>5277</v>
      </c>
      <c r="AQ219" s="14"/>
      <c r="AR219" s="14"/>
      <c r="AS219" s="14" t="s">
        <v>8451</v>
      </c>
      <c r="AT219" s="14" t="s">
        <v>8452</v>
      </c>
      <c r="AU219" s="14" t="s">
        <v>8453</v>
      </c>
      <c r="AV219" s="18" t="s">
        <v>8454</v>
      </c>
      <c r="AW219" s="16"/>
      <c r="AX219" s="17"/>
      <c r="AY219" s="15" t="s">
        <v>3123</v>
      </c>
      <c r="AZ219" s="17"/>
      <c r="BA219" s="16"/>
      <c r="BB219" s="14"/>
      <c r="BC219" s="14"/>
      <c r="BD219" s="15" t="s">
        <v>3123</v>
      </c>
      <c r="BE219" s="14"/>
      <c r="BF219" s="17"/>
      <c r="BG219" s="16"/>
      <c r="BH219" s="14"/>
      <c r="BI219" s="15" t="s">
        <v>3123</v>
      </c>
      <c r="BJ219" s="14"/>
      <c r="BK219" s="17"/>
      <c r="BL219" s="16"/>
      <c r="BM219" s="16"/>
      <c r="BN219" s="16"/>
      <c r="BO219" s="16"/>
      <c r="BP219" s="15" t="s">
        <v>3123</v>
      </c>
      <c r="BQ219" s="17"/>
      <c r="BR219" s="14" t="s">
        <v>8455</v>
      </c>
      <c r="BS219" s="14"/>
      <c r="BT219" s="16"/>
      <c r="BU219" s="16"/>
      <c r="BV219" s="13"/>
      <c r="BW219" s="18" t="s">
        <v>8456</v>
      </c>
      <c r="BX219" s="13">
        <v>200</v>
      </c>
      <c r="BY219" s="17">
        <v>44120</v>
      </c>
      <c r="BZ219" s="18" t="s">
        <v>8457</v>
      </c>
      <c r="CA219" s="18" t="s">
        <v>8458</v>
      </c>
      <c r="CB219" s="18" t="s">
        <v>8459</v>
      </c>
      <c r="CC219" s="18" t="s">
        <v>8460</v>
      </c>
      <c r="CD219" s="14" t="s">
        <v>8461</v>
      </c>
      <c r="CE219" s="17">
        <v>42934</v>
      </c>
      <c r="CF219" s="16"/>
      <c r="CG219" s="17"/>
      <c r="CH219" s="16"/>
      <c r="CI219" s="17"/>
      <c r="CJ219" s="16"/>
      <c r="CK219" s="17"/>
      <c r="CL219" s="16"/>
      <c r="CM219" s="17"/>
      <c r="CN219" s="19">
        <v>43.53418106271176</v>
      </c>
      <c r="CO219" s="19"/>
      <c r="CP219" s="17"/>
      <c r="CQ219" s="14" t="s">
        <v>5048</v>
      </c>
      <c r="CR219" s="14" t="s">
        <v>8462</v>
      </c>
      <c r="CS219" s="14" t="s">
        <v>5004</v>
      </c>
    </row>
    <row r="220" spans="1:97" ht="26.15" customHeight="1">
      <c r="A220" s="2">
        <v>281</v>
      </c>
      <c r="B220" s="25" t="s">
        <v>777</v>
      </c>
      <c r="C220" s="25" t="e">
        <f>VLOOKUP(B220, Sheet6!$A$1:$B$77, 2, FALSE)</f>
        <v>#N/A</v>
      </c>
      <c r="D220" s="25" t="s">
        <v>778</v>
      </c>
      <c r="E220" s="25" t="s">
        <v>781</v>
      </c>
      <c r="F220" s="25" t="s">
        <v>8570</v>
      </c>
      <c r="G220" s="25" t="s">
        <v>10955</v>
      </c>
      <c r="H220" s="25" t="s">
        <v>10957</v>
      </c>
      <c r="I220" s="25" t="s">
        <v>10558</v>
      </c>
      <c r="J220" s="25" t="s">
        <v>10846</v>
      </c>
      <c r="L220" s="13">
        <v>2012</v>
      </c>
      <c r="M220" s="14" t="s">
        <v>8463</v>
      </c>
      <c r="N220" s="14" t="s">
        <v>5605</v>
      </c>
      <c r="O220" s="14" t="s">
        <v>3994</v>
      </c>
      <c r="P220" s="15" t="s">
        <v>3117</v>
      </c>
      <c r="Q220" s="16">
        <v>16507907</v>
      </c>
      <c r="R220" s="17">
        <v>43927</v>
      </c>
      <c r="S220" s="16" t="s">
        <v>5224</v>
      </c>
      <c r="T220" s="16">
        <v>12000000</v>
      </c>
      <c r="U220" s="14" t="s">
        <v>109</v>
      </c>
      <c r="V220" s="13">
        <v>4</v>
      </c>
      <c r="W220" s="17">
        <v>44074</v>
      </c>
      <c r="X220" s="14" t="s">
        <v>5052</v>
      </c>
      <c r="Y220" s="17">
        <v>44027</v>
      </c>
      <c r="Z220" s="17">
        <v>43542</v>
      </c>
      <c r="AA220" s="14" t="s">
        <v>1</v>
      </c>
      <c r="AB220" s="14" t="s">
        <v>5007</v>
      </c>
      <c r="AC220" s="14" t="s">
        <v>257</v>
      </c>
      <c r="AD220" s="20" t="str">
        <f t="shared" si="15"/>
        <v>Crop Tech &gt; Farming as a Service &gt; Tech Enabled Services</v>
      </c>
      <c r="AE220" s="20" t="str">
        <f t="shared" si="14"/>
        <v>Crop Tech</v>
      </c>
      <c r="AF220" s="20" t="str">
        <f t="shared" si="16"/>
        <v>Farming as a Service</v>
      </c>
      <c r="AG220" s="20" t="str">
        <f t="shared" si="16"/>
        <v>Tech Enabled Services</v>
      </c>
      <c r="AH220" s="20" t="str">
        <f t="shared" si="16"/>
        <v/>
      </c>
      <c r="AI220" s="20" t="str">
        <f t="shared" si="16"/>
        <v/>
      </c>
      <c r="AJ220" s="20" t="str">
        <f t="shared" si="16"/>
        <v/>
      </c>
      <c r="AK220" s="20" t="str">
        <f t="shared" si="16"/>
        <v/>
      </c>
      <c r="AL220" s="14" t="s">
        <v>8464</v>
      </c>
      <c r="AM220" s="14" t="s">
        <v>1169</v>
      </c>
      <c r="AO220" s="14"/>
      <c r="AP220" s="14" t="s">
        <v>3994</v>
      </c>
      <c r="AQ220" s="14"/>
      <c r="AR220" s="14"/>
      <c r="AS220" s="14" t="s">
        <v>8466</v>
      </c>
      <c r="AT220" s="14" t="s">
        <v>8467</v>
      </c>
      <c r="AU220" s="14" t="s">
        <v>8468</v>
      </c>
      <c r="AV220" s="18"/>
      <c r="AW220" s="16">
        <v>5417400</v>
      </c>
      <c r="AX220" s="17">
        <v>43465</v>
      </c>
      <c r="AY220" s="15" t="s">
        <v>3117</v>
      </c>
      <c r="AZ220" s="17">
        <v>40945</v>
      </c>
      <c r="BA220" s="16">
        <v>2022</v>
      </c>
      <c r="BB220" s="14" t="s">
        <v>8469</v>
      </c>
      <c r="BC220" s="14" t="s">
        <v>8470</v>
      </c>
      <c r="BD220" s="15" t="s">
        <v>3123</v>
      </c>
      <c r="BE220" s="14"/>
      <c r="BF220" s="17"/>
      <c r="BG220" s="16"/>
      <c r="BH220" s="14"/>
      <c r="BI220" s="15" t="s">
        <v>3123</v>
      </c>
      <c r="BJ220" s="14"/>
      <c r="BK220" s="17"/>
      <c r="BL220" s="16"/>
      <c r="BM220" s="16"/>
      <c r="BN220" s="16"/>
      <c r="BO220" s="16"/>
      <c r="BP220" s="15" t="s">
        <v>3123</v>
      </c>
      <c r="BQ220" s="17"/>
      <c r="BR220" s="14"/>
      <c r="BS220" s="14"/>
      <c r="BT220" s="16"/>
      <c r="BU220" s="16"/>
      <c r="BV220" s="13"/>
      <c r="BW220" s="18" t="s">
        <v>8471</v>
      </c>
      <c r="BX220" s="13">
        <v>200</v>
      </c>
      <c r="BY220" s="17">
        <v>44120</v>
      </c>
      <c r="BZ220" s="18" t="s">
        <v>8472</v>
      </c>
      <c r="CA220" s="18" t="s">
        <v>8473</v>
      </c>
      <c r="CB220" s="18"/>
      <c r="CC220" s="18"/>
      <c r="CD220" s="14" t="s">
        <v>8474</v>
      </c>
      <c r="CE220" s="17">
        <v>43063</v>
      </c>
      <c r="CF220" s="16">
        <v>-273200</v>
      </c>
      <c r="CG220" s="17">
        <v>43465</v>
      </c>
      <c r="CH220" s="16">
        <v>-279200</v>
      </c>
      <c r="CI220" s="17">
        <v>43465</v>
      </c>
      <c r="CJ220" s="16">
        <v>35000000</v>
      </c>
      <c r="CK220" s="17">
        <v>43921</v>
      </c>
      <c r="CL220" s="16">
        <v>243</v>
      </c>
      <c r="CM220" s="17">
        <v>44012</v>
      </c>
      <c r="CN220" s="19">
        <v>64.821383044680346</v>
      </c>
      <c r="CO220" s="19"/>
      <c r="CP220" s="17"/>
      <c r="CQ220" s="14" t="s">
        <v>8475</v>
      </c>
      <c r="CR220" s="14" t="s">
        <v>8476</v>
      </c>
      <c r="CS220" s="14" t="s">
        <v>5004</v>
      </c>
    </row>
    <row r="221" spans="1:97" ht="26.15" customHeight="1">
      <c r="A221" s="2">
        <v>186</v>
      </c>
      <c r="B221" s="25" t="s">
        <v>35</v>
      </c>
      <c r="C221" s="25" t="e">
        <f>VLOOKUP(B221, Sheet6!$A$1:$B$77, 2, FALSE)</f>
        <v>#N/A</v>
      </c>
      <c r="D221" s="25" t="s">
        <v>36</v>
      </c>
      <c r="E221" s="25" t="s">
        <v>40</v>
      </c>
      <c r="F221" s="25" t="s">
        <v>7356</v>
      </c>
      <c r="G221" s="25" t="s">
        <v>10955</v>
      </c>
      <c r="H221" s="25" t="s">
        <v>10959</v>
      </c>
      <c r="I221" s="25" t="s">
        <v>10958</v>
      </c>
      <c r="J221" s="26" t="s">
        <v>10842</v>
      </c>
      <c r="L221" s="13">
        <v>2012</v>
      </c>
      <c r="M221" s="14" t="s">
        <v>6978</v>
      </c>
      <c r="N221" s="14" t="s">
        <v>6979</v>
      </c>
      <c r="O221" s="14" t="s">
        <v>4343</v>
      </c>
      <c r="P221" s="15" t="s">
        <v>3117</v>
      </c>
      <c r="Q221" s="16">
        <v>3000000</v>
      </c>
      <c r="R221" s="17">
        <v>42992</v>
      </c>
      <c r="S221" s="16" t="s">
        <v>5022</v>
      </c>
      <c r="T221" s="16">
        <v>2000000</v>
      </c>
      <c r="U221" s="14" t="s">
        <v>34</v>
      </c>
      <c r="V221" s="13">
        <v>5</v>
      </c>
      <c r="W221" s="17">
        <v>43970</v>
      </c>
      <c r="X221" s="14"/>
      <c r="Y221" s="17"/>
      <c r="Z221" s="17"/>
      <c r="AA221" s="14" t="s">
        <v>5315</v>
      </c>
      <c r="AB221" s="14" t="s">
        <v>5316</v>
      </c>
      <c r="AC221" s="14" t="s">
        <v>5317</v>
      </c>
      <c r="AD221" s="20" t="str">
        <f t="shared" si="15"/>
        <v>Crop Tech &gt; Farm Inputs &gt; Biologicals &gt; Crop Protection &gt; Plant Based
Chemicals Tech &gt; Green Chemicals &gt; Crop Protection &gt; Plant Based</v>
      </c>
      <c r="AE221" s="20" t="str">
        <f t="shared" si="14"/>
        <v>Crop Tech</v>
      </c>
      <c r="AF221" s="20" t="str">
        <f t="shared" si="16"/>
        <v>Farm Inputs</v>
      </c>
      <c r="AG221" s="20" t="str">
        <f t="shared" si="16"/>
        <v>Biologicals</v>
      </c>
      <c r="AH221" s="20" t="str">
        <f t="shared" si="16"/>
        <v>Crop Protection</v>
      </c>
      <c r="AI221" s="20" t="str">
        <f t="shared" si="16"/>
        <v>Plant Based
Chemicals Tech</v>
      </c>
      <c r="AJ221" s="20" t="str">
        <f t="shared" si="16"/>
        <v>Green Chemicals</v>
      </c>
      <c r="AK221" s="20" t="str">
        <f t="shared" si="16"/>
        <v>Crop Protection</v>
      </c>
      <c r="AL221" s="14" t="s">
        <v>8477</v>
      </c>
      <c r="AM221" s="14"/>
      <c r="AO221" s="14"/>
      <c r="AP221" s="14" t="s">
        <v>4343</v>
      </c>
      <c r="AQ221" s="14"/>
      <c r="AR221" s="14"/>
      <c r="AS221" s="14" t="s">
        <v>8479</v>
      </c>
      <c r="AT221" s="14" t="s">
        <v>8480</v>
      </c>
      <c r="AU221" s="14" t="s">
        <v>8481</v>
      </c>
      <c r="AV221" s="18"/>
      <c r="AW221" s="16"/>
      <c r="AX221" s="17"/>
      <c r="AY221" s="15" t="s">
        <v>3123</v>
      </c>
      <c r="AZ221" s="17"/>
      <c r="BA221" s="16"/>
      <c r="BB221" s="14"/>
      <c r="BC221" s="14"/>
      <c r="BD221" s="15" t="s">
        <v>3123</v>
      </c>
      <c r="BE221" s="14"/>
      <c r="BF221" s="17"/>
      <c r="BG221" s="16"/>
      <c r="BH221" s="14"/>
      <c r="BI221" s="15" t="s">
        <v>3123</v>
      </c>
      <c r="BJ221" s="14"/>
      <c r="BK221" s="17"/>
      <c r="BL221" s="16"/>
      <c r="BM221" s="16"/>
      <c r="BN221" s="16"/>
      <c r="BO221" s="16"/>
      <c r="BP221" s="15" t="s">
        <v>3123</v>
      </c>
      <c r="BQ221" s="17"/>
      <c r="BR221" s="14"/>
      <c r="BS221" s="14"/>
      <c r="BT221" s="16"/>
      <c r="BU221" s="16"/>
      <c r="BV221" s="13"/>
      <c r="BW221" s="18" t="s">
        <v>8482</v>
      </c>
      <c r="BX221" s="13">
        <v>200</v>
      </c>
      <c r="BY221" s="17">
        <v>44120</v>
      </c>
      <c r="BZ221" s="18" t="s">
        <v>8483</v>
      </c>
      <c r="CA221" s="18"/>
      <c r="CB221" s="18"/>
      <c r="CC221" s="18"/>
      <c r="CD221" s="14" t="s">
        <v>8484</v>
      </c>
      <c r="CE221" s="17">
        <v>43032</v>
      </c>
      <c r="CF221" s="16"/>
      <c r="CG221" s="17"/>
      <c r="CH221" s="16"/>
      <c r="CI221" s="17"/>
      <c r="CJ221" s="16"/>
      <c r="CK221" s="17"/>
      <c r="CL221" s="16"/>
      <c r="CM221" s="17"/>
      <c r="CN221" s="19">
        <v>35.047822688902471</v>
      </c>
      <c r="CO221" s="19"/>
      <c r="CP221" s="17"/>
      <c r="CQ221" s="14" t="s">
        <v>5345</v>
      </c>
      <c r="CR221" s="14" t="s">
        <v>7272</v>
      </c>
      <c r="CS221" s="14" t="s">
        <v>5945</v>
      </c>
    </row>
    <row r="222" spans="1:97" ht="26.15" customHeight="1">
      <c r="A222" s="2">
        <v>160</v>
      </c>
      <c r="B222" s="25" t="s">
        <v>146</v>
      </c>
      <c r="C222" s="25" t="e">
        <f>VLOOKUP(B222, Sheet6!$A$1:$B$77, 2, FALSE)</f>
        <v>#N/A</v>
      </c>
      <c r="D222" s="25" t="s">
        <v>147</v>
      </c>
      <c r="E222" s="25" t="s">
        <v>151</v>
      </c>
      <c r="F222" s="25" t="s">
        <v>7065</v>
      </c>
      <c r="G222" s="25" t="s">
        <v>10955</v>
      </c>
      <c r="H222" s="25" t="s">
        <v>10957</v>
      </c>
      <c r="I222" s="25" t="s">
        <v>10958</v>
      </c>
      <c r="J222" s="26" t="s">
        <v>10821</v>
      </c>
      <c r="L222" s="13">
        <v>2012</v>
      </c>
      <c r="M222" s="14" t="s">
        <v>5038</v>
      </c>
      <c r="N222" s="14" t="s">
        <v>5039</v>
      </c>
      <c r="O222" s="14" t="s">
        <v>3994</v>
      </c>
      <c r="P222" s="15" t="s">
        <v>3117</v>
      </c>
      <c r="Q222" s="16">
        <v>2740519</v>
      </c>
      <c r="R222" s="17">
        <v>43747</v>
      </c>
      <c r="S222" s="16" t="s">
        <v>8485</v>
      </c>
      <c r="T222" s="16">
        <v>394129</v>
      </c>
      <c r="U222" s="14" t="s">
        <v>34</v>
      </c>
      <c r="V222" s="13">
        <v>3</v>
      </c>
      <c r="W222" s="17">
        <v>44104</v>
      </c>
      <c r="X222" s="14"/>
      <c r="Y222" s="17"/>
      <c r="Z222" s="17"/>
      <c r="AA222" s="14" t="s">
        <v>8486</v>
      </c>
      <c r="AB222" s="14" t="s">
        <v>8487</v>
      </c>
      <c r="AC222" s="14" t="s">
        <v>8488</v>
      </c>
      <c r="AD222" s="20" t="str">
        <f t="shared" si="15"/>
        <v>Manufacturing Tech &gt; Process Control &gt; Analytics &gt; Equipment Monitoring &amp; Analysis &gt; IoT-Based
Crop Tech &gt; Post Harvest Management &gt; Quality Testing &gt; Fruits and Vegetables &gt; Sensors</v>
      </c>
      <c r="AE222" s="20" t="str">
        <f t="shared" si="14"/>
        <v>Manufacturing Tech</v>
      </c>
      <c r="AF222" s="20" t="str">
        <f t="shared" si="16"/>
        <v>Process Control</v>
      </c>
      <c r="AG222" s="20" t="str">
        <f t="shared" si="16"/>
        <v>Analytics</v>
      </c>
      <c r="AH222" s="20" t="str">
        <f t="shared" si="16"/>
        <v>Equipment Monitoring &amp; Analysis</v>
      </c>
      <c r="AI222" s="20" t="str">
        <f t="shared" si="16"/>
        <v>IoT-Based
Crop Tech</v>
      </c>
      <c r="AJ222" s="20" t="str">
        <f t="shared" si="16"/>
        <v>Post Harvest Management</v>
      </c>
      <c r="AK222" s="20" t="str">
        <f t="shared" si="16"/>
        <v>Quality Testing</v>
      </c>
      <c r="AL222" s="14" t="s">
        <v>8489</v>
      </c>
      <c r="AM222" s="14"/>
      <c r="AO222" s="14"/>
      <c r="AP222" s="14" t="s">
        <v>3994</v>
      </c>
      <c r="AQ222" s="14" t="s">
        <v>8491</v>
      </c>
      <c r="AR222" s="14" t="s">
        <v>8492</v>
      </c>
      <c r="AS222" s="14" t="s">
        <v>8493</v>
      </c>
      <c r="AT222" s="14" t="s">
        <v>8494</v>
      </c>
      <c r="AU222" s="14" t="s">
        <v>8495</v>
      </c>
      <c r="AV222" s="18" t="s">
        <v>8496</v>
      </c>
      <c r="AW222" s="16">
        <v>149100</v>
      </c>
      <c r="AX222" s="17">
        <v>43465</v>
      </c>
      <c r="AY222" s="15" t="s">
        <v>3117</v>
      </c>
      <c r="AZ222" s="17">
        <v>41081</v>
      </c>
      <c r="BA222" s="16">
        <v>89006</v>
      </c>
      <c r="BB222" s="14" t="s">
        <v>8497</v>
      </c>
      <c r="BC222" s="14"/>
      <c r="BD222" s="15" t="s">
        <v>3123</v>
      </c>
      <c r="BE222" s="14"/>
      <c r="BF222" s="17"/>
      <c r="BG222" s="16"/>
      <c r="BH222" s="14"/>
      <c r="BI222" s="15" t="s">
        <v>3123</v>
      </c>
      <c r="BJ222" s="14"/>
      <c r="BK222" s="17"/>
      <c r="BL222" s="16"/>
      <c r="BM222" s="16"/>
      <c r="BN222" s="16"/>
      <c r="BO222" s="16"/>
      <c r="BP222" s="15" t="s">
        <v>3123</v>
      </c>
      <c r="BQ222" s="17"/>
      <c r="BR222" s="14"/>
      <c r="BS222" s="14"/>
      <c r="BT222" s="16"/>
      <c r="BU222" s="16"/>
      <c r="BV222" s="13"/>
      <c r="BW222" s="18" t="s">
        <v>8498</v>
      </c>
      <c r="BX222" s="13">
        <v>200</v>
      </c>
      <c r="BY222" s="17">
        <v>44120</v>
      </c>
      <c r="BZ222" s="18" t="s">
        <v>8499</v>
      </c>
      <c r="CA222" s="18"/>
      <c r="CB222" s="18"/>
      <c r="CC222" s="18"/>
      <c r="CD222" s="14" t="s">
        <v>8500</v>
      </c>
      <c r="CE222" s="17">
        <v>43144</v>
      </c>
      <c r="CF222" s="16">
        <v>-281100</v>
      </c>
      <c r="CG222" s="17">
        <v>43465</v>
      </c>
      <c r="CH222" s="16">
        <v>-257900</v>
      </c>
      <c r="CI222" s="17">
        <v>43465</v>
      </c>
      <c r="CJ222" s="16">
        <v>10000000</v>
      </c>
      <c r="CK222" s="17">
        <v>43747</v>
      </c>
      <c r="CL222" s="16">
        <v>53</v>
      </c>
      <c r="CM222" s="17">
        <v>43921</v>
      </c>
      <c r="CN222" s="19">
        <v>35.825025289298893</v>
      </c>
      <c r="CO222" s="19"/>
      <c r="CP222" s="17"/>
      <c r="CQ222" s="14" t="s">
        <v>6119</v>
      </c>
      <c r="CR222" s="14" t="s">
        <v>6557</v>
      </c>
      <c r="CS222" s="14" t="s">
        <v>7714</v>
      </c>
    </row>
    <row r="223" spans="1:97" ht="26.15" customHeight="1">
      <c r="A223" s="2">
        <v>202</v>
      </c>
      <c r="B223" s="25" t="s">
        <v>2025</v>
      </c>
      <c r="C223" s="25" t="e">
        <f>VLOOKUP(B223, Sheet6!$A$1:$B$77, 2, FALSE)</f>
        <v>#N/A</v>
      </c>
      <c r="D223" s="25" t="s">
        <v>2026</v>
      </c>
      <c r="E223" s="25" t="s">
        <v>2028</v>
      </c>
      <c r="F223" s="25" t="s">
        <v>7572</v>
      </c>
      <c r="G223" s="25" t="s">
        <v>10953</v>
      </c>
      <c r="H223" s="25" t="s">
        <v>10967</v>
      </c>
      <c r="I223" s="25" t="s">
        <v>10958</v>
      </c>
      <c r="J223" s="26" t="s">
        <v>10517</v>
      </c>
      <c r="L223" s="13">
        <v>2016</v>
      </c>
      <c r="M223" s="14" t="s">
        <v>8501</v>
      </c>
      <c r="N223" s="14" t="s">
        <v>8502</v>
      </c>
      <c r="O223" s="14" t="s">
        <v>3994</v>
      </c>
      <c r="P223" s="15" t="s">
        <v>3117</v>
      </c>
      <c r="Q223" s="16">
        <v>8062080</v>
      </c>
      <c r="R223" s="17">
        <v>43683</v>
      </c>
      <c r="S223" s="16" t="s">
        <v>5456</v>
      </c>
      <c r="T223" s="16">
        <v>3500000</v>
      </c>
      <c r="U223" s="14" t="s">
        <v>109</v>
      </c>
      <c r="V223" s="13">
        <v>4</v>
      </c>
      <c r="W223" s="17">
        <v>44022</v>
      </c>
      <c r="X223" s="14" t="s">
        <v>5052</v>
      </c>
      <c r="Y223" s="17">
        <v>43738</v>
      </c>
      <c r="Z223" s="17">
        <v>43565</v>
      </c>
      <c r="AA223" s="14" t="s">
        <v>1</v>
      </c>
      <c r="AB223" s="14" t="s">
        <v>5007</v>
      </c>
      <c r="AC223" s="14" t="s">
        <v>8503</v>
      </c>
      <c r="AD223" s="20" t="str">
        <f t="shared" si="15"/>
        <v>Crop Tech &gt; ECommerce &gt; Farm Inputs &gt; Multi Category &gt; Retailer &gt; Content Driven</v>
      </c>
      <c r="AE223" s="20" t="str">
        <f t="shared" si="14"/>
        <v>Crop Tech</v>
      </c>
      <c r="AF223" s="20" t="str">
        <f t="shared" si="16"/>
        <v>ECommerce</v>
      </c>
      <c r="AG223" s="20" t="str">
        <f t="shared" si="16"/>
        <v>Farm Inputs</v>
      </c>
      <c r="AH223" s="20" t="str">
        <f t="shared" si="16"/>
        <v>Multi Category</v>
      </c>
      <c r="AI223" s="20" t="str">
        <f t="shared" si="16"/>
        <v>Retailer</v>
      </c>
      <c r="AJ223" s="20" t="str">
        <f t="shared" si="16"/>
        <v>Content Driven</v>
      </c>
      <c r="AK223" s="20" t="str">
        <f t="shared" si="16"/>
        <v/>
      </c>
      <c r="AL223" s="14" t="s">
        <v>8504</v>
      </c>
      <c r="AM223" s="14" t="s">
        <v>8505</v>
      </c>
      <c r="AO223" s="14"/>
      <c r="AP223" s="14" t="s">
        <v>3994</v>
      </c>
      <c r="AQ223" s="14" t="s">
        <v>8507</v>
      </c>
      <c r="AR223" s="14" t="s">
        <v>8508</v>
      </c>
      <c r="AS223" s="14" t="s">
        <v>8509</v>
      </c>
      <c r="AT223" s="14" t="s">
        <v>8510</v>
      </c>
      <c r="AU223" s="14" t="s">
        <v>8511</v>
      </c>
      <c r="AV223" s="18"/>
      <c r="AW223" s="16">
        <v>578400</v>
      </c>
      <c r="AX223" s="17">
        <v>43465</v>
      </c>
      <c r="AY223" s="15" t="s">
        <v>3117</v>
      </c>
      <c r="AZ223" s="17">
        <v>42513</v>
      </c>
      <c r="BA223" s="16">
        <v>1480</v>
      </c>
      <c r="BB223" s="14" t="s">
        <v>8512</v>
      </c>
      <c r="BC223" s="14"/>
      <c r="BD223" s="15" t="s">
        <v>3123</v>
      </c>
      <c r="BE223" s="14"/>
      <c r="BF223" s="17"/>
      <c r="BG223" s="16"/>
      <c r="BH223" s="14"/>
      <c r="BI223" s="15" t="s">
        <v>3123</v>
      </c>
      <c r="BJ223" s="14"/>
      <c r="BK223" s="17"/>
      <c r="BL223" s="16"/>
      <c r="BM223" s="16"/>
      <c r="BN223" s="16"/>
      <c r="BO223" s="16"/>
      <c r="BP223" s="15" t="s">
        <v>3123</v>
      </c>
      <c r="BQ223" s="17"/>
      <c r="BR223" s="14"/>
      <c r="BS223" s="14"/>
      <c r="BT223" s="16"/>
      <c r="BU223" s="16"/>
      <c r="BV223" s="13"/>
      <c r="BW223" s="18" t="s">
        <v>8513</v>
      </c>
      <c r="BX223" s="13">
        <v>200</v>
      </c>
      <c r="BY223" s="17">
        <v>44121</v>
      </c>
      <c r="BZ223" s="18" t="s">
        <v>8514</v>
      </c>
      <c r="CA223" s="18" t="s">
        <v>8515</v>
      </c>
      <c r="CB223" s="18" t="s">
        <v>8516</v>
      </c>
      <c r="CC223" s="18"/>
      <c r="CD223" s="14" t="s">
        <v>8517</v>
      </c>
      <c r="CE223" s="17">
        <v>43145</v>
      </c>
      <c r="CF223" s="16">
        <v>-386400</v>
      </c>
      <c r="CG223" s="17">
        <v>43465</v>
      </c>
      <c r="CH223" s="16">
        <v>-456900</v>
      </c>
      <c r="CI223" s="17">
        <v>43465</v>
      </c>
      <c r="CJ223" s="16">
        <v>10000000</v>
      </c>
      <c r="CK223" s="17">
        <v>43565</v>
      </c>
      <c r="CL223" s="16">
        <v>295</v>
      </c>
      <c r="CM223" s="17">
        <v>44012</v>
      </c>
      <c r="CN223" s="19">
        <v>61.577732158381693</v>
      </c>
      <c r="CO223" s="19"/>
      <c r="CP223" s="17"/>
      <c r="CQ223" s="14" t="s">
        <v>5082</v>
      </c>
      <c r="CR223" s="14" t="s">
        <v>5083</v>
      </c>
      <c r="CS223" s="14" t="s">
        <v>5004</v>
      </c>
    </row>
    <row r="224" spans="1:97" ht="26.15" customHeight="1">
      <c r="A224" s="2">
        <v>214</v>
      </c>
      <c r="B224" s="25" t="s">
        <v>991</v>
      </c>
      <c r="C224" s="25" t="e">
        <f>VLOOKUP(B224, Sheet6!$A$1:$B$77, 2, FALSE)</f>
        <v>#N/A</v>
      </c>
      <c r="D224" s="25" t="s">
        <v>992</v>
      </c>
      <c r="E224" s="25" t="s">
        <v>994</v>
      </c>
      <c r="F224" s="25" t="s">
        <v>7704</v>
      </c>
      <c r="G224" s="25" t="s">
        <v>10955</v>
      </c>
      <c r="H224" s="25" t="s">
        <v>10959</v>
      </c>
      <c r="I224" s="25" t="s">
        <v>10958</v>
      </c>
      <c r="J224" s="26" t="s">
        <v>10819</v>
      </c>
      <c r="L224" s="13">
        <v>2009</v>
      </c>
      <c r="M224" s="14" t="s">
        <v>8518</v>
      </c>
      <c r="N224" s="14" t="s">
        <v>8518</v>
      </c>
      <c r="O224" s="14" t="s">
        <v>3570</v>
      </c>
      <c r="P224" s="15" t="s">
        <v>3117</v>
      </c>
      <c r="Q224" s="16"/>
      <c r="R224" s="17">
        <v>43448</v>
      </c>
      <c r="S224" s="16"/>
      <c r="T224" s="16" t="s">
        <v>50</v>
      </c>
      <c r="U224" s="14" t="s">
        <v>34</v>
      </c>
      <c r="V224" s="13">
        <v>4</v>
      </c>
      <c r="W224" s="17">
        <v>44081</v>
      </c>
      <c r="X224" s="14"/>
      <c r="Y224" s="17"/>
      <c r="Z224" s="17"/>
      <c r="AA224" s="14" t="s">
        <v>1</v>
      </c>
      <c r="AB224" s="14" t="s">
        <v>5135</v>
      </c>
      <c r="AC224" s="14" t="s">
        <v>8519</v>
      </c>
      <c r="AD224" s="20" t="str">
        <f t="shared" si="15"/>
        <v>Aquaculture Tech &gt; Aquatic Plants &gt; Algae &gt; Bioreactors &gt; Business Focused</v>
      </c>
      <c r="AE224" s="20" t="str">
        <f t="shared" si="14"/>
        <v>Aquaculture Tech</v>
      </c>
      <c r="AF224" s="20" t="str">
        <f t="shared" si="16"/>
        <v>Aquatic Plants</v>
      </c>
      <c r="AG224" s="20" t="str">
        <f t="shared" si="16"/>
        <v>Algae</v>
      </c>
      <c r="AH224" s="20" t="str">
        <f t="shared" si="16"/>
        <v>Bioreactors</v>
      </c>
      <c r="AI224" s="20" t="str">
        <f t="shared" si="16"/>
        <v>Business Focused</v>
      </c>
      <c r="AJ224" s="20" t="str">
        <f t="shared" si="16"/>
        <v/>
      </c>
      <c r="AK224" s="20" t="str">
        <f t="shared" si="16"/>
        <v/>
      </c>
      <c r="AL224" s="14" t="s">
        <v>8520</v>
      </c>
      <c r="AM224" s="14"/>
      <c r="AO224" s="14"/>
      <c r="AP224" s="14" t="s">
        <v>3570</v>
      </c>
      <c r="AQ224" s="14"/>
      <c r="AR224" s="14"/>
      <c r="AS224" s="14" t="s">
        <v>8522</v>
      </c>
      <c r="AT224" s="14" t="s">
        <v>8523</v>
      </c>
      <c r="AU224" s="14" t="s">
        <v>8524</v>
      </c>
      <c r="AV224" s="18"/>
      <c r="AW224" s="16"/>
      <c r="AX224" s="17"/>
      <c r="AY224" s="15" t="s">
        <v>3123</v>
      </c>
      <c r="AZ224" s="17"/>
      <c r="BA224" s="16"/>
      <c r="BB224" s="14"/>
      <c r="BC224" s="14"/>
      <c r="BD224" s="15" t="s">
        <v>3123</v>
      </c>
      <c r="BE224" s="14"/>
      <c r="BF224" s="17"/>
      <c r="BG224" s="16"/>
      <c r="BH224" s="14"/>
      <c r="BI224" s="15" t="s">
        <v>3123</v>
      </c>
      <c r="BJ224" s="14"/>
      <c r="BK224" s="17"/>
      <c r="BL224" s="16"/>
      <c r="BM224" s="16"/>
      <c r="BN224" s="16"/>
      <c r="BO224" s="16"/>
      <c r="BP224" s="15" t="s">
        <v>3123</v>
      </c>
      <c r="BQ224" s="17"/>
      <c r="BR224" s="14"/>
      <c r="BS224" s="14"/>
      <c r="BT224" s="16"/>
      <c r="BU224" s="16"/>
      <c r="BV224" s="13"/>
      <c r="BW224" s="18" t="s">
        <v>8525</v>
      </c>
      <c r="BX224" s="13">
        <v>200</v>
      </c>
      <c r="BY224" s="17">
        <v>44120</v>
      </c>
      <c r="BZ224" s="18" t="s">
        <v>8526</v>
      </c>
      <c r="CA224" s="18"/>
      <c r="CB224" s="18"/>
      <c r="CC224" s="18"/>
      <c r="CD224" s="14" t="s">
        <v>8527</v>
      </c>
      <c r="CE224" s="17">
        <v>43033</v>
      </c>
      <c r="CF224" s="16"/>
      <c r="CG224" s="17"/>
      <c r="CH224" s="16"/>
      <c r="CI224" s="17"/>
      <c r="CJ224" s="16"/>
      <c r="CK224" s="17"/>
      <c r="CL224" s="16"/>
      <c r="CM224" s="17"/>
      <c r="CN224" s="19">
        <v>23.498708948126474</v>
      </c>
      <c r="CO224" s="19"/>
      <c r="CP224" s="17"/>
      <c r="CQ224" s="14" t="s">
        <v>5541</v>
      </c>
      <c r="CR224" s="14" t="s">
        <v>6523</v>
      </c>
      <c r="CS224" s="14" t="s">
        <v>5945</v>
      </c>
    </row>
    <row r="225" spans="1:97" ht="26.15" customHeight="1">
      <c r="A225" s="2">
        <v>527</v>
      </c>
      <c r="B225" s="25" t="s">
        <v>2630</v>
      </c>
      <c r="C225" s="25" t="e">
        <f>VLOOKUP(B225, Sheet6!$A$1:$B$77, 2, FALSE)</f>
        <v>#N/A</v>
      </c>
      <c r="D225" s="25" t="s">
        <v>2631</v>
      </c>
      <c r="E225" s="25" t="s">
        <v>2634</v>
      </c>
      <c r="F225" s="25" t="s">
        <v>10218</v>
      </c>
      <c r="G225" s="25" t="s">
        <v>10955</v>
      </c>
      <c r="H225" s="25" t="s">
        <v>10957</v>
      </c>
      <c r="I225" s="25" t="s">
        <v>10558</v>
      </c>
      <c r="J225" s="25" t="s">
        <v>10846</v>
      </c>
      <c r="L225" s="13">
        <v>2013</v>
      </c>
      <c r="M225" s="14" t="s">
        <v>5038</v>
      </c>
      <c r="N225" s="14" t="s">
        <v>5039</v>
      </c>
      <c r="O225" s="14" t="s">
        <v>3994</v>
      </c>
      <c r="P225" s="15" t="s">
        <v>3117</v>
      </c>
      <c r="Q225" s="16">
        <v>2257449</v>
      </c>
      <c r="R225" s="17">
        <v>43225</v>
      </c>
      <c r="S225" s="16" t="s">
        <v>8545</v>
      </c>
      <c r="T225" s="16">
        <v>716422</v>
      </c>
      <c r="U225" s="14" t="s">
        <v>34</v>
      </c>
      <c r="V225" s="13">
        <v>4</v>
      </c>
      <c r="W225" s="17">
        <v>44062</v>
      </c>
      <c r="X225" s="14"/>
      <c r="Y225" s="17"/>
      <c r="Z225" s="17"/>
      <c r="AA225" s="14" t="s">
        <v>4995</v>
      </c>
      <c r="AB225" s="14" t="s">
        <v>5578</v>
      </c>
      <c r="AC225" s="14" t="s">
        <v>8546</v>
      </c>
      <c r="AD225" s="20" t="str">
        <f t="shared" si="15"/>
        <v>Online Grocery &gt; B2C Ecommerce &gt; Fruits and Vegetables
Crop Tech &gt; ECommerce &gt; Farm Produce &gt; B2C &gt; Fruits and Vegetables &gt; Retailer</v>
      </c>
      <c r="AE225" s="20" t="str">
        <f t="shared" si="14"/>
        <v>Online Grocery</v>
      </c>
      <c r="AF225" s="20" t="str">
        <f t="shared" si="16"/>
        <v>B2C Ecommerce</v>
      </c>
      <c r="AG225" s="20" t="str">
        <f t="shared" si="16"/>
        <v>Fruits and Vegetables
Crop Tech</v>
      </c>
      <c r="AH225" s="20" t="str">
        <f t="shared" si="16"/>
        <v>ECommerce</v>
      </c>
      <c r="AI225" s="20" t="str">
        <f t="shared" si="16"/>
        <v>Farm Produce</v>
      </c>
      <c r="AJ225" s="20" t="str">
        <f t="shared" si="16"/>
        <v>B2C</v>
      </c>
      <c r="AK225" s="20" t="str">
        <f t="shared" si="16"/>
        <v>Fruits and Vegetables</v>
      </c>
      <c r="AL225" s="14" t="s">
        <v>8547</v>
      </c>
      <c r="AM225" s="14" t="s">
        <v>8548</v>
      </c>
      <c r="AO225" s="14"/>
      <c r="AP225" s="14" t="s">
        <v>3994</v>
      </c>
      <c r="AQ225" s="14"/>
      <c r="AR225" s="14"/>
      <c r="AS225" s="14" t="s">
        <v>8550</v>
      </c>
      <c r="AT225" s="14" t="s">
        <v>8551</v>
      </c>
      <c r="AU225" s="14" t="s">
        <v>8552</v>
      </c>
      <c r="AV225" s="18" t="s">
        <v>8553</v>
      </c>
      <c r="AW225" s="16">
        <v>865274</v>
      </c>
      <c r="AX225" s="17">
        <v>43465</v>
      </c>
      <c r="AY225" s="15" t="s">
        <v>3123</v>
      </c>
      <c r="AZ225" s="17"/>
      <c r="BA225" s="16"/>
      <c r="BB225" s="14"/>
      <c r="BC225" s="14"/>
      <c r="BD225" s="15" t="s">
        <v>3123</v>
      </c>
      <c r="BE225" s="14"/>
      <c r="BF225" s="17"/>
      <c r="BG225" s="16"/>
      <c r="BH225" s="14"/>
      <c r="BI225" s="15" t="s">
        <v>3123</v>
      </c>
      <c r="BJ225" s="14"/>
      <c r="BK225" s="17"/>
      <c r="BL225" s="16"/>
      <c r="BM225" s="16"/>
      <c r="BN225" s="16"/>
      <c r="BO225" s="16"/>
      <c r="BP225" s="15" t="s">
        <v>3123</v>
      </c>
      <c r="BQ225" s="17"/>
      <c r="BR225" s="14"/>
      <c r="BS225" s="14"/>
      <c r="BT225" s="16"/>
      <c r="BU225" s="16"/>
      <c r="BV225" s="13"/>
      <c r="BW225" s="18" t="s">
        <v>8554</v>
      </c>
      <c r="BX225" s="13">
        <v>200</v>
      </c>
      <c r="BY225" s="17">
        <v>44120</v>
      </c>
      <c r="BZ225" s="18" t="s">
        <v>8555</v>
      </c>
      <c r="CA225" s="18"/>
      <c r="CB225" s="18" t="s">
        <v>8556</v>
      </c>
      <c r="CC225" s="18" t="s">
        <v>8557</v>
      </c>
      <c r="CD225" s="14" t="s">
        <v>8558</v>
      </c>
      <c r="CE225" s="17">
        <v>42681</v>
      </c>
      <c r="CF225" s="16">
        <v>-691053</v>
      </c>
      <c r="CG225" s="17">
        <v>43465</v>
      </c>
      <c r="CH225" s="16">
        <v>-446635</v>
      </c>
      <c r="CI225" s="17">
        <v>43465</v>
      </c>
      <c r="CJ225" s="16">
        <v>5000000</v>
      </c>
      <c r="CK225" s="17">
        <v>43644</v>
      </c>
      <c r="CL225" s="16">
        <v>50</v>
      </c>
      <c r="CM225" s="17">
        <v>43465</v>
      </c>
      <c r="CN225" s="19">
        <v>41.828166028872509</v>
      </c>
      <c r="CO225" s="19"/>
      <c r="CP225" s="17"/>
      <c r="CQ225" s="14" t="s">
        <v>6487</v>
      </c>
      <c r="CR225" s="14" t="s">
        <v>5944</v>
      </c>
      <c r="CS225" s="14" t="s">
        <v>5945</v>
      </c>
    </row>
    <row r="226" spans="1:97" ht="26.15" customHeight="1">
      <c r="A226" s="2">
        <v>120</v>
      </c>
      <c r="B226" s="25" t="s">
        <v>1976</v>
      </c>
      <c r="C226" s="25" t="e">
        <f>VLOOKUP(B226, Sheet6!$A$1:$B$77, 2, FALSE)</f>
        <v>#N/A</v>
      </c>
      <c r="D226" s="25" t="s">
        <v>1977</v>
      </c>
      <c r="E226" s="25" t="s">
        <v>1981</v>
      </c>
      <c r="F226" s="25" t="s">
        <v>6572</v>
      </c>
      <c r="G226" s="25" t="s">
        <v>10955</v>
      </c>
      <c r="H226" s="25" t="s">
        <v>10957</v>
      </c>
      <c r="I226" s="25" t="s">
        <v>10958</v>
      </c>
      <c r="J226" s="128" t="s">
        <v>10821</v>
      </c>
      <c r="L226" s="13">
        <v>1997</v>
      </c>
      <c r="M226" s="14" t="s">
        <v>4993</v>
      </c>
      <c r="N226" s="14" t="s">
        <v>4994</v>
      </c>
      <c r="O226" s="14" t="s">
        <v>2057</v>
      </c>
      <c r="P226" s="15" t="s">
        <v>3117</v>
      </c>
      <c r="Q226" s="16"/>
      <c r="R226" s="17">
        <v>43936</v>
      </c>
      <c r="S226" s="16" t="s">
        <v>6740</v>
      </c>
      <c r="T226" s="16">
        <v>19520500</v>
      </c>
      <c r="U226" s="14" t="s">
        <v>5314</v>
      </c>
      <c r="V226" s="13">
        <v>3</v>
      </c>
      <c r="W226" s="17">
        <v>43973</v>
      </c>
      <c r="X226" s="14"/>
      <c r="Y226" s="17"/>
      <c r="Z226" s="17"/>
      <c r="AA226" s="14" t="s">
        <v>1</v>
      </c>
      <c r="AB226" s="14" t="s">
        <v>5007</v>
      </c>
      <c r="AC226" s="14" t="s">
        <v>6482</v>
      </c>
      <c r="AD226" s="20" t="str">
        <f t="shared" si="15"/>
        <v>Crop Tech &gt; Farm Inputs &gt; Seeds &gt; Field Crops &gt; Hybrid</v>
      </c>
      <c r="AE226" s="20" t="str">
        <f t="shared" si="14"/>
        <v>Crop Tech</v>
      </c>
      <c r="AF226" s="20" t="str">
        <f t="shared" si="16"/>
        <v>Farm Inputs</v>
      </c>
      <c r="AG226" s="20" t="str">
        <f t="shared" si="16"/>
        <v>Seeds</v>
      </c>
      <c r="AH226" s="20" t="str">
        <f t="shared" si="16"/>
        <v>Field Crops</v>
      </c>
      <c r="AI226" s="20" t="str">
        <f t="shared" si="16"/>
        <v>Hybrid</v>
      </c>
      <c r="AJ226" s="20" t="str">
        <f t="shared" si="16"/>
        <v/>
      </c>
      <c r="AK226" s="20" t="str">
        <f t="shared" si="16"/>
        <v/>
      </c>
      <c r="AL226" s="14"/>
      <c r="AM226" s="14"/>
      <c r="AO226" s="14"/>
      <c r="AP226" s="14" t="s">
        <v>2057</v>
      </c>
      <c r="AQ226" s="14"/>
      <c r="AR226" s="14"/>
      <c r="AS226" s="14" t="s">
        <v>8560</v>
      </c>
      <c r="AT226" s="14" t="s">
        <v>8561</v>
      </c>
      <c r="AU226" s="14" t="s">
        <v>8562</v>
      </c>
      <c r="AV226" s="18" t="s">
        <v>8563</v>
      </c>
      <c r="AW226" s="16"/>
      <c r="AX226" s="17"/>
      <c r="AY226" s="15" t="s">
        <v>3123</v>
      </c>
      <c r="AZ226" s="17"/>
      <c r="BA226" s="16"/>
      <c r="BB226" s="14"/>
      <c r="BC226" s="14"/>
      <c r="BD226" s="15" t="s">
        <v>3123</v>
      </c>
      <c r="BE226" s="14"/>
      <c r="BF226" s="17"/>
      <c r="BG226" s="16"/>
      <c r="BH226" s="14"/>
      <c r="BI226" s="15" t="s">
        <v>3117</v>
      </c>
      <c r="BJ226" s="14" t="s">
        <v>8564</v>
      </c>
      <c r="BK226" s="17">
        <v>38079</v>
      </c>
      <c r="BL226" s="16"/>
      <c r="BM226" s="16"/>
      <c r="BN226" s="16"/>
      <c r="BO226" s="16"/>
      <c r="BP226" s="15" t="s">
        <v>3123</v>
      </c>
      <c r="BQ226" s="17"/>
      <c r="BR226" s="14"/>
      <c r="BS226" s="14"/>
      <c r="BT226" s="16"/>
      <c r="BU226" s="16"/>
      <c r="BV226" s="13"/>
      <c r="BW226" s="18" t="s">
        <v>8565</v>
      </c>
      <c r="BX226" s="13">
        <v>200</v>
      </c>
      <c r="BY226" s="17">
        <v>44120</v>
      </c>
      <c r="BZ226" s="18" t="s">
        <v>8566</v>
      </c>
      <c r="CA226" s="18"/>
      <c r="CB226" s="18"/>
      <c r="CC226" s="18"/>
      <c r="CD226" s="14" t="s">
        <v>8567</v>
      </c>
      <c r="CE226" s="17">
        <v>43032</v>
      </c>
      <c r="CF226" s="16"/>
      <c r="CG226" s="17"/>
      <c r="CH226" s="16"/>
      <c r="CI226" s="17"/>
      <c r="CJ226" s="16"/>
      <c r="CK226" s="17"/>
      <c r="CL226" s="16"/>
      <c r="CM226" s="17"/>
      <c r="CN226" s="19">
        <v>26.922093211503448</v>
      </c>
      <c r="CO226" s="19"/>
      <c r="CP226" s="17"/>
      <c r="CQ226" s="14" t="s">
        <v>5345</v>
      </c>
      <c r="CR226" s="14" t="s">
        <v>7272</v>
      </c>
      <c r="CS226" s="14" t="s">
        <v>5945</v>
      </c>
    </row>
    <row r="227" spans="1:97" ht="26.15" customHeight="1">
      <c r="A227" s="2">
        <v>152</v>
      </c>
      <c r="B227" s="25" t="s">
        <v>1919</v>
      </c>
      <c r="C227" s="25" t="e">
        <f>VLOOKUP(B227, Sheet6!$A$1:$B$77, 2, FALSE)</f>
        <v>#N/A</v>
      </c>
      <c r="D227" s="25" t="s">
        <v>1920</v>
      </c>
      <c r="E227" s="25" t="s">
        <v>1923</v>
      </c>
      <c r="F227" s="25" t="s">
        <v>6958</v>
      </c>
      <c r="G227" s="25" t="s">
        <v>10955</v>
      </c>
      <c r="H227" s="25" t="s">
        <v>10957</v>
      </c>
      <c r="I227" s="25" t="s">
        <v>10958</v>
      </c>
      <c r="J227" s="26" t="s">
        <v>10821</v>
      </c>
      <c r="L227" s="13">
        <v>2005</v>
      </c>
      <c r="M227" s="14" t="s">
        <v>5592</v>
      </c>
      <c r="N227" s="14" t="s">
        <v>5313</v>
      </c>
      <c r="O227" s="14" t="s">
        <v>3994</v>
      </c>
      <c r="P227" s="15" t="s">
        <v>3117</v>
      </c>
      <c r="Q227" s="16">
        <v>1438880</v>
      </c>
      <c r="R227" s="17">
        <v>43740</v>
      </c>
      <c r="S227" s="16" t="s">
        <v>5134</v>
      </c>
      <c r="T227" s="16">
        <v>1438880</v>
      </c>
      <c r="U227" s="14" t="s">
        <v>109</v>
      </c>
      <c r="V227" s="13">
        <v>4</v>
      </c>
      <c r="W227" s="17">
        <v>44098</v>
      </c>
      <c r="X227" s="14"/>
      <c r="Y227" s="17"/>
      <c r="Z227" s="17"/>
      <c r="AA227" s="14" t="s">
        <v>5947</v>
      </c>
      <c r="AB227" s="14" t="s">
        <v>8568</v>
      </c>
      <c r="AC227" s="14" t="s">
        <v>8569</v>
      </c>
      <c r="AD227" s="20" t="str">
        <f t="shared" si="15"/>
        <v>ERP &gt; Agriculture &gt; Farm Management &gt; Suite
Crop Tech &gt; Farm Management Software &gt; Diversified</v>
      </c>
      <c r="AE227" s="20" t="str">
        <f t="shared" si="14"/>
        <v>ERP</v>
      </c>
      <c r="AF227" s="20" t="str">
        <f t="shared" si="16"/>
        <v>Agriculture</v>
      </c>
      <c r="AG227" s="20" t="str">
        <f t="shared" si="16"/>
        <v>Farm Management</v>
      </c>
      <c r="AH227" s="20" t="str">
        <f t="shared" si="16"/>
        <v>Suite
Crop Tech</v>
      </c>
      <c r="AI227" s="20" t="str">
        <f t="shared" si="16"/>
        <v>Farm Management Software</v>
      </c>
      <c r="AJ227" s="20" t="str">
        <f t="shared" si="16"/>
        <v>Diversified</v>
      </c>
      <c r="AK227" s="20" t="str">
        <f t="shared" si="16"/>
        <v/>
      </c>
      <c r="AL227" s="14" t="s">
        <v>780</v>
      </c>
      <c r="AM227" s="14"/>
      <c r="AO227" s="14"/>
      <c r="AP227" s="14" t="s">
        <v>3994</v>
      </c>
      <c r="AQ227" s="14"/>
      <c r="AR227" s="14"/>
      <c r="AS227" s="14" t="s">
        <v>8571</v>
      </c>
      <c r="AT227" s="14" t="s">
        <v>8572</v>
      </c>
      <c r="AU227" s="14" t="s">
        <v>8573</v>
      </c>
      <c r="AV227" s="18"/>
      <c r="AW227" s="16">
        <v>311600</v>
      </c>
      <c r="AX227" s="17">
        <v>43465</v>
      </c>
      <c r="AY227" s="15" t="s">
        <v>3123</v>
      </c>
      <c r="AZ227" s="17"/>
      <c r="BA227" s="16"/>
      <c r="BB227" s="14"/>
      <c r="BC227" s="14"/>
      <c r="BD227" s="15" t="s">
        <v>3123</v>
      </c>
      <c r="BE227" s="14"/>
      <c r="BF227" s="17"/>
      <c r="BG227" s="16"/>
      <c r="BH227" s="14"/>
      <c r="BI227" s="15" t="s">
        <v>3123</v>
      </c>
      <c r="BJ227" s="14"/>
      <c r="BK227" s="17"/>
      <c r="BL227" s="16"/>
      <c r="BM227" s="16"/>
      <c r="BN227" s="16"/>
      <c r="BO227" s="16"/>
      <c r="BP227" s="15" t="s">
        <v>3123</v>
      </c>
      <c r="BQ227" s="17"/>
      <c r="BR227" s="14" t="s">
        <v>8574</v>
      </c>
      <c r="BS227" s="14"/>
      <c r="BT227" s="16"/>
      <c r="BU227" s="16"/>
      <c r="BV227" s="13"/>
      <c r="BW227" s="18" t="s">
        <v>8575</v>
      </c>
      <c r="BX227" s="13">
        <v>200</v>
      </c>
      <c r="BY227" s="17">
        <v>44119</v>
      </c>
      <c r="BZ227" s="18"/>
      <c r="CA227" s="18" t="s">
        <v>8576</v>
      </c>
      <c r="CB227" s="18" t="s">
        <v>8577</v>
      </c>
      <c r="CC227" s="18"/>
      <c r="CD227" s="14" t="s">
        <v>8578</v>
      </c>
      <c r="CE227" s="17">
        <v>42325</v>
      </c>
      <c r="CF227" s="16">
        <v>-103200</v>
      </c>
      <c r="CG227" s="17">
        <v>43465</v>
      </c>
      <c r="CH227" s="16">
        <v>-85000</v>
      </c>
      <c r="CI227" s="17">
        <v>43465</v>
      </c>
      <c r="CJ227" s="16">
        <v>4977724.8337352918</v>
      </c>
      <c r="CK227" s="17">
        <v>43740</v>
      </c>
      <c r="CL227" s="16">
        <v>63</v>
      </c>
      <c r="CM227" s="17">
        <v>44012</v>
      </c>
      <c r="CN227" s="19">
        <v>35.830020439723164</v>
      </c>
      <c r="CO227" s="19"/>
      <c r="CP227" s="17"/>
      <c r="CQ227" s="14" t="s">
        <v>6062</v>
      </c>
      <c r="CR227" s="14" t="s">
        <v>6002</v>
      </c>
      <c r="CS227" s="14" t="s">
        <v>5945</v>
      </c>
    </row>
    <row r="228" spans="1:97" ht="26.15" customHeight="1">
      <c r="A228" s="2">
        <v>55</v>
      </c>
      <c r="B228" s="25" t="s">
        <v>985</v>
      </c>
      <c r="C228" s="25" t="e">
        <f>VLOOKUP(B228, Sheet6!$A$1:$B$77, 2, FALSE)</f>
        <v>#N/A</v>
      </c>
      <c r="D228" s="25" t="s">
        <v>986</v>
      </c>
      <c r="E228" s="25" t="s">
        <v>989</v>
      </c>
      <c r="F228" s="25" t="s">
        <v>5730</v>
      </c>
      <c r="G228" s="25" t="s">
        <v>10955</v>
      </c>
      <c r="H228" s="25" t="s">
        <v>10957</v>
      </c>
      <c r="I228" s="25" t="s">
        <v>10958</v>
      </c>
      <c r="J228" s="26" t="s">
        <v>10821</v>
      </c>
      <c r="L228" s="13">
        <v>1983</v>
      </c>
      <c r="M228" s="14" t="s">
        <v>8579</v>
      </c>
      <c r="N228" s="14" t="s">
        <v>8580</v>
      </c>
      <c r="O228" s="14" t="s">
        <v>5333</v>
      </c>
      <c r="P228" s="15" t="s">
        <v>3117</v>
      </c>
      <c r="Q228" s="16"/>
      <c r="R228" s="17">
        <v>44013</v>
      </c>
      <c r="S228" s="16" t="s">
        <v>7885</v>
      </c>
      <c r="T228" s="16">
        <v>17000000</v>
      </c>
      <c r="U228" s="14" t="s">
        <v>5335</v>
      </c>
      <c r="V228" s="13">
        <v>4</v>
      </c>
      <c r="W228" s="17">
        <v>43963</v>
      </c>
      <c r="X228" s="14"/>
      <c r="Y228" s="17"/>
      <c r="Z228" s="17"/>
      <c r="AA228" s="14" t="s">
        <v>1</v>
      </c>
      <c r="AB228" s="14" t="s">
        <v>5007</v>
      </c>
      <c r="AC228" s="14" t="s">
        <v>5336</v>
      </c>
      <c r="AD228" s="20" t="str">
        <f t="shared" si="15"/>
        <v>Crop Tech &gt; Farm Inputs &gt; Biologicals &gt; Diversified</v>
      </c>
      <c r="AE228" s="20" t="str">
        <f t="shared" si="14"/>
        <v>Crop Tech</v>
      </c>
      <c r="AF228" s="20" t="str">
        <f t="shared" si="16"/>
        <v>Farm Inputs</v>
      </c>
      <c r="AG228" s="20" t="str">
        <f t="shared" si="16"/>
        <v>Biologicals</v>
      </c>
      <c r="AH228" s="20" t="str">
        <f t="shared" si="16"/>
        <v>Diversified</v>
      </c>
      <c r="AI228" s="20" t="str">
        <f t="shared" si="16"/>
        <v/>
      </c>
      <c r="AJ228" s="20" t="str">
        <f t="shared" si="16"/>
        <v/>
      </c>
      <c r="AK228" s="20" t="str">
        <f t="shared" si="16"/>
        <v/>
      </c>
      <c r="AL228" s="14" t="s">
        <v>8581</v>
      </c>
      <c r="AM228" s="14"/>
      <c r="AO228" s="14"/>
      <c r="AP228" s="14" t="s">
        <v>5333</v>
      </c>
      <c r="AQ228" s="14"/>
      <c r="AR228" s="14"/>
      <c r="AS228" s="14" t="s">
        <v>8583</v>
      </c>
      <c r="AT228" s="14"/>
      <c r="AU228" s="14"/>
      <c r="AV228" s="18"/>
      <c r="AW228" s="16"/>
      <c r="AX228" s="17"/>
      <c r="AY228" s="15" t="s">
        <v>3123</v>
      </c>
      <c r="AZ228" s="17"/>
      <c r="BA228" s="16"/>
      <c r="BB228" s="14"/>
      <c r="BC228" s="14"/>
      <c r="BD228" s="15" t="s">
        <v>3117</v>
      </c>
      <c r="BE228" s="14" t="s">
        <v>8584</v>
      </c>
      <c r="BF228" s="17">
        <v>42662</v>
      </c>
      <c r="BG228" s="16"/>
      <c r="BH228" s="14" t="s">
        <v>5342</v>
      </c>
      <c r="BI228" s="15" t="s">
        <v>3123</v>
      </c>
      <c r="BJ228" s="14"/>
      <c r="BK228" s="17"/>
      <c r="BL228" s="16"/>
      <c r="BM228" s="16"/>
      <c r="BN228" s="16"/>
      <c r="BO228" s="16"/>
      <c r="BP228" s="15" t="s">
        <v>3123</v>
      </c>
      <c r="BQ228" s="17"/>
      <c r="BR228" s="14"/>
      <c r="BS228" s="14"/>
      <c r="BT228" s="16"/>
      <c r="BU228" s="16"/>
      <c r="BV228" s="13"/>
      <c r="BW228" s="18" t="s">
        <v>8585</v>
      </c>
      <c r="BX228" s="13">
        <v>200</v>
      </c>
      <c r="BY228" s="17">
        <v>44119</v>
      </c>
      <c r="BZ228" s="18" t="s">
        <v>8586</v>
      </c>
      <c r="CA228" s="18" t="s">
        <v>8587</v>
      </c>
      <c r="CB228" s="18" t="s">
        <v>8588</v>
      </c>
      <c r="CC228" s="18"/>
      <c r="CD228" s="14" t="s">
        <v>8589</v>
      </c>
      <c r="CE228" s="17">
        <v>43579</v>
      </c>
      <c r="CF228" s="16"/>
      <c r="CG228" s="17"/>
      <c r="CH228" s="16"/>
      <c r="CI228" s="17"/>
      <c r="CJ228" s="16"/>
      <c r="CK228" s="17"/>
      <c r="CL228" s="16"/>
      <c r="CM228" s="17"/>
      <c r="CN228" s="19">
        <v>53.355443144948637</v>
      </c>
      <c r="CO228" s="19"/>
      <c r="CP228" s="17"/>
      <c r="CQ228" s="14" t="s">
        <v>5345</v>
      </c>
      <c r="CR228" s="14" t="s">
        <v>5361</v>
      </c>
      <c r="CS228" s="14" t="s">
        <v>5311</v>
      </c>
    </row>
    <row r="229" spans="1:97" ht="26.15" customHeight="1">
      <c r="A229" s="2">
        <v>29</v>
      </c>
      <c r="B229" s="25" t="s">
        <v>656</v>
      </c>
      <c r="C229" s="25" t="e">
        <f>VLOOKUP(B229, Sheet6!$A$1:$B$77, 2, FALSE)</f>
        <v>#N/A</v>
      </c>
      <c r="D229" s="25" t="s">
        <v>657</v>
      </c>
      <c r="E229" s="25" t="s">
        <v>660</v>
      </c>
      <c r="F229" s="25" t="s">
        <v>5394</v>
      </c>
      <c r="G229" s="25" t="s">
        <v>10955</v>
      </c>
      <c r="H229" s="25" t="s">
        <v>10957</v>
      </c>
      <c r="I229" s="25" t="s">
        <v>10958</v>
      </c>
      <c r="J229" s="26" t="s">
        <v>10821</v>
      </c>
      <c r="L229" s="13">
        <v>2012</v>
      </c>
      <c r="M229" s="14" t="s">
        <v>5389</v>
      </c>
      <c r="N229" s="14" t="s">
        <v>5390</v>
      </c>
      <c r="O229" s="14" t="s">
        <v>5391</v>
      </c>
      <c r="P229" s="15" t="s">
        <v>3117</v>
      </c>
      <c r="Q229" s="16">
        <v>150000</v>
      </c>
      <c r="R229" s="17">
        <v>43304</v>
      </c>
      <c r="S229" s="16"/>
      <c r="T229" s="16" t="s">
        <v>50</v>
      </c>
      <c r="U229" s="14" t="s">
        <v>109</v>
      </c>
      <c r="V229" s="13">
        <v>4</v>
      </c>
      <c r="W229" s="17">
        <v>44050</v>
      </c>
      <c r="X229" s="14"/>
      <c r="Y229" s="17"/>
      <c r="Z229" s="17"/>
      <c r="AA229" s="14" t="s">
        <v>5791</v>
      </c>
      <c r="AB229" s="14" t="s">
        <v>8590</v>
      </c>
      <c r="AC229" s="14" t="s">
        <v>8591</v>
      </c>
      <c r="AD229" s="20" t="str">
        <f t="shared" si="15"/>
        <v>Renewable Energy Tech &gt; Solar Energy &gt; Applications &gt; Agriculture and Food &gt; Smart Water Pumps
Crop Tech &gt; Farm Equipment &gt; Smart Solar Water Pumps</v>
      </c>
      <c r="AE229" s="20" t="str">
        <f t="shared" si="14"/>
        <v>Renewable Energy Tech</v>
      </c>
      <c r="AF229" s="20" t="str">
        <f t="shared" si="16"/>
        <v>Solar Energy</v>
      </c>
      <c r="AG229" s="20" t="str">
        <f t="shared" si="16"/>
        <v>Applications</v>
      </c>
      <c r="AH229" s="20" t="str">
        <f t="shared" si="16"/>
        <v>Agriculture and Food</v>
      </c>
      <c r="AI229" s="20" t="str">
        <f t="shared" si="16"/>
        <v>Smart Water Pumps
Crop Tech</v>
      </c>
      <c r="AJ229" s="20" t="str">
        <f t="shared" si="16"/>
        <v>Farm Equipment</v>
      </c>
      <c r="AK229" s="20" t="str">
        <f t="shared" si="16"/>
        <v>Smart Solar Water Pumps</v>
      </c>
      <c r="AL229" s="14" t="s">
        <v>8592</v>
      </c>
      <c r="AM229" s="14"/>
      <c r="AO229" s="14"/>
      <c r="AP229" s="14" t="s">
        <v>5391</v>
      </c>
      <c r="AQ229" s="14" t="s">
        <v>8594</v>
      </c>
      <c r="AR229" s="14" t="s">
        <v>8595</v>
      </c>
      <c r="AS229" s="14" t="s">
        <v>8596</v>
      </c>
      <c r="AT229" s="14" t="s">
        <v>8597</v>
      </c>
      <c r="AU229" s="14" t="s">
        <v>8598</v>
      </c>
      <c r="AV229" s="18"/>
      <c r="AW229" s="16"/>
      <c r="AX229" s="17"/>
      <c r="AY229" s="15" t="s">
        <v>3123</v>
      </c>
      <c r="AZ229" s="17"/>
      <c r="BA229" s="16"/>
      <c r="BB229" s="14"/>
      <c r="BC229" s="14"/>
      <c r="BD229" s="15" t="s">
        <v>3123</v>
      </c>
      <c r="BE229" s="14"/>
      <c r="BF229" s="17"/>
      <c r="BG229" s="16"/>
      <c r="BH229" s="14"/>
      <c r="BI229" s="15" t="s">
        <v>3123</v>
      </c>
      <c r="BJ229" s="14"/>
      <c r="BK229" s="17"/>
      <c r="BL229" s="16"/>
      <c r="BM229" s="16"/>
      <c r="BN229" s="16"/>
      <c r="BO229" s="16"/>
      <c r="BP229" s="15" t="s">
        <v>3123</v>
      </c>
      <c r="BQ229" s="17"/>
      <c r="BR229" s="14"/>
      <c r="BS229" s="14"/>
      <c r="BT229" s="16"/>
      <c r="BU229" s="16"/>
      <c r="BV229" s="13"/>
      <c r="BW229" s="18" t="s">
        <v>8599</v>
      </c>
      <c r="BX229" s="13">
        <v>200</v>
      </c>
      <c r="BY229" s="17">
        <v>44119</v>
      </c>
      <c r="BZ229" s="18" t="s">
        <v>8600</v>
      </c>
      <c r="CA229" s="18" t="s">
        <v>8601</v>
      </c>
      <c r="CB229" s="18"/>
      <c r="CC229" s="18" t="s">
        <v>8602</v>
      </c>
      <c r="CD229" s="14" t="s">
        <v>8603</v>
      </c>
      <c r="CE229" s="17">
        <v>43031</v>
      </c>
      <c r="CF229" s="16"/>
      <c r="CG229" s="17"/>
      <c r="CH229" s="16"/>
      <c r="CI229" s="17"/>
      <c r="CJ229" s="16"/>
      <c r="CK229" s="17"/>
      <c r="CL229" s="16"/>
      <c r="CM229" s="17"/>
      <c r="CN229" s="19">
        <v>47.048959864080061</v>
      </c>
      <c r="CO229" s="19"/>
      <c r="CP229" s="17"/>
      <c r="CQ229" s="14" t="s">
        <v>8604</v>
      </c>
      <c r="CR229" s="14" t="s">
        <v>8605</v>
      </c>
      <c r="CS229" s="14" t="s">
        <v>5311</v>
      </c>
    </row>
    <row r="230" spans="1:97" ht="26.15" customHeight="1">
      <c r="A230" s="2">
        <v>308</v>
      </c>
      <c r="B230" s="25" t="s">
        <v>2098</v>
      </c>
      <c r="C230" s="25" t="e">
        <f>VLOOKUP(B230, Sheet6!$A$1:$B$77, 2, FALSE)</f>
        <v>#N/A</v>
      </c>
      <c r="D230" s="25" t="s">
        <v>2099</v>
      </c>
      <c r="E230" s="25" t="s">
        <v>2100</v>
      </c>
      <c r="F230" s="25" t="s">
        <v>8874</v>
      </c>
      <c r="G230" s="25" t="s">
        <v>10955</v>
      </c>
      <c r="H230" s="25" t="s">
        <v>10957</v>
      </c>
      <c r="I230" s="25" t="s">
        <v>10968</v>
      </c>
      <c r="J230" s="25" t="s">
        <v>10821</v>
      </c>
      <c r="L230" s="13">
        <v>2004</v>
      </c>
      <c r="M230" s="14" t="s">
        <v>5005</v>
      </c>
      <c r="N230" s="14" t="s">
        <v>5006</v>
      </c>
      <c r="O230" s="14" t="s">
        <v>3994</v>
      </c>
      <c r="P230" s="15" t="s">
        <v>3117</v>
      </c>
      <c r="Q230" s="16">
        <v>2111924</v>
      </c>
      <c r="R230" s="17">
        <v>43322</v>
      </c>
      <c r="S230" s="16" t="s">
        <v>8606</v>
      </c>
      <c r="T230" s="16">
        <v>611924</v>
      </c>
      <c r="U230" s="14" t="s">
        <v>34</v>
      </c>
      <c r="V230" s="13">
        <v>4</v>
      </c>
      <c r="W230" s="17">
        <v>44098</v>
      </c>
      <c r="X230" s="14"/>
      <c r="Y230" s="17"/>
      <c r="Z230" s="17"/>
      <c r="AA230" s="14" t="s">
        <v>1</v>
      </c>
      <c r="AB230" s="14" t="s">
        <v>5007</v>
      </c>
      <c r="AC230" s="14" t="s">
        <v>8607</v>
      </c>
      <c r="AD230" s="20" t="str">
        <f t="shared" si="15"/>
        <v>Crop Tech &gt; Farm Management Software &gt; Weather Forecasting</v>
      </c>
      <c r="AE230" s="20" t="str">
        <f t="shared" si="14"/>
        <v>Crop Tech</v>
      </c>
      <c r="AF230" s="20" t="str">
        <f t="shared" si="16"/>
        <v>Farm Management Software</v>
      </c>
      <c r="AG230" s="20" t="str">
        <f t="shared" si="16"/>
        <v>Weather Forecasting</v>
      </c>
      <c r="AH230" s="20" t="str">
        <f t="shared" si="16"/>
        <v/>
      </c>
      <c r="AI230" s="20" t="str">
        <f t="shared" si="16"/>
        <v/>
      </c>
      <c r="AJ230" s="20" t="str">
        <f t="shared" si="16"/>
        <v/>
      </c>
      <c r="AK230" s="20" t="str">
        <f t="shared" si="16"/>
        <v/>
      </c>
      <c r="AL230" s="14" t="s">
        <v>8608</v>
      </c>
      <c r="AM230" s="14" t="s">
        <v>8609</v>
      </c>
      <c r="AO230" s="14"/>
      <c r="AP230" s="14" t="s">
        <v>3994</v>
      </c>
      <c r="AQ230" s="14" t="s">
        <v>8611</v>
      </c>
      <c r="AR230" s="14"/>
      <c r="AS230" s="14" t="s">
        <v>8612</v>
      </c>
      <c r="AT230" s="14" t="s">
        <v>8613</v>
      </c>
      <c r="AU230" s="14" t="s">
        <v>8614</v>
      </c>
      <c r="AV230" s="18" t="s">
        <v>8615</v>
      </c>
      <c r="AW230" s="16">
        <v>4151601.4409709414</v>
      </c>
      <c r="AX230" s="17">
        <v>43465</v>
      </c>
      <c r="AY230" s="15" t="s">
        <v>3117</v>
      </c>
      <c r="AZ230" s="17">
        <v>38265</v>
      </c>
      <c r="BA230" s="16">
        <v>2179</v>
      </c>
      <c r="BB230" s="14" t="s">
        <v>8616</v>
      </c>
      <c r="BC230" s="14"/>
      <c r="BD230" s="15" t="s">
        <v>3123</v>
      </c>
      <c r="BE230" s="14"/>
      <c r="BF230" s="17"/>
      <c r="BG230" s="16"/>
      <c r="BH230" s="14"/>
      <c r="BI230" s="15" t="s">
        <v>3123</v>
      </c>
      <c r="BJ230" s="14"/>
      <c r="BK230" s="17"/>
      <c r="BL230" s="16"/>
      <c r="BM230" s="16"/>
      <c r="BN230" s="16"/>
      <c r="BO230" s="16"/>
      <c r="BP230" s="15" t="s">
        <v>3123</v>
      </c>
      <c r="BQ230" s="17"/>
      <c r="BR230" s="14"/>
      <c r="BS230" s="14"/>
      <c r="BT230" s="16"/>
      <c r="BU230" s="16"/>
      <c r="BV230" s="13"/>
      <c r="BW230" s="18" t="s">
        <v>8617</v>
      </c>
      <c r="BX230" s="13">
        <v>404</v>
      </c>
      <c r="BY230" s="17">
        <v>44119</v>
      </c>
      <c r="BZ230" s="18" t="s">
        <v>8618</v>
      </c>
      <c r="CA230" s="18" t="s">
        <v>8619</v>
      </c>
      <c r="CB230" s="18" t="s">
        <v>8620</v>
      </c>
      <c r="CC230" s="18"/>
      <c r="CD230" s="14" t="s">
        <v>8621</v>
      </c>
      <c r="CE230" s="17">
        <v>42929</v>
      </c>
      <c r="CF230" s="16">
        <v>52407.357979829663</v>
      </c>
      <c r="CG230" s="17">
        <v>43465</v>
      </c>
      <c r="CH230" s="16">
        <v>222259.79617000208</v>
      </c>
      <c r="CI230" s="17">
        <v>43465</v>
      </c>
      <c r="CJ230" s="16">
        <v>9000000</v>
      </c>
      <c r="CK230" s="17">
        <v>43322</v>
      </c>
      <c r="CL230" s="16">
        <v>89</v>
      </c>
      <c r="CM230" s="17">
        <v>43738</v>
      </c>
      <c r="CN230" s="19">
        <v>40.646595234273249</v>
      </c>
      <c r="CO230" s="19"/>
      <c r="CP230" s="17"/>
      <c r="CQ230" s="14" t="s">
        <v>7284</v>
      </c>
      <c r="CR230" s="14" t="s">
        <v>6002</v>
      </c>
      <c r="CS230" s="14" t="s">
        <v>5945</v>
      </c>
    </row>
    <row r="231" spans="1:97" ht="26.15" customHeight="1">
      <c r="A231" s="2">
        <v>9</v>
      </c>
      <c r="B231" s="25" t="s">
        <v>477</v>
      </c>
      <c r="C231" s="25" t="e">
        <f>VLOOKUP(B231, Sheet6!$A$1:$B$77, 2, FALSE)</f>
        <v>#N/A</v>
      </c>
      <c r="D231" s="25" t="s">
        <v>478</v>
      </c>
      <c r="E231" s="25" t="s">
        <v>481</v>
      </c>
      <c r="F231" s="25" t="s">
        <v>5109</v>
      </c>
      <c r="G231" s="25" t="s">
        <v>10955</v>
      </c>
      <c r="H231" s="25" t="s">
        <v>10957</v>
      </c>
      <c r="I231" s="25" t="s">
        <v>10958</v>
      </c>
      <c r="J231" s="26" t="s">
        <v>10821</v>
      </c>
      <c r="L231" s="13">
        <v>2008</v>
      </c>
      <c r="M231" s="14" t="s">
        <v>8622</v>
      </c>
      <c r="N231" s="14" t="s">
        <v>5207</v>
      </c>
      <c r="O231" s="14" t="s">
        <v>5208</v>
      </c>
      <c r="P231" s="15" t="s">
        <v>3117</v>
      </c>
      <c r="Q231" s="16">
        <v>317198</v>
      </c>
      <c r="R231" s="17">
        <v>43012</v>
      </c>
      <c r="S231" s="16" t="s">
        <v>8623</v>
      </c>
      <c r="T231" s="16">
        <v>317198</v>
      </c>
      <c r="U231" s="14" t="s">
        <v>34</v>
      </c>
      <c r="V231" s="13"/>
      <c r="W231" s="17"/>
      <c r="X231" s="14"/>
      <c r="Y231" s="17"/>
      <c r="Z231" s="17"/>
      <c r="AA231" s="14" t="s">
        <v>1</v>
      </c>
      <c r="AB231" s="14" t="s">
        <v>5007</v>
      </c>
      <c r="AC231" s="14" t="s">
        <v>8624</v>
      </c>
      <c r="AD231" s="20" t="str">
        <f t="shared" si="15"/>
        <v>Crop Tech &gt; Farm Analytics &gt; Satellite Image Based</v>
      </c>
      <c r="AE231" s="20" t="str">
        <f t="shared" si="14"/>
        <v>Crop Tech</v>
      </c>
      <c r="AF231" s="20" t="str">
        <f t="shared" si="16"/>
        <v>Farm Analytics</v>
      </c>
      <c r="AG231" s="20" t="str">
        <f t="shared" si="16"/>
        <v>Satellite Image Based</v>
      </c>
      <c r="AH231" s="20" t="str">
        <f t="shared" si="16"/>
        <v/>
      </c>
      <c r="AI231" s="20" t="str">
        <f t="shared" si="16"/>
        <v/>
      </c>
      <c r="AJ231" s="20" t="str">
        <f t="shared" si="16"/>
        <v/>
      </c>
      <c r="AK231" s="20" t="str">
        <f t="shared" si="16"/>
        <v/>
      </c>
      <c r="AL231" s="14" t="s">
        <v>4062</v>
      </c>
      <c r="AM231" s="14"/>
      <c r="AO231" s="14"/>
      <c r="AP231" s="14" t="s">
        <v>5208</v>
      </c>
      <c r="AQ231" s="14" t="s">
        <v>8626</v>
      </c>
      <c r="AR231" s="14"/>
      <c r="AS231" s="14" t="s">
        <v>8627</v>
      </c>
      <c r="AT231" s="14" t="s">
        <v>8628</v>
      </c>
      <c r="AU231" s="14" t="s">
        <v>8629</v>
      </c>
      <c r="AV231" s="18" t="s">
        <v>8630</v>
      </c>
      <c r="AW231" s="16"/>
      <c r="AX231" s="17"/>
      <c r="AY231" s="15" t="s">
        <v>3123</v>
      </c>
      <c r="AZ231" s="17"/>
      <c r="BA231" s="16"/>
      <c r="BB231" s="14"/>
      <c r="BC231" s="14"/>
      <c r="BD231" s="15" t="s">
        <v>3123</v>
      </c>
      <c r="BE231" s="14"/>
      <c r="BF231" s="17"/>
      <c r="BG231" s="16"/>
      <c r="BH231" s="14"/>
      <c r="BI231" s="15" t="s">
        <v>3123</v>
      </c>
      <c r="BJ231" s="14"/>
      <c r="BK231" s="17"/>
      <c r="BL231" s="16"/>
      <c r="BM231" s="16"/>
      <c r="BN231" s="16"/>
      <c r="BO231" s="16"/>
      <c r="BP231" s="15" t="s">
        <v>3123</v>
      </c>
      <c r="BQ231" s="17"/>
      <c r="BR231" s="14"/>
      <c r="BS231" s="14"/>
      <c r="BT231" s="16"/>
      <c r="BU231" s="16"/>
      <c r="BV231" s="13"/>
      <c r="BW231" s="18" t="s">
        <v>8631</v>
      </c>
      <c r="BX231" s="13">
        <v>200</v>
      </c>
      <c r="BY231" s="17">
        <v>44118</v>
      </c>
      <c r="BZ231" s="18" t="s">
        <v>8632</v>
      </c>
      <c r="CA231" s="18" t="s">
        <v>8633</v>
      </c>
      <c r="CB231" s="18" t="s">
        <v>8634</v>
      </c>
      <c r="CC231" s="18"/>
      <c r="CD231" s="14" t="s">
        <v>8635</v>
      </c>
      <c r="CE231" s="17">
        <v>43056</v>
      </c>
      <c r="CF231" s="16"/>
      <c r="CG231" s="17"/>
      <c r="CH231" s="16"/>
      <c r="CI231" s="17"/>
      <c r="CJ231" s="16"/>
      <c r="CK231" s="17"/>
      <c r="CL231" s="16"/>
      <c r="CM231" s="17"/>
      <c r="CN231" s="19">
        <v>16.130345432588207</v>
      </c>
      <c r="CO231" s="19"/>
      <c r="CP231" s="17"/>
      <c r="CQ231" s="14" t="s">
        <v>5345</v>
      </c>
      <c r="CR231" s="14" t="s">
        <v>7272</v>
      </c>
      <c r="CS231" s="14" t="s">
        <v>5945</v>
      </c>
    </row>
    <row r="232" spans="1:97" ht="26.15" customHeight="1">
      <c r="A232" s="2">
        <v>67</v>
      </c>
      <c r="B232" s="25" t="s">
        <v>712</v>
      </c>
      <c r="C232" s="25" t="e">
        <f>VLOOKUP(B232, Sheet6!$A$1:$B$77, 2, FALSE)</f>
        <v>#N/A</v>
      </c>
      <c r="D232" s="25" t="s">
        <v>713</v>
      </c>
      <c r="E232" s="25" t="s">
        <v>710</v>
      </c>
      <c r="F232" s="25" t="s">
        <v>5869</v>
      </c>
      <c r="G232" s="25" t="s">
        <v>10955</v>
      </c>
      <c r="H232" s="25" t="s">
        <v>10959</v>
      </c>
      <c r="I232" s="25" t="s">
        <v>10958</v>
      </c>
      <c r="J232" s="26" t="s">
        <v>10770</v>
      </c>
      <c r="L232" s="13">
        <v>2003</v>
      </c>
      <c r="M232" s="14" t="s">
        <v>5020</v>
      </c>
      <c r="N232" s="14" t="s">
        <v>5021</v>
      </c>
      <c r="O232" s="14" t="s">
        <v>3994</v>
      </c>
      <c r="P232" s="15" t="s">
        <v>3117</v>
      </c>
      <c r="Q232" s="16">
        <v>11768115</v>
      </c>
      <c r="R232" s="17">
        <v>43084</v>
      </c>
      <c r="S232" s="16" t="s">
        <v>6481</v>
      </c>
      <c r="T232" s="16">
        <v>6269920</v>
      </c>
      <c r="U232" s="14" t="s">
        <v>95</v>
      </c>
      <c r="V232" s="13">
        <v>5</v>
      </c>
      <c r="W232" s="17">
        <v>44022</v>
      </c>
      <c r="X232" s="14" t="s">
        <v>5052</v>
      </c>
      <c r="Y232" s="17">
        <v>44027</v>
      </c>
      <c r="Z232" s="17">
        <v>42217</v>
      </c>
      <c r="AA232" s="14" t="s">
        <v>1</v>
      </c>
      <c r="AB232" s="14" t="s">
        <v>5007</v>
      </c>
      <c r="AC232" s="14" t="s">
        <v>8607</v>
      </c>
      <c r="AD232" s="20" t="str">
        <f t="shared" si="15"/>
        <v>Crop Tech &gt; Farm Management Software &gt; Weather Forecasting</v>
      </c>
      <c r="AE232" s="20" t="str">
        <f t="shared" si="14"/>
        <v>Crop Tech</v>
      </c>
      <c r="AF232" s="20" t="str">
        <f t="shared" si="16"/>
        <v>Farm Management Software</v>
      </c>
      <c r="AG232" s="20" t="str">
        <f t="shared" si="16"/>
        <v>Weather Forecasting</v>
      </c>
      <c r="AH232" s="20" t="str">
        <f t="shared" si="16"/>
        <v/>
      </c>
      <c r="AI232" s="20" t="str">
        <f t="shared" si="16"/>
        <v/>
      </c>
      <c r="AJ232" s="20" t="str">
        <f t="shared" si="16"/>
        <v/>
      </c>
      <c r="AK232" s="20" t="str">
        <f t="shared" si="16"/>
        <v/>
      </c>
      <c r="AL232" s="14" t="s">
        <v>8636</v>
      </c>
      <c r="AM232" s="14"/>
      <c r="AO232" s="14"/>
      <c r="AP232" s="14" t="s">
        <v>3994</v>
      </c>
      <c r="AQ232" s="14"/>
      <c r="AR232" s="14" t="s">
        <v>8638</v>
      </c>
      <c r="AS232" s="14" t="s">
        <v>8639</v>
      </c>
      <c r="AT232" s="14" t="s">
        <v>8640</v>
      </c>
      <c r="AU232" s="14" t="s">
        <v>8641</v>
      </c>
      <c r="AV232" s="18" t="s">
        <v>8642</v>
      </c>
      <c r="AW232" s="16">
        <v>5827100</v>
      </c>
      <c r="AX232" s="17">
        <v>43465</v>
      </c>
      <c r="AY232" s="15" t="s">
        <v>3117</v>
      </c>
      <c r="AZ232" s="17">
        <v>38132</v>
      </c>
      <c r="BA232" s="16">
        <v>2205</v>
      </c>
      <c r="BB232" s="14"/>
      <c r="BC232" s="14"/>
      <c r="BD232" s="15" t="s">
        <v>3123</v>
      </c>
      <c r="BE232" s="14"/>
      <c r="BF232" s="17"/>
      <c r="BG232" s="16"/>
      <c r="BH232" s="14"/>
      <c r="BI232" s="15" t="s">
        <v>3123</v>
      </c>
      <c r="BJ232" s="14"/>
      <c r="BK232" s="17"/>
      <c r="BL232" s="16"/>
      <c r="BM232" s="16"/>
      <c r="BN232" s="16"/>
      <c r="BO232" s="16"/>
      <c r="BP232" s="15" t="s">
        <v>3123</v>
      </c>
      <c r="BQ232" s="17"/>
      <c r="BR232" s="14"/>
      <c r="BS232" s="14"/>
      <c r="BT232" s="16"/>
      <c r="BU232" s="16"/>
      <c r="BV232" s="13"/>
      <c r="BW232" s="18" t="s">
        <v>8643</v>
      </c>
      <c r="BX232" s="13">
        <v>200</v>
      </c>
      <c r="BY232" s="17">
        <v>44118</v>
      </c>
      <c r="BZ232" s="18" t="s">
        <v>8644</v>
      </c>
      <c r="CA232" s="18" t="s">
        <v>8645</v>
      </c>
      <c r="CB232" s="18" t="s">
        <v>8646</v>
      </c>
      <c r="CC232" s="18"/>
      <c r="CD232" s="14" t="s">
        <v>8647</v>
      </c>
      <c r="CE232" s="17">
        <v>43091</v>
      </c>
      <c r="CF232" s="16">
        <v>-893800</v>
      </c>
      <c r="CG232" s="17">
        <v>43465</v>
      </c>
      <c r="CH232" s="16">
        <v>148600</v>
      </c>
      <c r="CI232" s="17">
        <v>43465</v>
      </c>
      <c r="CJ232" s="16">
        <v>30000000</v>
      </c>
      <c r="CK232" s="17">
        <v>43084</v>
      </c>
      <c r="CL232" s="16">
        <v>304</v>
      </c>
      <c r="CM232" s="17">
        <v>43921</v>
      </c>
      <c r="CN232" s="19">
        <v>58.989904437095511</v>
      </c>
      <c r="CO232" s="19"/>
      <c r="CP232" s="17"/>
      <c r="CQ232" s="14" t="s">
        <v>5345</v>
      </c>
      <c r="CR232" s="14" t="s">
        <v>7272</v>
      </c>
      <c r="CS232" s="14" t="s">
        <v>5945</v>
      </c>
    </row>
    <row r="233" spans="1:97" ht="26.15" customHeight="1">
      <c r="A233" s="2">
        <v>444</v>
      </c>
      <c r="B233" s="25" t="s">
        <v>2790</v>
      </c>
      <c r="C233" s="25" t="e">
        <f>VLOOKUP(B233, Sheet6!$A$1:$B$77, 2, FALSE)</f>
        <v>#N/A</v>
      </c>
      <c r="D233" s="25" t="s">
        <v>2791</v>
      </c>
      <c r="E233" s="25" t="s">
        <v>2793</v>
      </c>
      <c r="F233" s="25" t="s">
        <v>9582</v>
      </c>
      <c r="G233" s="25" t="s">
        <v>10953</v>
      </c>
      <c r="H233" s="25" t="s">
        <v>10967</v>
      </c>
      <c r="I233" s="25" t="s">
        <v>10558</v>
      </c>
      <c r="J233" s="25" t="s">
        <v>10821</v>
      </c>
      <c r="L233" s="13">
        <v>2008</v>
      </c>
      <c r="M233" s="14" t="s">
        <v>7131</v>
      </c>
      <c r="N233" s="14" t="s">
        <v>7132</v>
      </c>
      <c r="O233" s="14" t="s">
        <v>7133</v>
      </c>
      <c r="P233" s="15" t="s">
        <v>3117</v>
      </c>
      <c r="Q233" s="16">
        <v>14000000</v>
      </c>
      <c r="R233" s="17">
        <v>44018</v>
      </c>
      <c r="S233" s="16" t="s">
        <v>5675</v>
      </c>
      <c r="T233" s="16">
        <v>14000000</v>
      </c>
      <c r="U233" s="14" t="s">
        <v>25</v>
      </c>
      <c r="V233" s="13">
        <v>4</v>
      </c>
      <c r="W233" s="17">
        <v>44027</v>
      </c>
      <c r="X233" s="14" t="s">
        <v>5052</v>
      </c>
      <c r="Y233" s="17">
        <v>44026</v>
      </c>
      <c r="Z233" s="17">
        <v>44018</v>
      </c>
      <c r="AA233" s="14" t="s">
        <v>5976</v>
      </c>
      <c r="AB233" s="14" t="s">
        <v>8648</v>
      </c>
      <c r="AC233" s="14" t="s">
        <v>8649</v>
      </c>
      <c r="AD233" s="20" t="str">
        <f t="shared" si="15"/>
        <v>3D Printing &gt; Applications &gt; Agriculture &gt; Farming Equipment
Crop Tech &gt; Farming as a Service &gt; Tech Enabled Services</v>
      </c>
      <c r="AE233" s="20" t="str">
        <f t="shared" si="14"/>
        <v>3D Printing</v>
      </c>
      <c r="AF233" s="20" t="str">
        <f t="shared" si="16"/>
        <v>Applications</v>
      </c>
      <c r="AG233" s="20" t="str">
        <f t="shared" si="16"/>
        <v>Agriculture</v>
      </c>
      <c r="AH233" s="20" t="str">
        <f t="shared" si="16"/>
        <v>Farming Equipment
Crop Tech</v>
      </c>
      <c r="AI233" s="20" t="str">
        <f t="shared" si="16"/>
        <v>Farming as a Service</v>
      </c>
      <c r="AJ233" s="20" t="str">
        <f t="shared" si="16"/>
        <v>Tech Enabled Services</v>
      </c>
      <c r="AK233" s="20" t="str">
        <f t="shared" si="16"/>
        <v/>
      </c>
      <c r="AL233" s="14" t="s">
        <v>8650</v>
      </c>
      <c r="AM233" s="14"/>
      <c r="AO233" s="14"/>
      <c r="AP233" s="14" t="s">
        <v>7133</v>
      </c>
      <c r="AQ233" s="14" t="s">
        <v>8652</v>
      </c>
      <c r="AR233" s="14" t="s">
        <v>8653</v>
      </c>
      <c r="AS233" s="14" t="s">
        <v>8654</v>
      </c>
      <c r="AT233" s="14" t="s">
        <v>8655</v>
      </c>
      <c r="AU233" s="14" t="s">
        <v>8656</v>
      </c>
      <c r="AV233" s="18" t="s">
        <v>8657</v>
      </c>
      <c r="AW233" s="16"/>
      <c r="AX233" s="17"/>
      <c r="AY233" s="15" t="s">
        <v>3123</v>
      </c>
      <c r="AZ233" s="17"/>
      <c r="BA233" s="16"/>
      <c r="BB233" s="14"/>
      <c r="BC233" s="14"/>
      <c r="BD233" s="15" t="s">
        <v>3123</v>
      </c>
      <c r="BE233" s="14"/>
      <c r="BF233" s="17"/>
      <c r="BG233" s="16"/>
      <c r="BH233" s="14"/>
      <c r="BI233" s="15" t="s">
        <v>3123</v>
      </c>
      <c r="BJ233" s="14"/>
      <c r="BK233" s="17"/>
      <c r="BL233" s="16"/>
      <c r="BM233" s="16"/>
      <c r="BN233" s="16"/>
      <c r="BO233" s="16"/>
      <c r="BP233" s="15" t="s">
        <v>3123</v>
      </c>
      <c r="BQ233" s="17"/>
      <c r="BR233" s="14"/>
      <c r="BS233" s="14"/>
      <c r="BT233" s="16"/>
      <c r="BU233" s="16"/>
      <c r="BV233" s="13"/>
      <c r="BW233" s="18" t="s">
        <v>8658</v>
      </c>
      <c r="BX233" s="13">
        <v>200</v>
      </c>
      <c r="BY233" s="17">
        <v>44118</v>
      </c>
      <c r="BZ233" s="18" t="s">
        <v>8659</v>
      </c>
      <c r="CA233" s="18" t="s">
        <v>8660</v>
      </c>
      <c r="CB233" s="18" t="s">
        <v>8661</v>
      </c>
      <c r="CC233" s="18"/>
      <c r="CD233" s="14" t="s">
        <v>8662</v>
      </c>
      <c r="CE233" s="17">
        <v>42730</v>
      </c>
      <c r="CF233" s="16"/>
      <c r="CG233" s="17"/>
      <c r="CH233" s="16"/>
      <c r="CI233" s="17"/>
      <c r="CJ233" s="16"/>
      <c r="CK233" s="17"/>
      <c r="CL233" s="16"/>
      <c r="CM233" s="17"/>
      <c r="CN233" s="19">
        <v>53.219330980013048</v>
      </c>
      <c r="CO233" s="19"/>
      <c r="CP233" s="17"/>
      <c r="CQ233" s="14" t="s">
        <v>8663</v>
      </c>
      <c r="CR233" s="14" t="s">
        <v>8664</v>
      </c>
      <c r="CS233" s="14" t="s">
        <v>5004</v>
      </c>
    </row>
    <row r="234" spans="1:97" ht="26.15" customHeight="1">
      <c r="A234" s="2">
        <v>51</v>
      </c>
      <c r="B234" s="25" t="s">
        <v>1387</v>
      </c>
      <c r="C234" s="25" t="e">
        <f>VLOOKUP(B234, Sheet6!$A$1:$B$77, 2, FALSE)</f>
        <v>#N/A</v>
      </c>
      <c r="D234" s="25" t="s">
        <v>1388</v>
      </c>
      <c r="E234" s="25" t="s">
        <v>1389</v>
      </c>
      <c r="F234" s="25" t="s">
        <v>5691</v>
      </c>
      <c r="G234" s="25" t="s">
        <v>10955</v>
      </c>
      <c r="H234" s="25" t="s">
        <v>10959</v>
      </c>
      <c r="I234" s="25" t="s">
        <v>10958</v>
      </c>
      <c r="J234" s="26" t="s">
        <v>10842</v>
      </c>
      <c r="L234" s="13">
        <v>1999</v>
      </c>
      <c r="M234" s="14" t="s">
        <v>7608</v>
      </c>
      <c r="N234" s="14" t="s">
        <v>7609</v>
      </c>
      <c r="O234" s="14" t="s">
        <v>4343</v>
      </c>
      <c r="P234" s="15" t="s">
        <v>3117</v>
      </c>
      <c r="Q234" s="16">
        <v>37500000</v>
      </c>
      <c r="R234" s="17">
        <v>44096</v>
      </c>
      <c r="S234" s="16" t="s">
        <v>8665</v>
      </c>
      <c r="T234" s="16">
        <v>23500000</v>
      </c>
      <c r="U234" s="14" t="s">
        <v>95</v>
      </c>
      <c r="V234" s="13">
        <v>4</v>
      </c>
      <c r="W234" s="17">
        <v>44103</v>
      </c>
      <c r="X234" s="14" t="s">
        <v>5052</v>
      </c>
      <c r="Y234" s="17">
        <v>44102</v>
      </c>
      <c r="Z234" s="17">
        <v>44096</v>
      </c>
      <c r="AA234" s="14" t="s">
        <v>5041</v>
      </c>
      <c r="AB234" s="14" t="s">
        <v>5042</v>
      </c>
      <c r="AC234" s="14" t="s">
        <v>5486</v>
      </c>
      <c r="AD234" s="20" t="str">
        <f t="shared" si="15"/>
        <v>IoT Applications &gt; Industry Specific &gt; Agriculture &gt; Farms
Crop Tech &gt; Farm Analytics &gt; Multispectral Sensing</v>
      </c>
      <c r="AE234" s="20" t="str">
        <f t="shared" si="14"/>
        <v>IoT Applications</v>
      </c>
      <c r="AF234" s="20" t="str">
        <f t="shared" si="16"/>
        <v>Industry Specific</v>
      </c>
      <c r="AG234" s="20" t="str">
        <f t="shared" si="16"/>
        <v>Agriculture</v>
      </c>
      <c r="AH234" s="20" t="str">
        <f t="shared" si="16"/>
        <v>Farms
Crop Tech</v>
      </c>
      <c r="AI234" s="20" t="str">
        <f t="shared" si="16"/>
        <v>Farm Analytics</v>
      </c>
      <c r="AJ234" s="20" t="str">
        <f t="shared" si="16"/>
        <v>Multispectral Sensing</v>
      </c>
      <c r="AK234" s="20" t="str">
        <f t="shared" si="16"/>
        <v/>
      </c>
      <c r="AL234" s="14" t="s">
        <v>8666</v>
      </c>
      <c r="AM234" s="14"/>
      <c r="AO234" s="14"/>
      <c r="AP234" s="14" t="s">
        <v>4343</v>
      </c>
      <c r="AQ234" s="14" t="s">
        <v>8668</v>
      </c>
      <c r="AR234" s="14"/>
      <c r="AS234" s="14" t="s">
        <v>8669</v>
      </c>
      <c r="AT234" s="14" t="s">
        <v>8670</v>
      </c>
      <c r="AU234" s="14" t="s">
        <v>8671</v>
      </c>
      <c r="AV234" s="18" t="s">
        <v>8672</v>
      </c>
      <c r="AW234" s="16"/>
      <c r="AX234" s="17"/>
      <c r="AY234" s="15" t="s">
        <v>3123</v>
      </c>
      <c r="AZ234" s="17"/>
      <c r="BA234" s="16"/>
      <c r="BB234" s="14"/>
      <c r="BC234" s="14"/>
      <c r="BD234" s="15" t="s">
        <v>3123</v>
      </c>
      <c r="BE234" s="14"/>
      <c r="BF234" s="17"/>
      <c r="BG234" s="16"/>
      <c r="BH234" s="14"/>
      <c r="BI234" s="15" t="s">
        <v>3123</v>
      </c>
      <c r="BJ234" s="14"/>
      <c r="BK234" s="17"/>
      <c r="BL234" s="16"/>
      <c r="BM234" s="16"/>
      <c r="BN234" s="16"/>
      <c r="BO234" s="16"/>
      <c r="BP234" s="15" t="s">
        <v>3123</v>
      </c>
      <c r="BQ234" s="17"/>
      <c r="BR234" s="14"/>
      <c r="BS234" s="14"/>
      <c r="BT234" s="16"/>
      <c r="BU234" s="16"/>
      <c r="BV234" s="13"/>
      <c r="BW234" s="18" t="s">
        <v>8673</v>
      </c>
      <c r="BX234" s="13">
        <v>200</v>
      </c>
      <c r="BY234" s="17">
        <v>44118</v>
      </c>
      <c r="BZ234" s="18" t="s">
        <v>8674</v>
      </c>
      <c r="CA234" s="18" t="s">
        <v>8675</v>
      </c>
      <c r="CB234" s="18"/>
      <c r="CC234" s="18"/>
      <c r="CD234" s="14" t="s">
        <v>8676</v>
      </c>
      <c r="CE234" s="17">
        <v>42929</v>
      </c>
      <c r="CF234" s="16"/>
      <c r="CG234" s="17"/>
      <c r="CH234" s="16"/>
      <c r="CI234" s="17"/>
      <c r="CJ234" s="16"/>
      <c r="CK234" s="17"/>
      <c r="CL234" s="16"/>
      <c r="CM234" s="17"/>
      <c r="CN234" s="19">
        <v>55.081785322541194</v>
      </c>
      <c r="CO234" s="19"/>
      <c r="CP234" s="17"/>
      <c r="CQ234" s="14" t="s">
        <v>7284</v>
      </c>
      <c r="CR234" s="14" t="s">
        <v>6002</v>
      </c>
      <c r="CS234" s="14" t="s">
        <v>5945</v>
      </c>
    </row>
    <row r="235" spans="1:97" ht="26.15" customHeight="1">
      <c r="A235" s="2">
        <v>141</v>
      </c>
      <c r="B235" s="25" t="s">
        <v>1549</v>
      </c>
      <c r="C235" s="25" t="e">
        <f>VLOOKUP(B235, Sheet6!$A$1:$B$77, 2, FALSE)</f>
        <v>#N/A</v>
      </c>
      <c r="D235" s="25" t="s">
        <v>1550</v>
      </c>
      <c r="E235" s="25" t="s">
        <v>1552</v>
      </c>
      <c r="F235" s="25" t="s">
        <v>6814</v>
      </c>
      <c r="G235" s="25" t="s">
        <v>10955</v>
      </c>
      <c r="H235" s="25" t="s">
        <v>10957</v>
      </c>
      <c r="I235" s="25" t="s">
        <v>10958</v>
      </c>
      <c r="J235" s="26" t="s">
        <v>10821</v>
      </c>
      <c r="L235" s="13">
        <v>2014</v>
      </c>
      <c r="M235" s="14" t="s">
        <v>5592</v>
      </c>
      <c r="N235" s="14" t="s">
        <v>5313</v>
      </c>
      <c r="O235" s="14" t="s">
        <v>3994</v>
      </c>
      <c r="P235" s="15" t="s">
        <v>3117</v>
      </c>
      <c r="Q235" s="16">
        <v>492991</v>
      </c>
      <c r="R235" s="17">
        <v>43649</v>
      </c>
      <c r="S235" s="16" t="s">
        <v>8677</v>
      </c>
      <c r="T235" s="16">
        <v>492991</v>
      </c>
      <c r="U235" s="14" t="s">
        <v>34</v>
      </c>
      <c r="V235" s="13">
        <v>4</v>
      </c>
      <c r="W235" s="17">
        <v>44041</v>
      </c>
      <c r="X235" s="14"/>
      <c r="Y235" s="17"/>
      <c r="Z235" s="17"/>
      <c r="AA235" s="14" t="s">
        <v>1</v>
      </c>
      <c r="AB235" s="14" t="s">
        <v>5007</v>
      </c>
      <c r="AC235" s="14" t="s">
        <v>8678</v>
      </c>
      <c r="AD235" s="20" t="str">
        <f t="shared" si="15"/>
        <v>Crop Tech &gt; ECommerce &gt; Farm Inputs &gt; Multi Category &gt; Retailer &gt; Garden Supplies</v>
      </c>
      <c r="AE235" s="20" t="str">
        <f t="shared" si="14"/>
        <v>Crop Tech</v>
      </c>
      <c r="AF235" s="20" t="str">
        <f t="shared" si="16"/>
        <v>ECommerce</v>
      </c>
      <c r="AG235" s="20" t="str">
        <f t="shared" si="16"/>
        <v>Farm Inputs</v>
      </c>
      <c r="AH235" s="20" t="str">
        <f t="shared" si="16"/>
        <v>Multi Category</v>
      </c>
      <c r="AI235" s="20" t="str">
        <f t="shared" si="16"/>
        <v>Retailer</v>
      </c>
      <c r="AJ235" s="20" t="str">
        <f t="shared" si="16"/>
        <v>Garden Supplies</v>
      </c>
      <c r="AK235" s="20" t="str">
        <f t="shared" si="16"/>
        <v/>
      </c>
      <c r="AL235" s="14" t="s">
        <v>947</v>
      </c>
      <c r="AM235" s="14"/>
      <c r="AO235" s="14"/>
      <c r="AP235" s="14" t="s">
        <v>3994</v>
      </c>
      <c r="AQ235" s="14" t="s">
        <v>8680</v>
      </c>
      <c r="AR235" s="14" t="s">
        <v>8681</v>
      </c>
      <c r="AS235" s="14" t="s">
        <v>8682</v>
      </c>
      <c r="AT235" s="14" t="s">
        <v>8683</v>
      </c>
      <c r="AU235" s="14" t="s">
        <v>8684</v>
      </c>
      <c r="AV235" s="18" t="s">
        <v>8685</v>
      </c>
      <c r="AW235" s="16"/>
      <c r="AX235" s="17"/>
      <c r="AY235" s="15" t="s">
        <v>3123</v>
      </c>
      <c r="AZ235" s="17"/>
      <c r="BA235" s="16"/>
      <c r="BB235" s="14"/>
      <c r="BC235" s="14"/>
      <c r="BD235" s="15" t="s">
        <v>3123</v>
      </c>
      <c r="BE235" s="14"/>
      <c r="BF235" s="17"/>
      <c r="BG235" s="16"/>
      <c r="BH235" s="14"/>
      <c r="BI235" s="15" t="s">
        <v>3123</v>
      </c>
      <c r="BJ235" s="14"/>
      <c r="BK235" s="17"/>
      <c r="BL235" s="16"/>
      <c r="BM235" s="16"/>
      <c r="BN235" s="16"/>
      <c r="BO235" s="16"/>
      <c r="BP235" s="15" t="s">
        <v>3123</v>
      </c>
      <c r="BQ235" s="17"/>
      <c r="BR235" s="14"/>
      <c r="BS235" s="14"/>
      <c r="BT235" s="16"/>
      <c r="BU235" s="16"/>
      <c r="BV235" s="13"/>
      <c r="BW235" s="18" t="s">
        <v>8686</v>
      </c>
      <c r="BX235" s="13">
        <v>200</v>
      </c>
      <c r="BY235" s="17">
        <v>44117</v>
      </c>
      <c r="BZ235" s="18" t="s">
        <v>8687</v>
      </c>
      <c r="CA235" s="18" t="s">
        <v>8688</v>
      </c>
      <c r="CB235" s="18" t="s">
        <v>8689</v>
      </c>
      <c r="CC235" s="18"/>
      <c r="CD235" s="14" t="s">
        <v>8690</v>
      </c>
      <c r="CE235" s="17">
        <v>43682</v>
      </c>
      <c r="CF235" s="16"/>
      <c r="CG235" s="17"/>
      <c r="CH235" s="16"/>
      <c r="CI235" s="17"/>
      <c r="CJ235" s="16">
        <v>1000000</v>
      </c>
      <c r="CK235" s="17">
        <v>43649</v>
      </c>
      <c r="CL235" s="16"/>
      <c r="CM235" s="17"/>
      <c r="CN235" s="19">
        <v>39.843139602559148</v>
      </c>
      <c r="CO235" s="19"/>
      <c r="CP235" s="17"/>
      <c r="CQ235" s="14" t="s">
        <v>6487</v>
      </c>
      <c r="CR235" s="14" t="s">
        <v>5944</v>
      </c>
      <c r="CS235" s="14" t="s">
        <v>5945</v>
      </c>
    </row>
    <row r="236" spans="1:97" ht="26.15" customHeight="1">
      <c r="A236" s="2">
        <v>248</v>
      </c>
      <c r="B236" s="25" t="s">
        <v>1554</v>
      </c>
      <c r="C236" s="25" t="e">
        <f>VLOOKUP(B236, Sheet6!$A$1:$B$77, 2, FALSE)</f>
        <v>#N/A</v>
      </c>
      <c r="D236" s="25" t="s">
        <v>1555</v>
      </c>
      <c r="E236" s="25" t="s">
        <v>1558</v>
      </c>
      <c r="F236" s="25" t="s">
        <v>8123</v>
      </c>
      <c r="G236" s="25" t="s">
        <v>10955</v>
      </c>
      <c r="H236" s="25" t="s">
        <v>10957</v>
      </c>
      <c r="I236" s="25" t="s">
        <v>10958</v>
      </c>
      <c r="J236" s="25" t="s">
        <v>10993</v>
      </c>
      <c r="L236" s="13">
        <v>1965</v>
      </c>
      <c r="M236" s="14" t="s">
        <v>5050</v>
      </c>
      <c r="N236" s="14" t="s">
        <v>5050</v>
      </c>
      <c r="O236" s="14" t="s">
        <v>4343</v>
      </c>
      <c r="P236" s="15" t="s">
        <v>3117</v>
      </c>
      <c r="Q236" s="16"/>
      <c r="R236" s="17">
        <v>43608</v>
      </c>
      <c r="S236" s="16" t="s">
        <v>5022</v>
      </c>
      <c r="T236" s="16">
        <v>2010000</v>
      </c>
      <c r="U236" s="14" t="s">
        <v>5335</v>
      </c>
      <c r="V236" s="13">
        <v>5</v>
      </c>
      <c r="W236" s="17">
        <v>44050</v>
      </c>
      <c r="X236" s="14"/>
      <c r="Y236" s="17"/>
      <c r="Z236" s="17"/>
      <c r="AA236" s="14" t="s">
        <v>1</v>
      </c>
      <c r="AB236" s="14" t="s">
        <v>5007</v>
      </c>
      <c r="AC236" s="14" t="s">
        <v>6488</v>
      </c>
      <c r="AD236" s="20" t="str">
        <f t="shared" si="15"/>
        <v>Crop Tech &gt; Autonomous Farming &gt; Irrigation</v>
      </c>
      <c r="AE236" s="20" t="str">
        <f t="shared" si="14"/>
        <v>Crop Tech</v>
      </c>
      <c r="AF236" s="20" t="str">
        <f t="shared" si="16"/>
        <v>Autonomous Farming</v>
      </c>
      <c r="AG236" s="20" t="str">
        <f t="shared" si="16"/>
        <v>Irrigation</v>
      </c>
      <c r="AH236" s="20" t="str">
        <f t="shared" si="16"/>
        <v/>
      </c>
      <c r="AI236" s="20" t="str">
        <f t="shared" si="16"/>
        <v/>
      </c>
      <c r="AJ236" s="20" t="str">
        <f t="shared" si="16"/>
        <v/>
      </c>
      <c r="AK236" s="20" t="str">
        <f t="shared" si="16"/>
        <v/>
      </c>
      <c r="AL236" s="14" t="s">
        <v>8691</v>
      </c>
      <c r="AM236" s="14"/>
      <c r="AO236" s="14"/>
      <c r="AP236" s="14" t="s">
        <v>5319</v>
      </c>
      <c r="AQ236" s="14"/>
      <c r="AR236" s="14"/>
      <c r="AS236" s="14" t="s">
        <v>8693</v>
      </c>
      <c r="AT236" s="14"/>
      <c r="AU236" s="14"/>
      <c r="AV236" s="18" t="s">
        <v>8694</v>
      </c>
      <c r="AW236" s="16"/>
      <c r="AX236" s="17"/>
      <c r="AY236" s="15" t="s">
        <v>3123</v>
      </c>
      <c r="AZ236" s="17"/>
      <c r="BA236" s="16"/>
      <c r="BB236" s="14"/>
      <c r="BC236" s="14"/>
      <c r="BD236" s="15" t="s">
        <v>3117</v>
      </c>
      <c r="BE236" s="14" t="s">
        <v>8695</v>
      </c>
      <c r="BF236" s="17">
        <v>42954</v>
      </c>
      <c r="BG236" s="16">
        <v>1900000000</v>
      </c>
      <c r="BH236" s="14" t="s">
        <v>5342</v>
      </c>
      <c r="BI236" s="15" t="s">
        <v>3123</v>
      </c>
      <c r="BJ236" s="14"/>
      <c r="BK236" s="17"/>
      <c r="BL236" s="16"/>
      <c r="BM236" s="16"/>
      <c r="BN236" s="16"/>
      <c r="BO236" s="16"/>
      <c r="BP236" s="15" t="s">
        <v>3123</v>
      </c>
      <c r="BQ236" s="17"/>
      <c r="BR236" s="14"/>
      <c r="BS236" s="14"/>
      <c r="BT236" s="16"/>
      <c r="BU236" s="16"/>
      <c r="BV236" s="13"/>
      <c r="BW236" s="18" t="s">
        <v>8696</v>
      </c>
      <c r="BX236" s="13">
        <v>200</v>
      </c>
      <c r="BY236" s="17">
        <v>44117</v>
      </c>
      <c r="BZ236" s="18" t="s">
        <v>8697</v>
      </c>
      <c r="CA236" s="18" t="s">
        <v>8698</v>
      </c>
      <c r="CB236" s="18" t="s">
        <v>8699</v>
      </c>
      <c r="CC236" s="18" t="s">
        <v>8700</v>
      </c>
      <c r="CD236" s="14" t="s">
        <v>8701</v>
      </c>
      <c r="CE236" s="17">
        <v>43031</v>
      </c>
      <c r="CF236" s="16"/>
      <c r="CG236" s="17"/>
      <c r="CH236" s="16"/>
      <c r="CI236" s="17"/>
      <c r="CJ236" s="16"/>
      <c r="CK236" s="17"/>
      <c r="CL236" s="16"/>
      <c r="CM236" s="17"/>
      <c r="CN236" s="19">
        <v>58.540338432457062</v>
      </c>
      <c r="CO236" s="19"/>
      <c r="CP236" s="17"/>
      <c r="CQ236" s="14" t="s">
        <v>5345</v>
      </c>
      <c r="CR236" s="14" t="s">
        <v>7272</v>
      </c>
      <c r="CS236" s="14" t="s">
        <v>5945</v>
      </c>
    </row>
    <row r="237" spans="1:97" ht="26.15" customHeight="1">
      <c r="A237" s="2">
        <v>292</v>
      </c>
      <c r="B237" s="25" t="s">
        <v>849</v>
      </c>
      <c r="C237" s="25" t="e">
        <f>VLOOKUP(B237, Sheet6!$A$1:$B$77, 2, FALSE)</f>
        <v>#N/A</v>
      </c>
      <c r="D237" s="25" t="s">
        <v>850</v>
      </c>
      <c r="E237" s="25" t="s">
        <v>854</v>
      </c>
      <c r="F237" s="25" t="s">
        <v>8720</v>
      </c>
      <c r="G237" s="25" t="s">
        <v>10955</v>
      </c>
      <c r="H237" s="25" t="s">
        <v>10957</v>
      </c>
      <c r="I237" s="25">
        <v>0</v>
      </c>
      <c r="J237" s="25" t="s">
        <v>10846</v>
      </c>
      <c r="L237" s="13">
        <v>2013</v>
      </c>
      <c r="M237" s="14" t="s">
        <v>8717</v>
      </c>
      <c r="N237" s="14" t="s">
        <v>8718</v>
      </c>
      <c r="O237" s="14" t="s">
        <v>5562</v>
      </c>
      <c r="P237" s="15" t="s">
        <v>3117</v>
      </c>
      <c r="Q237" s="16">
        <v>18000000</v>
      </c>
      <c r="R237" s="17">
        <v>43713</v>
      </c>
      <c r="S237" s="16" t="s">
        <v>5224</v>
      </c>
      <c r="T237" s="16">
        <v>12000000</v>
      </c>
      <c r="U237" s="14" t="s">
        <v>109</v>
      </c>
      <c r="V237" s="13">
        <v>4</v>
      </c>
      <c r="W237" s="17">
        <v>44057</v>
      </c>
      <c r="X237" s="14" t="s">
        <v>5052</v>
      </c>
      <c r="Y237" s="17">
        <v>43880</v>
      </c>
      <c r="Z237" s="17">
        <v>43713</v>
      </c>
      <c r="AA237" s="14" t="s">
        <v>5041</v>
      </c>
      <c r="AB237" s="14" t="s">
        <v>5042</v>
      </c>
      <c r="AC237" s="14" t="s">
        <v>6172</v>
      </c>
      <c r="AD237" s="20" t="str">
        <f t="shared" si="15"/>
        <v>IoT Applications &gt; Industry Specific &gt; Agriculture &gt; Farms
Crop Tech &gt; Farm Analytics &gt; Diversified</v>
      </c>
      <c r="AE237" s="20" t="str">
        <f t="shared" si="14"/>
        <v>IoT Applications</v>
      </c>
      <c r="AF237" s="20" t="str">
        <f t="shared" si="16"/>
        <v>Industry Specific</v>
      </c>
      <c r="AG237" s="20" t="str">
        <f t="shared" si="16"/>
        <v>Agriculture</v>
      </c>
      <c r="AH237" s="20" t="str">
        <f t="shared" si="16"/>
        <v>Farms
Crop Tech</v>
      </c>
      <c r="AI237" s="20" t="str">
        <f t="shared" si="16"/>
        <v>Farm Analytics</v>
      </c>
      <c r="AJ237" s="20" t="str">
        <f t="shared" si="16"/>
        <v>Diversified</v>
      </c>
      <c r="AK237" s="20" t="str">
        <f t="shared" si="16"/>
        <v/>
      </c>
      <c r="AL237" s="14" t="s">
        <v>8719</v>
      </c>
      <c r="AM237" s="14"/>
      <c r="AO237" s="14"/>
      <c r="AP237" s="14" t="s">
        <v>5562</v>
      </c>
      <c r="AQ237" s="14" t="s">
        <v>8721</v>
      </c>
      <c r="AR237" s="14" t="s">
        <v>8722</v>
      </c>
      <c r="AS237" s="14" t="s">
        <v>8723</v>
      </c>
      <c r="AT237" s="14" t="s">
        <v>8724</v>
      </c>
      <c r="AU237" s="14" t="s">
        <v>8725</v>
      </c>
      <c r="AV237" s="18" t="s">
        <v>8726</v>
      </c>
      <c r="AW237" s="16"/>
      <c r="AX237" s="17"/>
      <c r="AY237" s="15" t="s">
        <v>3123</v>
      </c>
      <c r="AZ237" s="17"/>
      <c r="BA237" s="16"/>
      <c r="BB237" s="14"/>
      <c r="BC237" s="14"/>
      <c r="BD237" s="15" t="s">
        <v>3123</v>
      </c>
      <c r="BE237" s="14"/>
      <c r="BF237" s="17"/>
      <c r="BG237" s="16"/>
      <c r="BH237" s="14"/>
      <c r="BI237" s="15" t="s">
        <v>3123</v>
      </c>
      <c r="BJ237" s="14"/>
      <c r="BK237" s="17"/>
      <c r="BL237" s="16"/>
      <c r="BM237" s="16"/>
      <c r="BN237" s="16"/>
      <c r="BO237" s="16"/>
      <c r="BP237" s="15" t="s">
        <v>3123</v>
      </c>
      <c r="BQ237" s="17"/>
      <c r="BR237" s="14"/>
      <c r="BS237" s="14"/>
      <c r="BT237" s="16"/>
      <c r="BU237" s="16"/>
      <c r="BV237" s="13"/>
      <c r="BW237" s="18" t="s">
        <v>8727</v>
      </c>
      <c r="BX237" s="13">
        <v>200</v>
      </c>
      <c r="BY237" s="17">
        <v>44117</v>
      </c>
      <c r="BZ237" s="18" t="s">
        <v>8728</v>
      </c>
      <c r="CA237" s="18" t="s">
        <v>8729</v>
      </c>
      <c r="CB237" s="18" t="s">
        <v>8730</v>
      </c>
      <c r="CC237" s="18" t="s">
        <v>8731</v>
      </c>
      <c r="CD237" s="14" t="s">
        <v>8732</v>
      </c>
      <c r="CE237" s="17">
        <v>43983</v>
      </c>
      <c r="CF237" s="16"/>
      <c r="CG237" s="17"/>
      <c r="CH237" s="16"/>
      <c r="CI237" s="17"/>
      <c r="CJ237" s="16"/>
      <c r="CK237" s="17"/>
      <c r="CL237" s="16"/>
      <c r="CM237" s="17"/>
      <c r="CN237" s="19">
        <v>51.859025283760971</v>
      </c>
      <c r="CO237" s="19"/>
      <c r="CP237" s="17"/>
      <c r="CQ237" s="14" t="s">
        <v>5149</v>
      </c>
      <c r="CR237" s="14" t="s">
        <v>5150</v>
      </c>
      <c r="CS237" s="14" t="s">
        <v>5004</v>
      </c>
    </row>
    <row r="238" spans="1:97" ht="26.15" customHeight="1">
      <c r="A238" s="2">
        <v>457</v>
      </c>
      <c r="B238" s="25" t="s">
        <v>2369</v>
      </c>
      <c r="C238" s="25" t="e">
        <f>VLOOKUP(B238, Sheet6!$A$1:$B$77, 2, FALSE)</f>
        <v>#N/A</v>
      </c>
      <c r="D238" s="25" t="s">
        <v>2370</v>
      </c>
      <c r="E238" s="25" t="s">
        <v>2372</v>
      </c>
      <c r="F238" s="25" t="s">
        <v>9663</v>
      </c>
      <c r="G238" s="25" t="s">
        <v>10955</v>
      </c>
      <c r="H238" s="25" t="s">
        <v>10957</v>
      </c>
      <c r="I238" s="25" t="s">
        <v>10968</v>
      </c>
      <c r="J238" s="25" t="s">
        <v>10768</v>
      </c>
      <c r="L238" s="13">
        <v>2009</v>
      </c>
      <c r="M238" s="14" t="s">
        <v>5592</v>
      </c>
      <c r="N238" s="14" t="s">
        <v>5313</v>
      </c>
      <c r="O238" s="14" t="s">
        <v>3994</v>
      </c>
      <c r="P238" s="15" t="s">
        <v>3117</v>
      </c>
      <c r="Q238" s="16">
        <v>10590520</v>
      </c>
      <c r="R238" s="17">
        <v>43811</v>
      </c>
      <c r="S238" s="16" t="s">
        <v>6481</v>
      </c>
      <c r="T238" s="16">
        <v>6000000</v>
      </c>
      <c r="U238" s="14" t="s">
        <v>109</v>
      </c>
      <c r="V238" s="13">
        <v>4</v>
      </c>
      <c r="W238" s="17">
        <v>44050</v>
      </c>
      <c r="X238" s="14" t="s">
        <v>5052</v>
      </c>
      <c r="Y238" s="17">
        <v>43816</v>
      </c>
      <c r="Z238" s="17">
        <v>43811</v>
      </c>
      <c r="AA238" s="14" t="s">
        <v>5791</v>
      </c>
      <c r="AB238" s="14" t="s">
        <v>8590</v>
      </c>
      <c r="AC238" s="14" t="s">
        <v>8733</v>
      </c>
      <c r="AD238" s="20" t="str">
        <f t="shared" si="15"/>
        <v>Renewable Energy Tech &gt; Solar Energy &gt; Applications &gt; Agriculture and Food &gt; Smart Water Pumps &gt; Controllers
Crop Tech &gt; Farm Equipment &gt; Smart Solar Water Pumps &gt; Controllers</v>
      </c>
      <c r="AE238" s="20" t="str">
        <f t="shared" si="14"/>
        <v>Renewable Energy Tech</v>
      </c>
      <c r="AF238" s="20" t="str">
        <f t="shared" si="16"/>
        <v>Solar Energy</v>
      </c>
      <c r="AG238" s="20" t="str">
        <f t="shared" si="16"/>
        <v>Applications</v>
      </c>
      <c r="AH238" s="20" t="str">
        <f t="shared" si="16"/>
        <v>Agriculture and Food</v>
      </c>
      <c r="AI238" s="20" t="str">
        <f t="shared" si="16"/>
        <v>Smart Water Pumps</v>
      </c>
      <c r="AJ238" s="20" t="str">
        <f t="shared" si="16"/>
        <v>Controllers
Crop Tech</v>
      </c>
      <c r="AK238" s="20" t="str">
        <f t="shared" si="16"/>
        <v>Farm Equipment</v>
      </c>
      <c r="AL238" s="14" t="s">
        <v>8734</v>
      </c>
      <c r="AM238" s="14" t="s">
        <v>8735</v>
      </c>
      <c r="AO238" s="14"/>
      <c r="AP238" s="14" t="s">
        <v>3994</v>
      </c>
      <c r="AQ238" s="14" t="s">
        <v>8737</v>
      </c>
      <c r="AR238" s="14" t="s">
        <v>8738</v>
      </c>
      <c r="AS238" s="14" t="s">
        <v>8739</v>
      </c>
      <c r="AT238" s="14" t="s">
        <v>8740</v>
      </c>
      <c r="AU238" s="14" t="s">
        <v>8741</v>
      </c>
      <c r="AV238" s="18" t="s">
        <v>8742</v>
      </c>
      <c r="AW238" s="16">
        <v>9797193</v>
      </c>
      <c r="AX238" s="17">
        <v>43465</v>
      </c>
      <c r="AY238" s="15" t="s">
        <v>3117</v>
      </c>
      <c r="AZ238" s="17">
        <v>40471</v>
      </c>
      <c r="BA238" s="16">
        <v>2703</v>
      </c>
      <c r="BB238" s="14" t="s">
        <v>8743</v>
      </c>
      <c r="BC238" s="14"/>
      <c r="BD238" s="15" t="s">
        <v>3123</v>
      </c>
      <c r="BE238" s="14"/>
      <c r="BF238" s="17"/>
      <c r="BG238" s="16"/>
      <c r="BH238" s="14"/>
      <c r="BI238" s="15" t="s">
        <v>3123</v>
      </c>
      <c r="BJ238" s="14"/>
      <c r="BK238" s="17"/>
      <c r="BL238" s="16"/>
      <c r="BM238" s="16"/>
      <c r="BN238" s="16"/>
      <c r="BO238" s="16"/>
      <c r="BP238" s="15" t="s">
        <v>3123</v>
      </c>
      <c r="BQ238" s="17"/>
      <c r="BR238" s="14"/>
      <c r="BS238" s="14"/>
      <c r="BT238" s="16"/>
      <c r="BU238" s="16"/>
      <c r="BV238" s="13"/>
      <c r="BW238" s="18" t="s">
        <v>8744</v>
      </c>
      <c r="BX238" s="13">
        <v>200</v>
      </c>
      <c r="BY238" s="17">
        <v>44116</v>
      </c>
      <c r="BZ238" s="18" t="s">
        <v>8745</v>
      </c>
      <c r="CA238" s="18" t="s">
        <v>8746</v>
      </c>
      <c r="CB238" s="18" t="s">
        <v>8747</v>
      </c>
      <c r="CC238" s="18"/>
      <c r="CD238" s="14" t="s">
        <v>8748</v>
      </c>
      <c r="CE238" s="17">
        <v>43031</v>
      </c>
      <c r="CF238" s="16">
        <v>-486610</v>
      </c>
      <c r="CG238" s="17">
        <v>43465</v>
      </c>
      <c r="CH238" s="16">
        <v>-86979</v>
      </c>
      <c r="CI238" s="17">
        <v>43465</v>
      </c>
      <c r="CJ238" s="16">
        <v>20000000</v>
      </c>
      <c r="CK238" s="17">
        <v>43803</v>
      </c>
      <c r="CL238" s="16">
        <v>276</v>
      </c>
      <c r="CM238" s="17">
        <v>43921</v>
      </c>
      <c r="CN238" s="19">
        <v>61.821519399240991</v>
      </c>
      <c r="CO238" s="19"/>
      <c r="CP238" s="17"/>
      <c r="CQ238" s="14" t="s">
        <v>6365</v>
      </c>
      <c r="CR238" s="14" t="s">
        <v>8749</v>
      </c>
      <c r="CS238" s="14" t="s">
        <v>5004</v>
      </c>
    </row>
    <row r="239" spans="1:97" ht="26.15" customHeight="1">
      <c r="A239" s="2">
        <v>240</v>
      </c>
      <c r="B239" s="25" t="s">
        <v>1780</v>
      </c>
      <c r="C239" s="25" t="e">
        <f>VLOOKUP(B239, Sheet6!$A$1:$B$77, 2, FALSE)</f>
        <v>#N/A</v>
      </c>
      <c r="D239" s="25" t="s">
        <v>1781</v>
      </c>
      <c r="E239" s="25" t="s">
        <v>1782</v>
      </c>
      <c r="F239" s="25" t="s">
        <v>8012</v>
      </c>
      <c r="G239" s="25" t="s">
        <v>10952</v>
      </c>
      <c r="H239" s="25" t="s">
        <v>10558</v>
      </c>
      <c r="I239" s="25" t="s">
        <v>10558</v>
      </c>
      <c r="J239" s="25" t="s">
        <v>10846</v>
      </c>
      <c r="L239" s="13">
        <v>2001</v>
      </c>
      <c r="M239" s="14" t="s">
        <v>8750</v>
      </c>
      <c r="N239" s="14" t="s">
        <v>8019</v>
      </c>
      <c r="O239" s="14" t="s">
        <v>5208</v>
      </c>
      <c r="P239" s="15" t="s">
        <v>3117</v>
      </c>
      <c r="Q239" s="16"/>
      <c r="R239" s="17">
        <v>43356</v>
      </c>
      <c r="S239" s="16"/>
      <c r="T239" s="16" t="s">
        <v>50</v>
      </c>
      <c r="U239" s="14" t="s">
        <v>5040</v>
      </c>
      <c r="V239" s="13">
        <v>2</v>
      </c>
      <c r="W239" s="17">
        <v>44081</v>
      </c>
      <c r="X239" s="14"/>
      <c r="Y239" s="17"/>
      <c r="Z239" s="17"/>
      <c r="AA239" s="14" t="s">
        <v>1</v>
      </c>
      <c r="AB239" s="14" t="s">
        <v>5084</v>
      </c>
      <c r="AC239" s="14" t="s">
        <v>6268</v>
      </c>
      <c r="AD239" s="20" t="str">
        <f t="shared" si="15"/>
        <v>Livestock Tech &gt; Livestock Management Software</v>
      </c>
      <c r="AE239" s="20" t="str">
        <f t="shared" si="14"/>
        <v>Livestock Tech</v>
      </c>
      <c r="AF239" s="20" t="str">
        <f t="shared" si="16"/>
        <v>Livestock Management Software</v>
      </c>
      <c r="AG239" s="20" t="str">
        <f t="shared" si="16"/>
        <v/>
      </c>
      <c r="AH239" s="20" t="str">
        <f t="shared" si="16"/>
        <v/>
      </c>
      <c r="AI239" s="20" t="str">
        <f t="shared" si="16"/>
        <v/>
      </c>
      <c r="AJ239" s="20" t="str">
        <f t="shared" si="16"/>
        <v/>
      </c>
      <c r="AK239" s="20" t="str">
        <f t="shared" si="16"/>
        <v/>
      </c>
      <c r="AL239" s="14" t="s">
        <v>3978</v>
      </c>
      <c r="AM239" s="14"/>
      <c r="AO239" s="14"/>
      <c r="AP239" s="14" t="s">
        <v>5208</v>
      </c>
      <c r="AQ239" s="14" t="s">
        <v>8752</v>
      </c>
      <c r="AR239" s="14" t="s">
        <v>8753</v>
      </c>
      <c r="AS239" s="14" t="s">
        <v>8754</v>
      </c>
      <c r="AT239" s="14" t="s">
        <v>8755</v>
      </c>
      <c r="AU239" s="14" t="s">
        <v>8756</v>
      </c>
      <c r="AV239" s="18" t="s">
        <v>8757</v>
      </c>
      <c r="AW239" s="16"/>
      <c r="AX239" s="17"/>
      <c r="AY239" s="15" t="s">
        <v>3123</v>
      </c>
      <c r="AZ239" s="17"/>
      <c r="BA239" s="16"/>
      <c r="BB239" s="14"/>
      <c r="BC239" s="14"/>
      <c r="BD239" s="15" t="s">
        <v>3123</v>
      </c>
      <c r="BE239" s="14"/>
      <c r="BF239" s="17"/>
      <c r="BG239" s="16"/>
      <c r="BH239" s="14"/>
      <c r="BI239" s="15" t="s">
        <v>3123</v>
      </c>
      <c r="BJ239" s="14"/>
      <c r="BK239" s="17"/>
      <c r="BL239" s="16"/>
      <c r="BM239" s="16"/>
      <c r="BN239" s="16"/>
      <c r="BO239" s="16"/>
      <c r="BP239" s="15" t="s">
        <v>3123</v>
      </c>
      <c r="BQ239" s="17"/>
      <c r="BR239" s="14"/>
      <c r="BS239" s="14"/>
      <c r="BT239" s="16"/>
      <c r="BU239" s="16"/>
      <c r="BV239" s="13"/>
      <c r="BW239" s="18" t="s">
        <v>8758</v>
      </c>
      <c r="BX239" s="13">
        <v>200</v>
      </c>
      <c r="BY239" s="17">
        <v>44116</v>
      </c>
      <c r="BZ239" s="18" t="s">
        <v>8759</v>
      </c>
      <c r="CA239" s="18" t="s">
        <v>8760</v>
      </c>
      <c r="CB239" s="18" t="s">
        <v>8761</v>
      </c>
      <c r="CC239" s="18" t="s">
        <v>8762</v>
      </c>
      <c r="CD239" s="14" t="s">
        <v>8763</v>
      </c>
      <c r="CE239" s="17">
        <v>43367</v>
      </c>
      <c r="CF239" s="16"/>
      <c r="CG239" s="17"/>
      <c r="CH239" s="16"/>
      <c r="CI239" s="17"/>
      <c r="CJ239" s="16"/>
      <c r="CK239" s="17"/>
      <c r="CL239" s="16"/>
      <c r="CM239" s="17"/>
      <c r="CN239" s="19">
        <v>36.470889949948443</v>
      </c>
      <c r="CO239" s="19"/>
      <c r="CP239" s="17"/>
      <c r="CQ239" s="14" t="s">
        <v>5036</v>
      </c>
      <c r="CR239" s="14" t="s">
        <v>5310</v>
      </c>
      <c r="CS239" s="14" t="s">
        <v>5521</v>
      </c>
    </row>
    <row r="240" spans="1:97" ht="26.15" customHeight="1">
      <c r="A240" s="2">
        <v>415</v>
      </c>
      <c r="B240" s="25" t="s">
        <v>2564</v>
      </c>
      <c r="C240" s="25" t="e">
        <f>VLOOKUP(B240, Sheet6!$A$1:$B$77, 2, FALSE)</f>
        <v>#N/A</v>
      </c>
      <c r="D240" s="25" t="s">
        <v>2565</v>
      </c>
      <c r="E240" s="25" t="s">
        <v>2567</v>
      </c>
      <c r="F240" s="25" t="s">
        <v>9421</v>
      </c>
      <c r="G240" s="25" t="s">
        <v>10955</v>
      </c>
      <c r="H240" s="25" t="s">
        <v>10957</v>
      </c>
      <c r="I240" s="25" t="s">
        <v>10558</v>
      </c>
      <c r="J240" s="25" t="s">
        <v>10735</v>
      </c>
      <c r="L240" s="13">
        <v>2013</v>
      </c>
      <c r="M240" s="14" t="s">
        <v>5038</v>
      </c>
      <c r="N240" s="14" t="s">
        <v>5039</v>
      </c>
      <c r="O240" s="14" t="s">
        <v>3994</v>
      </c>
      <c r="P240" s="15" t="s">
        <v>3117</v>
      </c>
      <c r="Q240" s="16">
        <v>133229</v>
      </c>
      <c r="R240" s="17">
        <v>43075</v>
      </c>
      <c r="S240" s="16" t="s">
        <v>8764</v>
      </c>
      <c r="T240" s="16">
        <v>69074</v>
      </c>
      <c r="U240" s="14" t="s">
        <v>34</v>
      </c>
      <c r="V240" s="13">
        <v>4</v>
      </c>
      <c r="W240" s="17">
        <v>44057</v>
      </c>
      <c r="X240" s="14"/>
      <c r="Y240" s="17"/>
      <c r="Z240" s="17"/>
      <c r="AA240" s="14" t="s">
        <v>5041</v>
      </c>
      <c r="AB240" s="14" t="s">
        <v>5042</v>
      </c>
      <c r="AC240" s="14" t="s">
        <v>5486</v>
      </c>
      <c r="AD240" s="20" t="str">
        <f t="shared" si="15"/>
        <v>IoT Applications &gt; Industry Specific &gt; Agriculture &gt; Farms
Crop Tech &gt; Farm Analytics &gt; Multispectral Sensing</v>
      </c>
      <c r="AE240" s="20" t="str">
        <f t="shared" si="14"/>
        <v>IoT Applications</v>
      </c>
      <c r="AF240" s="20" t="str">
        <f t="shared" si="16"/>
        <v>Industry Specific</v>
      </c>
      <c r="AG240" s="20" t="str">
        <f t="shared" si="16"/>
        <v>Agriculture</v>
      </c>
      <c r="AH240" s="20" t="str">
        <f t="shared" si="16"/>
        <v>Farms
Crop Tech</v>
      </c>
      <c r="AI240" s="20" t="str">
        <f t="shared" si="16"/>
        <v>Farm Analytics</v>
      </c>
      <c r="AJ240" s="20" t="str">
        <f t="shared" si="16"/>
        <v>Multispectral Sensing</v>
      </c>
      <c r="AK240" s="20" t="str">
        <f t="shared" si="16"/>
        <v/>
      </c>
      <c r="AL240" s="14" t="s">
        <v>3639</v>
      </c>
      <c r="AM240" s="14" t="s">
        <v>8765</v>
      </c>
      <c r="AO240" s="14"/>
      <c r="AP240" s="14" t="s">
        <v>3994</v>
      </c>
      <c r="AQ240" s="14"/>
      <c r="AR240" s="14"/>
      <c r="AS240" s="14" t="s">
        <v>8767</v>
      </c>
      <c r="AT240" s="14" t="s">
        <v>8768</v>
      </c>
      <c r="AU240" s="14" t="s">
        <v>8769</v>
      </c>
      <c r="AV240" s="18"/>
      <c r="AW240" s="16">
        <v>76500</v>
      </c>
      <c r="AX240" s="17">
        <v>43100</v>
      </c>
      <c r="AY240" s="15" t="s">
        <v>3117</v>
      </c>
      <c r="AZ240" s="17">
        <v>41551</v>
      </c>
      <c r="BA240" s="16">
        <v>1618</v>
      </c>
      <c r="BB240" s="14" t="s">
        <v>8770</v>
      </c>
      <c r="BC240" s="14"/>
      <c r="BD240" s="15" t="s">
        <v>3123</v>
      </c>
      <c r="BE240" s="14"/>
      <c r="BF240" s="17"/>
      <c r="BG240" s="16"/>
      <c r="BH240" s="14"/>
      <c r="BI240" s="15" t="s">
        <v>3123</v>
      </c>
      <c r="BJ240" s="14"/>
      <c r="BK240" s="17"/>
      <c r="BL240" s="16"/>
      <c r="BM240" s="16"/>
      <c r="BN240" s="16"/>
      <c r="BO240" s="16"/>
      <c r="BP240" s="15" t="s">
        <v>3123</v>
      </c>
      <c r="BQ240" s="17"/>
      <c r="BR240" s="14"/>
      <c r="BS240" s="14"/>
      <c r="BT240" s="16"/>
      <c r="BU240" s="16"/>
      <c r="BV240" s="13"/>
      <c r="BW240" s="18" t="s">
        <v>8771</v>
      </c>
      <c r="BX240" s="13">
        <v>200</v>
      </c>
      <c r="BY240" s="17">
        <v>44116</v>
      </c>
      <c r="BZ240" s="18" t="s">
        <v>8772</v>
      </c>
      <c r="CA240" s="18" t="s">
        <v>8773</v>
      </c>
      <c r="CB240" s="18" t="s">
        <v>8774</v>
      </c>
      <c r="CC240" s="18"/>
      <c r="CD240" s="14" t="s">
        <v>8775</v>
      </c>
      <c r="CE240" s="17">
        <v>42929</v>
      </c>
      <c r="CF240" s="16">
        <v>-20800</v>
      </c>
      <c r="CG240" s="17">
        <v>43100</v>
      </c>
      <c r="CH240" s="16">
        <v>-20800</v>
      </c>
      <c r="CI240" s="17">
        <v>43100</v>
      </c>
      <c r="CJ240" s="16"/>
      <c r="CK240" s="17"/>
      <c r="CL240" s="16"/>
      <c r="CM240" s="17"/>
      <c r="CN240" s="19">
        <v>38.739234556602689</v>
      </c>
      <c r="CO240" s="19"/>
      <c r="CP240" s="17"/>
      <c r="CQ240" s="14" t="s">
        <v>5036</v>
      </c>
      <c r="CR240" s="14" t="s">
        <v>5962</v>
      </c>
      <c r="CS240" s="14" t="s">
        <v>5945</v>
      </c>
    </row>
    <row r="241" spans="1:97" ht="26.15" customHeight="1">
      <c r="A241" s="2">
        <v>31</v>
      </c>
      <c r="B241" s="25" t="s">
        <v>1276</v>
      </c>
      <c r="C241" s="25" t="e">
        <f>VLOOKUP(B241, Sheet6!$A$1:$B$77, 2, FALSE)</f>
        <v>#N/A</v>
      </c>
      <c r="D241" s="25" t="s">
        <v>1277</v>
      </c>
      <c r="E241" s="25" t="s">
        <v>1279</v>
      </c>
      <c r="F241" s="25" t="s">
        <v>5419</v>
      </c>
      <c r="G241" s="51" t="s">
        <v>11107</v>
      </c>
      <c r="H241" s="25" t="s">
        <v>10957</v>
      </c>
      <c r="I241" s="25" t="s">
        <v>10958</v>
      </c>
      <c r="J241" s="26" t="s">
        <v>10821</v>
      </c>
      <c r="L241" s="13">
        <v>2012</v>
      </c>
      <c r="M241" s="14" t="s">
        <v>8776</v>
      </c>
      <c r="N241" s="14" t="s">
        <v>6480</v>
      </c>
      <c r="O241" s="14" t="s">
        <v>3994</v>
      </c>
      <c r="P241" s="15" t="s">
        <v>3117</v>
      </c>
      <c r="Q241" s="16">
        <v>6780764</v>
      </c>
      <c r="R241" s="17">
        <v>43220</v>
      </c>
      <c r="S241" s="16" t="s">
        <v>5543</v>
      </c>
      <c r="T241" s="16">
        <v>5439750</v>
      </c>
      <c r="U241" s="14" t="s">
        <v>25</v>
      </c>
      <c r="V241" s="13">
        <v>5</v>
      </c>
      <c r="W241" s="17">
        <v>44098</v>
      </c>
      <c r="X241" s="14"/>
      <c r="Y241" s="17"/>
      <c r="Z241" s="17"/>
      <c r="AA241" s="14" t="s">
        <v>5041</v>
      </c>
      <c r="AB241" s="14" t="s">
        <v>6243</v>
      </c>
      <c r="AC241" s="14" t="s">
        <v>8777</v>
      </c>
      <c r="AD241" s="20" t="str">
        <f t="shared" si="15"/>
        <v>IoT Applications &gt; Industry Specific &gt; Agriculture &gt; Aquaculture
Aquaculture Tech &gt; Farm Monitoring &gt; Diversified</v>
      </c>
      <c r="AE241" s="20" t="str">
        <f t="shared" si="14"/>
        <v>IoT Applications</v>
      </c>
      <c r="AF241" s="20" t="str">
        <f t="shared" si="16"/>
        <v>Industry Specific</v>
      </c>
      <c r="AG241" s="20" t="str">
        <f t="shared" si="16"/>
        <v>Agriculture</v>
      </c>
      <c r="AH241" s="20" t="str">
        <f t="shared" si="16"/>
        <v>Aquaculture
Aquaculture Tech</v>
      </c>
      <c r="AI241" s="20" t="str">
        <f t="shared" si="16"/>
        <v>Farm Monitoring</v>
      </c>
      <c r="AJ241" s="20" t="str">
        <f t="shared" si="16"/>
        <v>Diversified</v>
      </c>
      <c r="AK241" s="20" t="str">
        <f t="shared" si="16"/>
        <v/>
      </c>
      <c r="AL241" s="14" t="s">
        <v>8778</v>
      </c>
      <c r="AM241" s="14"/>
      <c r="AO241" s="14"/>
      <c r="AP241" s="14" t="s">
        <v>3994</v>
      </c>
      <c r="AQ241" s="14"/>
      <c r="AR241" s="14"/>
      <c r="AS241" s="14" t="s">
        <v>8780</v>
      </c>
      <c r="AT241" s="14" t="s">
        <v>8781</v>
      </c>
      <c r="AU241" s="14" t="s">
        <v>8782</v>
      </c>
      <c r="AV241" s="18" t="s">
        <v>8783</v>
      </c>
      <c r="AW241" s="16">
        <v>1360200</v>
      </c>
      <c r="AX241" s="17">
        <v>43465</v>
      </c>
      <c r="AY241" s="15" t="s">
        <v>3117</v>
      </c>
      <c r="AZ241" s="17">
        <v>41187</v>
      </c>
      <c r="BA241" s="16">
        <v>1931</v>
      </c>
      <c r="BB241" s="14" t="s">
        <v>8784</v>
      </c>
      <c r="BC241" s="14"/>
      <c r="BD241" s="15" t="s">
        <v>3123</v>
      </c>
      <c r="BE241" s="14"/>
      <c r="BF241" s="17"/>
      <c r="BG241" s="16"/>
      <c r="BH241" s="14"/>
      <c r="BI241" s="15" t="s">
        <v>3123</v>
      </c>
      <c r="BJ241" s="14"/>
      <c r="BK241" s="17"/>
      <c r="BL241" s="16"/>
      <c r="BM241" s="16"/>
      <c r="BN241" s="16"/>
      <c r="BO241" s="16"/>
      <c r="BP241" s="15" t="s">
        <v>3123</v>
      </c>
      <c r="BQ241" s="17"/>
      <c r="BR241" s="14"/>
      <c r="BS241" s="14"/>
      <c r="BT241" s="16"/>
      <c r="BU241" s="16"/>
      <c r="BV241" s="13"/>
      <c r="BW241" s="18" t="s">
        <v>8785</v>
      </c>
      <c r="BX241" s="13">
        <v>200</v>
      </c>
      <c r="BY241" s="17">
        <v>44116</v>
      </c>
      <c r="BZ241" s="18" t="s">
        <v>8786</v>
      </c>
      <c r="CA241" s="18" t="s">
        <v>8787</v>
      </c>
      <c r="CB241" s="18" t="s">
        <v>8788</v>
      </c>
      <c r="CC241" s="18"/>
      <c r="CD241" s="14" t="s">
        <v>8789</v>
      </c>
      <c r="CE241" s="17">
        <v>42934</v>
      </c>
      <c r="CF241" s="16">
        <v>-270300</v>
      </c>
      <c r="CG241" s="17">
        <v>43100</v>
      </c>
      <c r="CH241" s="16">
        <v>-249400</v>
      </c>
      <c r="CI241" s="17">
        <v>43100</v>
      </c>
      <c r="CJ241" s="16">
        <v>20000000</v>
      </c>
      <c r="CK241" s="17">
        <v>43146</v>
      </c>
      <c r="CL241" s="16">
        <v>60</v>
      </c>
      <c r="CM241" s="17">
        <v>44012</v>
      </c>
      <c r="CN241" s="19">
        <v>53.99806641757668</v>
      </c>
      <c r="CO241" s="19"/>
      <c r="CP241" s="17"/>
      <c r="CQ241" s="14" t="s">
        <v>6493</v>
      </c>
      <c r="CR241" s="14" t="s">
        <v>8790</v>
      </c>
      <c r="CS241" s="14" t="s">
        <v>5004</v>
      </c>
    </row>
    <row r="242" spans="1:97" ht="26.15" customHeight="1">
      <c r="A242" s="2">
        <v>408</v>
      </c>
      <c r="B242" s="25" t="s">
        <v>2583</v>
      </c>
      <c r="C242" s="25" t="e">
        <f>VLOOKUP(B242, Sheet6!$A$1:$B$77, 2, FALSE)</f>
        <v>#N/A</v>
      </c>
      <c r="D242" s="25" t="s">
        <v>2584</v>
      </c>
      <c r="E242" s="25" t="s">
        <v>2586</v>
      </c>
      <c r="F242" s="25" t="s">
        <v>9365</v>
      </c>
      <c r="G242" s="25" t="s">
        <v>10953</v>
      </c>
      <c r="H242" s="25" t="s">
        <v>10967</v>
      </c>
      <c r="I242" s="25" t="s">
        <v>10558</v>
      </c>
      <c r="J242" s="25" t="s">
        <v>10821</v>
      </c>
      <c r="L242" s="13">
        <v>2011</v>
      </c>
      <c r="M242" s="14" t="s">
        <v>5038</v>
      </c>
      <c r="N242" s="14" t="s">
        <v>5039</v>
      </c>
      <c r="O242" s="14" t="s">
        <v>3994</v>
      </c>
      <c r="P242" s="15" t="s">
        <v>3117</v>
      </c>
      <c r="Q242" s="16">
        <v>3574388</v>
      </c>
      <c r="R242" s="17">
        <v>43817</v>
      </c>
      <c r="S242" s="16" t="s">
        <v>8791</v>
      </c>
      <c r="T242" s="16">
        <v>42235</v>
      </c>
      <c r="U242" s="14" t="s">
        <v>109</v>
      </c>
      <c r="V242" s="13">
        <v>3</v>
      </c>
      <c r="W242" s="17">
        <v>44060</v>
      </c>
      <c r="X242" s="14"/>
      <c r="Y242" s="17"/>
      <c r="Z242" s="17"/>
      <c r="AA242" s="14" t="s">
        <v>8792</v>
      </c>
      <c r="AB242" s="14" t="s">
        <v>8793</v>
      </c>
      <c r="AC242" s="14" t="s">
        <v>8794</v>
      </c>
      <c r="AD242" s="20" t="str">
        <f t="shared" si="15"/>
        <v>Crop Tech &gt; Farm Inputs &gt; Biologicals &gt; Crop Protection &gt; Pheromones
Chemicals Tech &gt; Green Chemicals &gt; Crop Protection &gt; Pheromones
CIIE Batches &gt; 2013</v>
      </c>
      <c r="AE242" s="20" t="str">
        <f t="shared" si="14"/>
        <v>Crop Tech</v>
      </c>
      <c r="AF242" s="20" t="str">
        <f t="shared" si="16"/>
        <v>Farm Inputs</v>
      </c>
      <c r="AG242" s="20" t="str">
        <f t="shared" si="16"/>
        <v>Biologicals</v>
      </c>
      <c r="AH242" s="20" t="str">
        <f t="shared" si="16"/>
        <v>Crop Protection</v>
      </c>
      <c r="AI242" s="20" t="str">
        <f t="shared" si="16"/>
        <v>Pheromones
Chemicals Tech</v>
      </c>
      <c r="AJ242" s="20" t="str">
        <f t="shared" si="16"/>
        <v>Green Chemicals</v>
      </c>
      <c r="AK242" s="20" t="str">
        <f t="shared" si="16"/>
        <v>Crop Protection</v>
      </c>
      <c r="AL242" s="14" t="s">
        <v>8795</v>
      </c>
      <c r="AM242" s="14" t="s">
        <v>624</v>
      </c>
      <c r="AO242" s="14"/>
      <c r="AP242" s="14" t="s">
        <v>3994</v>
      </c>
      <c r="AQ242" s="14" t="s">
        <v>8797</v>
      </c>
      <c r="AR242" s="14" t="s">
        <v>8798</v>
      </c>
      <c r="AS242" s="14" t="s">
        <v>8799</v>
      </c>
      <c r="AT242" s="14" t="s">
        <v>8800</v>
      </c>
      <c r="AU242" s="14" t="s">
        <v>8801</v>
      </c>
      <c r="AV242" s="18" t="s">
        <v>8802</v>
      </c>
      <c r="AW242" s="16">
        <v>1372600</v>
      </c>
      <c r="AX242" s="17">
        <v>43465</v>
      </c>
      <c r="AY242" s="15" t="s">
        <v>3117</v>
      </c>
      <c r="AZ242" s="17">
        <v>40581</v>
      </c>
      <c r="BA242" s="16">
        <v>2153</v>
      </c>
      <c r="BB242" s="14" t="s">
        <v>8803</v>
      </c>
      <c r="BC242" s="14"/>
      <c r="BD242" s="15" t="s">
        <v>3123</v>
      </c>
      <c r="BE242" s="14"/>
      <c r="BF242" s="17"/>
      <c r="BG242" s="16"/>
      <c r="BH242" s="14"/>
      <c r="BI242" s="15" t="s">
        <v>3123</v>
      </c>
      <c r="BJ242" s="14"/>
      <c r="BK242" s="17"/>
      <c r="BL242" s="16"/>
      <c r="BM242" s="16"/>
      <c r="BN242" s="16"/>
      <c r="BO242" s="16"/>
      <c r="BP242" s="15" t="s">
        <v>3123</v>
      </c>
      <c r="BQ242" s="17"/>
      <c r="BR242" s="14"/>
      <c r="BS242" s="14"/>
      <c r="BT242" s="16"/>
      <c r="BU242" s="16"/>
      <c r="BV242" s="13"/>
      <c r="BW242" s="18" t="s">
        <v>8804</v>
      </c>
      <c r="BX242" s="13">
        <v>200</v>
      </c>
      <c r="BY242" s="17">
        <v>44116</v>
      </c>
      <c r="BZ242" s="18" t="s">
        <v>8805</v>
      </c>
      <c r="CA242" s="18" t="s">
        <v>8806</v>
      </c>
      <c r="CB242" s="18" t="s">
        <v>8807</v>
      </c>
      <c r="CC242" s="18"/>
      <c r="CD242" s="14" t="s">
        <v>8808</v>
      </c>
      <c r="CE242" s="17">
        <v>43056</v>
      </c>
      <c r="CF242" s="16">
        <v>-357600</v>
      </c>
      <c r="CG242" s="17">
        <v>43465</v>
      </c>
      <c r="CH242" s="16">
        <v>-297201</v>
      </c>
      <c r="CI242" s="17">
        <v>43465</v>
      </c>
      <c r="CJ242" s="16">
        <v>6000000</v>
      </c>
      <c r="CK242" s="17">
        <v>43389</v>
      </c>
      <c r="CL242" s="16"/>
      <c r="CM242" s="17"/>
      <c r="CN242" s="19">
        <v>43.24878371902394</v>
      </c>
      <c r="CO242" s="19"/>
      <c r="CP242" s="17"/>
      <c r="CQ242" s="14" t="s">
        <v>5345</v>
      </c>
      <c r="CR242" s="14" t="s">
        <v>8809</v>
      </c>
      <c r="CS242" s="14" t="s">
        <v>5311</v>
      </c>
    </row>
    <row r="243" spans="1:97" ht="26.15" customHeight="1">
      <c r="A243" s="2">
        <v>182</v>
      </c>
      <c r="B243" s="25" t="s">
        <v>1448</v>
      </c>
      <c r="C243" s="25" t="e">
        <f>VLOOKUP(B243, Sheet6!$A$1:$B$77, 2, FALSE)</f>
        <v>#N/A</v>
      </c>
      <c r="D243" s="25" t="s">
        <v>1449</v>
      </c>
      <c r="E243" s="25" t="s">
        <v>1451</v>
      </c>
      <c r="F243" s="25" t="s">
        <v>7316</v>
      </c>
      <c r="G243" s="25" t="s">
        <v>10955</v>
      </c>
      <c r="H243" s="25" t="s">
        <v>10957</v>
      </c>
      <c r="I243" s="25" t="s">
        <v>10958</v>
      </c>
      <c r="J243" s="26" t="s">
        <v>10821</v>
      </c>
      <c r="L243" s="13">
        <v>2011</v>
      </c>
      <c r="M243" s="14" t="s">
        <v>5038</v>
      </c>
      <c r="N243" s="14" t="s">
        <v>5039</v>
      </c>
      <c r="O243" s="14" t="s">
        <v>3994</v>
      </c>
      <c r="P243" s="15" t="s">
        <v>3117</v>
      </c>
      <c r="Q243" s="16">
        <v>19009146</v>
      </c>
      <c r="R243" s="17">
        <v>43999</v>
      </c>
      <c r="S243" s="16"/>
      <c r="T243" s="16" t="s">
        <v>50</v>
      </c>
      <c r="U243" s="14" t="s">
        <v>25</v>
      </c>
      <c r="V243" s="13">
        <v>4</v>
      </c>
      <c r="W243" s="17">
        <v>44098</v>
      </c>
      <c r="X243" s="14" t="s">
        <v>5052</v>
      </c>
      <c r="Y243" s="17">
        <v>44027</v>
      </c>
      <c r="Z243" s="17">
        <v>43112</v>
      </c>
      <c r="AA243" s="14" t="s">
        <v>5041</v>
      </c>
      <c r="AB243" s="14" t="s">
        <v>7369</v>
      </c>
      <c r="AC243" s="14" t="s">
        <v>8810</v>
      </c>
      <c r="AD243" s="20" t="str">
        <f t="shared" si="15"/>
        <v>IoT Applications &gt; Industry Specific &gt; Agriculture &gt; Livestock
Livestock Tech &gt; Livestock Management Software &gt; Cattle</v>
      </c>
      <c r="AE243" s="20" t="str">
        <f t="shared" si="14"/>
        <v>IoT Applications</v>
      </c>
      <c r="AF243" s="20" t="str">
        <f t="shared" si="16"/>
        <v>Industry Specific</v>
      </c>
      <c r="AG243" s="20" t="str">
        <f t="shared" si="16"/>
        <v>Agriculture</v>
      </c>
      <c r="AH243" s="20" t="str">
        <f t="shared" si="16"/>
        <v>Livestock
Livestock Tech</v>
      </c>
      <c r="AI243" s="20" t="str">
        <f t="shared" si="16"/>
        <v>Livestock Management Software</v>
      </c>
      <c r="AJ243" s="20" t="str">
        <f t="shared" si="16"/>
        <v>Cattle</v>
      </c>
      <c r="AK243" s="20" t="str">
        <f t="shared" si="16"/>
        <v/>
      </c>
      <c r="AL243" s="14" t="s">
        <v>8811</v>
      </c>
      <c r="AM243" s="14" t="s">
        <v>8812</v>
      </c>
      <c r="AO243" s="14"/>
      <c r="AP243" s="14" t="s">
        <v>3994</v>
      </c>
      <c r="AQ243" s="14" t="s">
        <v>8814</v>
      </c>
      <c r="AR243" s="14" t="s">
        <v>8815</v>
      </c>
      <c r="AS243" s="14" t="s">
        <v>8816</v>
      </c>
      <c r="AT243" s="14" t="s">
        <v>8817</v>
      </c>
      <c r="AU243" s="14" t="s">
        <v>8818</v>
      </c>
      <c r="AV243" s="18" t="s">
        <v>8819</v>
      </c>
      <c r="AW243" s="16">
        <v>6895700</v>
      </c>
      <c r="AX243" s="17">
        <v>43465</v>
      </c>
      <c r="AY243" s="15" t="s">
        <v>3117</v>
      </c>
      <c r="AZ243" s="17">
        <v>40653</v>
      </c>
      <c r="BA243" s="16">
        <v>2221</v>
      </c>
      <c r="BB243" s="14" t="s">
        <v>8820</v>
      </c>
      <c r="BC243" s="14"/>
      <c r="BD243" s="15" t="s">
        <v>3123</v>
      </c>
      <c r="BE243" s="14"/>
      <c r="BF243" s="17"/>
      <c r="BG243" s="16"/>
      <c r="BH243" s="14"/>
      <c r="BI243" s="15" t="s">
        <v>3123</v>
      </c>
      <c r="BJ243" s="14"/>
      <c r="BK243" s="17"/>
      <c r="BL243" s="16"/>
      <c r="BM243" s="16"/>
      <c r="BN243" s="16"/>
      <c r="BO243" s="16"/>
      <c r="BP243" s="15" t="s">
        <v>3123</v>
      </c>
      <c r="BQ243" s="17"/>
      <c r="BR243" s="14"/>
      <c r="BS243" s="14"/>
      <c r="BT243" s="16"/>
      <c r="BU243" s="16"/>
      <c r="BV243" s="13"/>
      <c r="BW243" s="18" t="s">
        <v>8821</v>
      </c>
      <c r="BX243" s="13">
        <v>200</v>
      </c>
      <c r="BY243" s="17">
        <v>44116</v>
      </c>
      <c r="BZ243" s="18" t="s">
        <v>8822</v>
      </c>
      <c r="CA243" s="18" t="s">
        <v>8823</v>
      </c>
      <c r="CB243" s="18" t="s">
        <v>8824</v>
      </c>
      <c r="CC243" s="18" t="s">
        <v>8825</v>
      </c>
      <c r="CD243" s="14" t="s">
        <v>8826</v>
      </c>
      <c r="CE243" s="17">
        <v>43965</v>
      </c>
      <c r="CF243" s="16">
        <v>-2338600</v>
      </c>
      <c r="CG243" s="17">
        <v>43465</v>
      </c>
      <c r="CH243" s="16">
        <v>-1763500</v>
      </c>
      <c r="CI243" s="17">
        <v>43465</v>
      </c>
      <c r="CJ243" s="16">
        <v>30000000</v>
      </c>
      <c r="CK243" s="17">
        <v>43494</v>
      </c>
      <c r="CL243" s="16">
        <v>346</v>
      </c>
      <c r="CM243" s="17">
        <v>44012</v>
      </c>
      <c r="CN243" s="19">
        <v>69.991495818041955</v>
      </c>
      <c r="CO243" s="19"/>
      <c r="CP243" s="17"/>
      <c r="CQ243" s="14" t="s">
        <v>6493</v>
      </c>
      <c r="CR243" s="14" t="s">
        <v>8790</v>
      </c>
      <c r="CS243" s="14" t="s">
        <v>5004</v>
      </c>
    </row>
    <row r="244" spans="1:97" ht="26.15" customHeight="1">
      <c r="A244" s="2">
        <v>153</v>
      </c>
      <c r="B244" s="25" t="s">
        <v>59</v>
      </c>
      <c r="C244" s="25" t="e">
        <f>VLOOKUP(B244, Sheet6!$A$1:$B$77, 2, FALSE)</f>
        <v>#N/A</v>
      </c>
      <c r="D244" s="25" t="s">
        <v>60</v>
      </c>
      <c r="E244" s="25" t="s">
        <v>64</v>
      </c>
      <c r="F244" s="25" t="s">
        <v>6968</v>
      </c>
      <c r="G244" s="25" t="s">
        <v>10955</v>
      </c>
      <c r="H244" s="25" t="s">
        <v>10957</v>
      </c>
      <c r="I244" s="25" t="s">
        <v>10958</v>
      </c>
      <c r="J244" s="26" t="s">
        <v>10821</v>
      </c>
      <c r="L244" s="13">
        <v>2013</v>
      </c>
      <c r="M244" s="14" t="s">
        <v>8839</v>
      </c>
      <c r="N244" s="14" t="s">
        <v>5133</v>
      </c>
      <c r="O244" s="14" t="s">
        <v>3994</v>
      </c>
      <c r="P244" s="15" t="s">
        <v>3117</v>
      </c>
      <c r="Q244" s="16">
        <v>575016</v>
      </c>
      <c r="R244" s="17">
        <v>43860</v>
      </c>
      <c r="S244" s="16" t="s">
        <v>8840</v>
      </c>
      <c r="T244" s="16">
        <v>575016</v>
      </c>
      <c r="U244" s="14" t="s">
        <v>34</v>
      </c>
      <c r="V244" s="13">
        <v>3</v>
      </c>
      <c r="W244" s="17">
        <v>44104</v>
      </c>
      <c r="X244" s="14"/>
      <c r="Y244" s="17"/>
      <c r="Z244" s="17"/>
      <c r="AA244" s="14" t="s">
        <v>5041</v>
      </c>
      <c r="AB244" s="14" t="s">
        <v>5042</v>
      </c>
      <c r="AC244" s="14" t="s">
        <v>6172</v>
      </c>
      <c r="AD244" s="20" t="str">
        <f t="shared" si="15"/>
        <v>IoT Applications &gt; Industry Specific &gt; Agriculture &gt; Farms
Crop Tech &gt; Farm Analytics &gt; Diversified</v>
      </c>
      <c r="AE244" s="20" t="str">
        <f t="shared" si="14"/>
        <v>IoT Applications</v>
      </c>
      <c r="AF244" s="20" t="str">
        <f t="shared" si="16"/>
        <v>Industry Specific</v>
      </c>
      <c r="AG244" s="20" t="str">
        <f t="shared" si="16"/>
        <v>Agriculture</v>
      </c>
      <c r="AH244" s="20" t="str">
        <f t="shared" si="16"/>
        <v>Farms
Crop Tech</v>
      </c>
      <c r="AI244" s="20" t="str">
        <f t="shared" si="16"/>
        <v>Farm Analytics</v>
      </c>
      <c r="AJ244" s="20" t="str">
        <f t="shared" si="16"/>
        <v>Diversified</v>
      </c>
      <c r="AK244" s="20" t="str">
        <f t="shared" si="16"/>
        <v/>
      </c>
      <c r="AL244" s="14" t="s">
        <v>8841</v>
      </c>
      <c r="AM244" s="14" t="s">
        <v>8842</v>
      </c>
      <c r="AO244" s="14"/>
      <c r="AP244" s="14" t="s">
        <v>3994</v>
      </c>
      <c r="AQ244" s="14"/>
      <c r="AR244" s="14" t="s">
        <v>8844</v>
      </c>
      <c r="AS244" s="14" t="s">
        <v>8845</v>
      </c>
      <c r="AT244" s="14" t="s">
        <v>8846</v>
      </c>
      <c r="AU244" s="14" t="s">
        <v>8847</v>
      </c>
      <c r="AV244" s="18" t="s">
        <v>8848</v>
      </c>
      <c r="AW244" s="16">
        <v>1016560.0359339779</v>
      </c>
      <c r="AX244" s="17">
        <v>43100</v>
      </c>
      <c r="AY244" s="15" t="s">
        <v>3123</v>
      </c>
      <c r="AZ244" s="17"/>
      <c r="BA244" s="16"/>
      <c r="BB244" s="14"/>
      <c r="BC244" s="14"/>
      <c r="BD244" s="15" t="s">
        <v>3123</v>
      </c>
      <c r="BE244" s="14"/>
      <c r="BF244" s="17"/>
      <c r="BG244" s="16"/>
      <c r="BH244" s="14"/>
      <c r="BI244" s="15" t="s">
        <v>3123</v>
      </c>
      <c r="BJ244" s="14"/>
      <c r="BK244" s="17"/>
      <c r="BL244" s="16"/>
      <c r="BM244" s="16"/>
      <c r="BN244" s="16"/>
      <c r="BO244" s="16"/>
      <c r="BP244" s="15" t="s">
        <v>3123</v>
      </c>
      <c r="BQ244" s="17"/>
      <c r="BR244" s="14"/>
      <c r="BS244" s="14"/>
      <c r="BT244" s="16"/>
      <c r="BU244" s="16"/>
      <c r="BV244" s="13"/>
      <c r="BW244" s="18" t="s">
        <v>8849</v>
      </c>
      <c r="BX244" s="13">
        <v>200</v>
      </c>
      <c r="BY244" s="17">
        <v>44116</v>
      </c>
      <c r="BZ244" s="18" t="s">
        <v>8850</v>
      </c>
      <c r="CA244" s="18" t="s">
        <v>8851</v>
      </c>
      <c r="CB244" s="18" t="s">
        <v>8852</v>
      </c>
      <c r="CC244" s="18"/>
      <c r="CD244" s="14" t="s">
        <v>8853</v>
      </c>
      <c r="CE244" s="17">
        <v>43511</v>
      </c>
      <c r="CF244" s="16">
        <v>4500.0696311603278</v>
      </c>
      <c r="CG244" s="17">
        <v>43100</v>
      </c>
      <c r="CH244" s="16">
        <v>36788.016409835698</v>
      </c>
      <c r="CI244" s="17">
        <v>43100</v>
      </c>
      <c r="CJ244" s="16">
        <v>4000000</v>
      </c>
      <c r="CK244" s="17">
        <v>43860</v>
      </c>
      <c r="CL244" s="16"/>
      <c r="CM244" s="17"/>
      <c r="CN244" s="19">
        <v>33.59909989640736</v>
      </c>
      <c r="CO244" s="19"/>
      <c r="CP244" s="17"/>
      <c r="CQ244" s="14" t="s">
        <v>5090</v>
      </c>
      <c r="CR244" s="14" t="s">
        <v>8854</v>
      </c>
      <c r="CS244" s="14" t="s">
        <v>5311</v>
      </c>
    </row>
    <row r="245" spans="1:97" ht="26.15" customHeight="1">
      <c r="A245" s="2">
        <v>38</v>
      </c>
      <c r="B245" s="25" t="s">
        <v>1457</v>
      </c>
      <c r="C245" s="25" t="e">
        <f>VLOOKUP(B245, Sheet6!$A$1:$B$77, 2, FALSE)</f>
        <v>#N/A</v>
      </c>
      <c r="D245" s="25" t="s">
        <v>1458</v>
      </c>
      <c r="E245" s="25" t="s">
        <v>1460</v>
      </c>
      <c r="F245" s="25" t="s">
        <v>5512</v>
      </c>
      <c r="G245" s="25" t="s">
        <v>10955</v>
      </c>
      <c r="H245" s="25" t="s">
        <v>10957</v>
      </c>
      <c r="I245" s="25" t="s">
        <v>10958</v>
      </c>
      <c r="J245" s="26" t="s">
        <v>10821</v>
      </c>
      <c r="L245" s="13">
        <v>1969</v>
      </c>
      <c r="M245" s="14" t="s">
        <v>5312</v>
      </c>
      <c r="N245" s="14" t="s">
        <v>5313</v>
      </c>
      <c r="O245" s="14" t="s">
        <v>3994</v>
      </c>
      <c r="P245" s="15" t="s">
        <v>3117</v>
      </c>
      <c r="Q245" s="16"/>
      <c r="R245" s="17">
        <v>43382</v>
      </c>
      <c r="S245" s="16"/>
      <c r="T245" s="16" t="s">
        <v>50</v>
      </c>
      <c r="U245" s="14" t="s">
        <v>5314</v>
      </c>
      <c r="V245" s="13">
        <v>4</v>
      </c>
      <c r="W245" s="17">
        <v>43971</v>
      </c>
      <c r="X245" s="14"/>
      <c r="Y245" s="17"/>
      <c r="Z245" s="17"/>
      <c r="AA245" s="14" t="s">
        <v>5315</v>
      </c>
      <c r="AB245" s="14" t="s">
        <v>5316</v>
      </c>
      <c r="AC245" s="14" t="s">
        <v>5317</v>
      </c>
      <c r="AD245" s="20" t="str">
        <f t="shared" si="15"/>
        <v>Crop Tech &gt; Farm Inputs &gt; Biologicals &gt; Crop Protection &gt; Plant Based
Chemicals Tech &gt; Green Chemicals &gt; Crop Protection &gt; Plant Based</v>
      </c>
      <c r="AE245" s="20" t="str">
        <f t="shared" si="14"/>
        <v>Crop Tech</v>
      </c>
      <c r="AF245" s="20" t="str">
        <f t="shared" si="16"/>
        <v>Farm Inputs</v>
      </c>
      <c r="AG245" s="20" t="str">
        <f t="shared" si="16"/>
        <v>Biologicals</v>
      </c>
      <c r="AH245" s="20" t="str">
        <f t="shared" si="16"/>
        <v>Crop Protection</v>
      </c>
      <c r="AI245" s="20" t="str">
        <f t="shared" si="16"/>
        <v>Plant Based
Chemicals Tech</v>
      </c>
      <c r="AJ245" s="20" t="str">
        <f t="shared" si="16"/>
        <v>Green Chemicals</v>
      </c>
      <c r="AK245" s="20" t="str">
        <f t="shared" si="16"/>
        <v>Crop Protection</v>
      </c>
      <c r="AL245" s="14"/>
      <c r="AM245" s="14"/>
      <c r="AO245" s="14"/>
      <c r="AP245" s="14" t="s">
        <v>5319</v>
      </c>
      <c r="AQ245" s="14" t="s">
        <v>5320</v>
      </c>
      <c r="AR245" s="14" t="s">
        <v>5321</v>
      </c>
      <c r="AS245" s="14" t="s">
        <v>5322</v>
      </c>
      <c r="AT245" s="14"/>
      <c r="AU245" s="14" t="s">
        <v>5323</v>
      </c>
      <c r="AV245" s="18"/>
      <c r="AW245" s="16"/>
      <c r="AX245" s="17"/>
      <c r="AY245" s="15" t="s">
        <v>3123</v>
      </c>
      <c r="AZ245" s="17"/>
      <c r="BA245" s="16"/>
      <c r="BB245" s="14"/>
      <c r="BC245" s="14" t="s">
        <v>5324</v>
      </c>
      <c r="BD245" s="15" t="s">
        <v>3123</v>
      </c>
      <c r="BE245" s="14"/>
      <c r="BF245" s="17"/>
      <c r="BG245" s="16"/>
      <c r="BH245" s="14"/>
      <c r="BI245" s="15" t="s">
        <v>3117</v>
      </c>
      <c r="BJ245" s="14" t="s">
        <v>5325</v>
      </c>
      <c r="BK245" s="17">
        <v>37442</v>
      </c>
      <c r="BL245" s="16"/>
      <c r="BM245" s="16"/>
      <c r="BN245" s="16"/>
      <c r="BO245" s="16"/>
      <c r="BP245" s="15" t="s">
        <v>3123</v>
      </c>
      <c r="BQ245" s="17"/>
      <c r="BR245" s="14"/>
      <c r="BS245" s="14"/>
      <c r="BT245" s="16"/>
      <c r="BU245" s="16"/>
      <c r="BV245" s="13"/>
      <c r="BW245" s="18" t="s">
        <v>5326</v>
      </c>
      <c r="BX245" s="13">
        <v>200</v>
      </c>
      <c r="BY245" s="17">
        <v>44134</v>
      </c>
      <c r="BZ245" s="18" t="s">
        <v>5327</v>
      </c>
      <c r="CA245" s="18" t="s">
        <v>5328</v>
      </c>
      <c r="CB245" s="18" t="s">
        <v>5329</v>
      </c>
      <c r="CC245" s="18"/>
      <c r="CD245" s="14" t="s">
        <v>5330</v>
      </c>
      <c r="CE245" s="17">
        <v>43686</v>
      </c>
      <c r="CF245" s="16"/>
      <c r="CG245" s="17"/>
      <c r="CH245" s="16"/>
      <c r="CI245" s="17"/>
      <c r="CJ245" s="16"/>
      <c r="CK245" s="17"/>
      <c r="CL245" s="16"/>
      <c r="CM245" s="17"/>
      <c r="CN245" s="19">
        <v>63.625062939826556</v>
      </c>
      <c r="CO245" s="19"/>
      <c r="CP245" s="17"/>
      <c r="CQ245" s="14" t="s">
        <v>5104</v>
      </c>
      <c r="CR245" s="14" t="s">
        <v>5037</v>
      </c>
      <c r="CS245" s="14" t="s">
        <v>5004</v>
      </c>
    </row>
    <row r="246" spans="1:97" ht="26.15" customHeight="1">
      <c r="A246" s="2">
        <v>279</v>
      </c>
      <c r="B246" s="25" t="s">
        <v>1685</v>
      </c>
      <c r="C246" s="25" t="e">
        <f>VLOOKUP(B246, Sheet6!$A$1:$B$77, 2, FALSE)</f>
        <v>#N/A</v>
      </c>
      <c r="D246" s="25" t="s">
        <v>1686</v>
      </c>
      <c r="E246" s="25" t="s">
        <v>1690</v>
      </c>
      <c r="F246" s="25" t="s">
        <v>8549</v>
      </c>
      <c r="G246" s="25" t="s">
        <v>10955</v>
      </c>
      <c r="H246" s="25" t="s">
        <v>10967</v>
      </c>
      <c r="I246" s="25" t="s">
        <v>10558</v>
      </c>
      <c r="J246" s="25" t="s">
        <v>10821</v>
      </c>
      <c r="L246" s="13">
        <v>2014</v>
      </c>
      <c r="M246" s="14" t="s">
        <v>5389</v>
      </c>
      <c r="N246" s="14" t="s">
        <v>5390</v>
      </c>
      <c r="O246" s="14" t="s">
        <v>5391</v>
      </c>
      <c r="P246" s="15" t="s">
        <v>3117</v>
      </c>
      <c r="Q246" s="16">
        <v>46450000</v>
      </c>
      <c r="R246" s="17">
        <v>43923</v>
      </c>
      <c r="S246" s="16" t="s">
        <v>5543</v>
      </c>
      <c r="T246" s="16">
        <v>5000000</v>
      </c>
      <c r="U246" s="14" t="s">
        <v>95</v>
      </c>
      <c r="V246" s="13">
        <v>4</v>
      </c>
      <c r="W246" s="17">
        <v>44013</v>
      </c>
      <c r="X246" s="14" t="s">
        <v>5544</v>
      </c>
      <c r="Y246" s="17">
        <v>43880</v>
      </c>
      <c r="Z246" s="17">
        <v>43766</v>
      </c>
      <c r="AA246" s="14" t="s">
        <v>5509</v>
      </c>
      <c r="AB246" s="14" t="s">
        <v>5510</v>
      </c>
      <c r="AC246" s="14" t="s">
        <v>5545</v>
      </c>
      <c r="AD246" s="20" t="str">
        <f t="shared" si="15"/>
        <v>B2B E-Commerce &gt; Food &amp; Beverages &gt; Groceries &gt; Farm Products &gt; E-Distributor
Online Grocery &gt; B2B Ecommerce &gt; Farm Produce &gt; Fruits and Vegetables &gt; Marketplace
Crop Tech &gt; ECommerce &gt; Farm Produce &gt; B2B &gt; Fruits and Vegetables &gt; Marketplace</v>
      </c>
      <c r="AE246" s="20" t="str">
        <f t="shared" si="14"/>
        <v>B2B E-Commerce</v>
      </c>
      <c r="AF246" s="20" t="str">
        <f t="shared" si="16"/>
        <v>Food &amp; Beverages</v>
      </c>
      <c r="AG246" s="20" t="str">
        <f t="shared" si="16"/>
        <v>Groceries</v>
      </c>
      <c r="AH246" s="20" t="str">
        <f t="shared" si="16"/>
        <v>Farm Products</v>
      </c>
      <c r="AI246" s="20" t="str">
        <f t="shared" si="16"/>
        <v>E-Distributor
Online Grocery</v>
      </c>
      <c r="AJ246" s="20" t="str">
        <f t="shared" si="16"/>
        <v>B2B Ecommerce</v>
      </c>
      <c r="AK246" s="20" t="str">
        <f t="shared" si="16"/>
        <v>Farm Produce</v>
      </c>
      <c r="AL246" s="14" t="s">
        <v>5546</v>
      </c>
      <c r="AM246" s="14" t="s">
        <v>1337</v>
      </c>
      <c r="AO246" s="14"/>
      <c r="AP246" s="14" t="s">
        <v>5391</v>
      </c>
      <c r="AQ246" s="14" t="s">
        <v>5548</v>
      </c>
      <c r="AR246" s="14" t="s">
        <v>5549</v>
      </c>
      <c r="AS246" s="14" t="s">
        <v>5550</v>
      </c>
      <c r="AT246" s="14" t="s">
        <v>5551</v>
      </c>
      <c r="AU246" s="14" t="s">
        <v>5552</v>
      </c>
      <c r="AV246" s="18" t="s">
        <v>5553</v>
      </c>
      <c r="AW246" s="16"/>
      <c r="AX246" s="17"/>
      <c r="AY246" s="15" t="s">
        <v>3123</v>
      </c>
      <c r="AZ246" s="17"/>
      <c r="BA246" s="16"/>
      <c r="BB246" s="14"/>
      <c r="BC246" s="14"/>
      <c r="BD246" s="15" t="s">
        <v>3123</v>
      </c>
      <c r="BE246" s="14"/>
      <c r="BF246" s="17"/>
      <c r="BG246" s="16"/>
      <c r="BH246" s="14"/>
      <c r="BI246" s="15" t="s">
        <v>3123</v>
      </c>
      <c r="BJ246" s="14"/>
      <c r="BK246" s="17"/>
      <c r="BL246" s="16"/>
      <c r="BM246" s="16"/>
      <c r="BN246" s="16"/>
      <c r="BO246" s="16"/>
      <c r="BP246" s="15" t="s">
        <v>3123</v>
      </c>
      <c r="BQ246" s="17"/>
      <c r="BR246" s="14"/>
      <c r="BS246" s="14"/>
      <c r="BT246" s="16"/>
      <c r="BU246" s="16"/>
      <c r="BV246" s="13"/>
      <c r="BW246" s="18" t="s">
        <v>5554</v>
      </c>
      <c r="BX246" s="13">
        <v>301</v>
      </c>
      <c r="BY246" s="17">
        <v>44112</v>
      </c>
      <c r="BZ246" s="18" t="s">
        <v>5555</v>
      </c>
      <c r="CA246" s="18" t="s">
        <v>5556</v>
      </c>
      <c r="CB246" s="18" t="s">
        <v>5557</v>
      </c>
      <c r="CC246" s="18"/>
      <c r="CD246" s="14" t="s">
        <v>5558</v>
      </c>
      <c r="CE246" s="17">
        <v>43342</v>
      </c>
      <c r="CF246" s="16"/>
      <c r="CG246" s="17"/>
      <c r="CH246" s="16"/>
      <c r="CI246" s="17"/>
      <c r="CJ246" s="16"/>
      <c r="CK246" s="17"/>
      <c r="CL246" s="16"/>
      <c r="CM246" s="17"/>
      <c r="CN246" s="19">
        <v>55.138363644326446</v>
      </c>
      <c r="CO246" s="19"/>
      <c r="CP246" s="17"/>
      <c r="CQ246" s="14" t="s">
        <v>5002</v>
      </c>
      <c r="CR246" s="14" t="s">
        <v>5559</v>
      </c>
      <c r="CS246" s="14" t="s">
        <v>5004</v>
      </c>
    </row>
    <row r="247" spans="1:97" ht="26.15" customHeight="1">
      <c r="A247" s="2">
        <v>547</v>
      </c>
      <c r="B247" s="25" t="s">
        <v>2786</v>
      </c>
      <c r="C247" s="25" t="e">
        <f>VLOOKUP(B247, Sheet6!$A$1:$B$77, 2, FALSE)</f>
        <v>#N/A</v>
      </c>
      <c r="D247" s="25" t="s">
        <v>2787</v>
      </c>
      <c r="E247" s="25" t="s">
        <v>2788</v>
      </c>
      <c r="F247" s="25" t="s">
        <v>10398</v>
      </c>
      <c r="G247" s="25" t="s">
        <v>10955</v>
      </c>
      <c r="H247" s="25" t="s">
        <v>10558</v>
      </c>
      <c r="I247" s="25" t="s">
        <v>10558</v>
      </c>
      <c r="J247" s="25" t="s">
        <v>10819</v>
      </c>
      <c r="L247" s="13">
        <v>2016</v>
      </c>
      <c r="M247" s="14" t="s">
        <v>5038</v>
      </c>
      <c r="N247" s="14" t="s">
        <v>5039</v>
      </c>
      <c r="O247" s="14" t="s">
        <v>3994</v>
      </c>
      <c r="P247" s="15" t="s">
        <v>3117</v>
      </c>
      <c r="Q247" s="16"/>
      <c r="R247" s="17">
        <v>42675</v>
      </c>
      <c r="S247" s="16"/>
      <c r="T247" s="16" t="s">
        <v>50</v>
      </c>
      <c r="U247" s="14" t="s">
        <v>109</v>
      </c>
      <c r="V247" s="13">
        <v>4</v>
      </c>
      <c r="W247" s="17">
        <v>44013</v>
      </c>
      <c r="X247" s="14"/>
      <c r="Y247" s="17"/>
      <c r="Z247" s="17"/>
      <c r="AA247" s="14" t="s">
        <v>5509</v>
      </c>
      <c r="AB247" s="14" t="s">
        <v>5510</v>
      </c>
      <c r="AC247" s="14" t="s">
        <v>8855</v>
      </c>
      <c r="AD247" s="20" t="str">
        <f t="shared" si="15"/>
        <v>B2B E-Commerce &gt; Food &amp; Beverages &gt; Groceries &gt; Farm Products &gt; Marketplace
Online Grocery &gt; B2B Ecommerce &gt; Farm Produce &gt; Multi-Category &gt; E-Distributor
Crop Tech &gt; ECommerce &gt; Farm Produce &gt; B2B &gt; Fruits and Vegetables &gt; E Distributor</v>
      </c>
      <c r="AE247" s="20" t="str">
        <f t="shared" si="14"/>
        <v>B2B E-Commerce</v>
      </c>
      <c r="AF247" s="20" t="str">
        <f t="shared" si="16"/>
        <v>Food &amp; Beverages</v>
      </c>
      <c r="AG247" s="20" t="str">
        <f t="shared" si="16"/>
        <v>Groceries</v>
      </c>
      <c r="AH247" s="20" t="str">
        <f t="shared" si="16"/>
        <v>Farm Products</v>
      </c>
      <c r="AI247" s="20" t="str">
        <f t="shared" si="16"/>
        <v>Marketplace
Online Grocery</v>
      </c>
      <c r="AJ247" s="20" t="str">
        <f t="shared" si="16"/>
        <v>B2B Ecommerce</v>
      </c>
      <c r="AK247" s="20" t="str">
        <f t="shared" si="16"/>
        <v>Farm Produce</v>
      </c>
      <c r="AL247" s="14" t="s">
        <v>4462</v>
      </c>
      <c r="AM247" s="14"/>
      <c r="AO247" s="14"/>
      <c r="AP247" s="14" t="s">
        <v>3994</v>
      </c>
      <c r="AQ247" s="14"/>
      <c r="AR247" s="14"/>
      <c r="AS247" s="14" t="s">
        <v>8857</v>
      </c>
      <c r="AT247" s="14" t="s">
        <v>8858</v>
      </c>
      <c r="AU247" s="14" t="s">
        <v>8859</v>
      </c>
      <c r="AV247" s="18"/>
      <c r="AW247" s="16">
        <v>5530600</v>
      </c>
      <c r="AX247" s="17">
        <v>43465</v>
      </c>
      <c r="AY247" s="15" t="s">
        <v>3123</v>
      </c>
      <c r="AZ247" s="17"/>
      <c r="BA247" s="16"/>
      <c r="BB247" s="14"/>
      <c r="BC247" s="14"/>
      <c r="BD247" s="15" t="s">
        <v>3123</v>
      </c>
      <c r="BE247" s="14"/>
      <c r="BF247" s="17"/>
      <c r="BG247" s="16"/>
      <c r="BH247" s="14"/>
      <c r="BI247" s="15" t="s">
        <v>3123</v>
      </c>
      <c r="BJ247" s="14"/>
      <c r="BK247" s="17"/>
      <c r="BL247" s="16"/>
      <c r="BM247" s="16"/>
      <c r="BN247" s="16"/>
      <c r="BO247" s="16"/>
      <c r="BP247" s="15" t="s">
        <v>3123</v>
      </c>
      <c r="BQ247" s="17"/>
      <c r="BR247" s="14"/>
      <c r="BS247" s="14"/>
      <c r="BT247" s="16"/>
      <c r="BU247" s="16"/>
      <c r="BV247" s="13"/>
      <c r="BW247" s="18" t="s">
        <v>8860</v>
      </c>
      <c r="BX247" s="13">
        <v>-1</v>
      </c>
      <c r="BY247" s="17">
        <v>44111</v>
      </c>
      <c r="BZ247" s="18" t="s">
        <v>8861</v>
      </c>
      <c r="CA247" s="18"/>
      <c r="CB247" s="18" t="s">
        <v>8862</v>
      </c>
      <c r="CC247" s="18"/>
      <c r="CD247" s="14" t="s">
        <v>8863</v>
      </c>
      <c r="CE247" s="17">
        <v>43161</v>
      </c>
      <c r="CF247" s="16">
        <v>-1616200</v>
      </c>
      <c r="CG247" s="17">
        <v>43465</v>
      </c>
      <c r="CH247" s="16">
        <v>-1465300</v>
      </c>
      <c r="CI247" s="17">
        <v>43465</v>
      </c>
      <c r="CJ247" s="16"/>
      <c r="CK247" s="17"/>
      <c r="CL247" s="16">
        <v>30</v>
      </c>
      <c r="CM247" s="17">
        <v>44012</v>
      </c>
      <c r="CN247" s="19">
        <v>38.581027849119522</v>
      </c>
      <c r="CO247" s="19"/>
      <c r="CP247" s="17"/>
      <c r="CQ247" s="14" t="s">
        <v>5104</v>
      </c>
      <c r="CR247" s="14" t="s">
        <v>5962</v>
      </c>
      <c r="CS247" s="14" t="s">
        <v>5945</v>
      </c>
    </row>
    <row r="248" spans="1:97" ht="26.15" customHeight="1">
      <c r="A248" s="2">
        <v>1</v>
      </c>
      <c r="B248" s="25" t="s">
        <v>273</v>
      </c>
      <c r="C248" s="25" t="e">
        <f>VLOOKUP(B248, Sheet6!$A$1:$B$77, 2, FALSE)</f>
        <v>#N/A</v>
      </c>
      <c r="D248" s="25" t="s">
        <v>274</v>
      </c>
      <c r="E248" s="25" t="s">
        <v>279</v>
      </c>
      <c r="F248" s="25" t="s">
        <v>4998</v>
      </c>
      <c r="G248" s="25" t="s">
        <v>10952</v>
      </c>
      <c r="H248" s="25" t="s">
        <v>10957</v>
      </c>
      <c r="I248" s="25" t="s">
        <v>10958</v>
      </c>
      <c r="J248" s="26" t="s">
        <v>10821</v>
      </c>
      <c r="L248" s="13">
        <v>2017</v>
      </c>
      <c r="M248" s="14" t="s">
        <v>5050</v>
      </c>
      <c r="N248" s="14" t="s">
        <v>5050</v>
      </c>
      <c r="O248" s="14" t="s">
        <v>4343</v>
      </c>
      <c r="P248" s="15" t="s">
        <v>3117</v>
      </c>
      <c r="Q248" s="16">
        <v>2200000</v>
      </c>
      <c r="R248" s="17">
        <v>43747</v>
      </c>
      <c r="S248" s="16" t="s">
        <v>5022</v>
      </c>
      <c r="T248" s="16">
        <v>1500000</v>
      </c>
      <c r="U248" s="14" t="s">
        <v>34</v>
      </c>
      <c r="V248" s="13">
        <v>4</v>
      </c>
      <c r="W248" s="17">
        <v>44090</v>
      </c>
      <c r="X248" s="14"/>
      <c r="Y248" s="17"/>
      <c r="Z248" s="17"/>
      <c r="AA248" s="14" t="s">
        <v>5933</v>
      </c>
      <c r="AB248" s="14" t="s">
        <v>5934</v>
      </c>
      <c r="AC248" s="14" t="s">
        <v>5935</v>
      </c>
      <c r="AD248" s="20" t="str">
        <f t="shared" si="15"/>
        <v>Food Tech &gt; Tech Hardware &gt; Food Safety &gt; Consumer Focused &gt; Allergen Detection
Sensors &gt; Industry Applications &gt; Food
Crop Tech &gt; Post Harvest Management &gt; Quality Testing &gt; Fruits and Vegetables &gt; Sensors</v>
      </c>
      <c r="AE248" s="20" t="str">
        <f t="shared" si="14"/>
        <v>Food Tech</v>
      </c>
      <c r="AF248" s="20" t="str">
        <f t="shared" si="16"/>
        <v>Tech Hardware</v>
      </c>
      <c r="AG248" s="20" t="str">
        <f t="shared" si="16"/>
        <v>Food Safety</v>
      </c>
      <c r="AH248" s="20" t="str">
        <f t="shared" si="16"/>
        <v>Consumer Focused</v>
      </c>
      <c r="AI248" s="20" t="str">
        <f t="shared" si="16"/>
        <v>Allergen Detection
Sensors</v>
      </c>
      <c r="AJ248" s="20" t="str">
        <f t="shared" si="16"/>
        <v>Industry Applications</v>
      </c>
      <c r="AK248" s="20" t="str">
        <f t="shared" si="16"/>
        <v>Food
Crop Tech</v>
      </c>
      <c r="AL248" s="14" t="s">
        <v>5936</v>
      </c>
      <c r="AM248" s="14"/>
      <c r="AO248" s="14"/>
      <c r="AP248" s="14" t="s">
        <v>4343</v>
      </c>
      <c r="AQ248" s="14"/>
      <c r="AR248" s="14"/>
      <c r="AS248" s="14" t="s">
        <v>5938</v>
      </c>
      <c r="AT248" s="14"/>
      <c r="AU248" s="14" t="s">
        <v>5939</v>
      </c>
      <c r="AV248" s="18"/>
      <c r="AW248" s="16"/>
      <c r="AX248" s="17"/>
      <c r="AY248" s="15" t="s">
        <v>3123</v>
      </c>
      <c r="AZ248" s="17"/>
      <c r="BA248" s="16"/>
      <c r="BB248" s="14"/>
      <c r="BC248" s="14"/>
      <c r="BD248" s="15" t="s">
        <v>3123</v>
      </c>
      <c r="BE248" s="14"/>
      <c r="BF248" s="17"/>
      <c r="BG248" s="16"/>
      <c r="BH248" s="14"/>
      <c r="BI248" s="15" t="s">
        <v>3123</v>
      </c>
      <c r="BJ248" s="14"/>
      <c r="BK248" s="17"/>
      <c r="BL248" s="16"/>
      <c r="BM248" s="16"/>
      <c r="BN248" s="16"/>
      <c r="BO248" s="16"/>
      <c r="BP248" s="15" t="s">
        <v>3123</v>
      </c>
      <c r="BQ248" s="17"/>
      <c r="BR248" s="14"/>
      <c r="BS248" s="14"/>
      <c r="BT248" s="16"/>
      <c r="BU248" s="16"/>
      <c r="BV248" s="13"/>
      <c r="BW248" s="18" t="s">
        <v>5940</v>
      </c>
      <c r="BX248" s="13">
        <v>200</v>
      </c>
      <c r="BY248" s="17">
        <v>44113</v>
      </c>
      <c r="BZ248" s="18" t="s">
        <v>5941</v>
      </c>
      <c r="CA248" s="18"/>
      <c r="CB248" s="18" t="s">
        <v>5942</v>
      </c>
      <c r="CC248" s="18"/>
      <c r="CD248" s="14" t="s">
        <v>5943</v>
      </c>
      <c r="CE248" s="17">
        <v>43209</v>
      </c>
      <c r="CF248" s="16"/>
      <c r="CG248" s="17"/>
      <c r="CH248" s="16"/>
      <c r="CI248" s="17"/>
      <c r="CJ248" s="16"/>
      <c r="CK248" s="17"/>
      <c r="CL248" s="16"/>
      <c r="CM248" s="17"/>
      <c r="CN248" s="19">
        <v>28.173313165104066</v>
      </c>
      <c r="CO248" s="19"/>
      <c r="CP248" s="17"/>
      <c r="CQ248" s="14" t="s">
        <v>5082</v>
      </c>
      <c r="CR248" s="14" t="s">
        <v>5944</v>
      </c>
      <c r="CS248" s="14" t="s">
        <v>5945</v>
      </c>
    </row>
    <row r="249" spans="1:97" ht="26.15" customHeight="1">
      <c r="A249" s="2">
        <v>175</v>
      </c>
      <c r="B249" s="25" t="s">
        <v>814</v>
      </c>
      <c r="C249" s="25" t="e">
        <f>VLOOKUP(B249, Sheet6!$A$1:$B$77, 2, FALSE)</f>
        <v>#N/A</v>
      </c>
      <c r="D249" s="25" t="s">
        <v>815</v>
      </c>
      <c r="E249" s="25" t="s">
        <v>818</v>
      </c>
      <c r="F249" s="25" t="s">
        <v>7253</v>
      </c>
      <c r="G249" s="25" t="s">
        <v>10955</v>
      </c>
      <c r="H249" s="25" t="s">
        <v>10959</v>
      </c>
      <c r="I249" s="25" t="s">
        <v>10958</v>
      </c>
      <c r="J249" s="26" t="s">
        <v>10846</v>
      </c>
      <c r="L249" s="13">
        <v>2007</v>
      </c>
      <c r="M249" s="14" t="s">
        <v>5312</v>
      </c>
      <c r="N249" s="14" t="s">
        <v>5313</v>
      </c>
      <c r="O249" s="14" t="s">
        <v>3994</v>
      </c>
      <c r="P249" s="15" t="s">
        <v>3117</v>
      </c>
      <c r="Q249" s="16">
        <v>205825</v>
      </c>
      <c r="R249" s="17">
        <v>42972</v>
      </c>
      <c r="S249" s="16" t="s">
        <v>5946</v>
      </c>
      <c r="T249" s="16">
        <v>156019</v>
      </c>
      <c r="U249" s="14" t="s">
        <v>34</v>
      </c>
      <c r="V249" s="13">
        <v>3</v>
      </c>
      <c r="W249" s="17">
        <v>44081</v>
      </c>
      <c r="X249" s="14"/>
      <c r="Y249" s="17"/>
      <c r="Z249" s="17"/>
      <c r="AA249" s="14" t="s">
        <v>5947</v>
      </c>
      <c r="AB249" s="14" t="s">
        <v>5948</v>
      </c>
      <c r="AC249" s="14" t="s">
        <v>5949</v>
      </c>
      <c r="AD249" s="20" t="str">
        <f t="shared" si="15"/>
        <v>Data as a Service &gt; Industries &gt; Agriculture and Forestry Data &gt; Agronomic Intelligence
Crop Tech &gt; Farm Management Software &gt; Diversified</v>
      </c>
      <c r="AE249" s="20" t="str">
        <f t="shared" si="14"/>
        <v>Data as a Service</v>
      </c>
      <c r="AF249" s="20" t="str">
        <f t="shared" si="16"/>
        <v>Industries</v>
      </c>
      <c r="AG249" s="20" t="str">
        <f t="shared" ref="AF249:AK285" si="17">TRIM(MID(SUBSTITUTE($AD249,"&gt;",REPT(" ",LEN($AD249))), (AG$6-1)*LEN($AD249)+1, LEN($AD249)))</f>
        <v>Agriculture and Forestry Data</v>
      </c>
      <c r="AH249" s="20" t="str">
        <f t="shared" si="17"/>
        <v>Agronomic Intelligence
Crop Tech</v>
      </c>
      <c r="AI249" s="20" t="str">
        <f t="shared" si="17"/>
        <v>Farm Management Software</v>
      </c>
      <c r="AJ249" s="20" t="str">
        <f t="shared" si="17"/>
        <v>Diversified</v>
      </c>
      <c r="AK249" s="20" t="str">
        <f t="shared" si="17"/>
        <v/>
      </c>
      <c r="AL249" s="14" t="s">
        <v>5950</v>
      </c>
      <c r="AM249" s="14" t="s">
        <v>5951</v>
      </c>
      <c r="AO249" s="14"/>
      <c r="AP249" s="14" t="s">
        <v>3994</v>
      </c>
      <c r="AQ249" s="14" t="s">
        <v>5953</v>
      </c>
      <c r="AR249" s="14"/>
      <c r="AS249" s="14" t="s">
        <v>5954</v>
      </c>
      <c r="AT249" s="14" t="s">
        <v>5955</v>
      </c>
      <c r="AU249" s="14" t="s">
        <v>5956</v>
      </c>
      <c r="AV249" s="18" t="s">
        <v>5957</v>
      </c>
      <c r="AW249" s="16">
        <v>60400</v>
      </c>
      <c r="AX249" s="17">
        <v>43465</v>
      </c>
      <c r="AY249" s="15" t="s">
        <v>3117</v>
      </c>
      <c r="AZ249" s="17">
        <v>42516</v>
      </c>
      <c r="BA249" s="16">
        <v>1480</v>
      </c>
      <c r="BB249" s="14" t="s">
        <v>5958</v>
      </c>
      <c r="BC249" s="14"/>
      <c r="BD249" s="15" t="s">
        <v>3123</v>
      </c>
      <c r="BE249" s="14"/>
      <c r="BF249" s="17"/>
      <c r="BG249" s="16"/>
      <c r="BH249" s="14"/>
      <c r="BI249" s="15" t="s">
        <v>3123</v>
      </c>
      <c r="BJ249" s="14"/>
      <c r="BK249" s="17"/>
      <c r="BL249" s="16"/>
      <c r="BM249" s="16"/>
      <c r="BN249" s="16"/>
      <c r="BO249" s="16"/>
      <c r="BP249" s="15" t="s">
        <v>3123</v>
      </c>
      <c r="BQ249" s="17"/>
      <c r="BR249" s="14" t="s">
        <v>5959</v>
      </c>
      <c r="BS249" s="14"/>
      <c r="BT249" s="16"/>
      <c r="BU249" s="16"/>
      <c r="BV249" s="13"/>
      <c r="BW249" s="18" t="s">
        <v>5960</v>
      </c>
      <c r="BX249" s="13">
        <v>200</v>
      </c>
      <c r="BY249" s="17">
        <v>44113</v>
      </c>
      <c r="BZ249" s="18"/>
      <c r="CA249" s="18"/>
      <c r="CB249" s="18"/>
      <c r="CC249" s="18"/>
      <c r="CD249" s="14" t="s">
        <v>5961</v>
      </c>
      <c r="CE249" s="17">
        <v>43077</v>
      </c>
      <c r="CF249" s="16">
        <v>-52300</v>
      </c>
      <c r="CG249" s="17">
        <v>43465</v>
      </c>
      <c r="CH249" s="16">
        <v>-50100</v>
      </c>
      <c r="CI249" s="17">
        <v>43465</v>
      </c>
      <c r="CJ249" s="16"/>
      <c r="CK249" s="17"/>
      <c r="CL249" s="16"/>
      <c r="CM249" s="17"/>
      <c r="CN249" s="19">
        <v>24.10843019481424</v>
      </c>
      <c r="CO249" s="19"/>
      <c r="CP249" s="17"/>
      <c r="CQ249" s="14" t="s">
        <v>5036</v>
      </c>
      <c r="CR249" s="14" t="s">
        <v>5962</v>
      </c>
      <c r="CS249" s="14" t="s">
        <v>5945</v>
      </c>
    </row>
    <row r="250" spans="1:97" ht="26.15" customHeight="1">
      <c r="A250" s="2">
        <v>397</v>
      </c>
      <c r="B250" s="25" t="s">
        <v>2681</v>
      </c>
      <c r="C250" s="25" t="e">
        <f>VLOOKUP(B250, Sheet6!$A$1:$B$77, 2, FALSE)</f>
        <v>#N/A</v>
      </c>
      <c r="D250" s="25" t="s">
        <v>2682</v>
      </c>
      <c r="E250" s="25" t="s">
        <v>2684</v>
      </c>
      <c r="F250" s="25" t="s">
        <v>9298</v>
      </c>
      <c r="G250" s="25" t="s">
        <v>10955</v>
      </c>
      <c r="H250" s="25" t="s">
        <v>10967</v>
      </c>
      <c r="I250" s="25" t="s">
        <v>10558</v>
      </c>
      <c r="J250" s="25" t="s">
        <v>10718</v>
      </c>
      <c r="L250" s="13">
        <v>2011</v>
      </c>
      <c r="M250" s="14" t="s">
        <v>5389</v>
      </c>
      <c r="N250" s="14" t="s">
        <v>5390</v>
      </c>
      <c r="O250" s="14" t="s">
        <v>5391</v>
      </c>
      <c r="P250" s="15" t="s">
        <v>3117</v>
      </c>
      <c r="Q250" s="16"/>
      <c r="R250" s="17">
        <v>41640</v>
      </c>
      <c r="S250" s="16" t="s">
        <v>8864</v>
      </c>
      <c r="T250" s="16">
        <v>91000</v>
      </c>
      <c r="U250" s="14" t="s">
        <v>5040</v>
      </c>
      <c r="V250" s="13">
        <v>2</v>
      </c>
      <c r="W250" s="17">
        <v>43963</v>
      </c>
      <c r="X250" s="14"/>
      <c r="Y250" s="17"/>
      <c r="Z250" s="17"/>
      <c r="AA250" s="14" t="s">
        <v>1</v>
      </c>
      <c r="AB250" s="14" t="s">
        <v>5007</v>
      </c>
      <c r="AC250" s="14" t="s">
        <v>8865</v>
      </c>
      <c r="AD250" s="20" t="str">
        <f t="shared" si="15"/>
        <v>Crop Tech &gt; Farm Inputs &gt; Biologicals &gt; Crop Nutrition &gt; BioChar</v>
      </c>
      <c r="AE250" s="20" t="str">
        <f t="shared" si="14"/>
        <v>Crop Tech</v>
      </c>
      <c r="AF250" s="20" t="str">
        <f t="shared" si="17"/>
        <v>Farm Inputs</v>
      </c>
      <c r="AG250" s="20" t="str">
        <f t="shared" si="17"/>
        <v>Biologicals</v>
      </c>
      <c r="AH250" s="20" t="str">
        <f t="shared" si="17"/>
        <v>Crop Nutrition</v>
      </c>
      <c r="AI250" s="20" t="str">
        <f t="shared" si="17"/>
        <v>BioChar</v>
      </c>
      <c r="AJ250" s="20" t="str">
        <f t="shared" si="17"/>
        <v/>
      </c>
      <c r="AK250" s="20" t="str">
        <f t="shared" si="17"/>
        <v/>
      </c>
      <c r="AL250" s="14" t="s">
        <v>2916</v>
      </c>
      <c r="AM250" s="14"/>
      <c r="AO250" s="14"/>
      <c r="AP250" s="14" t="s">
        <v>5391</v>
      </c>
      <c r="AQ250" s="14"/>
      <c r="AR250" s="14" t="s">
        <v>8867</v>
      </c>
      <c r="AS250" s="14" t="s">
        <v>8868</v>
      </c>
      <c r="AT250" s="14"/>
      <c r="AU250" s="14" t="s">
        <v>8869</v>
      </c>
      <c r="AV250" s="18"/>
      <c r="AW250" s="16"/>
      <c r="AX250" s="17"/>
      <c r="AY250" s="15" t="s">
        <v>3123</v>
      </c>
      <c r="AZ250" s="17"/>
      <c r="BA250" s="16"/>
      <c r="BB250" s="14"/>
      <c r="BC250" s="14"/>
      <c r="BD250" s="15" t="s">
        <v>3123</v>
      </c>
      <c r="BE250" s="14"/>
      <c r="BF250" s="17"/>
      <c r="BG250" s="16"/>
      <c r="BH250" s="14"/>
      <c r="BI250" s="15" t="s">
        <v>3123</v>
      </c>
      <c r="BJ250" s="14"/>
      <c r="BK250" s="17"/>
      <c r="BL250" s="16"/>
      <c r="BM250" s="16"/>
      <c r="BN250" s="16"/>
      <c r="BO250" s="16"/>
      <c r="BP250" s="15" t="s">
        <v>3123</v>
      </c>
      <c r="BQ250" s="17"/>
      <c r="BR250" s="14"/>
      <c r="BS250" s="14"/>
      <c r="BT250" s="16"/>
      <c r="BU250" s="16"/>
      <c r="BV250" s="13"/>
      <c r="BW250" s="18" t="s">
        <v>8870</v>
      </c>
      <c r="BX250" s="13">
        <v>301</v>
      </c>
      <c r="BY250" s="17">
        <v>44131</v>
      </c>
      <c r="BZ250" s="18"/>
      <c r="CA250" s="18"/>
      <c r="CB250" s="18" t="s">
        <v>8871</v>
      </c>
      <c r="CC250" s="18"/>
      <c r="CD250" s="14" t="s">
        <v>8872</v>
      </c>
      <c r="CE250" s="17">
        <v>43138</v>
      </c>
      <c r="CF250" s="16"/>
      <c r="CG250" s="17"/>
      <c r="CH250" s="16"/>
      <c r="CI250" s="17"/>
      <c r="CJ250" s="16"/>
      <c r="CK250" s="17"/>
      <c r="CL250" s="16"/>
      <c r="CM250" s="17"/>
      <c r="CN250" s="19">
        <v>14.072771844840485</v>
      </c>
      <c r="CO250" s="19"/>
      <c r="CP250" s="17"/>
      <c r="CQ250" s="14" t="s">
        <v>5345</v>
      </c>
      <c r="CR250" s="14" t="s">
        <v>8809</v>
      </c>
      <c r="CS250" s="14" t="s">
        <v>5311</v>
      </c>
    </row>
    <row r="251" spans="1:97" ht="26.15" customHeight="1">
      <c r="A251" s="2">
        <v>525</v>
      </c>
      <c r="B251" s="25" t="s">
        <v>3014</v>
      </c>
      <c r="C251" s="25" t="e">
        <f>VLOOKUP(B251, Sheet6!$A$1:$B$77, 2, FALSE)</f>
        <v>#N/A</v>
      </c>
      <c r="D251" s="25" t="s">
        <v>3015</v>
      </c>
      <c r="E251" s="25" t="s">
        <v>3016</v>
      </c>
      <c r="F251" s="25" t="s">
        <v>10199</v>
      </c>
      <c r="G251" s="25" t="s">
        <v>10955</v>
      </c>
      <c r="H251" s="25" t="s">
        <v>10558</v>
      </c>
      <c r="I251" s="25" t="s">
        <v>10558</v>
      </c>
      <c r="J251" s="25" t="s">
        <v>10735</v>
      </c>
      <c r="L251" s="13">
        <v>2017</v>
      </c>
      <c r="M251" s="14" t="s">
        <v>6978</v>
      </c>
      <c r="N251" s="14" t="s">
        <v>6979</v>
      </c>
      <c r="O251" s="14" t="s">
        <v>4343</v>
      </c>
      <c r="P251" s="15" t="s">
        <v>3117</v>
      </c>
      <c r="Q251" s="16"/>
      <c r="R251" s="17">
        <v>42887</v>
      </c>
      <c r="S251" s="16"/>
      <c r="T251" s="16" t="s">
        <v>50</v>
      </c>
      <c r="U251" s="14" t="s">
        <v>34</v>
      </c>
      <c r="V251" s="13">
        <v>3</v>
      </c>
      <c r="W251" s="17">
        <v>44019</v>
      </c>
      <c r="X251" s="14"/>
      <c r="Y251" s="17"/>
      <c r="Z251" s="17"/>
      <c r="AA251" s="14" t="s">
        <v>5278</v>
      </c>
      <c r="AB251" s="14" t="s">
        <v>5657</v>
      </c>
      <c r="AC251" s="14" t="s">
        <v>8873</v>
      </c>
      <c r="AD251" s="20" t="str">
        <f t="shared" si="15"/>
        <v>B2B E-Commerce &gt; Agriculture &gt; Marketplace
Online Grocery &gt; B2B Ecommerce &gt; Farm Produce &gt; Multi-Category &gt; Marketplace
Crop Tech &gt; ECommerce &gt; Farm Produce &gt; B2B &gt; Fruits and Vegetables &gt; Marketplace
MassChallenge Batches &gt; Israel &gt; 2017</v>
      </c>
      <c r="AE251" s="20" t="str">
        <f t="shared" ref="AE251:AE306" si="18">TRIM(MID(SUBSTITUTE($AD251,"&gt;",REPT(" ",LEN($AD251))), (AE$6-1)*LEN($AD251)+1, LEN($AD251)))</f>
        <v>B2B E-Commerce</v>
      </c>
      <c r="AF251" s="20" t="str">
        <f t="shared" si="17"/>
        <v>Agriculture</v>
      </c>
      <c r="AG251" s="20" t="str">
        <f t="shared" si="17"/>
        <v>Marketplace
Online Grocery</v>
      </c>
      <c r="AH251" s="20" t="str">
        <f t="shared" si="17"/>
        <v>B2B Ecommerce</v>
      </c>
      <c r="AI251" s="20" t="str">
        <f t="shared" si="17"/>
        <v>Farm Produce</v>
      </c>
      <c r="AJ251" s="20" t="str">
        <f t="shared" si="17"/>
        <v>Multi-Category</v>
      </c>
      <c r="AK251" s="20" t="str">
        <f t="shared" si="17"/>
        <v>Marketplace
Crop Tech</v>
      </c>
      <c r="AL251" s="14" t="s">
        <v>1609</v>
      </c>
      <c r="AM251" s="14"/>
      <c r="AO251" s="14"/>
      <c r="AP251" s="14" t="s">
        <v>4343</v>
      </c>
      <c r="AQ251" s="14" t="s">
        <v>8875</v>
      </c>
      <c r="AR251" s="14"/>
      <c r="AS251" s="14" t="s">
        <v>8876</v>
      </c>
      <c r="AT251" s="14" t="s">
        <v>8877</v>
      </c>
      <c r="AU251" s="14" t="s">
        <v>8878</v>
      </c>
      <c r="AV251" s="18"/>
      <c r="AW251" s="16"/>
      <c r="AX251" s="17"/>
      <c r="AY251" s="15" t="s">
        <v>3123</v>
      </c>
      <c r="AZ251" s="17"/>
      <c r="BA251" s="16"/>
      <c r="BB251" s="14"/>
      <c r="BC251" s="14"/>
      <c r="BD251" s="15" t="s">
        <v>3123</v>
      </c>
      <c r="BE251" s="14"/>
      <c r="BF251" s="17"/>
      <c r="BG251" s="16"/>
      <c r="BH251" s="14"/>
      <c r="BI251" s="15" t="s">
        <v>3123</v>
      </c>
      <c r="BJ251" s="14"/>
      <c r="BK251" s="17"/>
      <c r="BL251" s="16"/>
      <c r="BM251" s="16"/>
      <c r="BN251" s="16"/>
      <c r="BO251" s="16"/>
      <c r="BP251" s="15" t="s">
        <v>3123</v>
      </c>
      <c r="BQ251" s="17"/>
      <c r="BR251" s="14"/>
      <c r="BS251" s="14"/>
      <c r="BT251" s="16"/>
      <c r="BU251" s="16"/>
      <c r="BV251" s="13"/>
      <c r="BW251" s="18" t="s">
        <v>8879</v>
      </c>
      <c r="BX251" s="13">
        <v>200</v>
      </c>
      <c r="BY251" s="17">
        <v>44130</v>
      </c>
      <c r="BZ251" s="18" t="s">
        <v>8880</v>
      </c>
      <c r="CA251" s="18" t="s">
        <v>8881</v>
      </c>
      <c r="CB251" s="18"/>
      <c r="CC251" s="18" t="s">
        <v>8882</v>
      </c>
      <c r="CD251" s="14" t="s">
        <v>8883</v>
      </c>
      <c r="CE251" s="17">
        <v>43020</v>
      </c>
      <c r="CF251" s="16"/>
      <c r="CG251" s="17"/>
      <c r="CH251" s="16"/>
      <c r="CI251" s="17"/>
      <c r="CJ251" s="16"/>
      <c r="CK251" s="17"/>
      <c r="CL251" s="16"/>
      <c r="CM251" s="17"/>
      <c r="CN251" s="19">
        <v>41.216660377086505</v>
      </c>
      <c r="CO251" s="19"/>
      <c r="CP251" s="17"/>
      <c r="CQ251" s="14" t="s">
        <v>5002</v>
      </c>
      <c r="CR251" s="14" t="s">
        <v>6557</v>
      </c>
      <c r="CS251" s="14" t="s">
        <v>5945</v>
      </c>
    </row>
    <row r="252" spans="1:97" ht="26.15" customHeight="1">
      <c r="A252" s="2">
        <v>62</v>
      </c>
      <c r="B252" s="25" t="s">
        <v>1834</v>
      </c>
      <c r="C252" s="25" t="e">
        <f>VLOOKUP(B252, Sheet6!$A$1:$B$77, 2, FALSE)</f>
        <v>#N/A</v>
      </c>
      <c r="D252" s="25" t="s">
        <v>1835</v>
      </c>
      <c r="E252" s="25" t="s">
        <v>1616</v>
      </c>
      <c r="F252" s="25" t="s">
        <v>5805</v>
      </c>
      <c r="G252" s="25" t="s">
        <v>10955</v>
      </c>
      <c r="H252" s="25" t="s">
        <v>10959</v>
      </c>
      <c r="I252" s="25" t="s">
        <v>10958</v>
      </c>
      <c r="J252" s="26" t="s">
        <v>10712</v>
      </c>
      <c r="L252" s="13">
        <v>2016</v>
      </c>
      <c r="M252" s="14"/>
      <c r="N252" s="14"/>
      <c r="O252" s="14" t="s">
        <v>1258</v>
      </c>
      <c r="P252" s="15" t="s">
        <v>3117</v>
      </c>
      <c r="Q252" s="16"/>
      <c r="R252" s="17">
        <v>43480</v>
      </c>
      <c r="S252" s="16" t="s">
        <v>6257</v>
      </c>
      <c r="T252" s="16">
        <v>80000</v>
      </c>
      <c r="U252" s="14" t="s">
        <v>5040</v>
      </c>
      <c r="V252" s="13">
        <v>4</v>
      </c>
      <c r="W252" s="17">
        <v>43994</v>
      </c>
      <c r="X252" s="14"/>
      <c r="Y252" s="17"/>
      <c r="Z252" s="17"/>
      <c r="AA252" s="14" t="s">
        <v>5976</v>
      </c>
      <c r="AB252" s="14" t="s">
        <v>6258</v>
      </c>
      <c r="AC252" s="14" t="s">
        <v>6259</v>
      </c>
      <c r="AD252" s="20" t="str">
        <f t="shared" si="15"/>
        <v>Security &amp; Surveillance Technology &gt; Location Tracking &gt; Vehicle Tracking
Crop Tech &gt; Autonomous Farming &gt; Diversified</v>
      </c>
      <c r="AE252" s="20" t="str">
        <f t="shared" si="18"/>
        <v>Security &amp; Surveillance Technology</v>
      </c>
      <c r="AF252" s="20" t="str">
        <f t="shared" si="17"/>
        <v>Location Tracking</v>
      </c>
      <c r="AG252" s="20" t="str">
        <f t="shared" si="17"/>
        <v>Vehicle Tracking
Crop Tech</v>
      </c>
      <c r="AH252" s="20" t="str">
        <f t="shared" si="17"/>
        <v>Autonomous Farming</v>
      </c>
      <c r="AI252" s="20" t="str">
        <f t="shared" si="17"/>
        <v>Diversified</v>
      </c>
      <c r="AJ252" s="20" t="str">
        <f t="shared" si="17"/>
        <v/>
      </c>
      <c r="AK252" s="20" t="str">
        <f t="shared" si="17"/>
        <v/>
      </c>
      <c r="AL252" s="14" t="s">
        <v>6260</v>
      </c>
      <c r="AM252" s="14"/>
      <c r="AO252" s="14"/>
      <c r="AP252" s="14" t="s">
        <v>1258</v>
      </c>
      <c r="AQ252" s="14" t="s">
        <v>6262</v>
      </c>
      <c r="AR252" s="14" t="s">
        <v>6263</v>
      </c>
      <c r="AS252" s="14"/>
      <c r="AT252" s="14"/>
      <c r="AU252" s="14"/>
      <c r="AV252" s="18"/>
      <c r="AW252" s="16"/>
      <c r="AX252" s="17"/>
      <c r="AY252" s="15" t="s">
        <v>3123</v>
      </c>
      <c r="AZ252" s="17"/>
      <c r="BA252" s="16"/>
      <c r="BB252" s="14"/>
      <c r="BC252" s="14"/>
      <c r="BD252" s="15" t="s">
        <v>3123</v>
      </c>
      <c r="BE252" s="14"/>
      <c r="BF252" s="17"/>
      <c r="BG252" s="16"/>
      <c r="BH252" s="14"/>
      <c r="BI252" s="15" t="s">
        <v>3123</v>
      </c>
      <c r="BJ252" s="14"/>
      <c r="BK252" s="17"/>
      <c r="BL252" s="16"/>
      <c r="BM252" s="16"/>
      <c r="BN252" s="16"/>
      <c r="BO252" s="16"/>
      <c r="BP252" s="15" t="s">
        <v>3123</v>
      </c>
      <c r="BQ252" s="17"/>
      <c r="BR252" s="14"/>
      <c r="BS252" s="14"/>
      <c r="BT252" s="16"/>
      <c r="BU252" s="16"/>
      <c r="BV252" s="13"/>
      <c r="BW252" s="18" t="s">
        <v>6264</v>
      </c>
      <c r="BX252" s="13">
        <v>200</v>
      </c>
      <c r="BY252" s="17">
        <v>44129</v>
      </c>
      <c r="BZ252" s="18"/>
      <c r="CA252" s="18"/>
      <c r="CB252" s="18"/>
      <c r="CC252" s="18"/>
      <c r="CD252" s="14" t="s">
        <v>6265</v>
      </c>
      <c r="CE252" s="17">
        <v>43629</v>
      </c>
      <c r="CF252" s="16"/>
      <c r="CG252" s="17"/>
      <c r="CH252" s="16"/>
      <c r="CI252" s="17"/>
      <c r="CJ252" s="16"/>
      <c r="CK252" s="17"/>
      <c r="CL252" s="16"/>
      <c r="CM252" s="17"/>
      <c r="CN252" s="19">
        <v>25.566433571913851</v>
      </c>
      <c r="CO252" s="19"/>
      <c r="CP252" s="17"/>
      <c r="CQ252" s="14" t="s">
        <v>5048</v>
      </c>
      <c r="CR252" s="14" t="s">
        <v>6266</v>
      </c>
      <c r="CS252" s="14" t="s">
        <v>5311</v>
      </c>
    </row>
    <row r="253" spans="1:97" ht="26.15" customHeight="1">
      <c r="A253" s="2">
        <v>524</v>
      </c>
      <c r="B253" s="25" t="s">
        <v>3065</v>
      </c>
      <c r="C253" s="25" t="e">
        <f>VLOOKUP(B253, Sheet6!$A$1:$B$77, 2, FALSE)</f>
        <v>#N/A</v>
      </c>
      <c r="D253" s="25" t="s">
        <v>3066</v>
      </c>
      <c r="E253" s="25" t="s">
        <v>3069</v>
      </c>
      <c r="F253" s="25" t="s">
        <v>10190</v>
      </c>
      <c r="G253" s="25" t="s">
        <v>10954</v>
      </c>
      <c r="H253" s="25" t="s">
        <v>10959</v>
      </c>
      <c r="I253" s="25" t="s">
        <v>10558</v>
      </c>
      <c r="J253" s="134" t="s">
        <v>10794</v>
      </c>
      <c r="L253" s="13">
        <v>2015</v>
      </c>
      <c r="M253" s="14" t="s">
        <v>8884</v>
      </c>
      <c r="N253" s="14" t="s">
        <v>8884</v>
      </c>
      <c r="O253" s="14" t="s">
        <v>5416</v>
      </c>
      <c r="P253" s="15" t="s">
        <v>3117</v>
      </c>
      <c r="Q253" s="16"/>
      <c r="R253" s="17">
        <v>42156</v>
      </c>
      <c r="S253" s="16"/>
      <c r="T253" s="16" t="s">
        <v>50</v>
      </c>
      <c r="U253" s="14" t="s">
        <v>34</v>
      </c>
      <c r="V253" s="13">
        <v>2</v>
      </c>
      <c r="W253" s="17">
        <v>44041</v>
      </c>
      <c r="X253" s="14"/>
      <c r="Y253" s="17"/>
      <c r="Z253" s="17"/>
      <c r="AA253" s="14" t="s">
        <v>1</v>
      </c>
      <c r="AB253" s="14" t="s">
        <v>5007</v>
      </c>
      <c r="AC253" s="14" t="s">
        <v>8885</v>
      </c>
      <c r="AD253" s="20" t="str">
        <f t="shared" si="15"/>
        <v>Crop Tech &gt; Autonomous Farming &gt; Growing Systems &gt; Aquaponics</v>
      </c>
      <c r="AE253" s="20" t="str">
        <f t="shared" si="18"/>
        <v>Crop Tech</v>
      </c>
      <c r="AF253" s="20" t="str">
        <f t="shared" si="17"/>
        <v>Autonomous Farming</v>
      </c>
      <c r="AG253" s="20" t="str">
        <f t="shared" si="17"/>
        <v>Growing Systems</v>
      </c>
      <c r="AH253" s="20" t="str">
        <f t="shared" si="17"/>
        <v>Aquaponics</v>
      </c>
      <c r="AI253" s="20" t="str">
        <f t="shared" si="17"/>
        <v/>
      </c>
      <c r="AJ253" s="20" t="str">
        <f t="shared" si="17"/>
        <v/>
      </c>
      <c r="AK253" s="20" t="str">
        <f t="shared" si="17"/>
        <v/>
      </c>
      <c r="AL253" s="14" t="s">
        <v>8886</v>
      </c>
      <c r="AM253" s="14"/>
      <c r="AO253" s="14"/>
      <c r="AP253" s="14" t="s">
        <v>5416</v>
      </c>
      <c r="AQ253" s="14" t="s">
        <v>8888</v>
      </c>
      <c r="AR253" s="14"/>
      <c r="AS253" s="14" t="s">
        <v>8889</v>
      </c>
      <c r="AT253" s="14" t="s">
        <v>8890</v>
      </c>
      <c r="AU253" s="14" t="s">
        <v>8891</v>
      </c>
      <c r="AV253" s="18"/>
      <c r="AW253" s="16"/>
      <c r="AX253" s="17"/>
      <c r="AY253" s="15" t="s">
        <v>3123</v>
      </c>
      <c r="AZ253" s="17"/>
      <c r="BA253" s="16"/>
      <c r="BB253" s="14"/>
      <c r="BC253" s="14"/>
      <c r="BD253" s="15" t="s">
        <v>3123</v>
      </c>
      <c r="BE253" s="14"/>
      <c r="BF253" s="17"/>
      <c r="BG253" s="16"/>
      <c r="BH253" s="14"/>
      <c r="BI253" s="15" t="s">
        <v>3123</v>
      </c>
      <c r="BJ253" s="14"/>
      <c r="BK253" s="17"/>
      <c r="BL253" s="16"/>
      <c r="BM253" s="16"/>
      <c r="BN253" s="16"/>
      <c r="BO253" s="16"/>
      <c r="BP253" s="15" t="s">
        <v>3123</v>
      </c>
      <c r="BQ253" s="17"/>
      <c r="BR253" s="14"/>
      <c r="BS253" s="14"/>
      <c r="BT253" s="16"/>
      <c r="BU253" s="16"/>
      <c r="BV253" s="13"/>
      <c r="BW253" s="18" t="s">
        <v>8892</v>
      </c>
      <c r="BX253" s="13">
        <v>200</v>
      </c>
      <c r="BY253" s="17">
        <v>44129</v>
      </c>
      <c r="BZ253" s="18"/>
      <c r="CA253" s="18"/>
      <c r="CB253" s="18" t="s">
        <v>8893</v>
      </c>
      <c r="CC253" s="18"/>
      <c r="CD253" s="14" t="s">
        <v>8894</v>
      </c>
      <c r="CE253" s="17">
        <v>43033</v>
      </c>
      <c r="CF253" s="16"/>
      <c r="CG253" s="17"/>
      <c r="CH253" s="16"/>
      <c r="CI253" s="17"/>
      <c r="CJ253" s="16"/>
      <c r="CK253" s="17"/>
      <c r="CL253" s="16"/>
      <c r="CM253" s="17"/>
      <c r="CN253" s="19">
        <v>19.391147644830564</v>
      </c>
      <c r="CO253" s="19"/>
      <c r="CP253" s="17"/>
      <c r="CQ253" s="14" t="s">
        <v>5104</v>
      </c>
      <c r="CR253" s="14" t="s">
        <v>5962</v>
      </c>
      <c r="CS253" s="14" t="s">
        <v>5945</v>
      </c>
    </row>
    <row r="254" spans="1:97" ht="26.15" customHeight="1">
      <c r="A254" s="2">
        <v>344</v>
      </c>
      <c r="B254" s="25" t="s">
        <v>2288</v>
      </c>
      <c r="C254" s="25" t="e">
        <f>VLOOKUP(B254, Sheet6!$A$1:$B$77, 2, FALSE)</f>
        <v>#N/A</v>
      </c>
      <c r="D254" s="25" t="s">
        <v>2288</v>
      </c>
      <c r="E254" s="25" t="s">
        <v>2289</v>
      </c>
      <c r="F254" s="25" t="s">
        <v>9043</v>
      </c>
      <c r="G254" s="25" t="s">
        <v>10955</v>
      </c>
      <c r="H254" s="25" t="s">
        <v>10957</v>
      </c>
      <c r="I254" s="25" t="s">
        <v>10558</v>
      </c>
      <c r="J254" s="25" t="s">
        <v>10846</v>
      </c>
      <c r="L254" s="13">
        <v>2015</v>
      </c>
      <c r="M254" s="14" t="s">
        <v>6429</v>
      </c>
      <c r="N254" s="14" t="s">
        <v>5674</v>
      </c>
      <c r="O254" s="14" t="s">
        <v>2057</v>
      </c>
      <c r="P254" s="15" t="s">
        <v>3117</v>
      </c>
      <c r="Q254" s="16">
        <v>1489730</v>
      </c>
      <c r="R254" s="17">
        <v>43987</v>
      </c>
      <c r="S254" s="16"/>
      <c r="T254" s="16" t="s">
        <v>50</v>
      </c>
      <c r="U254" s="14" t="s">
        <v>34</v>
      </c>
      <c r="V254" s="13">
        <v>4</v>
      </c>
      <c r="W254" s="17">
        <v>44082</v>
      </c>
      <c r="X254" s="14"/>
      <c r="Y254" s="17"/>
      <c r="Z254" s="17"/>
      <c r="AA254" s="14" t="s">
        <v>1</v>
      </c>
      <c r="AB254" s="14" t="s">
        <v>5007</v>
      </c>
      <c r="AC254" s="14" t="s">
        <v>6430</v>
      </c>
      <c r="AD254" s="20" t="str">
        <f t="shared" si="15"/>
        <v>Crop Tech &gt; Farm Management Software</v>
      </c>
      <c r="AE254" s="20" t="str">
        <f t="shared" si="18"/>
        <v>Crop Tech</v>
      </c>
      <c r="AF254" s="20" t="str">
        <f t="shared" si="17"/>
        <v>Farm Management Software</v>
      </c>
      <c r="AG254" s="20" t="str">
        <f t="shared" si="17"/>
        <v/>
      </c>
      <c r="AH254" s="20" t="str">
        <f t="shared" si="17"/>
        <v/>
      </c>
      <c r="AI254" s="20" t="str">
        <f t="shared" si="17"/>
        <v/>
      </c>
      <c r="AJ254" s="20" t="str">
        <f t="shared" si="17"/>
        <v/>
      </c>
      <c r="AK254" s="20" t="str">
        <f t="shared" si="17"/>
        <v/>
      </c>
      <c r="AL254" s="14" t="s">
        <v>6431</v>
      </c>
      <c r="AM254" s="14"/>
      <c r="AO254" s="14"/>
      <c r="AP254" s="14" t="s">
        <v>2057</v>
      </c>
      <c r="AQ254" s="14"/>
      <c r="AR254" s="14" t="s">
        <v>6433</v>
      </c>
      <c r="AS254" s="14"/>
      <c r="AT254" s="14"/>
      <c r="AU254" s="14"/>
      <c r="AV254" s="18"/>
      <c r="AW254" s="16"/>
      <c r="AX254" s="17"/>
      <c r="AY254" s="15" t="s">
        <v>3123</v>
      </c>
      <c r="AZ254" s="17"/>
      <c r="BA254" s="16"/>
      <c r="BB254" s="14"/>
      <c r="BC254" s="14"/>
      <c r="BD254" s="15" t="s">
        <v>3123</v>
      </c>
      <c r="BE254" s="14"/>
      <c r="BF254" s="17"/>
      <c r="BG254" s="16"/>
      <c r="BH254" s="14"/>
      <c r="BI254" s="15" t="s">
        <v>3123</v>
      </c>
      <c r="BJ254" s="14"/>
      <c r="BK254" s="17"/>
      <c r="BL254" s="16"/>
      <c r="BM254" s="16"/>
      <c r="BN254" s="16"/>
      <c r="BO254" s="16"/>
      <c r="BP254" s="15" t="s">
        <v>3123</v>
      </c>
      <c r="BQ254" s="17"/>
      <c r="BR254" s="14"/>
      <c r="BS254" s="14"/>
      <c r="BT254" s="16"/>
      <c r="BU254" s="16"/>
      <c r="BV254" s="13"/>
      <c r="BW254" s="18" t="s">
        <v>6434</v>
      </c>
      <c r="BX254" s="13">
        <v>200</v>
      </c>
      <c r="BY254" s="17">
        <v>44129</v>
      </c>
      <c r="BZ254" s="18" t="s">
        <v>6435</v>
      </c>
      <c r="CA254" s="18"/>
      <c r="CB254" s="18"/>
      <c r="CC254" s="18"/>
      <c r="CD254" s="14" t="s">
        <v>6436</v>
      </c>
      <c r="CE254" s="17">
        <v>43564</v>
      </c>
      <c r="CF254" s="16"/>
      <c r="CG254" s="17"/>
      <c r="CH254" s="16"/>
      <c r="CI254" s="17"/>
      <c r="CJ254" s="16"/>
      <c r="CK254" s="17"/>
      <c r="CL254" s="16"/>
      <c r="CM254" s="17"/>
      <c r="CN254" s="19">
        <v>27.113306612929392</v>
      </c>
      <c r="CO254" s="19"/>
      <c r="CP254" s="17"/>
      <c r="CQ254" s="14" t="s">
        <v>5204</v>
      </c>
      <c r="CR254" s="14" t="s">
        <v>6437</v>
      </c>
      <c r="CS254" s="14" t="s">
        <v>5311</v>
      </c>
    </row>
    <row r="255" spans="1:97" ht="26.15" customHeight="1">
      <c r="A255" s="2">
        <v>101</v>
      </c>
      <c r="B255" s="25" t="s">
        <v>1434</v>
      </c>
      <c r="C255" s="25" t="e">
        <f>VLOOKUP(B255, Sheet6!$A$1:$B$77, 2, FALSE)</f>
        <v>#N/A</v>
      </c>
      <c r="D255" s="25" t="s">
        <v>1435</v>
      </c>
      <c r="E255" s="25" t="s">
        <v>1437</v>
      </c>
      <c r="F255" s="25" t="s">
        <v>6337</v>
      </c>
      <c r="G255" s="25" t="s">
        <v>10955</v>
      </c>
      <c r="H255" s="25" t="s">
        <v>10959</v>
      </c>
      <c r="I255" s="25" t="s">
        <v>10958</v>
      </c>
      <c r="J255" s="26" t="s">
        <v>10848</v>
      </c>
      <c r="L255" s="13">
        <v>2011</v>
      </c>
      <c r="M255" s="14" t="s">
        <v>7967</v>
      </c>
      <c r="N255" s="14" t="s">
        <v>5190</v>
      </c>
      <c r="O255" s="14" t="s">
        <v>1258</v>
      </c>
      <c r="P255" s="15" t="s">
        <v>3117</v>
      </c>
      <c r="Q255" s="16"/>
      <c r="R255" s="17">
        <v>42860</v>
      </c>
      <c r="S255" s="16"/>
      <c r="T255" s="16" t="s">
        <v>50</v>
      </c>
      <c r="U255" s="14" t="s">
        <v>109</v>
      </c>
      <c r="V255" s="13">
        <v>3</v>
      </c>
      <c r="W255" s="17">
        <v>44089</v>
      </c>
      <c r="X255" s="14"/>
      <c r="Y255" s="17"/>
      <c r="Z255" s="17"/>
      <c r="AA255" s="14" t="s">
        <v>6586</v>
      </c>
      <c r="AB255" s="14" t="s">
        <v>8895</v>
      </c>
      <c r="AC255" s="14" t="s">
        <v>8896</v>
      </c>
      <c r="AD255" s="20" t="str">
        <f t="shared" si="15"/>
        <v>Clinical Genomics &gt; Sequencing Based &gt; Microbial Testing &gt; Infectious Diseases
Genomics &gt; Applied Genomics &gt; Clinical Genomics &gt; Diagnostics &gt; Sequencing-based &gt; Microbial Testing &gt; Infectious Diseases
Livestock Tech &gt; Health Management &gt; Diagnostics &gt; Diversified</v>
      </c>
      <c r="AE255" s="20" t="str">
        <f t="shared" si="18"/>
        <v>Clinical Genomics</v>
      </c>
      <c r="AF255" s="20" t="str">
        <f t="shared" si="17"/>
        <v>Sequencing Based</v>
      </c>
      <c r="AG255" s="20" t="str">
        <f t="shared" si="17"/>
        <v>Microbial Testing</v>
      </c>
      <c r="AH255" s="20" t="str">
        <f t="shared" si="17"/>
        <v>Infectious Diseases
Genomics</v>
      </c>
      <c r="AI255" s="20" t="str">
        <f t="shared" si="17"/>
        <v>Applied Genomics</v>
      </c>
      <c r="AJ255" s="20" t="str">
        <f t="shared" si="17"/>
        <v>Clinical Genomics</v>
      </c>
      <c r="AK255" s="20" t="str">
        <f t="shared" si="17"/>
        <v>Diagnostics</v>
      </c>
      <c r="AL255" s="14" t="s">
        <v>1486</v>
      </c>
      <c r="AM255" s="14"/>
      <c r="AO255" s="14"/>
      <c r="AP255" s="14" t="s">
        <v>1258</v>
      </c>
      <c r="AQ255" s="14" t="s">
        <v>8898</v>
      </c>
      <c r="AR255" s="14" t="s">
        <v>8899</v>
      </c>
      <c r="AS255" s="14" t="s">
        <v>8900</v>
      </c>
      <c r="AT255" s="14"/>
      <c r="AU255" s="14" t="s">
        <v>8901</v>
      </c>
      <c r="AV255" s="18"/>
      <c r="AW255" s="16"/>
      <c r="AX255" s="17"/>
      <c r="AY255" s="15" t="s">
        <v>3123</v>
      </c>
      <c r="AZ255" s="17"/>
      <c r="BA255" s="16"/>
      <c r="BB255" s="14"/>
      <c r="BC255" s="14"/>
      <c r="BD255" s="15" t="s">
        <v>3123</v>
      </c>
      <c r="BE255" s="14"/>
      <c r="BF255" s="17"/>
      <c r="BG255" s="16"/>
      <c r="BH255" s="14"/>
      <c r="BI255" s="15" t="s">
        <v>3123</v>
      </c>
      <c r="BJ255" s="14"/>
      <c r="BK255" s="17"/>
      <c r="BL255" s="16"/>
      <c r="BM255" s="16"/>
      <c r="BN255" s="16"/>
      <c r="BO255" s="16"/>
      <c r="BP255" s="15" t="s">
        <v>3123</v>
      </c>
      <c r="BQ255" s="17"/>
      <c r="BR255" s="14"/>
      <c r="BS255" s="14"/>
      <c r="BT255" s="16"/>
      <c r="BU255" s="16"/>
      <c r="BV255" s="13"/>
      <c r="BW255" s="18" t="s">
        <v>8902</v>
      </c>
      <c r="BX255" s="13">
        <v>200</v>
      </c>
      <c r="BY255" s="17">
        <v>44128</v>
      </c>
      <c r="BZ255" s="18" t="s">
        <v>8903</v>
      </c>
      <c r="CA255" s="18"/>
      <c r="CB255" s="18"/>
      <c r="CC255" s="18"/>
      <c r="CD255" s="14" t="s">
        <v>8904</v>
      </c>
      <c r="CE255" s="17">
        <v>43984</v>
      </c>
      <c r="CF255" s="16"/>
      <c r="CG255" s="17"/>
      <c r="CH255" s="16"/>
      <c r="CI255" s="17"/>
      <c r="CJ255" s="16"/>
      <c r="CK255" s="17"/>
      <c r="CL255" s="16"/>
      <c r="CM255" s="17"/>
      <c r="CN255" s="19">
        <v>10.766858847875547</v>
      </c>
      <c r="CO255" s="19"/>
      <c r="CP255" s="17"/>
      <c r="CQ255" s="14" t="s">
        <v>5104</v>
      </c>
      <c r="CR255" s="14" t="s">
        <v>5439</v>
      </c>
      <c r="CS255" s="14" t="s">
        <v>5311</v>
      </c>
    </row>
    <row r="256" spans="1:97" ht="26.15" customHeight="1">
      <c r="A256" s="2">
        <v>146</v>
      </c>
      <c r="B256" s="25" t="s">
        <v>1926</v>
      </c>
      <c r="C256" s="25" t="e">
        <f>VLOOKUP(B256, Sheet6!$A$1:$B$77, 2, FALSE)</f>
        <v>#N/A</v>
      </c>
      <c r="D256" s="25" t="s">
        <v>1927</v>
      </c>
      <c r="E256" s="25" t="s">
        <v>1930</v>
      </c>
      <c r="F256" s="25" t="s">
        <v>6872</v>
      </c>
      <c r="G256" s="25" t="s">
        <v>10955</v>
      </c>
      <c r="H256" s="25" t="s">
        <v>10957</v>
      </c>
      <c r="I256" s="25" t="s">
        <v>10958</v>
      </c>
      <c r="J256" s="26" t="s">
        <v>10819</v>
      </c>
      <c r="L256" s="13">
        <v>2011</v>
      </c>
      <c r="M256" s="14" t="s">
        <v>4993</v>
      </c>
      <c r="N256" s="14" t="s">
        <v>4994</v>
      </c>
      <c r="O256" s="14" t="s">
        <v>2057</v>
      </c>
      <c r="P256" s="15" t="s">
        <v>3117</v>
      </c>
      <c r="Q256" s="16">
        <v>1670019</v>
      </c>
      <c r="R256" s="17">
        <v>42522</v>
      </c>
      <c r="S256" s="16" t="s">
        <v>5022</v>
      </c>
      <c r="T256" s="16">
        <v>1670019</v>
      </c>
      <c r="U256" s="14" t="s">
        <v>34</v>
      </c>
      <c r="V256" s="13">
        <v>2</v>
      </c>
      <c r="W256" s="17">
        <v>44081</v>
      </c>
      <c r="X256" s="14"/>
      <c r="Y256" s="17"/>
      <c r="Z256" s="17"/>
      <c r="AA256" s="14" t="s">
        <v>1</v>
      </c>
      <c r="AB256" s="14" t="s">
        <v>5084</v>
      </c>
      <c r="AC256" s="14" t="s">
        <v>6268</v>
      </c>
      <c r="AD256" s="20" t="str">
        <f t="shared" si="15"/>
        <v>Livestock Tech &gt; Livestock Management Software</v>
      </c>
      <c r="AE256" s="20" t="str">
        <f t="shared" si="18"/>
        <v>Livestock Tech</v>
      </c>
      <c r="AF256" s="20" t="str">
        <f t="shared" si="17"/>
        <v>Livestock Management Software</v>
      </c>
      <c r="AG256" s="20" t="str">
        <f t="shared" si="17"/>
        <v/>
      </c>
      <c r="AH256" s="20" t="str">
        <f t="shared" si="17"/>
        <v/>
      </c>
      <c r="AI256" s="20" t="str">
        <f t="shared" si="17"/>
        <v/>
      </c>
      <c r="AJ256" s="20" t="str">
        <f t="shared" si="17"/>
        <v/>
      </c>
      <c r="AK256" s="20" t="str">
        <f t="shared" si="17"/>
        <v/>
      </c>
      <c r="AL256" s="14"/>
      <c r="AM256" s="14"/>
      <c r="AO256" s="14"/>
      <c r="AP256" s="14" t="s">
        <v>2057</v>
      </c>
      <c r="AQ256" s="14" t="s">
        <v>8906</v>
      </c>
      <c r="AR256" s="14"/>
      <c r="AS256" s="14"/>
      <c r="AT256" s="14"/>
      <c r="AU256" s="14"/>
      <c r="AV256" s="18"/>
      <c r="AW256" s="16"/>
      <c r="AX256" s="17"/>
      <c r="AY256" s="15" t="s">
        <v>3123</v>
      </c>
      <c r="AZ256" s="17"/>
      <c r="BA256" s="16"/>
      <c r="BB256" s="14"/>
      <c r="BC256" s="14"/>
      <c r="BD256" s="15" t="s">
        <v>3123</v>
      </c>
      <c r="BE256" s="14"/>
      <c r="BF256" s="17"/>
      <c r="BG256" s="16"/>
      <c r="BH256" s="14"/>
      <c r="BI256" s="15" t="s">
        <v>3123</v>
      </c>
      <c r="BJ256" s="14"/>
      <c r="BK256" s="17"/>
      <c r="BL256" s="16"/>
      <c r="BM256" s="16"/>
      <c r="BN256" s="16"/>
      <c r="BO256" s="16"/>
      <c r="BP256" s="15" t="s">
        <v>3123</v>
      </c>
      <c r="BQ256" s="17"/>
      <c r="BR256" s="14"/>
      <c r="BS256" s="14"/>
      <c r="BT256" s="16"/>
      <c r="BU256" s="16"/>
      <c r="BV256" s="13"/>
      <c r="BW256" s="18" t="s">
        <v>8907</v>
      </c>
      <c r="BX256" s="13">
        <v>200</v>
      </c>
      <c r="BY256" s="17">
        <v>44129</v>
      </c>
      <c r="BZ256" s="18"/>
      <c r="CA256" s="18" t="s">
        <v>8908</v>
      </c>
      <c r="CB256" s="18"/>
      <c r="CC256" s="18"/>
      <c r="CD256" s="14" t="s">
        <v>8909</v>
      </c>
      <c r="CE256" s="17">
        <v>42969</v>
      </c>
      <c r="CF256" s="16"/>
      <c r="CG256" s="17"/>
      <c r="CH256" s="16"/>
      <c r="CI256" s="17"/>
      <c r="CJ256" s="16"/>
      <c r="CK256" s="17"/>
      <c r="CL256" s="16"/>
      <c r="CM256" s="17"/>
      <c r="CN256" s="19">
        <v>14.144064527001925</v>
      </c>
      <c r="CO256" s="19"/>
      <c r="CP256" s="17"/>
      <c r="CQ256" s="14" t="s">
        <v>5104</v>
      </c>
      <c r="CR256" s="14" t="s">
        <v>5962</v>
      </c>
      <c r="CS256" s="14" t="s">
        <v>5945</v>
      </c>
    </row>
    <row r="257" spans="1:97" ht="26.15" customHeight="1">
      <c r="A257" s="2">
        <v>26</v>
      </c>
      <c r="B257" s="25" t="s">
        <v>88</v>
      </c>
      <c r="C257" s="25" t="e">
        <f>VLOOKUP(B257, Sheet6!$A$1:$B$77, 2, FALSE)</f>
        <v>#N/A</v>
      </c>
      <c r="D257" s="25" t="s">
        <v>89</v>
      </c>
      <c r="E257" s="25" t="s">
        <v>93</v>
      </c>
      <c r="F257" s="25" t="s">
        <v>5365</v>
      </c>
      <c r="G257" s="25" t="s">
        <v>10955</v>
      </c>
      <c r="H257" s="25" t="s">
        <v>10959</v>
      </c>
      <c r="I257" s="25" t="s">
        <v>10958</v>
      </c>
      <c r="J257" s="26" t="s">
        <v>10759</v>
      </c>
      <c r="L257" s="13">
        <v>2015</v>
      </c>
      <c r="M257" s="14" t="s">
        <v>5132</v>
      </c>
      <c r="N257" s="14" t="s">
        <v>5133</v>
      </c>
      <c r="O257" s="14" t="s">
        <v>3994</v>
      </c>
      <c r="P257" s="15" t="s">
        <v>3117</v>
      </c>
      <c r="Q257" s="16">
        <v>65736870</v>
      </c>
      <c r="R257" s="17">
        <v>44063</v>
      </c>
      <c r="S257" s="16" t="s">
        <v>6462</v>
      </c>
      <c r="T257" s="16">
        <v>114000</v>
      </c>
      <c r="U257" s="14" t="s">
        <v>95</v>
      </c>
      <c r="V257" s="13">
        <v>4</v>
      </c>
      <c r="W257" s="17">
        <v>44022</v>
      </c>
      <c r="X257" s="14" t="s">
        <v>5544</v>
      </c>
      <c r="Y257" s="17">
        <v>44070</v>
      </c>
      <c r="Z257" s="17">
        <v>43867</v>
      </c>
      <c r="AA257" s="14" t="s">
        <v>5509</v>
      </c>
      <c r="AB257" s="14" t="s">
        <v>5510</v>
      </c>
      <c r="AC257" s="14" t="s">
        <v>5696</v>
      </c>
      <c r="AD257" s="20" t="str">
        <f t="shared" si="15"/>
        <v>B2B E-Commerce &gt; Food &amp; Beverages &gt; Groceries &gt; Farm Products &gt; E-Distributor
Online Grocery &gt; B2B Ecommerce &gt; Farm Produce &gt; Fruits and Vegetables &gt; E-Distributor
Crop Tech &gt; ECommerce &gt; Farm Produce &gt; B2B &gt; Fruits and Vegetables &gt; E Distributor</v>
      </c>
      <c r="AE257" s="20" t="str">
        <f t="shared" si="18"/>
        <v>B2B E-Commerce</v>
      </c>
      <c r="AF257" s="20" t="str">
        <f t="shared" si="17"/>
        <v>Food &amp; Beverages</v>
      </c>
      <c r="AG257" s="20" t="str">
        <f t="shared" si="17"/>
        <v>Groceries</v>
      </c>
      <c r="AH257" s="20" t="str">
        <f t="shared" si="17"/>
        <v>Farm Products</v>
      </c>
      <c r="AI257" s="20" t="str">
        <f t="shared" si="17"/>
        <v>E-Distributor
Online Grocery</v>
      </c>
      <c r="AJ257" s="20" t="str">
        <f t="shared" si="17"/>
        <v>B2B Ecommerce</v>
      </c>
      <c r="AK257" s="20" t="str">
        <f t="shared" si="17"/>
        <v>Farm Produce</v>
      </c>
      <c r="AL257" s="14" t="s">
        <v>6463</v>
      </c>
      <c r="AM257" s="14" t="s">
        <v>6464</v>
      </c>
      <c r="AO257" s="14"/>
      <c r="AP257" s="14" t="s">
        <v>3994</v>
      </c>
      <c r="AQ257" s="14" t="s">
        <v>6466</v>
      </c>
      <c r="AR257" s="14" t="s">
        <v>6467</v>
      </c>
      <c r="AS257" s="14" t="s">
        <v>6468</v>
      </c>
      <c r="AT257" s="14" t="s">
        <v>6469</v>
      </c>
      <c r="AU257" s="14" t="s">
        <v>6470</v>
      </c>
      <c r="AV257" s="18"/>
      <c r="AW257" s="16">
        <v>22692800</v>
      </c>
      <c r="AX257" s="17">
        <v>43465</v>
      </c>
      <c r="AY257" s="15" t="s">
        <v>3117</v>
      </c>
      <c r="AZ257" s="17">
        <v>42186</v>
      </c>
      <c r="BA257" s="16">
        <v>1570</v>
      </c>
      <c r="BB257" s="14" t="s">
        <v>6471</v>
      </c>
      <c r="BC257" s="14" t="s">
        <v>6472</v>
      </c>
      <c r="BD257" s="15" t="s">
        <v>3123</v>
      </c>
      <c r="BE257" s="14"/>
      <c r="BF257" s="17"/>
      <c r="BG257" s="16"/>
      <c r="BH257" s="14"/>
      <c r="BI257" s="15" t="s">
        <v>3123</v>
      </c>
      <c r="BJ257" s="14"/>
      <c r="BK257" s="17"/>
      <c r="BL257" s="16"/>
      <c r="BM257" s="16"/>
      <c r="BN257" s="16"/>
      <c r="BO257" s="16"/>
      <c r="BP257" s="15" t="s">
        <v>3123</v>
      </c>
      <c r="BQ257" s="17"/>
      <c r="BR257" s="14"/>
      <c r="BS257" s="14"/>
      <c r="BT257" s="16"/>
      <c r="BU257" s="16"/>
      <c r="BV257" s="13"/>
      <c r="BW257" s="18" t="s">
        <v>6473</v>
      </c>
      <c r="BX257" s="13">
        <v>200</v>
      </c>
      <c r="BY257" s="17">
        <v>44129</v>
      </c>
      <c r="BZ257" s="18" t="s">
        <v>6474</v>
      </c>
      <c r="CA257" s="18" t="s">
        <v>6475</v>
      </c>
      <c r="CB257" s="18" t="s">
        <v>6476</v>
      </c>
      <c r="CC257" s="18"/>
      <c r="CD257" s="14" t="s">
        <v>6477</v>
      </c>
      <c r="CE257" s="17">
        <v>43046</v>
      </c>
      <c r="CF257" s="16">
        <v>-6601100</v>
      </c>
      <c r="CG257" s="17">
        <v>43465</v>
      </c>
      <c r="CH257" s="16">
        <v>-5298500</v>
      </c>
      <c r="CI257" s="17">
        <v>43465</v>
      </c>
      <c r="CJ257" s="16">
        <v>125000000</v>
      </c>
      <c r="CK257" s="17">
        <v>43868</v>
      </c>
      <c r="CL257" s="16">
        <v>648</v>
      </c>
      <c r="CM257" s="17">
        <v>43921</v>
      </c>
      <c r="CN257" s="19">
        <v>73.504201534520575</v>
      </c>
      <c r="CO257" s="19"/>
      <c r="CP257" s="17"/>
      <c r="CQ257" s="14" t="s">
        <v>5036</v>
      </c>
      <c r="CR257" s="14" t="s">
        <v>6478</v>
      </c>
      <c r="CS257" s="14" t="s">
        <v>5004</v>
      </c>
    </row>
    <row r="258" spans="1:97" ht="26.15" customHeight="1">
      <c r="A258" s="2">
        <v>276</v>
      </c>
      <c r="B258" s="25" t="s">
        <v>897</v>
      </c>
      <c r="C258" s="25" t="e">
        <f>VLOOKUP(B258, Sheet6!$A$1:$B$77, 2, FALSE)</f>
        <v>#N/A</v>
      </c>
      <c r="D258" s="25" t="s">
        <v>898</v>
      </c>
      <c r="E258" s="25" t="s">
        <v>903</v>
      </c>
      <c r="F258" s="25" t="s">
        <v>8506</v>
      </c>
      <c r="G258" s="25" t="s">
        <v>10955</v>
      </c>
      <c r="H258" s="25" t="s">
        <v>10558</v>
      </c>
      <c r="I258" s="25" t="s">
        <v>10558</v>
      </c>
      <c r="J258" s="25" t="s">
        <v>10846</v>
      </c>
      <c r="L258" s="13">
        <v>2015</v>
      </c>
      <c r="M258" s="14" t="s">
        <v>4993</v>
      </c>
      <c r="N258" s="14" t="s">
        <v>4994</v>
      </c>
      <c r="O258" s="14" t="s">
        <v>2057</v>
      </c>
      <c r="P258" s="15" t="s">
        <v>3117</v>
      </c>
      <c r="Q258" s="16">
        <v>9356810</v>
      </c>
      <c r="R258" s="17">
        <v>43018</v>
      </c>
      <c r="S258" s="16" t="s">
        <v>6597</v>
      </c>
      <c r="T258" s="16">
        <v>9356810</v>
      </c>
      <c r="U258" s="14" t="s">
        <v>5630</v>
      </c>
      <c r="V258" s="13"/>
      <c r="W258" s="17">
        <v>44003</v>
      </c>
      <c r="X258" s="14"/>
      <c r="Y258" s="17"/>
      <c r="Z258" s="17"/>
      <c r="AA258" s="14" t="s">
        <v>5253</v>
      </c>
      <c r="AB258" s="14" t="s">
        <v>5254</v>
      </c>
      <c r="AC258" s="14" t="s">
        <v>6598</v>
      </c>
      <c r="AD258" s="20" t="str">
        <f t="shared" si="15"/>
        <v>Drones &gt; Services &gt; Precision Agriculture
Crop Tech &gt; Farming as a Service &gt; Tech Enabled Services</v>
      </c>
      <c r="AE258" s="20" t="str">
        <f t="shared" si="18"/>
        <v>Drones</v>
      </c>
      <c r="AF258" s="20" t="str">
        <f t="shared" si="17"/>
        <v>Services</v>
      </c>
      <c r="AG258" s="20" t="str">
        <f t="shared" si="17"/>
        <v>Precision Agriculture
Crop Tech</v>
      </c>
      <c r="AH258" s="20" t="str">
        <f t="shared" si="17"/>
        <v>Farming as a Service</v>
      </c>
      <c r="AI258" s="20" t="str">
        <f t="shared" si="17"/>
        <v>Tech Enabled Services</v>
      </c>
      <c r="AJ258" s="20" t="str">
        <f t="shared" si="17"/>
        <v/>
      </c>
      <c r="AK258" s="20" t="str">
        <f t="shared" si="17"/>
        <v/>
      </c>
      <c r="AL258" s="14" t="s">
        <v>6599</v>
      </c>
      <c r="AM258" s="14"/>
      <c r="AO258" s="14"/>
      <c r="AP258" s="14" t="s">
        <v>2057</v>
      </c>
      <c r="AQ258" s="14"/>
      <c r="AR258" s="14"/>
      <c r="AS258" s="14" t="s">
        <v>6601</v>
      </c>
      <c r="AT258" s="14"/>
      <c r="AU258" s="14"/>
      <c r="AV258" s="18"/>
      <c r="AW258" s="16"/>
      <c r="AX258" s="17"/>
      <c r="AY258" s="15" t="s">
        <v>3123</v>
      </c>
      <c r="AZ258" s="17"/>
      <c r="BA258" s="16"/>
      <c r="BB258" s="14"/>
      <c r="BC258" s="14"/>
      <c r="BD258" s="15" t="s">
        <v>3123</v>
      </c>
      <c r="BE258" s="14"/>
      <c r="BF258" s="17"/>
      <c r="BG258" s="16"/>
      <c r="BH258" s="14"/>
      <c r="BI258" s="15" t="s">
        <v>3123</v>
      </c>
      <c r="BJ258" s="14"/>
      <c r="BK258" s="17"/>
      <c r="BL258" s="16"/>
      <c r="BM258" s="16"/>
      <c r="BN258" s="16"/>
      <c r="BO258" s="16"/>
      <c r="BP258" s="15" t="s">
        <v>3117</v>
      </c>
      <c r="BQ258" s="17"/>
      <c r="BR258" s="14"/>
      <c r="BS258" s="14"/>
      <c r="BT258" s="16"/>
      <c r="BU258" s="16"/>
      <c r="BV258" s="13"/>
      <c r="BW258" s="18" t="s">
        <v>6602</v>
      </c>
      <c r="BX258" s="13">
        <v>-1</v>
      </c>
      <c r="BY258" s="17">
        <v>44128</v>
      </c>
      <c r="BZ258" s="18"/>
      <c r="CA258" s="18"/>
      <c r="CB258" s="18"/>
      <c r="CC258" s="18"/>
      <c r="CD258" s="14" t="s">
        <v>6603</v>
      </c>
      <c r="CE258" s="17">
        <v>43020</v>
      </c>
      <c r="CF258" s="16"/>
      <c r="CG258" s="17"/>
      <c r="CH258" s="16"/>
      <c r="CI258" s="17"/>
      <c r="CJ258" s="16"/>
      <c r="CK258" s="17"/>
      <c r="CL258" s="16"/>
      <c r="CM258" s="17"/>
      <c r="CN258" s="19">
        <v>25.321140959466341</v>
      </c>
      <c r="CO258" s="19"/>
      <c r="CP258" s="17"/>
      <c r="CQ258" s="14" t="s">
        <v>5104</v>
      </c>
      <c r="CR258" s="14" t="s">
        <v>5037</v>
      </c>
      <c r="CS258" s="14" t="s">
        <v>5004</v>
      </c>
    </row>
    <row r="259" spans="1:97" ht="26.15" customHeight="1">
      <c r="A259" s="2">
        <v>139</v>
      </c>
      <c r="B259" s="25" t="s">
        <v>664</v>
      </c>
      <c r="C259" s="25" t="e">
        <f>VLOOKUP(B259, Sheet6!$A$1:$B$77, 2, FALSE)</f>
        <v>#N/A</v>
      </c>
      <c r="D259" s="25" t="s">
        <v>665</v>
      </c>
      <c r="E259" s="25" t="s">
        <v>667</v>
      </c>
      <c r="F259" s="25" t="s">
        <v>6785</v>
      </c>
      <c r="G259" s="25" t="s">
        <v>10955</v>
      </c>
      <c r="H259" s="25" t="s">
        <v>10967</v>
      </c>
      <c r="I259" s="25" t="s">
        <v>10958</v>
      </c>
      <c r="J259" s="26" t="s">
        <v>10846</v>
      </c>
      <c r="L259" s="13">
        <v>2011</v>
      </c>
      <c r="M259" s="14" t="s">
        <v>5592</v>
      </c>
      <c r="N259" s="14" t="s">
        <v>5313</v>
      </c>
      <c r="O259" s="14" t="s">
        <v>3994</v>
      </c>
      <c r="P259" s="15" t="s">
        <v>3117</v>
      </c>
      <c r="Q259" s="16"/>
      <c r="R259" s="17">
        <v>42774</v>
      </c>
      <c r="S259" s="16"/>
      <c r="T259" s="16" t="s">
        <v>50</v>
      </c>
      <c r="U259" s="14" t="s">
        <v>34</v>
      </c>
      <c r="V259" s="13"/>
      <c r="W259" s="17"/>
      <c r="X259" s="14"/>
      <c r="Y259" s="17"/>
      <c r="Z259" s="17"/>
      <c r="AA259" s="14" t="s">
        <v>5315</v>
      </c>
      <c r="AB259" s="14" t="s">
        <v>5316</v>
      </c>
      <c r="AC259" s="14" t="s">
        <v>6439</v>
      </c>
      <c r="AD259" s="20" t="str">
        <f t="shared" si="15"/>
        <v>Crop Tech &gt; Farm Inputs &gt; Biologicals &gt; Crop Protection &gt; Microbes
Chemicals Tech &gt; Green Chemicals &gt; Crop Protection &gt; Microbes</v>
      </c>
      <c r="AE259" s="20" t="str">
        <f t="shared" si="18"/>
        <v>Crop Tech</v>
      </c>
      <c r="AF259" s="20" t="str">
        <f t="shared" si="17"/>
        <v>Farm Inputs</v>
      </c>
      <c r="AG259" s="20" t="str">
        <f t="shared" si="17"/>
        <v>Biologicals</v>
      </c>
      <c r="AH259" s="20" t="str">
        <f t="shared" si="17"/>
        <v>Crop Protection</v>
      </c>
      <c r="AI259" s="20" t="str">
        <f t="shared" si="17"/>
        <v>Microbes
Chemicals Tech</v>
      </c>
      <c r="AJ259" s="20" t="str">
        <f t="shared" si="17"/>
        <v>Green Chemicals</v>
      </c>
      <c r="AK259" s="20" t="str">
        <f t="shared" si="17"/>
        <v>Crop Protection</v>
      </c>
      <c r="AL259" s="14" t="s">
        <v>8916</v>
      </c>
      <c r="AM259" s="14"/>
      <c r="AO259" s="14"/>
      <c r="AP259" s="14" t="s">
        <v>3994</v>
      </c>
      <c r="AQ259" s="14" t="s">
        <v>8918</v>
      </c>
      <c r="AR259" s="14" t="s">
        <v>8919</v>
      </c>
      <c r="AS259" s="14" t="s">
        <v>8920</v>
      </c>
      <c r="AT259" s="14" t="s">
        <v>8921</v>
      </c>
      <c r="AU259" s="14" t="s">
        <v>8922</v>
      </c>
      <c r="AV259" s="18"/>
      <c r="AW259" s="16">
        <v>85800</v>
      </c>
      <c r="AX259" s="17">
        <v>43465</v>
      </c>
      <c r="AY259" s="15" t="s">
        <v>3117</v>
      </c>
      <c r="AZ259" s="17">
        <v>40672</v>
      </c>
      <c r="BA259" s="16">
        <v>2201</v>
      </c>
      <c r="BB259" s="14" t="s">
        <v>8923</v>
      </c>
      <c r="BC259" s="14"/>
      <c r="BD259" s="15" t="s">
        <v>3123</v>
      </c>
      <c r="BE259" s="14"/>
      <c r="BF259" s="17"/>
      <c r="BG259" s="16"/>
      <c r="BH259" s="14"/>
      <c r="BI259" s="15" t="s">
        <v>3123</v>
      </c>
      <c r="BJ259" s="14"/>
      <c r="BK259" s="17"/>
      <c r="BL259" s="16"/>
      <c r="BM259" s="16"/>
      <c r="BN259" s="16"/>
      <c r="BO259" s="16"/>
      <c r="BP259" s="15" t="s">
        <v>3123</v>
      </c>
      <c r="BQ259" s="17"/>
      <c r="BR259" s="14"/>
      <c r="BS259" s="14"/>
      <c r="BT259" s="16"/>
      <c r="BU259" s="16"/>
      <c r="BV259" s="13"/>
      <c r="BW259" s="18" t="s">
        <v>8924</v>
      </c>
      <c r="BX259" s="13">
        <v>302</v>
      </c>
      <c r="BY259" s="17">
        <v>44126</v>
      </c>
      <c r="BZ259" s="18" t="s">
        <v>8925</v>
      </c>
      <c r="CA259" s="18" t="s">
        <v>8926</v>
      </c>
      <c r="CB259" s="18" t="s">
        <v>8927</v>
      </c>
      <c r="CC259" s="18"/>
      <c r="CD259" s="14" t="s">
        <v>8928</v>
      </c>
      <c r="CE259" s="17">
        <v>43032</v>
      </c>
      <c r="CF259" s="16">
        <v>-42500</v>
      </c>
      <c r="CG259" s="17">
        <v>43465</v>
      </c>
      <c r="CH259" s="16">
        <v>-37500</v>
      </c>
      <c r="CI259" s="17">
        <v>43465</v>
      </c>
      <c r="CJ259" s="16"/>
      <c r="CK259" s="17"/>
      <c r="CL259" s="16"/>
      <c r="CM259" s="17"/>
      <c r="CN259" s="19">
        <v>37.024248680709661</v>
      </c>
      <c r="CO259" s="19"/>
      <c r="CP259" s="17"/>
      <c r="CQ259" s="14" t="s">
        <v>5345</v>
      </c>
      <c r="CR259" s="14" t="s">
        <v>7272</v>
      </c>
      <c r="CS259" s="14" t="s">
        <v>5945</v>
      </c>
    </row>
    <row r="260" spans="1:97" ht="26.15" customHeight="1">
      <c r="A260" s="2">
        <v>450</v>
      </c>
      <c r="B260" s="25" t="s">
        <v>2707</v>
      </c>
      <c r="C260" s="25" t="e">
        <f>VLOOKUP(B260, Sheet6!$A$1:$B$77, 2, FALSE)</f>
        <v>#N/A</v>
      </c>
      <c r="D260" s="25" t="s">
        <v>2708</v>
      </c>
      <c r="E260" s="25" t="s">
        <v>2709</v>
      </c>
      <c r="F260" s="25" t="s">
        <v>9617</v>
      </c>
      <c r="G260" s="25" t="s">
        <v>10955</v>
      </c>
      <c r="H260" s="25" t="s">
        <v>10957</v>
      </c>
      <c r="I260" s="25" t="s">
        <v>10958</v>
      </c>
      <c r="J260" s="25" t="s">
        <v>10763</v>
      </c>
      <c r="L260" s="13">
        <v>2015</v>
      </c>
      <c r="M260" s="14" t="s">
        <v>8174</v>
      </c>
      <c r="N260" s="14" t="s">
        <v>8174</v>
      </c>
      <c r="O260" s="14" t="s">
        <v>5844</v>
      </c>
      <c r="P260" s="15" t="s">
        <v>3117</v>
      </c>
      <c r="Q260" s="16"/>
      <c r="R260" s="17">
        <v>42755</v>
      </c>
      <c r="S260" s="16"/>
      <c r="T260" s="16" t="s">
        <v>50</v>
      </c>
      <c r="U260" s="14" t="s">
        <v>34</v>
      </c>
      <c r="V260" s="13"/>
      <c r="W260" s="17"/>
      <c r="X260" s="14"/>
      <c r="Y260" s="17"/>
      <c r="Z260" s="17"/>
      <c r="AA260" s="14" t="s">
        <v>6496</v>
      </c>
      <c r="AB260" s="14" t="s">
        <v>6497</v>
      </c>
      <c r="AC260" s="14" t="s">
        <v>8929</v>
      </c>
      <c r="AD260" s="20" t="str">
        <f t="shared" si="15"/>
        <v>Sensors &gt; Industry Applications &gt; Agriculture
Crop Tech &gt; Farm Analytics &gt; Multispectral Sensing</v>
      </c>
      <c r="AE260" s="20" t="str">
        <f t="shared" si="18"/>
        <v>Sensors</v>
      </c>
      <c r="AF260" s="20" t="str">
        <f t="shared" si="17"/>
        <v>Industry Applications</v>
      </c>
      <c r="AG260" s="20" t="str">
        <f t="shared" si="17"/>
        <v>Agriculture
Crop Tech</v>
      </c>
      <c r="AH260" s="20" t="str">
        <f t="shared" si="17"/>
        <v>Farm Analytics</v>
      </c>
      <c r="AI260" s="20" t="str">
        <f t="shared" si="17"/>
        <v>Multispectral Sensing</v>
      </c>
      <c r="AJ260" s="20" t="str">
        <f t="shared" si="17"/>
        <v/>
      </c>
      <c r="AK260" s="20" t="str">
        <f t="shared" si="17"/>
        <v/>
      </c>
      <c r="AL260" s="14" t="s">
        <v>4417</v>
      </c>
      <c r="AM260" s="14"/>
      <c r="AO260" s="14"/>
      <c r="AP260" s="14" t="s">
        <v>5844</v>
      </c>
      <c r="AQ260" s="14" t="s">
        <v>8931</v>
      </c>
      <c r="AR260" s="14" t="s">
        <v>8932</v>
      </c>
      <c r="AS260" s="14" t="s">
        <v>8933</v>
      </c>
      <c r="AT260" s="14"/>
      <c r="AU260" s="14" t="s">
        <v>8934</v>
      </c>
      <c r="AV260" s="18"/>
      <c r="AW260" s="16"/>
      <c r="AX260" s="17"/>
      <c r="AY260" s="15" t="s">
        <v>3123</v>
      </c>
      <c r="AZ260" s="17"/>
      <c r="BA260" s="16"/>
      <c r="BB260" s="14"/>
      <c r="BC260" s="14"/>
      <c r="BD260" s="15" t="s">
        <v>3123</v>
      </c>
      <c r="BE260" s="14"/>
      <c r="BF260" s="17"/>
      <c r="BG260" s="16"/>
      <c r="BH260" s="14"/>
      <c r="BI260" s="15" t="s">
        <v>3123</v>
      </c>
      <c r="BJ260" s="14"/>
      <c r="BK260" s="17"/>
      <c r="BL260" s="16"/>
      <c r="BM260" s="16"/>
      <c r="BN260" s="16"/>
      <c r="BO260" s="16"/>
      <c r="BP260" s="15" t="s">
        <v>3123</v>
      </c>
      <c r="BQ260" s="17"/>
      <c r="BR260" s="14"/>
      <c r="BS260" s="14"/>
      <c r="BT260" s="16"/>
      <c r="BU260" s="16"/>
      <c r="BV260" s="13"/>
      <c r="BW260" s="18" t="s">
        <v>8935</v>
      </c>
      <c r="BX260" s="13">
        <v>200</v>
      </c>
      <c r="BY260" s="17">
        <v>44126</v>
      </c>
      <c r="BZ260" s="18"/>
      <c r="CA260" s="18"/>
      <c r="CB260" s="18" t="s">
        <v>8936</v>
      </c>
      <c r="CC260" s="18" t="s">
        <v>8937</v>
      </c>
      <c r="CD260" s="14" t="s">
        <v>8938</v>
      </c>
      <c r="CE260" s="17">
        <v>43019</v>
      </c>
      <c r="CF260" s="16"/>
      <c r="CG260" s="17"/>
      <c r="CH260" s="16"/>
      <c r="CI260" s="17"/>
      <c r="CJ260" s="16"/>
      <c r="CK260" s="17"/>
      <c r="CL260" s="16"/>
      <c r="CM260" s="17"/>
      <c r="CN260" s="19">
        <v>14.920384396712384</v>
      </c>
      <c r="CO260" s="19"/>
      <c r="CP260" s="17"/>
      <c r="CQ260" s="14" t="s">
        <v>5036</v>
      </c>
      <c r="CR260" s="14" t="s">
        <v>5962</v>
      </c>
      <c r="CS260" s="14" t="s">
        <v>5945</v>
      </c>
    </row>
    <row r="261" spans="1:97" ht="26.15" customHeight="1">
      <c r="A261" s="2">
        <v>239</v>
      </c>
      <c r="B261" s="25" t="s">
        <v>1990</v>
      </c>
      <c r="C261" s="25" t="e">
        <f>VLOOKUP(B261, Sheet6!$A$1:$B$77, 2, FALSE)</f>
        <v>#N/A</v>
      </c>
      <c r="D261" s="25" t="s">
        <v>1991</v>
      </c>
      <c r="E261" s="25" t="s">
        <v>1992</v>
      </c>
      <c r="F261" s="25" t="s">
        <v>8002</v>
      </c>
      <c r="G261" s="25" t="s">
        <v>10955</v>
      </c>
      <c r="H261" s="25" t="s">
        <v>10967</v>
      </c>
      <c r="I261" s="25" t="s">
        <v>10558</v>
      </c>
      <c r="J261" s="25" t="s">
        <v>10766</v>
      </c>
      <c r="L261" s="13">
        <v>2016</v>
      </c>
      <c r="M261" s="14" t="s">
        <v>6840</v>
      </c>
      <c r="N261" s="14" t="s">
        <v>6543</v>
      </c>
      <c r="O261" s="14" t="s">
        <v>3994</v>
      </c>
      <c r="P261" s="15" t="s">
        <v>3117</v>
      </c>
      <c r="Q261" s="16">
        <v>4352191</v>
      </c>
      <c r="R261" s="17">
        <v>43486</v>
      </c>
      <c r="S261" s="16" t="s">
        <v>5022</v>
      </c>
      <c r="T261" s="16">
        <v>2000000</v>
      </c>
      <c r="U261" s="14" t="s">
        <v>34</v>
      </c>
      <c r="V261" s="13">
        <v>4</v>
      </c>
      <c r="W261" s="17">
        <v>44062</v>
      </c>
      <c r="X261" s="14" t="s">
        <v>5052</v>
      </c>
      <c r="Y261" s="17">
        <v>43881</v>
      </c>
      <c r="Z261" s="17">
        <v>43486</v>
      </c>
      <c r="AA261" s="14" t="s">
        <v>1</v>
      </c>
      <c r="AB261" s="14" t="s">
        <v>5007</v>
      </c>
      <c r="AC261" s="14" t="s">
        <v>5093</v>
      </c>
      <c r="AD261" s="20" t="str">
        <f t="shared" si="15"/>
        <v>Crop Tech &gt; Post Harvest Management &gt; Traceability</v>
      </c>
      <c r="AE261" s="20" t="str">
        <f t="shared" si="18"/>
        <v>Crop Tech</v>
      </c>
      <c r="AF261" s="20" t="str">
        <f t="shared" si="17"/>
        <v>Post Harvest Management</v>
      </c>
      <c r="AG261" s="20" t="str">
        <f t="shared" si="17"/>
        <v>Traceability</v>
      </c>
      <c r="AH261" s="20" t="str">
        <f t="shared" si="17"/>
        <v/>
      </c>
      <c r="AI261" s="20" t="str">
        <f t="shared" si="17"/>
        <v/>
      </c>
      <c r="AJ261" s="20" t="str">
        <f t="shared" si="17"/>
        <v/>
      </c>
      <c r="AK261" s="20" t="str">
        <f t="shared" si="17"/>
        <v/>
      </c>
      <c r="AL261" s="14" t="s">
        <v>6841</v>
      </c>
      <c r="AM261" s="14" t="s">
        <v>6842</v>
      </c>
      <c r="AO261" s="14"/>
      <c r="AP261" s="14" t="s">
        <v>3994</v>
      </c>
      <c r="AQ261" s="14" t="s">
        <v>6844</v>
      </c>
      <c r="AR261" s="14" t="s">
        <v>6845</v>
      </c>
      <c r="AS261" s="14" t="s">
        <v>6846</v>
      </c>
      <c r="AT261" s="14" t="s">
        <v>6847</v>
      </c>
      <c r="AU261" s="14" t="s">
        <v>6848</v>
      </c>
      <c r="AV261" s="18"/>
      <c r="AW261" s="16">
        <v>97000</v>
      </c>
      <c r="AX261" s="17">
        <v>43465</v>
      </c>
      <c r="AY261" s="15" t="s">
        <v>3123</v>
      </c>
      <c r="AZ261" s="17"/>
      <c r="BA261" s="16"/>
      <c r="BB261" s="14"/>
      <c r="BC261" s="14"/>
      <c r="BD261" s="15" t="s">
        <v>3123</v>
      </c>
      <c r="BE261" s="14"/>
      <c r="BF261" s="17"/>
      <c r="BG261" s="16"/>
      <c r="BH261" s="14"/>
      <c r="BI261" s="15" t="s">
        <v>3123</v>
      </c>
      <c r="BJ261" s="14"/>
      <c r="BK261" s="17"/>
      <c r="BL261" s="16"/>
      <c r="BM261" s="16"/>
      <c r="BN261" s="16"/>
      <c r="BO261" s="16"/>
      <c r="BP261" s="15" t="s">
        <v>3123</v>
      </c>
      <c r="BQ261" s="17"/>
      <c r="BR261" s="14"/>
      <c r="BS261" s="14"/>
      <c r="BT261" s="16"/>
      <c r="BU261" s="16"/>
      <c r="BV261" s="13"/>
      <c r="BW261" s="18" t="s">
        <v>6849</v>
      </c>
      <c r="BX261" s="13">
        <v>200</v>
      </c>
      <c r="BY261" s="17">
        <v>44126</v>
      </c>
      <c r="BZ261" s="18" t="s">
        <v>6850</v>
      </c>
      <c r="CA261" s="18" t="s">
        <v>6851</v>
      </c>
      <c r="CB261" s="18" t="s">
        <v>6852</v>
      </c>
      <c r="CC261" s="18"/>
      <c r="CD261" s="14" t="s">
        <v>6853</v>
      </c>
      <c r="CE261" s="17">
        <v>44062</v>
      </c>
      <c r="CF261" s="16">
        <v>-258600</v>
      </c>
      <c r="CG261" s="17">
        <v>43465</v>
      </c>
      <c r="CH261" s="16">
        <v>-252900</v>
      </c>
      <c r="CI261" s="17">
        <v>43465</v>
      </c>
      <c r="CJ261" s="16">
        <v>20000000</v>
      </c>
      <c r="CK261" s="17">
        <v>43475</v>
      </c>
      <c r="CL261" s="16">
        <v>53</v>
      </c>
      <c r="CM261" s="17">
        <v>44012</v>
      </c>
      <c r="CN261" s="19">
        <v>54.118186870606145</v>
      </c>
      <c r="CO261" s="19"/>
      <c r="CP261" s="17"/>
      <c r="CQ261" s="14" t="s">
        <v>5018</v>
      </c>
      <c r="CR261" s="14" t="s">
        <v>5019</v>
      </c>
      <c r="CS261" s="14" t="s">
        <v>5004</v>
      </c>
    </row>
    <row r="262" spans="1:97" ht="26.15" customHeight="1">
      <c r="A262" s="2">
        <v>541</v>
      </c>
      <c r="B262" s="25" t="s">
        <v>2901</v>
      </c>
      <c r="C262" s="25" t="e">
        <f>VLOOKUP(B262, Sheet6!$A$1:$B$77, 2, FALSE)</f>
        <v>#N/A</v>
      </c>
      <c r="D262" s="25" t="s">
        <v>2902</v>
      </c>
      <c r="E262" s="25" t="s">
        <v>2903</v>
      </c>
      <c r="F262" s="25" t="s">
        <v>10371</v>
      </c>
      <c r="G262" s="25" t="s">
        <v>10955</v>
      </c>
      <c r="H262" s="25" t="s">
        <v>10957</v>
      </c>
      <c r="I262" s="25" t="s">
        <v>10558</v>
      </c>
      <c r="J262" s="25" t="s">
        <v>10821</v>
      </c>
      <c r="L262" s="13">
        <v>2014</v>
      </c>
      <c r="M262" s="14" t="s">
        <v>6978</v>
      </c>
      <c r="N262" s="14" t="s">
        <v>6979</v>
      </c>
      <c r="O262" s="14" t="s">
        <v>4343</v>
      </c>
      <c r="P262" s="15" t="s">
        <v>3117</v>
      </c>
      <c r="Q262" s="16"/>
      <c r="R262" s="17">
        <v>43646</v>
      </c>
      <c r="S262" s="16"/>
      <c r="T262" s="16" t="s">
        <v>50</v>
      </c>
      <c r="U262" s="14" t="s">
        <v>109</v>
      </c>
      <c r="V262" s="13">
        <v>4</v>
      </c>
      <c r="W262" s="17">
        <v>44039</v>
      </c>
      <c r="X262" s="14"/>
      <c r="Y262" s="17"/>
      <c r="Z262" s="17"/>
      <c r="AA262" s="14" t="s">
        <v>5442</v>
      </c>
      <c r="AB262" s="14" t="s">
        <v>6980</v>
      </c>
      <c r="AC262" s="14" t="s">
        <v>6981</v>
      </c>
      <c r="AD262" s="20" t="str">
        <f t="shared" ref="AD262:AD320" si="19">IF(IFERROR(LEFT($A262, SEARCH(CHAR(10),$A262)-1),AC262)=0,"",IFERROR(LEFT($A262, SEARCH(CHAR(10),$A262)-1),AC262))</f>
        <v>Livestock Tech &gt; Breeding &gt; Gender Detection &gt; Poultry
MassChallenge Batches &gt; Israel &gt; 2016 &gt; Diamond</v>
      </c>
      <c r="AE262" s="20" t="str">
        <f t="shared" si="18"/>
        <v>Livestock Tech</v>
      </c>
      <c r="AF262" s="20" t="str">
        <f t="shared" si="17"/>
        <v>Breeding</v>
      </c>
      <c r="AG262" s="20" t="str">
        <f t="shared" si="17"/>
        <v>Gender Detection</v>
      </c>
      <c r="AH262" s="20" t="str">
        <f t="shared" si="17"/>
        <v>Poultry
MassChallenge Batches</v>
      </c>
      <c r="AI262" s="20" t="str">
        <f t="shared" si="17"/>
        <v>Israel</v>
      </c>
      <c r="AJ262" s="20" t="str">
        <f t="shared" si="17"/>
        <v>2016</v>
      </c>
      <c r="AK262" s="20" t="str">
        <f t="shared" si="17"/>
        <v>Diamond</v>
      </c>
      <c r="AL262" s="14" t="s">
        <v>6982</v>
      </c>
      <c r="AM262" s="14"/>
      <c r="AO262" s="14"/>
      <c r="AP262" s="14" t="s">
        <v>4343</v>
      </c>
      <c r="AQ262" s="14"/>
      <c r="AR262" s="14"/>
      <c r="AS262" s="14" t="s">
        <v>6984</v>
      </c>
      <c r="AT262" s="14" t="s">
        <v>6985</v>
      </c>
      <c r="AU262" s="14" t="s">
        <v>6986</v>
      </c>
      <c r="AV262" s="18"/>
      <c r="AW262" s="16"/>
      <c r="AX262" s="17"/>
      <c r="AY262" s="15" t="s">
        <v>3123</v>
      </c>
      <c r="AZ262" s="17"/>
      <c r="BA262" s="16"/>
      <c r="BB262" s="14"/>
      <c r="BC262" s="14"/>
      <c r="BD262" s="15" t="s">
        <v>3123</v>
      </c>
      <c r="BE262" s="14"/>
      <c r="BF262" s="17"/>
      <c r="BG262" s="16"/>
      <c r="BH262" s="14"/>
      <c r="BI262" s="15" t="s">
        <v>3123</v>
      </c>
      <c r="BJ262" s="14"/>
      <c r="BK262" s="17"/>
      <c r="BL262" s="16"/>
      <c r="BM262" s="16"/>
      <c r="BN262" s="16"/>
      <c r="BO262" s="16"/>
      <c r="BP262" s="15" t="s">
        <v>3123</v>
      </c>
      <c r="BQ262" s="17"/>
      <c r="BR262" s="14"/>
      <c r="BS262" s="14"/>
      <c r="BT262" s="16"/>
      <c r="BU262" s="16"/>
      <c r="BV262" s="13"/>
      <c r="BW262" s="18" t="s">
        <v>6987</v>
      </c>
      <c r="BX262" s="13">
        <v>200</v>
      </c>
      <c r="BY262" s="17">
        <v>44126</v>
      </c>
      <c r="BZ262" s="18" t="s">
        <v>6988</v>
      </c>
      <c r="CA262" s="18"/>
      <c r="CB262" s="18" t="s">
        <v>6989</v>
      </c>
      <c r="CC262" s="18"/>
      <c r="CD262" s="14" t="s">
        <v>6990</v>
      </c>
      <c r="CE262" s="17">
        <v>43056</v>
      </c>
      <c r="CF262" s="16"/>
      <c r="CG262" s="17"/>
      <c r="CH262" s="16"/>
      <c r="CI262" s="17"/>
      <c r="CJ262" s="16"/>
      <c r="CK262" s="17"/>
      <c r="CL262" s="16"/>
      <c r="CM262" s="17"/>
      <c r="CN262" s="19">
        <v>32.181807291156659</v>
      </c>
      <c r="CO262" s="19"/>
      <c r="CP262" s="17"/>
      <c r="CQ262" s="14" t="s">
        <v>5345</v>
      </c>
      <c r="CR262" s="14" t="s">
        <v>6991</v>
      </c>
      <c r="CS262" s="14" t="s">
        <v>5945</v>
      </c>
    </row>
    <row r="263" spans="1:97" ht="26.15" customHeight="1">
      <c r="A263" s="2">
        <v>5</v>
      </c>
      <c r="B263" s="25" t="s">
        <v>365</v>
      </c>
      <c r="C263" s="25" t="e">
        <f>VLOOKUP(B263, Sheet6!$A$1:$B$77, 2, FALSE)</f>
        <v>#N/A</v>
      </c>
      <c r="D263" s="25" t="s">
        <v>366</v>
      </c>
      <c r="E263" s="25" t="s">
        <v>370</v>
      </c>
      <c r="F263" s="25" t="s">
        <v>5055</v>
      </c>
      <c r="G263" s="25" t="s">
        <v>10955</v>
      </c>
      <c r="H263" s="25" t="s">
        <v>10959</v>
      </c>
      <c r="I263" s="25" t="s">
        <v>10958</v>
      </c>
      <c r="J263" s="26" t="s">
        <v>10846</v>
      </c>
      <c r="L263" s="13">
        <v>2016</v>
      </c>
      <c r="M263" s="14" t="s">
        <v>5389</v>
      </c>
      <c r="N263" s="14" t="s">
        <v>5390</v>
      </c>
      <c r="O263" s="14" t="s">
        <v>5391</v>
      </c>
      <c r="P263" s="15" t="s">
        <v>3117</v>
      </c>
      <c r="Q263" s="16">
        <v>14260613</v>
      </c>
      <c r="R263" s="17">
        <v>43970</v>
      </c>
      <c r="S263" s="16" t="s">
        <v>6481</v>
      </c>
      <c r="T263" s="16">
        <v>6000000</v>
      </c>
      <c r="U263" s="14" t="s">
        <v>109</v>
      </c>
      <c r="V263" s="13">
        <v>4</v>
      </c>
      <c r="W263" s="17">
        <v>44013</v>
      </c>
      <c r="X263" s="14" t="s">
        <v>5052</v>
      </c>
      <c r="Y263" s="17">
        <v>43854</v>
      </c>
      <c r="Z263" s="17">
        <v>43795</v>
      </c>
      <c r="AA263" s="14" t="s">
        <v>5426</v>
      </c>
      <c r="AB263" s="14" t="s">
        <v>6018</v>
      </c>
      <c r="AC263" s="14" t="s">
        <v>7031</v>
      </c>
      <c r="AD263" s="20" t="str">
        <f t="shared" si="19"/>
        <v>Alternative Lending &gt; Online Lenders &gt; Consumer Loans &gt; Farm Loans &gt; Marketplace
Crop Tech &gt; Farming as a Service &gt; Tech Enabled Services</v>
      </c>
      <c r="AE263" s="20" t="str">
        <f t="shared" si="18"/>
        <v>Alternative Lending</v>
      </c>
      <c r="AF263" s="20" t="str">
        <f t="shared" si="17"/>
        <v>Online Lenders</v>
      </c>
      <c r="AG263" s="20" t="str">
        <f t="shared" si="17"/>
        <v>Consumer Loans</v>
      </c>
      <c r="AH263" s="20" t="str">
        <f t="shared" si="17"/>
        <v>Farm Loans</v>
      </c>
      <c r="AI263" s="20" t="str">
        <f t="shared" si="17"/>
        <v>Marketplace
Crop Tech</v>
      </c>
      <c r="AJ263" s="20" t="str">
        <f t="shared" si="17"/>
        <v>Farming as a Service</v>
      </c>
      <c r="AK263" s="20" t="str">
        <f t="shared" si="17"/>
        <v>Tech Enabled Services</v>
      </c>
      <c r="AL263" s="14" t="s">
        <v>7032</v>
      </c>
      <c r="AM263" s="14"/>
      <c r="AO263" s="14"/>
      <c r="AP263" s="14" t="s">
        <v>5391</v>
      </c>
      <c r="AQ263" s="14" t="s">
        <v>7034</v>
      </c>
      <c r="AR263" s="14"/>
      <c r="AS263" s="14" t="s">
        <v>7035</v>
      </c>
      <c r="AT263" s="14" t="s">
        <v>7036</v>
      </c>
      <c r="AU263" s="14" t="s">
        <v>7037</v>
      </c>
      <c r="AV263" s="18"/>
      <c r="AW263" s="16"/>
      <c r="AX263" s="17"/>
      <c r="AY263" s="15" t="s">
        <v>3123</v>
      </c>
      <c r="AZ263" s="17"/>
      <c r="BA263" s="16"/>
      <c r="BB263" s="14"/>
      <c r="BC263" s="14"/>
      <c r="BD263" s="15" t="s">
        <v>3123</v>
      </c>
      <c r="BE263" s="14"/>
      <c r="BF263" s="17"/>
      <c r="BG263" s="16"/>
      <c r="BH263" s="14"/>
      <c r="BI263" s="15" t="s">
        <v>3123</v>
      </c>
      <c r="BJ263" s="14"/>
      <c r="BK263" s="17"/>
      <c r="BL263" s="16"/>
      <c r="BM263" s="16"/>
      <c r="BN263" s="16"/>
      <c r="BO263" s="16"/>
      <c r="BP263" s="15" t="s">
        <v>3123</v>
      </c>
      <c r="BQ263" s="17"/>
      <c r="BR263" s="14"/>
      <c r="BS263" s="14"/>
      <c r="BT263" s="16"/>
      <c r="BU263" s="16"/>
      <c r="BV263" s="13"/>
      <c r="BW263" s="18" t="s">
        <v>7038</v>
      </c>
      <c r="BX263" s="13">
        <v>200</v>
      </c>
      <c r="BY263" s="17">
        <v>44126</v>
      </c>
      <c r="BZ263" s="18" t="s">
        <v>7039</v>
      </c>
      <c r="CA263" s="18" t="s">
        <v>7040</v>
      </c>
      <c r="CB263" s="18"/>
      <c r="CC263" s="18"/>
      <c r="CD263" s="14" t="s">
        <v>7041</v>
      </c>
      <c r="CE263" s="17">
        <v>42930</v>
      </c>
      <c r="CF263" s="16"/>
      <c r="CG263" s="17"/>
      <c r="CH263" s="16"/>
      <c r="CI263" s="17"/>
      <c r="CJ263" s="16"/>
      <c r="CK263" s="17"/>
      <c r="CL263" s="16"/>
      <c r="CM263" s="17"/>
      <c r="CN263" s="19">
        <v>56.497013923648538</v>
      </c>
      <c r="CO263" s="19"/>
      <c r="CP263" s="17"/>
      <c r="CQ263" s="14" t="s">
        <v>7042</v>
      </c>
      <c r="CR263" s="14" t="s">
        <v>7043</v>
      </c>
      <c r="CS263" s="14" t="s">
        <v>7044</v>
      </c>
    </row>
    <row r="264" spans="1:97" ht="26.15" customHeight="1">
      <c r="A264" s="2">
        <v>542</v>
      </c>
      <c r="B264" s="25" t="s">
        <v>2203</v>
      </c>
      <c r="C264" s="25" t="e">
        <f>VLOOKUP(B264, Sheet6!$A$1:$B$77, 2, FALSE)</f>
        <v>#N/A</v>
      </c>
      <c r="D264" s="25" t="s">
        <v>2204</v>
      </c>
      <c r="E264" s="25" t="s">
        <v>2208</v>
      </c>
      <c r="F264" s="25" t="s">
        <v>10385</v>
      </c>
      <c r="G264" s="25" t="s">
        <v>10955</v>
      </c>
      <c r="H264" s="25" t="s">
        <v>10558</v>
      </c>
      <c r="I264" s="25" t="s">
        <v>10558</v>
      </c>
      <c r="J264" s="25" t="s">
        <v>10768</v>
      </c>
      <c r="L264" s="13">
        <v>2016</v>
      </c>
      <c r="M264" s="14" t="s">
        <v>7085</v>
      </c>
      <c r="N264" s="14" t="s">
        <v>7085</v>
      </c>
      <c r="O264" s="14" t="s">
        <v>7086</v>
      </c>
      <c r="P264" s="15" t="s">
        <v>3117</v>
      </c>
      <c r="Q264" s="16">
        <v>28150000</v>
      </c>
      <c r="R264" s="17">
        <v>43927</v>
      </c>
      <c r="S264" s="16" t="s">
        <v>7087</v>
      </c>
      <c r="T264" s="16">
        <v>20600000</v>
      </c>
      <c r="U264" s="14" t="s">
        <v>109</v>
      </c>
      <c r="V264" s="13">
        <v>4</v>
      </c>
      <c r="W264" s="17">
        <v>44055</v>
      </c>
      <c r="X264" s="14" t="s">
        <v>5052</v>
      </c>
      <c r="Y264" s="17">
        <v>44027</v>
      </c>
      <c r="Z264" s="17">
        <v>43055</v>
      </c>
      <c r="AA264" s="14" t="s">
        <v>1</v>
      </c>
      <c r="AB264" s="14" t="s">
        <v>5007</v>
      </c>
      <c r="AC264" s="14" t="s">
        <v>5238</v>
      </c>
      <c r="AD264" s="20" t="str">
        <f t="shared" si="19"/>
        <v>Crop Tech &gt; Indoor Farming &gt; Hydroponics</v>
      </c>
      <c r="AE264" s="20" t="str">
        <f t="shared" si="18"/>
        <v>Crop Tech</v>
      </c>
      <c r="AF264" s="20" t="str">
        <f t="shared" si="17"/>
        <v>Indoor Farming</v>
      </c>
      <c r="AG264" s="20" t="str">
        <f t="shared" si="17"/>
        <v>Hydroponics</v>
      </c>
      <c r="AH264" s="20" t="str">
        <f t="shared" si="17"/>
        <v/>
      </c>
      <c r="AI264" s="20" t="str">
        <f t="shared" si="17"/>
        <v/>
      </c>
      <c r="AJ264" s="20" t="str">
        <f t="shared" si="17"/>
        <v/>
      </c>
      <c r="AK264" s="20" t="str">
        <f t="shared" si="17"/>
        <v/>
      </c>
      <c r="AL264" s="14" t="s">
        <v>7088</v>
      </c>
      <c r="AM264" s="14" t="s">
        <v>1912</v>
      </c>
      <c r="AO264" s="14"/>
      <c r="AP264" s="14" t="s">
        <v>7086</v>
      </c>
      <c r="AQ264" s="14"/>
      <c r="AR264" s="14"/>
      <c r="AS264" s="14" t="s">
        <v>7090</v>
      </c>
      <c r="AT264" s="14" t="s">
        <v>7091</v>
      </c>
      <c r="AU264" s="14" t="s">
        <v>7092</v>
      </c>
      <c r="AV264" s="18"/>
      <c r="AW264" s="16"/>
      <c r="AX264" s="17"/>
      <c r="AY264" s="15" t="s">
        <v>3123</v>
      </c>
      <c r="AZ264" s="17"/>
      <c r="BA264" s="16"/>
      <c r="BB264" s="14"/>
      <c r="BC264" s="14"/>
      <c r="BD264" s="15" t="s">
        <v>3123</v>
      </c>
      <c r="BE264" s="14"/>
      <c r="BF264" s="17"/>
      <c r="BG264" s="16"/>
      <c r="BH264" s="14"/>
      <c r="BI264" s="15" t="s">
        <v>3123</v>
      </c>
      <c r="BJ264" s="14"/>
      <c r="BK264" s="17"/>
      <c r="BL264" s="16"/>
      <c r="BM264" s="16"/>
      <c r="BN264" s="16"/>
      <c r="BO264" s="16"/>
      <c r="BP264" s="15" t="s">
        <v>3123</v>
      </c>
      <c r="BQ264" s="17"/>
      <c r="BR264" s="14"/>
      <c r="BS264" s="14"/>
      <c r="BT264" s="16"/>
      <c r="BU264" s="16"/>
      <c r="BV264" s="13"/>
      <c r="BW264" s="18" t="s">
        <v>7093</v>
      </c>
      <c r="BX264" s="13">
        <v>200</v>
      </c>
      <c r="BY264" s="17">
        <v>44125</v>
      </c>
      <c r="BZ264" s="18" t="s">
        <v>7094</v>
      </c>
      <c r="CA264" s="18" t="s">
        <v>7095</v>
      </c>
      <c r="CB264" s="18"/>
      <c r="CC264" s="18"/>
      <c r="CD264" s="14" t="s">
        <v>7096</v>
      </c>
      <c r="CE264" s="17">
        <v>43033</v>
      </c>
      <c r="CF264" s="16"/>
      <c r="CG264" s="17"/>
      <c r="CH264" s="16"/>
      <c r="CI264" s="17"/>
      <c r="CJ264" s="16"/>
      <c r="CK264" s="17"/>
      <c r="CL264" s="16"/>
      <c r="CM264" s="17"/>
      <c r="CN264" s="19">
        <v>50.731528812474473</v>
      </c>
      <c r="CO264" s="19"/>
      <c r="CP264" s="17"/>
      <c r="CQ264" s="14" t="s">
        <v>6487</v>
      </c>
      <c r="CR264" s="14" t="s">
        <v>5083</v>
      </c>
      <c r="CS264" s="14" t="s">
        <v>5004</v>
      </c>
    </row>
    <row r="265" spans="1:97" ht="26.15" customHeight="1">
      <c r="A265" s="2">
        <v>198</v>
      </c>
      <c r="B265" s="25" t="s">
        <v>1639</v>
      </c>
      <c r="C265" s="25" t="e">
        <f>VLOOKUP(B265, Sheet6!$A$1:$B$77, 2, FALSE)</f>
        <v>#N/A</v>
      </c>
      <c r="D265" s="25" t="s">
        <v>1640</v>
      </c>
      <c r="E265" s="25" t="s">
        <v>1643</v>
      </c>
      <c r="F265" s="25" t="s">
        <v>7511</v>
      </c>
      <c r="G265" s="25" t="s">
        <v>10955</v>
      </c>
      <c r="H265" s="25" t="s">
        <v>10957</v>
      </c>
      <c r="I265" s="25" t="s">
        <v>10958</v>
      </c>
      <c r="J265" s="26" t="s">
        <v>10821</v>
      </c>
      <c r="L265" s="13">
        <v>2012</v>
      </c>
      <c r="M265" s="14" t="s">
        <v>4993</v>
      </c>
      <c r="N265" s="14" t="s">
        <v>4994</v>
      </c>
      <c r="O265" s="14" t="s">
        <v>2057</v>
      </c>
      <c r="P265" s="15" t="s">
        <v>3117</v>
      </c>
      <c r="Q265" s="16"/>
      <c r="R265" s="17">
        <v>42339</v>
      </c>
      <c r="S265" s="16"/>
      <c r="T265" s="16" t="s">
        <v>50</v>
      </c>
      <c r="U265" s="14" t="s">
        <v>34</v>
      </c>
      <c r="V265" s="13"/>
      <c r="W265" s="17"/>
      <c r="X265" s="14"/>
      <c r="Y265" s="17"/>
      <c r="Z265" s="17"/>
      <c r="AA265" s="14" t="s">
        <v>5426</v>
      </c>
      <c r="AB265" s="14" t="s">
        <v>5427</v>
      </c>
      <c r="AC265" s="14" t="s">
        <v>5428</v>
      </c>
      <c r="AD265" s="20" t="str">
        <f t="shared" si="19"/>
        <v>Crowdfunding &gt; Revenue Sharing &gt; Agriculture
Crop Tech &gt; Finance &gt; Crowdfunding</v>
      </c>
      <c r="AE265" s="20" t="str">
        <f t="shared" si="18"/>
        <v>Crowdfunding</v>
      </c>
      <c r="AF265" s="20" t="str">
        <f t="shared" si="17"/>
        <v>Revenue Sharing</v>
      </c>
      <c r="AG265" s="20" t="str">
        <f t="shared" si="17"/>
        <v>Agriculture
Crop Tech</v>
      </c>
      <c r="AH265" s="20" t="str">
        <f t="shared" si="17"/>
        <v>Finance</v>
      </c>
      <c r="AI265" s="20" t="str">
        <f t="shared" si="17"/>
        <v>Crowdfunding</v>
      </c>
      <c r="AJ265" s="20" t="str">
        <f t="shared" si="17"/>
        <v/>
      </c>
      <c r="AK265" s="20" t="str">
        <f t="shared" si="17"/>
        <v/>
      </c>
      <c r="AL265" s="14" t="s">
        <v>3733</v>
      </c>
      <c r="AM265" s="14"/>
      <c r="AO265" s="14"/>
      <c r="AP265" s="14" t="s">
        <v>2057</v>
      </c>
      <c r="AQ265" s="14"/>
      <c r="AR265" s="14"/>
      <c r="AS265" s="14" t="s">
        <v>8947</v>
      </c>
      <c r="AT265" s="14"/>
      <c r="AU265" s="14" t="s">
        <v>8948</v>
      </c>
      <c r="AV265" s="18"/>
      <c r="AW265" s="16"/>
      <c r="AX265" s="17"/>
      <c r="AY265" s="15" t="s">
        <v>3123</v>
      </c>
      <c r="AZ265" s="17"/>
      <c r="BA265" s="16"/>
      <c r="BB265" s="14"/>
      <c r="BC265" s="14"/>
      <c r="BD265" s="15" t="s">
        <v>3123</v>
      </c>
      <c r="BE265" s="14"/>
      <c r="BF265" s="17"/>
      <c r="BG265" s="16"/>
      <c r="BH265" s="14"/>
      <c r="BI265" s="15" t="s">
        <v>3123</v>
      </c>
      <c r="BJ265" s="14"/>
      <c r="BK265" s="17"/>
      <c r="BL265" s="16"/>
      <c r="BM265" s="16"/>
      <c r="BN265" s="16"/>
      <c r="BO265" s="16"/>
      <c r="BP265" s="15" t="s">
        <v>3123</v>
      </c>
      <c r="BQ265" s="17"/>
      <c r="BR265" s="14"/>
      <c r="BS265" s="14"/>
      <c r="BT265" s="16"/>
      <c r="BU265" s="16"/>
      <c r="BV265" s="13"/>
      <c r="BW265" s="18" t="s">
        <v>8949</v>
      </c>
      <c r="BX265" s="13">
        <v>-1</v>
      </c>
      <c r="BY265" s="17">
        <v>44125</v>
      </c>
      <c r="BZ265" s="18"/>
      <c r="CA265" s="18"/>
      <c r="CB265" s="18"/>
      <c r="CC265" s="18"/>
      <c r="CD265" s="14" t="s">
        <v>8950</v>
      </c>
      <c r="CE265" s="17">
        <v>42930</v>
      </c>
      <c r="CF265" s="16"/>
      <c r="CG265" s="17"/>
      <c r="CH265" s="16"/>
      <c r="CI265" s="17"/>
      <c r="CJ265" s="16"/>
      <c r="CK265" s="17"/>
      <c r="CL265" s="16"/>
      <c r="CM265" s="17"/>
      <c r="CN265" s="19">
        <v>16.405882267851617</v>
      </c>
      <c r="CO265" s="19"/>
      <c r="CP265" s="17"/>
      <c r="CQ265" s="14" t="s">
        <v>5345</v>
      </c>
      <c r="CR265" s="14" t="s">
        <v>7272</v>
      </c>
      <c r="CS265" s="14" t="s">
        <v>5945</v>
      </c>
    </row>
    <row r="266" spans="1:97" ht="26.15" customHeight="1">
      <c r="A266" s="2">
        <v>478</v>
      </c>
      <c r="B266" s="25" t="s">
        <v>2636</v>
      </c>
      <c r="C266" s="25" t="e">
        <f>VLOOKUP(B266, Sheet6!$A$1:$B$77, 2, FALSE)</f>
        <v>#N/A</v>
      </c>
      <c r="D266" s="25" t="s">
        <v>2637</v>
      </c>
      <c r="E266" s="25" t="s">
        <v>2640</v>
      </c>
      <c r="F266" s="25" t="s">
        <v>9821</v>
      </c>
      <c r="G266" s="25" t="s">
        <v>10955</v>
      </c>
      <c r="H266" s="25" t="s">
        <v>10558</v>
      </c>
      <c r="I266" s="25" t="s">
        <v>10558</v>
      </c>
      <c r="J266" s="25" t="s">
        <v>10722</v>
      </c>
      <c r="L266" s="13">
        <v>2016</v>
      </c>
      <c r="M266" s="14" t="s">
        <v>5038</v>
      </c>
      <c r="N266" s="14" t="s">
        <v>5039</v>
      </c>
      <c r="O266" s="14" t="s">
        <v>3994</v>
      </c>
      <c r="P266" s="15" t="s">
        <v>3117</v>
      </c>
      <c r="Q266" s="16">
        <v>8750809</v>
      </c>
      <c r="R266" s="17">
        <v>43964</v>
      </c>
      <c r="S266" s="16" t="s">
        <v>6481</v>
      </c>
      <c r="T266" s="16">
        <v>5900000</v>
      </c>
      <c r="U266" s="14" t="s">
        <v>109</v>
      </c>
      <c r="V266" s="13">
        <v>4</v>
      </c>
      <c r="W266" s="17">
        <v>44098</v>
      </c>
      <c r="X266" s="14" t="s">
        <v>5052</v>
      </c>
      <c r="Y266" s="17">
        <v>43977</v>
      </c>
      <c r="Z266" s="17">
        <v>43964</v>
      </c>
      <c r="AA266" s="14" t="s">
        <v>7114</v>
      </c>
      <c r="AB266" s="14" t="s">
        <v>7115</v>
      </c>
      <c r="AC266" s="14" t="s">
        <v>7116</v>
      </c>
      <c r="AD266" s="20" t="str">
        <f t="shared" si="19"/>
        <v>AI Infrastructure &gt; Computer Vision &gt; Object Recognition &gt; Image Analysis &gt; Image Recognition
Image Recognition &gt; Applications &gt; Offline Retail &gt; Retail Execution
Computer Vision &gt; Industry Specific Applications &gt; Agriculture &gt; Crops
In Store Retail Tech &gt; Analytics
Crop Tech &gt; Farm Management Software &gt; Diversified
Plug and Play Tech Center Batches &gt; Food &amp; Beverage &gt; Batch 3
MassChallenge Batches &gt; Israel &gt; 2018</v>
      </c>
      <c r="AE266" s="20" t="str">
        <f t="shared" si="18"/>
        <v>AI Infrastructure</v>
      </c>
      <c r="AF266" s="20" t="str">
        <f t="shared" si="17"/>
        <v>Computer Vision</v>
      </c>
      <c r="AG266" s="20" t="str">
        <f t="shared" si="17"/>
        <v>Object Recognition</v>
      </c>
      <c r="AH266" s="20" t="str">
        <f t="shared" si="17"/>
        <v>Image Analysis</v>
      </c>
      <c r="AI266" s="20" t="str">
        <f t="shared" si="17"/>
        <v>Image Recognition
Image Recognition</v>
      </c>
      <c r="AJ266" s="20" t="str">
        <f t="shared" si="17"/>
        <v>Applications</v>
      </c>
      <c r="AK266" s="20" t="str">
        <f t="shared" si="17"/>
        <v>Offline Retail</v>
      </c>
      <c r="AL266" s="14" t="s">
        <v>7117</v>
      </c>
      <c r="AM266" s="14" t="s">
        <v>7118</v>
      </c>
      <c r="AO266" s="14"/>
      <c r="AP266" s="14" t="s">
        <v>3994</v>
      </c>
      <c r="AQ266" s="14" t="s">
        <v>7120</v>
      </c>
      <c r="AR266" s="14"/>
      <c r="AS266" s="14" t="s">
        <v>7121</v>
      </c>
      <c r="AT266" s="14" t="s">
        <v>7122</v>
      </c>
      <c r="AU266" s="14" t="s">
        <v>7123</v>
      </c>
      <c r="AV266" s="18"/>
      <c r="AW266" s="16">
        <v>157400</v>
      </c>
      <c r="AX266" s="17">
        <v>43465</v>
      </c>
      <c r="AY266" s="15" t="s">
        <v>3117</v>
      </c>
      <c r="AZ266" s="17">
        <v>42524</v>
      </c>
      <c r="BA266" s="16">
        <v>1483</v>
      </c>
      <c r="BB266" s="14" t="s">
        <v>7124</v>
      </c>
      <c r="BC266" s="14"/>
      <c r="BD266" s="15" t="s">
        <v>3123</v>
      </c>
      <c r="BE266" s="14"/>
      <c r="BF266" s="17"/>
      <c r="BG266" s="16"/>
      <c r="BH266" s="14"/>
      <c r="BI266" s="15" t="s">
        <v>3123</v>
      </c>
      <c r="BJ266" s="14"/>
      <c r="BK266" s="17"/>
      <c r="BL266" s="16"/>
      <c r="BM266" s="16"/>
      <c r="BN266" s="16"/>
      <c r="BO266" s="16"/>
      <c r="BP266" s="15" t="s">
        <v>3123</v>
      </c>
      <c r="BQ266" s="17"/>
      <c r="BR266" s="14"/>
      <c r="BS266" s="14"/>
      <c r="BT266" s="16"/>
      <c r="BU266" s="16"/>
      <c r="BV266" s="13"/>
      <c r="BW266" s="18" t="s">
        <v>7125</v>
      </c>
      <c r="BX266" s="13">
        <v>200</v>
      </c>
      <c r="BY266" s="17">
        <v>44125</v>
      </c>
      <c r="BZ266" s="18" t="s">
        <v>7126</v>
      </c>
      <c r="CA266" s="18" t="s">
        <v>7127</v>
      </c>
      <c r="CB266" s="18" t="s">
        <v>7128</v>
      </c>
      <c r="CC266" s="18"/>
      <c r="CD266" s="14" t="s">
        <v>7129</v>
      </c>
      <c r="CE266" s="17">
        <v>43066</v>
      </c>
      <c r="CF266" s="16">
        <v>-268000</v>
      </c>
      <c r="CG266" s="17">
        <v>43465</v>
      </c>
      <c r="CH266" s="16">
        <v>-358400</v>
      </c>
      <c r="CI266" s="17">
        <v>43465</v>
      </c>
      <c r="CJ266" s="16">
        <v>20000000</v>
      </c>
      <c r="CK266" s="17">
        <v>43957</v>
      </c>
      <c r="CL266" s="16">
        <v>139</v>
      </c>
      <c r="CM266" s="17">
        <v>44012</v>
      </c>
      <c r="CN266" s="19">
        <v>59.918933372163892</v>
      </c>
      <c r="CO266" s="19"/>
      <c r="CP266" s="17"/>
      <c r="CQ266" s="14" t="s">
        <v>6241</v>
      </c>
      <c r="CR266" s="14" t="s">
        <v>7130</v>
      </c>
      <c r="CS266" s="14" t="s">
        <v>5004</v>
      </c>
    </row>
    <row r="267" spans="1:97" ht="26.15" customHeight="1">
      <c r="A267" s="2">
        <v>161</v>
      </c>
      <c r="B267" s="25" t="s">
        <v>1718</v>
      </c>
      <c r="C267" s="25" t="e">
        <f>VLOOKUP(B267, Sheet6!$A$1:$B$77, 2, FALSE)</f>
        <v>#N/A</v>
      </c>
      <c r="D267" s="25" t="s">
        <v>1719</v>
      </c>
      <c r="E267" s="25" t="s">
        <v>1722</v>
      </c>
      <c r="F267" s="25" t="s">
        <v>7080</v>
      </c>
      <c r="G267" s="25" t="s">
        <v>10955</v>
      </c>
      <c r="H267" s="25" t="s">
        <v>10959</v>
      </c>
      <c r="I267" s="25" t="s">
        <v>10958</v>
      </c>
      <c r="J267" s="26" t="s">
        <v>10770</v>
      </c>
      <c r="L267" s="13">
        <v>2015</v>
      </c>
      <c r="M267" s="14" t="s">
        <v>5389</v>
      </c>
      <c r="N267" s="14" t="s">
        <v>5390</v>
      </c>
      <c r="O267" s="14" t="s">
        <v>5391</v>
      </c>
      <c r="P267" s="15" t="s">
        <v>3117</v>
      </c>
      <c r="Q267" s="16"/>
      <c r="R267" s="17">
        <v>42878</v>
      </c>
      <c r="S267" s="16"/>
      <c r="T267" s="16" t="s">
        <v>50</v>
      </c>
      <c r="U267" s="14" t="s">
        <v>5630</v>
      </c>
      <c r="V267" s="13"/>
      <c r="W267" s="17">
        <v>44081</v>
      </c>
      <c r="X267" s="14"/>
      <c r="Y267" s="17"/>
      <c r="Z267" s="17"/>
      <c r="AA267" s="14" t="s">
        <v>5442</v>
      </c>
      <c r="AB267" s="14" t="s">
        <v>8951</v>
      </c>
      <c r="AC267" s="14" t="s">
        <v>8952</v>
      </c>
      <c r="AD267" s="20" t="str">
        <f t="shared" si="19"/>
        <v>Insect Farming Tech &gt; Insects &gt; Insect based Products &gt; Animal Feed &gt; Aquaculture
MassChallenge Batches &gt; Boston &gt; 2017</v>
      </c>
      <c r="AE267" s="20" t="str">
        <f t="shared" si="18"/>
        <v>Insect Farming Tech</v>
      </c>
      <c r="AF267" s="20" t="str">
        <f t="shared" si="17"/>
        <v>Insects</v>
      </c>
      <c r="AG267" s="20" t="str">
        <f t="shared" si="17"/>
        <v>Insect based Products</v>
      </c>
      <c r="AH267" s="20" t="str">
        <f t="shared" si="17"/>
        <v>Animal Feed</v>
      </c>
      <c r="AI267" s="20" t="str">
        <f t="shared" si="17"/>
        <v>Aquaculture
MassChallenge Batches</v>
      </c>
      <c r="AJ267" s="20" t="str">
        <f t="shared" si="17"/>
        <v>Boston</v>
      </c>
      <c r="AK267" s="20" t="str">
        <f t="shared" si="17"/>
        <v>2017</v>
      </c>
      <c r="AL267" s="14" t="s">
        <v>1609</v>
      </c>
      <c r="AM267" s="14"/>
      <c r="AO267" s="14"/>
      <c r="AP267" s="14" t="s">
        <v>5391</v>
      </c>
      <c r="AQ267" s="14" t="s">
        <v>8954</v>
      </c>
      <c r="AR267" s="14"/>
      <c r="AS267" s="14" t="s">
        <v>8955</v>
      </c>
      <c r="AT267" s="14" t="s">
        <v>8956</v>
      </c>
      <c r="AU267" s="14" t="s">
        <v>8957</v>
      </c>
      <c r="AV267" s="18"/>
      <c r="AW267" s="16"/>
      <c r="AX267" s="17"/>
      <c r="AY267" s="15" t="s">
        <v>3123</v>
      </c>
      <c r="AZ267" s="17"/>
      <c r="BA267" s="16"/>
      <c r="BB267" s="14"/>
      <c r="BC267" s="14"/>
      <c r="BD267" s="15" t="s">
        <v>3123</v>
      </c>
      <c r="BE267" s="14"/>
      <c r="BF267" s="17"/>
      <c r="BG267" s="16"/>
      <c r="BH267" s="14"/>
      <c r="BI267" s="15" t="s">
        <v>3123</v>
      </c>
      <c r="BJ267" s="14"/>
      <c r="BK267" s="17"/>
      <c r="BL267" s="16"/>
      <c r="BM267" s="16"/>
      <c r="BN267" s="16"/>
      <c r="BO267" s="16"/>
      <c r="BP267" s="15" t="s">
        <v>3117</v>
      </c>
      <c r="BQ267" s="17">
        <v>43252</v>
      </c>
      <c r="BR267" s="14"/>
      <c r="BS267" s="14"/>
      <c r="BT267" s="16"/>
      <c r="BU267" s="16"/>
      <c r="BV267" s="13"/>
      <c r="BW267" s="18" t="s">
        <v>8958</v>
      </c>
      <c r="BX267" s="13">
        <v>200</v>
      </c>
      <c r="BY267" s="17">
        <v>44125</v>
      </c>
      <c r="BZ267" s="18" t="s">
        <v>8959</v>
      </c>
      <c r="CA267" s="18" t="s">
        <v>8960</v>
      </c>
      <c r="CB267" s="18" t="s">
        <v>8961</v>
      </c>
      <c r="CC267" s="18"/>
      <c r="CD267" s="14" t="s">
        <v>8962</v>
      </c>
      <c r="CE267" s="17">
        <v>43033</v>
      </c>
      <c r="CF267" s="16"/>
      <c r="CG267" s="17"/>
      <c r="CH267" s="16"/>
      <c r="CI267" s="17"/>
      <c r="CJ267" s="16"/>
      <c r="CK267" s="17"/>
      <c r="CL267" s="16"/>
      <c r="CM267" s="17"/>
      <c r="CN267" s="19">
        <v>16.724277705541635</v>
      </c>
      <c r="CO267" s="19"/>
      <c r="CP267" s="17"/>
      <c r="CQ267" s="14" t="s">
        <v>5345</v>
      </c>
      <c r="CR267" s="14" t="s">
        <v>7272</v>
      </c>
      <c r="CS267" s="14" t="s">
        <v>5945</v>
      </c>
    </row>
    <row r="268" spans="1:97" ht="26.15" customHeight="1">
      <c r="A268" s="2">
        <v>473</v>
      </c>
      <c r="B268" s="25" t="s">
        <v>2890</v>
      </c>
      <c r="C268" s="25" t="e">
        <f>VLOOKUP(B268, Sheet6!$A$1:$B$77, 2, FALSE)</f>
        <v>#N/A</v>
      </c>
      <c r="D268" s="25" t="s">
        <v>2891</v>
      </c>
      <c r="E268" s="25" t="s">
        <v>2892</v>
      </c>
      <c r="F268" s="25" t="s">
        <v>9766</v>
      </c>
      <c r="G268" s="25" t="s">
        <v>10955</v>
      </c>
      <c r="H268" s="25" t="s">
        <v>10558</v>
      </c>
      <c r="I268" s="25" t="s">
        <v>10558</v>
      </c>
      <c r="J268" s="25" t="s">
        <v>10774</v>
      </c>
      <c r="L268" s="13">
        <v>2016</v>
      </c>
      <c r="M268" s="14" t="s">
        <v>5005</v>
      </c>
      <c r="N268" s="14" t="s">
        <v>5006</v>
      </c>
      <c r="O268" s="14" t="s">
        <v>3994</v>
      </c>
      <c r="P268" s="15" t="s">
        <v>3117</v>
      </c>
      <c r="Q268" s="16"/>
      <c r="R268" s="17">
        <v>42794</v>
      </c>
      <c r="S268" s="16"/>
      <c r="T268" s="16" t="s">
        <v>50</v>
      </c>
      <c r="U268" s="14" t="s">
        <v>5630</v>
      </c>
      <c r="V268" s="13"/>
      <c r="W268" s="17">
        <v>44081</v>
      </c>
      <c r="X268" s="14"/>
      <c r="Y268" s="17"/>
      <c r="Z268" s="17"/>
      <c r="AA268" s="14" t="s">
        <v>4995</v>
      </c>
      <c r="AB268" s="14" t="s">
        <v>5578</v>
      </c>
      <c r="AC268" s="14" t="s">
        <v>8546</v>
      </c>
      <c r="AD268" s="20" t="str">
        <f t="shared" si="19"/>
        <v>Online Grocery &gt; B2C Ecommerce &gt; Fruits and Vegetables
Crop Tech &gt; ECommerce &gt; Farm Produce &gt; B2C &gt; Fruits and Vegetables &gt; Retailer</v>
      </c>
      <c r="AE268" s="20" t="str">
        <f t="shared" si="18"/>
        <v>Online Grocery</v>
      </c>
      <c r="AF268" s="20" t="str">
        <f t="shared" si="17"/>
        <v>B2C Ecommerce</v>
      </c>
      <c r="AG268" s="20" t="str">
        <f t="shared" si="17"/>
        <v>Fruits and Vegetables
Crop Tech</v>
      </c>
      <c r="AH268" s="20" t="str">
        <f t="shared" si="17"/>
        <v>ECommerce</v>
      </c>
      <c r="AI268" s="20" t="str">
        <f t="shared" si="17"/>
        <v>Farm Produce</v>
      </c>
      <c r="AJ268" s="20" t="str">
        <f t="shared" si="17"/>
        <v>B2C</v>
      </c>
      <c r="AK268" s="20" t="str">
        <f t="shared" si="17"/>
        <v>Fruits and Vegetables</v>
      </c>
      <c r="AL268" s="14"/>
      <c r="AM268" s="14" t="s">
        <v>8963</v>
      </c>
      <c r="AO268" s="14"/>
      <c r="AP268" s="14" t="s">
        <v>3994</v>
      </c>
      <c r="AQ268" s="14" t="s">
        <v>8965</v>
      </c>
      <c r="AR268" s="14"/>
      <c r="AS268" s="14" t="s">
        <v>8966</v>
      </c>
      <c r="AT268" s="14" t="s">
        <v>8967</v>
      </c>
      <c r="AU268" s="14" t="s">
        <v>8968</v>
      </c>
      <c r="AV268" s="18"/>
      <c r="AW268" s="16"/>
      <c r="AX268" s="17"/>
      <c r="AY268" s="15" t="s">
        <v>3123</v>
      </c>
      <c r="AZ268" s="17"/>
      <c r="BA268" s="16"/>
      <c r="BB268" s="14"/>
      <c r="BC268" s="14"/>
      <c r="BD268" s="15" t="s">
        <v>3123</v>
      </c>
      <c r="BE268" s="14"/>
      <c r="BF268" s="17"/>
      <c r="BG268" s="16"/>
      <c r="BH268" s="14"/>
      <c r="BI268" s="15" t="s">
        <v>3123</v>
      </c>
      <c r="BJ268" s="14"/>
      <c r="BK268" s="17"/>
      <c r="BL268" s="16"/>
      <c r="BM268" s="16"/>
      <c r="BN268" s="16"/>
      <c r="BO268" s="16"/>
      <c r="BP268" s="15" t="s">
        <v>3117</v>
      </c>
      <c r="BQ268" s="17">
        <v>43070</v>
      </c>
      <c r="BR268" s="14"/>
      <c r="BS268" s="14"/>
      <c r="BT268" s="16"/>
      <c r="BU268" s="16"/>
      <c r="BV268" s="13"/>
      <c r="BW268" s="18" t="s">
        <v>8969</v>
      </c>
      <c r="BX268" s="13">
        <v>200</v>
      </c>
      <c r="BY268" s="17">
        <v>44125</v>
      </c>
      <c r="BZ268" s="18" t="s">
        <v>8970</v>
      </c>
      <c r="CA268" s="18" t="s">
        <v>8971</v>
      </c>
      <c r="CB268" s="18" t="s">
        <v>8972</v>
      </c>
      <c r="CC268" s="18"/>
      <c r="CD268" s="14" t="s">
        <v>8973</v>
      </c>
      <c r="CE268" s="17">
        <v>42685</v>
      </c>
      <c r="CF268" s="16"/>
      <c r="CG268" s="17"/>
      <c r="CH268" s="16"/>
      <c r="CI268" s="17"/>
      <c r="CJ268" s="16"/>
      <c r="CK268" s="17"/>
      <c r="CL268" s="16"/>
      <c r="CM268" s="17"/>
      <c r="CN268" s="19">
        <v>26.106818979281606</v>
      </c>
      <c r="CO268" s="19"/>
      <c r="CP268" s="17"/>
      <c r="CQ268" s="14" t="s">
        <v>6487</v>
      </c>
      <c r="CR268" s="14" t="s">
        <v>5944</v>
      </c>
      <c r="CS268" s="14" t="s">
        <v>5945</v>
      </c>
    </row>
    <row r="269" spans="1:97" ht="26.15" customHeight="1">
      <c r="A269" s="2">
        <v>191</v>
      </c>
      <c r="B269" s="25" t="s">
        <v>426</v>
      </c>
      <c r="C269" s="25" t="e">
        <f>VLOOKUP(B269, Sheet6!$A$1:$B$77, 2, FALSE)</f>
        <v>#N/A</v>
      </c>
      <c r="D269" s="25" t="s">
        <v>427</v>
      </c>
      <c r="E269" s="25" t="s">
        <v>430</v>
      </c>
      <c r="F269" s="25" t="s">
        <v>7426</v>
      </c>
      <c r="G269" s="25" t="s">
        <v>10962</v>
      </c>
      <c r="H269" s="25" t="s">
        <v>10959</v>
      </c>
      <c r="I269" s="25" t="s">
        <v>10958</v>
      </c>
      <c r="J269" s="26" t="s">
        <v>10963</v>
      </c>
      <c r="L269" s="13">
        <v>2014</v>
      </c>
      <c r="M269" s="14" t="s">
        <v>4993</v>
      </c>
      <c r="N269" s="14" t="s">
        <v>4994</v>
      </c>
      <c r="O269" s="14" t="s">
        <v>2057</v>
      </c>
      <c r="P269" s="15" t="s">
        <v>3117</v>
      </c>
      <c r="Q269" s="16"/>
      <c r="R269" s="17">
        <v>42522</v>
      </c>
      <c r="S269" s="16"/>
      <c r="T269" s="16" t="s">
        <v>50</v>
      </c>
      <c r="U269" s="14" t="s">
        <v>5630</v>
      </c>
      <c r="V269" s="13"/>
      <c r="W269" s="17"/>
      <c r="X269" s="14"/>
      <c r="Y269" s="17"/>
      <c r="Z269" s="17"/>
      <c r="AA269" s="14" t="s">
        <v>5509</v>
      </c>
      <c r="AB269" s="14" t="s">
        <v>5510</v>
      </c>
      <c r="AC269" s="14" t="s">
        <v>5696</v>
      </c>
      <c r="AD269" s="20" t="str">
        <f t="shared" si="19"/>
        <v>B2B E-Commerce &gt; Food &amp; Beverages &gt; Groceries &gt; Farm Products &gt; E-Distributor
Online Grocery &gt; B2B Ecommerce &gt; Farm Produce &gt; Fruits and Vegetables &gt; E-Distributor
Crop Tech &gt; ECommerce &gt; Farm Produce &gt; B2B &gt; Fruits and Vegetables &gt; E Distributor</v>
      </c>
      <c r="AE269" s="20" t="str">
        <f t="shared" si="18"/>
        <v>B2B E-Commerce</v>
      </c>
      <c r="AF269" s="20" t="str">
        <f t="shared" si="17"/>
        <v>Food &amp; Beverages</v>
      </c>
      <c r="AG269" s="20" t="str">
        <f t="shared" si="17"/>
        <v>Groceries</v>
      </c>
      <c r="AH269" s="20" t="str">
        <f t="shared" si="17"/>
        <v>Farm Products</v>
      </c>
      <c r="AI269" s="20" t="str">
        <f t="shared" si="17"/>
        <v>E-Distributor
Online Grocery</v>
      </c>
      <c r="AJ269" s="20" t="str">
        <f t="shared" si="17"/>
        <v>B2B Ecommerce</v>
      </c>
      <c r="AK269" s="20" t="str">
        <f t="shared" si="17"/>
        <v>Farm Produce</v>
      </c>
      <c r="AL269" s="14" t="s">
        <v>4557</v>
      </c>
      <c r="AM269" s="14"/>
      <c r="AO269" s="14"/>
      <c r="AP269" s="14" t="s">
        <v>2057</v>
      </c>
      <c r="AQ269" s="14"/>
      <c r="AR269" s="14"/>
      <c r="AS269" s="14"/>
      <c r="AT269" s="14"/>
      <c r="AU269" s="14"/>
      <c r="AV269" s="18"/>
      <c r="AW269" s="16"/>
      <c r="AX269" s="17"/>
      <c r="AY269" s="15" t="s">
        <v>3123</v>
      </c>
      <c r="AZ269" s="17"/>
      <c r="BA269" s="16"/>
      <c r="BB269" s="14"/>
      <c r="BC269" s="14"/>
      <c r="BD269" s="15" t="s">
        <v>3123</v>
      </c>
      <c r="BE269" s="14"/>
      <c r="BF269" s="17"/>
      <c r="BG269" s="16"/>
      <c r="BH269" s="14"/>
      <c r="BI269" s="15" t="s">
        <v>3123</v>
      </c>
      <c r="BJ269" s="14"/>
      <c r="BK269" s="17"/>
      <c r="BL269" s="16"/>
      <c r="BM269" s="16"/>
      <c r="BN269" s="16"/>
      <c r="BO269" s="16"/>
      <c r="BP269" s="15" t="s">
        <v>3117</v>
      </c>
      <c r="BQ269" s="17"/>
      <c r="BR269" s="14"/>
      <c r="BS269" s="14"/>
      <c r="BT269" s="16"/>
      <c r="BU269" s="16"/>
      <c r="BV269" s="13"/>
      <c r="BW269" s="18" t="s">
        <v>8975</v>
      </c>
      <c r="BX269" s="13">
        <v>-1</v>
      </c>
      <c r="BY269" s="17">
        <v>44125</v>
      </c>
      <c r="BZ269" s="18"/>
      <c r="CA269" s="18"/>
      <c r="CB269" s="18"/>
      <c r="CC269" s="18"/>
      <c r="CD269" s="14" t="s">
        <v>8976</v>
      </c>
      <c r="CE269" s="17">
        <v>42730</v>
      </c>
      <c r="CF269" s="16"/>
      <c r="CG269" s="17"/>
      <c r="CH269" s="16"/>
      <c r="CI269" s="17"/>
      <c r="CJ269" s="16"/>
      <c r="CK269" s="17"/>
      <c r="CL269" s="16"/>
      <c r="CM269" s="17"/>
      <c r="CN269" s="19">
        <v>5.1959379817054492</v>
      </c>
      <c r="CO269" s="19"/>
      <c r="CP269" s="17"/>
      <c r="CQ269" s="14" t="s">
        <v>5036</v>
      </c>
      <c r="CR269" s="14" t="s">
        <v>7249</v>
      </c>
      <c r="CS269" s="14" t="s">
        <v>6074</v>
      </c>
    </row>
    <row r="270" spans="1:97" ht="26.15" customHeight="1">
      <c r="A270" s="2">
        <v>471</v>
      </c>
      <c r="B270" s="25" t="s">
        <v>2863</v>
      </c>
      <c r="C270" s="25" t="e">
        <f>VLOOKUP(B270, Sheet6!$A$1:$B$77, 2, FALSE)</f>
        <v>#N/A</v>
      </c>
      <c r="D270" s="25" t="s">
        <v>2864</v>
      </c>
      <c r="E270" s="25" t="s">
        <v>2867</v>
      </c>
      <c r="F270" s="25" t="s">
        <v>9753</v>
      </c>
      <c r="G270" s="25" t="s">
        <v>10955</v>
      </c>
      <c r="H270" s="25" t="s">
        <v>10957</v>
      </c>
      <c r="I270" s="25" t="s">
        <v>10968</v>
      </c>
      <c r="J270" s="25" t="s">
        <v>10846</v>
      </c>
      <c r="L270" s="13">
        <v>2015</v>
      </c>
      <c r="M270" s="14" t="s">
        <v>7285</v>
      </c>
      <c r="N270" s="14" t="s">
        <v>7285</v>
      </c>
      <c r="O270" s="14" t="s">
        <v>5277</v>
      </c>
      <c r="P270" s="15" t="s">
        <v>3117</v>
      </c>
      <c r="Q270" s="16">
        <v>1070000</v>
      </c>
      <c r="R270" s="17">
        <v>43728</v>
      </c>
      <c r="S270" s="16" t="s">
        <v>5134</v>
      </c>
      <c r="T270" s="16">
        <v>1000000</v>
      </c>
      <c r="U270" s="14" t="s">
        <v>34</v>
      </c>
      <c r="V270" s="13">
        <v>4</v>
      </c>
      <c r="W270" s="17">
        <v>44012</v>
      </c>
      <c r="X270" s="14"/>
      <c r="Y270" s="17"/>
      <c r="Z270" s="17"/>
      <c r="AA270" s="14" t="s">
        <v>5426</v>
      </c>
      <c r="AB270" s="14" t="s">
        <v>5427</v>
      </c>
      <c r="AC270" s="14" t="s">
        <v>5428</v>
      </c>
      <c r="AD270" s="20" t="str">
        <f t="shared" si="19"/>
        <v>Crowdfunding &gt; Revenue Sharing &gt; Agriculture
Crop Tech &gt; Finance &gt; Crowdfunding</v>
      </c>
      <c r="AE270" s="20" t="str">
        <f t="shared" si="18"/>
        <v>Crowdfunding</v>
      </c>
      <c r="AF270" s="20" t="str">
        <f t="shared" si="17"/>
        <v>Revenue Sharing</v>
      </c>
      <c r="AG270" s="20" t="str">
        <f t="shared" si="17"/>
        <v>Agriculture
Crop Tech</v>
      </c>
      <c r="AH270" s="20" t="str">
        <f t="shared" si="17"/>
        <v>Finance</v>
      </c>
      <c r="AI270" s="20" t="str">
        <f t="shared" si="17"/>
        <v>Crowdfunding</v>
      </c>
      <c r="AJ270" s="20" t="str">
        <f t="shared" si="17"/>
        <v/>
      </c>
      <c r="AK270" s="20" t="str">
        <f t="shared" si="17"/>
        <v/>
      </c>
      <c r="AL270" s="14" t="s">
        <v>7286</v>
      </c>
      <c r="AM270" s="14"/>
      <c r="AO270" s="14"/>
      <c r="AP270" s="14" t="s">
        <v>5277</v>
      </c>
      <c r="AQ270" s="14" t="s">
        <v>7288</v>
      </c>
      <c r="AR270" s="14"/>
      <c r="AS270" s="14" t="s">
        <v>7289</v>
      </c>
      <c r="AT270" s="14" t="s">
        <v>7290</v>
      </c>
      <c r="AU270" s="14" t="s">
        <v>7291</v>
      </c>
      <c r="AV270" s="18"/>
      <c r="AW270" s="16"/>
      <c r="AX270" s="17"/>
      <c r="AY270" s="15" t="s">
        <v>3123</v>
      </c>
      <c r="AZ270" s="17"/>
      <c r="BA270" s="16"/>
      <c r="BB270" s="14"/>
      <c r="BC270" s="14"/>
      <c r="BD270" s="15" t="s">
        <v>3123</v>
      </c>
      <c r="BE270" s="14"/>
      <c r="BF270" s="17"/>
      <c r="BG270" s="16"/>
      <c r="BH270" s="14"/>
      <c r="BI270" s="15" t="s">
        <v>3123</v>
      </c>
      <c r="BJ270" s="14"/>
      <c r="BK270" s="17"/>
      <c r="BL270" s="16"/>
      <c r="BM270" s="16"/>
      <c r="BN270" s="16"/>
      <c r="BO270" s="16"/>
      <c r="BP270" s="15" t="s">
        <v>3123</v>
      </c>
      <c r="BQ270" s="17"/>
      <c r="BR270" s="14"/>
      <c r="BS270" s="14"/>
      <c r="BT270" s="16"/>
      <c r="BU270" s="16"/>
      <c r="BV270" s="13"/>
      <c r="BW270" s="18" t="s">
        <v>7292</v>
      </c>
      <c r="BX270" s="13">
        <v>200</v>
      </c>
      <c r="BY270" s="17">
        <v>44125</v>
      </c>
      <c r="BZ270" s="18" t="s">
        <v>7293</v>
      </c>
      <c r="CA270" s="18" t="s">
        <v>7294</v>
      </c>
      <c r="CB270" s="18"/>
      <c r="CC270" s="18"/>
      <c r="CD270" s="14" t="s">
        <v>7295</v>
      </c>
      <c r="CE270" s="17">
        <v>42822</v>
      </c>
      <c r="CF270" s="16"/>
      <c r="CG270" s="17"/>
      <c r="CH270" s="16"/>
      <c r="CI270" s="17"/>
      <c r="CJ270" s="16"/>
      <c r="CK270" s="17"/>
      <c r="CL270" s="16"/>
      <c r="CM270" s="17"/>
      <c r="CN270" s="19">
        <v>42.236802368544751</v>
      </c>
      <c r="CO270" s="19"/>
      <c r="CP270" s="17"/>
      <c r="CQ270" s="14" t="s">
        <v>5036</v>
      </c>
      <c r="CR270" s="14" t="s">
        <v>5962</v>
      </c>
      <c r="CS270" s="14" t="s">
        <v>5945</v>
      </c>
    </row>
    <row r="271" spans="1:97" ht="26.15" customHeight="1">
      <c r="A271" s="2">
        <v>76</v>
      </c>
      <c r="B271" s="25" t="s">
        <v>1382</v>
      </c>
      <c r="C271" s="25" t="e">
        <f>VLOOKUP(B271, Sheet6!$A$1:$B$77, 2, FALSE)</f>
        <v>#N/A</v>
      </c>
      <c r="D271" s="25" t="s">
        <v>1383</v>
      </c>
      <c r="E271" s="25" t="s">
        <v>1385</v>
      </c>
      <c r="F271" s="25" t="s">
        <v>5996</v>
      </c>
      <c r="G271" s="25" t="s">
        <v>10955</v>
      </c>
      <c r="H271" s="25" t="s">
        <v>10959</v>
      </c>
      <c r="I271" s="25" t="s">
        <v>10958</v>
      </c>
      <c r="J271" s="26" t="s">
        <v>10766</v>
      </c>
      <c r="L271" s="13">
        <v>2016</v>
      </c>
      <c r="M271" s="14" t="s">
        <v>5050</v>
      </c>
      <c r="N271" s="14" t="s">
        <v>5050</v>
      </c>
      <c r="O271" s="14" t="s">
        <v>4343</v>
      </c>
      <c r="P271" s="15" t="s">
        <v>3117</v>
      </c>
      <c r="Q271" s="16">
        <v>20000</v>
      </c>
      <c r="R271" s="17">
        <v>42846</v>
      </c>
      <c r="S271" s="16" t="s">
        <v>6298</v>
      </c>
      <c r="T271" s="16">
        <v>20000</v>
      </c>
      <c r="U271" s="14" t="s">
        <v>34</v>
      </c>
      <c r="V271" s="13"/>
      <c r="W271" s="17"/>
      <c r="X271" s="14"/>
      <c r="Y271" s="17"/>
      <c r="Z271" s="17"/>
      <c r="AA271" s="14" t="s">
        <v>8977</v>
      </c>
      <c r="AB271" s="14" t="s">
        <v>8978</v>
      </c>
      <c r="AC271" s="14" t="s">
        <v>8979</v>
      </c>
      <c r="AD271" s="20" t="str">
        <f t="shared" si="19"/>
        <v>Blockchain &gt; Agriculture
B2B E-Commerce &gt; Agriculture &gt; Marketplace
Crop Tech &gt; ECommerce &gt; Farm Produce &gt; B2B &gt; Fruits and Vegetables &gt; Marketplace</v>
      </c>
      <c r="AE271" s="20" t="str">
        <f t="shared" si="18"/>
        <v>Blockchain</v>
      </c>
      <c r="AF271" s="20" t="str">
        <f t="shared" si="17"/>
        <v>Agriculture
B2B E-Commerce</v>
      </c>
      <c r="AG271" s="20" t="str">
        <f t="shared" si="17"/>
        <v>Agriculture</v>
      </c>
      <c r="AH271" s="20" t="str">
        <f t="shared" si="17"/>
        <v>Marketplace
Crop Tech</v>
      </c>
      <c r="AI271" s="20" t="str">
        <f t="shared" si="17"/>
        <v>ECommerce</v>
      </c>
      <c r="AJ271" s="20" t="str">
        <f t="shared" si="17"/>
        <v>Farm Produce</v>
      </c>
      <c r="AK271" s="20" t="str">
        <f t="shared" si="17"/>
        <v>B2B</v>
      </c>
      <c r="AL271" s="14" t="s">
        <v>798</v>
      </c>
      <c r="AM271" s="14"/>
      <c r="AO271" s="14"/>
      <c r="AP271" s="14" t="s">
        <v>4343</v>
      </c>
      <c r="AQ271" s="14" t="s">
        <v>8981</v>
      </c>
      <c r="AR271" s="14"/>
      <c r="AS271" s="14" t="s">
        <v>8982</v>
      </c>
      <c r="AT271" s="14" t="s">
        <v>8983</v>
      </c>
      <c r="AU271" s="14" t="s">
        <v>8984</v>
      </c>
      <c r="AV271" s="18"/>
      <c r="AW271" s="16"/>
      <c r="AX271" s="17"/>
      <c r="AY271" s="15" t="s">
        <v>3123</v>
      </c>
      <c r="AZ271" s="17"/>
      <c r="BA271" s="16"/>
      <c r="BB271" s="14"/>
      <c r="BC271" s="14"/>
      <c r="BD271" s="15" t="s">
        <v>3123</v>
      </c>
      <c r="BE271" s="14"/>
      <c r="BF271" s="17"/>
      <c r="BG271" s="16"/>
      <c r="BH271" s="14"/>
      <c r="BI271" s="15" t="s">
        <v>3123</v>
      </c>
      <c r="BJ271" s="14"/>
      <c r="BK271" s="17"/>
      <c r="BL271" s="16"/>
      <c r="BM271" s="16"/>
      <c r="BN271" s="16"/>
      <c r="BO271" s="16"/>
      <c r="BP271" s="15" t="s">
        <v>3123</v>
      </c>
      <c r="BQ271" s="17"/>
      <c r="BR271" s="14"/>
      <c r="BS271" s="14"/>
      <c r="BT271" s="16"/>
      <c r="BU271" s="16"/>
      <c r="BV271" s="13"/>
      <c r="BW271" s="18" t="s">
        <v>8985</v>
      </c>
      <c r="BX271" s="13">
        <v>200</v>
      </c>
      <c r="BY271" s="17">
        <v>44125</v>
      </c>
      <c r="BZ271" s="18" t="s">
        <v>8986</v>
      </c>
      <c r="CA271" s="18"/>
      <c r="CB271" s="18"/>
      <c r="CC271" s="18"/>
      <c r="CD271" s="14" t="s">
        <v>8987</v>
      </c>
      <c r="CE271" s="17">
        <v>43020</v>
      </c>
      <c r="CF271" s="16"/>
      <c r="CG271" s="17"/>
      <c r="CH271" s="16"/>
      <c r="CI271" s="17"/>
      <c r="CJ271" s="16"/>
      <c r="CK271" s="17"/>
      <c r="CL271" s="16"/>
      <c r="CM271" s="17"/>
      <c r="CN271" s="19">
        <v>21.02863261132817</v>
      </c>
      <c r="CO271" s="19"/>
      <c r="CP271" s="17"/>
      <c r="CQ271" s="14" t="s">
        <v>8988</v>
      </c>
      <c r="CR271" s="14" t="s">
        <v>6557</v>
      </c>
      <c r="CS271" s="14" t="s">
        <v>8989</v>
      </c>
    </row>
    <row r="272" spans="1:97" ht="26.15" customHeight="1">
      <c r="A272" s="2">
        <v>73</v>
      </c>
      <c r="B272" s="25" t="s">
        <v>1999</v>
      </c>
      <c r="C272" s="25" t="e">
        <f>VLOOKUP(B272, Sheet6!$A$1:$B$77, 2, FALSE)</f>
        <v>#N/A</v>
      </c>
      <c r="D272" s="25" t="s">
        <v>2000</v>
      </c>
      <c r="E272" s="25" t="s">
        <v>2003</v>
      </c>
      <c r="F272" s="25" t="s">
        <v>5952</v>
      </c>
      <c r="G272" s="25" t="s">
        <v>10955</v>
      </c>
      <c r="H272" s="25" t="s">
        <v>10959</v>
      </c>
      <c r="I272" s="25" t="s">
        <v>10958</v>
      </c>
      <c r="J272" s="26" t="s">
        <v>10846</v>
      </c>
      <c r="L272" s="13">
        <v>2014</v>
      </c>
      <c r="M272" s="14" t="s">
        <v>7260</v>
      </c>
      <c r="N272" s="14" t="s">
        <v>7261</v>
      </c>
      <c r="O272" s="14" t="s">
        <v>2057</v>
      </c>
      <c r="P272" s="15" t="s">
        <v>3117</v>
      </c>
      <c r="Q272" s="16">
        <v>1500000</v>
      </c>
      <c r="R272" s="17">
        <v>42131</v>
      </c>
      <c r="S272" s="16" t="s">
        <v>5022</v>
      </c>
      <c r="T272" s="16">
        <v>1500000</v>
      </c>
      <c r="U272" s="14" t="s">
        <v>5630</v>
      </c>
      <c r="V272" s="13"/>
      <c r="W272" s="17"/>
      <c r="X272" s="14"/>
      <c r="Y272" s="17"/>
      <c r="Z272" s="17"/>
      <c r="AA272" s="14" t="s">
        <v>1</v>
      </c>
      <c r="AB272" s="14" t="s">
        <v>5084</v>
      </c>
      <c r="AC272" s="14" t="s">
        <v>8990</v>
      </c>
      <c r="AD272" s="20" t="str">
        <f t="shared" si="19"/>
        <v>Livestock Tech &gt; ECommerce &gt; Farm Input &gt; Retailer</v>
      </c>
      <c r="AE272" s="20" t="str">
        <f t="shared" si="18"/>
        <v>Livestock Tech</v>
      </c>
      <c r="AF272" s="20" t="str">
        <f t="shared" si="17"/>
        <v>ECommerce</v>
      </c>
      <c r="AG272" s="20" t="str">
        <f t="shared" si="17"/>
        <v>Farm Input</v>
      </c>
      <c r="AH272" s="20" t="str">
        <f t="shared" si="17"/>
        <v>Retailer</v>
      </c>
      <c r="AI272" s="20" t="str">
        <f t="shared" si="17"/>
        <v/>
      </c>
      <c r="AJ272" s="20" t="str">
        <f t="shared" si="17"/>
        <v/>
      </c>
      <c r="AK272" s="20" t="str">
        <f t="shared" si="17"/>
        <v/>
      </c>
      <c r="AL272" s="14"/>
      <c r="AM272" s="14"/>
      <c r="AO272" s="14"/>
      <c r="AP272" s="14" t="s">
        <v>2057</v>
      </c>
      <c r="AQ272" s="14"/>
      <c r="AR272" s="14"/>
      <c r="AS272" s="14"/>
      <c r="AT272" s="14"/>
      <c r="AU272" s="14"/>
      <c r="AV272" s="18"/>
      <c r="AW272" s="16"/>
      <c r="AX272" s="17"/>
      <c r="AY272" s="15" t="s">
        <v>3123</v>
      </c>
      <c r="AZ272" s="17"/>
      <c r="BA272" s="16"/>
      <c r="BB272" s="14"/>
      <c r="BC272" s="14"/>
      <c r="BD272" s="15" t="s">
        <v>3123</v>
      </c>
      <c r="BE272" s="14"/>
      <c r="BF272" s="17"/>
      <c r="BG272" s="16"/>
      <c r="BH272" s="14"/>
      <c r="BI272" s="15" t="s">
        <v>3123</v>
      </c>
      <c r="BJ272" s="14"/>
      <c r="BK272" s="17"/>
      <c r="BL272" s="16"/>
      <c r="BM272" s="16"/>
      <c r="BN272" s="16"/>
      <c r="BO272" s="16"/>
      <c r="BP272" s="15" t="s">
        <v>3117</v>
      </c>
      <c r="BQ272" s="17"/>
      <c r="BR272" s="14"/>
      <c r="BS272" s="14"/>
      <c r="BT272" s="16"/>
      <c r="BU272" s="16"/>
      <c r="BV272" s="13"/>
      <c r="BW272" s="18" t="s">
        <v>8992</v>
      </c>
      <c r="BX272" s="13">
        <v>-1</v>
      </c>
      <c r="BY272" s="17">
        <v>44125</v>
      </c>
      <c r="BZ272" s="18"/>
      <c r="CA272" s="18"/>
      <c r="CB272" s="18"/>
      <c r="CC272" s="18"/>
      <c r="CD272" s="14" t="s">
        <v>8993</v>
      </c>
      <c r="CE272" s="17">
        <v>42909</v>
      </c>
      <c r="CF272" s="16"/>
      <c r="CG272" s="17"/>
      <c r="CH272" s="16"/>
      <c r="CI272" s="17"/>
      <c r="CJ272" s="16"/>
      <c r="CK272" s="17"/>
      <c r="CL272" s="16"/>
      <c r="CM272" s="17"/>
      <c r="CN272" s="19">
        <v>9.1323116275168701</v>
      </c>
      <c r="CO272" s="19"/>
      <c r="CP272" s="17"/>
      <c r="CQ272" s="14" t="s">
        <v>6487</v>
      </c>
      <c r="CR272" s="14" t="s">
        <v>5944</v>
      </c>
      <c r="CS272" s="14" t="s">
        <v>5945</v>
      </c>
    </row>
    <row r="273" spans="1:97" ht="26.15" customHeight="1">
      <c r="A273" s="2">
        <v>523</v>
      </c>
      <c r="B273" s="25" t="s">
        <v>3047</v>
      </c>
      <c r="C273" s="25" t="e">
        <f>VLOOKUP(B273, Sheet6!$A$1:$B$77, 2, FALSE)</f>
        <v>#N/A</v>
      </c>
      <c r="D273" s="25" t="s">
        <v>3048</v>
      </c>
      <c r="E273" s="25" t="s">
        <v>3051</v>
      </c>
      <c r="F273" s="25" t="s">
        <v>10180</v>
      </c>
      <c r="G273" s="25" t="s">
        <v>10952</v>
      </c>
      <c r="H273" s="25" t="s">
        <v>10959</v>
      </c>
      <c r="I273" s="25" t="s">
        <v>10958</v>
      </c>
      <c r="J273" s="25" t="s">
        <v>10784</v>
      </c>
      <c r="L273" s="13">
        <v>2015</v>
      </c>
      <c r="M273" s="14" t="s">
        <v>7307</v>
      </c>
      <c r="N273" s="14" t="s">
        <v>5267</v>
      </c>
      <c r="O273" s="14" t="s">
        <v>2057</v>
      </c>
      <c r="P273" s="15" t="s">
        <v>3117</v>
      </c>
      <c r="Q273" s="16"/>
      <c r="R273" s="17">
        <v>43208</v>
      </c>
      <c r="S273" s="16"/>
      <c r="T273" s="16" t="s">
        <v>50</v>
      </c>
      <c r="U273" s="14" t="s">
        <v>109</v>
      </c>
      <c r="V273" s="13">
        <v>2</v>
      </c>
      <c r="W273" s="17">
        <v>44081</v>
      </c>
      <c r="X273" s="14"/>
      <c r="Y273" s="17"/>
      <c r="Z273" s="17"/>
      <c r="AA273" s="14" t="s">
        <v>1</v>
      </c>
      <c r="AB273" s="14" t="s">
        <v>5084</v>
      </c>
      <c r="AC273" s="14" t="s">
        <v>6268</v>
      </c>
      <c r="AD273" s="20" t="str">
        <f t="shared" si="19"/>
        <v>Livestock Tech &gt; Livestock Management Software</v>
      </c>
      <c r="AE273" s="20" t="str">
        <f t="shared" si="18"/>
        <v>Livestock Tech</v>
      </c>
      <c r="AF273" s="20" t="str">
        <f t="shared" si="17"/>
        <v>Livestock Management Software</v>
      </c>
      <c r="AG273" s="20" t="str">
        <f t="shared" si="17"/>
        <v/>
      </c>
      <c r="AH273" s="20" t="str">
        <f t="shared" si="17"/>
        <v/>
      </c>
      <c r="AI273" s="20" t="str">
        <f t="shared" si="17"/>
        <v/>
      </c>
      <c r="AJ273" s="20" t="str">
        <f t="shared" si="17"/>
        <v/>
      </c>
      <c r="AK273" s="20" t="str">
        <f t="shared" si="17"/>
        <v/>
      </c>
      <c r="AL273" s="14" t="s">
        <v>7308</v>
      </c>
      <c r="AM273" s="14"/>
      <c r="AO273" s="14"/>
      <c r="AP273" s="14" t="s">
        <v>2057</v>
      </c>
      <c r="AQ273" s="14"/>
      <c r="AR273" s="14"/>
      <c r="AS273" s="14" t="s">
        <v>7310</v>
      </c>
      <c r="AT273" s="14"/>
      <c r="AU273" s="14"/>
      <c r="AV273" s="18"/>
      <c r="AW273" s="16"/>
      <c r="AX273" s="17"/>
      <c r="AY273" s="15" t="s">
        <v>3123</v>
      </c>
      <c r="AZ273" s="17"/>
      <c r="BA273" s="16"/>
      <c r="BB273" s="14"/>
      <c r="BC273" s="14"/>
      <c r="BD273" s="15" t="s">
        <v>3123</v>
      </c>
      <c r="BE273" s="14"/>
      <c r="BF273" s="17"/>
      <c r="BG273" s="16"/>
      <c r="BH273" s="14"/>
      <c r="BI273" s="15" t="s">
        <v>3123</v>
      </c>
      <c r="BJ273" s="14"/>
      <c r="BK273" s="17"/>
      <c r="BL273" s="16"/>
      <c r="BM273" s="16"/>
      <c r="BN273" s="16"/>
      <c r="BO273" s="16"/>
      <c r="BP273" s="15" t="s">
        <v>3123</v>
      </c>
      <c r="BQ273" s="17"/>
      <c r="BR273" s="14"/>
      <c r="BS273" s="14"/>
      <c r="BT273" s="16"/>
      <c r="BU273" s="16"/>
      <c r="BV273" s="13"/>
      <c r="BW273" s="18" t="s">
        <v>7311</v>
      </c>
      <c r="BX273" s="13">
        <v>200</v>
      </c>
      <c r="BY273" s="17">
        <v>44125</v>
      </c>
      <c r="BZ273" s="18"/>
      <c r="CA273" s="18"/>
      <c r="CB273" s="18"/>
      <c r="CC273" s="18"/>
      <c r="CD273" s="14" t="s">
        <v>7312</v>
      </c>
      <c r="CE273" s="17">
        <v>42969</v>
      </c>
      <c r="CF273" s="16"/>
      <c r="CG273" s="17"/>
      <c r="CH273" s="16"/>
      <c r="CI273" s="17"/>
      <c r="CJ273" s="16"/>
      <c r="CK273" s="17"/>
      <c r="CL273" s="16"/>
      <c r="CM273" s="17"/>
      <c r="CN273" s="19">
        <v>14.789998799106609</v>
      </c>
      <c r="CO273" s="19"/>
      <c r="CP273" s="17"/>
      <c r="CQ273" s="14" t="s">
        <v>5104</v>
      </c>
      <c r="CR273" s="14" t="s">
        <v>5962</v>
      </c>
      <c r="CS273" s="14" t="s">
        <v>5945</v>
      </c>
    </row>
    <row r="274" spans="1:97" ht="26.15" customHeight="1">
      <c r="A274" s="2">
        <v>99</v>
      </c>
      <c r="B274" s="25" t="s">
        <v>589</v>
      </c>
      <c r="C274" s="25" t="e">
        <f>VLOOKUP(B274, Sheet6!$A$1:$B$77, 2, FALSE)</f>
        <v>#N/A</v>
      </c>
      <c r="D274" s="25" t="s">
        <v>590</v>
      </c>
      <c r="E274" s="25" t="s">
        <v>594</v>
      </c>
      <c r="F274" s="25" t="s">
        <v>6315</v>
      </c>
      <c r="G274" s="25" t="s">
        <v>10953</v>
      </c>
      <c r="H274" s="25" t="s">
        <v>10960</v>
      </c>
      <c r="I274" s="25" t="s">
        <v>10958</v>
      </c>
      <c r="J274" s="26" t="s">
        <v>10517</v>
      </c>
      <c r="L274" s="13">
        <v>2016</v>
      </c>
      <c r="M274" s="14" t="s">
        <v>7313</v>
      </c>
      <c r="N274" s="14" t="s">
        <v>5039</v>
      </c>
      <c r="O274" s="14" t="s">
        <v>3994</v>
      </c>
      <c r="P274" s="15" t="s">
        <v>3117</v>
      </c>
      <c r="Q274" s="16">
        <v>114859</v>
      </c>
      <c r="R274" s="17">
        <v>43355</v>
      </c>
      <c r="S274" s="16"/>
      <c r="T274" s="16" t="s">
        <v>50</v>
      </c>
      <c r="U274" s="14" t="s">
        <v>34</v>
      </c>
      <c r="V274" s="13">
        <v>4</v>
      </c>
      <c r="W274" s="17">
        <v>44018</v>
      </c>
      <c r="X274" s="14"/>
      <c r="Y274" s="17"/>
      <c r="Z274" s="17"/>
      <c r="AA274" s="14" t="s">
        <v>4995</v>
      </c>
      <c r="AB274" s="14" t="s">
        <v>5578</v>
      </c>
      <c r="AC274" s="14" t="s">
        <v>7314</v>
      </c>
      <c r="AD274" s="20" t="str">
        <f t="shared" si="19"/>
        <v>Online Grocery &gt; B2C Ecommerce &gt; Multi Category &gt; Retailer &gt; Outsourced Delivery
Crop Tech &gt; ECommerce &gt; Farm Produce &gt; B2C &gt; Fruits and Vegetables &gt; Retailer</v>
      </c>
      <c r="AE274" s="20" t="str">
        <f t="shared" si="18"/>
        <v>Online Grocery</v>
      </c>
      <c r="AF274" s="20" t="str">
        <f t="shared" si="17"/>
        <v>B2C Ecommerce</v>
      </c>
      <c r="AG274" s="20" t="str">
        <f t="shared" si="17"/>
        <v>Multi Category</v>
      </c>
      <c r="AH274" s="20" t="str">
        <f t="shared" si="17"/>
        <v>Retailer</v>
      </c>
      <c r="AI274" s="20" t="str">
        <f t="shared" si="17"/>
        <v>Outsourced Delivery
Crop Tech</v>
      </c>
      <c r="AJ274" s="20" t="str">
        <f t="shared" si="17"/>
        <v>ECommerce</v>
      </c>
      <c r="AK274" s="20" t="str">
        <f t="shared" si="17"/>
        <v>Farm Produce</v>
      </c>
      <c r="AL274" s="14" t="s">
        <v>7315</v>
      </c>
      <c r="AM274" s="14" t="s">
        <v>1925</v>
      </c>
      <c r="AO274" s="14"/>
      <c r="AP274" s="14" t="s">
        <v>3994</v>
      </c>
      <c r="AQ274" s="14" t="s">
        <v>7317</v>
      </c>
      <c r="AR274" s="14" t="s">
        <v>7318</v>
      </c>
      <c r="AS274" s="14" t="s">
        <v>7319</v>
      </c>
      <c r="AT274" s="14" t="s">
        <v>7320</v>
      </c>
      <c r="AU274" s="14" t="s">
        <v>7321</v>
      </c>
      <c r="AV274" s="18"/>
      <c r="AW274" s="16">
        <v>647200</v>
      </c>
      <c r="AX274" s="17">
        <v>43100</v>
      </c>
      <c r="AY274" s="15" t="s">
        <v>3117</v>
      </c>
      <c r="AZ274" s="17">
        <v>42598</v>
      </c>
      <c r="BA274" s="16">
        <v>1493</v>
      </c>
      <c r="BB274" s="14" t="s">
        <v>7322</v>
      </c>
      <c r="BC274" s="14" t="s">
        <v>7323</v>
      </c>
      <c r="BD274" s="15" t="s">
        <v>3123</v>
      </c>
      <c r="BE274" s="14"/>
      <c r="BF274" s="17"/>
      <c r="BG274" s="16"/>
      <c r="BH274" s="14"/>
      <c r="BI274" s="15" t="s">
        <v>3123</v>
      </c>
      <c r="BJ274" s="14"/>
      <c r="BK274" s="17"/>
      <c r="BL274" s="16"/>
      <c r="BM274" s="16"/>
      <c r="BN274" s="16"/>
      <c r="BO274" s="16"/>
      <c r="BP274" s="15" t="s">
        <v>3123</v>
      </c>
      <c r="BQ274" s="17"/>
      <c r="BR274" s="14"/>
      <c r="BS274" s="14"/>
      <c r="BT274" s="16"/>
      <c r="BU274" s="16"/>
      <c r="BV274" s="13"/>
      <c r="BW274" s="18" t="s">
        <v>7324</v>
      </c>
      <c r="BX274" s="13">
        <v>200</v>
      </c>
      <c r="BY274" s="17">
        <v>44125</v>
      </c>
      <c r="BZ274" s="18" t="s">
        <v>7325</v>
      </c>
      <c r="CA274" s="18" t="s">
        <v>7326</v>
      </c>
      <c r="CB274" s="18" t="s">
        <v>7327</v>
      </c>
      <c r="CC274" s="18"/>
      <c r="CD274" s="14" t="s">
        <v>7328</v>
      </c>
      <c r="CE274" s="17">
        <v>43335</v>
      </c>
      <c r="CF274" s="16">
        <v>-27600</v>
      </c>
      <c r="CG274" s="17">
        <v>43100</v>
      </c>
      <c r="CH274" s="16">
        <v>-20800</v>
      </c>
      <c r="CI274" s="17">
        <v>43100</v>
      </c>
      <c r="CJ274" s="16"/>
      <c r="CK274" s="17"/>
      <c r="CL274" s="16"/>
      <c r="CM274" s="17"/>
      <c r="CN274" s="19">
        <v>38.555205465746276</v>
      </c>
      <c r="CO274" s="19"/>
      <c r="CP274" s="17"/>
      <c r="CQ274" s="14" t="s">
        <v>6487</v>
      </c>
      <c r="CR274" s="14" t="s">
        <v>7329</v>
      </c>
      <c r="CS274" s="14" t="s">
        <v>5004</v>
      </c>
    </row>
    <row r="275" spans="1:97" ht="26.15" customHeight="1">
      <c r="A275" s="2">
        <v>391</v>
      </c>
      <c r="B275" s="25" t="s">
        <v>2363</v>
      </c>
      <c r="C275" s="25" t="e">
        <f>VLOOKUP(B275, Sheet6!$A$1:$B$77, 2, FALSE)</f>
        <v>#N/A</v>
      </c>
      <c r="D275" s="25" t="s">
        <v>2364</v>
      </c>
      <c r="E275" s="25" t="s">
        <v>2367</v>
      </c>
      <c r="F275" s="25" t="s">
        <v>9263</v>
      </c>
      <c r="G275" s="25" t="s">
        <v>10955</v>
      </c>
      <c r="H275" s="25" t="s">
        <v>10957</v>
      </c>
      <c r="I275" s="25" t="s">
        <v>10558</v>
      </c>
      <c r="J275" s="25" t="s">
        <v>10821</v>
      </c>
      <c r="L275" s="13">
        <v>2011</v>
      </c>
      <c r="M275" s="14" t="s">
        <v>7330</v>
      </c>
      <c r="N275" s="14" t="s">
        <v>7331</v>
      </c>
      <c r="O275" s="14" t="s">
        <v>2057</v>
      </c>
      <c r="P275" s="15" t="s">
        <v>3117</v>
      </c>
      <c r="Q275" s="16">
        <v>1577228</v>
      </c>
      <c r="R275" s="17">
        <v>43823</v>
      </c>
      <c r="S275" s="16"/>
      <c r="T275" s="16" t="s">
        <v>50</v>
      </c>
      <c r="U275" s="14" t="s">
        <v>25</v>
      </c>
      <c r="V275" s="13">
        <v>3</v>
      </c>
      <c r="W275" s="17">
        <v>44081</v>
      </c>
      <c r="X275" s="14"/>
      <c r="Y275" s="17"/>
      <c r="Z275" s="17"/>
      <c r="AA275" s="14" t="s">
        <v>5041</v>
      </c>
      <c r="AB275" s="14" t="s">
        <v>5042</v>
      </c>
      <c r="AC275" s="14" t="s">
        <v>7332</v>
      </c>
      <c r="AD275" s="20" t="str">
        <f t="shared" si="19"/>
        <v>IoT Applications &gt; Industry Specific &gt; Agriculture &gt; Farms
Crop Tech &gt; Farm Management Software &gt; Controlled Environment Farming</v>
      </c>
      <c r="AE275" s="20" t="str">
        <f t="shared" si="18"/>
        <v>IoT Applications</v>
      </c>
      <c r="AF275" s="20" t="str">
        <f t="shared" si="17"/>
        <v>Industry Specific</v>
      </c>
      <c r="AG275" s="20" t="str">
        <f t="shared" si="17"/>
        <v>Agriculture</v>
      </c>
      <c r="AH275" s="20" t="str">
        <f t="shared" si="17"/>
        <v>Farms
Crop Tech</v>
      </c>
      <c r="AI275" s="20" t="str">
        <f t="shared" si="17"/>
        <v>Farm Management Software</v>
      </c>
      <c r="AJ275" s="20" t="str">
        <f t="shared" si="17"/>
        <v>Controlled Environment Farming</v>
      </c>
      <c r="AK275" s="20" t="str">
        <f t="shared" si="17"/>
        <v/>
      </c>
      <c r="AL275" s="14" t="s">
        <v>7333</v>
      </c>
      <c r="AM275" s="14"/>
      <c r="AO275" s="14"/>
      <c r="AP275" s="14" t="s">
        <v>2057</v>
      </c>
      <c r="AQ275" s="14"/>
      <c r="AR275" s="14"/>
      <c r="AS275" s="14"/>
      <c r="AT275" s="14"/>
      <c r="AU275" s="14"/>
      <c r="AV275" s="18"/>
      <c r="AW275" s="16"/>
      <c r="AX275" s="17"/>
      <c r="AY275" s="15" t="s">
        <v>3123</v>
      </c>
      <c r="AZ275" s="17"/>
      <c r="BA275" s="16"/>
      <c r="BB275" s="14"/>
      <c r="BC275" s="14"/>
      <c r="BD275" s="15" t="s">
        <v>3123</v>
      </c>
      <c r="BE275" s="14"/>
      <c r="BF275" s="17"/>
      <c r="BG275" s="16"/>
      <c r="BH275" s="14"/>
      <c r="BI275" s="15" t="s">
        <v>3123</v>
      </c>
      <c r="BJ275" s="14"/>
      <c r="BK275" s="17"/>
      <c r="BL275" s="16"/>
      <c r="BM275" s="16"/>
      <c r="BN275" s="16"/>
      <c r="BO275" s="16"/>
      <c r="BP275" s="15" t="s">
        <v>3123</v>
      </c>
      <c r="BQ275" s="17"/>
      <c r="BR275" s="14"/>
      <c r="BS275" s="14"/>
      <c r="BT275" s="16"/>
      <c r="BU275" s="16"/>
      <c r="BV275" s="13"/>
      <c r="BW275" s="18" t="s">
        <v>7335</v>
      </c>
      <c r="BX275" s="13">
        <v>200</v>
      </c>
      <c r="BY275" s="17">
        <v>44125</v>
      </c>
      <c r="BZ275" s="18" t="s">
        <v>7336</v>
      </c>
      <c r="CA275" s="18"/>
      <c r="CB275" s="18"/>
      <c r="CC275" s="18"/>
      <c r="CD275" s="14" t="s">
        <v>7337</v>
      </c>
      <c r="CE275" s="17">
        <v>42929</v>
      </c>
      <c r="CF275" s="16"/>
      <c r="CG275" s="17"/>
      <c r="CH275" s="16"/>
      <c r="CI275" s="17"/>
      <c r="CJ275" s="16"/>
      <c r="CK275" s="17"/>
      <c r="CL275" s="16"/>
      <c r="CM275" s="17"/>
      <c r="CN275" s="19">
        <v>28.412474731814701</v>
      </c>
      <c r="CO275" s="19"/>
      <c r="CP275" s="17"/>
      <c r="CQ275" s="14" t="s">
        <v>5036</v>
      </c>
      <c r="CR275" s="14" t="s">
        <v>5962</v>
      </c>
      <c r="CS275" s="14" t="s">
        <v>5945</v>
      </c>
    </row>
    <row r="276" spans="1:97" ht="26.15" customHeight="1">
      <c r="A276" s="2">
        <v>48</v>
      </c>
      <c r="B276" s="25" t="s">
        <v>795</v>
      </c>
      <c r="C276" s="25" t="e">
        <f>VLOOKUP(B276, Sheet6!$A$1:$B$77, 2, FALSE)</f>
        <v>#N/A</v>
      </c>
      <c r="D276" s="25" t="s">
        <v>796</v>
      </c>
      <c r="E276" s="25" t="s">
        <v>799</v>
      </c>
      <c r="F276" s="25" t="s">
        <v>5645</v>
      </c>
      <c r="G276" s="25" t="s">
        <v>10955</v>
      </c>
      <c r="H276" s="25" t="s">
        <v>10959</v>
      </c>
      <c r="I276" s="25" t="s">
        <v>10958</v>
      </c>
      <c r="J276" s="26" t="s">
        <v>10706</v>
      </c>
      <c r="L276" s="13">
        <v>2008</v>
      </c>
      <c r="M276" s="14" t="s">
        <v>7344</v>
      </c>
      <c r="N276" s="14" t="s">
        <v>5050</v>
      </c>
      <c r="O276" s="14" t="s">
        <v>4343</v>
      </c>
      <c r="P276" s="15" t="s">
        <v>3117</v>
      </c>
      <c r="Q276" s="16"/>
      <c r="R276" s="17">
        <v>40330</v>
      </c>
      <c r="S276" s="16" t="s">
        <v>9006</v>
      </c>
      <c r="T276" s="16">
        <v>640000</v>
      </c>
      <c r="U276" s="14" t="s">
        <v>5040</v>
      </c>
      <c r="V276" s="13"/>
      <c r="W276" s="17"/>
      <c r="X276" s="14"/>
      <c r="Y276" s="17"/>
      <c r="Z276" s="17"/>
      <c r="AA276" s="14" t="s">
        <v>1</v>
      </c>
      <c r="AB276" s="14" t="s">
        <v>5007</v>
      </c>
      <c r="AC276" s="14" t="s">
        <v>5192</v>
      </c>
      <c r="AD276" s="20" t="str">
        <f t="shared" si="19"/>
        <v>Crop Tech &gt; Farm Management Software &gt; Diversified</v>
      </c>
      <c r="AE276" s="20" t="str">
        <f t="shared" si="18"/>
        <v>Crop Tech</v>
      </c>
      <c r="AF276" s="20" t="str">
        <f t="shared" si="17"/>
        <v>Farm Management Software</v>
      </c>
      <c r="AG276" s="20" t="str">
        <f t="shared" si="17"/>
        <v>Diversified</v>
      </c>
      <c r="AH276" s="20" t="str">
        <f t="shared" si="17"/>
        <v/>
      </c>
      <c r="AI276" s="20" t="str">
        <f t="shared" si="17"/>
        <v/>
      </c>
      <c r="AJ276" s="20" t="str">
        <f t="shared" si="17"/>
        <v/>
      </c>
      <c r="AK276" s="20" t="str">
        <f t="shared" si="17"/>
        <v/>
      </c>
      <c r="AL276" s="14" t="s">
        <v>156</v>
      </c>
      <c r="AM276" s="14"/>
      <c r="AO276" s="14"/>
      <c r="AP276" s="14" t="s">
        <v>4343</v>
      </c>
      <c r="AQ276" s="14"/>
      <c r="AR276" s="14"/>
      <c r="AS276" s="14" t="s">
        <v>9008</v>
      </c>
      <c r="AT276" s="14" t="s">
        <v>9009</v>
      </c>
      <c r="AU276" s="14" t="s">
        <v>7350</v>
      </c>
      <c r="AV276" s="18"/>
      <c r="AW276" s="16"/>
      <c r="AX276" s="17"/>
      <c r="AY276" s="15" t="s">
        <v>3123</v>
      </c>
      <c r="AZ276" s="17"/>
      <c r="BA276" s="16"/>
      <c r="BB276" s="14"/>
      <c r="BC276" s="14"/>
      <c r="BD276" s="15" t="s">
        <v>3123</v>
      </c>
      <c r="BE276" s="14"/>
      <c r="BF276" s="17"/>
      <c r="BG276" s="16"/>
      <c r="BH276" s="14"/>
      <c r="BI276" s="15" t="s">
        <v>3123</v>
      </c>
      <c r="BJ276" s="14"/>
      <c r="BK276" s="17"/>
      <c r="BL276" s="16"/>
      <c r="BM276" s="16"/>
      <c r="BN276" s="16"/>
      <c r="BO276" s="16"/>
      <c r="BP276" s="15" t="s">
        <v>3123</v>
      </c>
      <c r="BQ276" s="17"/>
      <c r="BR276" s="14"/>
      <c r="BS276" s="14"/>
      <c r="BT276" s="16"/>
      <c r="BU276" s="16"/>
      <c r="BV276" s="13"/>
      <c r="BW276" s="18" t="s">
        <v>9010</v>
      </c>
      <c r="BX276" s="13">
        <v>301</v>
      </c>
      <c r="BY276" s="17">
        <v>44125</v>
      </c>
      <c r="BZ276" s="18"/>
      <c r="CA276" s="18"/>
      <c r="CB276" s="18"/>
      <c r="CC276" s="18"/>
      <c r="CD276" s="14" t="s">
        <v>9011</v>
      </c>
      <c r="CE276" s="17">
        <v>42929</v>
      </c>
      <c r="CF276" s="16"/>
      <c r="CG276" s="17"/>
      <c r="CH276" s="16"/>
      <c r="CI276" s="17"/>
      <c r="CJ276" s="16"/>
      <c r="CK276" s="17"/>
      <c r="CL276" s="16"/>
      <c r="CM276" s="17"/>
      <c r="CN276" s="19">
        <v>19.011560798114374</v>
      </c>
      <c r="CO276" s="19"/>
      <c r="CP276" s="17"/>
      <c r="CQ276" s="14" t="s">
        <v>5345</v>
      </c>
      <c r="CR276" s="14" t="s">
        <v>7272</v>
      </c>
      <c r="CS276" s="14" t="s">
        <v>5945</v>
      </c>
    </row>
    <row r="277" spans="1:97" ht="26.15" customHeight="1">
      <c r="A277" s="2">
        <v>522</v>
      </c>
      <c r="B277" s="25" t="s">
        <v>3018</v>
      </c>
      <c r="C277" s="25" t="e">
        <f>VLOOKUP(B277, Sheet6!$A$1:$B$77, 2, FALSE)</f>
        <v>#N/A</v>
      </c>
      <c r="D277" s="25" t="s">
        <v>3019</v>
      </c>
      <c r="E277" s="25" t="s">
        <v>3021</v>
      </c>
      <c r="F277" s="25" t="s">
        <v>10170</v>
      </c>
      <c r="G277" s="25" t="s">
        <v>10952</v>
      </c>
      <c r="H277" s="25" t="s">
        <v>10967</v>
      </c>
      <c r="I277" s="25" t="s">
        <v>10558</v>
      </c>
      <c r="J277" s="25" t="s">
        <v>10780</v>
      </c>
      <c r="L277" s="13">
        <v>2015</v>
      </c>
      <c r="M277" s="14" t="s">
        <v>4993</v>
      </c>
      <c r="N277" s="14" t="s">
        <v>4994</v>
      </c>
      <c r="O277" s="14" t="s">
        <v>2057</v>
      </c>
      <c r="P277" s="15" t="s">
        <v>3117</v>
      </c>
      <c r="Q277" s="16">
        <v>434828</v>
      </c>
      <c r="R277" s="17">
        <v>42736</v>
      </c>
      <c r="S277" s="16" t="s">
        <v>9012</v>
      </c>
      <c r="T277" s="16">
        <v>434828</v>
      </c>
      <c r="U277" s="14" t="s">
        <v>5630</v>
      </c>
      <c r="V277" s="13"/>
      <c r="W277" s="17">
        <v>44081</v>
      </c>
      <c r="X277" s="14"/>
      <c r="Y277" s="17"/>
      <c r="Z277" s="17"/>
      <c r="AA277" s="14" t="s">
        <v>5947</v>
      </c>
      <c r="AB277" s="14" t="s">
        <v>9013</v>
      </c>
      <c r="AC277" s="14" t="s">
        <v>9014</v>
      </c>
      <c r="AD277" s="20" t="str">
        <f t="shared" si="19"/>
        <v>ERP &gt; Agriculture &gt; Farm Management &gt; Suite
Livestock Tech &gt; Livestock Management Software &gt; Poultry</v>
      </c>
      <c r="AE277" s="20" t="str">
        <f t="shared" si="18"/>
        <v>ERP</v>
      </c>
      <c r="AF277" s="20" t="str">
        <f t="shared" si="17"/>
        <v>Agriculture</v>
      </c>
      <c r="AG277" s="20" t="str">
        <f t="shared" si="17"/>
        <v>Farm Management</v>
      </c>
      <c r="AH277" s="20" t="str">
        <f t="shared" si="17"/>
        <v>Suite
Livestock Tech</v>
      </c>
      <c r="AI277" s="20" t="str">
        <f t="shared" si="17"/>
        <v>Livestock Management Software</v>
      </c>
      <c r="AJ277" s="20" t="str">
        <f t="shared" si="17"/>
        <v>Poultry</v>
      </c>
      <c r="AK277" s="20" t="str">
        <f t="shared" si="17"/>
        <v/>
      </c>
      <c r="AL277" s="14" t="s">
        <v>4426</v>
      </c>
      <c r="AM277" s="14"/>
      <c r="AO277" s="14"/>
      <c r="AP277" s="14" t="s">
        <v>2057</v>
      </c>
      <c r="AQ277" s="14"/>
      <c r="AR277" s="14"/>
      <c r="AS277" s="14"/>
      <c r="AT277" s="14"/>
      <c r="AU277" s="14"/>
      <c r="AV277" s="18"/>
      <c r="AW277" s="16"/>
      <c r="AX277" s="17"/>
      <c r="AY277" s="15" t="s">
        <v>3123</v>
      </c>
      <c r="AZ277" s="17"/>
      <c r="BA277" s="16"/>
      <c r="BB277" s="14"/>
      <c r="BC277" s="14"/>
      <c r="BD277" s="15" t="s">
        <v>3123</v>
      </c>
      <c r="BE277" s="14"/>
      <c r="BF277" s="17"/>
      <c r="BG277" s="16"/>
      <c r="BH277" s="14"/>
      <c r="BI277" s="15" t="s">
        <v>3123</v>
      </c>
      <c r="BJ277" s="14"/>
      <c r="BK277" s="17"/>
      <c r="BL277" s="16"/>
      <c r="BM277" s="16"/>
      <c r="BN277" s="16"/>
      <c r="BO277" s="16"/>
      <c r="BP277" s="15" t="s">
        <v>3117</v>
      </c>
      <c r="BQ277" s="17"/>
      <c r="BR277" s="14"/>
      <c r="BS277" s="14"/>
      <c r="BT277" s="16"/>
      <c r="BU277" s="16"/>
      <c r="BV277" s="13"/>
      <c r="BW277" s="18" t="s">
        <v>9016</v>
      </c>
      <c r="BX277" s="13">
        <v>404</v>
      </c>
      <c r="BY277" s="17">
        <v>44125</v>
      </c>
      <c r="BZ277" s="18"/>
      <c r="CA277" s="18"/>
      <c r="CB277" s="18"/>
      <c r="CC277" s="18"/>
      <c r="CD277" s="14" t="s">
        <v>9017</v>
      </c>
      <c r="CE277" s="17">
        <v>42947</v>
      </c>
      <c r="CF277" s="16"/>
      <c r="CG277" s="17"/>
      <c r="CH277" s="16"/>
      <c r="CI277" s="17"/>
      <c r="CJ277" s="16"/>
      <c r="CK277" s="17"/>
      <c r="CL277" s="16"/>
      <c r="CM277" s="17"/>
      <c r="CN277" s="19">
        <v>6.6262238856708668</v>
      </c>
      <c r="CO277" s="19"/>
      <c r="CP277" s="17"/>
      <c r="CQ277" s="14" t="s">
        <v>6001</v>
      </c>
      <c r="CR277" s="14" t="s">
        <v>6002</v>
      </c>
      <c r="CS277" s="14" t="s">
        <v>5945</v>
      </c>
    </row>
    <row r="278" spans="1:97" ht="26.15" customHeight="1">
      <c r="A278" s="2">
        <v>166</v>
      </c>
      <c r="B278" s="25" t="s">
        <v>1773</v>
      </c>
      <c r="C278" s="25" t="e">
        <f>VLOOKUP(B278, Sheet6!$A$1:$B$77, 2, FALSE)</f>
        <v>#N/A</v>
      </c>
      <c r="D278" s="25" t="s">
        <v>1774</v>
      </c>
      <c r="E278" s="25" t="s">
        <v>1776</v>
      </c>
      <c r="F278" s="25" t="s">
        <v>7135</v>
      </c>
      <c r="G278" s="25" t="s">
        <v>10955</v>
      </c>
      <c r="H278" s="25" t="s">
        <v>10959</v>
      </c>
      <c r="I278" s="25" t="s">
        <v>10968</v>
      </c>
      <c r="J278" s="26" t="s">
        <v>10842</v>
      </c>
      <c r="L278" s="13">
        <v>2013</v>
      </c>
      <c r="M278" s="14" t="s">
        <v>6819</v>
      </c>
      <c r="N278" s="14" t="s">
        <v>5720</v>
      </c>
      <c r="O278" s="14" t="s">
        <v>2057</v>
      </c>
      <c r="P278" s="15" t="s">
        <v>3117</v>
      </c>
      <c r="Q278" s="16">
        <v>530000</v>
      </c>
      <c r="R278" s="17">
        <v>42328</v>
      </c>
      <c r="S278" s="16" t="s">
        <v>9018</v>
      </c>
      <c r="T278" s="16">
        <v>530000</v>
      </c>
      <c r="U278" s="14" t="s">
        <v>34</v>
      </c>
      <c r="V278" s="13"/>
      <c r="W278" s="17"/>
      <c r="X278" s="14"/>
      <c r="Y278" s="17"/>
      <c r="Z278" s="17"/>
      <c r="AA278" s="14" t="s">
        <v>5509</v>
      </c>
      <c r="AB278" s="14" t="s">
        <v>5510</v>
      </c>
      <c r="AC278" s="14" t="s">
        <v>7886</v>
      </c>
      <c r="AD278" s="20" t="str">
        <f t="shared" si="19"/>
        <v>B2B E-Commerce &gt; Food &amp; Beverages &gt; Groceries &gt; Farm Products &gt; Marketplace
Online Grocery &gt; B2B Ecommerce &gt; Farm Produce &gt; Multi-Category &gt; Marketplace
Crop Tech &gt; ECommerce &gt; Farm Produce &gt; B2B &gt; Fruits and Vegetables &gt; Marketplace</v>
      </c>
      <c r="AE278" s="20" t="str">
        <f t="shared" si="18"/>
        <v>B2B E-Commerce</v>
      </c>
      <c r="AF278" s="20" t="str">
        <f t="shared" si="17"/>
        <v>Food &amp; Beverages</v>
      </c>
      <c r="AG278" s="20" t="str">
        <f t="shared" si="17"/>
        <v>Groceries</v>
      </c>
      <c r="AH278" s="20" t="str">
        <f t="shared" si="17"/>
        <v>Farm Products</v>
      </c>
      <c r="AI278" s="20" t="str">
        <f t="shared" si="17"/>
        <v>Marketplace
Online Grocery</v>
      </c>
      <c r="AJ278" s="20" t="str">
        <f t="shared" si="17"/>
        <v>B2B Ecommerce</v>
      </c>
      <c r="AK278" s="20" t="str">
        <f t="shared" si="17"/>
        <v>Farm Produce</v>
      </c>
      <c r="AL278" s="14"/>
      <c r="AM278" s="14"/>
      <c r="AO278" s="14"/>
      <c r="AP278" s="14" t="s">
        <v>2057</v>
      </c>
      <c r="AQ278" s="14"/>
      <c r="AR278" s="14"/>
      <c r="AS278" s="14"/>
      <c r="AT278" s="14"/>
      <c r="AU278" s="14"/>
      <c r="AV278" s="18"/>
      <c r="AW278" s="16"/>
      <c r="AX278" s="17"/>
      <c r="AY278" s="15" t="s">
        <v>3123</v>
      </c>
      <c r="AZ278" s="17"/>
      <c r="BA278" s="16"/>
      <c r="BB278" s="14"/>
      <c r="BC278" s="14"/>
      <c r="BD278" s="15" t="s">
        <v>3123</v>
      </c>
      <c r="BE278" s="14"/>
      <c r="BF278" s="17"/>
      <c r="BG278" s="16"/>
      <c r="BH278" s="14"/>
      <c r="BI278" s="15" t="s">
        <v>3123</v>
      </c>
      <c r="BJ278" s="14"/>
      <c r="BK278" s="17"/>
      <c r="BL278" s="16"/>
      <c r="BM278" s="16"/>
      <c r="BN278" s="16"/>
      <c r="BO278" s="16"/>
      <c r="BP278" s="15" t="s">
        <v>3123</v>
      </c>
      <c r="BQ278" s="17"/>
      <c r="BR278" s="14"/>
      <c r="BS278" s="14"/>
      <c r="BT278" s="16"/>
      <c r="BU278" s="16"/>
      <c r="BV278" s="13"/>
      <c r="BW278" s="18" t="s">
        <v>9020</v>
      </c>
      <c r="BX278" s="13">
        <v>200</v>
      </c>
      <c r="BY278" s="17">
        <v>44125</v>
      </c>
      <c r="BZ278" s="18"/>
      <c r="CA278" s="18"/>
      <c r="CB278" s="18"/>
      <c r="CC278" s="18"/>
      <c r="CD278" s="14" t="s">
        <v>9021</v>
      </c>
      <c r="CE278" s="17">
        <v>42643</v>
      </c>
      <c r="CF278" s="16"/>
      <c r="CG278" s="17"/>
      <c r="CH278" s="16"/>
      <c r="CI278" s="17"/>
      <c r="CJ278" s="16"/>
      <c r="CK278" s="17"/>
      <c r="CL278" s="16"/>
      <c r="CM278" s="17"/>
      <c r="CN278" s="19">
        <v>12.578026327642704</v>
      </c>
      <c r="CO278" s="19"/>
      <c r="CP278" s="17"/>
      <c r="CQ278" s="14" t="s">
        <v>6556</v>
      </c>
      <c r="CR278" s="14" t="s">
        <v>6557</v>
      </c>
      <c r="CS278" s="14" t="s">
        <v>5945</v>
      </c>
    </row>
    <row r="279" spans="1:97" ht="26.15" customHeight="1">
      <c r="A279" s="2">
        <v>442</v>
      </c>
      <c r="B279" s="25" t="s">
        <v>2382</v>
      </c>
      <c r="C279" s="25" t="e">
        <f>VLOOKUP(B279, Sheet6!$A$1:$B$77, 2, FALSE)</f>
        <v>#N/A</v>
      </c>
      <c r="D279" s="25" t="s">
        <v>2383</v>
      </c>
      <c r="E279" s="25" t="s">
        <v>2384</v>
      </c>
      <c r="F279" s="25" t="s">
        <v>9562</v>
      </c>
      <c r="G279" s="25" t="s">
        <v>10955</v>
      </c>
      <c r="H279" s="25" t="s">
        <v>10967</v>
      </c>
      <c r="I279" s="25" t="s">
        <v>11102</v>
      </c>
      <c r="J279" s="25" t="s">
        <v>10846</v>
      </c>
      <c r="L279" s="13">
        <v>2014</v>
      </c>
      <c r="M279" s="14" t="s">
        <v>5181</v>
      </c>
      <c r="N279" s="14" t="s">
        <v>5182</v>
      </c>
      <c r="O279" s="14" t="s">
        <v>2057</v>
      </c>
      <c r="P279" s="15" t="s">
        <v>3117</v>
      </c>
      <c r="Q279" s="16"/>
      <c r="R279" s="17">
        <v>42335</v>
      </c>
      <c r="S279" s="16"/>
      <c r="T279" s="16" t="s">
        <v>50</v>
      </c>
      <c r="U279" s="14" t="s">
        <v>5630</v>
      </c>
      <c r="V279" s="13"/>
      <c r="W279" s="17"/>
      <c r="X279" s="14"/>
      <c r="Y279" s="17"/>
      <c r="Z279" s="17"/>
      <c r="AA279" s="14" t="s">
        <v>6886</v>
      </c>
      <c r="AB279" s="14" t="s">
        <v>9022</v>
      </c>
      <c r="AC279" s="14" t="s">
        <v>9023</v>
      </c>
      <c r="AD279" s="20" t="str">
        <f t="shared" si="19"/>
        <v>Crowdfunding &gt; Rewards &gt; Agriculture</v>
      </c>
      <c r="AE279" s="20" t="str">
        <f t="shared" si="18"/>
        <v>Crowdfunding</v>
      </c>
      <c r="AF279" s="20" t="str">
        <f t="shared" si="17"/>
        <v>Rewards</v>
      </c>
      <c r="AG279" s="20" t="str">
        <f t="shared" si="17"/>
        <v>Agriculture</v>
      </c>
      <c r="AH279" s="20" t="str">
        <f t="shared" si="17"/>
        <v/>
      </c>
      <c r="AI279" s="20" t="str">
        <f t="shared" si="17"/>
        <v/>
      </c>
      <c r="AJ279" s="20" t="str">
        <f t="shared" si="17"/>
        <v/>
      </c>
      <c r="AK279" s="20" t="str">
        <f t="shared" si="17"/>
        <v/>
      </c>
      <c r="AL279" s="14"/>
      <c r="AM279" s="14"/>
      <c r="AO279" s="14"/>
      <c r="AP279" s="14" t="s">
        <v>2057</v>
      </c>
      <c r="AQ279" s="14"/>
      <c r="AR279" s="14"/>
      <c r="AS279" s="14"/>
      <c r="AT279" s="14"/>
      <c r="AU279" s="14"/>
      <c r="AV279" s="18"/>
      <c r="AW279" s="16"/>
      <c r="AX279" s="17"/>
      <c r="AY279" s="15" t="s">
        <v>3123</v>
      </c>
      <c r="AZ279" s="17"/>
      <c r="BA279" s="16"/>
      <c r="BB279" s="14"/>
      <c r="BC279" s="14"/>
      <c r="BD279" s="15" t="s">
        <v>3123</v>
      </c>
      <c r="BE279" s="14"/>
      <c r="BF279" s="17"/>
      <c r="BG279" s="16"/>
      <c r="BH279" s="14"/>
      <c r="BI279" s="15" t="s">
        <v>3123</v>
      </c>
      <c r="BJ279" s="14"/>
      <c r="BK279" s="17"/>
      <c r="BL279" s="16"/>
      <c r="BM279" s="16"/>
      <c r="BN279" s="16"/>
      <c r="BO279" s="16"/>
      <c r="BP279" s="15" t="s">
        <v>3117</v>
      </c>
      <c r="BQ279" s="17"/>
      <c r="BR279" s="14"/>
      <c r="BS279" s="14"/>
      <c r="BT279" s="16"/>
      <c r="BU279" s="16"/>
      <c r="BV279" s="13"/>
      <c r="BW279" s="18" t="s">
        <v>9025</v>
      </c>
      <c r="BX279" s="13">
        <v>200</v>
      </c>
      <c r="BY279" s="17">
        <v>44125</v>
      </c>
      <c r="BZ279" s="18"/>
      <c r="CA279" s="18"/>
      <c r="CB279" s="18"/>
      <c r="CC279" s="18"/>
      <c r="CD279" s="14" t="s">
        <v>9026</v>
      </c>
      <c r="CE279" s="17">
        <v>42620</v>
      </c>
      <c r="CF279" s="16"/>
      <c r="CG279" s="17"/>
      <c r="CH279" s="16"/>
      <c r="CI279" s="17"/>
      <c r="CJ279" s="16"/>
      <c r="CK279" s="17"/>
      <c r="CL279" s="16"/>
      <c r="CM279" s="17"/>
      <c r="CN279" s="19">
        <v>5.5516449722401795</v>
      </c>
      <c r="CO279" s="19"/>
      <c r="CP279" s="17"/>
      <c r="CQ279" s="14" t="s">
        <v>7606</v>
      </c>
      <c r="CR279" s="14" t="s">
        <v>7607</v>
      </c>
      <c r="CS279" s="14" t="s">
        <v>5945</v>
      </c>
    </row>
    <row r="280" spans="1:97" ht="26.15" customHeight="1">
      <c r="A280" s="2">
        <v>104</v>
      </c>
      <c r="B280" s="25" t="s">
        <v>958</v>
      </c>
      <c r="C280" s="25" t="e">
        <f>VLOOKUP(B280, Sheet6!$A$1:$B$77, 2, FALSE)</f>
        <v>#N/A</v>
      </c>
      <c r="D280" s="25" t="s">
        <v>959</v>
      </c>
      <c r="E280" s="25" t="s">
        <v>961</v>
      </c>
      <c r="F280" s="25" t="s">
        <v>6370</v>
      </c>
      <c r="G280" s="25" t="s">
        <v>10954</v>
      </c>
      <c r="H280" s="25" t="s">
        <v>10967</v>
      </c>
      <c r="I280" s="25" t="s">
        <v>10958</v>
      </c>
      <c r="J280" s="26" t="s">
        <v>10852</v>
      </c>
      <c r="L280" s="13">
        <v>2016</v>
      </c>
      <c r="M280" s="14" t="s">
        <v>9027</v>
      </c>
      <c r="N280" s="14" t="s">
        <v>9028</v>
      </c>
      <c r="O280" s="14" t="s">
        <v>5416</v>
      </c>
      <c r="P280" s="15" t="s">
        <v>3117</v>
      </c>
      <c r="Q280" s="16">
        <v>300000</v>
      </c>
      <c r="R280" s="17">
        <v>42605</v>
      </c>
      <c r="S280" s="16" t="s">
        <v>6526</v>
      </c>
      <c r="T280" s="16">
        <v>300000</v>
      </c>
      <c r="U280" s="14" t="s">
        <v>34</v>
      </c>
      <c r="V280" s="13">
        <v>4</v>
      </c>
      <c r="W280" s="17">
        <v>44026</v>
      </c>
      <c r="X280" s="14"/>
      <c r="Y280" s="17"/>
      <c r="Z280" s="17"/>
      <c r="AA280" s="14" t="s">
        <v>5509</v>
      </c>
      <c r="AB280" s="14" t="s">
        <v>5510</v>
      </c>
      <c r="AC280" s="14" t="s">
        <v>9029</v>
      </c>
      <c r="AD280" s="20" t="str">
        <f t="shared" si="19"/>
        <v>B2B E-Commerce &gt; Food &amp; Beverages &gt; Groceries &gt; Farm Products &gt; Marketplace
Online Grocery &gt; B2B Ecommerce &gt; Multi-Category &gt; Marketplace
Crop Tech &gt; ECommerce &gt; Farm Produce &gt; B2B &gt; Fruits and Vegetables &gt; Marketplace</v>
      </c>
      <c r="AE280" s="20" t="str">
        <f t="shared" si="18"/>
        <v>B2B E-Commerce</v>
      </c>
      <c r="AF280" s="20" t="str">
        <f t="shared" si="17"/>
        <v>Food &amp; Beverages</v>
      </c>
      <c r="AG280" s="20" t="str">
        <f t="shared" si="17"/>
        <v>Groceries</v>
      </c>
      <c r="AH280" s="20" t="str">
        <f t="shared" si="17"/>
        <v>Farm Products</v>
      </c>
      <c r="AI280" s="20" t="str">
        <f t="shared" si="17"/>
        <v>Marketplace
Online Grocery</v>
      </c>
      <c r="AJ280" s="20" t="str">
        <f t="shared" si="17"/>
        <v>B2B Ecommerce</v>
      </c>
      <c r="AK280" s="20" t="str">
        <f t="shared" si="17"/>
        <v>Multi-Category</v>
      </c>
      <c r="AL280" s="14" t="s">
        <v>9030</v>
      </c>
      <c r="AM280" s="14"/>
      <c r="AO280" s="14"/>
      <c r="AP280" s="14" t="s">
        <v>5416</v>
      </c>
      <c r="AQ280" s="14" t="s">
        <v>9032</v>
      </c>
      <c r="AR280" s="14"/>
      <c r="AS280" s="14" t="s">
        <v>9033</v>
      </c>
      <c r="AT280" s="14" t="s">
        <v>9034</v>
      </c>
      <c r="AU280" s="14" t="s">
        <v>9035</v>
      </c>
      <c r="AV280" s="18"/>
      <c r="AW280" s="16"/>
      <c r="AX280" s="17"/>
      <c r="AY280" s="15" t="s">
        <v>3123</v>
      </c>
      <c r="AZ280" s="17"/>
      <c r="BA280" s="16"/>
      <c r="BB280" s="14"/>
      <c r="BC280" s="14"/>
      <c r="BD280" s="15" t="s">
        <v>3123</v>
      </c>
      <c r="BE280" s="14"/>
      <c r="BF280" s="17"/>
      <c r="BG280" s="16"/>
      <c r="BH280" s="14"/>
      <c r="BI280" s="15" t="s">
        <v>3123</v>
      </c>
      <c r="BJ280" s="14"/>
      <c r="BK280" s="17"/>
      <c r="BL280" s="16"/>
      <c r="BM280" s="16"/>
      <c r="BN280" s="16"/>
      <c r="BO280" s="16"/>
      <c r="BP280" s="15" t="s">
        <v>3123</v>
      </c>
      <c r="BQ280" s="17"/>
      <c r="BR280" s="14"/>
      <c r="BS280" s="14"/>
      <c r="BT280" s="16"/>
      <c r="BU280" s="16"/>
      <c r="BV280" s="13"/>
      <c r="BW280" s="18" t="s">
        <v>9036</v>
      </c>
      <c r="BX280" s="13">
        <v>200</v>
      </c>
      <c r="BY280" s="17">
        <v>44125</v>
      </c>
      <c r="BZ280" s="18" t="s">
        <v>9037</v>
      </c>
      <c r="CA280" s="18" t="s">
        <v>9038</v>
      </c>
      <c r="CB280" s="18" t="s">
        <v>9039</v>
      </c>
      <c r="CC280" s="18" t="s">
        <v>9040</v>
      </c>
      <c r="CD280" s="14" t="s">
        <v>9041</v>
      </c>
      <c r="CE280" s="17">
        <v>42627</v>
      </c>
      <c r="CF280" s="16"/>
      <c r="CG280" s="17"/>
      <c r="CH280" s="16"/>
      <c r="CI280" s="17"/>
      <c r="CJ280" s="16"/>
      <c r="CK280" s="17"/>
      <c r="CL280" s="16"/>
      <c r="CM280" s="17"/>
      <c r="CN280" s="19">
        <v>35.502779542047641</v>
      </c>
      <c r="CO280" s="19"/>
      <c r="CP280" s="17"/>
      <c r="CQ280" s="14" t="s">
        <v>6556</v>
      </c>
      <c r="CR280" s="14" t="s">
        <v>5003</v>
      </c>
      <c r="CS280" s="14" t="s">
        <v>5004</v>
      </c>
    </row>
    <row r="281" spans="1:97" ht="26.15" customHeight="1">
      <c r="A281" s="2">
        <v>237</v>
      </c>
      <c r="B281" s="25" t="s">
        <v>512</v>
      </c>
      <c r="C281" s="25" t="e">
        <f>VLOOKUP(B281, Sheet6!$A$1:$B$77, 2, FALSE)</f>
        <v>#N/A</v>
      </c>
      <c r="D281" s="25" t="s">
        <v>513</v>
      </c>
      <c r="E281" s="25" t="s">
        <v>517</v>
      </c>
      <c r="F281" s="25" t="s">
        <v>7970</v>
      </c>
      <c r="G281" s="25" t="s">
        <v>10955</v>
      </c>
      <c r="H281" s="25" t="s">
        <v>10957</v>
      </c>
      <c r="I281" s="25" t="s">
        <v>10558</v>
      </c>
      <c r="J281" s="25" t="s">
        <v>10846</v>
      </c>
      <c r="L281" s="13">
        <v>2015</v>
      </c>
      <c r="M281" s="14" t="s">
        <v>7378</v>
      </c>
      <c r="N281" s="14" t="s">
        <v>7379</v>
      </c>
      <c r="O281" s="14" t="s">
        <v>3468</v>
      </c>
      <c r="P281" s="15" t="s">
        <v>3117</v>
      </c>
      <c r="Q281" s="16">
        <v>170000</v>
      </c>
      <c r="R281" s="17">
        <v>42887</v>
      </c>
      <c r="S281" s="16" t="s">
        <v>7149</v>
      </c>
      <c r="T281" s="16">
        <v>120000</v>
      </c>
      <c r="U281" s="14" t="s">
        <v>34</v>
      </c>
      <c r="V281" s="13">
        <v>4</v>
      </c>
      <c r="W281" s="17">
        <v>44057</v>
      </c>
      <c r="X281" s="14"/>
      <c r="Y281" s="17"/>
      <c r="Z281" s="17"/>
      <c r="AA281" s="14" t="s">
        <v>7380</v>
      </c>
      <c r="AB281" s="14" t="s">
        <v>7381</v>
      </c>
      <c r="AC281" s="14" t="s">
        <v>7382</v>
      </c>
      <c r="AD281" s="20" t="str">
        <f t="shared" si="19"/>
        <v>Wearable Technology &gt; Pet Wearables &gt; Cattle Monitoring
IoT Applications &gt; Industry Specific &gt; Agriculture &gt; Livestock
Pet Tech &gt; Pet Care Management &gt; Health Monitoring &gt; Cats and Dogs &gt; Wearable
Livestock Tech &gt; Tracking &gt; GPS Collars &gt; Cattle
Y Combinator Batches &gt; 2017 &gt; Winter</v>
      </c>
      <c r="AE281" s="20" t="str">
        <f t="shared" si="18"/>
        <v>Wearable Technology</v>
      </c>
      <c r="AF281" s="20" t="str">
        <f t="shared" si="17"/>
        <v>Pet Wearables</v>
      </c>
      <c r="AG281" s="20" t="str">
        <f t="shared" si="17"/>
        <v>Cattle Monitoring
IoT Applications</v>
      </c>
      <c r="AH281" s="20" t="str">
        <f t="shared" si="17"/>
        <v>Industry Specific</v>
      </c>
      <c r="AI281" s="20" t="str">
        <f t="shared" si="17"/>
        <v>Agriculture</v>
      </c>
      <c r="AJ281" s="20" t="str">
        <f t="shared" si="17"/>
        <v>Livestock
Pet Tech</v>
      </c>
      <c r="AK281" s="20" t="str">
        <f t="shared" si="17"/>
        <v>Pet Care Management</v>
      </c>
      <c r="AL281" s="14" t="s">
        <v>7383</v>
      </c>
      <c r="AM281" s="14"/>
      <c r="AO281" s="14"/>
      <c r="AP281" s="14" t="s">
        <v>3468</v>
      </c>
      <c r="AQ281" s="14" t="s">
        <v>7385</v>
      </c>
      <c r="AR281" s="14"/>
      <c r="AS281" s="14" t="s">
        <v>7386</v>
      </c>
      <c r="AT281" s="14" t="s">
        <v>7387</v>
      </c>
      <c r="AU281" s="14" t="s">
        <v>7388</v>
      </c>
      <c r="AV281" s="18"/>
      <c r="AW281" s="16"/>
      <c r="AX281" s="17"/>
      <c r="AY281" s="15" t="s">
        <v>3123</v>
      </c>
      <c r="AZ281" s="17"/>
      <c r="BA281" s="16"/>
      <c r="BB281" s="14"/>
      <c r="BC281" s="14"/>
      <c r="BD281" s="15" t="s">
        <v>3123</v>
      </c>
      <c r="BE281" s="14"/>
      <c r="BF281" s="17"/>
      <c r="BG281" s="16"/>
      <c r="BH281" s="14"/>
      <c r="BI281" s="15" t="s">
        <v>3123</v>
      </c>
      <c r="BJ281" s="14"/>
      <c r="BK281" s="17"/>
      <c r="BL281" s="16"/>
      <c r="BM281" s="16"/>
      <c r="BN281" s="16"/>
      <c r="BO281" s="16"/>
      <c r="BP281" s="15" t="s">
        <v>3123</v>
      </c>
      <c r="BQ281" s="17"/>
      <c r="BR281" s="14"/>
      <c r="BS281" s="14"/>
      <c r="BT281" s="16"/>
      <c r="BU281" s="16"/>
      <c r="BV281" s="13"/>
      <c r="BW281" s="18" t="s">
        <v>7389</v>
      </c>
      <c r="BX281" s="13">
        <v>200</v>
      </c>
      <c r="BY281" s="17">
        <v>44125</v>
      </c>
      <c r="BZ281" s="18" t="s">
        <v>7390</v>
      </c>
      <c r="CA281" s="18" t="s">
        <v>7391</v>
      </c>
      <c r="CB281" s="18" t="s">
        <v>7392</v>
      </c>
      <c r="CC281" s="18"/>
      <c r="CD281" s="14" t="s">
        <v>7393</v>
      </c>
      <c r="CE281" s="17">
        <v>42888</v>
      </c>
      <c r="CF281" s="16"/>
      <c r="CG281" s="17"/>
      <c r="CH281" s="16"/>
      <c r="CI281" s="17"/>
      <c r="CJ281" s="16"/>
      <c r="CK281" s="17"/>
      <c r="CL281" s="16"/>
      <c r="CM281" s="17"/>
      <c r="CN281" s="19">
        <v>42.539428447828634</v>
      </c>
      <c r="CO281" s="19"/>
      <c r="CP281" s="17"/>
      <c r="CQ281" s="14" t="s">
        <v>5036</v>
      </c>
      <c r="CR281" s="14" t="s">
        <v>5962</v>
      </c>
      <c r="CS281" s="14" t="s">
        <v>5945</v>
      </c>
    </row>
    <row r="282" spans="1:97" ht="26.15" customHeight="1">
      <c r="A282" s="2">
        <v>103</v>
      </c>
      <c r="B282" s="25" t="s">
        <v>1595</v>
      </c>
      <c r="C282" s="25" t="e">
        <f>VLOOKUP(B282, Sheet6!$A$1:$B$77, 2, FALSE)</f>
        <v>#N/A</v>
      </c>
      <c r="D282" s="25" t="s">
        <v>1596</v>
      </c>
      <c r="E282" s="25" t="s">
        <v>1599</v>
      </c>
      <c r="F282" s="25" t="s">
        <v>6354</v>
      </c>
      <c r="G282" s="25" t="s">
        <v>10952</v>
      </c>
      <c r="H282" s="25" t="s">
        <v>10959</v>
      </c>
      <c r="I282" s="25" t="s">
        <v>10958</v>
      </c>
      <c r="J282" s="25" t="s">
        <v>10784</v>
      </c>
      <c r="L282" s="13">
        <v>2016</v>
      </c>
      <c r="M282" s="14" t="s">
        <v>5522</v>
      </c>
      <c r="N282" s="14" t="s">
        <v>5523</v>
      </c>
      <c r="O282" s="14" t="s">
        <v>5524</v>
      </c>
      <c r="P282" s="15" t="s">
        <v>3117</v>
      </c>
      <c r="Q282" s="16">
        <v>50000</v>
      </c>
      <c r="R282" s="17">
        <v>42620</v>
      </c>
      <c r="S282" s="16" t="s">
        <v>5425</v>
      </c>
      <c r="T282" s="16">
        <v>50000</v>
      </c>
      <c r="U282" s="14" t="s">
        <v>34</v>
      </c>
      <c r="V282" s="13"/>
      <c r="W282" s="17"/>
      <c r="X282" s="14"/>
      <c r="Y282" s="17"/>
      <c r="Z282" s="17"/>
      <c r="AA282" s="14" t="s">
        <v>1</v>
      </c>
      <c r="AB282" s="14" t="s">
        <v>5007</v>
      </c>
      <c r="AC282" s="14" t="s">
        <v>5192</v>
      </c>
      <c r="AD282" s="20" t="str">
        <f t="shared" si="19"/>
        <v>Crop Tech &gt; Farm Management Software &gt; Diversified</v>
      </c>
      <c r="AE282" s="20" t="str">
        <f t="shared" si="18"/>
        <v>Crop Tech</v>
      </c>
      <c r="AF282" s="20" t="str">
        <f t="shared" si="17"/>
        <v>Farm Management Software</v>
      </c>
      <c r="AG282" s="20" t="str">
        <f t="shared" si="17"/>
        <v>Diversified</v>
      </c>
      <c r="AH282" s="20" t="str">
        <f t="shared" si="17"/>
        <v/>
      </c>
      <c r="AI282" s="20" t="str">
        <f t="shared" si="17"/>
        <v/>
      </c>
      <c r="AJ282" s="20" t="str">
        <f t="shared" si="17"/>
        <v/>
      </c>
      <c r="AK282" s="20" t="str">
        <f t="shared" si="17"/>
        <v/>
      </c>
      <c r="AL282" s="14" t="s">
        <v>9042</v>
      </c>
      <c r="AM282" s="14"/>
      <c r="AO282" s="14"/>
      <c r="AP282" s="14" t="s">
        <v>5524</v>
      </c>
      <c r="AQ282" s="14" t="s">
        <v>9044</v>
      </c>
      <c r="AR282" s="14"/>
      <c r="AS282" s="14" t="s">
        <v>9045</v>
      </c>
      <c r="AT282" s="14" t="s">
        <v>9046</v>
      </c>
      <c r="AU282" s="14" t="s">
        <v>9047</v>
      </c>
      <c r="AV282" s="18"/>
      <c r="AW282" s="16"/>
      <c r="AX282" s="17"/>
      <c r="AY282" s="15" t="s">
        <v>3123</v>
      </c>
      <c r="AZ282" s="17"/>
      <c r="BA282" s="16"/>
      <c r="BB282" s="14"/>
      <c r="BC282" s="14"/>
      <c r="BD282" s="15" t="s">
        <v>3123</v>
      </c>
      <c r="BE282" s="14"/>
      <c r="BF282" s="17"/>
      <c r="BG282" s="16"/>
      <c r="BH282" s="14"/>
      <c r="BI282" s="15" t="s">
        <v>3123</v>
      </c>
      <c r="BJ282" s="14"/>
      <c r="BK282" s="17"/>
      <c r="BL282" s="16"/>
      <c r="BM282" s="16"/>
      <c r="BN282" s="16"/>
      <c r="BO282" s="16"/>
      <c r="BP282" s="15" t="s">
        <v>3123</v>
      </c>
      <c r="BQ282" s="17"/>
      <c r="BR282" s="14"/>
      <c r="BS282" s="14"/>
      <c r="BT282" s="16"/>
      <c r="BU282" s="16"/>
      <c r="BV282" s="13"/>
      <c r="BW282" s="18" t="s">
        <v>9048</v>
      </c>
      <c r="BX282" s="13">
        <v>200</v>
      </c>
      <c r="BY282" s="17">
        <v>44125</v>
      </c>
      <c r="BZ282" s="18"/>
      <c r="CA282" s="18" t="s">
        <v>9049</v>
      </c>
      <c r="CB282" s="18" t="s">
        <v>9050</v>
      </c>
      <c r="CC282" s="18"/>
      <c r="CD282" s="14" t="s">
        <v>9051</v>
      </c>
      <c r="CE282" s="17">
        <v>42930</v>
      </c>
      <c r="CF282" s="16"/>
      <c r="CG282" s="17"/>
      <c r="CH282" s="16"/>
      <c r="CI282" s="17"/>
      <c r="CJ282" s="16"/>
      <c r="CK282" s="17"/>
      <c r="CL282" s="16"/>
      <c r="CM282" s="17"/>
      <c r="CN282" s="19">
        <v>24.496738229963075</v>
      </c>
      <c r="CO282" s="19"/>
      <c r="CP282" s="17"/>
      <c r="CQ282" s="14" t="s">
        <v>5345</v>
      </c>
      <c r="CR282" s="14" t="s">
        <v>7272</v>
      </c>
      <c r="CS282" s="14" t="s">
        <v>5945</v>
      </c>
    </row>
    <row r="283" spans="1:97" ht="26.15" customHeight="1">
      <c r="A283" s="2">
        <v>178</v>
      </c>
      <c r="B283" s="25" t="s">
        <v>1983</v>
      </c>
      <c r="C283" s="25" t="e">
        <f>VLOOKUP(B283, Sheet6!$A$1:$B$77, 2, FALSE)</f>
        <v>#N/A</v>
      </c>
      <c r="D283" s="25" t="s">
        <v>1984</v>
      </c>
      <c r="E283" s="25" t="s">
        <v>1986</v>
      </c>
      <c r="F283" s="25" t="s">
        <v>7275</v>
      </c>
      <c r="G283" s="25" t="s">
        <v>10955</v>
      </c>
      <c r="H283" s="25" t="s">
        <v>10957</v>
      </c>
      <c r="I283" s="25" t="s">
        <v>10958</v>
      </c>
      <c r="J283" s="26" t="s">
        <v>10819</v>
      </c>
      <c r="L283" s="13">
        <v>2013</v>
      </c>
      <c r="M283" s="14" t="s">
        <v>5038</v>
      </c>
      <c r="N283" s="14" t="s">
        <v>5039</v>
      </c>
      <c r="O283" s="14" t="s">
        <v>3994</v>
      </c>
      <c r="P283" s="15" t="s">
        <v>3117</v>
      </c>
      <c r="Q283" s="16">
        <v>5345286</v>
      </c>
      <c r="R283" s="17">
        <v>44019</v>
      </c>
      <c r="S283" s="16" t="s">
        <v>5022</v>
      </c>
      <c r="T283" s="16">
        <v>2000000</v>
      </c>
      <c r="U283" s="14" t="s">
        <v>34</v>
      </c>
      <c r="V283" s="13">
        <v>4</v>
      </c>
      <c r="W283" s="17">
        <v>44022</v>
      </c>
      <c r="X283" s="14" t="s">
        <v>5052</v>
      </c>
      <c r="Y283" s="17">
        <v>43537</v>
      </c>
      <c r="Z283" s="17">
        <v>43525</v>
      </c>
      <c r="AA283" s="14" t="s">
        <v>1</v>
      </c>
      <c r="AB283" s="14" t="s">
        <v>5007</v>
      </c>
      <c r="AC283" s="14" t="s">
        <v>5192</v>
      </c>
      <c r="AD283" s="20" t="str">
        <f t="shared" si="19"/>
        <v>Crop Tech &gt; Farm Management Software &gt; Diversified</v>
      </c>
      <c r="AE283" s="20" t="str">
        <f t="shared" si="18"/>
        <v>Crop Tech</v>
      </c>
      <c r="AF283" s="20" t="str">
        <f t="shared" si="17"/>
        <v>Farm Management Software</v>
      </c>
      <c r="AG283" s="20" t="str">
        <f t="shared" si="17"/>
        <v>Diversified</v>
      </c>
      <c r="AH283" s="20" t="str">
        <f t="shared" si="17"/>
        <v/>
      </c>
      <c r="AI283" s="20" t="str">
        <f t="shared" si="17"/>
        <v/>
      </c>
      <c r="AJ283" s="20" t="str">
        <f t="shared" si="17"/>
        <v/>
      </c>
      <c r="AK283" s="20" t="str">
        <f t="shared" si="17"/>
        <v/>
      </c>
      <c r="AL283" s="14" t="s">
        <v>7394</v>
      </c>
      <c r="AM283" s="14" t="s">
        <v>7395</v>
      </c>
      <c r="AO283" s="14"/>
      <c r="AP283" s="14" t="s">
        <v>3994</v>
      </c>
      <c r="AQ283" s="14" t="s">
        <v>7397</v>
      </c>
      <c r="AR283" s="14" t="s">
        <v>7398</v>
      </c>
      <c r="AS283" s="14" t="s">
        <v>7399</v>
      </c>
      <c r="AT283" s="14" t="s">
        <v>7400</v>
      </c>
      <c r="AU283" s="14" t="s">
        <v>7401</v>
      </c>
      <c r="AV283" s="18"/>
      <c r="AW283" s="16">
        <v>244200</v>
      </c>
      <c r="AX283" s="17">
        <v>43465</v>
      </c>
      <c r="AY283" s="15" t="s">
        <v>3117</v>
      </c>
      <c r="AZ283" s="17">
        <v>41597</v>
      </c>
      <c r="BA283" s="16">
        <v>1599</v>
      </c>
      <c r="BB283" s="14" t="s">
        <v>7402</v>
      </c>
      <c r="BC283" s="14"/>
      <c r="BD283" s="15" t="s">
        <v>3123</v>
      </c>
      <c r="BE283" s="14"/>
      <c r="BF283" s="17"/>
      <c r="BG283" s="16"/>
      <c r="BH283" s="14"/>
      <c r="BI283" s="15" t="s">
        <v>3123</v>
      </c>
      <c r="BJ283" s="14"/>
      <c r="BK283" s="17"/>
      <c r="BL283" s="16"/>
      <c r="BM283" s="16"/>
      <c r="BN283" s="16"/>
      <c r="BO283" s="16"/>
      <c r="BP283" s="15" t="s">
        <v>3123</v>
      </c>
      <c r="BQ283" s="17"/>
      <c r="BR283" s="14"/>
      <c r="BS283" s="14"/>
      <c r="BT283" s="16"/>
      <c r="BU283" s="16"/>
      <c r="BV283" s="13"/>
      <c r="BW283" s="18" t="s">
        <v>7403</v>
      </c>
      <c r="BX283" s="13">
        <v>200</v>
      </c>
      <c r="BY283" s="17">
        <v>44125</v>
      </c>
      <c r="BZ283" s="18" t="s">
        <v>7404</v>
      </c>
      <c r="CA283" s="18" t="s">
        <v>7405</v>
      </c>
      <c r="CB283" s="18" t="s">
        <v>7406</v>
      </c>
      <c r="CC283" s="18" t="s">
        <v>7407</v>
      </c>
      <c r="CD283" s="14" t="s">
        <v>7408</v>
      </c>
      <c r="CE283" s="17">
        <v>43019</v>
      </c>
      <c r="CF283" s="16">
        <v>-739100</v>
      </c>
      <c r="CG283" s="17">
        <v>43465</v>
      </c>
      <c r="CH283" s="16">
        <v>-662800</v>
      </c>
      <c r="CI283" s="17">
        <v>43465</v>
      </c>
      <c r="CJ283" s="16">
        <v>11999320.973009994</v>
      </c>
      <c r="CK283" s="17">
        <v>44019</v>
      </c>
      <c r="CL283" s="16">
        <v>115</v>
      </c>
      <c r="CM283" s="17">
        <v>43921</v>
      </c>
      <c r="CN283" s="19">
        <v>47.561983158256794</v>
      </c>
      <c r="CO283" s="19"/>
      <c r="CP283" s="17"/>
      <c r="CQ283" s="14" t="s">
        <v>7409</v>
      </c>
      <c r="CR283" s="14" t="s">
        <v>7272</v>
      </c>
      <c r="CS283" s="14" t="s">
        <v>7194</v>
      </c>
    </row>
    <row r="284" spans="1:97" ht="26.15" customHeight="1">
      <c r="A284" s="2">
        <v>97</v>
      </c>
      <c r="B284" s="25" t="s">
        <v>939</v>
      </c>
      <c r="C284" s="25" t="e">
        <f>VLOOKUP(B284, Sheet6!$A$1:$B$77, 2, FALSE)</f>
        <v>#N/A</v>
      </c>
      <c r="D284" s="25" t="s">
        <v>940</v>
      </c>
      <c r="E284" s="25" t="s">
        <v>942</v>
      </c>
      <c r="F284" s="25" t="s">
        <v>6283</v>
      </c>
      <c r="G284" s="25" t="s">
        <v>10952</v>
      </c>
      <c r="H284" s="25" t="s">
        <v>10959</v>
      </c>
      <c r="I284" s="25" t="s">
        <v>10958</v>
      </c>
      <c r="J284" s="26" t="s">
        <v>10784</v>
      </c>
      <c r="L284" s="13">
        <v>2015</v>
      </c>
      <c r="M284" s="14" t="s">
        <v>4993</v>
      </c>
      <c r="N284" s="14" t="s">
        <v>4994</v>
      </c>
      <c r="O284" s="14" t="s">
        <v>2057</v>
      </c>
      <c r="P284" s="15" t="s">
        <v>3117</v>
      </c>
      <c r="Q284" s="16">
        <v>781000</v>
      </c>
      <c r="R284" s="17">
        <v>42431</v>
      </c>
      <c r="S284" s="16"/>
      <c r="T284" s="16" t="s">
        <v>50</v>
      </c>
      <c r="U284" s="14" t="s">
        <v>5630</v>
      </c>
      <c r="V284" s="13"/>
      <c r="W284" s="17"/>
      <c r="X284" s="14"/>
      <c r="Y284" s="17"/>
      <c r="Z284" s="17"/>
      <c r="AA284" s="14" t="s">
        <v>5509</v>
      </c>
      <c r="AB284" s="14" t="s">
        <v>5510</v>
      </c>
      <c r="AC284" s="14" t="s">
        <v>9052</v>
      </c>
      <c r="AD284" s="20" t="str">
        <f t="shared" si="19"/>
        <v>B2B E-Commerce &gt; Food &amp; Beverages &gt; Groceries &gt; Farm Products &gt; E-Distributor
Online Grocery &gt; B2B Ecommerce &gt; Multi-Category &gt; E-Distributor
Crop Tech &gt; ECommerce &gt; Farm Produce &gt; B2B &gt; Fruits and Vegetables &gt; E Distributor</v>
      </c>
      <c r="AE284" s="20" t="str">
        <f t="shared" si="18"/>
        <v>B2B E-Commerce</v>
      </c>
      <c r="AF284" s="20" t="str">
        <f t="shared" si="17"/>
        <v>Food &amp; Beverages</v>
      </c>
      <c r="AG284" s="20" t="str">
        <f t="shared" si="17"/>
        <v>Groceries</v>
      </c>
      <c r="AH284" s="20" t="str">
        <f t="shared" si="17"/>
        <v>Farm Products</v>
      </c>
      <c r="AI284" s="20" t="str">
        <f t="shared" si="17"/>
        <v>E-Distributor
Online Grocery</v>
      </c>
      <c r="AJ284" s="20" t="str">
        <f t="shared" si="17"/>
        <v>B2B Ecommerce</v>
      </c>
      <c r="AK284" s="20" t="str">
        <f t="shared" si="17"/>
        <v>Multi-Category</v>
      </c>
      <c r="AL284" s="14" t="s">
        <v>9053</v>
      </c>
      <c r="AM284" s="14"/>
      <c r="AO284" s="14"/>
      <c r="AP284" s="14" t="s">
        <v>2057</v>
      </c>
      <c r="AQ284" s="14"/>
      <c r="AR284" s="14"/>
      <c r="AS284" s="14" t="s">
        <v>9055</v>
      </c>
      <c r="AT284" s="14"/>
      <c r="AU284" s="14"/>
      <c r="AV284" s="18"/>
      <c r="AW284" s="16"/>
      <c r="AX284" s="17"/>
      <c r="AY284" s="15" t="s">
        <v>3123</v>
      </c>
      <c r="AZ284" s="17"/>
      <c r="BA284" s="16"/>
      <c r="BB284" s="14"/>
      <c r="BC284" s="14"/>
      <c r="BD284" s="15" t="s">
        <v>3123</v>
      </c>
      <c r="BE284" s="14"/>
      <c r="BF284" s="17"/>
      <c r="BG284" s="16"/>
      <c r="BH284" s="14"/>
      <c r="BI284" s="15" t="s">
        <v>3123</v>
      </c>
      <c r="BJ284" s="14"/>
      <c r="BK284" s="17"/>
      <c r="BL284" s="16"/>
      <c r="BM284" s="16"/>
      <c r="BN284" s="16"/>
      <c r="BO284" s="16"/>
      <c r="BP284" s="15" t="s">
        <v>3117</v>
      </c>
      <c r="BQ284" s="17"/>
      <c r="BR284" s="14"/>
      <c r="BS284" s="14"/>
      <c r="BT284" s="16"/>
      <c r="BU284" s="16"/>
      <c r="BV284" s="13"/>
      <c r="BW284" s="18" t="s">
        <v>9056</v>
      </c>
      <c r="BX284" s="13">
        <v>-1</v>
      </c>
      <c r="BY284" s="17">
        <v>44125</v>
      </c>
      <c r="BZ284" s="18" t="s">
        <v>9057</v>
      </c>
      <c r="CA284" s="18"/>
      <c r="CB284" s="18"/>
      <c r="CC284" s="18"/>
      <c r="CD284" s="14" t="s">
        <v>9058</v>
      </c>
      <c r="CE284" s="17">
        <v>42643</v>
      </c>
      <c r="CF284" s="16"/>
      <c r="CG284" s="17"/>
      <c r="CH284" s="16"/>
      <c r="CI284" s="17"/>
      <c r="CJ284" s="16"/>
      <c r="CK284" s="17"/>
      <c r="CL284" s="16"/>
      <c r="CM284" s="17"/>
      <c r="CN284" s="19">
        <v>21.778961375921735</v>
      </c>
      <c r="CO284" s="19"/>
      <c r="CP284" s="17"/>
      <c r="CQ284" s="14" t="s">
        <v>6556</v>
      </c>
      <c r="CR284" s="14" t="s">
        <v>9059</v>
      </c>
      <c r="CS284" s="14" t="s">
        <v>5311</v>
      </c>
    </row>
    <row r="285" spans="1:97" ht="26.15" customHeight="1">
      <c r="A285" s="2">
        <v>83</v>
      </c>
      <c r="B285" s="25" t="s">
        <v>308</v>
      </c>
      <c r="C285" s="25" t="e">
        <f>VLOOKUP(B285, Sheet6!$A$1:$B$77, 2, FALSE)</f>
        <v>#N/A</v>
      </c>
      <c r="D285" s="25" t="s">
        <v>309</v>
      </c>
      <c r="E285" s="25" t="s">
        <v>314</v>
      </c>
      <c r="F285" s="25" t="s">
        <v>6094</v>
      </c>
      <c r="G285" s="25" t="s">
        <v>10955</v>
      </c>
      <c r="H285" s="25" t="s">
        <v>10959</v>
      </c>
      <c r="I285" s="25" t="s">
        <v>10958</v>
      </c>
      <c r="J285" s="26" t="s">
        <v>10842</v>
      </c>
      <c r="L285" s="13">
        <v>2015</v>
      </c>
      <c r="M285" s="14" t="s">
        <v>5995</v>
      </c>
      <c r="N285" s="14" t="s">
        <v>5674</v>
      </c>
      <c r="O285" s="14" t="s">
        <v>2057</v>
      </c>
      <c r="P285" s="15" t="s">
        <v>3117</v>
      </c>
      <c r="Q285" s="16">
        <v>2990000</v>
      </c>
      <c r="R285" s="17">
        <v>42459</v>
      </c>
      <c r="S285" s="16" t="s">
        <v>5069</v>
      </c>
      <c r="T285" s="16">
        <v>2994729</v>
      </c>
      <c r="U285" s="14" t="s">
        <v>34</v>
      </c>
      <c r="V285" s="13"/>
      <c r="W285" s="17"/>
      <c r="X285" s="14"/>
      <c r="Y285" s="17"/>
      <c r="Z285" s="17"/>
      <c r="AA285" s="14" t="s">
        <v>5041</v>
      </c>
      <c r="AB285" s="14" t="s">
        <v>5042</v>
      </c>
      <c r="AC285" s="14" t="s">
        <v>5486</v>
      </c>
      <c r="AD285" s="20" t="str">
        <f t="shared" si="19"/>
        <v>IoT Applications &gt; Industry Specific &gt; Agriculture &gt; Farms
Crop Tech &gt; Farm Analytics &gt; Multispectral Sensing</v>
      </c>
      <c r="AE285" s="20" t="str">
        <f t="shared" si="18"/>
        <v>IoT Applications</v>
      </c>
      <c r="AF285" s="20" t="str">
        <f t="shared" si="17"/>
        <v>Industry Specific</v>
      </c>
      <c r="AG285" s="20" t="str">
        <f t="shared" si="17"/>
        <v>Agriculture</v>
      </c>
      <c r="AH285" s="20" t="str">
        <f t="shared" si="17"/>
        <v>Farms
Crop Tech</v>
      </c>
      <c r="AI285" s="20" t="str">
        <f t="shared" si="17"/>
        <v>Farm Analytics</v>
      </c>
      <c r="AJ285" s="20" t="str">
        <f t="shared" ref="AF285:AK325" si="20">TRIM(MID(SUBSTITUTE($AD285,"&gt;",REPT(" ",LEN($AD285))), (AJ$6-1)*LEN($AD285)+1, LEN($AD285)))</f>
        <v>Multispectral Sensing</v>
      </c>
      <c r="AK285" s="20" t="str">
        <f t="shared" si="20"/>
        <v/>
      </c>
      <c r="AL285" s="14"/>
      <c r="AM285" s="14"/>
      <c r="AO285" s="14"/>
      <c r="AP285" s="14" t="s">
        <v>2057</v>
      </c>
      <c r="AQ285" s="14"/>
      <c r="AR285" s="14"/>
      <c r="AS285" s="14"/>
      <c r="AT285" s="14"/>
      <c r="AU285" s="14"/>
      <c r="AV285" s="18"/>
      <c r="AW285" s="16"/>
      <c r="AX285" s="17"/>
      <c r="AY285" s="15" t="s">
        <v>3123</v>
      </c>
      <c r="AZ285" s="17"/>
      <c r="BA285" s="16"/>
      <c r="BB285" s="14"/>
      <c r="BC285" s="14"/>
      <c r="BD285" s="15" t="s">
        <v>3123</v>
      </c>
      <c r="BE285" s="14"/>
      <c r="BF285" s="17"/>
      <c r="BG285" s="16"/>
      <c r="BH285" s="14"/>
      <c r="BI285" s="15" t="s">
        <v>3123</v>
      </c>
      <c r="BJ285" s="14"/>
      <c r="BK285" s="17"/>
      <c r="BL285" s="16"/>
      <c r="BM285" s="16"/>
      <c r="BN285" s="16"/>
      <c r="BO285" s="16"/>
      <c r="BP285" s="15" t="s">
        <v>3123</v>
      </c>
      <c r="BQ285" s="17"/>
      <c r="BR285" s="14"/>
      <c r="BS285" s="14"/>
      <c r="BT285" s="16"/>
      <c r="BU285" s="16"/>
      <c r="BV285" s="13"/>
      <c r="BW285" s="18" t="s">
        <v>9061</v>
      </c>
      <c r="BX285" s="13">
        <v>200</v>
      </c>
      <c r="BY285" s="17">
        <v>44125</v>
      </c>
      <c r="BZ285" s="18"/>
      <c r="CA285" s="18"/>
      <c r="CB285" s="18"/>
      <c r="CC285" s="18"/>
      <c r="CD285" s="14" t="s">
        <v>9062</v>
      </c>
      <c r="CE285" s="17">
        <v>42929</v>
      </c>
      <c r="CF285" s="16"/>
      <c r="CG285" s="17"/>
      <c r="CH285" s="16"/>
      <c r="CI285" s="17"/>
      <c r="CJ285" s="16"/>
      <c r="CK285" s="17"/>
      <c r="CL285" s="16"/>
      <c r="CM285" s="17"/>
      <c r="CN285" s="19">
        <v>17.730877940052888</v>
      </c>
      <c r="CO285" s="19"/>
      <c r="CP285" s="17"/>
      <c r="CQ285" s="14" t="s">
        <v>5036</v>
      </c>
      <c r="CR285" s="14" t="s">
        <v>5962</v>
      </c>
      <c r="CS285" s="14" t="s">
        <v>5945</v>
      </c>
    </row>
    <row r="286" spans="1:97" ht="26.15" customHeight="1">
      <c r="A286" s="2">
        <v>94</v>
      </c>
      <c r="B286" s="25" t="s">
        <v>843</v>
      </c>
      <c r="C286" s="25" t="e">
        <f>VLOOKUP(B286, Sheet6!$A$1:$B$77, 2, FALSE)</f>
        <v>#N/A</v>
      </c>
      <c r="D286" s="25" t="s">
        <v>844</v>
      </c>
      <c r="E286" s="25" t="s">
        <v>847</v>
      </c>
      <c r="F286" s="25" t="s">
        <v>6246</v>
      </c>
      <c r="G286" s="25" t="s">
        <v>10955</v>
      </c>
      <c r="H286" s="25" t="s">
        <v>10959</v>
      </c>
      <c r="I286" s="25" t="s">
        <v>10958</v>
      </c>
      <c r="J286" s="26" t="s">
        <v>10846</v>
      </c>
      <c r="L286" s="13">
        <v>2015</v>
      </c>
      <c r="M286" s="14" t="s">
        <v>5995</v>
      </c>
      <c r="N286" s="14" t="s">
        <v>5674</v>
      </c>
      <c r="O286" s="14" t="s">
        <v>2057</v>
      </c>
      <c r="P286" s="15" t="s">
        <v>3117</v>
      </c>
      <c r="Q286" s="16">
        <v>3100000</v>
      </c>
      <c r="R286" s="17">
        <v>42844</v>
      </c>
      <c r="S286" s="16" t="s">
        <v>5134</v>
      </c>
      <c r="T286" s="16">
        <v>1453980</v>
      </c>
      <c r="U286" s="14" t="s">
        <v>34</v>
      </c>
      <c r="V286" s="13"/>
      <c r="W286" s="17"/>
      <c r="X286" s="14"/>
      <c r="Y286" s="17"/>
      <c r="Z286" s="17"/>
      <c r="AA286" s="14" t="s">
        <v>5509</v>
      </c>
      <c r="AB286" s="14" t="s">
        <v>5510</v>
      </c>
      <c r="AC286" s="14" t="s">
        <v>7819</v>
      </c>
      <c r="AD286" s="20" t="str">
        <f t="shared" si="19"/>
        <v>B2B E-Commerce &gt; Food &amp; Beverages &gt; Groceries &gt; Farm Products &gt; E-Distributor
Online Grocery &gt; B2B Ecommerce &gt; Farm Produce &gt; Multi-Category &gt; E-Distributor
Crop Tech &gt; ECommerce &gt; Farm Produce &gt; B2B &gt; Fruits and Vegetables &gt; E Distributor</v>
      </c>
      <c r="AE286" s="20" t="str">
        <f t="shared" si="18"/>
        <v>B2B E-Commerce</v>
      </c>
      <c r="AF286" s="20" t="str">
        <f t="shared" si="20"/>
        <v>Food &amp; Beverages</v>
      </c>
      <c r="AG286" s="20" t="str">
        <f t="shared" si="20"/>
        <v>Groceries</v>
      </c>
      <c r="AH286" s="20" t="str">
        <f t="shared" si="20"/>
        <v>Farm Products</v>
      </c>
      <c r="AI286" s="20" t="str">
        <f t="shared" si="20"/>
        <v>E-Distributor
Online Grocery</v>
      </c>
      <c r="AJ286" s="20" t="str">
        <f t="shared" si="20"/>
        <v>B2B Ecommerce</v>
      </c>
      <c r="AK286" s="20" t="str">
        <f t="shared" si="20"/>
        <v>Farm Produce</v>
      </c>
      <c r="AL286" s="14" t="s">
        <v>4360</v>
      </c>
      <c r="AM286" s="14"/>
      <c r="AO286" s="14"/>
      <c r="AP286" s="14" t="s">
        <v>2057</v>
      </c>
      <c r="AQ286" s="14"/>
      <c r="AR286" s="14"/>
      <c r="AS286" s="14"/>
      <c r="AT286" s="14"/>
      <c r="AU286" s="14"/>
      <c r="AV286" s="18"/>
      <c r="AW286" s="16"/>
      <c r="AX286" s="17"/>
      <c r="AY286" s="15" t="s">
        <v>3123</v>
      </c>
      <c r="AZ286" s="17"/>
      <c r="BA286" s="16"/>
      <c r="BB286" s="14"/>
      <c r="BC286" s="14"/>
      <c r="BD286" s="15" t="s">
        <v>3123</v>
      </c>
      <c r="BE286" s="14"/>
      <c r="BF286" s="17"/>
      <c r="BG286" s="16"/>
      <c r="BH286" s="14"/>
      <c r="BI286" s="15" t="s">
        <v>3123</v>
      </c>
      <c r="BJ286" s="14"/>
      <c r="BK286" s="17"/>
      <c r="BL286" s="16"/>
      <c r="BM286" s="16"/>
      <c r="BN286" s="16"/>
      <c r="BO286" s="16"/>
      <c r="BP286" s="15" t="s">
        <v>3123</v>
      </c>
      <c r="BQ286" s="17"/>
      <c r="BR286" s="14"/>
      <c r="BS286" s="14"/>
      <c r="BT286" s="16"/>
      <c r="BU286" s="16"/>
      <c r="BV286" s="13"/>
      <c r="BW286" s="18" t="s">
        <v>9064</v>
      </c>
      <c r="BX286" s="13">
        <v>200</v>
      </c>
      <c r="BY286" s="17">
        <v>44125</v>
      </c>
      <c r="BZ286" s="18"/>
      <c r="CA286" s="18"/>
      <c r="CB286" s="18"/>
      <c r="CC286" s="18"/>
      <c r="CD286" s="14" t="s">
        <v>9065</v>
      </c>
      <c r="CE286" s="17">
        <v>42643</v>
      </c>
      <c r="CF286" s="16"/>
      <c r="CG286" s="17"/>
      <c r="CH286" s="16"/>
      <c r="CI286" s="17"/>
      <c r="CJ286" s="16"/>
      <c r="CK286" s="17"/>
      <c r="CL286" s="16"/>
      <c r="CM286" s="17"/>
      <c r="CN286" s="19">
        <v>13.161170222833769</v>
      </c>
      <c r="CO286" s="19"/>
      <c r="CP286" s="17"/>
      <c r="CQ286" s="14" t="s">
        <v>6556</v>
      </c>
      <c r="CR286" s="14" t="s">
        <v>6731</v>
      </c>
      <c r="CS286" s="14" t="s">
        <v>6074</v>
      </c>
    </row>
    <row r="287" spans="1:97" ht="26.15" customHeight="1">
      <c r="A287" s="2">
        <v>461</v>
      </c>
      <c r="B287" s="25" t="s">
        <v>2399</v>
      </c>
      <c r="C287" s="25" t="e">
        <f>VLOOKUP(B287, Sheet6!$A$1:$B$77, 2, FALSE)</f>
        <v>#N/A</v>
      </c>
      <c r="D287" s="25" t="s">
        <v>2400</v>
      </c>
      <c r="E287" s="25" t="s">
        <v>2402</v>
      </c>
      <c r="F287" s="25" t="s">
        <v>9711</v>
      </c>
      <c r="G287" s="25" t="s">
        <v>10955</v>
      </c>
      <c r="H287" s="25" t="s">
        <v>10957</v>
      </c>
      <c r="I287" s="25" t="s">
        <v>10968</v>
      </c>
      <c r="J287" s="25" t="s">
        <v>10846</v>
      </c>
      <c r="L287" s="13">
        <v>2016</v>
      </c>
      <c r="M287" s="14" t="s">
        <v>5067</v>
      </c>
      <c r="N287" s="14" t="s">
        <v>5068</v>
      </c>
      <c r="O287" s="14" t="s">
        <v>3994</v>
      </c>
      <c r="P287" s="15" t="s">
        <v>3117</v>
      </c>
      <c r="Q287" s="16">
        <v>100000</v>
      </c>
      <c r="R287" s="17">
        <v>42755</v>
      </c>
      <c r="S287" s="16" t="s">
        <v>5252</v>
      </c>
      <c r="T287" s="16">
        <v>100000</v>
      </c>
      <c r="U287" s="14" t="s">
        <v>5630</v>
      </c>
      <c r="V287" s="13"/>
      <c r="W287" s="17">
        <v>44081</v>
      </c>
      <c r="X287" s="14"/>
      <c r="Y287" s="17"/>
      <c r="Z287" s="17"/>
      <c r="AA287" s="14" t="s">
        <v>1</v>
      </c>
      <c r="AB287" s="14" t="s">
        <v>5135</v>
      </c>
      <c r="AC287" s="14" t="s">
        <v>9066</v>
      </c>
      <c r="AD287" s="20" t="str">
        <f t="shared" si="19"/>
        <v>Aquaculture Tech &gt; Fisheries &gt; Acoustic Monitoring Sensors</v>
      </c>
      <c r="AE287" s="20" t="str">
        <f t="shared" si="18"/>
        <v>Aquaculture Tech</v>
      </c>
      <c r="AF287" s="20" t="str">
        <f t="shared" si="20"/>
        <v>Fisheries</v>
      </c>
      <c r="AG287" s="20" t="str">
        <f t="shared" si="20"/>
        <v>Acoustic Monitoring Sensors</v>
      </c>
      <c r="AH287" s="20" t="str">
        <f t="shared" si="20"/>
        <v/>
      </c>
      <c r="AI287" s="20" t="str">
        <f t="shared" si="20"/>
        <v/>
      </c>
      <c r="AJ287" s="20" t="str">
        <f t="shared" si="20"/>
        <v/>
      </c>
      <c r="AK287" s="20" t="str">
        <f t="shared" si="20"/>
        <v/>
      </c>
      <c r="AL287" s="14"/>
      <c r="AM287" s="14"/>
      <c r="AO287" s="14"/>
      <c r="AP287" s="14" t="s">
        <v>3994</v>
      </c>
      <c r="AQ287" s="14"/>
      <c r="AR287" s="14" t="s">
        <v>9068</v>
      </c>
      <c r="AS287" s="14" t="s">
        <v>9069</v>
      </c>
      <c r="AT287" s="14" t="s">
        <v>9070</v>
      </c>
      <c r="AU287" s="14" t="s">
        <v>9071</v>
      </c>
      <c r="AV287" s="18"/>
      <c r="AW287" s="16"/>
      <c r="AX287" s="17"/>
      <c r="AY287" s="15" t="s">
        <v>3123</v>
      </c>
      <c r="AZ287" s="17"/>
      <c r="BA287" s="16"/>
      <c r="BB287" s="14"/>
      <c r="BC287" s="14"/>
      <c r="BD287" s="15" t="s">
        <v>3123</v>
      </c>
      <c r="BE287" s="14"/>
      <c r="BF287" s="17"/>
      <c r="BG287" s="16"/>
      <c r="BH287" s="14"/>
      <c r="BI287" s="15" t="s">
        <v>3123</v>
      </c>
      <c r="BJ287" s="14"/>
      <c r="BK287" s="17"/>
      <c r="BL287" s="16"/>
      <c r="BM287" s="16"/>
      <c r="BN287" s="16"/>
      <c r="BO287" s="16"/>
      <c r="BP287" s="15" t="s">
        <v>3117</v>
      </c>
      <c r="BQ287" s="17"/>
      <c r="BR287" s="14"/>
      <c r="BS287" s="14"/>
      <c r="BT287" s="16"/>
      <c r="BU287" s="16"/>
      <c r="BV287" s="13"/>
      <c r="BW287" s="18" t="s">
        <v>9072</v>
      </c>
      <c r="BX287" s="13">
        <v>200</v>
      </c>
      <c r="BY287" s="17">
        <v>44126</v>
      </c>
      <c r="BZ287" s="18"/>
      <c r="CA287" s="18"/>
      <c r="CB287" s="18"/>
      <c r="CC287" s="18"/>
      <c r="CD287" s="14" t="s">
        <v>9073</v>
      </c>
      <c r="CE287" s="17">
        <v>42935</v>
      </c>
      <c r="CF287" s="16"/>
      <c r="CG287" s="17"/>
      <c r="CH287" s="16"/>
      <c r="CI287" s="17"/>
      <c r="CJ287" s="16"/>
      <c r="CK287" s="17"/>
      <c r="CL287" s="16"/>
      <c r="CM287" s="17"/>
      <c r="CN287" s="19">
        <v>6.367537405309835</v>
      </c>
      <c r="CO287" s="19"/>
      <c r="CP287" s="17"/>
      <c r="CQ287" s="14" t="s">
        <v>6556</v>
      </c>
      <c r="CR287" s="14" t="s">
        <v>6557</v>
      </c>
      <c r="CS287" s="14" t="s">
        <v>5945</v>
      </c>
    </row>
    <row r="288" spans="1:97" ht="26.15" customHeight="1">
      <c r="A288" s="2">
        <v>241</v>
      </c>
      <c r="B288" s="25" t="s">
        <v>1742</v>
      </c>
      <c r="C288" s="25" t="e">
        <f>VLOOKUP(B288, Sheet6!$A$1:$B$77, 2, FALSE)</f>
        <v>#N/A</v>
      </c>
      <c r="D288" s="25" t="s">
        <v>1743</v>
      </c>
      <c r="E288" s="25" t="s">
        <v>1746</v>
      </c>
      <c r="F288" s="25" t="s">
        <v>8022</v>
      </c>
      <c r="G288" s="25" t="s">
        <v>10952</v>
      </c>
      <c r="H288" s="25" t="s">
        <v>10959</v>
      </c>
      <c r="I288" s="25" t="s">
        <v>11102</v>
      </c>
      <c r="J288" s="25" t="s">
        <v>10784</v>
      </c>
      <c r="L288" s="13">
        <v>2008</v>
      </c>
      <c r="M288" s="14" t="s">
        <v>9074</v>
      </c>
      <c r="N288" s="14" t="s">
        <v>6004</v>
      </c>
      <c r="O288" s="14" t="s">
        <v>4343</v>
      </c>
      <c r="P288" s="15" t="s">
        <v>3117</v>
      </c>
      <c r="Q288" s="16"/>
      <c r="R288" s="17">
        <v>41974</v>
      </c>
      <c r="S288" s="16"/>
      <c r="T288" s="16" t="s">
        <v>50</v>
      </c>
      <c r="U288" s="14" t="s">
        <v>5040</v>
      </c>
      <c r="V288" s="13">
        <v>2</v>
      </c>
      <c r="W288" s="17">
        <v>44000</v>
      </c>
      <c r="X288" s="14"/>
      <c r="Y288" s="17"/>
      <c r="Z288" s="17"/>
      <c r="AA288" s="14" t="s">
        <v>6586</v>
      </c>
      <c r="AB288" s="14" t="s">
        <v>6587</v>
      </c>
      <c r="AC288" s="14" t="s">
        <v>6588</v>
      </c>
      <c r="AD288" s="20" t="str">
        <f t="shared" si="19"/>
        <v>Biotech R&amp;D &gt; Research Applications &gt; Genomics &gt; Genome Engineering &gt; Gene Editing
Genomics &gt; Applied Genomics &gt; Agrigenomics
Crop Tech &gt; Farm Inputs &gt; Plant Breeding &gt; Technology Providers</v>
      </c>
      <c r="AE288" s="20" t="str">
        <f t="shared" si="18"/>
        <v>Biotech R&amp;D</v>
      </c>
      <c r="AF288" s="20" t="str">
        <f t="shared" si="20"/>
        <v>Research Applications</v>
      </c>
      <c r="AG288" s="20" t="str">
        <f t="shared" si="20"/>
        <v>Genomics</v>
      </c>
      <c r="AH288" s="20" t="str">
        <f t="shared" si="20"/>
        <v>Genome Engineering</v>
      </c>
      <c r="AI288" s="20" t="str">
        <f t="shared" si="20"/>
        <v>Gene Editing
Genomics</v>
      </c>
      <c r="AJ288" s="20" t="str">
        <f t="shared" si="20"/>
        <v>Applied Genomics</v>
      </c>
      <c r="AK288" s="20" t="str">
        <f t="shared" si="20"/>
        <v>Agrigenomics
Crop Tech</v>
      </c>
      <c r="AL288" s="14" t="s">
        <v>3420</v>
      </c>
      <c r="AM288" s="14"/>
      <c r="AO288" s="14"/>
      <c r="AP288" s="14" t="s">
        <v>4343</v>
      </c>
      <c r="AQ288" s="14"/>
      <c r="AR288" s="14"/>
      <c r="AS288" s="14" t="s">
        <v>9076</v>
      </c>
      <c r="AT288" s="14" t="s">
        <v>9077</v>
      </c>
      <c r="AU288" s="14" t="s">
        <v>9078</v>
      </c>
      <c r="AV288" s="18"/>
      <c r="AW288" s="16"/>
      <c r="AX288" s="17"/>
      <c r="AY288" s="15" t="s">
        <v>3123</v>
      </c>
      <c r="AZ288" s="17"/>
      <c r="BA288" s="16"/>
      <c r="BB288" s="14"/>
      <c r="BC288" s="14"/>
      <c r="BD288" s="15" t="s">
        <v>3123</v>
      </c>
      <c r="BE288" s="14"/>
      <c r="BF288" s="17"/>
      <c r="BG288" s="16"/>
      <c r="BH288" s="14"/>
      <c r="BI288" s="15" t="s">
        <v>3123</v>
      </c>
      <c r="BJ288" s="14"/>
      <c r="BK288" s="17"/>
      <c r="BL288" s="16"/>
      <c r="BM288" s="16"/>
      <c r="BN288" s="16"/>
      <c r="BO288" s="16"/>
      <c r="BP288" s="15" t="s">
        <v>3123</v>
      </c>
      <c r="BQ288" s="17"/>
      <c r="BR288" s="14"/>
      <c r="BS288" s="14"/>
      <c r="BT288" s="16"/>
      <c r="BU288" s="16"/>
      <c r="BV288" s="13"/>
      <c r="BW288" s="18" t="s">
        <v>9079</v>
      </c>
      <c r="BX288" s="13">
        <v>200</v>
      </c>
      <c r="BY288" s="17">
        <v>44124</v>
      </c>
      <c r="BZ288" s="18"/>
      <c r="CA288" s="18"/>
      <c r="CB288" s="18"/>
      <c r="CC288" s="18"/>
      <c r="CD288" s="14" t="s">
        <v>9080</v>
      </c>
      <c r="CE288" s="17">
        <v>43167</v>
      </c>
      <c r="CF288" s="16"/>
      <c r="CG288" s="17"/>
      <c r="CH288" s="16"/>
      <c r="CI288" s="17"/>
      <c r="CJ288" s="16"/>
      <c r="CK288" s="17"/>
      <c r="CL288" s="16"/>
      <c r="CM288" s="17"/>
      <c r="CN288" s="19">
        <v>14.759273757488257</v>
      </c>
      <c r="CO288" s="19"/>
      <c r="CP288" s="17"/>
      <c r="CQ288" s="14" t="s">
        <v>5345</v>
      </c>
      <c r="CR288" s="14" t="s">
        <v>8809</v>
      </c>
      <c r="CS288" s="14" t="s">
        <v>5311</v>
      </c>
    </row>
    <row r="289" spans="1:97" ht="26.15" customHeight="1">
      <c r="A289" s="2">
        <v>404</v>
      </c>
      <c r="B289" s="25" t="s">
        <v>2691</v>
      </c>
      <c r="C289" s="25" t="e">
        <f>VLOOKUP(B289, Sheet6!$A$1:$B$77, 2, FALSE)</f>
        <v>#N/A</v>
      </c>
      <c r="D289" s="25" t="s">
        <v>2692</v>
      </c>
      <c r="E289" s="25" t="s">
        <v>2694</v>
      </c>
      <c r="F289" s="25" t="s">
        <v>9348</v>
      </c>
      <c r="G289" s="25" t="s">
        <v>10955</v>
      </c>
      <c r="H289" s="25" t="s">
        <v>10558</v>
      </c>
      <c r="I289" s="25" t="s">
        <v>10558</v>
      </c>
      <c r="J289" s="25" t="s">
        <v>10821</v>
      </c>
      <c r="L289" s="13">
        <v>2009</v>
      </c>
      <c r="M289" s="14" t="s">
        <v>7250</v>
      </c>
      <c r="N289" s="14" t="s">
        <v>6004</v>
      </c>
      <c r="O289" s="14" t="s">
        <v>4343</v>
      </c>
      <c r="P289" s="15" t="s">
        <v>3117</v>
      </c>
      <c r="Q289" s="16"/>
      <c r="R289" s="17">
        <v>41791</v>
      </c>
      <c r="S289" s="16" t="s">
        <v>6298</v>
      </c>
      <c r="T289" s="16">
        <v>20000</v>
      </c>
      <c r="U289" s="14" t="s">
        <v>5040</v>
      </c>
      <c r="V289" s="13"/>
      <c r="W289" s="17"/>
      <c r="X289" s="14"/>
      <c r="Y289" s="17"/>
      <c r="Z289" s="17"/>
      <c r="AA289" s="14" t="s">
        <v>1</v>
      </c>
      <c r="AB289" s="14" t="s">
        <v>5007</v>
      </c>
      <c r="AC289" s="14" t="s">
        <v>9081</v>
      </c>
      <c r="AD289" s="20" t="str">
        <f t="shared" si="19"/>
        <v>Crop Tech &gt; Autonomous Farming &gt; Growing Systems</v>
      </c>
      <c r="AE289" s="20" t="str">
        <f t="shared" si="18"/>
        <v>Crop Tech</v>
      </c>
      <c r="AF289" s="20" t="str">
        <f t="shared" si="20"/>
        <v>Autonomous Farming</v>
      </c>
      <c r="AG289" s="20" t="str">
        <f t="shared" si="20"/>
        <v>Growing Systems</v>
      </c>
      <c r="AH289" s="20" t="str">
        <f t="shared" si="20"/>
        <v/>
      </c>
      <c r="AI289" s="20" t="str">
        <f t="shared" si="20"/>
        <v/>
      </c>
      <c r="AJ289" s="20" t="str">
        <f t="shared" si="20"/>
        <v/>
      </c>
      <c r="AK289" s="20" t="str">
        <f t="shared" si="20"/>
        <v/>
      </c>
      <c r="AL289" s="14" t="s">
        <v>4797</v>
      </c>
      <c r="AM289" s="14"/>
      <c r="AO289" s="14"/>
      <c r="AP289" s="14" t="s">
        <v>4343</v>
      </c>
      <c r="AQ289" s="14" t="s">
        <v>9083</v>
      </c>
      <c r="AR289" s="14"/>
      <c r="AS289" s="14" t="s">
        <v>9084</v>
      </c>
      <c r="AT289" s="14" t="s">
        <v>9085</v>
      </c>
      <c r="AU289" s="14" t="s">
        <v>9086</v>
      </c>
      <c r="AV289" s="18"/>
      <c r="AW289" s="16"/>
      <c r="AX289" s="17"/>
      <c r="AY289" s="15" t="s">
        <v>3123</v>
      </c>
      <c r="AZ289" s="17"/>
      <c r="BA289" s="16"/>
      <c r="BB289" s="14"/>
      <c r="BC289" s="14"/>
      <c r="BD289" s="15" t="s">
        <v>3123</v>
      </c>
      <c r="BE289" s="14"/>
      <c r="BF289" s="17"/>
      <c r="BG289" s="16"/>
      <c r="BH289" s="14"/>
      <c r="BI289" s="15" t="s">
        <v>3123</v>
      </c>
      <c r="BJ289" s="14"/>
      <c r="BK289" s="17"/>
      <c r="BL289" s="16"/>
      <c r="BM289" s="16"/>
      <c r="BN289" s="16"/>
      <c r="BO289" s="16"/>
      <c r="BP289" s="15" t="s">
        <v>3123</v>
      </c>
      <c r="BQ289" s="17"/>
      <c r="BR289" s="14"/>
      <c r="BS289" s="14"/>
      <c r="BT289" s="16"/>
      <c r="BU289" s="16"/>
      <c r="BV289" s="13"/>
      <c r="BW289" s="18" t="s">
        <v>9087</v>
      </c>
      <c r="BX289" s="13">
        <v>200</v>
      </c>
      <c r="BY289" s="17">
        <v>44124</v>
      </c>
      <c r="BZ289" s="18" t="s">
        <v>9088</v>
      </c>
      <c r="CA289" s="18"/>
      <c r="CB289" s="18" t="s">
        <v>9089</v>
      </c>
      <c r="CC289" s="18"/>
      <c r="CD289" s="14" t="s">
        <v>9090</v>
      </c>
      <c r="CE289" s="17">
        <v>43033</v>
      </c>
      <c r="CF289" s="16"/>
      <c r="CG289" s="17"/>
      <c r="CH289" s="16"/>
      <c r="CI289" s="17"/>
      <c r="CJ289" s="16"/>
      <c r="CK289" s="17"/>
      <c r="CL289" s="16"/>
      <c r="CM289" s="17"/>
      <c r="CN289" s="19">
        <v>11.576633611752166</v>
      </c>
      <c r="CO289" s="19"/>
      <c r="CP289" s="17"/>
      <c r="CQ289" s="14" t="s">
        <v>5541</v>
      </c>
      <c r="CR289" s="14" t="s">
        <v>6523</v>
      </c>
      <c r="CS289" s="14" t="s">
        <v>5945</v>
      </c>
    </row>
    <row r="290" spans="1:97" ht="26.15" customHeight="1">
      <c r="A290" s="2">
        <v>360</v>
      </c>
      <c r="B290" s="25" t="s">
        <v>2546</v>
      </c>
      <c r="C290" s="25" t="e">
        <f>VLOOKUP(B290, Sheet6!$A$1:$B$77, 2, FALSE)</f>
        <v>#N/A</v>
      </c>
      <c r="D290" s="25" t="s">
        <v>2547</v>
      </c>
      <c r="E290" s="25" t="s">
        <v>2549</v>
      </c>
      <c r="F290" s="25" t="s">
        <v>9128</v>
      </c>
      <c r="G290" s="25" t="s">
        <v>10955</v>
      </c>
      <c r="H290" s="25" t="s">
        <v>10558</v>
      </c>
      <c r="I290" s="25" t="s">
        <v>10558</v>
      </c>
      <c r="J290" s="25" t="s">
        <v>10821</v>
      </c>
      <c r="L290" s="13">
        <v>2016</v>
      </c>
      <c r="M290" s="14" t="s">
        <v>5222</v>
      </c>
      <c r="N290" s="14" t="s">
        <v>5223</v>
      </c>
      <c r="O290" s="14" t="s">
        <v>3994</v>
      </c>
      <c r="P290" s="15" t="s">
        <v>3117</v>
      </c>
      <c r="Q290" s="16">
        <v>5866696</v>
      </c>
      <c r="R290" s="17">
        <v>44067</v>
      </c>
      <c r="S290" s="16" t="s">
        <v>5134</v>
      </c>
      <c r="T290" s="16">
        <v>1000000</v>
      </c>
      <c r="U290" s="14" t="s">
        <v>34</v>
      </c>
      <c r="V290" s="13">
        <v>4</v>
      </c>
      <c r="W290" s="17">
        <v>44131</v>
      </c>
      <c r="X290" s="14" t="s">
        <v>5052</v>
      </c>
      <c r="Y290" s="17">
        <v>44076</v>
      </c>
      <c r="Z290" s="17">
        <v>43984</v>
      </c>
      <c r="AA290" s="14" t="s">
        <v>5509</v>
      </c>
      <c r="AB290" s="14" t="s">
        <v>5510</v>
      </c>
      <c r="AC290" s="14" t="s">
        <v>5696</v>
      </c>
      <c r="AD290" s="20" t="str">
        <f t="shared" si="19"/>
        <v>B2B E-Commerce &gt; Food &amp; Beverages &gt; Groceries &gt; Farm Products &gt; E-Distributor
Online Grocery &gt; B2B Ecommerce &gt; Farm Produce &gt; Fruits and Vegetables &gt; E-Distributor
Crop Tech &gt; ECommerce &gt; Farm Produce &gt; B2B &gt; Fruits and Vegetables &gt; E Distributor</v>
      </c>
      <c r="AE290" s="20" t="str">
        <f t="shared" si="18"/>
        <v>B2B E-Commerce</v>
      </c>
      <c r="AF290" s="20" t="str">
        <f t="shared" si="20"/>
        <v>Food &amp; Beverages</v>
      </c>
      <c r="AG290" s="20" t="str">
        <f t="shared" si="20"/>
        <v>Groceries</v>
      </c>
      <c r="AH290" s="20" t="str">
        <f t="shared" si="20"/>
        <v>Farm Products</v>
      </c>
      <c r="AI290" s="20" t="str">
        <f t="shared" si="20"/>
        <v>E-Distributor
Online Grocery</v>
      </c>
      <c r="AJ290" s="20" t="str">
        <f t="shared" si="20"/>
        <v>B2B Ecommerce</v>
      </c>
      <c r="AK290" s="20" t="str">
        <f t="shared" si="20"/>
        <v>Farm Produce</v>
      </c>
      <c r="AL290" s="14" t="s">
        <v>7495</v>
      </c>
      <c r="AM290" s="14" t="s">
        <v>7496</v>
      </c>
      <c r="AO290" s="14"/>
      <c r="AP290" s="14" t="s">
        <v>3994</v>
      </c>
      <c r="AQ290" s="14" t="s">
        <v>7498</v>
      </c>
      <c r="AR290" s="14" t="s">
        <v>7499</v>
      </c>
      <c r="AS290" s="14" t="s">
        <v>5584</v>
      </c>
      <c r="AT290" s="14" t="s">
        <v>5585</v>
      </c>
      <c r="AU290" s="14" t="s">
        <v>5586</v>
      </c>
      <c r="AV290" s="18"/>
      <c r="AW290" s="16">
        <v>1476300</v>
      </c>
      <c r="AX290" s="17">
        <v>43465</v>
      </c>
      <c r="AY290" s="15" t="s">
        <v>3117</v>
      </c>
      <c r="AZ290" s="17">
        <v>42504</v>
      </c>
      <c r="BA290" s="16">
        <v>1494</v>
      </c>
      <c r="BB290" s="14" t="s">
        <v>7500</v>
      </c>
      <c r="BC290" s="14"/>
      <c r="BD290" s="15" t="s">
        <v>3123</v>
      </c>
      <c r="BE290" s="14"/>
      <c r="BF290" s="17"/>
      <c r="BG290" s="16"/>
      <c r="BH290" s="14"/>
      <c r="BI290" s="15" t="s">
        <v>3123</v>
      </c>
      <c r="BJ290" s="14"/>
      <c r="BK290" s="17"/>
      <c r="BL290" s="16"/>
      <c r="BM290" s="16"/>
      <c r="BN290" s="16"/>
      <c r="BO290" s="16"/>
      <c r="BP290" s="15" t="s">
        <v>3123</v>
      </c>
      <c r="BQ290" s="17"/>
      <c r="BR290" s="14"/>
      <c r="BS290" s="14"/>
      <c r="BT290" s="16"/>
      <c r="BU290" s="16"/>
      <c r="BV290" s="13"/>
      <c r="BW290" s="18" t="s">
        <v>7501</v>
      </c>
      <c r="BX290" s="13">
        <v>200</v>
      </c>
      <c r="BY290" s="17">
        <v>44124</v>
      </c>
      <c r="BZ290" s="18" t="s">
        <v>7502</v>
      </c>
      <c r="CA290" s="18" t="s">
        <v>7503</v>
      </c>
      <c r="CB290" s="18" t="s">
        <v>7504</v>
      </c>
      <c r="CC290" s="18"/>
      <c r="CD290" s="14" t="s">
        <v>7505</v>
      </c>
      <c r="CE290" s="17">
        <v>42734</v>
      </c>
      <c r="CF290" s="16">
        <v>-640800</v>
      </c>
      <c r="CG290" s="17">
        <v>43465</v>
      </c>
      <c r="CH290" s="16">
        <v>-618600</v>
      </c>
      <c r="CI290" s="17">
        <v>43465</v>
      </c>
      <c r="CJ290" s="16">
        <v>12027711.793546043</v>
      </c>
      <c r="CK290" s="17">
        <v>44029</v>
      </c>
      <c r="CL290" s="16">
        <v>68</v>
      </c>
      <c r="CM290" s="17">
        <v>43921</v>
      </c>
      <c r="CN290" s="19">
        <v>57.69134519474359</v>
      </c>
      <c r="CO290" s="19"/>
      <c r="CP290" s="17"/>
      <c r="CQ290" s="14" t="s">
        <v>7259</v>
      </c>
      <c r="CR290" s="14" t="s">
        <v>7506</v>
      </c>
      <c r="CS290" s="14" t="s">
        <v>5004</v>
      </c>
    </row>
    <row r="291" spans="1:97" ht="26.15" customHeight="1">
      <c r="A291" s="2">
        <v>234</v>
      </c>
      <c r="B291" s="25" t="s">
        <v>1854</v>
      </c>
      <c r="C291" s="25" t="e">
        <f>VLOOKUP(B291, Sheet6!$A$1:$B$77, 2, FALSE)</f>
        <v>#N/A</v>
      </c>
      <c r="D291" s="25" t="s">
        <v>1855</v>
      </c>
      <c r="E291" s="25" t="s">
        <v>1856</v>
      </c>
      <c r="F291" s="25" t="s">
        <v>7934</v>
      </c>
      <c r="G291" s="25" t="s">
        <v>10955</v>
      </c>
      <c r="H291" s="25" t="s">
        <v>10957</v>
      </c>
      <c r="I291" s="25" t="s">
        <v>10558</v>
      </c>
      <c r="J291" s="25" t="s">
        <v>10821</v>
      </c>
      <c r="L291" s="13">
        <v>2014</v>
      </c>
      <c r="M291" s="14" t="s">
        <v>5689</v>
      </c>
      <c r="N291" s="14" t="s">
        <v>5674</v>
      </c>
      <c r="O291" s="14" t="s">
        <v>2057</v>
      </c>
      <c r="P291" s="15" t="s">
        <v>3117</v>
      </c>
      <c r="Q291" s="16">
        <v>5000000</v>
      </c>
      <c r="R291" s="17">
        <v>42527</v>
      </c>
      <c r="S291" s="16" t="s">
        <v>5543</v>
      </c>
      <c r="T291" s="16">
        <v>5000000</v>
      </c>
      <c r="U291" s="14" t="s">
        <v>109</v>
      </c>
      <c r="V291" s="13"/>
      <c r="W291" s="17"/>
      <c r="X291" s="14"/>
      <c r="Y291" s="17"/>
      <c r="Z291" s="17"/>
      <c r="AA291" s="14" t="s">
        <v>5509</v>
      </c>
      <c r="AB291" s="14" t="s">
        <v>5510</v>
      </c>
      <c r="AC291" s="14" t="s">
        <v>9091</v>
      </c>
      <c r="AD291" s="20" t="str">
        <f t="shared" si="19"/>
        <v>B2B E-Commerce &gt; Food &amp; Beverages &gt; Groceries &gt; Farm Products &gt; Marketplace
Online Grocery &gt; B2B Ecommerce &gt; Farm Produce &gt; Multi-Category &gt; Marketplace
Crop Tech &gt; ECommerce &gt; Farm Produce &gt; B2B</v>
      </c>
      <c r="AE291" s="20" t="str">
        <f t="shared" si="18"/>
        <v>B2B E-Commerce</v>
      </c>
      <c r="AF291" s="20" t="str">
        <f t="shared" si="20"/>
        <v>Food &amp; Beverages</v>
      </c>
      <c r="AG291" s="20" t="str">
        <f t="shared" si="20"/>
        <v>Groceries</v>
      </c>
      <c r="AH291" s="20" t="str">
        <f t="shared" si="20"/>
        <v>Farm Products</v>
      </c>
      <c r="AI291" s="20" t="str">
        <f t="shared" si="20"/>
        <v>Marketplace
Online Grocery</v>
      </c>
      <c r="AJ291" s="20" t="str">
        <f t="shared" si="20"/>
        <v>B2B Ecommerce</v>
      </c>
      <c r="AK291" s="20" t="str">
        <f t="shared" si="20"/>
        <v>Farm Produce</v>
      </c>
      <c r="AL291" s="14" t="s">
        <v>9092</v>
      </c>
      <c r="AM291" s="14"/>
      <c r="AO291" s="14"/>
      <c r="AP291" s="14" t="s">
        <v>2057</v>
      </c>
      <c r="AQ291" s="14"/>
      <c r="AR291" s="14"/>
      <c r="AS291" s="14"/>
      <c r="AT291" s="14"/>
      <c r="AU291" s="14"/>
      <c r="AV291" s="18"/>
      <c r="AW291" s="16"/>
      <c r="AX291" s="17"/>
      <c r="AY291" s="15" t="s">
        <v>3123</v>
      </c>
      <c r="AZ291" s="17"/>
      <c r="BA291" s="16"/>
      <c r="BB291" s="14"/>
      <c r="BC291" s="14"/>
      <c r="BD291" s="15" t="s">
        <v>3123</v>
      </c>
      <c r="BE291" s="14"/>
      <c r="BF291" s="17"/>
      <c r="BG291" s="16"/>
      <c r="BH291" s="14"/>
      <c r="BI291" s="15" t="s">
        <v>3123</v>
      </c>
      <c r="BJ291" s="14"/>
      <c r="BK291" s="17"/>
      <c r="BL291" s="16"/>
      <c r="BM291" s="16"/>
      <c r="BN291" s="16"/>
      <c r="BO291" s="16"/>
      <c r="BP291" s="15" t="s">
        <v>3123</v>
      </c>
      <c r="BQ291" s="17"/>
      <c r="BR291" s="14" t="s">
        <v>1477</v>
      </c>
      <c r="BS291" s="14"/>
      <c r="BT291" s="16"/>
      <c r="BU291" s="16"/>
      <c r="BV291" s="13"/>
      <c r="BW291" s="18" t="s">
        <v>9094</v>
      </c>
      <c r="BX291" s="13">
        <v>-1</v>
      </c>
      <c r="BY291" s="17">
        <v>44124</v>
      </c>
      <c r="BZ291" s="18"/>
      <c r="CA291" s="18"/>
      <c r="CB291" s="18"/>
      <c r="CC291" s="18"/>
      <c r="CD291" s="14" t="s">
        <v>9095</v>
      </c>
      <c r="CE291" s="17">
        <v>42643</v>
      </c>
      <c r="CF291" s="16"/>
      <c r="CG291" s="17"/>
      <c r="CH291" s="16"/>
      <c r="CI291" s="17"/>
      <c r="CJ291" s="16"/>
      <c r="CK291" s="17"/>
      <c r="CL291" s="16"/>
      <c r="CM291" s="17"/>
      <c r="CN291" s="19">
        <v>29.117664601955507</v>
      </c>
      <c r="CO291" s="19"/>
      <c r="CP291" s="17"/>
      <c r="CQ291" s="14" t="s">
        <v>6556</v>
      </c>
      <c r="CR291" s="14" t="s">
        <v>6731</v>
      </c>
      <c r="CS291" s="14" t="s">
        <v>6074</v>
      </c>
    </row>
    <row r="292" spans="1:97" ht="26.15" customHeight="1">
      <c r="A292" s="2">
        <v>519</v>
      </c>
      <c r="B292" s="25" t="s">
        <v>2941</v>
      </c>
      <c r="C292" s="25" t="e">
        <f>VLOOKUP(B292, Sheet6!$A$1:$B$77, 2, FALSE)</f>
        <v>#N/A</v>
      </c>
      <c r="D292" s="25" t="s">
        <v>2942</v>
      </c>
      <c r="E292" s="25" t="s">
        <v>2946</v>
      </c>
      <c r="F292" s="25" t="s">
        <v>10142</v>
      </c>
      <c r="G292" s="25" t="s">
        <v>10955</v>
      </c>
      <c r="H292" s="25" t="s">
        <v>10957</v>
      </c>
      <c r="I292" s="25" t="s">
        <v>10558</v>
      </c>
      <c r="J292" s="25" t="s">
        <v>10735</v>
      </c>
      <c r="L292" s="13">
        <v>2016</v>
      </c>
      <c r="M292" s="14" t="s">
        <v>5522</v>
      </c>
      <c r="N292" s="14" t="s">
        <v>5523</v>
      </c>
      <c r="O292" s="14" t="s">
        <v>5524</v>
      </c>
      <c r="P292" s="15" t="s">
        <v>3117</v>
      </c>
      <c r="Q292" s="16">
        <v>50000</v>
      </c>
      <c r="R292" s="17">
        <v>42643</v>
      </c>
      <c r="S292" s="16" t="s">
        <v>5425</v>
      </c>
      <c r="T292" s="16">
        <v>50000</v>
      </c>
      <c r="U292" s="14" t="s">
        <v>34</v>
      </c>
      <c r="V292" s="13">
        <v>4</v>
      </c>
      <c r="W292" s="17">
        <v>44007</v>
      </c>
      <c r="X292" s="14"/>
      <c r="Y292" s="17"/>
      <c r="Z292" s="17"/>
      <c r="AA292" s="14" t="s">
        <v>9096</v>
      </c>
      <c r="AB292" s="14" t="s">
        <v>9097</v>
      </c>
      <c r="AC292" s="14" t="s">
        <v>9098</v>
      </c>
      <c r="AD292" s="20" t="str">
        <f t="shared" si="19"/>
        <v>Online Rental &gt; Commercial Goods &gt; Heavy Equipment &gt; Farming
Crop Tech &gt; ECommerce &gt; Farm Inputs &gt; Farm Equipment &gt; Tractors</v>
      </c>
      <c r="AE292" s="20" t="str">
        <f t="shared" si="18"/>
        <v>Online Rental</v>
      </c>
      <c r="AF292" s="20" t="str">
        <f t="shared" si="20"/>
        <v>Commercial Goods</v>
      </c>
      <c r="AG292" s="20" t="str">
        <f t="shared" si="20"/>
        <v>Heavy Equipment</v>
      </c>
      <c r="AH292" s="20" t="str">
        <f t="shared" si="20"/>
        <v>Farming
Crop Tech</v>
      </c>
      <c r="AI292" s="20" t="str">
        <f t="shared" si="20"/>
        <v>ECommerce</v>
      </c>
      <c r="AJ292" s="20" t="str">
        <f t="shared" si="20"/>
        <v>Farm Inputs</v>
      </c>
      <c r="AK292" s="20" t="str">
        <f t="shared" si="20"/>
        <v>Farm Equipment</v>
      </c>
      <c r="AL292" s="14" t="s">
        <v>9042</v>
      </c>
      <c r="AM292" s="14"/>
      <c r="AO292" s="14"/>
      <c r="AP292" s="14" t="s">
        <v>5524</v>
      </c>
      <c r="AQ292" s="14" t="s">
        <v>9100</v>
      </c>
      <c r="AR292" s="14" t="s">
        <v>9101</v>
      </c>
      <c r="AS292" s="14" t="s">
        <v>9102</v>
      </c>
      <c r="AT292" s="14" t="s">
        <v>9103</v>
      </c>
      <c r="AU292" s="14" t="s">
        <v>9104</v>
      </c>
      <c r="AV292" s="18"/>
      <c r="AW292" s="16"/>
      <c r="AX292" s="17"/>
      <c r="AY292" s="15" t="s">
        <v>3123</v>
      </c>
      <c r="AZ292" s="17"/>
      <c r="BA292" s="16"/>
      <c r="BB292" s="14"/>
      <c r="BC292" s="14"/>
      <c r="BD292" s="15" t="s">
        <v>3123</v>
      </c>
      <c r="BE292" s="14"/>
      <c r="BF292" s="17"/>
      <c r="BG292" s="16"/>
      <c r="BH292" s="14"/>
      <c r="BI292" s="15" t="s">
        <v>3123</v>
      </c>
      <c r="BJ292" s="14"/>
      <c r="BK292" s="17"/>
      <c r="BL292" s="16"/>
      <c r="BM292" s="16"/>
      <c r="BN292" s="16"/>
      <c r="BO292" s="16"/>
      <c r="BP292" s="15" t="s">
        <v>3123</v>
      </c>
      <c r="BQ292" s="17"/>
      <c r="BR292" s="14"/>
      <c r="BS292" s="14"/>
      <c r="BT292" s="16"/>
      <c r="BU292" s="16"/>
      <c r="BV292" s="13"/>
      <c r="BW292" s="18" t="s">
        <v>9105</v>
      </c>
      <c r="BX292" s="13">
        <v>200</v>
      </c>
      <c r="BY292" s="17">
        <v>44124</v>
      </c>
      <c r="BZ292" s="18"/>
      <c r="CA292" s="18" t="s">
        <v>9106</v>
      </c>
      <c r="CB292" s="18" t="s">
        <v>9107</v>
      </c>
      <c r="CC292" s="18"/>
      <c r="CD292" s="14" t="s">
        <v>9108</v>
      </c>
      <c r="CE292" s="17">
        <v>42933</v>
      </c>
      <c r="CF292" s="16"/>
      <c r="CG292" s="17"/>
      <c r="CH292" s="16"/>
      <c r="CI292" s="17"/>
      <c r="CJ292" s="16"/>
      <c r="CK292" s="17"/>
      <c r="CL292" s="16"/>
      <c r="CM292" s="17"/>
      <c r="CN292" s="19">
        <v>38.93946643807157</v>
      </c>
      <c r="CO292" s="19"/>
      <c r="CP292" s="17"/>
      <c r="CQ292" s="14" t="s">
        <v>6556</v>
      </c>
      <c r="CR292" s="14" t="s">
        <v>6557</v>
      </c>
      <c r="CS292" s="14" t="s">
        <v>5945</v>
      </c>
    </row>
    <row r="293" spans="1:97" ht="26.15" customHeight="1">
      <c r="A293" s="2">
        <v>134</v>
      </c>
      <c r="B293" s="25" t="s">
        <v>1317</v>
      </c>
      <c r="C293" s="25" t="e">
        <f>VLOOKUP(B293, Sheet6!$A$1:$B$77, 2, FALSE)</f>
        <v>#N/A</v>
      </c>
      <c r="D293" s="25" t="s">
        <v>1318</v>
      </c>
      <c r="E293" s="25" t="s">
        <v>1321</v>
      </c>
      <c r="F293" s="25" t="s">
        <v>6733</v>
      </c>
      <c r="G293" s="25" t="s">
        <v>10955</v>
      </c>
      <c r="H293" s="25" t="s">
        <v>10959</v>
      </c>
      <c r="I293" s="25" t="s">
        <v>10958</v>
      </c>
      <c r="J293" s="26" t="s">
        <v>10993</v>
      </c>
      <c r="L293" s="13">
        <v>2006</v>
      </c>
      <c r="M293" s="14" t="s">
        <v>7523</v>
      </c>
      <c r="N293" s="14" t="s">
        <v>7524</v>
      </c>
      <c r="O293" s="14" t="s">
        <v>5391</v>
      </c>
      <c r="P293" s="15" t="s">
        <v>3117</v>
      </c>
      <c r="Q293" s="16">
        <v>37911025</v>
      </c>
      <c r="R293" s="17">
        <v>44026</v>
      </c>
      <c r="S293" s="16" t="s">
        <v>7525</v>
      </c>
      <c r="T293" s="16">
        <v>28000000</v>
      </c>
      <c r="U293" s="14" t="s">
        <v>25</v>
      </c>
      <c r="V293" s="13">
        <v>4</v>
      </c>
      <c r="W293" s="17">
        <v>44139</v>
      </c>
      <c r="X293" s="14" t="s">
        <v>5544</v>
      </c>
      <c r="Y293" s="17">
        <v>44138</v>
      </c>
      <c r="Z293" s="17">
        <v>44026</v>
      </c>
      <c r="AA293" s="14" t="s">
        <v>1</v>
      </c>
      <c r="AB293" s="14" t="s">
        <v>5007</v>
      </c>
      <c r="AC293" s="14" t="s">
        <v>257</v>
      </c>
      <c r="AD293" s="20" t="str">
        <f t="shared" si="19"/>
        <v>Crop Tech &gt; Farming as a Service &gt; Tech Enabled Services</v>
      </c>
      <c r="AE293" s="20" t="str">
        <f t="shared" si="18"/>
        <v>Crop Tech</v>
      </c>
      <c r="AF293" s="20" t="str">
        <f t="shared" si="20"/>
        <v>Farming as a Service</v>
      </c>
      <c r="AG293" s="20" t="str">
        <f t="shared" si="20"/>
        <v>Tech Enabled Services</v>
      </c>
      <c r="AH293" s="20" t="str">
        <f t="shared" si="20"/>
        <v/>
      </c>
      <c r="AI293" s="20" t="str">
        <f t="shared" si="20"/>
        <v/>
      </c>
      <c r="AJ293" s="20" t="str">
        <f t="shared" si="20"/>
        <v/>
      </c>
      <c r="AK293" s="20" t="str">
        <f t="shared" si="20"/>
        <v/>
      </c>
      <c r="AL293" s="14" t="s">
        <v>7526</v>
      </c>
      <c r="AM293" s="14"/>
      <c r="AO293" s="14"/>
      <c r="AP293" s="14" t="s">
        <v>5391</v>
      </c>
      <c r="AQ293" s="14" t="s">
        <v>7528</v>
      </c>
      <c r="AR293" s="14" t="s">
        <v>7529</v>
      </c>
      <c r="AS293" s="14" t="s">
        <v>7530</v>
      </c>
      <c r="AT293" s="14" t="s">
        <v>7531</v>
      </c>
      <c r="AU293" s="14" t="s">
        <v>7532</v>
      </c>
      <c r="AV293" s="18" t="s">
        <v>7533</v>
      </c>
      <c r="AW293" s="16"/>
      <c r="AX293" s="17"/>
      <c r="AY293" s="15" t="s">
        <v>3123</v>
      </c>
      <c r="AZ293" s="17"/>
      <c r="BA293" s="16"/>
      <c r="BB293" s="14"/>
      <c r="BC293" s="14"/>
      <c r="BD293" s="15" t="s">
        <v>3123</v>
      </c>
      <c r="BE293" s="14"/>
      <c r="BF293" s="17"/>
      <c r="BG293" s="16"/>
      <c r="BH293" s="14"/>
      <c r="BI293" s="15" t="s">
        <v>3123</v>
      </c>
      <c r="BJ293" s="14"/>
      <c r="BK293" s="17"/>
      <c r="BL293" s="16"/>
      <c r="BM293" s="16"/>
      <c r="BN293" s="16"/>
      <c r="BO293" s="16"/>
      <c r="BP293" s="15" t="s">
        <v>3123</v>
      </c>
      <c r="BQ293" s="17"/>
      <c r="BR293" s="14"/>
      <c r="BS293" s="14"/>
      <c r="BT293" s="16"/>
      <c r="BU293" s="16"/>
      <c r="BV293" s="13"/>
      <c r="BW293" s="18" t="s">
        <v>7534</v>
      </c>
      <c r="BX293" s="13">
        <v>200</v>
      </c>
      <c r="BY293" s="17">
        <v>44126</v>
      </c>
      <c r="BZ293" s="18" t="s">
        <v>7535</v>
      </c>
      <c r="CA293" s="18" t="s">
        <v>7536</v>
      </c>
      <c r="CB293" s="18" t="s">
        <v>7537</v>
      </c>
      <c r="CC293" s="18"/>
      <c r="CD293" s="14" t="s">
        <v>7538</v>
      </c>
      <c r="CE293" s="17">
        <v>44138</v>
      </c>
      <c r="CF293" s="16"/>
      <c r="CG293" s="17"/>
      <c r="CH293" s="16"/>
      <c r="CI293" s="17"/>
      <c r="CJ293" s="16"/>
      <c r="CK293" s="17"/>
      <c r="CL293" s="16"/>
      <c r="CM293" s="17"/>
      <c r="CN293" s="19">
        <v>43.73103563786362</v>
      </c>
      <c r="CO293" s="19"/>
      <c r="CP293" s="17"/>
      <c r="CQ293" s="14" t="s">
        <v>7409</v>
      </c>
      <c r="CR293" s="14" t="s">
        <v>7539</v>
      </c>
      <c r="CS293" s="14" t="s">
        <v>7194</v>
      </c>
    </row>
    <row r="294" spans="1:97" ht="26.15" customHeight="1">
      <c r="A294" s="2">
        <v>227</v>
      </c>
      <c r="B294" s="25" t="s">
        <v>177</v>
      </c>
      <c r="C294" s="25" t="e">
        <f>VLOOKUP(B294, Sheet6!$A$1:$B$77, 2, FALSE)</f>
        <v>#N/A</v>
      </c>
      <c r="D294" s="25" t="s">
        <v>178</v>
      </c>
      <c r="E294" s="25" t="s">
        <v>182</v>
      </c>
      <c r="F294" s="25" t="s">
        <v>7851</v>
      </c>
      <c r="G294" s="25" t="s">
        <v>10955</v>
      </c>
      <c r="H294" s="25" t="s">
        <v>10959</v>
      </c>
      <c r="I294" s="25" t="s">
        <v>10968</v>
      </c>
      <c r="J294" s="26" t="s">
        <v>10842</v>
      </c>
      <c r="L294" s="13">
        <v>2015</v>
      </c>
      <c r="M294" s="14" t="s">
        <v>6105</v>
      </c>
      <c r="N294" s="14" t="s">
        <v>5804</v>
      </c>
      <c r="O294" s="14" t="s">
        <v>5208</v>
      </c>
      <c r="P294" s="15" t="s">
        <v>3117</v>
      </c>
      <c r="Q294" s="16">
        <v>810223</v>
      </c>
      <c r="R294" s="17">
        <v>43208</v>
      </c>
      <c r="S294" s="16" t="s">
        <v>5252</v>
      </c>
      <c r="T294" s="16">
        <v>100000</v>
      </c>
      <c r="U294" s="14" t="s">
        <v>34</v>
      </c>
      <c r="V294" s="13"/>
      <c r="W294" s="17"/>
      <c r="X294" s="14"/>
      <c r="Y294" s="17"/>
      <c r="Z294" s="17"/>
      <c r="AA294" s="14" t="s">
        <v>5976</v>
      </c>
      <c r="AB294" s="14" t="s">
        <v>7540</v>
      </c>
      <c r="AC294" s="14" t="s">
        <v>7541</v>
      </c>
      <c r="AD294" s="20" t="str">
        <f t="shared" si="19"/>
        <v>Geographic Information Systems &gt; Location Analytics &gt; Agriculture
Crop Tech &gt; Farm Analytics &gt; Satellite Image Based</v>
      </c>
      <c r="AE294" s="20" t="str">
        <f t="shared" si="18"/>
        <v>Geographic Information Systems</v>
      </c>
      <c r="AF294" s="20" t="str">
        <f t="shared" si="20"/>
        <v>Location Analytics</v>
      </c>
      <c r="AG294" s="20" t="str">
        <f t="shared" si="20"/>
        <v>Agriculture
Crop Tech</v>
      </c>
      <c r="AH294" s="20" t="str">
        <f t="shared" si="20"/>
        <v>Farm Analytics</v>
      </c>
      <c r="AI294" s="20" t="str">
        <f t="shared" si="20"/>
        <v>Satellite Image Based</v>
      </c>
      <c r="AJ294" s="20" t="str">
        <f t="shared" si="20"/>
        <v/>
      </c>
      <c r="AK294" s="20" t="str">
        <f t="shared" si="20"/>
        <v/>
      </c>
      <c r="AL294" s="14" t="s">
        <v>7542</v>
      </c>
      <c r="AM294" s="14"/>
      <c r="AO294" s="14"/>
      <c r="AP294" s="14" t="s">
        <v>5208</v>
      </c>
      <c r="AQ294" s="14"/>
      <c r="AR294" s="14"/>
      <c r="AS294" s="14" t="s">
        <v>7544</v>
      </c>
      <c r="AT294" s="14" t="s">
        <v>7545</v>
      </c>
      <c r="AU294" s="14" t="s">
        <v>7546</v>
      </c>
      <c r="AV294" s="18"/>
      <c r="AW294" s="16"/>
      <c r="AX294" s="17"/>
      <c r="AY294" s="15" t="s">
        <v>3123</v>
      </c>
      <c r="AZ294" s="17"/>
      <c r="BA294" s="16"/>
      <c r="BB294" s="14"/>
      <c r="BC294" s="14"/>
      <c r="BD294" s="15" t="s">
        <v>3123</v>
      </c>
      <c r="BE294" s="14"/>
      <c r="BF294" s="17"/>
      <c r="BG294" s="16"/>
      <c r="BH294" s="14"/>
      <c r="BI294" s="15" t="s">
        <v>3123</v>
      </c>
      <c r="BJ294" s="14"/>
      <c r="BK294" s="17"/>
      <c r="BL294" s="16"/>
      <c r="BM294" s="16"/>
      <c r="BN294" s="16"/>
      <c r="BO294" s="16"/>
      <c r="BP294" s="15" t="s">
        <v>3123</v>
      </c>
      <c r="BQ294" s="17"/>
      <c r="BR294" s="14"/>
      <c r="BS294" s="14"/>
      <c r="BT294" s="16"/>
      <c r="BU294" s="16"/>
      <c r="BV294" s="13"/>
      <c r="BW294" s="18" t="s">
        <v>7547</v>
      </c>
      <c r="BX294" s="13">
        <v>200</v>
      </c>
      <c r="BY294" s="17">
        <v>44124</v>
      </c>
      <c r="BZ294" s="18" t="s">
        <v>7548</v>
      </c>
      <c r="CA294" s="18" t="s">
        <v>7549</v>
      </c>
      <c r="CB294" s="18"/>
      <c r="CC294" s="18"/>
      <c r="CD294" s="14" t="s">
        <v>7550</v>
      </c>
      <c r="CE294" s="17">
        <v>42929</v>
      </c>
      <c r="CF294" s="16"/>
      <c r="CG294" s="17"/>
      <c r="CH294" s="16"/>
      <c r="CI294" s="17"/>
      <c r="CJ294" s="16"/>
      <c r="CK294" s="17"/>
      <c r="CL294" s="16"/>
      <c r="CM294" s="17"/>
      <c r="CN294" s="19">
        <v>39.992324357257338</v>
      </c>
      <c r="CO294" s="19"/>
      <c r="CP294" s="17"/>
      <c r="CQ294" s="14" t="s">
        <v>7551</v>
      </c>
      <c r="CR294" s="14" t="s">
        <v>6002</v>
      </c>
      <c r="CS294" s="14" t="s">
        <v>6074</v>
      </c>
    </row>
    <row r="295" spans="1:97" ht="26.15" customHeight="1">
      <c r="A295" s="2">
        <v>98</v>
      </c>
      <c r="B295" s="25" t="s">
        <v>801</v>
      </c>
      <c r="C295" s="25" t="e">
        <f>VLOOKUP(B295, Sheet6!$A$1:$B$77, 2, FALSE)</f>
        <v>#N/A</v>
      </c>
      <c r="D295" s="25" t="s">
        <v>802</v>
      </c>
      <c r="E295" s="25" t="s">
        <v>805</v>
      </c>
      <c r="F295" s="25" t="s">
        <v>6300</v>
      </c>
      <c r="G295" s="25" t="s">
        <v>10955</v>
      </c>
      <c r="H295" s="25" t="s">
        <v>10957</v>
      </c>
      <c r="I295" s="25" t="s">
        <v>10958</v>
      </c>
      <c r="J295" s="26" t="s">
        <v>10821</v>
      </c>
      <c r="L295" s="13">
        <v>2015</v>
      </c>
      <c r="M295" s="14" t="s">
        <v>7250</v>
      </c>
      <c r="N295" s="14" t="s">
        <v>6004</v>
      </c>
      <c r="O295" s="14" t="s">
        <v>4343</v>
      </c>
      <c r="P295" s="15" t="s">
        <v>3117</v>
      </c>
      <c r="Q295" s="16">
        <v>550000</v>
      </c>
      <c r="R295" s="17">
        <v>42005</v>
      </c>
      <c r="S295" s="16" t="s">
        <v>9109</v>
      </c>
      <c r="T295" s="16">
        <v>550000</v>
      </c>
      <c r="U295" s="14" t="s">
        <v>34</v>
      </c>
      <c r="V295" s="13"/>
      <c r="W295" s="17"/>
      <c r="X295" s="14"/>
      <c r="Y295" s="17"/>
      <c r="Z295" s="17"/>
      <c r="AA295" s="14" t="s">
        <v>1</v>
      </c>
      <c r="AB295" s="14" t="s">
        <v>5135</v>
      </c>
      <c r="AC295" s="14" t="s">
        <v>2779</v>
      </c>
      <c r="AD295" s="20" t="str">
        <f t="shared" si="19"/>
        <v>Aquaculture Tech &gt; Farm Equipment &gt; Aeration</v>
      </c>
      <c r="AE295" s="20" t="str">
        <f t="shared" si="18"/>
        <v>Aquaculture Tech</v>
      </c>
      <c r="AF295" s="20" t="str">
        <f t="shared" si="20"/>
        <v>Farm Equipment</v>
      </c>
      <c r="AG295" s="20" t="str">
        <f t="shared" si="20"/>
        <v>Aeration</v>
      </c>
      <c r="AH295" s="20" t="str">
        <f t="shared" si="20"/>
        <v/>
      </c>
      <c r="AI295" s="20" t="str">
        <f t="shared" si="20"/>
        <v/>
      </c>
      <c r="AJ295" s="20" t="str">
        <f t="shared" si="20"/>
        <v/>
      </c>
      <c r="AK295" s="20" t="str">
        <f t="shared" si="20"/>
        <v/>
      </c>
      <c r="AL295" s="14" t="s">
        <v>4779</v>
      </c>
      <c r="AM295" s="14"/>
      <c r="AO295" s="14"/>
      <c r="AP295" s="14" t="s">
        <v>4343</v>
      </c>
      <c r="AQ295" s="14"/>
      <c r="AR295" s="14"/>
      <c r="AS295" s="14" t="s">
        <v>9111</v>
      </c>
      <c r="AT295" s="14" t="s">
        <v>9112</v>
      </c>
      <c r="AU295" s="14" t="s">
        <v>9113</v>
      </c>
      <c r="AV295" s="18"/>
      <c r="AW295" s="16"/>
      <c r="AX295" s="17"/>
      <c r="AY295" s="15" t="s">
        <v>3123</v>
      </c>
      <c r="AZ295" s="17"/>
      <c r="BA295" s="16"/>
      <c r="BB295" s="14"/>
      <c r="BC295" s="14"/>
      <c r="BD295" s="15" t="s">
        <v>3123</v>
      </c>
      <c r="BE295" s="14"/>
      <c r="BF295" s="17"/>
      <c r="BG295" s="16"/>
      <c r="BH295" s="14"/>
      <c r="BI295" s="15" t="s">
        <v>3123</v>
      </c>
      <c r="BJ295" s="14"/>
      <c r="BK295" s="17"/>
      <c r="BL295" s="16"/>
      <c r="BM295" s="16"/>
      <c r="BN295" s="16"/>
      <c r="BO295" s="16"/>
      <c r="BP295" s="15" t="s">
        <v>3123</v>
      </c>
      <c r="BQ295" s="17"/>
      <c r="BR295" s="14"/>
      <c r="BS295" s="14"/>
      <c r="BT295" s="16"/>
      <c r="BU295" s="16"/>
      <c r="BV295" s="13"/>
      <c r="BW295" s="18" t="s">
        <v>9114</v>
      </c>
      <c r="BX295" s="13">
        <v>-1</v>
      </c>
      <c r="BY295" s="17">
        <v>44124</v>
      </c>
      <c r="BZ295" s="18" t="s">
        <v>9115</v>
      </c>
      <c r="CA295" s="18"/>
      <c r="CB295" s="18" t="s">
        <v>9116</v>
      </c>
      <c r="CC295" s="18"/>
      <c r="CD295" s="14" t="s">
        <v>9117</v>
      </c>
      <c r="CE295" s="17">
        <v>42934</v>
      </c>
      <c r="CF295" s="16"/>
      <c r="CG295" s="17"/>
      <c r="CH295" s="16"/>
      <c r="CI295" s="17"/>
      <c r="CJ295" s="16"/>
      <c r="CK295" s="17"/>
      <c r="CL295" s="16"/>
      <c r="CM295" s="17"/>
      <c r="CN295" s="19">
        <v>14.37300178442889</v>
      </c>
      <c r="CO295" s="19"/>
      <c r="CP295" s="17"/>
      <c r="CQ295" s="14" t="s">
        <v>5345</v>
      </c>
      <c r="CR295" s="14" t="s">
        <v>7272</v>
      </c>
      <c r="CS295" s="14" t="s">
        <v>5945</v>
      </c>
    </row>
    <row r="296" spans="1:97" ht="26.15" customHeight="1">
      <c r="A296" s="2">
        <v>262</v>
      </c>
      <c r="B296" s="25" t="s">
        <v>1581</v>
      </c>
      <c r="C296" s="25" t="e">
        <f>VLOOKUP(B296, Sheet6!$A$1:$B$77, 2, FALSE)</f>
        <v>#N/A</v>
      </c>
      <c r="D296" s="25" t="s">
        <v>1582</v>
      </c>
      <c r="E296" s="25" t="s">
        <v>1584</v>
      </c>
      <c r="F296" s="25" t="s">
        <v>8315</v>
      </c>
      <c r="G296" s="25" t="s">
        <v>10955</v>
      </c>
      <c r="H296" s="25" t="s">
        <v>10957</v>
      </c>
      <c r="I296" s="25" t="s">
        <v>10968</v>
      </c>
      <c r="J296" s="25" t="s">
        <v>10768</v>
      </c>
      <c r="L296" s="13">
        <v>2007</v>
      </c>
      <c r="M296" s="14" t="s">
        <v>5312</v>
      </c>
      <c r="N296" s="14" t="s">
        <v>5313</v>
      </c>
      <c r="O296" s="14" t="s">
        <v>3994</v>
      </c>
      <c r="P296" s="15" t="s">
        <v>3117</v>
      </c>
      <c r="Q296" s="16">
        <v>4000000</v>
      </c>
      <c r="R296" s="17">
        <v>42736</v>
      </c>
      <c r="S296" s="16" t="s">
        <v>5456</v>
      </c>
      <c r="T296" s="16">
        <v>4000000</v>
      </c>
      <c r="U296" s="14" t="s">
        <v>109</v>
      </c>
      <c r="V296" s="13">
        <v>5</v>
      </c>
      <c r="W296" s="17">
        <v>44018</v>
      </c>
      <c r="X296" s="14"/>
      <c r="Y296" s="17"/>
      <c r="Z296" s="17"/>
      <c r="AA296" s="14" t="s">
        <v>1</v>
      </c>
      <c r="AB296" s="14" t="s">
        <v>5007</v>
      </c>
      <c r="AC296" s="14" t="s">
        <v>968</v>
      </c>
      <c r="AD296" s="20" t="str">
        <f t="shared" si="19"/>
        <v>Crop Tech &gt; Content Platforms &gt; Farming Advice &gt; Expert Advisors</v>
      </c>
      <c r="AE296" s="20" t="str">
        <f t="shared" si="18"/>
        <v>Crop Tech</v>
      </c>
      <c r="AF296" s="20" t="str">
        <f t="shared" si="20"/>
        <v>Content Platforms</v>
      </c>
      <c r="AG296" s="20" t="str">
        <f t="shared" si="20"/>
        <v>Farming Advice</v>
      </c>
      <c r="AH296" s="20" t="str">
        <f t="shared" si="20"/>
        <v>Expert Advisors</v>
      </c>
      <c r="AI296" s="20" t="str">
        <f t="shared" si="20"/>
        <v/>
      </c>
      <c r="AJ296" s="20" t="str">
        <f t="shared" si="20"/>
        <v/>
      </c>
      <c r="AK296" s="20" t="str">
        <f t="shared" si="20"/>
        <v/>
      </c>
      <c r="AL296" s="14" t="s">
        <v>2223</v>
      </c>
      <c r="AM296" s="14"/>
      <c r="AO296" s="14"/>
      <c r="AP296" s="14" t="s">
        <v>3994</v>
      </c>
      <c r="AQ296" s="14" t="s">
        <v>9119</v>
      </c>
      <c r="AR296" s="14" t="s">
        <v>9120</v>
      </c>
      <c r="AS296" s="14" t="s">
        <v>9121</v>
      </c>
      <c r="AT296" s="14" t="s">
        <v>9122</v>
      </c>
      <c r="AU296" s="14" t="s">
        <v>9123</v>
      </c>
      <c r="AV296" s="18"/>
      <c r="AW296" s="16">
        <v>779068</v>
      </c>
      <c r="AX296" s="17">
        <v>43465</v>
      </c>
      <c r="AY296" s="15" t="s">
        <v>3123</v>
      </c>
      <c r="AZ296" s="17"/>
      <c r="BA296" s="16"/>
      <c r="BB296" s="14"/>
      <c r="BC296" s="14"/>
      <c r="BD296" s="15" t="s">
        <v>3123</v>
      </c>
      <c r="BE296" s="14"/>
      <c r="BF296" s="17"/>
      <c r="BG296" s="16"/>
      <c r="BH296" s="14"/>
      <c r="BI296" s="15" t="s">
        <v>3123</v>
      </c>
      <c r="BJ296" s="14"/>
      <c r="BK296" s="17"/>
      <c r="BL296" s="16"/>
      <c r="BM296" s="16"/>
      <c r="BN296" s="16"/>
      <c r="BO296" s="16"/>
      <c r="BP296" s="15" t="s">
        <v>3123</v>
      </c>
      <c r="BQ296" s="17"/>
      <c r="BR296" s="14"/>
      <c r="BS296" s="14"/>
      <c r="BT296" s="16"/>
      <c r="BU296" s="16"/>
      <c r="BV296" s="13"/>
      <c r="BW296" s="18" t="s">
        <v>9124</v>
      </c>
      <c r="BX296" s="13">
        <v>200</v>
      </c>
      <c r="BY296" s="17">
        <v>44127</v>
      </c>
      <c r="BZ296" s="18"/>
      <c r="CA296" s="18" t="s">
        <v>9125</v>
      </c>
      <c r="CB296" s="18" t="s">
        <v>9126</v>
      </c>
      <c r="CC296" s="18"/>
      <c r="CD296" s="14" t="s">
        <v>9127</v>
      </c>
      <c r="CE296" s="17">
        <v>43467</v>
      </c>
      <c r="CF296" s="16">
        <v>14063</v>
      </c>
      <c r="CG296" s="17">
        <v>43465</v>
      </c>
      <c r="CH296" s="16">
        <v>273415</v>
      </c>
      <c r="CI296" s="17">
        <v>43465</v>
      </c>
      <c r="CJ296" s="16"/>
      <c r="CK296" s="17"/>
      <c r="CL296" s="16">
        <v>17</v>
      </c>
      <c r="CM296" s="17">
        <v>43830</v>
      </c>
      <c r="CN296" s="19">
        <v>33.904401189615811</v>
      </c>
      <c r="CO296" s="19"/>
      <c r="CP296" s="17"/>
      <c r="CQ296" s="14" t="s">
        <v>5104</v>
      </c>
      <c r="CR296" s="14" t="s">
        <v>5439</v>
      </c>
      <c r="CS296" s="14" t="s">
        <v>5311</v>
      </c>
    </row>
    <row r="297" spans="1:97" ht="26.15" customHeight="1">
      <c r="A297" s="2">
        <v>213</v>
      </c>
      <c r="B297" s="25" t="s">
        <v>500</v>
      </c>
      <c r="C297" s="25" t="e">
        <f>VLOOKUP(B297, Sheet6!$A$1:$B$77, 2, FALSE)</f>
        <v>#N/A</v>
      </c>
      <c r="D297" s="25" t="s">
        <v>501</v>
      </c>
      <c r="E297" s="25" t="s">
        <v>505</v>
      </c>
      <c r="F297" s="25" t="s">
        <v>7687</v>
      </c>
      <c r="G297" s="25" t="s">
        <v>10955</v>
      </c>
      <c r="H297" s="25" t="s">
        <v>10957</v>
      </c>
      <c r="I297" s="25" t="s">
        <v>10958</v>
      </c>
      <c r="J297" s="26" t="s">
        <v>10821</v>
      </c>
      <c r="L297" s="13">
        <v>2014</v>
      </c>
      <c r="M297" s="14" t="s">
        <v>4993</v>
      </c>
      <c r="N297" s="14" t="s">
        <v>4994</v>
      </c>
      <c r="O297" s="14" t="s">
        <v>2057</v>
      </c>
      <c r="P297" s="15" t="s">
        <v>3117</v>
      </c>
      <c r="Q297" s="16"/>
      <c r="R297" s="17">
        <v>42359</v>
      </c>
      <c r="S297" s="16"/>
      <c r="T297" s="16" t="s">
        <v>50</v>
      </c>
      <c r="U297" s="14" t="s">
        <v>5630</v>
      </c>
      <c r="V297" s="13"/>
      <c r="W297" s="17"/>
      <c r="X297" s="14"/>
      <c r="Y297" s="17"/>
      <c r="Z297" s="17"/>
      <c r="AA297" s="14" t="s">
        <v>5509</v>
      </c>
      <c r="AB297" s="14" t="s">
        <v>5510</v>
      </c>
      <c r="AC297" s="14" t="s">
        <v>7819</v>
      </c>
      <c r="AD297" s="20" t="str">
        <f t="shared" si="19"/>
        <v>B2B E-Commerce &gt; Food &amp; Beverages &gt; Groceries &gt; Farm Products &gt; E-Distributor
Online Grocery &gt; B2B Ecommerce &gt; Farm Produce &gt; Multi-Category &gt; E-Distributor
Crop Tech &gt; ECommerce &gt; Farm Produce &gt; B2B &gt; Fruits and Vegetables &gt; E Distributor</v>
      </c>
      <c r="AE297" s="20" t="str">
        <f t="shared" si="18"/>
        <v>B2B E-Commerce</v>
      </c>
      <c r="AF297" s="20" t="str">
        <f t="shared" si="20"/>
        <v>Food &amp; Beverages</v>
      </c>
      <c r="AG297" s="20" t="str">
        <f t="shared" si="20"/>
        <v>Groceries</v>
      </c>
      <c r="AH297" s="20" t="str">
        <f t="shared" si="20"/>
        <v>Farm Products</v>
      </c>
      <c r="AI297" s="20" t="str">
        <f t="shared" si="20"/>
        <v>E-Distributor
Online Grocery</v>
      </c>
      <c r="AJ297" s="20" t="str">
        <f t="shared" si="20"/>
        <v>B2B Ecommerce</v>
      </c>
      <c r="AK297" s="20" t="str">
        <f t="shared" si="20"/>
        <v>Farm Produce</v>
      </c>
      <c r="AL297" s="14" t="s">
        <v>4667</v>
      </c>
      <c r="AM297" s="14"/>
      <c r="AO297" s="14"/>
      <c r="AP297" s="14" t="s">
        <v>2057</v>
      </c>
      <c r="AQ297" s="14"/>
      <c r="AR297" s="14"/>
      <c r="AS297" s="14"/>
      <c r="AT297" s="14"/>
      <c r="AU297" s="14"/>
      <c r="AV297" s="18"/>
      <c r="AW297" s="16"/>
      <c r="AX297" s="17"/>
      <c r="AY297" s="15" t="s">
        <v>3123</v>
      </c>
      <c r="AZ297" s="17"/>
      <c r="BA297" s="16"/>
      <c r="BB297" s="14"/>
      <c r="BC297" s="14"/>
      <c r="BD297" s="15" t="s">
        <v>3123</v>
      </c>
      <c r="BE297" s="14"/>
      <c r="BF297" s="17"/>
      <c r="BG297" s="16"/>
      <c r="BH297" s="14"/>
      <c r="BI297" s="15" t="s">
        <v>3123</v>
      </c>
      <c r="BJ297" s="14"/>
      <c r="BK297" s="17"/>
      <c r="BL297" s="16"/>
      <c r="BM297" s="16"/>
      <c r="BN297" s="16"/>
      <c r="BO297" s="16"/>
      <c r="BP297" s="15" t="s">
        <v>3117</v>
      </c>
      <c r="BQ297" s="17"/>
      <c r="BR297" s="14"/>
      <c r="BS297" s="14"/>
      <c r="BT297" s="16"/>
      <c r="BU297" s="16"/>
      <c r="BV297" s="13"/>
      <c r="BW297" s="18" t="s">
        <v>9129</v>
      </c>
      <c r="BX297" s="13">
        <v>403</v>
      </c>
      <c r="BY297" s="17">
        <v>44124</v>
      </c>
      <c r="BZ297" s="18"/>
      <c r="CA297" s="18"/>
      <c r="CB297" s="18"/>
      <c r="CC297" s="18"/>
      <c r="CD297" s="14" t="s">
        <v>9130</v>
      </c>
      <c r="CE297" s="17">
        <v>42643</v>
      </c>
      <c r="CF297" s="16"/>
      <c r="CG297" s="17"/>
      <c r="CH297" s="16"/>
      <c r="CI297" s="17"/>
      <c r="CJ297" s="16"/>
      <c r="CK297" s="17"/>
      <c r="CL297" s="16"/>
      <c r="CM297" s="17"/>
      <c r="CN297" s="19">
        <v>4.3620067639029978</v>
      </c>
      <c r="CO297" s="19"/>
      <c r="CP297" s="17"/>
      <c r="CQ297" s="14" t="s">
        <v>6556</v>
      </c>
      <c r="CR297" s="14" t="s">
        <v>6731</v>
      </c>
      <c r="CS297" s="14" t="s">
        <v>6074</v>
      </c>
    </row>
    <row r="298" spans="1:97" ht="26.15" customHeight="1">
      <c r="A298" s="2">
        <v>124</v>
      </c>
      <c r="B298" s="25" t="s">
        <v>82</v>
      </c>
      <c r="C298" s="25" t="e">
        <f>VLOOKUP(B298, Sheet6!$A$1:$B$77, 2, FALSE)</f>
        <v>#N/A</v>
      </c>
      <c r="D298" s="25" t="s">
        <v>83</v>
      </c>
      <c r="E298" s="25" t="s">
        <v>86</v>
      </c>
      <c r="F298" s="25" t="s">
        <v>6622</v>
      </c>
      <c r="G298" s="25" t="s">
        <v>10952</v>
      </c>
      <c r="H298" s="25" t="s">
        <v>10959</v>
      </c>
      <c r="I298" s="25" t="s">
        <v>10958</v>
      </c>
      <c r="J298" s="26" t="s">
        <v>10728</v>
      </c>
      <c r="L298" s="13">
        <v>2015</v>
      </c>
      <c r="M298" s="14" t="s">
        <v>4993</v>
      </c>
      <c r="N298" s="14" t="s">
        <v>4994</v>
      </c>
      <c r="O298" s="14" t="s">
        <v>2057</v>
      </c>
      <c r="P298" s="15" t="s">
        <v>3117</v>
      </c>
      <c r="Q298" s="16">
        <v>2907110</v>
      </c>
      <c r="R298" s="17">
        <v>42849</v>
      </c>
      <c r="S298" s="16" t="s">
        <v>5069</v>
      </c>
      <c r="T298" s="16">
        <v>2907110</v>
      </c>
      <c r="U298" s="14" t="s">
        <v>34</v>
      </c>
      <c r="V298" s="13">
        <v>4</v>
      </c>
      <c r="W298" s="17">
        <v>44021</v>
      </c>
      <c r="X298" s="14"/>
      <c r="Y298" s="17"/>
      <c r="Z298" s="17"/>
      <c r="AA298" s="14" t="s">
        <v>1</v>
      </c>
      <c r="AB298" s="14" t="s">
        <v>5007</v>
      </c>
      <c r="AC298" s="14" t="s">
        <v>968</v>
      </c>
      <c r="AD298" s="20" t="str">
        <f t="shared" si="19"/>
        <v>Crop Tech &gt; Content Platforms &gt; Farming Advice &gt; Expert Advisors</v>
      </c>
      <c r="AE298" s="20" t="str">
        <f t="shared" si="18"/>
        <v>Crop Tech</v>
      </c>
      <c r="AF298" s="20" t="str">
        <f t="shared" si="20"/>
        <v>Content Platforms</v>
      </c>
      <c r="AG298" s="20" t="str">
        <f t="shared" si="20"/>
        <v>Farming Advice</v>
      </c>
      <c r="AH298" s="20" t="str">
        <f t="shared" si="20"/>
        <v>Expert Advisors</v>
      </c>
      <c r="AI298" s="20" t="str">
        <f t="shared" si="20"/>
        <v/>
      </c>
      <c r="AJ298" s="20" t="str">
        <f t="shared" si="20"/>
        <v/>
      </c>
      <c r="AK298" s="20" t="str">
        <f t="shared" si="20"/>
        <v/>
      </c>
      <c r="AL298" s="14"/>
      <c r="AM298" s="14"/>
      <c r="AO298" s="14"/>
      <c r="AP298" s="14" t="s">
        <v>2057</v>
      </c>
      <c r="AQ298" s="14"/>
      <c r="AR298" s="14"/>
      <c r="AS298" s="14"/>
      <c r="AT298" s="14"/>
      <c r="AU298" s="14"/>
      <c r="AV298" s="18"/>
      <c r="AW298" s="16"/>
      <c r="AX298" s="17"/>
      <c r="AY298" s="15" t="s">
        <v>3123</v>
      </c>
      <c r="AZ298" s="17"/>
      <c r="BA298" s="16"/>
      <c r="BB298" s="14"/>
      <c r="BC298" s="14"/>
      <c r="BD298" s="15" t="s">
        <v>3123</v>
      </c>
      <c r="BE298" s="14"/>
      <c r="BF298" s="17"/>
      <c r="BG298" s="16"/>
      <c r="BH298" s="14"/>
      <c r="BI298" s="15" t="s">
        <v>3123</v>
      </c>
      <c r="BJ298" s="14"/>
      <c r="BK298" s="17"/>
      <c r="BL298" s="16"/>
      <c r="BM298" s="16"/>
      <c r="BN298" s="16"/>
      <c r="BO298" s="16"/>
      <c r="BP298" s="15" t="s">
        <v>3123</v>
      </c>
      <c r="BQ298" s="17"/>
      <c r="BR298" s="14"/>
      <c r="BS298" s="14"/>
      <c r="BT298" s="16"/>
      <c r="BU298" s="16"/>
      <c r="BV298" s="13"/>
      <c r="BW298" s="18" t="s">
        <v>9136</v>
      </c>
      <c r="BX298" s="13">
        <v>-1</v>
      </c>
      <c r="BY298" s="17">
        <v>44124</v>
      </c>
      <c r="BZ298" s="18" t="s">
        <v>9137</v>
      </c>
      <c r="CA298" s="18"/>
      <c r="CB298" s="18"/>
      <c r="CC298" s="18"/>
      <c r="CD298" s="14" t="s">
        <v>9138</v>
      </c>
      <c r="CE298" s="17">
        <v>43032</v>
      </c>
      <c r="CF298" s="16"/>
      <c r="CG298" s="17"/>
      <c r="CH298" s="16"/>
      <c r="CI298" s="17"/>
      <c r="CJ298" s="16"/>
      <c r="CK298" s="17"/>
      <c r="CL298" s="16"/>
      <c r="CM298" s="17"/>
      <c r="CN298" s="19">
        <v>23.13476400951787</v>
      </c>
      <c r="CO298" s="19"/>
      <c r="CP298" s="17"/>
      <c r="CQ298" s="14" t="s">
        <v>6487</v>
      </c>
      <c r="CR298" s="14" t="s">
        <v>5944</v>
      </c>
      <c r="CS298" s="14" t="s">
        <v>5945</v>
      </c>
    </row>
    <row r="299" spans="1:97" ht="26.15" customHeight="1">
      <c r="A299" s="2">
        <v>150</v>
      </c>
      <c r="B299" s="25" t="s">
        <v>1905</v>
      </c>
      <c r="C299" s="25" t="e">
        <f>VLOOKUP(B299, Sheet6!$A$1:$B$77, 2, FALSE)</f>
        <v>#N/A</v>
      </c>
      <c r="D299" s="25" t="s">
        <v>1906</v>
      </c>
      <c r="E299" s="25" t="s">
        <v>1910</v>
      </c>
      <c r="F299" s="25" t="s">
        <v>6932</v>
      </c>
      <c r="G299" s="25" t="s">
        <v>10955</v>
      </c>
      <c r="H299" s="25" t="s">
        <v>10957</v>
      </c>
      <c r="I299" s="25" t="s">
        <v>10958</v>
      </c>
      <c r="J299" s="26" t="s">
        <v>10821</v>
      </c>
      <c r="L299" s="13">
        <v>2013</v>
      </c>
      <c r="M299" s="14" t="s">
        <v>9139</v>
      </c>
      <c r="N299" s="14" t="s">
        <v>5119</v>
      </c>
      <c r="O299" s="14" t="s">
        <v>3994</v>
      </c>
      <c r="P299" s="15" t="s">
        <v>3117</v>
      </c>
      <c r="Q299" s="16"/>
      <c r="R299" s="17">
        <v>41883</v>
      </c>
      <c r="S299" s="16"/>
      <c r="T299" s="16" t="s">
        <v>50</v>
      </c>
      <c r="U299" s="14" t="s">
        <v>5040</v>
      </c>
      <c r="V299" s="13">
        <v>2</v>
      </c>
      <c r="W299" s="17">
        <v>44039</v>
      </c>
      <c r="X299" s="14"/>
      <c r="Y299" s="17"/>
      <c r="Z299" s="17"/>
      <c r="AA299" s="14" t="s">
        <v>9140</v>
      </c>
      <c r="AB299" s="14" t="s">
        <v>9141</v>
      </c>
      <c r="AC299" s="14" t="s">
        <v>9142</v>
      </c>
      <c r="AD299" s="20" t="str">
        <f t="shared" si="19"/>
        <v>Livestock Tech &gt; Health Management &gt; Nutrition Supplements &gt; Microbes Based
Diversified Medical Devices &gt; Devices</v>
      </c>
      <c r="AE299" s="20" t="str">
        <f t="shared" si="18"/>
        <v>Livestock Tech</v>
      </c>
      <c r="AF299" s="20" t="str">
        <f t="shared" si="20"/>
        <v>Health Management</v>
      </c>
      <c r="AG299" s="20" t="str">
        <f t="shared" si="20"/>
        <v>Nutrition Supplements</v>
      </c>
      <c r="AH299" s="20" t="str">
        <f t="shared" si="20"/>
        <v>Microbes Based
Diversified Medical Devices</v>
      </c>
      <c r="AI299" s="20" t="str">
        <f t="shared" si="20"/>
        <v>Devices</v>
      </c>
      <c r="AJ299" s="20" t="str">
        <f t="shared" si="20"/>
        <v/>
      </c>
      <c r="AK299" s="20" t="str">
        <f t="shared" si="20"/>
        <v/>
      </c>
      <c r="AL299" s="14" t="s">
        <v>9143</v>
      </c>
      <c r="AM299" s="14"/>
      <c r="AO299" s="14"/>
      <c r="AP299" s="14" t="s">
        <v>3994</v>
      </c>
      <c r="AQ299" s="14" t="s">
        <v>9145</v>
      </c>
      <c r="AR299" s="14"/>
      <c r="AS299" s="14"/>
      <c r="AT299" s="14"/>
      <c r="AU299" s="14"/>
      <c r="AV299" s="18"/>
      <c r="AW299" s="16">
        <v>144300</v>
      </c>
      <c r="AX299" s="17">
        <v>43100</v>
      </c>
      <c r="AY299" s="15" t="s">
        <v>3123</v>
      </c>
      <c r="AZ299" s="17"/>
      <c r="BA299" s="16"/>
      <c r="BB299" s="14"/>
      <c r="BC299" s="14"/>
      <c r="BD299" s="15" t="s">
        <v>3123</v>
      </c>
      <c r="BE299" s="14"/>
      <c r="BF299" s="17"/>
      <c r="BG299" s="16"/>
      <c r="BH299" s="14"/>
      <c r="BI299" s="15" t="s">
        <v>3123</v>
      </c>
      <c r="BJ299" s="14"/>
      <c r="BK299" s="17"/>
      <c r="BL299" s="16"/>
      <c r="BM299" s="16"/>
      <c r="BN299" s="16"/>
      <c r="BO299" s="16"/>
      <c r="BP299" s="15" t="s">
        <v>3123</v>
      </c>
      <c r="BQ299" s="17"/>
      <c r="BR299" s="14"/>
      <c r="BS299" s="14"/>
      <c r="BT299" s="16"/>
      <c r="BU299" s="16"/>
      <c r="BV299" s="13"/>
      <c r="BW299" s="18" t="s">
        <v>9146</v>
      </c>
      <c r="BX299" s="13">
        <v>200</v>
      </c>
      <c r="BY299" s="17">
        <v>44124</v>
      </c>
      <c r="BZ299" s="18"/>
      <c r="CA299" s="18"/>
      <c r="CB299" s="18"/>
      <c r="CC299" s="18" t="s">
        <v>9147</v>
      </c>
      <c r="CD299" s="14" t="s">
        <v>9148</v>
      </c>
      <c r="CE299" s="17">
        <v>42902</v>
      </c>
      <c r="CF299" s="16">
        <v>812</v>
      </c>
      <c r="CG299" s="17">
        <v>43100</v>
      </c>
      <c r="CH299" s="16">
        <v>9700</v>
      </c>
      <c r="CI299" s="17">
        <v>43100</v>
      </c>
      <c r="CJ299" s="16"/>
      <c r="CK299" s="17"/>
      <c r="CL299" s="16"/>
      <c r="CM299" s="17"/>
      <c r="CN299" s="19">
        <v>31.03471218865236</v>
      </c>
      <c r="CO299" s="19"/>
      <c r="CP299" s="17"/>
      <c r="CQ299" s="14" t="s">
        <v>5036</v>
      </c>
      <c r="CR299" s="14" t="s">
        <v>6050</v>
      </c>
      <c r="CS299" s="14" t="s">
        <v>5994</v>
      </c>
    </row>
    <row r="300" spans="1:97" ht="26.15" customHeight="1">
      <c r="A300" s="2">
        <v>149</v>
      </c>
      <c r="B300" s="25" t="s">
        <v>102</v>
      </c>
      <c r="C300" s="25" t="e">
        <f>VLOOKUP(B300, Sheet6!$A$1:$B$77, 2, FALSE)</f>
        <v>#N/A</v>
      </c>
      <c r="D300" s="25" t="s">
        <v>103</v>
      </c>
      <c r="E300" s="25" t="s">
        <v>107</v>
      </c>
      <c r="F300" s="25" t="s">
        <v>6922</v>
      </c>
      <c r="G300" s="25" t="s">
        <v>10955</v>
      </c>
      <c r="H300" s="25" t="s">
        <v>10959</v>
      </c>
      <c r="I300" s="25" t="s">
        <v>10958</v>
      </c>
      <c r="J300" s="26" t="s">
        <v>10861</v>
      </c>
      <c r="L300" s="13">
        <v>2014</v>
      </c>
      <c r="M300" s="14" t="s">
        <v>7581</v>
      </c>
      <c r="N300" s="14" t="s">
        <v>7582</v>
      </c>
      <c r="O300" s="14" t="s">
        <v>2057</v>
      </c>
      <c r="P300" s="15" t="s">
        <v>3117</v>
      </c>
      <c r="Q300" s="16">
        <v>6141730</v>
      </c>
      <c r="R300" s="17">
        <v>43335</v>
      </c>
      <c r="S300" s="16"/>
      <c r="T300" s="16" t="s">
        <v>50</v>
      </c>
      <c r="U300" s="14" t="s">
        <v>25</v>
      </c>
      <c r="V300" s="13"/>
      <c r="W300" s="17"/>
      <c r="X300" s="14"/>
      <c r="Y300" s="17"/>
      <c r="Z300" s="17"/>
      <c r="AA300" s="14" t="s">
        <v>5493</v>
      </c>
      <c r="AB300" s="14" t="s">
        <v>5494</v>
      </c>
      <c r="AC300" s="14" t="s">
        <v>6764</v>
      </c>
      <c r="AD300" s="20" t="str">
        <f t="shared" si="19"/>
        <v>B2B E-Commerce &gt; Agriculture &gt; Marketplace
Crop Tech &gt; ECommerce &gt; Farm Produce &gt; B2B &gt; Fruits and Vegetables &gt; Marketplace</v>
      </c>
      <c r="AE300" s="20" t="str">
        <f t="shared" si="18"/>
        <v>B2B E-Commerce</v>
      </c>
      <c r="AF300" s="20" t="str">
        <f t="shared" si="20"/>
        <v>Agriculture</v>
      </c>
      <c r="AG300" s="20" t="str">
        <f t="shared" si="20"/>
        <v>Marketplace
Crop Tech</v>
      </c>
      <c r="AH300" s="20" t="str">
        <f t="shared" si="20"/>
        <v>ECommerce</v>
      </c>
      <c r="AI300" s="20" t="str">
        <f t="shared" si="20"/>
        <v>Farm Produce</v>
      </c>
      <c r="AJ300" s="20" t="str">
        <f t="shared" si="20"/>
        <v>B2B</v>
      </c>
      <c r="AK300" s="20" t="str">
        <f t="shared" si="20"/>
        <v>Fruits and Vegetables</v>
      </c>
      <c r="AL300" s="14" t="s">
        <v>7583</v>
      </c>
      <c r="AM300" s="14"/>
      <c r="AO300" s="14"/>
      <c r="AP300" s="14" t="s">
        <v>2057</v>
      </c>
      <c r="AQ300" s="14"/>
      <c r="AR300" s="14" t="s">
        <v>7585</v>
      </c>
      <c r="AS300" s="14" t="s">
        <v>7586</v>
      </c>
      <c r="AT300" s="14"/>
      <c r="AU300" s="14"/>
      <c r="AV300" s="18"/>
      <c r="AW300" s="16"/>
      <c r="AX300" s="17"/>
      <c r="AY300" s="15" t="s">
        <v>3123</v>
      </c>
      <c r="AZ300" s="17"/>
      <c r="BA300" s="16"/>
      <c r="BB300" s="14"/>
      <c r="BC300" s="14"/>
      <c r="BD300" s="15" t="s">
        <v>3123</v>
      </c>
      <c r="BE300" s="14"/>
      <c r="BF300" s="17"/>
      <c r="BG300" s="16"/>
      <c r="BH300" s="14"/>
      <c r="BI300" s="15" t="s">
        <v>3123</v>
      </c>
      <c r="BJ300" s="14"/>
      <c r="BK300" s="17"/>
      <c r="BL300" s="16"/>
      <c r="BM300" s="16"/>
      <c r="BN300" s="16"/>
      <c r="BO300" s="16"/>
      <c r="BP300" s="15" t="s">
        <v>3123</v>
      </c>
      <c r="BQ300" s="17"/>
      <c r="BR300" s="14"/>
      <c r="BS300" s="14"/>
      <c r="BT300" s="16"/>
      <c r="BU300" s="16"/>
      <c r="BV300" s="13"/>
      <c r="BW300" s="18" t="s">
        <v>7587</v>
      </c>
      <c r="BX300" s="13">
        <v>-1</v>
      </c>
      <c r="BY300" s="17">
        <v>44124</v>
      </c>
      <c r="BZ300" s="18"/>
      <c r="CA300" s="18"/>
      <c r="CB300" s="18"/>
      <c r="CC300" s="18"/>
      <c r="CD300" s="14" t="s">
        <v>7588</v>
      </c>
      <c r="CE300" s="17">
        <v>43020</v>
      </c>
      <c r="CF300" s="16"/>
      <c r="CG300" s="17"/>
      <c r="CH300" s="16"/>
      <c r="CI300" s="17"/>
      <c r="CJ300" s="16"/>
      <c r="CK300" s="17"/>
      <c r="CL300" s="16"/>
      <c r="CM300" s="17"/>
      <c r="CN300" s="19">
        <v>27.545533698751679</v>
      </c>
      <c r="CO300" s="19"/>
      <c r="CP300" s="17"/>
      <c r="CQ300" s="14" t="s">
        <v>6556</v>
      </c>
      <c r="CR300" s="14" t="s">
        <v>6557</v>
      </c>
      <c r="CS300" s="14" t="s">
        <v>5945</v>
      </c>
    </row>
    <row r="301" spans="1:97" ht="26.15" customHeight="1">
      <c r="A301" s="2">
        <v>327</v>
      </c>
      <c r="B301" s="25" t="s">
        <v>2103</v>
      </c>
      <c r="C301" s="25" t="e">
        <f>VLOOKUP(B301, Sheet6!$A$1:$B$77, 2, FALSE)</f>
        <v>#N/A</v>
      </c>
      <c r="D301" s="25" t="s">
        <v>2104</v>
      </c>
      <c r="E301" s="25" t="s">
        <v>2105</v>
      </c>
      <c r="F301" s="25" t="s">
        <v>8953</v>
      </c>
      <c r="G301" s="25">
        <v>0</v>
      </c>
      <c r="H301" s="25">
        <v>0</v>
      </c>
      <c r="I301" s="25">
        <v>0</v>
      </c>
      <c r="J301" s="25">
        <v>0</v>
      </c>
      <c r="L301" s="13">
        <v>2012</v>
      </c>
      <c r="M301" s="14" t="s">
        <v>9149</v>
      </c>
      <c r="N301" s="14" t="s">
        <v>5720</v>
      </c>
      <c r="O301" s="14" t="s">
        <v>2057</v>
      </c>
      <c r="P301" s="15" t="s">
        <v>3117</v>
      </c>
      <c r="Q301" s="16"/>
      <c r="R301" s="17">
        <v>42614</v>
      </c>
      <c r="S301" s="16"/>
      <c r="T301" s="16" t="s">
        <v>50</v>
      </c>
      <c r="U301" s="14" t="s">
        <v>25</v>
      </c>
      <c r="V301" s="13"/>
      <c r="W301" s="17"/>
      <c r="X301" s="14"/>
      <c r="Y301" s="17"/>
      <c r="Z301" s="17"/>
      <c r="AA301" s="14" t="s">
        <v>1</v>
      </c>
      <c r="AB301" s="14" t="s">
        <v>5135</v>
      </c>
      <c r="AC301" s="14" t="s">
        <v>9150</v>
      </c>
      <c r="AD301" s="20" t="str">
        <f t="shared" si="19"/>
        <v>Aquaculture Tech &gt; ECommerce &gt; Farm Inputs</v>
      </c>
      <c r="AE301" s="20" t="str">
        <f t="shared" si="18"/>
        <v>Aquaculture Tech</v>
      </c>
      <c r="AF301" s="20" t="str">
        <f t="shared" si="20"/>
        <v>ECommerce</v>
      </c>
      <c r="AG301" s="20" t="str">
        <f t="shared" si="20"/>
        <v>Farm Inputs</v>
      </c>
      <c r="AH301" s="20" t="str">
        <f t="shared" si="20"/>
        <v/>
      </c>
      <c r="AI301" s="20" t="str">
        <f t="shared" si="20"/>
        <v/>
      </c>
      <c r="AJ301" s="20" t="str">
        <f t="shared" si="20"/>
        <v/>
      </c>
      <c r="AK301" s="20" t="str">
        <f t="shared" si="20"/>
        <v/>
      </c>
      <c r="AL301" s="14"/>
      <c r="AM301" s="14"/>
      <c r="AO301" s="14"/>
      <c r="AP301" s="14" t="s">
        <v>2057</v>
      </c>
      <c r="AQ301" s="14"/>
      <c r="AR301" s="14"/>
      <c r="AS301" s="14"/>
      <c r="AT301" s="14"/>
      <c r="AU301" s="14"/>
      <c r="AV301" s="18"/>
      <c r="AW301" s="16"/>
      <c r="AX301" s="17"/>
      <c r="AY301" s="15" t="s">
        <v>3123</v>
      </c>
      <c r="AZ301" s="17"/>
      <c r="BA301" s="16"/>
      <c r="BB301" s="14"/>
      <c r="BC301" s="14"/>
      <c r="BD301" s="15" t="s">
        <v>3123</v>
      </c>
      <c r="BE301" s="14"/>
      <c r="BF301" s="17"/>
      <c r="BG301" s="16"/>
      <c r="BH301" s="14"/>
      <c r="BI301" s="15" t="s">
        <v>3123</v>
      </c>
      <c r="BJ301" s="14"/>
      <c r="BK301" s="17"/>
      <c r="BL301" s="16"/>
      <c r="BM301" s="16"/>
      <c r="BN301" s="16"/>
      <c r="BO301" s="16"/>
      <c r="BP301" s="15" t="s">
        <v>3123</v>
      </c>
      <c r="BQ301" s="17"/>
      <c r="BR301" s="14"/>
      <c r="BS301" s="14"/>
      <c r="BT301" s="16"/>
      <c r="BU301" s="16"/>
      <c r="BV301" s="13"/>
      <c r="BW301" s="18" t="s">
        <v>9152</v>
      </c>
      <c r="BX301" s="13">
        <v>200</v>
      </c>
      <c r="BY301" s="17">
        <v>44124</v>
      </c>
      <c r="BZ301" s="18"/>
      <c r="CA301" s="18"/>
      <c r="CB301" s="18"/>
      <c r="CC301" s="18"/>
      <c r="CD301" s="14" t="s">
        <v>9153</v>
      </c>
      <c r="CE301" s="17">
        <v>42935</v>
      </c>
      <c r="CF301" s="16"/>
      <c r="CG301" s="17"/>
      <c r="CH301" s="16"/>
      <c r="CI301" s="17"/>
      <c r="CJ301" s="16"/>
      <c r="CK301" s="17"/>
      <c r="CL301" s="16"/>
      <c r="CM301" s="17"/>
      <c r="CN301" s="19">
        <v>11.410302343734307</v>
      </c>
      <c r="CO301" s="19"/>
      <c r="CP301" s="17"/>
      <c r="CQ301" s="14" t="s">
        <v>7606</v>
      </c>
      <c r="CR301" s="14" t="s">
        <v>7607</v>
      </c>
      <c r="CS301" s="14" t="s">
        <v>5945</v>
      </c>
    </row>
    <row r="302" spans="1:97" ht="26.15" customHeight="1">
      <c r="A302" s="2">
        <v>39</v>
      </c>
      <c r="B302" s="25" t="s">
        <v>1361</v>
      </c>
      <c r="C302" s="25" t="e">
        <f>VLOOKUP(B302, Sheet6!$A$1:$B$77, 2, FALSE)</f>
        <v>#N/A</v>
      </c>
      <c r="D302" s="25" t="s">
        <v>1362</v>
      </c>
      <c r="E302" s="25" t="s">
        <v>1365</v>
      </c>
      <c r="F302" s="25" t="s">
        <v>5525</v>
      </c>
      <c r="G302" s="25" t="s">
        <v>10953</v>
      </c>
      <c r="H302" s="25" t="s">
        <v>10960</v>
      </c>
      <c r="I302" s="25" t="s">
        <v>10958</v>
      </c>
      <c r="J302" s="26" t="s">
        <v>10517</v>
      </c>
      <c r="L302" s="13">
        <v>2013</v>
      </c>
      <c r="M302" s="14" t="s">
        <v>5592</v>
      </c>
      <c r="N302" s="14" t="s">
        <v>5313</v>
      </c>
      <c r="O302" s="14" t="s">
        <v>3994</v>
      </c>
      <c r="P302" s="15" t="s">
        <v>3117</v>
      </c>
      <c r="Q302" s="16">
        <v>264994</v>
      </c>
      <c r="R302" s="17">
        <v>43552</v>
      </c>
      <c r="S302" s="16" t="s">
        <v>7589</v>
      </c>
      <c r="T302" s="16">
        <v>216833</v>
      </c>
      <c r="U302" s="14" t="s">
        <v>34</v>
      </c>
      <c r="V302" s="13">
        <v>3</v>
      </c>
      <c r="W302" s="17">
        <v>44022</v>
      </c>
      <c r="X302" s="14"/>
      <c r="Y302" s="17"/>
      <c r="Z302" s="17"/>
      <c r="AA302" s="14" t="s">
        <v>1</v>
      </c>
      <c r="AB302" s="14" t="s">
        <v>5007</v>
      </c>
      <c r="AC302" s="14" t="s">
        <v>968</v>
      </c>
      <c r="AD302" s="20" t="str">
        <f t="shared" si="19"/>
        <v>Crop Tech &gt; Content Platforms &gt; Farming Advice &gt; Expert Advisors</v>
      </c>
      <c r="AE302" s="20" t="str">
        <f t="shared" si="18"/>
        <v>Crop Tech</v>
      </c>
      <c r="AF302" s="20" t="str">
        <f t="shared" si="20"/>
        <v>Content Platforms</v>
      </c>
      <c r="AG302" s="20" t="str">
        <f t="shared" si="20"/>
        <v>Farming Advice</v>
      </c>
      <c r="AH302" s="20" t="str">
        <f t="shared" si="20"/>
        <v>Expert Advisors</v>
      </c>
      <c r="AI302" s="20" t="str">
        <f t="shared" si="20"/>
        <v/>
      </c>
      <c r="AJ302" s="20" t="str">
        <f t="shared" si="20"/>
        <v/>
      </c>
      <c r="AK302" s="20" t="str">
        <f t="shared" si="20"/>
        <v/>
      </c>
      <c r="AL302" s="14" t="s">
        <v>1129</v>
      </c>
      <c r="AM302" s="14" t="s">
        <v>7590</v>
      </c>
      <c r="AO302" s="14"/>
      <c r="AP302" s="14" t="s">
        <v>3994</v>
      </c>
      <c r="AQ302" s="14" t="s">
        <v>7592</v>
      </c>
      <c r="AR302" s="14"/>
      <c r="AS302" s="14" t="s">
        <v>7593</v>
      </c>
      <c r="AT302" s="14" t="s">
        <v>7594</v>
      </c>
      <c r="AU302" s="14" t="s">
        <v>7595</v>
      </c>
      <c r="AV302" s="18"/>
      <c r="AW302" s="16">
        <v>33100</v>
      </c>
      <c r="AX302" s="17">
        <v>43465</v>
      </c>
      <c r="AY302" s="15" t="s">
        <v>3123</v>
      </c>
      <c r="AZ302" s="17"/>
      <c r="BA302" s="16"/>
      <c r="BB302" s="14"/>
      <c r="BC302" s="14"/>
      <c r="BD302" s="15" t="s">
        <v>3123</v>
      </c>
      <c r="BE302" s="14"/>
      <c r="BF302" s="17"/>
      <c r="BG302" s="16"/>
      <c r="BH302" s="14"/>
      <c r="BI302" s="15" t="s">
        <v>3123</v>
      </c>
      <c r="BJ302" s="14"/>
      <c r="BK302" s="17"/>
      <c r="BL302" s="16"/>
      <c r="BM302" s="16"/>
      <c r="BN302" s="16"/>
      <c r="BO302" s="16"/>
      <c r="BP302" s="15" t="s">
        <v>3123</v>
      </c>
      <c r="BQ302" s="17"/>
      <c r="BR302" s="14"/>
      <c r="BS302" s="14"/>
      <c r="BT302" s="16"/>
      <c r="BU302" s="16"/>
      <c r="BV302" s="13"/>
      <c r="BW302" s="18" t="s">
        <v>7596</v>
      </c>
      <c r="BX302" s="13">
        <v>200</v>
      </c>
      <c r="BY302" s="17">
        <v>44124</v>
      </c>
      <c r="BZ302" s="18" t="s">
        <v>7597</v>
      </c>
      <c r="CA302" s="18" t="s">
        <v>7598</v>
      </c>
      <c r="CB302" s="18"/>
      <c r="CC302" s="18"/>
      <c r="CD302" s="14" t="s">
        <v>7599</v>
      </c>
      <c r="CE302" s="17">
        <v>43032</v>
      </c>
      <c r="CF302" s="16">
        <v>-38700</v>
      </c>
      <c r="CG302" s="17">
        <v>43465</v>
      </c>
      <c r="CH302" s="16">
        <v>-36600</v>
      </c>
      <c r="CI302" s="17">
        <v>43465</v>
      </c>
      <c r="CJ302" s="16">
        <v>1000000</v>
      </c>
      <c r="CK302" s="17">
        <v>43552</v>
      </c>
      <c r="CL302" s="16">
        <v>62</v>
      </c>
      <c r="CM302" s="17">
        <v>43921</v>
      </c>
      <c r="CN302" s="19">
        <v>22.520556200848389</v>
      </c>
      <c r="CO302" s="19"/>
      <c r="CP302" s="17"/>
      <c r="CQ302" s="14" t="s">
        <v>5345</v>
      </c>
      <c r="CR302" s="14" t="s">
        <v>7272</v>
      </c>
      <c r="CS302" s="14" t="s">
        <v>5945</v>
      </c>
    </row>
    <row r="303" spans="1:97" ht="26.15" customHeight="1">
      <c r="A303" s="2">
        <v>14</v>
      </c>
      <c r="B303" s="25" t="s">
        <v>223</v>
      </c>
      <c r="C303" s="25" t="e">
        <f>VLOOKUP(B303, Sheet6!$A$1:$B$77, 2, FALSE)</f>
        <v>#N/A</v>
      </c>
      <c r="D303" s="25" t="s">
        <v>224</v>
      </c>
      <c r="E303" s="25" t="s">
        <v>226</v>
      </c>
      <c r="F303" s="25" t="s">
        <v>5184</v>
      </c>
      <c r="G303" s="25" t="s">
        <v>10955</v>
      </c>
      <c r="H303" s="25" t="s">
        <v>10957</v>
      </c>
      <c r="I303" s="25" t="s">
        <v>10958</v>
      </c>
      <c r="J303" s="26" t="s">
        <v>10821</v>
      </c>
      <c r="L303" s="13">
        <v>2014</v>
      </c>
      <c r="M303" s="14" t="s">
        <v>5719</v>
      </c>
      <c r="N303" s="14" t="s">
        <v>5720</v>
      </c>
      <c r="O303" s="14" t="s">
        <v>2057</v>
      </c>
      <c r="P303" s="15" t="s">
        <v>3117</v>
      </c>
      <c r="Q303" s="16">
        <v>14470000</v>
      </c>
      <c r="R303" s="17">
        <v>43202</v>
      </c>
      <c r="S303" s="16"/>
      <c r="T303" s="16" t="s">
        <v>50</v>
      </c>
      <c r="U303" s="14" t="s">
        <v>95</v>
      </c>
      <c r="V303" s="13">
        <v>4</v>
      </c>
      <c r="W303" s="17">
        <v>44013</v>
      </c>
      <c r="X303" s="14"/>
      <c r="Y303" s="17"/>
      <c r="Z303" s="17"/>
      <c r="AA303" s="14" t="s">
        <v>5426</v>
      </c>
      <c r="AB303" s="14" t="s">
        <v>6018</v>
      </c>
      <c r="AC303" s="14" t="s">
        <v>7600</v>
      </c>
      <c r="AD303" s="20" t="str">
        <f t="shared" si="19"/>
        <v>Alternative Lending &gt; Online Lenders &gt; Business Loans &gt; Equipment Financing &gt; Marketplace
Crop Tech &gt; Finance &gt; Loans</v>
      </c>
      <c r="AE303" s="20" t="str">
        <f t="shared" si="18"/>
        <v>Alternative Lending</v>
      </c>
      <c r="AF303" s="20" t="str">
        <f t="shared" si="20"/>
        <v>Online Lenders</v>
      </c>
      <c r="AG303" s="20" t="str">
        <f t="shared" si="20"/>
        <v>Business Loans</v>
      </c>
      <c r="AH303" s="20" t="str">
        <f t="shared" si="20"/>
        <v>Equipment Financing</v>
      </c>
      <c r="AI303" s="20" t="str">
        <f t="shared" si="20"/>
        <v>Marketplace
Crop Tech</v>
      </c>
      <c r="AJ303" s="20" t="str">
        <f t="shared" si="20"/>
        <v>Finance</v>
      </c>
      <c r="AK303" s="20" t="str">
        <f t="shared" si="20"/>
        <v>Loans</v>
      </c>
      <c r="AL303" s="14" t="s">
        <v>7601</v>
      </c>
      <c r="AM303" s="14"/>
      <c r="AO303" s="14"/>
      <c r="AP303" s="14" t="s">
        <v>2057</v>
      </c>
      <c r="AQ303" s="14"/>
      <c r="AR303" s="14"/>
      <c r="AS303" s="14" t="s">
        <v>7603</v>
      </c>
      <c r="AT303" s="14"/>
      <c r="AU303" s="14"/>
      <c r="AV303" s="18"/>
      <c r="AW303" s="16"/>
      <c r="AX303" s="17"/>
      <c r="AY303" s="15" t="s">
        <v>3123</v>
      </c>
      <c r="AZ303" s="17"/>
      <c r="BA303" s="16"/>
      <c r="BB303" s="14"/>
      <c r="BC303" s="14"/>
      <c r="BD303" s="15" t="s">
        <v>3123</v>
      </c>
      <c r="BE303" s="14"/>
      <c r="BF303" s="17"/>
      <c r="BG303" s="16"/>
      <c r="BH303" s="14"/>
      <c r="BI303" s="15" t="s">
        <v>3123</v>
      </c>
      <c r="BJ303" s="14"/>
      <c r="BK303" s="17"/>
      <c r="BL303" s="16"/>
      <c r="BM303" s="16"/>
      <c r="BN303" s="16"/>
      <c r="BO303" s="16"/>
      <c r="BP303" s="15" t="s">
        <v>3123</v>
      </c>
      <c r="BQ303" s="17"/>
      <c r="BR303" s="14"/>
      <c r="BS303" s="14"/>
      <c r="BT303" s="16"/>
      <c r="BU303" s="16"/>
      <c r="BV303" s="13"/>
      <c r="BW303" s="18" t="s">
        <v>7604</v>
      </c>
      <c r="BX303" s="13">
        <v>200</v>
      </c>
      <c r="BY303" s="17">
        <v>44124</v>
      </c>
      <c r="BZ303" s="18"/>
      <c r="CA303" s="18"/>
      <c r="CB303" s="18"/>
      <c r="CC303" s="18"/>
      <c r="CD303" s="14" t="s">
        <v>7605</v>
      </c>
      <c r="CE303" s="17">
        <v>42768</v>
      </c>
      <c r="CF303" s="16"/>
      <c r="CG303" s="17"/>
      <c r="CH303" s="16"/>
      <c r="CI303" s="17"/>
      <c r="CJ303" s="16"/>
      <c r="CK303" s="17"/>
      <c r="CL303" s="16"/>
      <c r="CM303" s="17"/>
      <c r="CN303" s="19">
        <v>41.255255272855273</v>
      </c>
      <c r="CO303" s="19"/>
      <c r="CP303" s="17"/>
      <c r="CQ303" s="14" t="s">
        <v>7606</v>
      </c>
      <c r="CR303" s="14" t="s">
        <v>7607</v>
      </c>
      <c r="CS303" s="14" t="s">
        <v>5945</v>
      </c>
    </row>
    <row r="304" spans="1:97" ht="26.15" customHeight="1">
      <c r="A304" s="54">
        <v>243</v>
      </c>
      <c r="B304" s="51" t="s">
        <v>1045</v>
      </c>
      <c r="C304" s="25" t="e">
        <f>VLOOKUP(B304, Sheet6!$A$1:$B$77, 2, FALSE)</f>
        <v>#N/A</v>
      </c>
      <c r="D304" s="51" t="s">
        <v>1046</v>
      </c>
      <c r="E304" s="51" t="s">
        <v>1050</v>
      </c>
      <c r="F304" s="51" t="s">
        <v>8053</v>
      </c>
      <c r="G304" s="25">
        <v>0</v>
      </c>
      <c r="H304" s="25">
        <v>0</v>
      </c>
      <c r="I304" s="25">
        <v>0</v>
      </c>
      <c r="J304" s="25">
        <v>0</v>
      </c>
      <c r="L304" s="13">
        <v>2006</v>
      </c>
      <c r="M304" s="14" t="s">
        <v>7608</v>
      </c>
      <c r="N304" s="14" t="s">
        <v>7609</v>
      </c>
      <c r="O304" s="14" t="s">
        <v>4343</v>
      </c>
      <c r="P304" s="15" t="s">
        <v>3117</v>
      </c>
      <c r="Q304" s="16">
        <v>40000000</v>
      </c>
      <c r="R304" s="17">
        <v>43227</v>
      </c>
      <c r="S304" s="16" t="s">
        <v>5165</v>
      </c>
      <c r="T304" s="16">
        <v>10000000</v>
      </c>
      <c r="U304" s="14" t="s">
        <v>95</v>
      </c>
      <c r="V304" s="13">
        <v>4</v>
      </c>
      <c r="W304" s="17">
        <v>43977</v>
      </c>
      <c r="X304" s="14"/>
      <c r="Y304" s="17"/>
      <c r="Z304" s="17"/>
      <c r="AA304" s="14" t="s">
        <v>1</v>
      </c>
      <c r="AB304" s="14" t="s">
        <v>5007</v>
      </c>
      <c r="AC304" s="14" t="s">
        <v>1684</v>
      </c>
      <c r="AD304" s="20" t="str">
        <f t="shared" si="19"/>
        <v>Crop Tech &gt; Farm Inputs &gt; Tissue Culture</v>
      </c>
      <c r="AE304" s="20" t="str">
        <f t="shared" si="18"/>
        <v>Crop Tech</v>
      </c>
      <c r="AF304" s="20" t="str">
        <f t="shared" si="20"/>
        <v>Farm Inputs</v>
      </c>
      <c r="AG304" s="20" t="str">
        <f t="shared" si="20"/>
        <v>Tissue Culture</v>
      </c>
      <c r="AH304" s="20" t="str">
        <f t="shared" si="20"/>
        <v/>
      </c>
      <c r="AI304" s="20" t="str">
        <f t="shared" si="20"/>
        <v/>
      </c>
      <c r="AJ304" s="20" t="str">
        <f t="shared" si="20"/>
        <v/>
      </c>
      <c r="AK304" s="20" t="str">
        <f t="shared" si="20"/>
        <v/>
      </c>
      <c r="AL304" s="14" t="s">
        <v>7610</v>
      </c>
      <c r="AM304" s="14"/>
      <c r="AO304" s="14"/>
      <c r="AP304" s="14" t="s">
        <v>4343</v>
      </c>
      <c r="AQ304" s="14"/>
      <c r="AR304" s="14"/>
      <c r="AS304" s="14" t="s">
        <v>7612</v>
      </c>
      <c r="AT304" s="14" t="s">
        <v>7613</v>
      </c>
      <c r="AU304" s="14" t="s">
        <v>7614</v>
      </c>
      <c r="AV304" s="18"/>
      <c r="AW304" s="16"/>
      <c r="AX304" s="17"/>
      <c r="AY304" s="15" t="s">
        <v>3123</v>
      </c>
      <c r="AZ304" s="17"/>
      <c r="BA304" s="16"/>
      <c r="BB304" s="14"/>
      <c r="BC304" s="14"/>
      <c r="BD304" s="15" t="s">
        <v>3123</v>
      </c>
      <c r="BE304" s="14"/>
      <c r="BF304" s="17"/>
      <c r="BG304" s="16"/>
      <c r="BH304" s="14"/>
      <c r="BI304" s="15" t="s">
        <v>3123</v>
      </c>
      <c r="BJ304" s="14"/>
      <c r="BK304" s="17"/>
      <c r="BL304" s="16"/>
      <c r="BM304" s="16"/>
      <c r="BN304" s="16"/>
      <c r="BO304" s="16"/>
      <c r="BP304" s="15" t="s">
        <v>3123</v>
      </c>
      <c r="BQ304" s="17"/>
      <c r="BR304" s="14"/>
      <c r="BS304" s="14"/>
      <c r="BT304" s="16"/>
      <c r="BU304" s="16"/>
      <c r="BV304" s="13"/>
      <c r="BW304" s="18" t="s">
        <v>7615</v>
      </c>
      <c r="BX304" s="13">
        <v>200</v>
      </c>
      <c r="BY304" s="17">
        <v>44124</v>
      </c>
      <c r="BZ304" s="18" t="s">
        <v>7616</v>
      </c>
      <c r="CA304" s="18"/>
      <c r="CB304" s="18"/>
      <c r="CC304" s="18"/>
      <c r="CD304" s="14" t="s">
        <v>7617</v>
      </c>
      <c r="CE304" s="17">
        <v>42983</v>
      </c>
      <c r="CF304" s="16"/>
      <c r="CG304" s="17"/>
      <c r="CH304" s="16"/>
      <c r="CI304" s="17"/>
      <c r="CJ304" s="16"/>
      <c r="CK304" s="17"/>
      <c r="CL304" s="16"/>
      <c r="CM304" s="17"/>
      <c r="CN304" s="19">
        <v>39.768229759844118</v>
      </c>
      <c r="CO304" s="19"/>
      <c r="CP304" s="17"/>
      <c r="CQ304" s="14" t="s">
        <v>5345</v>
      </c>
      <c r="CR304" s="14" t="s">
        <v>7272</v>
      </c>
      <c r="CS304" s="14" t="s">
        <v>5945</v>
      </c>
    </row>
    <row r="305" spans="1:97" ht="26.15" customHeight="1">
      <c r="A305" s="2">
        <v>157</v>
      </c>
      <c r="B305" s="25" t="s">
        <v>1191</v>
      </c>
      <c r="C305" s="25" t="e">
        <f>VLOOKUP(B305, Sheet6!$A$1:$B$77, 2, FALSE)</f>
        <v>#N/A</v>
      </c>
      <c r="D305" s="25" t="s">
        <v>1192</v>
      </c>
      <c r="E305" s="25" t="s">
        <v>1194</v>
      </c>
      <c r="F305" s="25" t="s">
        <v>7021</v>
      </c>
      <c r="G305" s="25" t="s">
        <v>10955</v>
      </c>
      <c r="H305" s="25" t="s">
        <v>10959</v>
      </c>
      <c r="I305" s="25" t="s">
        <v>10958</v>
      </c>
      <c r="J305" s="26" t="s">
        <v>10846</v>
      </c>
      <c r="L305" s="13">
        <v>2016</v>
      </c>
      <c r="M305" s="14" t="s">
        <v>5189</v>
      </c>
      <c r="N305" s="14" t="s">
        <v>5190</v>
      </c>
      <c r="O305" s="14" t="s">
        <v>1258</v>
      </c>
      <c r="P305" s="15" t="s">
        <v>3117</v>
      </c>
      <c r="Q305" s="16">
        <v>75000</v>
      </c>
      <c r="R305" s="17">
        <v>42459</v>
      </c>
      <c r="S305" s="16" t="s">
        <v>6885</v>
      </c>
      <c r="T305" s="16">
        <v>75000</v>
      </c>
      <c r="U305" s="14" t="s">
        <v>34</v>
      </c>
      <c r="V305" s="13"/>
      <c r="W305" s="17"/>
      <c r="X305" s="14"/>
      <c r="Y305" s="17"/>
      <c r="Z305" s="17"/>
      <c r="AA305" s="14" t="s">
        <v>9154</v>
      </c>
      <c r="AB305" s="14" t="s">
        <v>9155</v>
      </c>
      <c r="AC305" s="14" t="s">
        <v>9156</v>
      </c>
      <c r="AD305" s="20" t="str">
        <f t="shared" si="19"/>
        <v>Wearable Technology &gt; Pet Wearables &gt; Swine Monitoring
IoT Applications &gt; Industry Specific &gt; Agriculture &gt; Livestock
Pet Tech &gt; Pet Care Management &gt; Tracking &gt; Cats and Dogs
Livestock Tech &gt; End-to-End Livestock Farm Automation</v>
      </c>
      <c r="AE305" s="20" t="str">
        <f t="shared" si="18"/>
        <v>Wearable Technology</v>
      </c>
      <c r="AF305" s="20" t="str">
        <f t="shared" si="20"/>
        <v>Pet Wearables</v>
      </c>
      <c r="AG305" s="20" t="str">
        <f t="shared" si="20"/>
        <v>Swine Monitoring
IoT Applications</v>
      </c>
      <c r="AH305" s="20" t="str">
        <f t="shared" si="20"/>
        <v>Industry Specific</v>
      </c>
      <c r="AI305" s="20" t="str">
        <f t="shared" si="20"/>
        <v>Agriculture</v>
      </c>
      <c r="AJ305" s="20" t="str">
        <f t="shared" si="20"/>
        <v>Livestock
Pet Tech</v>
      </c>
      <c r="AK305" s="20" t="str">
        <f t="shared" si="20"/>
        <v>Pet Care Management</v>
      </c>
      <c r="AL305" s="14" t="s">
        <v>9157</v>
      </c>
      <c r="AM305" s="14"/>
      <c r="AO305" s="14"/>
      <c r="AP305" s="14" t="s">
        <v>1258</v>
      </c>
      <c r="AQ305" s="14"/>
      <c r="AR305" s="14"/>
      <c r="AS305" s="14" t="s">
        <v>9159</v>
      </c>
      <c r="AT305" s="14" t="s">
        <v>9160</v>
      </c>
      <c r="AU305" s="14" t="s">
        <v>9161</v>
      </c>
      <c r="AV305" s="18"/>
      <c r="AW305" s="16"/>
      <c r="AX305" s="17"/>
      <c r="AY305" s="15" t="s">
        <v>3123</v>
      </c>
      <c r="AZ305" s="17"/>
      <c r="BA305" s="16"/>
      <c r="BB305" s="14"/>
      <c r="BC305" s="14"/>
      <c r="BD305" s="15" t="s">
        <v>3123</v>
      </c>
      <c r="BE305" s="14"/>
      <c r="BF305" s="17"/>
      <c r="BG305" s="16"/>
      <c r="BH305" s="14"/>
      <c r="BI305" s="15" t="s">
        <v>3123</v>
      </c>
      <c r="BJ305" s="14"/>
      <c r="BK305" s="17"/>
      <c r="BL305" s="16"/>
      <c r="BM305" s="16"/>
      <c r="BN305" s="16"/>
      <c r="BO305" s="16"/>
      <c r="BP305" s="15" t="s">
        <v>3123</v>
      </c>
      <c r="BQ305" s="17"/>
      <c r="BR305" s="14"/>
      <c r="BS305" s="14"/>
      <c r="BT305" s="16"/>
      <c r="BU305" s="16"/>
      <c r="BV305" s="13"/>
      <c r="BW305" s="18" t="s">
        <v>9162</v>
      </c>
      <c r="BX305" s="13">
        <v>200</v>
      </c>
      <c r="BY305" s="17">
        <v>44124</v>
      </c>
      <c r="BZ305" s="18"/>
      <c r="CA305" s="18" t="s">
        <v>9163</v>
      </c>
      <c r="CB305" s="18"/>
      <c r="CC305" s="18"/>
      <c r="CD305" s="14" t="s">
        <v>9164</v>
      </c>
      <c r="CE305" s="17">
        <v>42888</v>
      </c>
      <c r="CF305" s="16"/>
      <c r="CG305" s="17"/>
      <c r="CH305" s="16"/>
      <c r="CI305" s="17"/>
      <c r="CJ305" s="16"/>
      <c r="CK305" s="17"/>
      <c r="CL305" s="16"/>
      <c r="CM305" s="17"/>
      <c r="CN305" s="19">
        <v>29.752285815712884</v>
      </c>
      <c r="CO305" s="19"/>
      <c r="CP305" s="17"/>
      <c r="CQ305" s="14" t="s">
        <v>5036</v>
      </c>
      <c r="CR305" s="14" t="s">
        <v>5962</v>
      </c>
      <c r="CS305" s="14" t="s">
        <v>5945</v>
      </c>
    </row>
    <row r="306" spans="1:97" ht="26.15" customHeight="1">
      <c r="A306" s="2">
        <v>168</v>
      </c>
      <c r="B306" s="25" t="s">
        <v>759</v>
      </c>
      <c r="C306" s="25" t="e">
        <f>VLOOKUP(B306, Sheet6!$A$1:$B$77, 2, FALSE)</f>
        <v>#N/A</v>
      </c>
      <c r="D306" s="25" t="s">
        <v>760</v>
      </c>
      <c r="E306" s="25" t="s">
        <v>763</v>
      </c>
      <c r="F306" s="25" t="s">
        <v>7168</v>
      </c>
      <c r="G306" s="25" t="s">
        <v>10955</v>
      </c>
      <c r="H306" s="25" t="s">
        <v>10959</v>
      </c>
      <c r="I306" s="25" t="s">
        <v>10958</v>
      </c>
      <c r="J306" s="26" t="s">
        <v>10770</v>
      </c>
      <c r="L306" s="13">
        <v>2016</v>
      </c>
      <c r="M306" s="14" t="s">
        <v>8313</v>
      </c>
      <c r="N306" s="14" t="s">
        <v>6884</v>
      </c>
      <c r="O306" s="14" t="s">
        <v>5333</v>
      </c>
      <c r="P306" s="15" t="s">
        <v>3117</v>
      </c>
      <c r="Q306" s="16"/>
      <c r="R306" s="17">
        <v>42867</v>
      </c>
      <c r="S306" s="16" t="s">
        <v>5191</v>
      </c>
      <c r="T306" s="16">
        <v>30000</v>
      </c>
      <c r="U306" s="14" t="s">
        <v>5040</v>
      </c>
      <c r="V306" s="13"/>
      <c r="W306" s="17"/>
      <c r="X306" s="14"/>
      <c r="Y306" s="17"/>
      <c r="Z306" s="17"/>
      <c r="AA306" s="14" t="s">
        <v>5426</v>
      </c>
      <c r="AB306" s="14" t="s">
        <v>5427</v>
      </c>
      <c r="AC306" s="14" t="s">
        <v>5428</v>
      </c>
      <c r="AD306" s="20" t="str">
        <f t="shared" si="19"/>
        <v>Crowdfunding &gt; Revenue Sharing &gt; Agriculture
Crop Tech &gt; Finance &gt; Crowdfunding</v>
      </c>
      <c r="AE306" s="20" t="str">
        <f t="shared" si="18"/>
        <v>Crowdfunding</v>
      </c>
      <c r="AF306" s="20" t="str">
        <f t="shared" si="20"/>
        <v>Revenue Sharing</v>
      </c>
      <c r="AG306" s="20" t="str">
        <f t="shared" si="20"/>
        <v>Agriculture
Crop Tech</v>
      </c>
      <c r="AH306" s="20" t="str">
        <f t="shared" si="20"/>
        <v>Finance</v>
      </c>
      <c r="AI306" s="20" t="str">
        <f t="shared" si="20"/>
        <v>Crowdfunding</v>
      </c>
      <c r="AJ306" s="20" t="str">
        <f t="shared" si="20"/>
        <v/>
      </c>
      <c r="AK306" s="20" t="str">
        <f t="shared" si="20"/>
        <v/>
      </c>
      <c r="AL306" s="14" t="s">
        <v>3689</v>
      </c>
      <c r="AM306" s="14"/>
      <c r="AO306" s="14"/>
      <c r="AP306" s="14" t="s">
        <v>5333</v>
      </c>
      <c r="AQ306" s="14" t="s">
        <v>9166</v>
      </c>
      <c r="AR306" s="14"/>
      <c r="AS306" s="14" t="s">
        <v>9167</v>
      </c>
      <c r="AT306" s="14" t="s">
        <v>9168</v>
      </c>
      <c r="AU306" s="14" t="s">
        <v>9169</v>
      </c>
      <c r="AV306" s="18"/>
      <c r="AW306" s="16"/>
      <c r="AX306" s="17"/>
      <c r="AY306" s="15" t="s">
        <v>3123</v>
      </c>
      <c r="AZ306" s="17"/>
      <c r="BA306" s="16"/>
      <c r="BB306" s="14"/>
      <c r="BC306" s="14"/>
      <c r="BD306" s="15" t="s">
        <v>3123</v>
      </c>
      <c r="BE306" s="14"/>
      <c r="BF306" s="17"/>
      <c r="BG306" s="16"/>
      <c r="BH306" s="14"/>
      <c r="BI306" s="15" t="s">
        <v>3123</v>
      </c>
      <c r="BJ306" s="14"/>
      <c r="BK306" s="17"/>
      <c r="BL306" s="16"/>
      <c r="BM306" s="16"/>
      <c r="BN306" s="16"/>
      <c r="BO306" s="16"/>
      <c r="BP306" s="15" t="s">
        <v>3123</v>
      </c>
      <c r="BQ306" s="17"/>
      <c r="BR306" s="14"/>
      <c r="BS306" s="14"/>
      <c r="BT306" s="16"/>
      <c r="BU306" s="16"/>
      <c r="BV306" s="13"/>
      <c r="BW306" s="18" t="s">
        <v>9170</v>
      </c>
      <c r="BX306" s="13">
        <v>301</v>
      </c>
      <c r="BY306" s="17">
        <v>44124</v>
      </c>
      <c r="BZ306" s="18"/>
      <c r="CA306" s="18" t="s">
        <v>9171</v>
      </c>
      <c r="CB306" s="18"/>
      <c r="CC306" s="18"/>
      <c r="CD306" s="14" t="s">
        <v>9172</v>
      </c>
      <c r="CE306" s="17">
        <v>42529</v>
      </c>
      <c r="CF306" s="16"/>
      <c r="CG306" s="17"/>
      <c r="CH306" s="16"/>
      <c r="CI306" s="17"/>
      <c r="CJ306" s="16"/>
      <c r="CK306" s="17"/>
      <c r="CL306" s="16"/>
      <c r="CM306" s="17"/>
      <c r="CN306" s="19">
        <v>22.418781440251482</v>
      </c>
      <c r="CO306" s="19"/>
      <c r="CP306" s="17"/>
      <c r="CQ306" s="14" t="s">
        <v>5036</v>
      </c>
      <c r="CR306" s="14" t="s">
        <v>5962</v>
      </c>
      <c r="CS306" s="14" t="s">
        <v>5945</v>
      </c>
    </row>
    <row r="307" spans="1:97" ht="26.15" customHeight="1">
      <c r="A307" s="2">
        <v>499</v>
      </c>
      <c r="B307" s="25" t="s">
        <v>2621</v>
      </c>
      <c r="C307" s="25" t="e">
        <f>VLOOKUP(B307, Sheet6!$A$1:$B$77, 2, FALSE)</f>
        <v>#N/A</v>
      </c>
      <c r="D307" s="25" t="s">
        <v>2622</v>
      </c>
      <c r="E307" s="25" t="s">
        <v>2623</v>
      </c>
      <c r="F307" s="25" t="s">
        <v>9972</v>
      </c>
      <c r="G307" s="25" t="s">
        <v>10955</v>
      </c>
      <c r="H307" s="25" t="s">
        <v>10957</v>
      </c>
      <c r="I307" s="25" t="s">
        <v>10558</v>
      </c>
      <c r="J307" s="25" t="s">
        <v>10846</v>
      </c>
      <c r="L307" s="13">
        <v>2015</v>
      </c>
      <c r="M307" s="14" t="s">
        <v>7648</v>
      </c>
      <c r="N307" s="14" t="s">
        <v>5152</v>
      </c>
      <c r="O307" s="14" t="s">
        <v>2057</v>
      </c>
      <c r="P307" s="15" t="s">
        <v>3117</v>
      </c>
      <c r="Q307" s="16">
        <v>920000</v>
      </c>
      <c r="R307" s="17">
        <v>42475</v>
      </c>
      <c r="S307" s="16" t="s">
        <v>9173</v>
      </c>
      <c r="T307" s="16">
        <v>920000</v>
      </c>
      <c r="U307" s="14" t="s">
        <v>5630</v>
      </c>
      <c r="V307" s="13"/>
      <c r="W307" s="17"/>
      <c r="X307" s="14"/>
      <c r="Y307" s="17"/>
      <c r="Z307" s="17"/>
      <c r="AA307" s="14" t="s">
        <v>5509</v>
      </c>
      <c r="AB307" s="14" t="s">
        <v>5510</v>
      </c>
      <c r="AC307" s="14" t="s">
        <v>9174</v>
      </c>
      <c r="AD307" s="20" t="str">
        <f t="shared" si="19"/>
        <v>B2B E-Commerce &gt; Agriculture &gt; Marketplace
Online Grocery &gt; B2B Ecommerce &gt; Farm Produce &gt; Multi-Category &gt; Marketplace
Crop Tech &gt; ECommerce &gt; Farm Produce &gt; B2B &gt; Fruits and Vegetables &gt; Marketplace</v>
      </c>
      <c r="AE307" s="20" t="str">
        <f t="shared" ref="AE307:AE365" si="21">TRIM(MID(SUBSTITUTE($AD307,"&gt;",REPT(" ",LEN($AD307))), (AE$6-1)*LEN($AD307)+1, LEN($AD307)))</f>
        <v>B2B E-Commerce</v>
      </c>
      <c r="AF307" s="20" t="str">
        <f t="shared" si="20"/>
        <v>Agriculture</v>
      </c>
      <c r="AG307" s="20" t="str">
        <f t="shared" si="20"/>
        <v>Marketplace
Online Grocery</v>
      </c>
      <c r="AH307" s="20" t="str">
        <f t="shared" si="20"/>
        <v>B2B Ecommerce</v>
      </c>
      <c r="AI307" s="20" t="str">
        <f t="shared" si="20"/>
        <v>Farm Produce</v>
      </c>
      <c r="AJ307" s="20" t="str">
        <f t="shared" si="20"/>
        <v>Multi-Category</v>
      </c>
      <c r="AK307" s="20" t="str">
        <f t="shared" si="20"/>
        <v>Marketplace
Crop Tech</v>
      </c>
      <c r="AL307" s="14"/>
      <c r="AM307" s="14"/>
      <c r="AO307" s="14"/>
      <c r="AP307" s="14" t="s">
        <v>2057</v>
      </c>
      <c r="AQ307" s="14"/>
      <c r="AR307" s="14"/>
      <c r="AS307" s="14"/>
      <c r="AT307" s="14"/>
      <c r="AU307" s="14"/>
      <c r="AV307" s="18"/>
      <c r="AW307" s="16"/>
      <c r="AX307" s="17"/>
      <c r="AY307" s="15" t="s">
        <v>3123</v>
      </c>
      <c r="AZ307" s="17"/>
      <c r="BA307" s="16"/>
      <c r="BB307" s="14"/>
      <c r="BC307" s="14"/>
      <c r="BD307" s="15" t="s">
        <v>3123</v>
      </c>
      <c r="BE307" s="14"/>
      <c r="BF307" s="17"/>
      <c r="BG307" s="16"/>
      <c r="BH307" s="14"/>
      <c r="BI307" s="15" t="s">
        <v>3123</v>
      </c>
      <c r="BJ307" s="14"/>
      <c r="BK307" s="17"/>
      <c r="BL307" s="16"/>
      <c r="BM307" s="16"/>
      <c r="BN307" s="16"/>
      <c r="BO307" s="16"/>
      <c r="BP307" s="15" t="s">
        <v>3117</v>
      </c>
      <c r="BQ307" s="17"/>
      <c r="BR307" s="14"/>
      <c r="BS307" s="14"/>
      <c r="BT307" s="16"/>
      <c r="BU307" s="16"/>
      <c r="BV307" s="13"/>
      <c r="BW307" s="18" t="s">
        <v>9176</v>
      </c>
      <c r="BX307" s="13">
        <v>-1</v>
      </c>
      <c r="BY307" s="17">
        <v>44124</v>
      </c>
      <c r="BZ307" s="18"/>
      <c r="CA307" s="18"/>
      <c r="CB307" s="18"/>
      <c r="CC307" s="18"/>
      <c r="CD307" s="14" t="s">
        <v>9177</v>
      </c>
      <c r="CE307" s="17">
        <v>42516</v>
      </c>
      <c r="CF307" s="16"/>
      <c r="CG307" s="17"/>
      <c r="CH307" s="16"/>
      <c r="CI307" s="17"/>
      <c r="CJ307" s="16"/>
      <c r="CK307" s="17"/>
      <c r="CL307" s="16"/>
      <c r="CM307" s="17"/>
      <c r="CN307" s="19">
        <v>8.3180422659819566</v>
      </c>
      <c r="CO307" s="19"/>
      <c r="CP307" s="17"/>
      <c r="CQ307" s="14" t="s">
        <v>7606</v>
      </c>
      <c r="CR307" s="14" t="s">
        <v>7607</v>
      </c>
      <c r="CS307" s="14" t="s">
        <v>5945</v>
      </c>
    </row>
    <row r="308" spans="1:97" ht="26.15" customHeight="1">
      <c r="A308" s="2">
        <v>4</v>
      </c>
      <c r="B308" s="25" t="s">
        <v>1453</v>
      </c>
      <c r="C308" s="25" t="e">
        <f>VLOOKUP(B308, Sheet6!$A$1:$B$77, 2, FALSE)</f>
        <v>#N/A</v>
      </c>
      <c r="D308" s="25" t="s">
        <v>1454</v>
      </c>
      <c r="E308" s="25" t="s">
        <v>1455</v>
      </c>
      <c r="F308" s="25" t="s">
        <v>5044</v>
      </c>
      <c r="G308" s="25" t="s">
        <v>10955</v>
      </c>
      <c r="H308" s="25" t="s">
        <v>10959</v>
      </c>
      <c r="I308" s="25" t="s">
        <v>10958</v>
      </c>
      <c r="J308" s="26" t="s">
        <v>10846</v>
      </c>
      <c r="L308" s="13">
        <v>2014</v>
      </c>
      <c r="M308" s="14" t="s">
        <v>4993</v>
      </c>
      <c r="N308" s="14" t="s">
        <v>4994</v>
      </c>
      <c r="O308" s="14" t="s">
        <v>2057</v>
      </c>
      <c r="P308" s="15" t="s">
        <v>3117</v>
      </c>
      <c r="Q308" s="16">
        <v>4632223</v>
      </c>
      <c r="R308" s="17">
        <v>42461</v>
      </c>
      <c r="S308" s="16" t="s">
        <v>5543</v>
      </c>
      <c r="T308" s="16">
        <v>4632223</v>
      </c>
      <c r="U308" s="14" t="s">
        <v>109</v>
      </c>
      <c r="V308" s="13"/>
      <c r="W308" s="17"/>
      <c r="X308" s="14"/>
      <c r="Y308" s="17"/>
      <c r="Z308" s="17"/>
      <c r="AA308" s="14" t="s">
        <v>5509</v>
      </c>
      <c r="AB308" s="14" t="s">
        <v>5510</v>
      </c>
      <c r="AC308" s="14" t="s">
        <v>9174</v>
      </c>
      <c r="AD308" s="20" t="str">
        <f t="shared" si="19"/>
        <v>B2B E-Commerce &gt; Agriculture &gt; Marketplace
Online Grocery &gt; B2B Ecommerce &gt; Farm Produce &gt; Multi-Category &gt; Marketplace
Crop Tech &gt; ECommerce &gt; Farm Produce &gt; B2B &gt; Fruits and Vegetables &gt; Marketplace</v>
      </c>
      <c r="AE308" s="20" t="str">
        <f t="shared" si="21"/>
        <v>B2B E-Commerce</v>
      </c>
      <c r="AF308" s="20" t="str">
        <f t="shared" si="20"/>
        <v>Agriculture</v>
      </c>
      <c r="AG308" s="20" t="str">
        <f t="shared" si="20"/>
        <v>Marketplace
Online Grocery</v>
      </c>
      <c r="AH308" s="20" t="str">
        <f t="shared" si="20"/>
        <v>B2B Ecommerce</v>
      </c>
      <c r="AI308" s="20" t="str">
        <f t="shared" si="20"/>
        <v>Farm Produce</v>
      </c>
      <c r="AJ308" s="20" t="str">
        <f t="shared" si="20"/>
        <v>Multi-Category</v>
      </c>
      <c r="AK308" s="20" t="str">
        <f t="shared" si="20"/>
        <v>Marketplace
Crop Tech</v>
      </c>
      <c r="AL308" s="14" t="s">
        <v>2475</v>
      </c>
      <c r="AM308" s="14"/>
      <c r="AO308" s="14"/>
      <c r="AP308" s="14" t="s">
        <v>2057</v>
      </c>
      <c r="AQ308" s="14"/>
      <c r="AR308" s="14"/>
      <c r="AS308" s="14" t="s">
        <v>9179</v>
      </c>
      <c r="AT308" s="14"/>
      <c r="AU308" s="14"/>
      <c r="AV308" s="18"/>
      <c r="AW308" s="16"/>
      <c r="AX308" s="17"/>
      <c r="AY308" s="15" t="s">
        <v>3123</v>
      </c>
      <c r="AZ308" s="17"/>
      <c r="BA308" s="16"/>
      <c r="BB308" s="14"/>
      <c r="BC308" s="14"/>
      <c r="BD308" s="15" t="s">
        <v>3123</v>
      </c>
      <c r="BE308" s="14"/>
      <c r="BF308" s="17"/>
      <c r="BG308" s="16"/>
      <c r="BH308" s="14"/>
      <c r="BI308" s="15" t="s">
        <v>3123</v>
      </c>
      <c r="BJ308" s="14"/>
      <c r="BK308" s="17"/>
      <c r="BL308" s="16"/>
      <c r="BM308" s="16"/>
      <c r="BN308" s="16"/>
      <c r="BO308" s="16"/>
      <c r="BP308" s="15" t="s">
        <v>3123</v>
      </c>
      <c r="BQ308" s="17"/>
      <c r="BR308" s="14"/>
      <c r="BS308" s="14"/>
      <c r="BT308" s="16"/>
      <c r="BU308" s="16"/>
      <c r="BV308" s="13"/>
      <c r="BW308" s="18" t="s">
        <v>9180</v>
      </c>
      <c r="BX308" s="13">
        <v>200</v>
      </c>
      <c r="BY308" s="17">
        <v>44124</v>
      </c>
      <c r="BZ308" s="18"/>
      <c r="CA308" s="18"/>
      <c r="CB308" s="18"/>
      <c r="CC308" s="18"/>
      <c r="CD308" s="14" t="s">
        <v>9181</v>
      </c>
      <c r="CE308" s="17">
        <v>42510</v>
      </c>
      <c r="CF308" s="16"/>
      <c r="CG308" s="17"/>
      <c r="CH308" s="16"/>
      <c r="CI308" s="17"/>
      <c r="CJ308" s="16"/>
      <c r="CK308" s="17"/>
      <c r="CL308" s="16"/>
      <c r="CM308" s="17"/>
      <c r="CN308" s="19">
        <v>25.765498585949235</v>
      </c>
      <c r="CO308" s="19"/>
      <c r="CP308" s="17"/>
      <c r="CQ308" s="14" t="s">
        <v>6556</v>
      </c>
      <c r="CR308" s="14" t="s">
        <v>6731</v>
      </c>
      <c r="CS308" s="14" t="s">
        <v>6074</v>
      </c>
    </row>
    <row r="309" spans="1:97" ht="26.15" customHeight="1">
      <c r="A309" s="2">
        <v>400</v>
      </c>
      <c r="B309" s="25" t="s">
        <v>2426</v>
      </c>
      <c r="C309" s="25" t="e">
        <f>VLOOKUP(B309, Sheet6!$A$1:$B$77, 2, FALSE)</f>
        <v>#N/A</v>
      </c>
      <c r="D309" s="25" t="s">
        <v>2427</v>
      </c>
      <c r="E309" s="25" t="s">
        <v>2428</v>
      </c>
      <c r="F309" s="25" t="s">
        <v>9311</v>
      </c>
      <c r="G309" s="25" t="s">
        <v>10953</v>
      </c>
      <c r="H309" s="25" t="s">
        <v>10967</v>
      </c>
      <c r="I309" s="25" t="s">
        <v>10558</v>
      </c>
      <c r="J309" s="25" t="s">
        <v>10821</v>
      </c>
      <c r="L309" s="13">
        <v>2016</v>
      </c>
      <c r="M309" s="14" t="s">
        <v>5038</v>
      </c>
      <c r="N309" s="14" t="s">
        <v>5039</v>
      </c>
      <c r="O309" s="14" t="s">
        <v>3994</v>
      </c>
      <c r="P309" s="15" t="s">
        <v>3117</v>
      </c>
      <c r="Q309" s="16">
        <v>15000</v>
      </c>
      <c r="R309" s="17">
        <v>42370</v>
      </c>
      <c r="S309" s="16" t="s">
        <v>5485</v>
      </c>
      <c r="T309" s="16">
        <v>15000</v>
      </c>
      <c r="U309" s="14" t="s">
        <v>5630</v>
      </c>
      <c r="V309" s="13"/>
      <c r="W309" s="17"/>
      <c r="X309" s="14"/>
      <c r="Y309" s="17"/>
      <c r="Z309" s="17"/>
      <c r="AA309" s="14" t="s">
        <v>5493</v>
      </c>
      <c r="AB309" s="14" t="s">
        <v>5494</v>
      </c>
      <c r="AC309" s="14" t="s">
        <v>9182</v>
      </c>
      <c r="AD309" s="20" t="str">
        <f t="shared" si="19"/>
        <v>B2B E-Commerce &gt; Agriculture &gt; Listing Platform
Crop Tech &gt; ECommerce &gt; Diversified &gt; Marketplace</v>
      </c>
      <c r="AE309" s="20" t="str">
        <f t="shared" si="21"/>
        <v>B2B E-Commerce</v>
      </c>
      <c r="AF309" s="20" t="str">
        <f t="shared" si="20"/>
        <v>Agriculture</v>
      </c>
      <c r="AG309" s="20" t="str">
        <f t="shared" si="20"/>
        <v>Listing Platform
Crop Tech</v>
      </c>
      <c r="AH309" s="20" t="str">
        <f t="shared" si="20"/>
        <v>ECommerce</v>
      </c>
      <c r="AI309" s="20" t="str">
        <f t="shared" si="20"/>
        <v>Diversified</v>
      </c>
      <c r="AJ309" s="20" t="str">
        <f t="shared" si="20"/>
        <v>Marketplace</v>
      </c>
      <c r="AK309" s="20" t="str">
        <f t="shared" si="20"/>
        <v/>
      </c>
      <c r="AL309" s="14"/>
      <c r="AM309" s="14"/>
      <c r="AO309" s="14"/>
      <c r="AP309" s="14" t="s">
        <v>3994</v>
      </c>
      <c r="AQ309" s="14"/>
      <c r="AR309" s="14"/>
      <c r="AS309" s="14" t="s">
        <v>9184</v>
      </c>
      <c r="AT309" s="14" t="s">
        <v>9185</v>
      </c>
      <c r="AU309" s="14" t="s">
        <v>9186</v>
      </c>
      <c r="AV309" s="18"/>
      <c r="AW309" s="16"/>
      <c r="AX309" s="17"/>
      <c r="AY309" s="15" t="s">
        <v>3123</v>
      </c>
      <c r="AZ309" s="17"/>
      <c r="BA309" s="16"/>
      <c r="BB309" s="14"/>
      <c r="BC309" s="14"/>
      <c r="BD309" s="15" t="s">
        <v>3123</v>
      </c>
      <c r="BE309" s="14"/>
      <c r="BF309" s="17"/>
      <c r="BG309" s="16"/>
      <c r="BH309" s="14"/>
      <c r="BI309" s="15" t="s">
        <v>3123</v>
      </c>
      <c r="BJ309" s="14"/>
      <c r="BK309" s="17"/>
      <c r="BL309" s="16"/>
      <c r="BM309" s="16"/>
      <c r="BN309" s="16"/>
      <c r="BO309" s="16"/>
      <c r="BP309" s="15" t="s">
        <v>3117</v>
      </c>
      <c r="BQ309" s="17">
        <v>43252</v>
      </c>
      <c r="BR309" s="14"/>
      <c r="BS309" s="14"/>
      <c r="BT309" s="16"/>
      <c r="BU309" s="16"/>
      <c r="BV309" s="13"/>
      <c r="BW309" s="18" t="s">
        <v>9187</v>
      </c>
      <c r="BX309" s="13">
        <v>-1</v>
      </c>
      <c r="BY309" s="17">
        <v>44124</v>
      </c>
      <c r="BZ309" s="18" t="s">
        <v>9188</v>
      </c>
      <c r="CA309" s="18" t="s">
        <v>9189</v>
      </c>
      <c r="CB309" s="18"/>
      <c r="CC309" s="18"/>
      <c r="CD309" s="14" t="s">
        <v>9190</v>
      </c>
      <c r="CE309" s="17">
        <v>42863</v>
      </c>
      <c r="CF309" s="16"/>
      <c r="CG309" s="17"/>
      <c r="CH309" s="16"/>
      <c r="CI309" s="17"/>
      <c r="CJ309" s="16"/>
      <c r="CK309" s="17"/>
      <c r="CL309" s="16">
        <v>20</v>
      </c>
      <c r="CM309" s="17">
        <v>43921</v>
      </c>
      <c r="CN309" s="19">
        <v>30.108563847001506</v>
      </c>
      <c r="CO309" s="19"/>
      <c r="CP309" s="17"/>
      <c r="CQ309" s="14" t="s">
        <v>5036</v>
      </c>
      <c r="CR309" s="14" t="s">
        <v>5962</v>
      </c>
      <c r="CS309" s="14" t="s">
        <v>5945</v>
      </c>
    </row>
    <row r="310" spans="1:97" ht="26.15" customHeight="1">
      <c r="A310" s="2">
        <v>229</v>
      </c>
      <c r="B310" s="25" t="s">
        <v>1531</v>
      </c>
      <c r="C310" s="25" t="e">
        <f>VLOOKUP(B310, Sheet6!$A$1:$B$77, 2, FALSE)</f>
        <v>#N/A</v>
      </c>
      <c r="D310" s="25" t="s">
        <v>1532</v>
      </c>
      <c r="E310" s="25" t="s">
        <v>1535</v>
      </c>
      <c r="F310" s="25" t="s">
        <v>7876</v>
      </c>
      <c r="G310" s="25" t="s">
        <v>10955</v>
      </c>
      <c r="H310" s="25" t="s">
        <v>10959</v>
      </c>
      <c r="I310" s="25" t="s">
        <v>10958</v>
      </c>
      <c r="J310" s="26" t="s">
        <v>10759</v>
      </c>
      <c r="L310" s="13">
        <v>2015</v>
      </c>
      <c r="M310" s="14" t="s">
        <v>5005</v>
      </c>
      <c r="N310" s="14" t="s">
        <v>5006</v>
      </c>
      <c r="O310" s="14" t="s">
        <v>3994</v>
      </c>
      <c r="P310" s="15" t="s">
        <v>3117</v>
      </c>
      <c r="Q310" s="16">
        <v>3493115</v>
      </c>
      <c r="R310" s="17">
        <v>43908</v>
      </c>
      <c r="S310" s="16" t="s">
        <v>5069</v>
      </c>
      <c r="T310" s="16">
        <v>3373115</v>
      </c>
      <c r="U310" s="14" t="s">
        <v>34</v>
      </c>
      <c r="V310" s="13">
        <v>4</v>
      </c>
      <c r="W310" s="17">
        <v>44015</v>
      </c>
      <c r="X310" s="14" t="s">
        <v>5052</v>
      </c>
      <c r="Y310" s="17">
        <v>43494</v>
      </c>
      <c r="Z310" s="17">
        <v>43282</v>
      </c>
      <c r="AA310" s="14" t="s">
        <v>5278</v>
      </c>
      <c r="AB310" s="14" t="s">
        <v>7684</v>
      </c>
      <c r="AC310" s="14" t="s">
        <v>7685</v>
      </c>
      <c r="AD310" s="20" t="str">
        <f t="shared" si="19"/>
        <v>B2B E-Commerce &gt; Food &amp; Beverages &gt; Groceries &gt; Farm Products &gt; Marketplace
Online Grocery &gt; B2B Ecommerce &gt; Farm Produce &gt; Multi-Category &gt; Marketplace
Crop Tech &gt; ECommerce &gt; Farm Produce &gt; B2B &gt; Fruits and Vegetables &gt; Marketplace
Y Combinator Batches &gt; 2016 &gt; Winter</v>
      </c>
      <c r="AE310" s="20" t="str">
        <f t="shared" si="21"/>
        <v>B2B E-Commerce</v>
      </c>
      <c r="AF310" s="20" t="str">
        <f t="shared" si="20"/>
        <v>Food &amp; Beverages</v>
      </c>
      <c r="AG310" s="20" t="str">
        <f t="shared" si="20"/>
        <v>Groceries</v>
      </c>
      <c r="AH310" s="20" t="str">
        <f t="shared" si="20"/>
        <v>Farm Products</v>
      </c>
      <c r="AI310" s="20" t="str">
        <f t="shared" si="20"/>
        <v>Marketplace
Online Grocery</v>
      </c>
      <c r="AJ310" s="20" t="str">
        <f t="shared" si="20"/>
        <v>B2B Ecommerce</v>
      </c>
      <c r="AK310" s="20" t="str">
        <f t="shared" si="20"/>
        <v>Farm Produce</v>
      </c>
      <c r="AL310" s="14" t="s">
        <v>7686</v>
      </c>
      <c r="AM310" s="14" t="s">
        <v>503</v>
      </c>
      <c r="AO310" s="14"/>
      <c r="AP310" s="14" t="s">
        <v>3994</v>
      </c>
      <c r="AQ310" s="14" t="s">
        <v>7688</v>
      </c>
      <c r="AR310" s="14" t="s">
        <v>7689</v>
      </c>
      <c r="AS310" s="14" t="s">
        <v>7690</v>
      </c>
      <c r="AT310" s="14" t="s">
        <v>7691</v>
      </c>
      <c r="AU310" s="14" t="s">
        <v>7692</v>
      </c>
      <c r="AV310" s="18"/>
      <c r="AW310" s="16">
        <v>859162</v>
      </c>
      <c r="AX310" s="17">
        <v>43465</v>
      </c>
      <c r="AY310" s="15" t="s">
        <v>3117</v>
      </c>
      <c r="AZ310" s="17">
        <v>42240</v>
      </c>
      <c r="BA310" s="16">
        <v>15073</v>
      </c>
      <c r="BB310" s="14" t="s">
        <v>7693</v>
      </c>
      <c r="BC310" s="14"/>
      <c r="BD310" s="15" t="s">
        <v>3123</v>
      </c>
      <c r="BE310" s="14"/>
      <c r="BF310" s="17"/>
      <c r="BG310" s="16"/>
      <c r="BH310" s="14"/>
      <c r="BI310" s="15" t="s">
        <v>3123</v>
      </c>
      <c r="BJ310" s="14"/>
      <c r="BK310" s="17"/>
      <c r="BL310" s="16"/>
      <c r="BM310" s="16"/>
      <c r="BN310" s="16"/>
      <c r="BO310" s="16"/>
      <c r="BP310" s="15" t="s">
        <v>3123</v>
      </c>
      <c r="BQ310" s="17"/>
      <c r="BR310" s="14"/>
      <c r="BS310" s="14"/>
      <c r="BT310" s="16"/>
      <c r="BU310" s="16"/>
      <c r="BV310" s="13"/>
      <c r="BW310" s="18" t="s">
        <v>7694</v>
      </c>
      <c r="BX310" s="13">
        <v>200</v>
      </c>
      <c r="BY310" s="17">
        <v>44124</v>
      </c>
      <c r="BZ310" s="18" t="s">
        <v>7695</v>
      </c>
      <c r="CA310" s="18" t="s">
        <v>7696</v>
      </c>
      <c r="CB310" s="18"/>
      <c r="CC310" s="18"/>
      <c r="CD310" s="14" t="s">
        <v>7697</v>
      </c>
      <c r="CE310" s="17">
        <v>42950</v>
      </c>
      <c r="CF310" s="16">
        <v>-309963</v>
      </c>
      <c r="CG310" s="17">
        <v>43465</v>
      </c>
      <c r="CH310" s="16">
        <v>-308885</v>
      </c>
      <c r="CI310" s="17">
        <v>43465</v>
      </c>
      <c r="CJ310" s="16"/>
      <c r="CK310" s="17"/>
      <c r="CL310" s="16">
        <v>21</v>
      </c>
      <c r="CM310" s="17">
        <v>43921</v>
      </c>
      <c r="CN310" s="19">
        <v>49.66228832280644</v>
      </c>
      <c r="CO310" s="19"/>
      <c r="CP310" s="17"/>
      <c r="CQ310" s="14" t="s">
        <v>6556</v>
      </c>
      <c r="CR310" s="14" t="s">
        <v>6557</v>
      </c>
      <c r="CS310" s="14" t="s">
        <v>5945</v>
      </c>
    </row>
    <row r="311" spans="1:97" ht="26.15" customHeight="1">
      <c r="A311" s="2">
        <v>333</v>
      </c>
      <c r="B311" s="25" t="s">
        <v>2732</v>
      </c>
      <c r="C311" s="25" t="e">
        <f>VLOOKUP(B311, Sheet6!$A$1:$B$77, 2, FALSE)</f>
        <v>#N/A</v>
      </c>
      <c r="D311" s="25" t="s">
        <v>2733</v>
      </c>
      <c r="E311" s="25" t="s">
        <v>2734</v>
      </c>
      <c r="F311" s="25" t="s">
        <v>8991</v>
      </c>
      <c r="G311" s="25" t="s">
        <v>10952</v>
      </c>
      <c r="H311" s="25" t="s">
        <v>10959</v>
      </c>
      <c r="I311" s="25" t="s">
        <v>10558</v>
      </c>
      <c r="J311" s="25" t="s">
        <v>10718</v>
      </c>
      <c r="L311" s="13">
        <v>2014</v>
      </c>
      <c r="M311" s="14" t="s">
        <v>5222</v>
      </c>
      <c r="N311" s="14" t="s">
        <v>5223</v>
      </c>
      <c r="O311" s="14" t="s">
        <v>3994</v>
      </c>
      <c r="P311" s="15" t="s">
        <v>3117</v>
      </c>
      <c r="Q311" s="16">
        <v>1570818</v>
      </c>
      <c r="R311" s="17">
        <v>43615</v>
      </c>
      <c r="S311" s="16" t="s">
        <v>7698</v>
      </c>
      <c r="T311" s="16">
        <v>157428</v>
      </c>
      <c r="U311" s="14" t="s">
        <v>34</v>
      </c>
      <c r="V311" s="13">
        <v>4</v>
      </c>
      <c r="W311" s="17">
        <v>44098</v>
      </c>
      <c r="X311" s="14"/>
      <c r="Y311" s="17"/>
      <c r="Z311" s="17"/>
      <c r="AA311" s="14" t="s">
        <v>7699</v>
      </c>
      <c r="AB311" s="14" t="s">
        <v>7700</v>
      </c>
      <c r="AC311" s="14" t="s">
        <v>7701</v>
      </c>
      <c r="AD311" s="20" t="str">
        <f t="shared" si="19"/>
        <v>ERP &gt; Agriculture &gt; Farm Management &gt; Suite
Field Force Automation &gt; Agricultural industry
Crop Tech &gt; Farm Management Software &gt; Diversified</v>
      </c>
      <c r="AE311" s="20" t="str">
        <f t="shared" si="21"/>
        <v>ERP</v>
      </c>
      <c r="AF311" s="20" t="str">
        <f t="shared" si="20"/>
        <v>Agriculture</v>
      </c>
      <c r="AG311" s="20" t="str">
        <f t="shared" si="20"/>
        <v>Farm Management</v>
      </c>
      <c r="AH311" s="20" t="str">
        <f t="shared" si="20"/>
        <v>Suite
Field Force Automation</v>
      </c>
      <c r="AI311" s="20" t="str">
        <f t="shared" si="20"/>
        <v>Agricultural industry
Crop Tech</v>
      </c>
      <c r="AJ311" s="20" t="str">
        <f t="shared" si="20"/>
        <v>Farm Management Software</v>
      </c>
      <c r="AK311" s="20" t="str">
        <f t="shared" si="20"/>
        <v>Diversified</v>
      </c>
      <c r="AL311" s="14" t="s">
        <v>7702</v>
      </c>
      <c r="AM311" s="14" t="s">
        <v>7703</v>
      </c>
      <c r="AO311" s="14"/>
      <c r="AP311" s="14" t="s">
        <v>3994</v>
      </c>
      <c r="AQ311" s="14"/>
      <c r="AR311" s="14" t="s">
        <v>7705</v>
      </c>
      <c r="AS311" s="14" t="s">
        <v>7706</v>
      </c>
      <c r="AT311" s="14" t="s">
        <v>7707</v>
      </c>
      <c r="AU311" s="14" t="s">
        <v>7708</v>
      </c>
      <c r="AV311" s="18"/>
      <c r="AW311" s="16">
        <v>157200</v>
      </c>
      <c r="AX311" s="17">
        <v>43465</v>
      </c>
      <c r="AY311" s="15" t="s">
        <v>3117</v>
      </c>
      <c r="AZ311" s="17">
        <v>42450</v>
      </c>
      <c r="BA311" s="16">
        <v>1502</v>
      </c>
      <c r="BB311" s="14" t="s">
        <v>7709</v>
      </c>
      <c r="BC311" s="14"/>
      <c r="BD311" s="15" t="s">
        <v>3123</v>
      </c>
      <c r="BE311" s="14"/>
      <c r="BF311" s="17"/>
      <c r="BG311" s="16"/>
      <c r="BH311" s="14"/>
      <c r="BI311" s="15" t="s">
        <v>3123</v>
      </c>
      <c r="BJ311" s="14"/>
      <c r="BK311" s="17"/>
      <c r="BL311" s="16"/>
      <c r="BM311" s="16"/>
      <c r="BN311" s="16"/>
      <c r="BO311" s="16"/>
      <c r="BP311" s="15" t="s">
        <v>3123</v>
      </c>
      <c r="BQ311" s="17"/>
      <c r="BR311" s="14"/>
      <c r="BS311" s="14"/>
      <c r="BT311" s="16"/>
      <c r="BU311" s="16"/>
      <c r="BV311" s="13"/>
      <c r="BW311" s="18" t="s">
        <v>7710</v>
      </c>
      <c r="BX311" s="13">
        <v>200</v>
      </c>
      <c r="BY311" s="17">
        <v>44124</v>
      </c>
      <c r="BZ311" s="18"/>
      <c r="CA311" s="18" t="s">
        <v>7711</v>
      </c>
      <c r="CB311" s="18"/>
      <c r="CC311" s="18"/>
      <c r="CD311" s="14" t="s">
        <v>7712</v>
      </c>
      <c r="CE311" s="17">
        <v>42578</v>
      </c>
      <c r="CF311" s="16">
        <v>-454500</v>
      </c>
      <c r="CG311" s="17">
        <v>43465</v>
      </c>
      <c r="CH311" s="16">
        <v>-431600</v>
      </c>
      <c r="CI311" s="17">
        <v>43465</v>
      </c>
      <c r="CJ311" s="16">
        <v>10000000</v>
      </c>
      <c r="CK311" s="17">
        <v>43323</v>
      </c>
      <c r="CL311" s="16">
        <v>44</v>
      </c>
      <c r="CM311" s="17">
        <v>43738</v>
      </c>
      <c r="CN311" s="19">
        <v>38.372003453168574</v>
      </c>
      <c r="CO311" s="19"/>
      <c r="CP311" s="17"/>
      <c r="CQ311" s="14" t="s">
        <v>7713</v>
      </c>
      <c r="CR311" s="14"/>
      <c r="CS311" s="14" t="s">
        <v>7714</v>
      </c>
    </row>
    <row r="312" spans="1:97" ht="26.15" customHeight="1">
      <c r="A312" s="2">
        <v>201</v>
      </c>
      <c r="B312" s="25" t="s">
        <v>863</v>
      </c>
      <c r="C312" s="25" t="e">
        <f>VLOOKUP(B312, Sheet6!$A$1:$B$77, 2, FALSE)</f>
        <v>#N/A</v>
      </c>
      <c r="D312" s="25" t="s">
        <v>864</v>
      </c>
      <c r="E312" s="25" t="s">
        <v>867</v>
      </c>
      <c r="F312" s="25" t="s">
        <v>7558</v>
      </c>
      <c r="G312" s="25" t="s">
        <v>10952</v>
      </c>
      <c r="H312" s="25" t="s">
        <v>10967</v>
      </c>
      <c r="I312" s="25" t="s">
        <v>10958</v>
      </c>
      <c r="J312" s="26" t="s">
        <v>10517</v>
      </c>
      <c r="L312" s="13">
        <v>2014</v>
      </c>
      <c r="M312" s="14" t="s">
        <v>9191</v>
      </c>
      <c r="N312" s="14" t="s">
        <v>9192</v>
      </c>
      <c r="O312" s="14" t="s">
        <v>9193</v>
      </c>
      <c r="P312" s="15" t="s">
        <v>3117</v>
      </c>
      <c r="Q312" s="16"/>
      <c r="R312" s="17">
        <v>42195</v>
      </c>
      <c r="S312" s="16"/>
      <c r="T312" s="16" t="s">
        <v>50</v>
      </c>
      <c r="U312" s="14" t="s">
        <v>34</v>
      </c>
      <c r="V312" s="13">
        <v>3</v>
      </c>
      <c r="W312" s="17">
        <v>43994</v>
      </c>
      <c r="X312" s="14"/>
      <c r="Y312" s="17"/>
      <c r="Z312" s="17"/>
      <c r="AA312" s="14" t="s">
        <v>1</v>
      </c>
      <c r="AB312" s="14" t="s">
        <v>5007</v>
      </c>
      <c r="AC312" s="14" t="s">
        <v>2678</v>
      </c>
      <c r="AD312" s="20" t="str">
        <f t="shared" si="19"/>
        <v>Crop Tech &gt; Farm Equipment &gt; Greenhouse Systems</v>
      </c>
      <c r="AE312" s="20" t="str">
        <f t="shared" si="21"/>
        <v>Crop Tech</v>
      </c>
      <c r="AF312" s="20" t="str">
        <f t="shared" si="20"/>
        <v>Farm Equipment</v>
      </c>
      <c r="AG312" s="20" t="str">
        <f t="shared" si="20"/>
        <v>Greenhouse Systems</v>
      </c>
      <c r="AH312" s="20" t="str">
        <f t="shared" si="20"/>
        <v/>
      </c>
      <c r="AI312" s="20" t="str">
        <f t="shared" si="20"/>
        <v/>
      </c>
      <c r="AJ312" s="20" t="str">
        <f t="shared" si="20"/>
        <v/>
      </c>
      <c r="AK312" s="20" t="str">
        <f t="shared" si="20"/>
        <v/>
      </c>
      <c r="AL312" s="14" t="s">
        <v>2675</v>
      </c>
      <c r="AM312" s="14"/>
      <c r="AO312" s="14"/>
      <c r="AP312" s="14" t="s">
        <v>9193</v>
      </c>
      <c r="AQ312" s="14"/>
      <c r="AR312" s="14"/>
      <c r="AS312" s="14" t="s">
        <v>9195</v>
      </c>
      <c r="AT312" s="14" t="s">
        <v>9196</v>
      </c>
      <c r="AU312" s="14" t="s">
        <v>9197</v>
      </c>
      <c r="AV312" s="18"/>
      <c r="AW312" s="16"/>
      <c r="AX312" s="17"/>
      <c r="AY312" s="15" t="s">
        <v>3123</v>
      </c>
      <c r="AZ312" s="17"/>
      <c r="BA312" s="16"/>
      <c r="BB312" s="14"/>
      <c r="BC312" s="14"/>
      <c r="BD312" s="15" t="s">
        <v>3123</v>
      </c>
      <c r="BE312" s="14"/>
      <c r="BF312" s="17"/>
      <c r="BG312" s="16"/>
      <c r="BH312" s="14"/>
      <c r="BI312" s="15" t="s">
        <v>3123</v>
      </c>
      <c r="BJ312" s="14"/>
      <c r="BK312" s="17"/>
      <c r="BL312" s="16"/>
      <c r="BM312" s="16"/>
      <c r="BN312" s="16"/>
      <c r="BO312" s="16"/>
      <c r="BP312" s="15" t="s">
        <v>3123</v>
      </c>
      <c r="BQ312" s="17"/>
      <c r="BR312" s="14"/>
      <c r="BS312" s="14"/>
      <c r="BT312" s="16"/>
      <c r="BU312" s="16"/>
      <c r="BV312" s="13"/>
      <c r="BW312" s="18" t="s">
        <v>9198</v>
      </c>
      <c r="BX312" s="13">
        <v>200</v>
      </c>
      <c r="BY312" s="17">
        <v>44124</v>
      </c>
      <c r="BZ312" s="18" t="s">
        <v>9199</v>
      </c>
      <c r="CA312" s="18" t="s">
        <v>9200</v>
      </c>
      <c r="CB312" s="18" t="s">
        <v>9201</v>
      </c>
      <c r="CC312" s="18"/>
      <c r="CD312" s="14" t="s">
        <v>9202</v>
      </c>
      <c r="CE312" s="17">
        <v>43032</v>
      </c>
      <c r="CF312" s="16"/>
      <c r="CG312" s="17"/>
      <c r="CH312" s="16"/>
      <c r="CI312" s="17"/>
      <c r="CJ312" s="16"/>
      <c r="CK312" s="17"/>
      <c r="CL312" s="16"/>
      <c r="CM312" s="17"/>
      <c r="CN312" s="19">
        <v>11.038889019045428</v>
      </c>
      <c r="CO312" s="19"/>
      <c r="CP312" s="17"/>
      <c r="CQ312" s="14" t="s">
        <v>5345</v>
      </c>
      <c r="CR312" s="14" t="s">
        <v>7272</v>
      </c>
      <c r="CS312" s="14" t="s">
        <v>5945</v>
      </c>
    </row>
    <row r="313" spans="1:97" ht="26.15" customHeight="1">
      <c r="A313" s="2">
        <v>207</v>
      </c>
      <c r="B313" s="25" t="s">
        <v>153</v>
      </c>
      <c r="C313" s="25" t="e">
        <f>VLOOKUP(B313, Sheet6!$A$1:$B$77, 2, FALSE)</f>
        <v>#N/A</v>
      </c>
      <c r="D313" s="25" t="s">
        <v>154</v>
      </c>
      <c r="E313" s="25" t="s">
        <v>158</v>
      </c>
      <c r="F313" s="25" t="s">
        <v>7621</v>
      </c>
      <c r="G313" s="25" t="s">
        <v>10955</v>
      </c>
      <c r="H313" s="25" t="s">
        <v>10957</v>
      </c>
      <c r="I313" s="25" t="s">
        <v>10958</v>
      </c>
      <c r="J313" s="26" t="s">
        <v>10963</v>
      </c>
      <c r="L313" s="13">
        <v>2015</v>
      </c>
      <c r="M313" s="14" t="s">
        <v>6826</v>
      </c>
      <c r="N313" s="14" t="s">
        <v>6004</v>
      </c>
      <c r="O313" s="14" t="s">
        <v>4343</v>
      </c>
      <c r="P313" s="15" t="s">
        <v>3117</v>
      </c>
      <c r="Q313" s="16"/>
      <c r="R313" s="17">
        <v>42005</v>
      </c>
      <c r="S313" s="16"/>
      <c r="T313" s="16" t="s">
        <v>50</v>
      </c>
      <c r="U313" s="14" t="s">
        <v>5630</v>
      </c>
      <c r="V313" s="13"/>
      <c r="W313" s="17">
        <v>44089</v>
      </c>
      <c r="X313" s="14"/>
      <c r="Y313" s="17"/>
      <c r="Z313" s="17"/>
      <c r="AA313" s="14" t="s">
        <v>1</v>
      </c>
      <c r="AB313" s="14" t="s">
        <v>5007</v>
      </c>
      <c r="AC313" s="14" t="s">
        <v>9203</v>
      </c>
      <c r="AD313" s="20" t="str">
        <f t="shared" si="19"/>
        <v>Crop Tech &gt; Farm Management Software &gt; Vineyard Management</v>
      </c>
      <c r="AE313" s="20" t="str">
        <f t="shared" si="21"/>
        <v>Crop Tech</v>
      </c>
      <c r="AF313" s="20" t="str">
        <f t="shared" si="20"/>
        <v>Farm Management Software</v>
      </c>
      <c r="AG313" s="20" t="str">
        <f t="shared" si="20"/>
        <v>Vineyard Management</v>
      </c>
      <c r="AH313" s="20" t="str">
        <f t="shared" si="20"/>
        <v/>
      </c>
      <c r="AI313" s="20" t="str">
        <f t="shared" si="20"/>
        <v/>
      </c>
      <c r="AJ313" s="20" t="str">
        <f t="shared" si="20"/>
        <v/>
      </c>
      <c r="AK313" s="20" t="str">
        <f t="shared" si="20"/>
        <v/>
      </c>
      <c r="AL313" s="14" t="s">
        <v>356</v>
      </c>
      <c r="AM313" s="14"/>
      <c r="AO313" s="14"/>
      <c r="AP313" s="14" t="s">
        <v>4343</v>
      </c>
      <c r="AQ313" s="14" t="s">
        <v>9205</v>
      </c>
      <c r="AR313" s="14"/>
      <c r="AS313" s="14" t="s">
        <v>9206</v>
      </c>
      <c r="AT313" s="14" t="s">
        <v>9207</v>
      </c>
      <c r="AU313" s="14" t="s">
        <v>9208</v>
      </c>
      <c r="AV313" s="18"/>
      <c r="AW313" s="16"/>
      <c r="AX313" s="17"/>
      <c r="AY313" s="15" t="s">
        <v>3123</v>
      </c>
      <c r="AZ313" s="17"/>
      <c r="BA313" s="16"/>
      <c r="BB313" s="14"/>
      <c r="BC313" s="14"/>
      <c r="BD313" s="15" t="s">
        <v>3123</v>
      </c>
      <c r="BE313" s="14"/>
      <c r="BF313" s="17"/>
      <c r="BG313" s="16"/>
      <c r="BH313" s="14"/>
      <c r="BI313" s="15" t="s">
        <v>3123</v>
      </c>
      <c r="BJ313" s="14"/>
      <c r="BK313" s="17"/>
      <c r="BL313" s="16"/>
      <c r="BM313" s="16"/>
      <c r="BN313" s="16"/>
      <c r="BO313" s="16"/>
      <c r="BP313" s="15" t="s">
        <v>3117</v>
      </c>
      <c r="BQ313" s="17">
        <v>42461</v>
      </c>
      <c r="BR313" s="14"/>
      <c r="BS313" s="14"/>
      <c r="BT313" s="16"/>
      <c r="BU313" s="16"/>
      <c r="BV313" s="13"/>
      <c r="BW313" s="18" t="s">
        <v>9209</v>
      </c>
      <c r="BX313" s="13">
        <v>-1</v>
      </c>
      <c r="BY313" s="17">
        <v>44124</v>
      </c>
      <c r="BZ313" s="18"/>
      <c r="CA313" s="18"/>
      <c r="CB313" s="18"/>
      <c r="CC313" s="18"/>
      <c r="CD313" s="14" t="s">
        <v>9210</v>
      </c>
      <c r="CE313" s="17">
        <v>42957</v>
      </c>
      <c r="CF313" s="16"/>
      <c r="CG313" s="17"/>
      <c r="CH313" s="16"/>
      <c r="CI313" s="17"/>
      <c r="CJ313" s="16"/>
      <c r="CK313" s="17"/>
      <c r="CL313" s="16"/>
      <c r="CM313" s="17"/>
      <c r="CN313" s="19">
        <v>12.889770166316492</v>
      </c>
      <c r="CO313" s="19"/>
      <c r="CP313" s="17"/>
      <c r="CQ313" s="14" t="s">
        <v>5345</v>
      </c>
      <c r="CR313" s="14" t="s">
        <v>7272</v>
      </c>
      <c r="CS313" s="14" t="s">
        <v>5945</v>
      </c>
    </row>
    <row r="314" spans="1:97" ht="26.15" customHeight="1">
      <c r="A314" s="2">
        <v>440</v>
      </c>
      <c r="B314" s="25" t="s">
        <v>2840</v>
      </c>
      <c r="C314" s="25" t="e">
        <f>VLOOKUP(B314, Sheet6!$A$1:$B$77, 2, FALSE)</f>
        <v>#N/A</v>
      </c>
      <c r="D314" s="25" t="s">
        <v>2841</v>
      </c>
      <c r="E314" s="25" t="s">
        <v>2843</v>
      </c>
      <c r="F314" s="25" t="s">
        <v>9555</v>
      </c>
      <c r="G314" s="25" t="s">
        <v>10955</v>
      </c>
      <c r="H314" s="25" t="s">
        <v>10957</v>
      </c>
      <c r="I314" s="25" t="s">
        <v>10968</v>
      </c>
      <c r="J314" s="25" t="s">
        <v>10759</v>
      </c>
      <c r="L314" s="13">
        <v>2015</v>
      </c>
      <c r="M314" s="14" t="s">
        <v>5829</v>
      </c>
      <c r="N314" s="14" t="s">
        <v>5164</v>
      </c>
      <c r="O314" s="14" t="s">
        <v>4343</v>
      </c>
      <c r="P314" s="15" t="s">
        <v>3117</v>
      </c>
      <c r="Q314" s="16">
        <v>1500000</v>
      </c>
      <c r="R314" s="17">
        <v>43066</v>
      </c>
      <c r="S314" s="16" t="s">
        <v>5022</v>
      </c>
      <c r="T314" s="16">
        <v>1500000</v>
      </c>
      <c r="U314" s="14" t="s">
        <v>34</v>
      </c>
      <c r="V314" s="13">
        <v>3</v>
      </c>
      <c r="W314" s="17">
        <v>44081</v>
      </c>
      <c r="X314" s="14"/>
      <c r="Y314" s="17"/>
      <c r="Z314" s="17"/>
      <c r="AA314" s="14" t="s">
        <v>1</v>
      </c>
      <c r="AB314" s="14" t="s">
        <v>5135</v>
      </c>
      <c r="AC314" s="14" t="s">
        <v>7725</v>
      </c>
      <c r="AD314" s="20" t="str">
        <f t="shared" si="19"/>
        <v>Aquaculture Tech &gt; Feeding &gt; Sustainable Feeds &gt; Microbial Based</v>
      </c>
      <c r="AE314" s="20" t="str">
        <f t="shared" si="21"/>
        <v>Aquaculture Tech</v>
      </c>
      <c r="AF314" s="20" t="str">
        <f t="shared" si="20"/>
        <v>Feeding</v>
      </c>
      <c r="AG314" s="20" t="str">
        <f t="shared" si="20"/>
        <v>Sustainable Feeds</v>
      </c>
      <c r="AH314" s="20" t="str">
        <f t="shared" si="20"/>
        <v>Microbial Based</v>
      </c>
      <c r="AI314" s="20" t="str">
        <f t="shared" si="20"/>
        <v/>
      </c>
      <c r="AJ314" s="20" t="str">
        <f t="shared" si="20"/>
        <v/>
      </c>
      <c r="AK314" s="20" t="str">
        <f t="shared" si="20"/>
        <v/>
      </c>
      <c r="AL314" s="14" t="s">
        <v>7726</v>
      </c>
      <c r="AM314" s="14"/>
      <c r="AO314" s="14"/>
      <c r="AP314" s="14" t="s">
        <v>4343</v>
      </c>
      <c r="AQ314" s="14"/>
      <c r="AR314" s="14"/>
      <c r="AS314" s="14" t="s">
        <v>7728</v>
      </c>
      <c r="AT314" s="14" t="s">
        <v>7729</v>
      </c>
      <c r="AU314" s="14" t="s">
        <v>7730</v>
      </c>
      <c r="AV314" s="18"/>
      <c r="AW314" s="16"/>
      <c r="AX314" s="17"/>
      <c r="AY314" s="15" t="s">
        <v>3123</v>
      </c>
      <c r="AZ314" s="17"/>
      <c r="BA314" s="16"/>
      <c r="BB314" s="14"/>
      <c r="BC314" s="14"/>
      <c r="BD314" s="15" t="s">
        <v>3123</v>
      </c>
      <c r="BE314" s="14"/>
      <c r="BF314" s="17"/>
      <c r="BG314" s="16"/>
      <c r="BH314" s="14"/>
      <c r="BI314" s="15" t="s">
        <v>3123</v>
      </c>
      <c r="BJ314" s="14"/>
      <c r="BK314" s="17"/>
      <c r="BL314" s="16"/>
      <c r="BM314" s="16"/>
      <c r="BN314" s="16"/>
      <c r="BO314" s="16"/>
      <c r="BP314" s="15" t="s">
        <v>3123</v>
      </c>
      <c r="BQ314" s="17"/>
      <c r="BR314" s="14"/>
      <c r="BS314" s="14"/>
      <c r="BT314" s="16"/>
      <c r="BU314" s="16"/>
      <c r="BV314" s="13"/>
      <c r="BW314" s="18" t="s">
        <v>7731</v>
      </c>
      <c r="BX314" s="13">
        <v>301</v>
      </c>
      <c r="BY314" s="17">
        <v>44124</v>
      </c>
      <c r="BZ314" s="18"/>
      <c r="CA314" s="18"/>
      <c r="CB314" s="18"/>
      <c r="CC314" s="18"/>
      <c r="CD314" s="14" t="s">
        <v>7732</v>
      </c>
      <c r="CE314" s="17">
        <v>42934</v>
      </c>
      <c r="CF314" s="16"/>
      <c r="CG314" s="17"/>
      <c r="CH314" s="16"/>
      <c r="CI314" s="17"/>
      <c r="CJ314" s="16"/>
      <c r="CK314" s="17"/>
      <c r="CL314" s="16"/>
      <c r="CM314" s="17"/>
      <c r="CN314" s="19">
        <v>32.213476435824575</v>
      </c>
      <c r="CO314" s="19"/>
      <c r="CP314" s="17"/>
      <c r="CQ314" s="14" t="s">
        <v>5345</v>
      </c>
      <c r="CR314" s="14" t="s">
        <v>7272</v>
      </c>
      <c r="CS314" s="14" t="s">
        <v>5945</v>
      </c>
    </row>
    <row r="315" spans="1:97" ht="26.15" customHeight="1">
      <c r="A315" s="2">
        <v>352</v>
      </c>
      <c r="B315" s="25" t="s">
        <v>2854</v>
      </c>
      <c r="C315" s="25" t="e">
        <f>VLOOKUP(B315, Sheet6!$A$1:$B$77, 2, FALSE)</f>
        <v>#N/A</v>
      </c>
      <c r="D315" s="25" t="s">
        <v>2855</v>
      </c>
      <c r="E315" s="25" t="s">
        <v>2856</v>
      </c>
      <c r="F315" s="25" t="s">
        <v>9082</v>
      </c>
      <c r="G315" s="25" t="s">
        <v>10955</v>
      </c>
      <c r="H315" s="25" t="s">
        <v>10957</v>
      </c>
      <c r="I315" s="25" t="s">
        <v>10968</v>
      </c>
      <c r="J315" s="25" t="s">
        <v>10759</v>
      </c>
      <c r="L315" s="13">
        <v>2012</v>
      </c>
      <c r="M315" s="14" t="s">
        <v>6826</v>
      </c>
      <c r="N315" s="14" t="s">
        <v>6004</v>
      </c>
      <c r="O315" s="14" t="s">
        <v>4343</v>
      </c>
      <c r="P315" s="15" t="s">
        <v>3117</v>
      </c>
      <c r="Q315" s="16">
        <v>17600000</v>
      </c>
      <c r="R315" s="17">
        <v>43812</v>
      </c>
      <c r="S315" s="16" t="s">
        <v>5165</v>
      </c>
      <c r="T315" s="16">
        <v>10000000</v>
      </c>
      <c r="U315" s="14" t="s">
        <v>25</v>
      </c>
      <c r="V315" s="13">
        <v>4</v>
      </c>
      <c r="W315" s="17">
        <v>44003</v>
      </c>
      <c r="X315" s="14"/>
      <c r="Y315" s="17"/>
      <c r="Z315" s="17"/>
      <c r="AA315" s="14" t="s">
        <v>6586</v>
      </c>
      <c r="AB315" s="14" t="s">
        <v>6587</v>
      </c>
      <c r="AC315" s="14" t="s">
        <v>7733</v>
      </c>
      <c r="AD315" s="20" t="str">
        <f t="shared" si="19"/>
        <v>Biotech R&amp;D &gt; Research Applications &gt; Genomics &gt; Suite
Genomics &gt; Applied Genomics &gt; Agrigenomics
Crop Tech &gt; Farm Inputs &gt; Seeds &gt; Field Crops &gt; Hybrid</v>
      </c>
      <c r="AE315" s="20" t="str">
        <f t="shared" si="21"/>
        <v>Biotech R&amp;D</v>
      </c>
      <c r="AF315" s="20" t="str">
        <f t="shared" si="20"/>
        <v>Research Applications</v>
      </c>
      <c r="AG315" s="20" t="str">
        <f t="shared" si="20"/>
        <v>Genomics</v>
      </c>
      <c r="AH315" s="20" t="str">
        <f t="shared" si="20"/>
        <v>Suite
Genomics</v>
      </c>
      <c r="AI315" s="20" t="str">
        <f t="shared" si="20"/>
        <v>Applied Genomics</v>
      </c>
      <c r="AJ315" s="20" t="str">
        <f t="shared" si="20"/>
        <v>Agrigenomics
Crop Tech</v>
      </c>
      <c r="AK315" s="20" t="str">
        <f t="shared" si="20"/>
        <v>Farm Inputs</v>
      </c>
      <c r="AL315" s="14" t="s">
        <v>7734</v>
      </c>
      <c r="AM315" s="14"/>
      <c r="AO315" s="14"/>
      <c r="AP315" s="14" t="s">
        <v>4343</v>
      </c>
      <c r="AQ315" s="14"/>
      <c r="AR315" s="14"/>
      <c r="AS315" s="14" t="s">
        <v>7736</v>
      </c>
      <c r="AT315" s="14" t="s">
        <v>7737</v>
      </c>
      <c r="AU315" s="14" t="s">
        <v>7738</v>
      </c>
      <c r="AV315" s="18"/>
      <c r="AW315" s="16"/>
      <c r="AX315" s="17"/>
      <c r="AY315" s="15" t="s">
        <v>3123</v>
      </c>
      <c r="AZ315" s="17"/>
      <c r="BA315" s="16"/>
      <c r="BB315" s="14"/>
      <c r="BC315" s="14"/>
      <c r="BD315" s="15" t="s">
        <v>3123</v>
      </c>
      <c r="BE315" s="14"/>
      <c r="BF315" s="17"/>
      <c r="BG315" s="16"/>
      <c r="BH315" s="14"/>
      <c r="BI315" s="15" t="s">
        <v>3123</v>
      </c>
      <c r="BJ315" s="14"/>
      <c r="BK315" s="17"/>
      <c r="BL315" s="16"/>
      <c r="BM315" s="16"/>
      <c r="BN315" s="16"/>
      <c r="BO315" s="16"/>
      <c r="BP315" s="15" t="s">
        <v>3123</v>
      </c>
      <c r="BQ315" s="17"/>
      <c r="BR315" s="14"/>
      <c r="BS315" s="14"/>
      <c r="BT315" s="16"/>
      <c r="BU315" s="16"/>
      <c r="BV315" s="13"/>
      <c r="BW315" s="18" t="s">
        <v>7739</v>
      </c>
      <c r="BX315" s="13">
        <v>200</v>
      </c>
      <c r="BY315" s="17">
        <v>44124</v>
      </c>
      <c r="BZ315" s="18"/>
      <c r="CA315" s="18"/>
      <c r="CB315" s="18"/>
      <c r="CC315" s="18"/>
      <c r="CD315" s="14" t="s">
        <v>7740</v>
      </c>
      <c r="CE315" s="17">
        <v>42685</v>
      </c>
      <c r="CF315" s="16"/>
      <c r="CG315" s="17"/>
      <c r="CH315" s="16"/>
      <c r="CI315" s="17"/>
      <c r="CJ315" s="16"/>
      <c r="CK315" s="17"/>
      <c r="CL315" s="16"/>
      <c r="CM315" s="17"/>
      <c r="CN315" s="19">
        <v>46.383035809497812</v>
      </c>
      <c r="CO315" s="19"/>
      <c r="CP315" s="17"/>
      <c r="CQ315" s="14" t="s">
        <v>5345</v>
      </c>
      <c r="CR315" s="14" t="s">
        <v>7741</v>
      </c>
      <c r="CS315" s="14" t="s">
        <v>5521</v>
      </c>
    </row>
    <row r="316" spans="1:97" ht="26.15" customHeight="1">
      <c r="A316" s="2">
        <v>304</v>
      </c>
      <c r="B316" s="25" t="s">
        <v>2254</v>
      </c>
      <c r="C316" s="25" t="e">
        <f>VLOOKUP(B316, Sheet6!$A$1:$B$77, 2, FALSE)</f>
        <v>#N/A</v>
      </c>
      <c r="D316" s="25" t="s">
        <v>2255</v>
      </c>
      <c r="E316" s="25" t="s">
        <v>2257</v>
      </c>
      <c r="F316" s="25" t="s">
        <v>8856</v>
      </c>
      <c r="G316" s="25" t="s">
        <v>10955</v>
      </c>
      <c r="H316" s="25" t="s">
        <v>10967</v>
      </c>
      <c r="I316" s="25" t="s">
        <v>10968</v>
      </c>
      <c r="J316" s="25" t="s">
        <v>10842</v>
      </c>
      <c r="L316" s="13">
        <v>2015</v>
      </c>
      <c r="M316" s="14" t="s">
        <v>7742</v>
      </c>
      <c r="N316" s="14" t="s">
        <v>6065</v>
      </c>
      <c r="O316" s="14" t="s">
        <v>2057</v>
      </c>
      <c r="P316" s="15" t="s">
        <v>3117</v>
      </c>
      <c r="Q316" s="16">
        <v>41586600</v>
      </c>
      <c r="R316" s="17">
        <v>43238</v>
      </c>
      <c r="S316" s="16" t="s">
        <v>7743</v>
      </c>
      <c r="T316" s="16">
        <v>31408700</v>
      </c>
      <c r="U316" s="14" t="s">
        <v>95</v>
      </c>
      <c r="V316" s="13">
        <v>4</v>
      </c>
      <c r="W316" s="17">
        <v>44081</v>
      </c>
      <c r="X316" s="14"/>
      <c r="Y316" s="17"/>
      <c r="Z316" s="17"/>
      <c r="AA316" s="14" t="s">
        <v>5509</v>
      </c>
      <c r="AB316" s="14" t="s">
        <v>7744</v>
      </c>
      <c r="AC316" s="14" t="s">
        <v>7745</v>
      </c>
      <c r="AD316" s="20" t="str">
        <f t="shared" si="19"/>
        <v>B2B E-Commerce &gt; Food &amp; Beverages &gt; Groceries &gt; Farm Products &gt; Marketplace
Online Grocery &gt; B2B Ecommerce &gt; Farm Produce &gt; Meat and Seafood &gt; Marketplace
Aquaculture Tech &gt; ECommerce &gt; Farm Produce &gt; B2B &gt; Marketplace</v>
      </c>
      <c r="AE316" s="20" t="str">
        <f t="shared" si="21"/>
        <v>B2B E-Commerce</v>
      </c>
      <c r="AF316" s="20" t="str">
        <f t="shared" si="20"/>
        <v>Food &amp; Beverages</v>
      </c>
      <c r="AG316" s="20" t="str">
        <f t="shared" si="20"/>
        <v>Groceries</v>
      </c>
      <c r="AH316" s="20" t="str">
        <f t="shared" si="20"/>
        <v>Farm Products</v>
      </c>
      <c r="AI316" s="20" t="str">
        <f t="shared" si="20"/>
        <v>Marketplace
Online Grocery</v>
      </c>
      <c r="AJ316" s="20" t="str">
        <f t="shared" si="20"/>
        <v>B2B Ecommerce</v>
      </c>
      <c r="AK316" s="20" t="str">
        <f t="shared" si="20"/>
        <v>Farm Produce</v>
      </c>
      <c r="AL316" s="14" t="s">
        <v>7746</v>
      </c>
      <c r="AM316" s="14"/>
      <c r="AO316" s="14"/>
      <c r="AP316" s="14" t="s">
        <v>2057</v>
      </c>
      <c r="AQ316" s="14" t="s">
        <v>7748</v>
      </c>
      <c r="AR316" s="14"/>
      <c r="AS316" s="14"/>
      <c r="AT316" s="14"/>
      <c r="AU316" s="14"/>
      <c r="AV316" s="18"/>
      <c r="AW316" s="16"/>
      <c r="AX316" s="17"/>
      <c r="AY316" s="15" t="s">
        <v>3123</v>
      </c>
      <c r="AZ316" s="17"/>
      <c r="BA316" s="16"/>
      <c r="BB316" s="14"/>
      <c r="BC316" s="14"/>
      <c r="BD316" s="15" t="s">
        <v>3123</v>
      </c>
      <c r="BE316" s="14"/>
      <c r="BF316" s="17"/>
      <c r="BG316" s="16"/>
      <c r="BH316" s="14"/>
      <c r="BI316" s="15" t="s">
        <v>3123</v>
      </c>
      <c r="BJ316" s="14"/>
      <c r="BK316" s="17"/>
      <c r="BL316" s="16"/>
      <c r="BM316" s="16"/>
      <c r="BN316" s="16"/>
      <c r="BO316" s="16"/>
      <c r="BP316" s="15" t="s">
        <v>3123</v>
      </c>
      <c r="BQ316" s="17"/>
      <c r="BR316" s="14"/>
      <c r="BS316" s="14"/>
      <c r="BT316" s="16"/>
      <c r="BU316" s="16"/>
      <c r="BV316" s="13"/>
      <c r="BW316" s="18" t="s">
        <v>7749</v>
      </c>
      <c r="BX316" s="13">
        <v>200</v>
      </c>
      <c r="BY316" s="17">
        <v>44124</v>
      </c>
      <c r="BZ316" s="18"/>
      <c r="CA316" s="18"/>
      <c r="CB316" s="18"/>
      <c r="CC316" s="18"/>
      <c r="CD316" s="14" t="s">
        <v>7750</v>
      </c>
      <c r="CE316" s="17">
        <v>42492</v>
      </c>
      <c r="CF316" s="16"/>
      <c r="CG316" s="17"/>
      <c r="CH316" s="16"/>
      <c r="CI316" s="17"/>
      <c r="CJ316" s="16"/>
      <c r="CK316" s="17"/>
      <c r="CL316" s="16"/>
      <c r="CM316" s="17"/>
      <c r="CN316" s="19">
        <v>35.924320010272815</v>
      </c>
      <c r="CO316" s="19"/>
      <c r="CP316" s="17"/>
      <c r="CQ316" s="14" t="s">
        <v>5002</v>
      </c>
      <c r="CR316" s="14" t="s">
        <v>7751</v>
      </c>
      <c r="CS316" s="14" t="s">
        <v>6074</v>
      </c>
    </row>
    <row r="317" spans="1:97" ht="26.15" customHeight="1">
      <c r="A317" s="2">
        <v>145</v>
      </c>
      <c r="B317" s="25" t="s">
        <v>198</v>
      </c>
      <c r="C317" s="25" t="e">
        <f>VLOOKUP(B317, Sheet6!$A$1:$B$77, 2, FALSE)</f>
        <v>#N/A</v>
      </c>
      <c r="D317" s="25" t="s">
        <v>199</v>
      </c>
      <c r="E317" s="25" t="s">
        <v>201</v>
      </c>
      <c r="F317" s="25" t="s">
        <v>6861</v>
      </c>
      <c r="G317" s="25" t="s">
        <v>10955</v>
      </c>
      <c r="H317" s="25" t="s">
        <v>10959</v>
      </c>
      <c r="I317" s="25" t="s">
        <v>10958</v>
      </c>
      <c r="J317" s="26" t="s">
        <v>10774</v>
      </c>
      <c r="L317" s="13">
        <v>2016</v>
      </c>
      <c r="M317" s="14" t="s">
        <v>6212</v>
      </c>
      <c r="N317" s="14" t="s">
        <v>6212</v>
      </c>
      <c r="O317" s="14" t="s">
        <v>6213</v>
      </c>
      <c r="P317" s="15" t="s">
        <v>3117</v>
      </c>
      <c r="Q317" s="16">
        <v>9460000</v>
      </c>
      <c r="R317" s="17">
        <v>42726</v>
      </c>
      <c r="S317" s="16" t="s">
        <v>6597</v>
      </c>
      <c r="T317" s="16">
        <v>9460000</v>
      </c>
      <c r="U317" s="14" t="s">
        <v>109</v>
      </c>
      <c r="V317" s="13">
        <v>4</v>
      </c>
      <c r="W317" s="17">
        <v>44057</v>
      </c>
      <c r="X317" s="14"/>
      <c r="Y317" s="17"/>
      <c r="Z317" s="17"/>
      <c r="AA317" s="14" t="s">
        <v>5509</v>
      </c>
      <c r="AB317" s="14" t="s">
        <v>5510</v>
      </c>
      <c r="AC317" s="14" t="s">
        <v>9211</v>
      </c>
      <c r="AD317" s="20" t="str">
        <f t="shared" si="19"/>
        <v>B2B E-Commerce &gt; Agriculture &gt; E-Distributor
Online Grocery &gt; B2C Ecommerce &gt; Multi Category &gt; Marketplace &gt; Own Delivery Fleet
Crop Tech &gt; ECommerce &gt; Farm Produce &gt; B2C &gt; Fruits and Vegetables &gt; Marketplace</v>
      </c>
      <c r="AE317" s="20" t="str">
        <f t="shared" si="21"/>
        <v>B2B E-Commerce</v>
      </c>
      <c r="AF317" s="20" t="str">
        <f t="shared" si="20"/>
        <v>Agriculture</v>
      </c>
      <c r="AG317" s="20" t="str">
        <f t="shared" si="20"/>
        <v>E-Distributor
Online Grocery</v>
      </c>
      <c r="AH317" s="20" t="str">
        <f t="shared" si="20"/>
        <v>B2C Ecommerce</v>
      </c>
      <c r="AI317" s="20" t="str">
        <f t="shared" si="20"/>
        <v>Multi Category</v>
      </c>
      <c r="AJ317" s="20" t="str">
        <f t="shared" si="20"/>
        <v>Marketplace</v>
      </c>
      <c r="AK317" s="20" t="str">
        <f t="shared" si="20"/>
        <v>Own Delivery Fleet
Crop Tech</v>
      </c>
      <c r="AL317" s="14"/>
      <c r="AM317" s="14"/>
      <c r="AO317" s="14"/>
      <c r="AP317" s="14" t="s">
        <v>6213</v>
      </c>
      <c r="AQ317" s="14" t="s">
        <v>9213</v>
      </c>
      <c r="AR317" s="14"/>
      <c r="AS317" s="14" t="s">
        <v>9214</v>
      </c>
      <c r="AT317" s="14"/>
      <c r="AU317" s="14" t="s">
        <v>9215</v>
      </c>
      <c r="AV317" s="18"/>
      <c r="AW317" s="16"/>
      <c r="AX317" s="17"/>
      <c r="AY317" s="15" t="s">
        <v>3123</v>
      </c>
      <c r="AZ317" s="17"/>
      <c r="BA317" s="16"/>
      <c r="BB317" s="14"/>
      <c r="BC317" s="14"/>
      <c r="BD317" s="15" t="s">
        <v>3123</v>
      </c>
      <c r="BE317" s="14"/>
      <c r="BF317" s="17"/>
      <c r="BG317" s="16"/>
      <c r="BH317" s="14"/>
      <c r="BI317" s="15" t="s">
        <v>3123</v>
      </c>
      <c r="BJ317" s="14"/>
      <c r="BK317" s="17"/>
      <c r="BL317" s="16"/>
      <c r="BM317" s="16"/>
      <c r="BN317" s="16"/>
      <c r="BO317" s="16"/>
      <c r="BP317" s="15" t="s">
        <v>3123</v>
      </c>
      <c r="BQ317" s="17"/>
      <c r="BR317" s="14"/>
      <c r="BS317" s="14"/>
      <c r="BT317" s="16"/>
      <c r="BU317" s="16"/>
      <c r="BV317" s="13"/>
      <c r="BW317" s="18" t="s">
        <v>9216</v>
      </c>
      <c r="BX317" s="13">
        <v>-1</v>
      </c>
      <c r="BY317" s="17">
        <v>44124</v>
      </c>
      <c r="BZ317" s="18" t="s">
        <v>9217</v>
      </c>
      <c r="CA317" s="18" t="s">
        <v>9218</v>
      </c>
      <c r="CB317" s="18" t="s">
        <v>9219</v>
      </c>
      <c r="CC317" s="18"/>
      <c r="CD317" s="14" t="s">
        <v>9220</v>
      </c>
      <c r="CE317" s="17">
        <v>42878</v>
      </c>
      <c r="CF317" s="16"/>
      <c r="CG317" s="17"/>
      <c r="CH317" s="16"/>
      <c r="CI317" s="17"/>
      <c r="CJ317" s="16"/>
      <c r="CK317" s="17"/>
      <c r="CL317" s="16"/>
      <c r="CM317" s="17"/>
      <c r="CN317" s="19">
        <v>31.529488329289496</v>
      </c>
      <c r="CO317" s="19"/>
      <c r="CP317" s="17"/>
      <c r="CQ317" s="14" t="s">
        <v>6838</v>
      </c>
      <c r="CR317" s="14" t="s">
        <v>6839</v>
      </c>
      <c r="CS317" s="14" t="s">
        <v>5945</v>
      </c>
    </row>
    <row r="318" spans="1:97" ht="26.15" customHeight="1">
      <c r="A318" s="2">
        <v>402</v>
      </c>
      <c r="B318" s="25" t="s">
        <v>2578</v>
      </c>
      <c r="C318" s="25" t="e">
        <f>VLOOKUP(B318, Sheet6!$A$1:$B$77, 2, FALSE)</f>
        <v>#N/A</v>
      </c>
      <c r="D318" s="25" t="s">
        <v>2579</v>
      </c>
      <c r="E318" s="25" t="s">
        <v>2581</v>
      </c>
      <c r="F318" s="25" t="s">
        <v>9339</v>
      </c>
      <c r="G318" s="25" t="s">
        <v>10955</v>
      </c>
      <c r="H318" s="25" t="s">
        <v>10558</v>
      </c>
      <c r="I318" s="25" t="s">
        <v>10558</v>
      </c>
      <c r="J318" s="25" t="s">
        <v>10821</v>
      </c>
      <c r="L318" s="13">
        <v>2015</v>
      </c>
      <c r="M318" s="14" t="s">
        <v>5389</v>
      </c>
      <c r="N318" s="14" t="s">
        <v>5390</v>
      </c>
      <c r="O318" s="14" t="s">
        <v>5391</v>
      </c>
      <c r="P318" s="15" t="s">
        <v>3117</v>
      </c>
      <c r="Q318" s="16"/>
      <c r="R318" s="17">
        <v>42526</v>
      </c>
      <c r="S318" s="16" t="s">
        <v>9221</v>
      </c>
      <c r="T318" s="16">
        <v>3000</v>
      </c>
      <c r="U318" s="14" t="s">
        <v>5040</v>
      </c>
      <c r="V318" s="13"/>
      <c r="W318" s="17"/>
      <c r="X318" s="14"/>
      <c r="Y318" s="17"/>
      <c r="Z318" s="17"/>
      <c r="AA318" s="14" t="s">
        <v>1</v>
      </c>
      <c r="AB318" s="14" t="s">
        <v>5007</v>
      </c>
      <c r="AC318" s="14" t="s">
        <v>2397</v>
      </c>
      <c r="AD318" s="20" t="str">
        <f t="shared" si="19"/>
        <v>Crop Tech &gt; Farm Equipment &gt; Grow Lights &gt; LED</v>
      </c>
      <c r="AE318" s="20" t="str">
        <f t="shared" si="21"/>
        <v>Crop Tech</v>
      </c>
      <c r="AF318" s="20" t="str">
        <f t="shared" si="20"/>
        <v>Farm Equipment</v>
      </c>
      <c r="AG318" s="20" t="str">
        <f t="shared" si="20"/>
        <v>Grow Lights</v>
      </c>
      <c r="AH318" s="20" t="str">
        <f t="shared" si="20"/>
        <v>LED</v>
      </c>
      <c r="AI318" s="20" t="str">
        <f t="shared" si="20"/>
        <v/>
      </c>
      <c r="AJ318" s="20" t="str">
        <f t="shared" si="20"/>
        <v/>
      </c>
      <c r="AK318" s="20" t="str">
        <f t="shared" si="20"/>
        <v/>
      </c>
      <c r="AL318" s="14" t="s">
        <v>4553</v>
      </c>
      <c r="AM318" s="14"/>
      <c r="AO318" s="14"/>
      <c r="AP318" s="14" t="s">
        <v>5391</v>
      </c>
      <c r="AQ318" s="14" t="s">
        <v>9223</v>
      </c>
      <c r="AR318" s="14"/>
      <c r="AS318" s="14" t="s">
        <v>9224</v>
      </c>
      <c r="AT318" s="14" t="s">
        <v>9225</v>
      </c>
      <c r="AU318" s="14"/>
      <c r="AV318" s="18"/>
      <c r="AW318" s="16"/>
      <c r="AX318" s="17"/>
      <c r="AY318" s="15" t="s">
        <v>3123</v>
      </c>
      <c r="AZ318" s="17"/>
      <c r="BA318" s="16"/>
      <c r="BB318" s="14"/>
      <c r="BC318" s="14"/>
      <c r="BD318" s="15" t="s">
        <v>3123</v>
      </c>
      <c r="BE318" s="14"/>
      <c r="BF318" s="17"/>
      <c r="BG318" s="16"/>
      <c r="BH318" s="14"/>
      <c r="BI318" s="15" t="s">
        <v>3123</v>
      </c>
      <c r="BJ318" s="14"/>
      <c r="BK318" s="17"/>
      <c r="BL318" s="16"/>
      <c r="BM318" s="16"/>
      <c r="BN318" s="16"/>
      <c r="BO318" s="16"/>
      <c r="BP318" s="15" t="s">
        <v>3123</v>
      </c>
      <c r="BQ318" s="17"/>
      <c r="BR318" s="14"/>
      <c r="BS318" s="14"/>
      <c r="BT318" s="16"/>
      <c r="BU318" s="16"/>
      <c r="BV318" s="13"/>
      <c r="BW318" s="18" t="s">
        <v>9226</v>
      </c>
      <c r="BX318" s="13">
        <v>-1</v>
      </c>
      <c r="BY318" s="17">
        <v>44124</v>
      </c>
      <c r="BZ318" s="18"/>
      <c r="CA318" s="18" t="s">
        <v>9227</v>
      </c>
      <c r="CB318" s="18" t="s">
        <v>9228</v>
      </c>
      <c r="CC318" s="18"/>
      <c r="CD318" s="14" t="s">
        <v>9229</v>
      </c>
      <c r="CE318" s="17">
        <v>43033</v>
      </c>
      <c r="CF318" s="16"/>
      <c r="CG318" s="17"/>
      <c r="CH318" s="16"/>
      <c r="CI318" s="17"/>
      <c r="CJ318" s="16"/>
      <c r="CK318" s="17"/>
      <c r="CL318" s="16"/>
      <c r="CM318" s="17"/>
      <c r="CN318" s="19">
        <v>23.42437725998747</v>
      </c>
      <c r="CO318" s="19"/>
      <c r="CP318" s="17"/>
      <c r="CQ318" s="14" t="s">
        <v>5541</v>
      </c>
      <c r="CR318" s="14" t="s">
        <v>6523</v>
      </c>
      <c r="CS318" s="14" t="s">
        <v>5945</v>
      </c>
    </row>
    <row r="319" spans="1:97" ht="26.15" customHeight="1">
      <c r="A319" s="2">
        <v>456</v>
      </c>
      <c r="B319" s="25" t="s">
        <v>2959</v>
      </c>
      <c r="C319" s="25" t="e">
        <f>VLOOKUP(B319, Sheet6!$A$1:$B$77, 2, FALSE)</f>
        <v>#N/A</v>
      </c>
      <c r="D319" s="25" t="s">
        <v>2960</v>
      </c>
      <c r="E319" s="25" t="s">
        <v>2962</v>
      </c>
      <c r="F319" s="25" t="s">
        <v>9653</v>
      </c>
      <c r="G319" s="25" t="s">
        <v>10955</v>
      </c>
      <c r="H319" s="25" t="s">
        <v>10967</v>
      </c>
      <c r="I319" s="25" t="s">
        <v>10558</v>
      </c>
      <c r="J319" s="25" t="s">
        <v>10993</v>
      </c>
      <c r="L319" s="13">
        <v>2015</v>
      </c>
      <c r="M319" s="14" t="s">
        <v>5222</v>
      </c>
      <c r="N319" s="14" t="s">
        <v>5223</v>
      </c>
      <c r="O319" s="14" t="s">
        <v>3994</v>
      </c>
      <c r="P319" s="15" t="s">
        <v>3117</v>
      </c>
      <c r="Q319" s="16">
        <v>739765</v>
      </c>
      <c r="R319" s="17">
        <v>43761</v>
      </c>
      <c r="S319" s="16" t="s">
        <v>7752</v>
      </c>
      <c r="T319" s="16">
        <v>494497</v>
      </c>
      <c r="U319" s="14" t="s">
        <v>34</v>
      </c>
      <c r="V319" s="13">
        <v>4</v>
      </c>
      <c r="W319" s="17">
        <v>44022</v>
      </c>
      <c r="X319" s="14"/>
      <c r="Y319" s="17"/>
      <c r="Z319" s="17"/>
      <c r="AA319" s="14" t="s">
        <v>5426</v>
      </c>
      <c r="AB319" s="14" t="s">
        <v>6018</v>
      </c>
      <c r="AC319" s="14" t="s">
        <v>7753</v>
      </c>
      <c r="AD319" s="20" t="str">
        <f t="shared" si="19"/>
        <v>Alternative Lending &gt; Online Lenders &gt; Consumer Loans &gt; Farm Loans &gt; Marketplace
Crop Tech &gt; ECommerce &gt; Retail Enablers &gt; Farm Inputs Retail</v>
      </c>
      <c r="AE319" s="20" t="str">
        <f t="shared" si="21"/>
        <v>Alternative Lending</v>
      </c>
      <c r="AF319" s="20" t="str">
        <f t="shared" si="20"/>
        <v>Online Lenders</v>
      </c>
      <c r="AG319" s="20" t="str">
        <f t="shared" si="20"/>
        <v>Consumer Loans</v>
      </c>
      <c r="AH319" s="20" t="str">
        <f t="shared" si="20"/>
        <v>Farm Loans</v>
      </c>
      <c r="AI319" s="20" t="str">
        <f t="shared" si="20"/>
        <v>Marketplace
Crop Tech</v>
      </c>
      <c r="AJ319" s="20" t="str">
        <f t="shared" si="20"/>
        <v>ECommerce</v>
      </c>
      <c r="AK319" s="20" t="str">
        <f t="shared" si="20"/>
        <v>Retail Enablers</v>
      </c>
      <c r="AL319" s="14" t="s">
        <v>7754</v>
      </c>
      <c r="AM319" s="14" t="s">
        <v>7755</v>
      </c>
      <c r="AO319" s="14"/>
      <c r="AP319" s="14" t="s">
        <v>3994</v>
      </c>
      <c r="AQ319" s="14"/>
      <c r="AR319" s="14"/>
      <c r="AS319" s="14" t="s">
        <v>7757</v>
      </c>
      <c r="AT319" s="14" t="s">
        <v>7758</v>
      </c>
      <c r="AU319" s="14" t="s">
        <v>7759</v>
      </c>
      <c r="AV319" s="18"/>
      <c r="AW319" s="16">
        <v>35000</v>
      </c>
      <c r="AX319" s="17">
        <v>43465</v>
      </c>
      <c r="AY319" s="15" t="s">
        <v>3123</v>
      </c>
      <c r="AZ319" s="17"/>
      <c r="BA319" s="16"/>
      <c r="BB319" s="14"/>
      <c r="BC319" s="14"/>
      <c r="BD319" s="15" t="s">
        <v>3123</v>
      </c>
      <c r="BE319" s="14"/>
      <c r="BF319" s="17"/>
      <c r="BG319" s="16"/>
      <c r="BH319" s="14"/>
      <c r="BI319" s="15" t="s">
        <v>3123</v>
      </c>
      <c r="BJ319" s="14"/>
      <c r="BK319" s="17"/>
      <c r="BL319" s="16"/>
      <c r="BM319" s="16"/>
      <c r="BN319" s="16"/>
      <c r="BO319" s="16"/>
      <c r="BP319" s="15" t="s">
        <v>3123</v>
      </c>
      <c r="BQ319" s="17"/>
      <c r="BR319" s="14"/>
      <c r="BS319" s="14"/>
      <c r="BT319" s="16"/>
      <c r="BU319" s="16"/>
      <c r="BV319" s="13"/>
      <c r="BW319" s="18" t="s">
        <v>7760</v>
      </c>
      <c r="BX319" s="13">
        <v>200</v>
      </c>
      <c r="BY319" s="17">
        <v>44124</v>
      </c>
      <c r="BZ319" s="18" t="s">
        <v>7761</v>
      </c>
      <c r="CA319" s="18" t="s">
        <v>7762</v>
      </c>
      <c r="CB319" s="18" t="s">
        <v>7763</v>
      </c>
      <c r="CC319" s="18"/>
      <c r="CD319" s="14" t="s">
        <v>7764</v>
      </c>
      <c r="CE319" s="17">
        <v>42933</v>
      </c>
      <c r="CF319" s="16">
        <v>-118900</v>
      </c>
      <c r="CG319" s="17">
        <v>43465</v>
      </c>
      <c r="CH319" s="16">
        <v>-128700</v>
      </c>
      <c r="CI319" s="17">
        <v>43465</v>
      </c>
      <c r="CJ319" s="16">
        <v>4000000</v>
      </c>
      <c r="CK319" s="17">
        <v>43761</v>
      </c>
      <c r="CL319" s="16"/>
      <c r="CM319" s="17"/>
      <c r="CN319" s="19">
        <v>50.432904887484881</v>
      </c>
      <c r="CO319" s="19"/>
      <c r="CP319" s="17"/>
      <c r="CQ319" s="14" t="s">
        <v>7606</v>
      </c>
      <c r="CR319" s="14" t="s">
        <v>7607</v>
      </c>
      <c r="CS319" s="14" t="s">
        <v>5945</v>
      </c>
    </row>
    <row r="320" spans="1:97" ht="26.15" customHeight="1">
      <c r="A320" s="2">
        <v>361</v>
      </c>
      <c r="B320" s="25" t="s">
        <v>2745</v>
      </c>
      <c r="C320" s="25" t="e">
        <f>VLOOKUP(B320, Sheet6!$A$1:$B$77, 2, FALSE)</f>
        <v>#N/A</v>
      </c>
      <c r="D320" s="25" t="s">
        <v>2746</v>
      </c>
      <c r="E320" s="25" t="s">
        <v>2748</v>
      </c>
      <c r="F320" s="25" t="s">
        <v>9132</v>
      </c>
      <c r="G320" s="25" t="s">
        <v>10953</v>
      </c>
      <c r="H320" s="25" t="s">
        <v>10558</v>
      </c>
      <c r="I320" s="25" t="s">
        <v>10558</v>
      </c>
      <c r="J320" s="25" t="s">
        <v>10821</v>
      </c>
      <c r="L320" s="13">
        <v>2015</v>
      </c>
      <c r="M320" s="14" t="s">
        <v>5689</v>
      </c>
      <c r="N320" s="14" t="s">
        <v>5674</v>
      </c>
      <c r="O320" s="14" t="s">
        <v>2057</v>
      </c>
      <c r="P320" s="15" t="s">
        <v>3117</v>
      </c>
      <c r="Q320" s="16">
        <v>5971680</v>
      </c>
      <c r="R320" s="17">
        <v>42571</v>
      </c>
      <c r="S320" s="16" t="s">
        <v>6481</v>
      </c>
      <c r="T320" s="16">
        <v>5971680</v>
      </c>
      <c r="U320" s="14" t="s">
        <v>109</v>
      </c>
      <c r="V320" s="13">
        <v>5</v>
      </c>
      <c r="W320" s="17">
        <v>44013</v>
      </c>
      <c r="X320" s="14" t="s">
        <v>5052</v>
      </c>
      <c r="Y320" s="17">
        <v>44027</v>
      </c>
      <c r="Z320" s="17">
        <v>42552</v>
      </c>
      <c r="AA320" s="14" t="s">
        <v>5426</v>
      </c>
      <c r="AB320" s="14" t="s">
        <v>6018</v>
      </c>
      <c r="AC320" s="14" t="s">
        <v>6091</v>
      </c>
      <c r="AD320" s="20" t="str">
        <f t="shared" si="19"/>
        <v>Alternative Lending &gt; Online Lenders &gt; Consumer Loans &gt; Farm Loans &gt; Marketplace
Crop Tech &gt; Finance &gt; Loans</v>
      </c>
      <c r="AE320" s="20" t="str">
        <f t="shared" si="21"/>
        <v>Alternative Lending</v>
      </c>
      <c r="AF320" s="20" t="str">
        <f t="shared" si="20"/>
        <v>Online Lenders</v>
      </c>
      <c r="AG320" s="20" t="str">
        <f t="shared" si="20"/>
        <v>Consumer Loans</v>
      </c>
      <c r="AH320" s="20" t="str">
        <f t="shared" si="20"/>
        <v>Farm Loans</v>
      </c>
      <c r="AI320" s="20" t="str">
        <f t="shared" si="20"/>
        <v>Marketplace
Crop Tech</v>
      </c>
      <c r="AJ320" s="20" t="str">
        <f t="shared" si="20"/>
        <v>Finance</v>
      </c>
      <c r="AK320" s="20" t="str">
        <f t="shared" si="20"/>
        <v>Loans</v>
      </c>
      <c r="AL320" s="14" t="s">
        <v>2344</v>
      </c>
      <c r="AM320" s="14"/>
      <c r="AO320" s="14"/>
      <c r="AP320" s="14" t="s">
        <v>2057</v>
      </c>
      <c r="AQ320" s="14" t="s">
        <v>9231</v>
      </c>
      <c r="AR320" s="14" t="s">
        <v>9232</v>
      </c>
      <c r="AS320" s="14" t="s">
        <v>9233</v>
      </c>
      <c r="AT320" s="14" t="s">
        <v>9234</v>
      </c>
      <c r="AU320" s="14"/>
      <c r="AV320" s="18"/>
      <c r="AW320" s="16"/>
      <c r="AX320" s="17"/>
      <c r="AY320" s="15" t="s">
        <v>3123</v>
      </c>
      <c r="AZ320" s="17"/>
      <c r="BA320" s="16"/>
      <c r="BB320" s="14"/>
      <c r="BC320" s="14"/>
      <c r="BD320" s="15" t="s">
        <v>3123</v>
      </c>
      <c r="BE320" s="14"/>
      <c r="BF320" s="17"/>
      <c r="BG320" s="16"/>
      <c r="BH320" s="14"/>
      <c r="BI320" s="15" t="s">
        <v>3123</v>
      </c>
      <c r="BJ320" s="14"/>
      <c r="BK320" s="17"/>
      <c r="BL320" s="16"/>
      <c r="BM320" s="16"/>
      <c r="BN320" s="16"/>
      <c r="BO320" s="16"/>
      <c r="BP320" s="15" t="s">
        <v>3123</v>
      </c>
      <c r="BQ320" s="17"/>
      <c r="BR320" s="14"/>
      <c r="BS320" s="14"/>
      <c r="BT320" s="16"/>
      <c r="BU320" s="16"/>
      <c r="BV320" s="13"/>
      <c r="BW320" s="18" t="s">
        <v>9235</v>
      </c>
      <c r="BX320" s="13">
        <v>200</v>
      </c>
      <c r="BY320" s="17">
        <v>44124</v>
      </c>
      <c r="BZ320" s="18" t="s">
        <v>9236</v>
      </c>
      <c r="CA320" s="18"/>
      <c r="CB320" s="18"/>
      <c r="CC320" s="18"/>
      <c r="CD320" s="14" t="s">
        <v>9237</v>
      </c>
      <c r="CE320" s="17">
        <v>42458</v>
      </c>
      <c r="CF320" s="16"/>
      <c r="CG320" s="17"/>
      <c r="CH320" s="16"/>
      <c r="CI320" s="17"/>
      <c r="CJ320" s="16"/>
      <c r="CK320" s="17"/>
      <c r="CL320" s="16"/>
      <c r="CM320" s="17"/>
      <c r="CN320" s="19">
        <v>22.20412609598894</v>
      </c>
      <c r="CO320" s="19"/>
      <c r="CP320" s="17"/>
      <c r="CQ320" s="14" t="s">
        <v>5401</v>
      </c>
      <c r="CR320" s="14" t="s">
        <v>8145</v>
      </c>
      <c r="CS320" s="14" t="s">
        <v>5004</v>
      </c>
    </row>
    <row r="321" spans="1:97" ht="26.15" customHeight="1">
      <c r="A321" s="2">
        <v>19</v>
      </c>
      <c r="B321" s="25" t="s">
        <v>596</v>
      </c>
      <c r="C321" s="25" t="e">
        <f>VLOOKUP(B321, Sheet6!$A$1:$B$77, 2, FALSE)</f>
        <v>#N/A</v>
      </c>
      <c r="D321" s="25" t="s">
        <v>597</v>
      </c>
      <c r="E321" s="25" t="s">
        <v>600</v>
      </c>
      <c r="F321" s="25" t="s">
        <v>5257</v>
      </c>
      <c r="G321" s="25" t="s">
        <v>10955</v>
      </c>
      <c r="H321" s="25" t="s">
        <v>10959</v>
      </c>
      <c r="I321" s="25" t="s">
        <v>10958</v>
      </c>
      <c r="J321" s="26" t="s">
        <v>10774</v>
      </c>
      <c r="L321" s="13">
        <v>2004</v>
      </c>
      <c r="M321" s="14" t="s">
        <v>9238</v>
      </c>
      <c r="N321" s="14" t="s">
        <v>5164</v>
      </c>
      <c r="O321" s="14" t="s">
        <v>4343</v>
      </c>
      <c r="P321" s="15" t="s">
        <v>3117</v>
      </c>
      <c r="Q321" s="16">
        <v>4179999</v>
      </c>
      <c r="R321" s="17">
        <v>40299</v>
      </c>
      <c r="S321" s="16" t="s">
        <v>5022</v>
      </c>
      <c r="T321" s="16">
        <v>2080000</v>
      </c>
      <c r="U321" s="14" t="s">
        <v>5314</v>
      </c>
      <c r="V321" s="13"/>
      <c r="W321" s="17"/>
      <c r="X321" s="14"/>
      <c r="Y321" s="17"/>
      <c r="Z321" s="17"/>
      <c r="AA321" s="14" t="s">
        <v>1</v>
      </c>
      <c r="AB321" s="14" t="s">
        <v>5007</v>
      </c>
      <c r="AC321" s="14" t="s">
        <v>3094</v>
      </c>
      <c r="AD321" s="20" t="str">
        <f t="shared" ref="AD321:AD378" si="22">IF(IFERROR(LEFT($A321, SEARCH(CHAR(10),$A321)-1),AC321)=0,"",IFERROR(LEFT($A321, SEARCH(CHAR(10),$A321)-1),AC321))</f>
        <v>Crop Tech &gt; Post Harvest Management &gt; Quality Control &gt; Fruits and Vegetables &gt; Packaging</v>
      </c>
      <c r="AE321" s="20" t="str">
        <f t="shared" si="21"/>
        <v>Crop Tech</v>
      </c>
      <c r="AF321" s="20" t="str">
        <f t="shared" si="20"/>
        <v>Post Harvest Management</v>
      </c>
      <c r="AG321" s="20" t="str">
        <f t="shared" si="20"/>
        <v>Quality Control</v>
      </c>
      <c r="AH321" s="20" t="str">
        <f t="shared" si="20"/>
        <v>Fruits and Vegetables</v>
      </c>
      <c r="AI321" s="20" t="str">
        <f t="shared" si="20"/>
        <v>Packaging</v>
      </c>
      <c r="AJ321" s="20" t="str">
        <f t="shared" si="20"/>
        <v/>
      </c>
      <c r="AK321" s="20" t="str">
        <f t="shared" si="20"/>
        <v/>
      </c>
      <c r="AL321" s="14" t="s">
        <v>9239</v>
      </c>
      <c r="AM321" s="14"/>
      <c r="AO321" s="14"/>
      <c r="AP321" s="14" t="s">
        <v>4343</v>
      </c>
      <c r="AQ321" s="14" t="s">
        <v>9241</v>
      </c>
      <c r="AR321" s="14"/>
      <c r="AS321" s="14" t="s">
        <v>9242</v>
      </c>
      <c r="AT321" s="14" t="s">
        <v>9243</v>
      </c>
      <c r="AU321" s="14" t="s">
        <v>9244</v>
      </c>
      <c r="AV321" s="18"/>
      <c r="AW321" s="16"/>
      <c r="AX321" s="17"/>
      <c r="AY321" s="15" t="s">
        <v>3123</v>
      </c>
      <c r="AZ321" s="17"/>
      <c r="BA321" s="16"/>
      <c r="BB321" s="14"/>
      <c r="BC321" s="14"/>
      <c r="BD321" s="15" t="s">
        <v>3123</v>
      </c>
      <c r="BE321" s="14"/>
      <c r="BF321" s="17"/>
      <c r="BG321" s="16"/>
      <c r="BH321" s="14"/>
      <c r="BI321" s="15" t="s">
        <v>3117</v>
      </c>
      <c r="BJ321" s="14"/>
      <c r="BK321" s="17"/>
      <c r="BL321" s="16"/>
      <c r="BM321" s="16"/>
      <c r="BN321" s="16"/>
      <c r="BO321" s="16"/>
      <c r="BP321" s="15" t="s">
        <v>3123</v>
      </c>
      <c r="BQ321" s="17"/>
      <c r="BR321" s="14"/>
      <c r="BS321" s="14"/>
      <c r="BT321" s="16"/>
      <c r="BU321" s="16"/>
      <c r="BV321" s="13"/>
      <c r="BW321" s="18" t="s">
        <v>9245</v>
      </c>
      <c r="BX321" s="13">
        <v>301</v>
      </c>
      <c r="BY321" s="17">
        <v>44124</v>
      </c>
      <c r="BZ321" s="18" t="s">
        <v>9246</v>
      </c>
      <c r="CA321" s="18"/>
      <c r="CB321" s="18"/>
      <c r="CC321" s="18"/>
      <c r="CD321" s="14" t="s">
        <v>9247</v>
      </c>
      <c r="CE321" s="17">
        <v>43033</v>
      </c>
      <c r="CF321" s="16"/>
      <c r="CG321" s="17"/>
      <c r="CH321" s="16"/>
      <c r="CI321" s="17"/>
      <c r="CJ321" s="16"/>
      <c r="CK321" s="17"/>
      <c r="CL321" s="16"/>
      <c r="CM321" s="17"/>
      <c r="CN321" s="19">
        <v>26.970606667471884</v>
      </c>
      <c r="CO321" s="19"/>
      <c r="CP321" s="17"/>
      <c r="CQ321" s="14" t="s">
        <v>5345</v>
      </c>
      <c r="CR321" s="14" t="s">
        <v>7272</v>
      </c>
      <c r="CS321" s="14" t="s">
        <v>5945</v>
      </c>
    </row>
    <row r="322" spans="1:97" ht="26.15" customHeight="1">
      <c r="A322" s="2">
        <v>260</v>
      </c>
      <c r="B322" s="25" t="s">
        <v>507</v>
      </c>
      <c r="C322" s="25" t="e">
        <f>VLOOKUP(B322, Sheet6!$A$1:$B$77, 2, FALSE)</f>
        <v>#N/A</v>
      </c>
      <c r="D322" s="25" t="s">
        <v>508</v>
      </c>
      <c r="E322" s="25" t="s">
        <v>510</v>
      </c>
      <c r="F322" s="25" t="s">
        <v>8287</v>
      </c>
      <c r="G322" s="25" t="s">
        <v>10955</v>
      </c>
      <c r="H322" s="25" t="s">
        <v>10957</v>
      </c>
      <c r="I322" s="25" t="s">
        <v>10968</v>
      </c>
      <c r="J322" s="25" t="s">
        <v>10821</v>
      </c>
      <c r="L322" s="13">
        <v>2013</v>
      </c>
      <c r="M322" s="14" t="s">
        <v>5829</v>
      </c>
      <c r="N322" s="14" t="s">
        <v>5164</v>
      </c>
      <c r="O322" s="14" t="s">
        <v>4343</v>
      </c>
      <c r="P322" s="15" t="s">
        <v>3117</v>
      </c>
      <c r="Q322" s="16">
        <v>9700000</v>
      </c>
      <c r="R322" s="17">
        <v>43978</v>
      </c>
      <c r="S322" s="16" t="s">
        <v>5069</v>
      </c>
      <c r="T322" s="16">
        <v>3000000</v>
      </c>
      <c r="U322" s="14" t="s">
        <v>109</v>
      </c>
      <c r="V322" s="13">
        <v>4</v>
      </c>
      <c r="W322" s="17">
        <v>44057</v>
      </c>
      <c r="X322" s="14" t="s">
        <v>5052</v>
      </c>
      <c r="Y322" s="17">
        <v>43984</v>
      </c>
      <c r="Z322" s="17">
        <v>43157</v>
      </c>
      <c r="AA322" s="14" t="s">
        <v>5041</v>
      </c>
      <c r="AB322" s="14" t="s">
        <v>5042</v>
      </c>
      <c r="AC322" s="14" t="s">
        <v>7413</v>
      </c>
      <c r="AD322" s="20" t="str">
        <f t="shared" si="22"/>
        <v>IoT Applications &gt; Industry Specific &gt; Agriculture &gt; Farms
Crop Tech &gt; Farm Management Software &gt; Diversified</v>
      </c>
      <c r="AE322" s="20" t="str">
        <f t="shared" si="21"/>
        <v>IoT Applications</v>
      </c>
      <c r="AF322" s="20" t="str">
        <f t="shared" si="20"/>
        <v>Industry Specific</v>
      </c>
      <c r="AG322" s="20" t="str">
        <f t="shared" si="20"/>
        <v>Agriculture</v>
      </c>
      <c r="AH322" s="20" t="str">
        <f t="shared" si="20"/>
        <v>Farms
Crop Tech</v>
      </c>
      <c r="AI322" s="20" t="str">
        <f t="shared" si="20"/>
        <v>Farm Management Software</v>
      </c>
      <c r="AJ322" s="20" t="str">
        <f t="shared" si="20"/>
        <v>Diversified</v>
      </c>
      <c r="AK322" s="20" t="str">
        <f t="shared" si="20"/>
        <v/>
      </c>
      <c r="AL322" s="14" t="s">
        <v>7765</v>
      </c>
      <c r="AM322" s="14" t="s">
        <v>1810</v>
      </c>
      <c r="AO322" s="14"/>
      <c r="AP322" s="14" t="s">
        <v>4343</v>
      </c>
      <c r="AQ322" s="14"/>
      <c r="AR322" s="14"/>
      <c r="AS322" s="14" t="s">
        <v>7767</v>
      </c>
      <c r="AT322" s="14" t="s">
        <v>7768</v>
      </c>
      <c r="AU322" s="14" t="s">
        <v>7769</v>
      </c>
      <c r="AV322" s="18"/>
      <c r="AW322" s="16"/>
      <c r="AX322" s="17"/>
      <c r="AY322" s="15" t="s">
        <v>3123</v>
      </c>
      <c r="AZ322" s="17"/>
      <c r="BA322" s="16"/>
      <c r="BB322" s="14"/>
      <c r="BC322" s="14"/>
      <c r="BD322" s="15" t="s">
        <v>3123</v>
      </c>
      <c r="BE322" s="14"/>
      <c r="BF322" s="17"/>
      <c r="BG322" s="16"/>
      <c r="BH322" s="14"/>
      <c r="BI322" s="15" t="s">
        <v>3123</v>
      </c>
      <c r="BJ322" s="14"/>
      <c r="BK322" s="17"/>
      <c r="BL322" s="16"/>
      <c r="BM322" s="16"/>
      <c r="BN322" s="16"/>
      <c r="BO322" s="16"/>
      <c r="BP322" s="15" t="s">
        <v>3123</v>
      </c>
      <c r="BQ322" s="17"/>
      <c r="BR322" s="14"/>
      <c r="BS322" s="14"/>
      <c r="BT322" s="16"/>
      <c r="BU322" s="16"/>
      <c r="BV322" s="13"/>
      <c r="BW322" s="18" t="s">
        <v>7770</v>
      </c>
      <c r="BX322" s="13">
        <v>200</v>
      </c>
      <c r="BY322" s="17">
        <v>44124</v>
      </c>
      <c r="BZ322" s="18" t="s">
        <v>7771</v>
      </c>
      <c r="CA322" s="18" t="s">
        <v>7772</v>
      </c>
      <c r="CB322" s="18" t="s">
        <v>7773</v>
      </c>
      <c r="CC322" s="18"/>
      <c r="CD322" s="14" t="s">
        <v>7774</v>
      </c>
      <c r="CE322" s="17">
        <v>43019</v>
      </c>
      <c r="CF322" s="16"/>
      <c r="CG322" s="17"/>
      <c r="CH322" s="16"/>
      <c r="CI322" s="17"/>
      <c r="CJ322" s="16"/>
      <c r="CK322" s="17"/>
      <c r="CL322" s="16"/>
      <c r="CM322" s="17"/>
      <c r="CN322" s="19">
        <v>58.43433964758146</v>
      </c>
      <c r="CO322" s="19"/>
      <c r="CP322" s="17"/>
      <c r="CQ322" s="14" t="s">
        <v>5036</v>
      </c>
      <c r="CR322" s="14" t="s">
        <v>5962</v>
      </c>
      <c r="CS322" s="14" t="s">
        <v>5945</v>
      </c>
    </row>
    <row r="323" spans="1:97" ht="26.15" customHeight="1">
      <c r="A323" s="2">
        <v>232</v>
      </c>
      <c r="B323" s="25" t="s">
        <v>1607</v>
      </c>
      <c r="C323" s="25" t="e">
        <f>VLOOKUP(B323, Sheet6!$A$1:$B$77, 2, FALSE)</f>
        <v>#N/A</v>
      </c>
      <c r="D323" s="25" t="s">
        <v>1608</v>
      </c>
      <c r="E323" s="25" t="s">
        <v>1611</v>
      </c>
      <c r="F323" s="25" t="s">
        <v>7911</v>
      </c>
      <c r="G323" s="25">
        <v>0</v>
      </c>
      <c r="H323" s="25">
        <v>0</v>
      </c>
      <c r="I323" s="25">
        <v>0</v>
      </c>
      <c r="J323" s="25">
        <v>0</v>
      </c>
      <c r="L323" s="13">
        <v>2014</v>
      </c>
      <c r="M323" s="14" t="s">
        <v>4993</v>
      </c>
      <c r="N323" s="14" t="s">
        <v>4994</v>
      </c>
      <c r="O323" s="14" t="s">
        <v>2057</v>
      </c>
      <c r="P323" s="15" t="s">
        <v>3117</v>
      </c>
      <c r="Q323" s="16"/>
      <c r="R323" s="17">
        <v>41936</v>
      </c>
      <c r="S323" s="16"/>
      <c r="T323" s="16" t="s">
        <v>50</v>
      </c>
      <c r="U323" s="14" t="s">
        <v>5630</v>
      </c>
      <c r="V323" s="13"/>
      <c r="W323" s="17"/>
      <c r="X323" s="14"/>
      <c r="Y323" s="17"/>
      <c r="Z323" s="17"/>
      <c r="AA323" s="14" t="s">
        <v>5509</v>
      </c>
      <c r="AB323" s="14" t="s">
        <v>5510</v>
      </c>
      <c r="AC323" s="14" t="s">
        <v>9029</v>
      </c>
      <c r="AD323" s="20" t="str">
        <f t="shared" si="22"/>
        <v>B2B E-Commerce &gt; Food &amp; Beverages &gt; Groceries &gt; Farm Products &gt; Marketplace
Online Grocery &gt; B2B Ecommerce &gt; Multi-Category &gt; Marketplace
Crop Tech &gt; ECommerce &gt; Farm Produce &gt; B2B &gt; Fruits and Vegetables &gt; Marketplace</v>
      </c>
      <c r="AE323" s="20" t="str">
        <f t="shared" si="21"/>
        <v>B2B E-Commerce</v>
      </c>
      <c r="AF323" s="20" t="str">
        <f t="shared" si="20"/>
        <v>Food &amp; Beverages</v>
      </c>
      <c r="AG323" s="20" t="str">
        <f t="shared" si="20"/>
        <v>Groceries</v>
      </c>
      <c r="AH323" s="20" t="str">
        <f t="shared" si="20"/>
        <v>Farm Products</v>
      </c>
      <c r="AI323" s="20" t="str">
        <f t="shared" si="20"/>
        <v>Marketplace
Online Grocery</v>
      </c>
      <c r="AJ323" s="20" t="str">
        <f t="shared" si="20"/>
        <v>B2B Ecommerce</v>
      </c>
      <c r="AK323" s="20" t="str">
        <f t="shared" si="20"/>
        <v>Multi-Category</v>
      </c>
      <c r="AL323" s="14"/>
      <c r="AM323" s="14"/>
      <c r="AO323" s="14"/>
      <c r="AP323" s="14" t="s">
        <v>2057</v>
      </c>
      <c r="AQ323" s="14"/>
      <c r="AR323" s="14"/>
      <c r="AS323" s="14" t="s">
        <v>9254</v>
      </c>
      <c r="AT323" s="14"/>
      <c r="AU323" s="14" t="s">
        <v>9255</v>
      </c>
      <c r="AV323" s="18"/>
      <c r="AW323" s="16"/>
      <c r="AX323" s="17"/>
      <c r="AY323" s="15" t="s">
        <v>3123</v>
      </c>
      <c r="AZ323" s="17"/>
      <c r="BA323" s="16"/>
      <c r="BB323" s="14"/>
      <c r="BC323" s="14"/>
      <c r="BD323" s="15" t="s">
        <v>3123</v>
      </c>
      <c r="BE323" s="14"/>
      <c r="BF323" s="17"/>
      <c r="BG323" s="16"/>
      <c r="BH323" s="14"/>
      <c r="BI323" s="15" t="s">
        <v>3123</v>
      </c>
      <c r="BJ323" s="14"/>
      <c r="BK323" s="17"/>
      <c r="BL323" s="16"/>
      <c r="BM323" s="16"/>
      <c r="BN323" s="16"/>
      <c r="BO323" s="16"/>
      <c r="BP323" s="15" t="s">
        <v>3117</v>
      </c>
      <c r="BQ323" s="17"/>
      <c r="BR323" s="14"/>
      <c r="BS323" s="14"/>
      <c r="BT323" s="16"/>
      <c r="BU323" s="16"/>
      <c r="BV323" s="13"/>
      <c r="BW323" s="18" t="s">
        <v>9256</v>
      </c>
      <c r="BX323" s="13">
        <v>-1</v>
      </c>
      <c r="BY323" s="17">
        <v>44124</v>
      </c>
      <c r="BZ323" s="18" t="s">
        <v>9257</v>
      </c>
      <c r="CA323" s="18"/>
      <c r="CB323" s="18"/>
      <c r="CC323" s="18"/>
      <c r="CD323" s="14" t="s">
        <v>9258</v>
      </c>
      <c r="CE323" s="17">
        <v>42643</v>
      </c>
      <c r="CF323" s="16"/>
      <c r="CG323" s="17"/>
      <c r="CH323" s="16"/>
      <c r="CI323" s="17"/>
      <c r="CJ323" s="16"/>
      <c r="CK323" s="17"/>
      <c r="CL323" s="16"/>
      <c r="CM323" s="17"/>
      <c r="CN323" s="19">
        <v>5.5516449722401795</v>
      </c>
      <c r="CO323" s="19"/>
      <c r="CP323" s="17"/>
      <c r="CQ323" s="14" t="s">
        <v>5002</v>
      </c>
      <c r="CR323" s="14" t="s">
        <v>6731</v>
      </c>
      <c r="CS323" s="14" t="s">
        <v>6074</v>
      </c>
    </row>
    <row r="324" spans="1:97" ht="26.15" customHeight="1">
      <c r="A324" s="2">
        <v>502</v>
      </c>
      <c r="B324" s="25" t="s">
        <v>2997</v>
      </c>
      <c r="C324" s="25" t="e">
        <f>VLOOKUP(B324, Sheet6!$A$1:$B$77, 2, FALSE)</f>
        <v>#N/A</v>
      </c>
      <c r="D324" s="25" t="s">
        <v>2998</v>
      </c>
      <c r="E324" s="25" t="s">
        <v>2999</v>
      </c>
      <c r="F324" s="25" t="s">
        <v>9985</v>
      </c>
      <c r="G324" s="25" t="s">
        <v>10955</v>
      </c>
      <c r="H324" s="25" t="s">
        <v>10967</v>
      </c>
      <c r="I324" s="25" t="s">
        <v>10558</v>
      </c>
      <c r="J324" s="25" t="s">
        <v>10706</v>
      </c>
      <c r="L324" s="13">
        <v>2015</v>
      </c>
      <c r="M324" s="14" t="s">
        <v>7787</v>
      </c>
      <c r="N324" s="14" t="s">
        <v>7788</v>
      </c>
      <c r="O324" s="14" t="s">
        <v>7789</v>
      </c>
      <c r="P324" s="15" t="s">
        <v>3117</v>
      </c>
      <c r="Q324" s="16">
        <v>60000000</v>
      </c>
      <c r="R324" s="17">
        <v>44033</v>
      </c>
      <c r="S324" s="16" t="s">
        <v>7790</v>
      </c>
      <c r="T324" s="16">
        <v>30000000</v>
      </c>
      <c r="U324" s="14" t="s">
        <v>95</v>
      </c>
      <c r="V324" s="13">
        <v>5</v>
      </c>
      <c r="W324" s="17">
        <v>44057</v>
      </c>
      <c r="X324" s="14" t="s">
        <v>5544</v>
      </c>
      <c r="Y324" s="17">
        <v>44039</v>
      </c>
      <c r="Z324" s="17">
        <v>43410</v>
      </c>
      <c r="AA324" s="14" t="s">
        <v>1</v>
      </c>
      <c r="AB324" s="14" t="s">
        <v>5007</v>
      </c>
      <c r="AC324" s="14" t="s">
        <v>5192</v>
      </c>
      <c r="AD324" s="20" t="str">
        <f t="shared" si="22"/>
        <v>Crop Tech &gt; Farm Management Software &gt; Diversified</v>
      </c>
      <c r="AE324" s="20" t="str">
        <f t="shared" si="21"/>
        <v>Crop Tech</v>
      </c>
      <c r="AF324" s="20" t="str">
        <f t="shared" si="20"/>
        <v>Farm Management Software</v>
      </c>
      <c r="AG324" s="20" t="str">
        <f t="shared" si="20"/>
        <v>Diversified</v>
      </c>
      <c r="AH324" s="20" t="str">
        <f t="shared" si="20"/>
        <v/>
      </c>
      <c r="AI324" s="20" t="str">
        <f t="shared" si="20"/>
        <v/>
      </c>
      <c r="AJ324" s="20" t="str">
        <f t="shared" si="20"/>
        <v/>
      </c>
      <c r="AK324" s="20" t="str">
        <f t="shared" si="20"/>
        <v/>
      </c>
      <c r="AL324" s="14" t="s">
        <v>7791</v>
      </c>
      <c r="AM324" s="14" t="s">
        <v>7792</v>
      </c>
      <c r="AO324" s="14"/>
      <c r="AP324" s="14" t="s">
        <v>4343</v>
      </c>
      <c r="AQ324" s="14" t="s">
        <v>7794</v>
      </c>
      <c r="AR324" s="14"/>
      <c r="AS324" s="14" t="s">
        <v>7795</v>
      </c>
      <c r="AT324" s="14" t="s">
        <v>7796</v>
      </c>
      <c r="AU324" s="14" t="s">
        <v>7797</v>
      </c>
      <c r="AV324" s="18"/>
      <c r="AW324" s="16"/>
      <c r="AX324" s="17"/>
      <c r="AY324" s="15" t="s">
        <v>3123</v>
      </c>
      <c r="AZ324" s="17"/>
      <c r="BA324" s="16"/>
      <c r="BB324" s="14"/>
      <c r="BC324" s="14" t="s">
        <v>7798</v>
      </c>
      <c r="BD324" s="15" t="s">
        <v>3123</v>
      </c>
      <c r="BE324" s="14"/>
      <c r="BF324" s="17"/>
      <c r="BG324" s="16"/>
      <c r="BH324" s="14"/>
      <c r="BI324" s="15" t="s">
        <v>3123</v>
      </c>
      <c r="BJ324" s="14"/>
      <c r="BK324" s="17"/>
      <c r="BL324" s="16"/>
      <c r="BM324" s="16"/>
      <c r="BN324" s="16"/>
      <c r="BO324" s="16"/>
      <c r="BP324" s="15" t="s">
        <v>3123</v>
      </c>
      <c r="BQ324" s="17"/>
      <c r="BR324" s="14"/>
      <c r="BS324" s="14"/>
      <c r="BT324" s="16"/>
      <c r="BU324" s="16"/>
      <c r="BV324" s="13"/>
      <c r="BW324" s="18" t="s">
        <v>7799</v>
      </c>
      <c r="BX324" s="13">
        <v>200</v>
      </c>
      <c r="BY324" s="17">
        <v>44124</v>
      </c>
      <c r="BZ324" s="18" t="s">
        <v>7800</v>
      </c>
      <c r="CA324" s="18" t="s">
        <v>7801</v>
      </c>
      <c r="CB324" s="18" t="s">
        <v>7802</v>
      </c>
      <c r="CC324" s="18" t="s">
        <v>7803</v>
      </c>
      <c r="CD324" s="14" t="s">
        <v>7804</v>
      </c>
      <c r="CE324" s="17">
        <v>42929</v>
      </c>
      <c r="CF324" s="16"/>
      <c r="CG324" s="17"/>
      <c r="CH324" s="16"/>
      <c r="CI324" s="17"/>
      <c r="CJ324" s="16"/>
      <c r="CK324" s="17"/>
      <c r="CL324" s="16"/>
      <c r="CM324" s="17"/>
      <c r="CN324" s="19">
        <v>59.139031802193053</v>
      </c>
      <c r="CO324" s="19"/>
      <c r="CP324" s="17"/>
      <c r="CQ324" s="14" t="s">
        <v>7805</v>
      </c>
      <c r="CR324" s="14" t="s">
        <v>7806</v>
      </c>
      <c r="CS324" s="14" t="s">
        <v>5004</v>
      </c>
    </row>
    <row r="325" spans="1:97" ht="26.15" customHeight="1">
      <c r="A325" s="2">
        <v>172</v>
      </c>
      <c r="B325" s="25" t="s">
        <v>919</v>
      </c>
      <c r="C325" s="25" t="e">
        <f>VLOOKUP(B325, Sheet6!$A$1:$B$77, 2, FALSE)</f>
        <v>#N/A</v>
      </c>
      <c r="D325" s="25" t="s">
        <v>920</v>
      </c>
      <c r="E325" s="25" t="s">
        <v>921</v>
      </c>
      <c r="F325" s="25" t="s">
        <v>7223</v>
      </c>
      <c r="G325" s="25" t="s">
        <v>10955</v>
      </c>
      <c r="H325" s="25" t="s">
        <v>10959</v>
      </c>
      <c r="I325" s="25" t="s">
        <v>10958</v>
      </c>
      <c r="J325" s="26" t="s">
        <v>10774</v>
      </c>
      <c r="L325" s="13">
        <v>2014</v>
      </c>
      <c r="M325" s="14" t="s">
        <v>6366</v>
      </c>
      <c r="N325" s="14" t="s">
        <v>5276</v>
      </c>
      <c r="O325" s="14" t="s">
        <v>5277</v>
      </c>
      <c r="P325" s="15" t="s">
        <v>3117</v>
      </c>
      <c r="Q325" s="16">
        <v>125000</v>
      </c>
      <c r="R325" s="17">
        <v>42545</v>
      </c>
      <c r="S325" s="16"/>
      <c r="T325" s="16" t="s">
        <v>50</v>
      </c>
      <c r="U325" s="14" t="s">
        <v>34</v>
      </c>
      <c r="V325" s="13">
        <v>4</v>
      </c>
      <c r="W325" s="17">
        <v>44011</v>
      </c>
      <c r="X325" s="14"/>
      <c r="Y325" s="17"/>
      <c r="Z325" s="17"/>
      <c r="AA325" s="14" t="s">
        <v>9259</v>
      </c>
      <c r="AB325" s="14" t="s">
        <v>9260</v>
      </c>
      <c r="AC325" s="14" t="s">
        <v>9261</v>
      </c>
      <c r="AD325" s="20" t="str">
        <f t="shared" si="22"/>
        <v>Nonprofit Tech &gt; Fundraising &gt; Crowdfunding &gt; Horizontal
Alternative Lending &gt; Online Lenders &gt; Consumer Loans &gt; Farm Loans &gt; Marketplace
Crowdfunding &gt; Revenue Sharing &gt; Agriculture
Islamic FinTech &gt; Crowdfunding &gt; Diversified
Crop Tech &gt; Finance &gt; Crowdfunding</v>
      </c>
      <c r="AE325" s="20" t="str">
        <f t="shared" si="21"/>
        <v>Nonprofit Tech</v>
      </c>
      <c r="AF325" s="20" t="str">
        <f t="shared" si="20"/>
        <v>Fundraising</v>
      </c>
      <c r="AG325" s="20" t="str">
        <f t="shared" ref="AF325:AK364" si="23">TRIM(MID(SUBSTITUTE($AD325,"&gt;",REPT(" ",LEN($AD325))), (AG$6-1)*LEN($AD325)+1, LEN($AD325)))</f>
        <v>Crowdfunding</v>
      </c>
      <c r="AH325" s="20" t="str">
        <f t="shared" si="23"/>
        <v>Horizontal
Alternative Lending</v>
      </c>
      <c r="AI325" s="20" t="str">
        <f t="shared" si="23"/>
        <v>Online Lenders</v>
      </c>
      <c r="AJ325" s="20" t="str">
        <f t="shared" si="23"/>
        <v>Consumer Loans</v>
      </c>
      <c r="AK325" s="20" t="str">
        <f t="shared" si="23"/>
        <v>Farm Loans</v>
      </c>
      <c r="AL325" s="14" t="s">
        <v>9262</v>
      </c>
      <c r="AM325" s="14"/>
      <c r="AO325" s="14"/>
      <c r="AP325" s="14" t="s">
        <v>5277</v>
      </c>
      <c r="AQ325" s="14" t="s">
        <v>9264</v>
      </c>
      <c r="AR325" s="14"/>
      <c r="AS325" s="14" t="s">
        <v>9265</v>
      </c>
      <c r="AT325" s="14" t="s">
        <v>9266</v>
      </c>
      <c r="AU325" s="14" t="s">
        <v>9267</v>
      </c>
      <c r="AV325" s="18"/>
      <c r="AW325" s="16"/>
      <c r="AX325" s="17"/>
      <c r="AY325" s="15" t="s">
        <v>3123</v>
      </c>
      <c r="AZ325" s="17"/>
      <c r="BA325" s="16"/>
      <c r="BB325" s="14"/>
      <c r="BC325" s="14"/>
      <c r="BD325" s="15" t="s">
        <v>3123</v>
      </c>
      <c r="BE325" s="14"/>
      <c r="BF325" s="17"/>
      <c r="BG325" s="16"/>
      <c r="BH325" s="14"/>
      <c r="BI325" s="15" t="s">
        <v>3123</v>
      </c>
      <c r="BJ325" s="14"/>
      <c r="BK325" s="17"/>
      <c r="BL325" s="16"/>
      <c r="BM325" s="16"/>
      <c r="BN325" s="16"/>
      <c r="BO325" s="16"/>
      <c r="BP325" s="15" t="s">
        <v>3123</v>
      </c>
      <c r="BQ325" s="17"/>
      <c r="BR325" s="14"/>
      <c r="BS325" s="14"/>
      <c r="BT325" s="16"/>
      <c r="BU325" s="16"/>
      <c r="BV325" s="13"/>
      <c r="BW325" s="18" t="s">
        <v>9268</v>
      </c>
      <c r="BX325" s="13">
        <v>200</v>
      </c>
      <c r="BY325" s="17">
        <v>44124</v>
      </c>
      <c r="BZ325" s="18" t="s">
        <v>9269</v>
      </c>
      <c r="CA325" s="18" t="s">
        <v>9270</v>
      </c>
      <c r="CB325" s="18" t="s">
        <v>9271</v>
      </c>
      <c r="CC325" s="18" t="s">
        <v>9272</v>
      </c>
      <c r="CD325" s="14" t="s">
        <v>9273</v>
      </c>
      <c r="CE325" s="17">
        <v>42440</v>
      </c>
      <c r="CF325" s="16"/>
      <c r="CG325" s="17"/>
      <c r="CH325" s="16"/>
      <c r="CI325" s="17"/>
      <c r="CJ325" s="16"/>
      <c r="CK325" s="17"/>
      <c r="CL325" s="16"/>
      <c r="CM325" s="17"/>
      <c r="CN325" s="19">
        <v>54.34961705579984</v>
      </c>
      <c r="CO325" s="19"/>
      <c r="CP325" s="17"/>
      <c r="CQ325" s="14" t="s">
        <v>6487</v>
      </c>
      <c r="CR325" s="14" t="s">
        <v>5424</v>
      </c>
      <c r="CS325" s="14" t="s">
        <v>5311</v>
      </c>
    </row>
    <row r="326" spans="1:97" ht="26.15" customHeight="1">
      <c r="A326" s="2">
        <v>517</v>
      </c>
      <c r="B326" s="25" t="s">
        <v>2886</v>
      </c>
      <c r="C326" s="25" t="e">
        <f>VLOOKUP(B326, Sheet6!$A$1:$B$77, 2, FALSE)</f>
        <v>#N/A</v>
      </c>
      <c r="D326" s="25" t="s">
        <v>2887</v>
      </c>
      <c r="E326" s="25" t="s">
        <v>2888</v>
      </c>
      <c r="F326" s="25" t="s">
        <v>10116</v>
      </c>
      <c r="G326" s="25" t="s">
        <v>10955</v>
      </c>
      <c r="H326" s="25" t="s">
        <v>10957</v>
      </c>
      <c r="I326" s="25" t="s">
        <v>10558</v>
      </c>
      <c r="J326" s="25" t="s">
        <v>10842</v>
      </c>
      <c r="L326" s="13">
        <v>2015</v>
      </c>
      <c r="M326" s="14" t="s">
        <v>7648</v>
      </c>
      <c r="N326" s="14" t="s">
        <v>5152</v>
      </c>
      <c r="O326" s="14" t="s">
        <v>2057</v>
      </c>
      <c r="P326" s="15" t="s">
        <v>3117</v>
      </c>
      <c r="Q326" s="16">
        <v>152000</v>
      </c>
      <c r="R326" s="17">
        <v>42398</v>
      </c>
      <c r="S326" s="16" t="s">
        <v>9274</v>
      </c>
      <c r="T326" s="16">
        <v>152000</v>
      </c>
      <c r="U326" s="14" t="s">
        <v>5630</v>
      </c>
      <c r="V326" s="13"/>
      <c r="W326" s="17"/>
      <c r="X326" s="14"/>
      <c r="Y326" s="17"/>
      <c r="Z326" s="17"/>
      <c r="AA326" s="14" t="s">
        <v>5509</v>
      </c>
      <c r="AB326" s="14" t="s">
        <v>7744</v>
      </c>
      <c r="AC326" s="14" t="s">
        <v>7745</v>
      </c>
      <c r="AD326" s="20" t="str">
        <f t="shared" si="22"/>
        <v>B2B E-Commerce &gt; Food &amp; Beverages &gt; Groceries &gt; Farm Products &gt; Marketplace
Online Grocery &gt; B2B Ecommerce &gt; Farm Produce &gt; Meat and Seafood &gt; Marketplace
Aquaculture Tech &gt; ECommerce &gt; Farm Produce &gt; B2B &gt; Marketplace</v>
      </c>
      <c r="AE326" s="20" t="str">
        <f t="shared" si="21"/>
        <v>B2B E-Commerce</v>
      </c>
      <c r="AF326" s="20" t="str">
        <f t="shared" si="23"/>
        <v>Food &amp; Beverages</v>
      </c>
      <c r="AG326" s="20" t="str">
        <f t="shared" si="23"/>
        <v>Groceries</v>
      </c>
      <c r="AH326" s="20" t="str">
        <f t="shared" si="23"/>
        <v>Farm Products</v>
      </c>
      <c r="AI326" s="20" t="str">
        <f t="shared" si="23"/>
        <v>Marketplace
Online Grocery</v>
      </c>
      <c r="AJ326" s="20" t="str">
        <f t="shared" si="23"/>
        <v>B2B Ecommerce</v>
      </c>
      <c r="AK326" s="20" t="str">
        <f t="shared" si="23"/>
        <v>Farm Produce</v>
      </c>
      <c r="AL326" s="14"/>
      <c r="AM326" s="14"/>
      <c r="AO326" s="14"/>
      <c r="AP326" s="14" t="s">
        <v>2057</v>
      </c>
      <c r="AQ326" s="14"/>
      <c r="AR326" s="14"/>
      <c r="AS326" s="14" t="s">
        <v>9276</v>
      </c>
      <c r="AT326" s="14"/>
      <c r="AU326" s="14"/>
      <c r="AV326" s="18"/>
      <c r="AW326" s="16"/>
      <c r="AX326" s="17"/>
      <c r="AY326" s="15" t="s">
        <v>3123</v>
      </c>
      <c r="AZ326" s="17"/>
      <c r="BA326" s="16"/>
      <c r="BB326" s="14"/>
      <c r="BC326" s="14"/>
      <c r="BD326" s="15" t="s">
        <v>3123</v>
      </c>
      <c r="BE326" s="14"/>
      <c r="BF326" s="17"/>
      <c r="BG326" s="16"/>
      <c r="BH326" s="14"/>
      <c r="BI326" s="15" t="s">
        <v>3123</v>
      </c>
      <c r="BJ326" s="14"/>
      <c r="BK326" s="17"/>
      <c r="BL326" s="16"/>
      <c r="BM326" s="16"/>
      <c r="BN326" s="16"/>
      <c r="BO326" s="16"/>
      <c r="BP326" s="15" t="s">
        <v>3117</v>
      </c>
      <c r="BQ326" s="17"/>
      <c r="BR326" s="14"/>
      <c r="BS326" s="14"/>
      <c r="BT326" s="16"/>
      <c r="BU326" s="16"/>
      <c r="BV326" s="13"/>
      <c r="BW326" s="18" t="s">
        <v>9277</v>
      </c>
      <c r="BX326" s="13">
        <v>200</v>
      </c>
      <c r="BY326" s="17">
        <v>44124</v>
      </c>
      <c r="BZ326" s="18"/>
      <c r="CA326" s="18"/>
      <c r="CB326" s="18"/>
      <c r="CC326" s="18"/>
      <c r="CD326" s="14" t="s">
        <v>9278</v>
      </c>
      <c r="CE326" s="17">
        <v>42516</v>
      </c>
      <c r="CF326" s="16"/>
      <c r="CG326" s="17"/>
      <c r="CH326" s="16"/>
      <c r="CI326" s="17"/>
      <c r="CJ326" s="16"/>
      <c r="CK326" s="17"/>
      <c r="CL326" s="16"/>
      <c r="CM326" s="17"/>
      <c r="CN326" s="19">
        <v>6.7087241268761835</v>
      </c>
      <c r="CO326" s="19"/>
      <c r="CP326" s="17"/>
      <c r="CQ326" s="14" t="s">
        <v>7816</v>
      </c>
      <c r="CR326" s="14" t="s">
        <v>7522</v>
      </c>
      <c r="CS326" s="14" t="s">
        <v>5945</v>
      </c>
    </row>
    <row r="327" spans="1:97" ht="26.15" customHeight="1">
      <c r="A327" s="2">
        <v>418</v>
      </c>
      <c r="B327" s="25" t="s">
        <v>2703</v>
      </c>
      <c r="C327" s="25" t="e">
        <f>VLOOKUP(B327, Sheet6!$A$1:$B$77, 2, FALSE)</f>
        <v>#N/A</v>
      </c>
      <c r="D327" s="25" t="s">
        <v>2704</v>
      </c>
      <c r="E327" s="25" t="s">
        <v>2705</v>
      </c>
      <c r="F327" s="25" t="s">
        <v>9438</v>
      </c>
      <c r="G327" s="25" t="s">
        <v>10952</v>
      </c>
      <c r="H327" s="25" t="s">
        <v>10967</v>
      </c>
      <c r="I327" s="25" t="s">
        <v>10968</v>
      </c>
      <c r="J327" s="25" t="s">
        <v>10842</v>
      </c>
      <c r="L327" s="13">
        <v>2014</v>
      </c>
      <c r="M327" s="14" t="s">
        <v>5689</v>
      </c>
      <c r="N327" s="14" t="s">
        <v>5674</v>
      </c>
      <c r="O327" s="14" t="s">
        <v>2057</v>
      </c>
      <c r="P327" s="15" t="s">
        <v>3117</v>
      </c>
      <c r="Q327" s="16">
        <v>73326732</v>
      </c>
      <c r="R327" s="17">
        <v>43553</v>
      </c>
      <c r="S327" s="16"/>
      <c r="T327" s="16" t="s">
        <v>50</v>
      </c>
      <c r="U327" s="14" t="s">
        <v>95</v>
      </c>
      <c r="V327" s="13">
        <v>4</v>
      </c>
      <c r="W327" s="17">
        <v>44028</v>
      </c>
      <c r="X327" s="14" t="s">
        <v>5544</v>
      </c>
      <c r="Y327" s="17">
        <v>44027</v>
      </c>
      <c r="Z327" s="17">
        <v>43525</v>
      </c>
      <c r="AA327" s="14" t="s">
        <v>5493</v>
      </c>
      <c r="AB327" s="14" t="s">
        <v>5494</v>
      </c>
      <c r="AC327" s="14" t="s">
        <v>7807</v>
      </c>
      <c r="AD327" s="20" t="str">
        <f t="shared" si="22"/>
        <v>B2B E-Commerce &gt; Agriculture &gt; Marketplace
Crop Tech &gt; ECommerce &gt; Diversified &gt; Marketplace</v>
      </c>
      <c r="AE327" s="20" t="str">
        <f t="shared" si="21"/>
        <v>B2B E-Commerce</v>
      </c>
      <c r="AF327" s="20" t="str">
        <f t="shared" si="23"/>
        <v>Agriculture</v>
      </c>
      <c r="AG327" s="20" t="str">
        <f t="shared" si="23"/>
        <v>Marketplace
Crop Tech</v>
      </c>
      <c r="AH327" s="20" t="str">
        <f t="shared" si="23"/>
        <v>ECommerce</v>
      </c>
      <c r="AI327" s="20" t="str">
        <f t="shared" si="23"/>
        <v>Diversified</v>
      </c>
      <c r="AJ327" s="20" t="str">
        <f t="shared" si="23"/>
        <v>Marketplace</v>
      </c>
      <c r="AK327" s="20" t="str">
        <f t="shared" si="23"/>
        <v/>
      </c>
      <c r="AL327" s="14" t="s">
        <v>7808</v>
      </c>
      <c r="AM327" s="14"/>
      <c r="AO327" s="14"/>
      <c r="AP327" s="14" t="s">
        <v>2057</v>
      </c>
      <c r="AQ327" s="14" t="s">
        <v>7810</v>
      </c>
      <c r="AR327" s="14" t="s">
        <v>7811</v>
      </c>
      <c r="AS327" s="14" t="s">
        <v>7812</v>
      </c>
      <c r="AT327" s="14" t="s">
        <v>7813</v>
      </c>
      <c r="AU327" s="14"/>
      <c r="AV327" s="18"/>
      <c r="AW327" s="16"/>
      <c r="AX327" s="17"/>
      <c r="AY327" s="15" t="s">
        <v>3123</v>
      </c>
      <c r="AZ327" s="17"/>
      <c r="BA327" s="16"/>
      <c r="BB327" s="14"/>
      <c r="BC327" s="14"/>
      <c r="BD327" s="15" t="s">
        <v>3123</v>
      </c>
      <c r="BE327" s="14"/>
      <c r="BF327" s="17"/>
      <c r="BG327" s="16"/>
      <c r="BH327" s="14"/>
      <c r="BI327" s="15" t="s">
        <v>3123</v>
      </c>
      <c r="BJ327" s="14"/>
      <c r="BK327" s="17"/>
      <c r="BL327" s="16"/>
      <c r="BM327" s="16"/>
      <c r="BN327" s="16"/>
      <c r="BO327" s="16"/>
      <c r="BP327" s="15" t="s">
        <v>3123</v>
      </c>
      <c r="BQ327" s="17"/>
      <c r="BR327" s="14"/>
      <c r="BS327" s="14"/>
      <c r="BT327" s="16"/>
      <c r="BU327" s="16"/>
      <c r="BV327" s="13"/>
      <c r="BW327" s="18" t="s">
        <v>7814</v>
      </c>
      <c r="BX327" s="13">
        <v>200</v>
      </c>
      <c r="BY327" s="17">
        <v>44124</v>
      </c>
      <c r="BZ327" s="18"/>
      <c r="CA327" s="18"/>
      <c r="CB327" s="18"/>
      <c r="CC327" s="18"/>
      <c r="CD327" s="14" t="s">
        <v>7815</v>
      </c>
      <c r="CE327" s="17">
        <v>42506</v>
      </c>
      <c r="CF327" s="16"/>
      <c r="CG327" s="17"/>
      <c r="CH327" s="16"/>
      <c r="CI327" s="17"/>
      <c r="CJ327" s="16"/>
      <c r="CK327" s="17"/>
      <c r="CL327" s="16"/>
      <c r="CM327" s="17"/>
      <c r="CN327" s="19">
        <v>35.680792853474685</v>
      </c>
      <c r="CO327" s="19"/>
      <c r="CP327" s="17"/>
      <c r="CQ327" s="14" t="s">
        <v>7816</v>
      </c>
      <c r="CR327" s="14" t="s">
        <v>7817</v>
      </c>
      <c r="CS327" s="14" t="s">
        <v>5004</v>
      </c>
    </row>
    <row r="328" spans="1:97" ht="26.15" customHeight="1">
      <c r="A328" s="2">
        <v>412</v>
      </c>
      <c r="B328" s="25" t="s">
        <v>2419</v>
      </c>
      <c r="C328" s="25" t="e">
        <f>VLOOKUP(B328, Sheet6!$A$1:$B$77, 2, FALSE)</f>
        <v>#N/A</v>
      </c>
      <c r="D328" s="25" t="s">
        <v>2420</v>
      </c>
      <c r="E328" s="25" t="s">
        <v>2422</v>
      </c>
      <c r="F328" s="25" t="s">
        <v>9396</v>
      </c>
      <c r="G328" s="25" t="s">
        <v>10955</v>
      </c>
      <c r="H328" s="25" t="s">
        <v>10957</v>
      </c>
      <c r="I328" s="25" t="s">
        <v>10558</v>
      </c>
      <c r="J328" s="25" t="s">
        <v>10766</v>
      </c>
      <c r="L328" s="13">
        <v>2015</v>
      </c>
      <c r="M328" s="14" t="s">
        <v>4993</v>
      </c>
      <c r="N328" s="14" t="s">
        <v>4994</v>
      </c>
      <c r="O328" s="14" t="s">
        <v>2057</v>
      </c>
      <c r="P328" s="15" t="s">
        <v>3117</v>
      </c>
      <c r="Q328" s="16">
        <v>751000</v>
      </c>
      <c r="R328" s="17">
        <v>42389</v>
      </c>
      <c r="S328" s="16" t="s">
        <v>9279</v>
      </c>
      <c r="T328" s="16">
        <v>751000</v>
      </c>
      <c r="U328" s="14" t="s">
        <v>34</v>
      </c>
      <c r="V328" s="13"/>
      <c r="W328" s="17"/>
      <c r="X328" s="14"/>
      <c r="Y328" s="17"/>
      <c r="Z328" s="17"/>
      <c r="AA328" s="14" t="s">
        <v>8325</v>
      </c>
      <c r="AB328" s="14" t="s">
        <v>9280</v>
      </c>
      <c r="AC328" s="14" t="s">
        <v>9281</v>
      </c>
      <c r="AD328" s="20" t="str">
        <f t="shared" si="22"/>
        <v>Alternative Lending &gt; Online Lenders &gt; Business Loans &gt; Term Loans &gt; Marketplace &gt; P2P
Crowdfunding &gt; Revenue Sharing &gt; Agriculture
Crop Tech &gt; Finance &gt; Loans</v>
      </c>
      <c r="AE328" s="20" t="str">
        <f t="shared" si="21"/>
        <v>Alternative Lending</v>
      </c>
      <c r="AF328" s="20" t="str">
        <f t="shared" si="23"/>
        <v>Online Lenders</v>
      </c>
      <c r="AG328" s="20" t="str">
        <f t="shared" si="23"/>
        <v>Business Loans</v>
      </c>
      <c r="AH328" s="20" t="str">
        <f t="shared" si="23"/>
        <v>Term Loans</v>
      </c>
      <c r="AI328" s="20" t="str">
        <f t="shared" si="23"/>
        <v>Marketplace</v>
      </c>
      <c r="AJ328" s="20" t="str">
        <f t="shared" si="23"/>
        <v>P2P
Crowdfunding</v>
      </c>
      <c r="AK328" s="20" t="str">
        <f t="shared" si="23"/>
        <v>Revenue Sharing</v>
      </c>
      <c r="AL328" s="14"/>
      <c r="AM328" s="14"/>
      <c r="AO328" s="14"/>
      <c r="AP328" s="14" t="s">
        <v>2057</v>
      </c>
      <c r="AQ328" s="14"/>
      <c r="AR328" s="14"/>
      <c r="AS328" s="14" t="s">
        <v>9283</v>
      </c>
      <c r="AT328" s="14"/>
      <c r="AU328" s="14"/>
      <c r="AV328" s="18"/>
      <c r="AW328" s="16"/>
      <c r="AX328" s="17"/>
      <c r="AY328" s="15" t="s">
        <v>3123</v>
      </c>
      <c r="AZ328" s="17"/>
      <c r="BA328" s="16"/>
      <c r="BB328" s="14"/>
      <c r="BC328" s="14"/>
      <c r="BD328" s="15" t="s">
        <v>3123</v>
      </c>
      <c r="BE328" s="14"/>
      <c r="BF328" s="17"/>
      <c r="BG328" s="16"/>
      <c r="BH328" s="14"/>
      <c r="BI328" s="15" t="s">
        <v>3123</v>
      </c>
      <c r="BJ328" s="14"/>
      <c r="BK328" s="17"/>
      <c r="BL328" s="16"/>
      <c r="BM328" s="16"/>
      <c r="BN328" s="16"/>
      <c r="BO328" s="16"/>
      <c r="BP328" s="15" t="s">
        <v>3123</v>
      </c>
      <c r="BQ328" s="17"/>
      <c r="BR328" s="14"/>
      <c r="BS328" s="14"/>
      <c r="BT328" s="16"/>
      <c r="BU328" s="16"/>
      <c r="BV328" s="13"/>
      <c r="BW328" s="18" t="s">
        <v>9284</v>
      </c>
      <c r="BX328" s="13">
        <v>301</v>
      </c>
      <c r="BY328" s="17">
        <v>44124</v>
      </c>
      <c r="BZ328" s="18"/>
      <c r="CA328" s="18"/>
      <c r="CB328" s="18"/>
      <c r="CC328" s="18"/>
      <c r="CD328" s="14" t="s">
        <v>9285</v>
      </c>
      <c r="CE328" s="17">
        <v>42620</v>
      </c>
      <c r="CF328" s="16"/>
      <c r="CG328" s="17"/>
      <c r="CH328" s="16"/>
      <c r="CI328" s="17"/>
      <c r="CJ328" s="16"/>
      <c r="CK328" s="17"/>
      <c r="CL328" s="16"/>
      <c r="CM328" s="17"/>
      <c r="CN328" s="19">
        <v>12.953382976256261</v>
      </c>
      <c r="CO328" s="19"/>
      <c r="CP328" s="17"/>
      <c r="CQ328" s="14" t="s">
        <v>7606</v>
      </c>
      <c r="CR328" s="14" t="s">
        <v>7607</v>
      </c>
      <c r="CS328" s="14" t="s">
        <v>5945</v>
      </c>
    </row>
    <row r="329" spans="1:97" ht="26.15" customHeight="1">
      <c r="A329" s="2">
        <v>482</v>
      </c>
      <c r="B329" s="25" t="s">
        <v>2880</v>
      </c>
      <c r="C329" s="25" t="e">
        <f>VLOOKUP(B329, Sheet6!$A$1:$B$77, 2, FALSE)</f>
        <v>#N/A</v>
      </c>
      <c r="D329" s="25" t="s">
        <v>2881</v>
      </c>
      <c r="E329" s="25" t="s">
        <v>2884</v>
      </c>
      <c r="F329" s="25" t="s">
        <v>9857</v>
      </c>
      <c r="G329" s="25" t="s">
        <v>10952</v>
      </c>
      <c r="H329" s="25" t="s">
        <v>10558</v>
      </c>
      <c r="I329" s="25" t="s">
        <v>10558</v>
      </c>
      <c r="J329" s="25" t="s">
        <v>10842</v>
      </c>
      <c r="L329" s="13">
        <v>2015</v>
      </c>
      <c r="M329" s="14" t="s">
        <v>6064</v>
      </c>
      <c r="N329" s="14" t="s">
        <v>6065</v>
      </c>
      <c r="O329" s="14" t="s">
        <v>2057</v>
      </c>
      <c r="P329" s="15" t="s">
        <v>3117</v>
      </c>
      <c r="Q329" s="16">
        <v>62610600</v>
      </c>
      <c r="R329" s="17">
        <v>43301</v>
      </c>
      <c r="S329" s="16" t="s">
        <v>7818</v>
      </c>
      <c r="T329" s="16">
        <v>26610600</v>
      </c>
      <c r="U329" s="14" t="s">
        <v>25</v>
      </c>
      <c r="V329" s="13"/>
      <c r="W329" s="17"/>
      <c r="X329" s="14"/>
      <c r="Y329" s="17"/>
      <c r="Z329" s="17"/>
      <c r="AA329" s="14" t="s">
        <v>5509</v>
      </c>
      <c r="AB329" s="14" t="s">
        <v>5510</v>
      </c>
      <c r="AC329" s="14" t="s">
        <v>7819</v>
      </c>
      <c r="AD329" s="20" t="str">
        <f t="shared" si="22"/>
        <v>B2B E-Commerce &gt; Food &amp; Beverages &gt; Groceries &gt; Farm Products &gt; E-Distributor
Online Grocery &gt; B2B Ecommerce &gt; Farm Produce &gt; Multi-Category &gt; E-Distributor
Crop Tech &gt; ECommerce &gt; Farm Produce &gt; B2B &gt; Fruits and Vegetables &gt; E Distributor</v>
      </c>
      <c r="AE329" s="20" t="str">
        <f t="shared" si="21"/>
        <v>B2B E-Commerce</v>
      </c>
      <c r="AF329" s="20" t="str">
        <f t="shared" si="23"/>
        <v>Food &amp; Beverages</v>
      </c>
      <c r="AG329" s="20" t="str">
        <f t="shared" si="23"/>
        <v>Groceries</v>
      </c>
      <c r="AH329" s="20" t="str">
        <f t="shared" si="23"/>
        <v>Farm Products</v>
      </c>
      <c r="AI329" s="20" t="str">
        <f t="shared" si="23"/>
        <v>E-Distributor
Online Grocery</v>
      </c>
      <c r="AJ329" s="20" t="str">
        <f t="shared" si="23"/>
        <v>B2B Ecommerce</v>
      </c>
      <c r="AK329" s="20" t="str">
        <f t="shared" si="23"/>
        <v>Farm Produce</v>
      </c>
      <c r="AL329" s="14" t="s">
        <v>7820</v>
      </c>
      <c r="AM329" s="14"/>
      <c r="AO329" s="14"/>
      <c r="AP329" s="14" t="s">
        <v>2057</v>
      </c>
      <c r="AQ329" s="14" t="s">
        <v>7822</v>
      </c>
      <c r="AR329" s="14" t="s">
        <v>7823</v>
      </c>
      <c r="AS329" s="14" t="s">
        <v>7824</v>
      </c>
      <c r="AT329" s="14"/>
      <c r="AU329" s="14"/>
      <c r="AV329" s="18"/>
      <c r="AW329" s="16"/>
      <c r="AX329" s="17"/>
      <c r="AY329" s="15" t="s">
        <v>3123</v>
      </c>
      <c r="AZ329" s="17"/>
      <c r="BA329" s="16"/>
      <c r="BB329" s="14"/>
      <c r="BC329" s="14"/>
      <c r="BD329" s="15" t="s">
        <v>3123</v>
      </c>
      <c r="BE329" s="14"/>
      <c r="BF329" s="17"/>
      <c r="BG329" s="16"/>
      <c r="BH329" s="14"/>
      <c r="BI329" s="15" t="s">
        <v>3123</v>
      </c>
      <c r="BJ329" s="14"/>
      <c r="BK329" s="17"/>
      <c r="BL329" s="16"/>
      <c r="BM329" s="16"/>
      <c r="BN329" s="16"/>
      <c r="BO329" s="16"/>
      <c r="BP329" s="15" t="s">
        <v>3123</v>
      </c>
      <c r="BQ329" s="17"/>
      <c r="BR329" s="14"/>
      <c r="BS329" s="14"/>
      <c r="BT329" s="16"/>
      <c r="BU329" s="16"/>
      <c r="BV329" s="13"/>
      <c r="BW329" s="18" t="s">
        <v>7825</v>
      </c>
      <c r="BX329" s="13">
        <v>200</v>
      </c>
      <c r="BY329" s="17">
        <v>44124</v>
      </c>
      <c r="BZ329" s="18"/>
      <c r="CA329" s="18"/>
      <c r="CB329" s="18"/>
      <c r="CC329" s="18"/>
      <c r="CD329" s="14" t="s">
        <v>7826</v>
      </c>
      <c r="CE329" s="17">
        <v>42685</v>
      </c>
      <c r="CF329" s="16"/>
      <c r="CG329" s="17"/>
      <c r="CH329" s="16"/>
      <c r="CI329" s="17"/>
      <c r="CJ329" s="16"/>
      <c r="CK329" s="17"/>
      <c r="CL329" s="16"/>
      <c r="CM329" s="17"/>
      <c r="CN329" s="19">
        <v>34.687787406085839</v>
      </c>
      <c r="CO329" s="19"/>
      <c r="CP329" s="17"/>
      <c r="CQ329" s="14" t="s">
        <v>5036</v>
      </c>
      <c r="CR329" s="14" t="s">
        <v>7827</v>
      </c>
      <c r="CS329" s="14" t="s">
        <v>5004</v>
      </c>
    </row>
    <row r="330" spans="1:97" ht="26.15" customHeight="1">
      <c r="A330" s="2">
        <v>424</v>
      </c>
      <c r="B330" s="25" t="s">
        <v>2754</v>
      </c>
      <c r="C330" s="25" t="e">
        <f>VLOOKUP(B330, Sheet6!$A$1:$B$77, 2, FALSE)</f>
        <v>#N/A</v>
      </c>
      <c r="D330" s="25" t="s">
        <v>2755</v>
      </c>
      <c r="E330" s="25" t="s">
        <v>2757</v>
      </c>
      <c r="F330" s="25" t="s">
        <v>9463</v>
      </c>
      <c r="G330" s="25" t="s">
        <v>10955</v>
      </c>
      <c r="H330" s="25" t="s">
        <v>10957</v>
      </c>
      <c r="I330" s="25" t="s">
        <v>10968</v>
      </c>
      <c r="J330" s="25" t="s">
        <v>10842</v>
      </c>
      <c r="L330" s="13">
        <v>2015</v>
      </c>
      <c r="M330" s="14" t="s">
        <v>9286</v>
      </c>
      <c r="N330" s="14" t="s">
        <v>9287</v>
      </c>
      <c r="O330" s="14" t="s">
        <v>9288</v>
      </c>
      <c r="P330" s="15" t="s">
        <v>3117</v>
      </c>
      <c r="Q330" s="16">
        <v>150000</v>
      </c>
      <c r="R330" s="17">
        <v>42012</v>
      </c>
      <c r="S330" s="16" t="s">
        <v>5105</v>
      </c>
      <c r="T330" s="16">
        <v>150000</v>
      </c>
      <c r="U330" s="14" t="s">
        <v>34</v>
      </c>
      <c r="V330" s="13"/>
      <c r="W330" s="17"/>
      <c r="X330" s="14"/>
      <c r="Y330" s="17"/>
      <c r="Z330" s="17"/>
      <c r="AA330" s="14" t="s">
        <v>5041</v>
      </c>
      <c r="AB330" s="14" t="s">
        <v>5042</v>
      </c>
      <c r="AC330" s="14" t="s">
        <v>7413</v>
      </c>
      <c r="AD330" s="20" t="str">
        <f t="shared" si="22"/>
        <v>IoT Applications &gt; Industry Specific &gt; Agriculture &gt; Farms
Crop Tech &gt; Farm Management Software &gt; Diversified</v>
      </c>
      <c r="AE330" s="20" t="str">
        <f t="shared" si="21"/>
        <v>IoT Applications</v>
      </c>
      <c r="AF330" s="20" t="str">
        <f t="shared" si="23"/>
        <v>Industry Specific</v>
      </c>
      <c r="AG330" s="20" t="str">
        <f t="shared" si="23"/>
        <v>Agriculture</v>
      </c>
      <c r="AH330" s="20" t="str">
        <f t="shared" si="23"/>
        <v>Farms
Crop Tech</v>
      </c>
      <c r="AI330" s="20" t="str">
        <f t="shared" si="23"/>
        <v>Farm Management Software</v>
      </c>
      <c r="AJ330" s="20" t="str">
        <f t="shared" si="23"/>
        <v>Diversified</v>
      </c>
      <c r="AK330" s="20" t="str">
        <f t="shared" si="23"/>
        <v/>
      </c>
      <c r="AL330" s="14"/>
      <c r="AM330" s="14"/>
      <c r="AO330" s="14"/>
      <c r="AP330" s="14" t="s">
        <v>9288</v>
      </c>
      <c r="AQ330" s="14"/>
      <c r="AR330" s="14"/>
      <c r="AS330" s="14" t="s">
        <v>9290</v>
      </c>
      <c r="AT330" s="14" t="s">
        <v>9291</v>
      </c>
      <c r="AU330" s="14" t="s">
        <v>9292</v>
      </c>
      <c r="AV330" s="18"/>
      <c r="AW330" s="16"/>
      <c r="AX330" s="17"/>
      <c r="AY330" s="15" t="s">
        <v>3123</v>
      </c>
      <c r="AZ330" s="17"/>
      <c r="BA330" s="16"/>
      <c r="BB330" s="14"/>
      <c r="BC330" s="14"/>
      <c r="BD330" s="15" t="s">
        <v>3123</v>
      </c>
      <c r="BE330" s="14"/>
      <c r="BF330" s="17"/>
      <c r="BG330" s="16"/>
      <c r="BH330" s="14"/>
      <c r="BI330" s="15" t="s">
        <v>3123</v>
      </c>
      <c r="BJ330" s="14"/>
      <c r="BK330" s="17"/>
      <c r="BL330" s="16"/>
      <c r="BM330" s="16"/>
      <c r="BN330" s="16"/>
      <c r="BO330" s="16"/>
      <c r="BP330" s="15" t="s">
        <v>3123</v>
      </c>
      <c r="BQ330" s="17"/>
      <c r="BR330" s="14" t="s">
        <v>9293</v>
      </c>
      <c r="BS330" s="14"/>
      <c r="BT330" s="16"/>
      <c r="BU330" s="16"/>
      <c r="BV330" s="13"/>
      <c r="BW330" s="18" t="s">
        <v>9294</v>
      </c>
      <c r="BX330" s="13">
        <v>200</v>
      </c>
      <c r="BY330" s="17">
        <v>44124</v>
      </c>
      <c r="BZ330" s="18"/>
      <c r="CA330" s="18"/>
      <c r="CB330" s="18"/>
      <c r="CC330" s="18"/>
      <c r="CD330" s="14" t="s">
        <v>9295</v>
      </c>
      <c r="CE330" s="17">
        <v>42929</v>
      </c>
      <c r="CF330" s="16"/>
      <c r="CG330" s="17"/>
      <c r="CH330" s="16"/>
      <c r="CI330" s="17"/>
      <c r="CJ330" s="16"/>
      <c r="CK330" s="17"/>
      <c r="CL330" s="16"/>
      <c r="CM330" s="17"/>
      <c r="CN330" s="19">
        <v>11.537381199420054</v>
      </c>
      <c r="CO330" s="19"/>
      <c r="CP330" s="17"/>
      <c r="CQ330" s="14" t="s">
        <v>5036</v>
      </c>
      <c r="CR330" s="14" t="s">
        <v>5962</v>
      </c>
      <c r="CS330" s="14" t="s">
        <v>5945</v>
      </c>
    </row>
    <row r="331" spans="1:97" ht="26.15" customHeight="1">
      <c r="A331" s="2">
        <v>470</v>
      </c>
      <c r="B331" s="25" t="s">
        <v>2717</v>
      </c>
      <c r="C331" s="25" t="e">
        <f>VLOOKUP(B331, Sheet6!$A$1:$B$77, 2, FALSE)</f>
        <v>#N/A</v>
      </c>
      <c r="D331" s="25" t="s">
        <v>2718</v>
      </c>
      <c r="E331" s="25" t="s">
        <v>2719</v>
      </c>
      <c r="F331" s="25" t="s">
        <v>9741</v>
      </c>
      <c r="G331" s="25" t="s">
        <v>10955</v>
      </c>
      <c r="H331" s="25" t="s">
        <v>10957</v>
      </c>
      <c r="I331" s="25" t="s">
        <v>10968</v>
      </c>
      <c r="J331" s="25" t="s">
        <v>10821</v>
      </c>
      <c r="L331" s="13">
        <v>2015</v>
      </c>
      <c r="M331" s="14" t="s">
        <v>4993</v>
      </c>
      <c r="N331" s="14" t="s">
        <v>4994</v>
      </c>
      <c r="O331" s="14" t="s">
        <v>2057</v>
      </c>
      <c r="P331" s="15" t="s">
        <v>3117</v>
      </c>
      <c r="Q331" s="16"/>
      <c r="R331" s="17">
        <v>42169</v>
      </c>
      <c r="S331" s="16"/>
      <c r="T331" s="16" t="s">
        <v>50</v>
      </c>
      <c r="U331" s="14" t="s">
        <v>5630</v>
      </c>
      <c r="V331" s="13"/>
      <c r="W331" s="17"/>
      <c r="X331" s="14"/>
      <c r="Y331" s="17"/>
      <c r="Z331" s="17"/>
      <c r="AA331" s="14" t="s">
        <v>5493</v>
      </c>
      <c r="AB331" s="14" t="s">
        <v>5494</v>
      </c>
      <c r="AC331" s="14" t="s">
        <v>9296</v>
      </c>
      <c r="AD331" s="20" t="str">
        <f t="shared" si="22"/>
        <v>B2B E-Commerce &gt; Agriculture &gt; Marketplace
Crop Tech &gt; ECommerce &gt; Farm Inputs &gt; Multi Category &gt; Marketplace</v>
      </c>
      <c r="AE331" s="20" t="str">
        <f t="shared" si="21"/>
        <v>B2B E-Commerce</v>
      </c>
      <c r="AF331" s="20" t="str">
        <f t="shared" si="23"/>
        <v>Agriculture</v>
      </c>
      <c r="AG331" s="20" t="str">
        <f t="shared" si="23"/>
        <v>Marketplace
Crop Tech</v>
      </c>
      <c r="AH331" s="20" t="str">
        <f t="shared" si="23"/>
        <v>ECommerce</v>
      </c>
      <c r="AI331" s="20" t="str">
        <f t="shared" si="23"/>
        <v>Farm Inputs</v>
      </c>
      <c r="AJ331" s="20" t="str">
        <f t="shared" si="23"/>
        <v>Multi Category</v>
      </c>
      <c r="AK331" s="20" t="str">
        <f t="shared" si="23"/>
        <v>Marketplace</v>
      </c>
      <c r="AL331" s="14" t="s">
        <v>9297</v>
      </c>
      <c r="AM331" s="14"/>
      <c r="AO331" s="14"/>
      <c r="AP331" s="14" t="s">
        <v>2057</v>
      </c>
      <c r="AQ331" s="14"/>
      <c r="AR331" s="14"/>
      <c r="AS331" s="14"/>
      <c r="AT331" s="14"/>
      <c r="AU331" s="14"/>
      <c r="AV331" s="18"/>
      <c r="AW331" s="16"/>
      <c r="AX331" s="17"/>
      <c r="AY331" s="15" t="s">
        <v>3123</v>
      </c>
      <c r="AZ331" s="17"/>
      <c r="BA331" s="16"/>
      <c r="BB331" s="14"/>
      <c r="BC331" s="14"/>
      <c r="BD331" s="15" t="s">
        <v>3123</v>
      </c>
      <c r="BE331" s="14"/>
      <c r="BF331" s="17"/>
      <c r="BG331" s="16"/>
      <c r="BH331" s="14"/>
      <c r="BI331" s="15" t="s">
        <v>3123</v>
      </c>
      <c r="BJ331" s="14"/>
      <c r="BK331" s="17"/>
      <c r="BL331" s="16"/>
      <c r="BM331" s="16"/>
      <c r="BN331" s="16"/>
      <c r="BO331" s="16"/>
      <c r="BP331" s="15" t="s">
        <v>3117</v>
      </c>
      <c r="BQ331" s="17"/>
      <c r="BR331" s="14"/>
      <c r="BS331" s="14"/>
      <c r="BT331" s="16"/>
      <c r="BU331" s="16"/>
      <c r="BV331" s="13"/>
      <c r="BW331" s="18" t="s">
        <v>9299</v>
      </c>
      <c r="BX331" s="13">
        <v>200</v>
      </c>
      <c r="BY331" s="17">
        <v>44124</v>
      </c>
      <c r="BZ331" s="18"/>
      <c r="CA331" s="18"/>
      <c r="CB331" s="18"/>
      <c r="CC331" s="18"/>
      <c r="CD331" s="14" t="s">
        <v>9300</v>
      </c>
      <c r="CE331" s="17">
        <v>42499</v>
      </c>
      <c r="CF331" s="16"/>
      <c r="CG331" s="17"/>
      <c r="CH331" s="16"/>
      <c r="CI331" s="17"/>
      <c r="CJ331" s="16"/>
      <c r="CK331" s="17"/>
      <c r="CL331" s="16"/>
      <c r="CM331" s="17"/>
      <c r="CN331" s="19">
        <v>14.442603550617024</v>
      </c>
      <c r="CO331" s="19"/>
      <c r="CP331" s="17"/>
      <c r="CQ331" s="14" t="s">
        <v>9301</v>
      </c>
      <c r="CR331" s="14" t="s">
        <v>7751</v>
      </c>
      <c r="CS331" s="14" t="s">
        <v>6074</v>
      </c>
    </row>
    <row r="332" spans="1:97" ht="26.15" customHeight="1">
      <c r="A332" s="2">
        <v>443</v>
      </c>
      <c r="B332" s="25" t="s">
        <v>2237</v>
      </c>
      <c r="C332" s="25" t="e">
        <f>VLOOKUP(B332, Sheet6!$A$1:$B$77, 2, FALSE)</f>
        <v>#N/A</v>
      </c>
      <c r="D332" s="25" t="s">
        <v>2238</v>
      </c>
      <c r="E332" s="25" t="s">
        <v>2240</v>
      </c>
      <c r="F332" s="25" t="s">
        <v>9573</v>
      </c>
      <c r="G332" s="25" t="s">
        <v>10953</v>
      </c>
      <c r="H332" s="25" t="s">
        <v>10967</v>
      </c>
      <c r="I332" s="25" t="s">
        <v>10558</v>
      </c>
      <c r="J332" s="25" t="s">
        <v>10517</v>
      </c>
      <c r="L332" s="13">
        <v>2014</v>
      </c>
      <c r="M332" s="14" t="s">
        <v>4993</v>
      </c>
      <c r="N332" s="14" t="s">
        <v>4994</v>
      </c>
      <c r="O332" s="14" t="s">
        <v>2057</v>
      </c>
      <c r="P332" s="15" t="s">
        <v>3117</v>
      </c>
      <c r="Q332" s="16">
        <v>500000</v>
      </c>
      <c r="R332" s="17">
        <v>42020</v>
      </c>
      <c r="S332" s="16" t="s">
        <v>5656</v>
      </c>
      <c r="T332" s="16">
        <v>500000</v>
      </c>
      <c r="U332" s="14" t="s">
        <v>34</v>
      </c>
      <c r="V332" s="13"/>
      <c r="W332" s="17"/>
      <c r="X332" s="14"/>
      <c r="Y332" s="17"/>
      <c r="Z332" s="17"/>
      <c r="AA332" s="14" t="s">
        <v>5426</v>
      </c>
      <c r="AB332" s="14" t="s">
        <v>9302</v>
      </c>
      <c r="AC332" s="14" t="s">
        <v>9303</v>
      </c>
      <c r="AD332" s="20" t="str">
        <f t="shared" si="22"/>
        <v>Crowdfunding &gt; Revenue Sharing &gt; Agriculture
Livestock Tech &gt; Financing Platforms &gt; Investment</v>
      </c>
      <c r="AE332" s="20" t="str">
        <f t="shared" si="21"/>
        <v>Crowdfunding</v>
      </c>
      <c r="AF332" s="20" t="str">
        <f t="shared" si="23"/>
        <v>Revenue Sharing</v>
      </c>
      <c r="AG332" s="20" t="str">
        <f t="shared" si="23"/>
        <v>Agriculture
Livestock Tech</v>
      </c>
      <c r="AH332" s="20" t="str">
        <f t="shared" si="23"/>
        <v>Financing Platforms</v>
      </c>
      <c r="AI332" s="20" t="str">
        <f t="shared" si="23"/>
        <v>Investment</v>
      </c>
      <c r="AJ332" s="20" t="str">
        <f t="shared" si="23"/>
        <v/>
      </c>
      <c r="AK332" s="20" t="str">
        <f t="shared" si="23"/>
        <v/>
      </c>
      <c r="AL332" s="14" t="s">
        <v>4606</v>
      </c>
      <c r="AM332" s="14"/>
      <c r="AO332" s="14"/>
      <c r="AP332" s="14" t="s">
        <v>2057</v>
      </c>
      <c r="AQ332" s="14"/>
      <c r="AR332" s="14"/>
      <c r="AS332" s="14"/>
      <c r="AT332" s="14"/>
      <c r="AU332" s="14"/>
      <c r="AV332" s="18"/>
      <c r="AW332" s="16"/>
      <c r="AX332" s="17"/>
      <c r="AY332" s="15" t="s">
        <v>3123</v>
      </c>
      <c r="AZ332" s="17"/>
      <c r="BA332" s="16"/>
      <c r="BB332" s="14"/>
      <c r="BC332" s="14"/>
      <c r="BD332" s="15" t="s">
        <v>3123</v>
      </c>
      <c r="BE332" s="14"/>
      <c r="BF332" s="17"/>
      <c r="BG332" s="16"/>
      <c r="BH332" s="14"/>
      <c r="BI332" s="15" t="s">
        <v>3123</v>
      </c>
      <c r="BJ332" s="14"/>
      <c r="BK332" s="17"/>
      <c r="BL332" s="16"/>
      <c r="BM332" s="16"/>
      <c r="BN332" s="16"/>
      <c r="BO332" s="16"/>
      <c r="BP332" s="15" t="s">
        <v>3123</v>
      </c>
      <c r="BQ332" s="17"/>
      <c r="BR332" s="14"/>
      <c r="BS332" s="14"/>
      <c r="BT332" s="16"/>
      <c r="BU332" s="16"/>
      <c r="BV332" s="13"/>
      <c r="BW332" s="18" t="s">
        <v>9305</v>
      </c>
      <c r="BX332" s="13">
        <v>200</v>
      </c>
      <c r="BY332" s="17">
        <v>44124</v>
      </c>
      <c r="BZ332" s="18"/>
      <c r="CA332" s="18"/>
      <c r="CB332" s="18"/>
      <c r="CC332" s="18"/>
      <c r="CD332" s="14" t="s">
        <v>9306</v>
      </c>
      <c r="CE332" s="17">
        <v>43031</v>
      </c>
      <c r="CF332" s="16"/>
      <c r="CG332" s="17"/>
      <c r="CH332" s="16"/>
      <c r="CI332" s="17"/>
      <c r="CJ332" s="16"/>
      <c r="CK332" s="17"/>
      <c r="CL332" s="16"/>
      <c r="CM332" s="17"/>
      <c r="CN332" s="19">
        <v>14.522877891757506</v>
      </c>
      <c r="CO332" s="19"/>
      <c r="CP332" s="17"/>
      <c r="CQ332" s="14"/>
      <c r="CR332" s="14" t="s">
        <v>6508</v>
      </c>
      <c r="CS332" s="14" t="s">
        <v>6509</v>
      </c>
    </row>
    <row r="333" spans="1:97" ht="26.15" customHeight="1">
      <c r="A333" s="2">
        <v>516</v>
      </c>
      <c r="B333" s="25" t="s">
        <v>2711</v>
      </c>
      <c r="C333" s="25" t="e">
        <f>VLOOKUP(B333, Sheet6!$A$1:$B$77, 2, FALSE)</f>
        <v>#N/A</v>
      </c>
      <c r="D333" s="25" t="s">
        <v>2712</v>
      </c>
      <c r="E333" s="25" t="s">
        <v>2715</v>
      </c>
      <c r="F333" s="25" t="s">
        <v>10102</v>
      </c>
      <c r="G333" s="25" t="s">
        <v>10955</v>
      </c>
      <c r="H333" s="25" t="s">
        <v>10957</v>
      </c>
      <c r="I333" s="25" t="s">
        <v>10558</v>
      </c>
      <c r="J333" s="25" t="s">
        <v>10718</v>
      </c>
      <c r="L333" s="13">
        <v>2015</v>
      </c>
      <c r="M333" s="14" t="s">
        <v>7307</v>
      </c>
      <c r="N333" s="14" t="s">
        <v>5267</v>
      </c>
      <c r="O333" s="14" t="s">
        <v>2057</v>
      </c>
      <c r="P333" s="15" t="s">
        <v>3117</v>
      </c>
      <c r="Q333" s="16"/>
      <c r="R333" s="17">
        <v>42366</v>
      </c>
      <c r="S333" s="16"/>
      <c r="T333" s="16" t="s">
        <v>50</v>
      </c>
      <c r="U333" s="14" t="s">
        <v>5630</v>
      </c>
      <c r="V333" s="13"/>
      <c r="W333" s="17"/>
      <c r="X333" s="14"/>
      <c r="Y333" s="17"/>
      <c r="Z333" s="17"/>
      <c r="AA333" s="14" t="s">
        <v>5509</v>
      </c>
      <c r="AB333" s="14" t="s">
        <v>5510</v>
      </c>
      <c r="AC333" s="14" t="s">
        <v>7886</v>
      </c>
      <c r="AD333" s="20" t="str">
        <f t="shared" si="22"/>
        <v>B2B E-Commerce &gt; Food &amp; Beverages &gt; Groceries &gt; Farm Products &gt; Marketplace
Online Grocery &gt; B2B Ecommerce &gt; Farm Produce &gt; Multi-Category &gt; Marketplace
Crop Tech &gt; ECommerce &gt; Farm Produce &gt; B2B &gt; Fruits and Vegetables &gt; Marketplace</v>
      </c>
      <c r="AE333" s="20" t="str">
        <f t="shared" si="21"/>
        <v>B2B E-Commerce</v>
      </c>
      <c r="AF333" s="20" t="str">
        <f t="shared" si="23"/>
        <v>Food &amp; Beverages</v>
      </c>
      <c r="AG333" s="20" t="str">
        <f t="shared" si="23"/>
        <v>Groceries</v>
      </c>
      <c r="AH333" s="20" t="str">
        <f t="shared" si="23"/>
        <v>Farm Products</v>
      </c>
      <c r="AI333" s="20" t="str">
        <f t="shared" si="23"/>
        <v>Marketplace
Online Grocery</v>
      </c>
      <c r="AJ333" s="20" t="str">
        <f t="shared" si="23"/>
        <v>B2B Ecommerce</v>
      </c>
      <c r="AK333" s="20" t="str">
        <f t="shared" si="23"/>
        <v>Farm Produce</v>
      </c>
      <c r="AL333" s="14" t="s">
        <v>4658</v>
      </c>
      <c r="AM333" s="14"/>
      <c r="AO333" s="14"/>
      <c r="AP333" s="14" t="s">
        <v>2057</v>
      </c>
      <c r="AQ333" s="14"/>
      <c r="AR333" s="14"/>
      <c r="AS333" s="14"/>
      <c r="AT333" s="14"/>
      <c r="AU333" s="14"/>
      <c r="AV333" s="18"/>
      <c r="AW333" s="16"/>
      <c r="AX333" s="17"/>
      <c r="AY333" s="15" t="s">
        <v>3123</v>
      </c>
      <c r="AZ333" s="17"/>
      <c r="BA333" s="16"/>
      <c r="BB333" s="14"/>
      <c r="BC333" s="14"/>
      <c r="BD333" s="15" t="s">
        <v>3123</v>
      </c>
      <c r="BE333" s="14"/>
      <c r="BF333" s="17"/>
      <c r="BG333" s="16"/>
      <c r="BH333" s="14"/>
      <c r="BI333" s="15" t="s">
        <v>3123</v>
      </c>
      <c r="BJ333" s="14"/>
      <c r="BK333" s="17"/>
      <c r="BL333" s="16"/>
      <c r="BM333" s="16"/>
      <c r="BN333" s="16"/>
      <c r="BO333" s="16"/>
      <c r="BP333" s="15" t="s">
        <v>3117</v>
      </c>
      <c r="BQ333" s="17"/>
      <c r="BR333" s="14"/>
      <c r="BS333" s="14"/>
      <c r="BT333" s="16"/>
      <c r="BU333" s="16"/>
      <c r="BV333" s="13"/>
      <c r="BW333" s="18" t="s">
        <v>9308</v>
      </c>
      <c r="BX333" s="13">
        <v>-1</v>
      </c>
      <c r="BY333" s="17">
        <v>44124</v>
      </c>
      <c r="BZ333" s="18"/>
      <c r="CA333" s="18"/>
      <c r="CB333" s="18"/>
      <c r="CC333" s="18"/>
      <c r="CD333" s="14" t="s">
        <v>9309</v>
      </c>
      <c r="CE333" s="17">
        <v>42643</v>
      </c>
      <c r="CF333" s="16"/>
      <c r="CG333" s="17"/>
      <c r="CH333" s="16"/>
      <c r="CI333" s="17"/>
      <c r="CJ333" s="16"/>
      <c r="CK333" s="17"/>
      <c r="CL333" s="16"/>
      <c r="CM333" s="17"/>
      <c r="CN333" s="19">
        <v>10.66558113288985</v>
      </c>
      <c r="CO333" s="19"/>
      <c r="CP333" s="17"/>
      <c r="CQ333" s="14" t="s">
        <v>6556</v>
      </c>
      <c r="CR333" s="14" t="s">
        <v>6731</v>
      </c>
      <c r="CS333" s="14" t="s">
        <v>6074</v>
      </c>
    </row>
    <row r="334" spans="1:97" ht="26.15" customHeight="1">
      <c r="A334" s="2">
        <v>119</v>
      </c>
      <c r="B334" s="25" t="s">
        <v>905</v>
      </c>
      <c r="C334" s="25" t="e">
        <f>VLOOKUP(B334, Sheet6!$A$1:$B$77, 2, FALSE)</f>
        <v>#N/A</v>
      </c>
      <c r="D334" s="25" t="s">
        <v>906</v>
      </c>
      <c r="E334" s="25" t="s">
        <v>908</v>
      </c>
      <c r="F334" s="25" t="s">
        <v>6558</v>
      </c>
      <c r="G334" s="25" t="s">
        <v>10955</v>
      </c>
      <c r="H334" s="25" t="s">
        <v>10959</v>
      </c>
      <c r="I334" s="25" t="s">
        <v>10958</v>
      </c>
      <c r="J334" s="26" t="s">
        <v>10726</v>
      </c>
      <c r="L334" s="13">
        <v>2016</v>
      </c>
      <c r="M334" s="14" t="s">
        <v>7285</v>
      </c>
      <c r="N334" s="14"/>
      <c r="O334" s="14" t="s">
        <v>5277</v>
      </c>
      <c r="P334" s="15" t="s">
        <v>3117</v>
      </c>
      <c r="Q334" s="16"/>
      <c r="R334" s="17">
        <v>42514</v>
      </c>
      <c r="S334" s="16"/>
      <c r="T334" s="16" t="s">
        <v>50</v>
      </c>
      <c r="U334" s="14" t="s">
        <v>5335</v>
      </c>
      <c r="V334" s="13">
        <v>4</v>
      </c>
      <c r="W334" s="17">
        <v>44013</v>
      </c>
      <c r="X334" s="14"/>
      <c r="Y334" s="17"/>
      <c r="Z334" s="17"/>
      <c r="AA334" s="14" t="s">
        <v>4995</v>
      </c>
      <c r="AB334" s="14" t="s">
        <v>5578</v>
      </c>
      <c r="AC334" s="14" t="s">
        <v>6813</v>
      </c>
      <c r="AD334" s="20" t="str">
        <f t="shared" si="22"/>
        <v>Online Grocery &gt; B2C Ecommerce &gt; Multi Category &gt; Marketplace &gt; Own Delivery Fleet
Crop Tech &gt; ECommerce &gt; Farm Produce &gt; B2C &gt; Fruits and Vegetables &gt; Marketplace</v>
      </c>
      <c r="AE334" s="20" t="str">
        <f t="shared" si="21"/>
        <v>Online Grocery</v>
      </c>
      <c r="AF334" s="20" t="str">
        <f t="shared" si="23"/>
        <v>B2C Ecommerce</v>
      </c>
      <c r="AG334" s="20" t="str">
        <f t="shared" si="23"/>
        <v>Multi Category</v>
      </c>
      <c r="AH334" s="20" t="str">
        <f t="shared" si="23"/>
        <v>Marketplace</v>
      </c>
      <c r="AI334" s="20" t="str">
        <f t="shared" si="23"/>
        <v>Own Delivery Fleet
Crop Tech</v>
      </c>
      <c r="AJ334" s="20" t="str">
        <f t="shared" si="23"/>
        <v>ECommerce</v>
      </c>
      <c r="AK334" s="20" t="str">
        <f t="shared" si="23"/>
        <v>Farm Produce</v>
      </c>
      <c r="AL334" s="14" t="s">
        <v>9310</v>
      </c>
      <c r="AM334" s="14"/>
      <c r="AO334" s="14"/>
      <c r="AP334" s="14" t="s">
        <v>5277</v>
      </c>
      <c r="AQ334" s="14"/>
      <c r="AR334" s="14"/>
      <c r="AS334" s="14" t="s">
        <v>9312</v>
      </c>
      <c r="AT334" s="14" t="s">
        <v>9313</v>
      </c>
      <c r="AU334" s="14" t="s">
        <v>9314</v>
      </c>
      <c r="AV334" s="18"/>
      <c r="AW334" s="16"/>
      <c r="AX334" s="17"/>
      <c r="AY334" s="15" t="s">
        <v>3123</v>
      </c>
      <c r="AZ334" s="17"/>
      <c r="BA334" s="16"/>
      <c r="BB334" s="14"/>
      <c r="BC334" s="14"/>
      <c r="BD334" s="15" t="s">
        <v>3117</v>
      </c>
      <c r="BE334" s="14" t="s">
        <v>9315</v>
      </c>
      <c r="BF334" s="17">
        <v>43523</v>
      </c>
      <c r="BG334" s="16"/>
      <c r="BH334" s="14" t="s">
        <v>5342</v>
      </c>
      <c r="BI334" s="15" t="s">
        <v>3123</v>
      </c>
      <c r="BJ334" s="14"/>
      <c r="BK334" s="17"/>
      <c r="BL334" s="16"/>
      <c r="BM334" s="16"/>
      <c r="BN334" s="16"/>
      <c r="BO334" s="16"/>
      <c r="BP334" s="15" t="s">
        <v>3123</v>
      </c>
      <c r="BQ334" s="17"/>
      <c r="BR334" s="14"/>
      <c r="BS334" s="14"/>
      <c r="BT334" s="16"/>
      <c r="BU334" s="16"/>
      <c r="BV334" s="13"/>
      <c r="BW334" s="18" t="s">
        <v>9316</v>
      </c>
      <c r="BX334" s="13">
        <v>-1</v>
      </c>
      <c r="BY334" s="17">
        <v>44123</v>
      </c>
      <c r="BZ334" s="18"/>
      <c r="CA334" s="18" t="s">
        <v>9317</v>
      </c>
      <c r="CB334" s="18"/>
      <c r="CC334" s="18"/>
      <c r="CD334" s="14" t="s">
        <v>9318</v>
      </c>
      <c r="CE334" s="17">
        <v>42535</v>
      </c>
      <c r="CF334" s="16"/>
      <c r="CG334" s="17"/>
      <c r="CH334" s="16"/>
      <c r="CI334" s="17"/>
      <c r="CJ334" s="16"/>
      <c r="CK334" s="17"/>
      <c r="CL334" s="16"/>
      <c r="CM334" s="17"/>
      <c r="CN334" s="19">
        <v>41.566695676466693</v>
      </c>
      <c r="CO334" s="19"/>
      <c r="CP334" s="17"/>
      <c r="CQ334" s="14" t="s">
        <v>7816</v>
      </c>
      <c r="CR334" s="14" t="s">
        <v>9319</v>
      </c>
      <c r="CS334" s="14" t="s">
        <v>5521</v>
      </c>
    </row>
    <row r="335" spans="1:97" ht="26.15" customHeight="1">
      <c r="A335" s="2">
        <v>127</v>
      </c>
      <c r="B335" s="25" t="s">
        <v>1510</v>
      </c>
      <c r="C335" s="25" t="e">
        <f>VLOOKUP(B335, Sheet6!$A$1:$B$77, 2, FALSE)</f>
        <v>#N/A</v>
      </c>
      <c r="D335" s="25" t="s">
        <v>1511</v>
      </c>
      <c r="E335" s="25" t="s">
        <v>1515</v>
      </c>
      <c r="F335" s="25" t="s">
        <v>6656</v>
      </c>
      <c r="G335" s="25" t="s">
        <v>10955</v>
      </c>
      <c r="H335" s="25" t="s">
        <v>10959</v>
      </c>
      <c r="I335" s="25" t="s">
        <v>10958</v>
      </c>
      <c r="J335" s="26" t="s">
        <v>10768</v>
      </c>
      <c r="L335" s="13">
        <v>2015</v>
      </c>
      <c r="M335" s="14" t="s">
        <v>5592</v>
      </c>
      <c r="N335" s="14" t="s">
        <v>5313</v>
      </c>
      <c r="O335" s="14" t="s">
        <v>3994</v>
      </c>
      <c r="P335" s="15" t="s">
        <v>3117</v>
      </c>
      <c r="Q335" s="16">
        <v>446647</v>
      </c>
      <c r="R335" s="17">
        <v>42634</v>
      </c>
      <c r="S335" s="16" t="s">
        <v>9320</v>
      </c>
      <c r="T335" s="16">
        <v>446647</v>
      </c>
      <c r="U335" s="14" t="s">
        <v>34</v>
      </c>
      <c r="V335" s="13"/>
      <c r="W335" s="17"/>
      <c r="X335" s="14"/>
      <c r="Y335" s="17"/>
      <c r="Z335" s="17"/>
      <c r="AA335" s="14" t="s">
        <v>5493</v>
      </c>
      <c r="AB335" s="14" t="s">
        <v>9321</v>
      </c>
      <c r="AC335" s="14" t="s">
        <v>9322</v>
      </c>
      <c r="AD335" s="20" t="str">
        <f t="shared" si="22"/>
        <v>Home Improvements &gt; B2C Commerce &gt; Decor &gt; Retailer &gt; Ornamental Plants and Accessories
Crop Tech &gt; ECommerce &gt; Farm Inputs &gt; Multi Category &gt; Retailer &gt; Garden Supplies</v>
      </c>
      <c r="AE335" s="20" t="str">
        <f t="shared" si="21"/>
        <v>Home Improvements</v>
      </c>
      <c r="AF335" s="20" t="str">
        <f t="shared" si="23"/>
        <v>B2C Commerce</v>
      </c>
      <c r="AG335" s="20" t="str">
        <f t="shared" si="23"/>
        <v>Decor</v>
      </c>
      <c r="AH335" s="20" t="str">
        <f t="shared" si="23"/>
        <v>Retailer</v>
      </c>
      <c r="AI335" s="20" t="str">
        <f t="shared" si="23"/>
        <v>Ornamental Plants and Accessories
Crop Tech</v>
      </c>
      <c r="AJ335" s="20" t="str">
        <f t="shared" si="23"/>
        <v>ECommerce</v>
      </c>
      <c r="AK335" s="20" t="str">
        <f t="shared" si="23"/>
        <v>Farm Inputs</v>
      </c>
      <c r="AL335" s="14"/>
      <c r="AM335" s="14"/>
      <c r="AO335" s="14"/>
      <c r="AP335" s="14" t="s">
        <v>3994</v>
      </c>
      <c r="AQ335" s="14" t="s">
        <v>9324</v>
      </c>
      <c r="AR335" s="14" t="s">
        <v>9325</v>
      </c>
      <c r="AS335" s="14" t="s">
        <v>9326</v>
      </c>
      <c r="AT335" s="14" t="s">
        <v>9327</v>
      </c>
      <c r="AU335" s="14" t="s">
        <v>9328</v>
      </c>
      <c r="AV335" s="18"/>
      <c r="AW335" s="16">
        <v>3237900</v>
      </c>
      <c r="AX335" s="17">
        <v>43465</v>
      </c>
      <c r="AY335" s="15" t="s">
        <v>3123</v>
      </c>
      <c r="AZ335" s="17"/>
      <c r="BA335" s="16"/>
      <c r="BB335" s="14"/>
      <c r="BC335" s="14"/>
      <c r="BD335" s="15" t="s">
        <v>3123</v>
      </c>
      <c r="BE335" s="14"/>
      <c r="BF335" s="17"/>
      <c r="BG335" s="16"/>
      <c r="BH335" s="14"/>
      <c r="BI335" s="15" t="s">
        <v>3123</v>
      </c>
      <c r="BJ335" s="14"/>
      <c r="BK335" s="17"/>
      <c r="BL335" s="16"/>
      <c r="BM335" s="16"/>
      <c r="BN335" s="16"/>
      <c r="BO335" s="16"/>
      <c r="BP335" s="15" t="s">
        <v>3123</v>
      </c>
      <c r="BQ335" s="17"/>
      <c r="BR335" s="14" t="s">
        <v>9329</v>
      </c>
      <c r="BS335" s="14"/>
      <c r="BT335" s="16"/>
      <c r="BU335" s="16"/>
      <c r="BV335" s="13"/>
      <c r="BW335" s="18" t="s">
        <v>9330</v>
      </c>
      <c r="BX335" s="13">
        <v>200</v>
      </c>
      <c r="BY335" s="17">
        <v>44123</v>
      </c>
      <c r="BZ335" s="18" t="s">
        <v>9331</v>
      </c>
      <c r="CA335" s="18" t="s">
        <v>9332</v>
      </c>
      <c r="CB335" s="18" t="s">
        <v>9333</v>
      </c>
      <c r="CC335" s="18" t="s">
        <v>9334</v>
      </c>
      <c r="CD335" s="14" t="s">
        <v>9335</v>
      </c>
      <c r="CE335" s="17">
        <v>43021</v>
      </c>
      <c r="CF335" s="16">
        <v>-204000</v>
      </c>
      <c r="CG335" s="17">
        <v>43465</v>
      </c>
      <c r="CH335" s="16">
        <v>-113800</v>
      </c>
      <c r="CI335" s="17">
        <v>43465</v>
      </c>
      <c r="CJ335" s="16"/>
      <c r="CK335" s="17"/>
      <c r="CL335" s="16">
        <v>29</v>
      </c>
      <c r="CM335" s="17">
        <v>43921</v>
      </c>
      <c r="CN335" s="19">
        <v>45.582158047789569</v>
      </c>
      <c r="CO335" s="19"/>
      <c r="CP335" s="17"/>
      <c r="CQ335" s="14" t="s">
        <v>6487</v>
      </c>
      <c r="CR335" s="14" t="s">
        <v>9336</v>
      </c>
      <c r="CS335" s="14" t="s">
        <v>5004</v>
      </c>
    </row>
    <row r="336" spans="1:97" ht="26.15" customHeight="1">
      <c r="A336" s="2">
        <v>93</v>
      </c>
      <c r="B336" s="25" t="s">
        <v>1631</v>
      </c>
      <c r="C336" s="25" t="e">
        <f>VLOOKUP(B336, Sheet6!$A$1:$B$77, 2, FALSE)</f>
        <v>#N/A</v>
      </c>
      <c r="D336" s="25" t="s">
        <v>1632</v>
      </c>
      <c r="E336" s="25" t="s">
        <v>1633</v>
      </c>
      <c r="F336" s="25" t="s">
        <v>6231</v>
      </c>
      <c r="G336" s="25" t="s">
        <v>11118</v>
      </c>
      <c r="H336" s="25" t="s">
        <v>10957</v>
      </c>
      <c r="I336" s="25" t="s">
        <v>10958</v>
      </c>
      <c r="J336" s="26" t="s">
        <v>10965</v>
      </c>
      <c r="L336" s="13">
        <v>2014</v>
      </c>
      <c r="M336" s="14" t="s">
        <v>4993</v>
      </c>
      <c r="N336" s="14" t="s">
        <v>4994</v>
      </c>
      <c r="O336" s="14" t="s">
        <v>2057</v>
      </c>
      <c r="P336" s="15" t="s">
        <v>3117</v>
      </c>
      <c r="Q336" s="16"/>
      <c r="R336" s="17">
        <v>42333</v>
      </c>
      <c r="S336" s="16"/>
      <c r="T336" s="16" t="s">
        <v>50</v>
      </c>
      <c r="U336" s="14" t="s">
        <v>109</v>
      </c>
      <c r="V336" s="13"/>
      <c r="W336" s="17"/>
      <c r="X336" s="14"/>
      <c r="Y336" s="17"/>
      <c r="Z336" s="17"/>
      <c r="AA336" s="14" t="s">
        <v>5509</v>
      </c>
      <c r="AB336" s="14" t="s">
        <v>5510</v>
      </c>
      <c r="AC336" s="14" t="s">
        <v>9337</v>
      </c>
      <c r="AD336" s="20" t="str">
        <f t="shared" si="22"/>
        <v>B2B E-Commerce &gt; Food &amp; Beverages &gt; Groceries &gt; Farm Products &gt; Marketplace
Online Grocery &gt; B2B Ecommerce &gt; Farm Produce &gt; Grains
Crop Tech &gt; ECommerce &gt; Farm Produce &gt; B2B &gt; Grains</v>
      </c>
      <c r="AE336" s="20" t="str">
        <f t="shared" si="21"/>
        <v>B2B E-Commerce</v>
      </c>
      <c r="AF336" s="20" t="str">
        <f t="shared" si="23"/>
        <v>Food &amp; Beverages</v>
      </c>
      <c r="AG336" s="20" t="str">
        <f t="shared" si="23"/>
        <v>Groceries</v>
      </c>
      <c r="AH336" s="20" t="str">
        <f t="shared" si="23"/>
        <v>Farm Products</v>
      </c>
      <c r="AI336" s="20" t="str">
        <f t="shared" si="23"/>
        <v>Marketplace
Online Grocery</v>
      </c>
      <c r="AJ336" s="20" t="str">
        <f t="shared" si="23"/>
        <v>B2B Ecommerce</v>
      </c>
      <c r="AK336" s="20" t="str">
        <f t="shared" si="23"/>
        <v>Farm Produce</v>
      </c>
      <c r="AL336" s="14" t="s">
        <v>9338</v>
      </c>
      <c r="AM336" s="14"/>
      <c r="AO336" s="14"/>
      <c r="AP336" s="14" t="s">
        <v>2057</v>
      </c>
      <c r="AQ336" s="14"/>
      <c r="AR336" s="14"/>
      <c r="AS336" s="14"/>
      <c r="AT336" s="14"/>
      <c r="AU336" s="14"/>
      <c r="AV336" s="18"/>
      <c r="AW336" s="16"/>
      <c r="AX336" s="17"/>
      <c r="AY336" s="15" t="s">
        <v>3123</v>
      </c>
      <c r="AZ336" s="17"/>
      <c r="BA336" s="16"/>
      <c r="BB336" s="14"/>
      <c r="BC336" s="14"/>
      <c r="BD336" s="15" t="s">
        <v>3123</v>
      </c>
      <c r="BE336" s="14"/>
      <c r="BF336" s="17"/>
      <c r="BG336" s="16"/>
      <c r="BH336" s="14"/>
      <c r="BI336" s="15" t="s">
        <v>3123</v>
      </c>
      <c r="BJ336" s="14"/>
      <c r="BK336" s="17"/>
      <c r="BL336" s="16"/>
      <c r="BM336" s="16"/>
      <c r="BN336" s="16"/>
      <c r="BO336" s="16"/>
      <c r="BP336" s="15" t="s">
        <v>3123</v>
      </c>
      <c r="BQ336" s="17"/>
      <c r="BR336" s="14"/>
      <c r="BS336" s="14"/>
      <c r="BT336" s="16"/>
      <c r="BU336" s="16"/>
      <c r="BV336" s="13"/>
      <c r="BW336" s="18" t="s">
        <v>9340</v>
      </c>
      <c r="BX336" s="13">
        <v>200</v>
      </c>
      <c r="BY336" s="17">
        <v>44123</v>
      </c>
      <c r="BZ336" s="18"/>
      <c r="CA336" s="18"/>
      <c r="CB336" s="18"/>
      <c r="CC336" s="18"/>
      <c r="CD336" s="14" t="s">
        <v>9341</v>
      </c>
      <c r="CE336" s="17">
        <v>42543</v>
      </c>
      <c r="CF336" s="16"/>
      <c r="CG336" s="17"/>
      <c r="CH336" s="16"/>
      <c r="CI336" s="17"/>
      <c r="CJ336" s="16"/>
      <c r="CK336" s="17"/>
      <c r="CL336" s="16"/>
      <c r="CM336" s="17"/>
      <c r="CN336" s="19">
        <v>22.840338709025421</v>
      </c>
      <c r="CO336" s="19"/>
      <c r="CP336" s="17"/>
      <c r="CQ336" s="14" t="s">
        <v>6556</v>
      </c>
      <c r="CR336" s="14" t="s">
        <v>6731</v>
      </c>
      <c r="CS336" s="14" t="s">
        <v>6074</v>
      </c>
    </row>
    <row r="337" spans="1:97" ht="26.15" customHeight="1">
      <c r="A337" s="2">
        <v>10</v>
      </c>
      <c r="B337" s="25" t="s">
        <v>1699</v>
      </c>
      <c r="C337" s="25" t="e">
        <f>VLOOKUP(B337, Sheet6!$A$1:$B$77, 2, FALSE)</f>
        <v>#N/A</v>
      </c>
      <c r="D337" s="25" t="s">
        <v>1700</v>
      </c>
      <c r="E337" s="25" t="s">
        <v>1703</v>
      </c>
      <c r="F337" s="25" t="s">
        <v>5124</v>
      </c>
      <c r="G337" s="25" t="s">
        <v>10955</v>
      </c>
      <c r="H337" s="25" t="s">
        <v>10959</v>
      </c>
      <c r="I337" s="25" t="s">
        <v>10958</v>
      </c>
      <c r="J337" s="26" t="s">
        <v>10846</v>
      </c>
      <c r="L337" s="13">
        <v>2015</v>
      </c>
      <c r="M337" s="14" t="s">
        <v>4993</v>
      </c>
      <c r="N337" s="14" t="s">
        <v>4994</v>
      </c>
      <c r="O337" s="14" t="s">
        <v>2057</v>
      </c>
      <c r="P337" s="15" t="s">
        <v>3117</v>
      </c>
      <c r="Q337" s="16">
        <v>1730000</v>
      </c>
      <c r="R337" s="17">
        <v>42345</v>
      </c>
      <c r="S337" s="16" t="s">
        <v>5022</v>
      </c>
      <c r="T337" s="16">
        <v>1580000</v>
      </c>
      <c r="U337" s="14" t="s">
        <v>5630</v>
      </c>
      <c r="V337" s="13"/>
      <c r="W337" s="17"/>
      <c r="X337" s="14"/>
      <c r="Y337" s="17"/>
      <c r="Z337" s="17"/>
      <c r="AA337" s="14" t="s">
        <v>5509</v>
      </c>
      <c r="AB337" s="14" t="s">
        <v>6725</v>
      </c>
      <c r="AC337" s="14" t="s">
        <v>6726</v>
      </c>
      <c r="AD337" s="20" t="str">
        <f t="shared" si="22"/>
        <v>B2B E-Commerce &gt; Food &amp; Beverages &gt; Groceries &gt; Farm Products &gt; Marketplace
Online Grocery &gt; B2B Ecommerce &gt; Farm Produce &gt; Meat and Seafood &gt; Marketplace
Livestock Tech &gt; ECommerce &gt; Farm Produce &gt; B2B &gt; Marketplace &gt; Meat</v>
      </c>
      <c r="AE337" s="20" t="str">
        <f t="shared" si="21"/>
        <v>B2B E-Commerce</v>
      </c>
      <c r="AF337" s="20" t="str">
        <f t="shared" si="23"/>
        <v>Food &amp; Beverages</v>
      </c>
      <c r="AG337" s="20" t="str">
        <f t="shared" si="23"/>
        <v>Groceries</v>
      </c>
      <c r="AH337" s="20" t="str">
        <f t="shared" si="23"/>
        <v>Farm Products</v>
      </c>
      <c r="AI337" s="20" t="str">
        <f t="shared" si="23"/>
        <v>Marketplace
Online Grocery</v>
      </c>
      <c r="AJ337" s="20" t="str">
        <f t="shared" si="23"/>
        <v>B2B Ecommerce</v>
      </c>
      <c r="AK337" s="20" t="str">
        <f t="shared" si="23"/>
        <v>Farm Produce</v>
      </c>
      <c r="AL337" s="14"/>
      <c r="AM337" s="14"/>
      <c r="AO337" s="14"/>
      <c r="AP337" s="14" t="s">
        <v>2057</v>
      </c>
      <c r="AQ337" s="14"/>
      <c r="AR337" s="14"/>
      <c r="AS337" s="14"/>
      <c r="AT337" s="14"/>
      <c r="AU337" s="14"/>
      <c r="AV337" s="18"/>
      <c r="AW337" s="16"/>
      <c r="AX337" s="17"/>
      <c r="AY337" s="15" t="s">
        <v>3123</v>
      </c>
      <c r="AZ337" s="17"/>
      <c r="BA337" s="16"/>
      <c r="BB337" s="14"/>
      <c r="BC337" s="14"/>
      <c r="BD337" s="15" t="s">
        <v>3123</v>
      </c>
      <c r="BE337" s="14"/>
      <c r="BF337" s="17"/>
      <c r="BG337" s="16"/>
      <c r="BH337" s="14"/>
      <c r="BI337" s="15" t="s">
        <v>3123</v>
      </c>
      <c r="BJ337" s="14"/>
      <c r="BK337" s="17"/>
      <c r="BL337" s="16"/>
      <c r="BM337" s="16"/>
      <c r="BN337" s="16"/>
      <c r="BO337" s="16"/>
      <c r="BP337" s="15" t="s">
        <v>3117</v>
      </c>
      <c r="BQ337" s="17"/>
      <c r="BR337" s="14"/>
      <c r="BS337" s="14"/>
      <c r="BT337" s="16"/>
      <c r="BU337" s="16"/>
      <c r="BV337" s="13"/>
      <c r="BW337" s="18" t="s">
        <v>9343</v>
      </c>
      <c r="BX337" s="13">
        <v>-1</v>
      </c>
      <c r="BY337" s="17">
        <v>44123</v>
      </c>
      <c r="BZ337" s="18" t="s">
        <v>9344</v>
      </c>
      <c r="CA337" s="18"/>
      <c r="CB337" s="18"/>
      <c r="CC337" s="18"/>
      <c r="CD337" s="14" t="s">
        <v>9345</v>
      </c>
      <c r="CE337" s="17">
        <v>42501</v>
      </c>
      <c r="CF337" s="16"/>
      <c r="CG337" s="17"/>
      <c r="CH337" s="16"/>
      <c r="CI337" s="17"/>
      <c r="CJ337" s="16"/>
      <c r="CK337" s="17"/>
      <c r="CL337" s="16"/>
      <c r="CM337" s="17"/>
      <c r="CN337" s="19">
        <v>10.990963548661624</v>
      </c>
      <c r="CO337" s="19"/>
      <c r="CP337" s="17"/>
      <c r="CQ337" s="14" t="s">
        <v>5036</v>
      </c>
      <c r="CR337" s="14" t="s">
        <v>7249</v>
      </c>
      <c r="CS337" s="14" t="s">
        <v>6074</v>
      </c>
    </row>
    <row r="338" spans="1:97" ht="26.15" customHeight="1">
      <c r="A338" s="2">
        <v>167</v>
      </c>
      <c r="B338" s="25" t="s">
        <v>1082</v>
      </c>
      <c r="C338" s="25" t="e">
        <f>VLOOKUP(B338, Sheet6!$A$1:$B$77, 2, FALSE)</f>
        <v>#N/A</v>
      </c>
      <c r="D338" s="25" t="s">
        <v>1083</v>
      </c>
      <c r="E338" s="25" t="s">
        <v>1087</v>
      </c>
      <c r="F338" s="25" t="s">
        <v>7154</v>
      </c>
      <c r="G338" s="25" t="s">
        <v>10955</v>
      </c>
      <c r="H338" s="25" t="s">
        <v>10959</v>
      </c>
      <c r="I338" s="25" t="s">
        <v>10958</v>
      </c>
      <c r="J338" s="26" t="s">
        <v>10846</v>
      </c>
      <c r="L338" s="13">
        <v>2012</v>
      </c>
      <c r="M338" s="14" t="s">
        <v>4993</v>
      </c>
      <c r="N338" s="14" t="s">
        <v>4994</v>
      </c>
      <c r="O338" s="14" t="s">
        <v>2057</v>
      </c>
      <c r="P338" s="15" t="s">
        <v>3117</v>
      </c>
      <c r="Q338" s="16"/>
      <c r="R338" s="17">
        <v>42156</v>
      </c>
      <c r="S338" s="16"/>
      <c r="T338" s="16" t="s">
        <v>50</v>
      </c>
      <c r="U338" s="14" t="s">
        <v>25</v>
      </c>
      <c r="V338" s="13">
        <v>3</v>
      </c>
      <c r="W338" s="17">
        <v>44028</v>
      </c>
      <c r="X338" s="14"/>
      <c r="Y338" s="17"/>
      <c r="Z338" s="17"/>
      <c r="AA338" s="14" t="s">
        <v>5509</v>
      </c>
      <c r="AB338" s="14" t="s">
        <v>5510</v>
      </c>
      <c r="AC338" s="14" t="s">
        <v>9346</v>
      </c>
      <c r="AD338" s="20" t="str">
        <f t="shared" si="22"/>
        <v>B2B E-Commerce &gt; Agriculture &gt; Marketplace
Online Grocery &gt; B2B Ecommerce &gt; Farm Produce &gt; Multi-Category &gt; Marketplace
Crop Tech &gt; ECommerce &gt; Farm Produce &gt; B2B</v>
      </c>
      <c r="AE338" s="20" t="str">
        <f t="shared" si="21"/>
        <v>B2B E-Commerce</v>
      </c>
      <c r="AF338" s="20" t="str">
        <f t="shared" si="23"/>
        <v>Agriculture</v>
      </c>
      <c r="AG338" s="20" t="str">
        <f t="shared" si="23"/>
        <v>Marketplace
Online Grocery</v>
      </c>
      <c r="AH338" s="20" t="str">
        <f t="shared" si="23"/>
        <v>B2B Ecommerce</v>
      </c>
      <c r="AI338" s="20" t="str">
        <f t="shared" si="23"/>
        <v>Farm Produce</v>
      </c>
      <c r="AJ338" s="20" t="str">
        <f t="shared" si="23"/>
        <v>Multi-Category</v>
      </c>
      <c r="AK338" s="20" t="str">
        <f t="shared" si="23"/>
        <v>Marketplace
Crop Tech</v>
      </c>
      <c r="AL338" s="14" t="s">
        <v>9347</v>
      </c>
      <c r="AM338" s="14"/>
      <c r="AO338" s="14"/>
      <c r="AP338" s="14" t="s">
        <v>2057</v>
      </c>
      <c r="AQ338" s="14"/>
      <c r="AR338" s="14"/>
      <c r="AS338" s="14"/>
      <c r="AT338" s="14"/>
      <c r="AU338" s="14"/>
      <c r="AV338" s="18"/>
      <c r="AW338" s="16"/>
      <c r="AX338" s="17"/>
      <c r="AY338" s="15" t="s">
        <v>3123</v>
      </c>
      <c r="AZ338" s="17"/>
      <c r="BA338" s="16"/>
      <c r="BB338" s="14"/>
      <c r="BC338" s="14"/>
      <c r="BD338" s="15" t="s">
        <v>3123</v>
      </c>
      <c r="BE338" s="14"/>
      <c r="BF338" s="17"/>
      <c r="BG338" s="16"/>
      <c r="BH338" s="14"/>
      <c r="BI338" s="15" t="s">
        <v>3123</v>
      </c>
      <c r="BJ338" s="14"/>
      <c r="BK338" s="17"/>
      <c r="BL338" s="16"/>
      <c r="BM338" s="16"/>
      <c r="BN338" s="16"/>
      <c r="BO338" s="16"/>
      <c r="BP338" s="15" t="s">
        <v>3123</v>
      </c>
      <c r="BQ338" s="17"/>
      <c r="BR338" s="14"/>
      <c r="BS338" s="14"/>
      <c r="BT338" s="16"/>
      <c r="BU338" s="16"/>
      <c r="BV338" s="13"/>
      <c r="BW338" s="18" t="s">
        <v>9349</v>
      </c>
      <c r="BX338" s="13">
        <v>200</v>
      </c>
      <c r="BY338" s="17">
        <v>44123</v>
      </c>
      <c r="BZ338" s="18"/>
      <c r="CA338" s="18"/>
      <c r="CB338" s="18"/>
      <c r="CC338" s="18"/>
      <c r="CD338" s="14" t="s">
        <v>9350</v>
      </c>
      <c r="CE338" s="17">
        <v>42492</v>
      </c>
      <c r="CF338" s="16"/>
      <c r="CG338" s="17"/>
      <c r="CH338" s="16"/>
      <c r="CI338" s="17"/>
      <c r="CJ338" s="16"/>
      <c r="CK338" s="17"/>
      <c r="CL338" s="16"/>
      <c r="CM338" s="17"/>
      <c r="CN338" s="19">
        <v>20.751118614764383</v>
      </c>
      <c r="CO338" s="19"/>
      <c r="CP338" s="17"/>
      <c r="CQ338" s="14" t="s">
        <v>6556</v>
      </c>
      <c r="CR338" s="14" t="s">
        <v>6731</v>
      </c>
      <c r="CS338" s="14" t="s">
        <v>6074</v>
      </c>
    </row>
    <row r="339" spans="1:97" ht="26.15" customHeight="1">
      <c r="A339" s="2">
        <v>290</v>
      </c>
      <c r="B339" s="25" t="s">
        <v>1005</v>
      </c>
      <c r="C339" s="25" t="e">
        <f>VLOOKUP(B339, Sheet6!$A$1:$B$77, 2, FALSE)</f>
        <v>#N/A</v>
      </c>
      <c r="D339" s="25" t="s">
        <v>1006</v>
      </c>
      <c r="E339" s="25" t="s">
        <v>1008</v>
      </c>
      <c r="F339" s="25" t="s">
        <v>8692</v>
      </c>
      <c r="G339" s="25">
        <v>0</v>
      </c>
      <c r="H339" s="25">
        <v>0</v>
      </c>
      <c r="I339" s="25">
        <v>0</v>
      </c>
      <c r="J339" s="25">
        <v>0</v>
      </c>
      <c r="L339" s="13">
        <v>2015</v>
      </c>
      <c r="M339" s="14"/>
      <c r="N339" s="14" t="s">
        <v>5276</v>
      </c>
      <c r="O339" s="14" t="s">
        <v>5277</v>
      </c>
      <c r="P339" s="15" t="s">
        <v>3117</v>
      </c>
      <c r="Q339" s="16"/>
      <c r="R339" s="17">
        <v>42572</v>
      </c>
      <c r="S339" s="16"/>
      <c r="T339" s="16" t="s">
        <v>50</v>
      </c>
      <c r="U339" s="14" t="s">
        <v>34</v>
      </c>
      <c r="V339" s="13">
        <v>2</v>
      </c>
      <c r="W339" s="17">
        <v>44083</v>
      </c>
      <c r="X339" s="14"/>
      <c r="Y339" s="17"/>
      <c r="Z339" s="17"/>
      <c r="AA339" s="14" t="s">
        <v>5947</v>
      </c>
      <c r="AB339" s="14" t="s">
        <v>6335</v>
      </c>
      <c r="AC339" s="14" t="s">
        <v>6336</v>
      </c>
      <c r="AD339" s="20" t="str">
        <f t="shared" si="22"/>
        <v>Field Force Automation &gt; Agricultural industry
Crop Tech &gt; Farm Management Software &gt; Diversified</v>
      </c>
      <c r="AE339" s="20" t="str">
        <f t="shared" si="21"/>
        <v>Field Force Automation</v>
      </c>
      <c r="AF339" s="20" t="str">
        <f t="shared" si="23"/>
        <v>Agricultural industry
Crop Tech</v>
      </c>
      <c r="AG339" s="20" t="str">
        <f t="shared" si="23"/>
        <v>Farm Management Software</v>
      </c>
      <c r="AH339" s="20" t="str">
        <f t="shared" si="23"/>
        <v>Diversified</v>
      </c>
      <c r="AI339" s="20" t="str">
        <f t="shared" si="23"/>
        <v/>
      </c>
      <c r="AJ339" s="20" t="str">
        <f t="shared" si="23"/>
        <v/>
      </c>
      <c r="AK339" s="20" t="str">
        <f t="shared" si="23"/>
        <v/>
      </c>
      <c r="AL339" s="14" t="s">
        <v>206</v>
      </c>
      <c r="AM339" s="14"/>
      <c r="AO339" s="14"/>
      <c r="AP339" s="14" t="s">
        <v>5277</v>
      </c>
      <c r="AQ339" s="14"/>
      <c r="AR339" s="14"/>
      <c r="AS339" s="14" t="s">
        <v>9352</v>
      </c>
      <c r="AT339" s="14" t="s">
        <v>9353</v>
      </c>
      <c r="AU339" s="14" t="s">
        <v>9354</v>
      </c>
      <c r="AV339" s="18"/>
      <c r="AW339" s="16"/>
      <c r="AX339" s="17"/>
      <c r="AY339" s="15" t="s">
        <v>3123</v>
      </c>
      <c r="AZ339" s="17"/>
      <c r="BA339" s="16"/>
      <c r="BB339" s="14"/>
      <c r="BC339" s="14"/>
      <c r="BD339" s="15" t="s">
        <v>3123</v>
      </c>
      <c r="BE339" s="14"/>
      <c r="BF339" s="17"/>
      <c r="BG339" s="16"/>
      <c r="BH339" s="14"/>
      <c r="BI339" s="15" t="s">
        <v>3123</v>
      </c>
      <c r="BJ339" s="14"/>
      <c r="BK339" s="17"/>
      <c r="BL339" s="16"/>
      <c r="BM339" s="16"/>
      <c r="BN339" s="16"/>
      <c r="BO339" s="16"/>
      <c r="BP339" s="15" t="s">
        <v>3123</v>
      </c>
      <c r="BQ339" s="17"/>
      <c r="BR339" s="14"/>
      <c r="BS339" s="14"/>
      <c r="BT339" s="16"/>
      <c r="BU339" s="16"/>
      <c r="BV339" s="13"/>
      <c r="BW339" s="18" t="s">
        <v>9355</v>
      </c>
      <c r="BX339" s="13">
        <v>200</v>
      </c>
      <c r="BY339" s="17">
        <v>44123</v>
      </c>
      <c r="BZ339" s="18"/>
      <c r="CA339" s="18" t="s">
        <v>9356</v>
      </c>
      <c r="CB339" s="18" t="s">
        <v>9357</v>
      </c>
      <c r="CC339" s="18"/>
      <c r="CD339" s="14" t="s">
        <v>9358</v>
      </c>
      <c r="CE339" s="17">
        <v>43201</v>
      </c>
      <c r="CF339" s="16"/>
      <c r="CG339" s="17"/>
      <c r="CH339" s="16"/>
      <c r="CI339" s="17"/>
      <c r="CJ339" s="16"/>
      <c r="CK339" s="17"/>
      <c r="CL339" s="16"/>
      <c r="CM339" s="17"/>
      <c r="CN339" s="19">
        <v>30.831149528217704</v>
      </c>
      <c r="CO339" s="19"/>
      <c r="CP339" s="17"/>
      <c r="CQ339" s="14" t="s">
        <v>5036</v>
      </c>
      <c r="CR339" s="14" t="s">
        <v>5962</v>
      </c>
      <c r="CS339" s="14" t="s">
        <v>5945</v>
      </c>
    </row>
    <row r="340" spans="1:97" ht="26.15" customHeight="1">
      <c r="A340" s="2">
        <v>270</v>
      </c>
      <c r="B340" s="25" t="s">
        <v>1312</v>
      </c>
      <c r="C340" s="25" t="e">
        <f>VLOOKUP(B340, Sheet6!$A$1:$B$77, 2, FALSE)</f>
        <v>#N/A</v>
      </c>
      <c r="D340" s="25" t="s">
        <v>1313</v>
      </c>
      <c r="E340" s="25" t="s">
        <v>1315</v>
      </c>
      <c r="F340" s="25" t="s">
        <v>8423</v>
      </c>
      <c r="G340" s="25" t="s">
        <v>10954</v>
      </c>
      <c r="H340" s="25" t="s">
        <v>10558</v>
      </c>
      <c r="I340" s="25" t="s">
        <v>10558</v>
      </c>
      <c r="J340" s="25" t="s">
        <v>10846</v>
      </c>
      <c r="L340" s="13">
        <v>2013</v>
      </c>
      <c r="M340" s="14" t="s">
        <v>7307</v>
      </c>
      <c r="N340" s="14" t="s">
        <v>5267</v>
      </c>
      <c r="O340" s="14" t="s">
        <v>2057</v>
      </c>
      <c r="P340" s="15" t="s">
        <v>3117</v>
      </c>
      <c r="Q340" s="16">
        <v>7200000</v>
      </c>
      <c r="R340" s="17">
        <v>42261</v>
      </c>
      <c r="S340" s="16" t="s">
        <v>5051</v>
      </c>
      <c r="T340" s="16">
        <v>7200000</v>
      </c>
      <c r="U340" s="14" t="s">
        <v>109</v>
      </c>
      <c r="V340" s="13"/>
      <c r="W340" s="17"/>
      <c r="X340" s="14"/>
      <c r="Y340" s="17"/>
      <c r="Z340" s="17"/>
      <c r="AA340" s="14" t="s">
        <v>5509</v>
      </c>
      <c r="AB340" s="14" t="s">
        <v>5510</v>
      </c>
      <c r="AC340" s="14" t="s">
        <v>5696</v>
      </c>
      <c r="AD340" s="20" t="str">
        <f t="shared" si="22"/>
        <v>B2B E-Commerce &gt; Food &amp; Beverages &gt; Groceries &gt; Farm Products &gt; E-Distributor
Online Grocery &gt; B2B Ecommerce &gt; Farm Produce &gt; Fruits and Vegetables &gt; E-Distributor
Crop Tech &gt; ECommerce &gt; Farm Produce &gt; B2B &gt; Fruits and Vegetables &gt; E Distributor</v>
      </c>
      <c r="AE340" s="20" t="str">
        <f t="shared" si="21"/>
        <v>B2B E-Commerce</v>
      </c>
      <c r="AF340" s="20" t="str">
        <f t="shared" si="23"/>
        <v>Food &amp; Beverages</v>
      </c>
      <c r="AG340" s="20" t="str">
        <f t="shared" si="23"/>
        <v>Groceries</v>
      </c>
      <c r="AH340" s="20" t="str">
        <f t="shared" si="23"/>
        <v>Farm Products</v>
      </c>
      <c r="AI340" s="20" t="str">
        <f t="shared" si="23"/>
        <v>E-Distributor
Online Grocery</v>
      </c>
      <c r="AJ340" s="20" t="str">
        <f t="shared" si="23"/>
        <v>B2B Ecommerce</v>
      </c>
      <c r="AK340" s="20" t="str">
        <f t="shared" si="23"/>
        <v>Farm Produce</v>
      </c>
      <c r="AL340" s="14" t="s">
        <v>9359</v>
      </c>
      <c r="AM340" s="14"/>
      <c r="AO340" s="14"/>
      <c r="AP340" s="14" t="s">
        <v>2057</v>
      </c>
      <c r="AQ340" s="14"/>
      <c r="AR340" s="14"/>
      <c r="AS340" s="14"/>
      <c r="AT340" s="14"/>
      <c r="AU340" s="14"/>
      <c r="AV340" s="18"/>
      <c r="AW340" s="16"/>
      <c r="AX340" s="17"/>
      <c r="AY340" s="15" t="s">
        <v>3123</v>
      </c>
      <c r="AZ340" s="17"/>
      <c r="BA340" s="16"/>
      <c r="BB340" s="14"/>
      <c r="BC340" s="14"/>
      <c r="BD340" s="15" t="s">
        <v>3123</v>
      </c>
      <c r="BE340" s="14"/>
      <c r="BF340" s="17"/>
      <c r="BG340" s="16"/>
      <c r="BH340" s="14"/>
      <c r="BI340" s="15" t="s">
        <v>3123</v>
      </c>
      <c r="BJ340" s="14"/>
      <c r="BK340" s="17"/>
      <c r="BL340" s="16"/>
      <c r="BM340" s="16"/>
      <c r="BN340" s="16"/>
      <c r="BO340" s="16"/>
      <c r="BP340" s="15" t="s">
        <v>3123</v>
      </c>
      <c r="BQ340" s="17"/>
      <c r="BR340" s="14"/>
      <c r="BS340" s="14"/>
      <c r="BT340" s="16"/>
      <c r="BU340" s="16"/>
      <c r="BV340" s="13"/>
      <c r="BW340" s="18" t="s">
        <v>9361</v>
      </c>
      <c r="BX340" s="13">
        <v>-1</v>
      </c>
      <c r="BY340" s="17">
        <v>44123</v>
      </c>
      <c r="BZ340" s="18"/>
      <c r="CA340" s="18"/>
      <c r="CB340" s="18"/>
      <c r="CC340" s="18"/>
      <c r="CD340" s="14" t="s">
        <v>9362</v>
      </c>
      <c r="CE340" s="17">
        <v>42643</v>
      </c>
      <c r="CF340" s="16"/>
      <c r="CG340" s="17"/>
      <c r="CH340" s="16"/>
      <c r="CI340" s="17"/>
      <c r="CJ340" s="16"/>
      <c r="CK340" s="17"/>
      <c r="CL340" s="16"/>
      <c r="CM340" s="17"/>
      <c r="CN340" s="19">
        <v>27.180996107642393</v>
      </c>
      <c r="CO340" s="19"/>
      <c r="CP340" s="17"/>
      <c r="CQ340" s="14" t="s">
        <v>5104</v>
      </c>
      <c r="CR340" s="14" t="s">
        <v>7249</v>
      </c>
      <c r="CS340" s="14" t="s">
        <v>6074</v>
      </c>
    </row>
    <row r="341" spans="1:97" ht="26.15" customHeight="1">
      <c r="A341" s="2">
        <v>69</v>
      </c>
      <c r="B341" s="25" t="s">
        <v>1692</v>
      </c>
      <c r="C341" s="25" t="e">
        <f>VLOOKUP(B341, Sheet6!$A$1:$B$77, 2, FALSE)</f>
        <v>#N/A</v>
      </c>
      <c r="D341" s="25" t="s">
        <v>1693</v>
      </c>
      <c r="E341" s="25" t="s">
        <v>1365</v>
      </c>
      <c r="F341" s="25" t="s">
        <v>5898</v>
      </c>
      <c r="G341" s="25" t="s">
        <v>10953</v>
      </c>
      <c r="H341" s="25" t="s">
        <v>10967</v>
      </c>
      <c r="I341" s="25" t="s">
        <v>10958</v>
      </c>
      <c r="J341" s="26" t="s">
        <v>10517</v>
      </c>
      <c r="L341" s="13">
        <v>2015</v>
      </c>
      <c r="M341" s="14" t="s">
        <v>4993</v>
      </c>
      <c r="N341" s="14" t="s">
        <v>4994</v>
      </c>
      <c r="O341" s="14" t="s">
        <v>2057</v>
      </c>
      <c r="P341" s="15" t="s">
        <v>3117</v>
      </c>
      <c r="Q341" s="16">
        <v>4600000</v>
      </c>
      <c r="R341" s="17">
        <v>42321</v>
      </c>
      <c r="S341" s="16" t="s">
        <v>5543</v>
      </c>
      <c r="T341" s="16">
        <v>4600000</v>
      </c>
      <c r="U341" s="14" t="s">
        <v>109</v>
      </c>
      <c r="V341" s="13"/>
      <c r="W341" s="17"/>
      <c r="X341" s="14"/>
      <c r="Y341" s="17"/>
      <c r="Z341" s="17"/>
      <c r="AA341" s="14" t="s">
        <v>1</v>
      </c>
      <c r="AB341" s="14" t="s">
        <v>5084</v>
      </c>
      <c r="AC341" s="14" t="s">
        <v>2600</v>
      </c>
      <c r="AD341" s="20" t="str">
        <f t="shared" si="22"/>
        <v>Livestock Tech &gt; Financing Platforms &gt; Investment</v>
      </c>
      <c r="AE341" s="20" t="str">
        <f t="shared" si="21"/>
        <v>Livestock Tech</v>
      </c>
      <c r="AF341" s="20" t="str">
        <f t="shared" si="23"/>
        <v>Financing Platforms</v>
      </c>
      <c r="AG341" s="20" t="str">
        <f t="shared" si="23"/>
        <v>Investment</v>
      </c>
      <c r="AH341" s="20" t="str">
        <f t="shared" si="23"/>
        <v/>
      </c>
      <c r="AI341" s="20" t="str">
        <f t="shared" si="23"/>
        <v/>
      </c>
      <c r="AJ341" s="20" t="str">
        <f t="shared" si="23"/>
        <v/>
      </c>
      <c r="AK341" s="20" t="str">
        <f t="shared" si="23"/>
        <v/>
      </c>
      <c r="AL341" s="14"/>
      <c r="AM341" s="14"/>
      <c r="AO341" s="14"/>
      <c r="AP341" s="14" t="s">
        <v>2057</v>
      </c>
      <c r="AQ341" s="14"/>
      <c r="AR341" s="14"/>
      <c r="AS341" s="14"/>
      <c r="AT341" s="14"/>
      <c r="AU341" s="14"/>
      <c r="AV341" s="18"/>
      <c r="AW341" s="16"/>
      <c r="AX341" s="17"/>
      <c r="AY341" s="15" t="s">
        <v>3123</v>
      </c>
      <c r="AZ341" s="17"/>
      <c r="BA341" s="16"/>
      <c r="BB341" s="14"/>
      <c r="BC341" s="14"/>
      <c r="BD341" s="15" t="s">
        <v>3123</v>
      </c>
      <c r="BE341" s="14"/>
      <c r="BF341" s="17"/>
      <c r="BG341" s="16"/>
      <c r="BH341" s="14"/>
      <c r="BI341" s="15" t="s">
        <v>3123</v>
      </c>
      <c r="BJ341" s="14"/>
      <c r="BK341" s="17"/>
      <c r="BL341" s="16"/>
      <c r="BM341" s="16"/>
      <c r="BN341" s="16"/>
      <c r="BO341" s="16"/>
      <c r="BP341" s="15" t="s">
        <v>3123</v>
      </c>
      <c r="BQ341" s="17"/>
      <c r="BR341" s="14"/>
      <c r="BS341" s="14"/>
      <c r="BT341" s="16"/>
      <c r="BU341" s="16"/>
      <c r="BV341" s="13"/>
      <c r="BW341" s="18" t="s">
        <v>9374</v>
      </c>
      <c r="BX341" s="13">
        <v>200</v>
      </c>
      <c r="BY341" s="17">
        <v>44123</v>
      </c>
      <c r="BZ341" s="18"/>
      <c r="CA341" s="18"/>
      <c r="CB341" s="18"/>
      <c r="CC341" s="18"/>
      <c r="CD341" s="14" t="s">
        <v>9375</v>
      </c>
      <c r="CE341" s="17">
        <v>43031</v>
      </c>
      <c r="CF341" s="16"/>
      <c r="CG341" s="17"/>
      <c r="CH341" s="16"/>
      <c r="CI341" s="17"/>
      <c r="CJ341" s="16"/>
      <c r="CK341" s="17"/>
      <c r="CL341" s="16"/>
      <c r="CM341" s="17"/>
      <c r="CN341" s="19">
        <v>19.192421657393197</v>
      </c>
      <c r="CO341" s="19"/>
      <c r="CP341" s="17"/>
      <c r="CQ341" s="14"/>
      <c r="CR341" s="14" t="s">
        <v>6508</v>
      </c>
      <c r="CS341" s="14" t="s">
        <v>6509</v>
      </c>
    </row>
    <row r="342" spans="1:97" ht="26.15" customHeight="1">
      <c r="A342" s="2">
        <v>514</v>
      </c>
      <c r="B342" s="25" t="s">
        <v>3008</v>
      </c>
      <c r="C342" s="25" t="e">
        <f>VLOOKUP(B342, Sheet6!$A$1:$B$77, 2, FALSE)</f>
        <v>#N/A</v>
      </c>
      <c r="D342" s="25" t="s">
        <v>3009</v>
      </c>
      <c r="E342" s="25" t="s">
        <v>3011</v>
      </c>
      <c r="F342" s="25" t="s">
        <v>10086</v>
      </c>
      <c r="G342" s="25" t="s">
        <v>11106</v>
      </c>
      <c r="H342" s="25" t="s">
        <v>10558</v>
      </c>
      <c r="I342" s="25" t="s">
        <v>10558</v>
      </c>
      <c r="J342" s="25" t="s">
        <v>10735</v>
      </c>
      <c r="L342" s="13">
        <v>2015</v>
      </c>
      <c r="M342" s="14" t="s">
        <v>5189</v>
      </c>
      <c r="N342" s="14" t="s">
        <v>5190</v>
      </c>
      <c r="O342" s="14" t="s">
        <v>1258</v>
      </c>
      <c r="P342" s="15" t="s">
        <v>3117</v>
      </c>
      <c r="Q342" s="16"/>
      <c r="R342" s="17">
        <v>42356</v>
      </c>
      <c r="S342" s="16" t="s">
        <v>9376</v>
      </c>
      <c r="T342" s="16">
        <v>33000</v>
      </c>
      <c r="U342" s="14" t="s">
        <v>5630</v>
      </c>
      <c r="V342" s="13"/>
      <c r="W342" s="17"/>
      <c r="X342" s="14"/>
      <c r="Y342" s="17"/>
      <c r="Z342" s="17"/>
      <c r="AA342" s="14" t="s">
        <v>1</v>
      </c>
      <c r="AB342" s="14" t="s">
        <v>5007</v>
      </c>
      <c r="AC342" s="14" t="s">
        <v>6157</v>
      </c>
      <c r="AD342" s="20" t="str">
        <f t="shared" si="22"/>
        <v>Crop Tech &gt; ECommerce &gt; Farm Inputs &gt; Multi Category &gt; Marketplace</v>
      </c>
      <c r="AE342" s="20" t="str">
        <f t="shared" si="21"/>
        <v>Crop Tech</v>
      </c>
      <c r="AF342" s="20" t="str">
        <f t="shared" si="23"/>
        <v>ECommerce</v>
      </c>
      <c r="AG342" s="20" t="str">
        <f t="shared" si="23"/>
        <v>Farm Inputs</v>
      </c>
      <c r="AH342" s="20" t="str">
        <f t="shared" si="23"/>
        <v>Multi Category</v>
      </c>
      <c r="AI342" s="20" t="str">
        <f t="shared" si="23"/>
        <v>Marketplace</v>
      </c>
      <c r="AJ342" s="20" t="str">
        <f t="shared" si="23"/>
        <v/>
      </c>
      <c r="AK342" s="20" t="str">
        <f t="shared" si="23"/>
        <v/>
      </c>
      <c r="AL342" s="14" t="s">
        <v>3689</v>
      </c>
      <c r="AM342" s="14"/>
      <c r="AO342" s="14"/>
      <c r="AP342" s="14" t="s">
        <v>1258</v>
      </c>
      <c r="AQ342" s="14" t="s">
        <v>9378</v>
      </c>
      <c r="AR342" s="14"/>
      <c r="AS342" s="14" t="s">
        <v>9379</v>
      </c>
      <c r="AT342" s="14" t="s">
        <v>9380</v>
      </c>
      <c r="AU342" s="14" t="s">
        <v>9381</v>
      </c>
      <c r="AV342" s="18"/>
      <c r="AW342" s="16"/>
      <c r="AX342" s="17"/>
      <c r="AY342" s="15" t="s">
        <v>3123</v>
      </c>
      <c r="AZ342" s="17"/>
      <c r="BA342" s="16"/>
      <c r="BB342" s="14"/>
      <c r="BC342" s="14"/>
      <c r="BD342" s="15" t="s">
        <v>3123</v>
      </c>
      <c r="BE342" s="14"/>
      <c r="BF342" s="17"/>
      <c r="BG342" s="16"/>
      <c r="BH342" s="14"/>
      <c r="BI342" s="15" t="s">
        <v>3123</v>
      </c>
      <c r="BJ342" s="14"/>
      <c r="BK342" s="17"/>
      <c r="BL342" s="16"/>
      <c r="BM342" s="16"/>
      <c r="BN342" s="16"/>
      <c r="BO342" s="16"/>
      <c r="BP342" s="15" t="s">
        <v>3117</v>
      </c>
      <c r="BQ342" s="17">
        <v>42795</v>
      </c>
      <c r="BR342" s="14"/>
      <c r="BS342" s="14"/>
      <c r="BT342" s="16"/>
      <c r="BU342" s="16"/>
      <c r="BV342" s="13"/>
      <c r="BW342" s="18" t="s">
        <v>9382</v>
      </c>
      <c r="BX342" s="13">
        <v>-1</v>
      </c>
      <c r="BY342" s="17">
        <v>44123</v>
      </c>
      <c r="BZ342" s="18" t="s">
        <v>9383</v>
      </c>
      <c r="CA342" s="18" t="s">
        <v>9384</v>
      </c>
      <c r="CB342" s="18" t="s">
        <v>9385</v>
      </c>
      <c r="CC342" s="18" t="s">
        <v>9386</v>
      </c>
      <c r="CD342" s="14" t="s">
        <v>9387</v>
      </c>
      <c r="CE342" s="17">
        <v>43021</v>
      </c>
      <c r="CF342" s="16"/>
      <c r="CG342" s="17"/>
      <c r="CH342" s="16"/>
      <c r="CI342" s="17"/>
      <c r="CJ342" s="16"/>
      <c r="CK342" s="17"/>
      <c r="CL342" s="16"/>
      <c r="CM342" s="17"/>
      <c r="CN342" s="19">
        <v>20.206738174290006</v>
      </c>
      <c r="CO342" s="19"/>
      <c r="CP342" s="17"/>
      <c r="CQ342" s="14" t="s">
        <v>6556</v>
      </c>
      <c r="CR342" s="14" t="s">
        <v>6557</v>
      </c>
      <c r="CS342" s="14" t="s">
        <v>5945</v>
      </c>
    </row>
    <row r="343" spans="1:97" ht="26.15" customHeight="1">
      <c r="A343" s="2">
        <v>460</v>
      </c>
      <c r="B343" s="25" t="s">
        <v>2329</v>
      </c>
      <c r="C343" s="25" t="e">
        <f>VLOOKUP(B343, Sheet6!$A$1:$B$77, 2, FALSE)</f>
        <v>#N/A</v>
      </c>
      <c r="D343" s="25" t="s">
        <v>2330</v>
      </c>
      <c r="E343" s="25" t="s">
        <v>2333</v>
      </c>
      <c r="F343" s="25" t="s">
        <v>9697</v>
      </c>
      <c r="G343" s="25" t="s">
        <v>10955</v>
      </c>
      <c r="H343" s="25" t="s">
        <v>10959</v>
      </c>
      <c r="I343" s="25" t="s">
        <v>10558</v>
      </c>
      <c r="J343" s="25" t="s">
        <v>10770</v>
      </c>
      <c r="L343" s="13">
        <v>2014</v>
      </c>
      <c r="M343" s="14" t="s">
        <v>4993</v>
      </c>
      <c r="N343" s="14" t="s">
        <v>4994</v>
      </c>
      <c r="O343" s="14" t="s">
        <v>2057</v>
      </c>
      <c r="P343" s="15" t="s">
        <v>3117</v>
      </c>
      <c r="Q343" s="16"/>
      <c r="R343" s="17">
        <v>41883</v>
      </c>
      <c r="S343" s="16"/>
      <c r="T343" s="16" t="s">
        <v>50</v>
      </c>
      <c r="U343" s="14" t="s">
        <v>34</v>
      </c>
      <c r="V343" s="13">
        <v>5</v>
      </c>
      <c r="W343" s="17">
        <v>44018</v>
      </c>
      <c r="X343" s="14" t="s">
        <v>5052</v>
      </c>
      <c r="Y343" s="17">
        <v>42916</v>
      </c>
      <c r="Z343" s="17">
        <v>42278</v>
      </c>
      <c r="AA343" s="14" t="s">
        <v>9388</v>
      </c>
      <c r="AB343" s="14" t="s">
        <v>9389</v>
      </c>
      <c r="AC343" s="14" t="s">
        <v>9390</v>
      </c>
      <c r="AD343" s="20" t="str">
        <f t="shared" si="22"/>
        <v>Online Gifting &gt; Ecommerce &gt; Florists &gt; B2B &gt; Marketplace
B2B E-Commerce &gt; Agriculture &gt; Marketplace
Crop Tech &gt; ECommerce &gt; Farm Produce &gt; B2B &gt; Flowers</v>
      </c>
      <c r="AE343" s="20" t="str">
        <f t="shared" si="21"/>
        <v>Online Gifting</v>
      </c>
      <c r="AF343" s="20" t="str">
        <f t="shared" si="23"/>
        <v>Ecommerce</v>
      </c>
      <c r="AG343" s="20" t="str">
        <f t="shared" si="23"/>
        <v>Florists</v>
      </c>
      <c r="AH343" s="20" t="str">
        <f t="shared" si="23"/>
        <v>B2B</v>
      </c>
      <c r="AI343" s="20" t="str">
        <f t="shared" si="23"/>
        <v>Marketplace
B2B E-Commerce</v>
      </c>
      <c r="AJ343" s="20" t="str">
        <f t="shared" si="23"/>
        <v>Agriculture</v>
      </c>
      <c r="AK343" s="20" t="str">
        <f t="shared" si="23"/>
        <v>Marketplace
Crop Tech</v>
      </c>
      <c r="AL343" s="14" t="s">
        <v>9391</v>
      </c>
      <c r="AM343" s="14"/>
      <c r="AO343" s="14"/>
      <c r="AP343" s="14" t="s">
        <v>2057</v>
      </c>
      <c r="AQ343" s="14"/>
      <c r="AR343" s="14"/>
      <c r="AS343" s="14"/>
      <c r="AT343" s="14"/>
      <c r="AU343" s="14"/>
      <c r="AV343" s="18"/>
      <c r="AW343" s="16"/>
      <c r="AX343" s="17"/>
      <c r="AY343" s="15" t="s">
        <v>3123</v>
      </c>
      <c r="AZ343" s="17"/>
      <c r="BA343" s="16"/>
      <c r="BB343" s="14"/>
      <c r="BC343" s="14"/>
      <c r="BD343" s="15" t="s">
        <v>3123</v>
      </c>
      <c r="BE343" s="14"/>
      <c r="BF343" s="17"/>
      <c r="BG343" s="16"/>
      <c r="BH343" s="14"/>
      <c r="BI343" s="15" t="s">
        <v>3123</v>
      </c>
      <c r="BJ343" s="14"/>
      <c r="BK343" s="17"/>
      <c r="BL343" s="16"/>
      <c r="BM343" s="16"/>
      <c r="BN343" s="16"/>
      <c r="BO343" s="16"/>
      <c r="BP343" s="15" t="s">
        <v>3123</v>
      </c>
      <c r="BQ343" s="17"/>
      <c r="BR343" s="14"/>
      <c r="BS343" s="14"/>
      <c r="BT343" s="16"/>
      <c r="BU343" s="16"/>
      <c r="BV343" s="13"/>
      <c r="BW343" s="18" t="s">
        <v>9393</v>
      </c>
      <c r="BX343" s="13">
        <v>-1</v>
      </c>
      <c r="BY343" s="17">
        <v>44123</v>
      </c>
      <c r="BZ343" s="18"/>
      <c r="CA343" s="18"/>
      <c r="CB343" s="18"/>
      <c r="CC343" s="18"/>
      <c r="CD343" s="14" t="s">
        <v>9394</v>
      </c>
      <c r="CE343" s="17">
        <v>42361</v>
      </c>
      <c r="CF343" s="16"/>
      <c r="CG343" s="17"/>
      <c r="CH343" s="16"/>
      <c r="CI343" s="17"/>
      <c r="CJ343" s="16"/>
      <c r="CK343" s="17"/>
      <c r="CL343" s="16"/>
      <c r="CM343" s="17"/>
      <c r="CN343" s="19">
        <v>28.883648396792122</v>
      </c>
      <c r="CO343" s="19"/>
      <c r="CP343" s="17"/>
      <c r="CQ343" s="14" t="s">
        <v>7816</v>
      </c>
      <c r="CR343" s="14" t="s">
        <v>7522</v>
      </c>
      <c r="CS343" s="14" t="s">
        <v>5945</v>
      </c>
    </row>
    <row r="344" spans="1:97" ht="26.15" customHeight="1">
      <c r="A344" s="2">
        <v>289</v>
      </c>
      <c r="B344" s="25" t="s">
        <v>944</v>
      </c>
      <c r="C344" s="25" t="e">
        <f>VLOOKUP(B344, Sheet6!$A$1:$B$77, 2, FALSE)</f>
        <v>#N/A</v>
      </c>
      <c r="D344" s="25" t="s">
        <v>945</v>
      </c>
      <c r="E344" s="25" t="s">
        <v>948</v>
      </c>
      <c r="F344" s="25" t="s">
        <v>8679</v>
      </c>
      <c r="G344" s="25" t="s">
        <v>10955</v>
      </c>
      <c r="H344" s="25" t="s">
        <v>10967</v>
      </c>
      <c r="I344" s="25" t="s">
        <v>10558</v>
      </c>
      <c r="J344" s="25" t="s">
        <v>10821</v>
      </c>
      <c r="L344" s="13">
        <v>2014</v>
      </c>
      <c r="M344" s="14" t="s">
        <v>8174</v>
      </c>
      <c r="N344" s="14" t="s">
        <v>8174</v>
      </c>
      <c r="O344" s="14" t="s">
        <v>5844</v>
      </c>
      <c r="P344" s="15" t="s">
        <v>3117</v>
      </c>
      <c r="Q344" s="16">
        <v>1000000</v>
      </c>
      <c r="R344" s="17">
        <v>42521</v>
      </c>
      <c r="S344" s="16" t="s">
        <v>5134</v>
      </c>
      <c r="T344" s="16">
        <v>1000000</v>
      </c>
      <c r="U344" s="14" t="s">
        <v>34</v>
      </c>
      <c r="V344" s="13"/>
      <c r="W344" s="17"/>
      <c r="X344" s="14"/>
      <c r="Y344" s="17"/>
      <c r="Z344" s="17"/>
      <c r="AA344" s="14" t="s">
        <v>5041</v>
      </c>
      <c r="AB344" s="14" t="s">
        <v>5042</v>
      </c>
      <c r="AC344" s="14" t="s">
        <v>7413</v>
      </c>
      <c r="AD344" s="20" t="str">
        <f t="shared" si="22"/>
        <v>IoT Applications &gt; Industry Specific &gt; Agriculture &gt; Farms
Crop Tech &gt; Farm Management Software &gt; Diversified</v>
      </c>
      <c r="AE344" s="20" t="str">
        <f t="shared" si="21"/>
        <v>IoT Applications</v>
      </c>
      <c r="AF344" s="20" t="str">
        <f t="shared" si="23"/>
        <v>Industry Specific</v>
      </c>
      <c r="AG344" s="20" t="str">
        <f t="shared" si="23"/>
        <v>Agriculture</v>
      </c>
      <c r="AH344" s="20" t="str">
        <f t="shared" si="23"/>
        <v>Farms
Crop Tech</v>
      </c>
      <c r="AI344" s="20" t="str">
        <f t="shared" si="23"/>
        <v>Farm Management Software</v>
      </c>
      <c r="AJ344" s="20" t="str">
        <f t="shared" si="23"/>
        <v>Diversified</v>
      </c>
      <c r="AK344" s="20" t="str">
        <f t="shared" si="23"/>
        <v/>
      </c>
      <c r="AL344" s="14" t="s">
        <v>9395</v>
      </c>
      <c r="AM344" s="14"/>
      <c r="AO344" s="14"/>
      <c r="AP344" s="14" t="s">
        <v>5844</v>
      </c>
      <c r="AQ344" s="14" t="s">
        <v>9397</v>
      </c>
      <c r="AR344" s="14"/>
      <c r="AS344" s="14" t="s">
        <v>9398</v>
      </c>
      <c r="AT344" s="14" t="s">
        <v>9399</v>
      </c>
      <c r="AU344" s="14" t="s">
        <v>9400</v>
      </c>
      <c r="AV344" s="18"/>
      <c r="AW344" s="16"/>
      <c r="AX344" s="17"/>
      <c r="AY344" s="15" t="s">
        <v>3123</v>
      </c>
      <c r="AZ344" s="17"/>
      <c r="BA344" s="16"/>
      <c r="BB344" s="14"/>
      <c r="BC344" s="14"/>
      <c r="BD344" s="15" t="s">
        <v>3123</v>
      </c>
      <c r="BE344" s="14"/>
      <c r="BF344" s="17"/>
      <c r="BG344" s="16"/>
      <c r="BH344" s="14"/>
      <c r="BI344" s="15" t="s">
        <v>3123</v>
      </c>
      <c r="BJ344" s="14"/>
      <c r="BK344" s="17"/>
      <c r="BL344" s="16"/>
      <c r="BM344" s="16"/>
      <c r="BN344" s="16"/>
      <c r="BO344" s="16"/>
      <c r="BP344" s="15" t="s">
        <v>3123</v>
      </c>
      <c r="BQ344" s="17"/>
      <c r="BR344" s="14"/>
      <c r="BS344" s="14"/>
      <c r="BT344" s="16"/>
      <c r="BU344" s="16"/>
      <c r="BV344" s="13"/>
      <c r="BW344" s="18" t="s">
        <v>9401</v>
      </c>
      <c r="BX344" s="13">
        <v>200</v>
      </c>
      <c r="BY344" s="17">
        <v>44123</v>
      </c>
      <c r="BZ344" s="18"/>
      <c r="CA344" s="18"/>
      <c r="CB344" s="18" t="s">
        <v>9402</v>
      </c>
      <c r="CC344" s="18"/>
      <c r="CD344" s="14" t="s">
        <v>9403</v>
      </c>
      <c r="CE344" s="17">
        <v>42929</v>
      </c>
      <c r="CF344" s="16"/>
      <c r="CG344" s="17"/>
      <c r="CH344" s="16"/>
      <c r="CI344" s="17"/>
      <c r="CJ344" s="16"/>
      <c r="CK344" s="17"/>
      <c r="CL344" s="16"/>
      <c r="CM344" s="17"/>
      <c r="CN344" s="19">
        <v>35.838434883098962</v>
      </c>
      <c r="CO344" s="19"/>
      <c r="CP344" s="17"/>
      <c r="CQ344" s="14" t="s">
        <v>7284</v>
      </c>
      <c r="CR344" s="14" t="s">
        <v>6002</v>
      </c>
      <c r="CS344" s="14" t="s">
        <v>5945</v>
      </c>
    </row>
    <row r="345" spans="1:97" ht="26.15" customHeight="1">
      <c r="A345" s="2">
        <v>33</v>
      </c>
      <c r="B345" s="25" t="s">
        <v>1353</v>
      </c>
      <c r="C345" s="25" t="e">
        <f>VLOOKUP(B345, Sheet6!$A$1:$B$77, 2, FALSE)</f>
        <v>#N/A</v>
      </c>
      <c r="D345" s="25" t="s">
        <v>1354</v>
      </c>
      <c r="E345" s="25" t="s">
        <v>1356</v>
      </c>
      <c r="F345" s="25" t="s">
        <v>5445</v>
      </c>
      <c r="G345" s="25" t="s">
        <v>10955</v>
      </c>
      <c r="H345" s="25" t="s">
        <v>10959</v>
      </c>
      <c r="I345" s="25" t="s">
        <v>10958</v>
      </c>
      <c r="J345" s="26" t="s">
        <v>10842</v>
      </c>
      <c r="L345" s="13">
        <v>2014</v>
      </c>
      <c r="M345" s="14" t="s">
        <v>7307</v>
      </c>
      <c r="N345" s="14" t="s">
        <v>5267</v>
      </c>
      <c r="O345" s="14" t="s">
        <v>2057</v>
      </c>
      <c r="P345" s="15" t="s">
        <v>3117</v>
      </c>
      <c r="Q345" s="16">
        <v>20000000</v>
      </c>
      <c r="R345" s="17">
        <v>42678</v>
      </c>
      <c r="S345" s="16" t="s">
        <v>6740</v>
      </c>
      <c r="T345" s="16">
        <v>20000000</v>
      </c>
      <c r="U345" s="14" t="s">
        <v>109</v>
      </c>
      <c r="V345" s="13"/>
      <c r="W345" s="17"/>
      <c r="X345" s="14"/>
      <c r="Y345" s="17"/>
      <c r="Z345" s="17"/>
      <c r="AA345" s="14" t="s">
        <v>5509</v>
      </c>
      <c r="AB345" s="14" t="s">
        <v>7744</v>
      </c>
      <c r="AC345" s="14" t="s">
        <v>7745</v>
      </c>
      <c r="AD345" s="20" t="str">
        <f t="shared" si="22"/>
        <v>B2B E-Commerce &gt; Food &amp; Beverages &gt; Groceries &gt; Farm Products &gt; Marketplace
Online Grocery &gt; B2B Ecommerce &gt; Farm Produce &gt; Meat and Seafood &gt; Marketplace
Aquaculture Tech &gt; ECommerce &gt; Farm Produce &gt; B2B &gt; Marketplace</v>
      </c>
      <c r="AE345" s="20" t="str">
        <f t="shared" si="21"/>
        <v>B2B E-Commerce</v>
      </c>
      <c r="AF345" s="20" t="str">
        <f t="shared" si="23"/>
        <v>Food &amp; Beverages</v>
      </c>
      <c r="AG345" s="20" t="str">
        <f t="shared" si="23"/>
        <v>Groceries</v>
      </c>
      <c r="AH345" s="20" t="str">
        <f t="shared" si="23"/>
        <v>Farm Products</v>
      </c>
      <c r="AI345" s="20" t="str">
        <f t="shared" si="23"/>
        <v>Marketplace
Online Grocery</v>
      </c>
      <c r="AJ345" s="20" t="str">
        <f t="shared" si="23"/>
        <v>B2B Ecommerce</v>
      </c>
      <c r="AK345" s="20" t="str">
        <f t="shared" si="23"/>
        <v>Farm Produce</v>
      </c>
      <c r="AL345" s="14" t="s">
        <v>2249</v>
      </c>
      <c r="AM345" s="14"/>
      <c r="AO345" s="14"/>
      <c r="AP345" s="14" t="s">
        <v>2057</v>
      </c>
      <c r="AQ345" s="14"/>
      <c r="AR345" s="14"/>
      <c r="AS345" s="14"/>
      <c r="AT345" s="14"/>
      <c r="AU345" s="14"/>
      <c r="AV345" s="18"/>
      <c r="AW345" s="16"/>
      <c r="AX345" s="17"/>
      <c r="AY345" s="15" t="s">
        <v>3123</v>
      </c>
      <c r="AZ345" s="17"/>
      <c r="BA345" s="16"/>
      <c r="BB345" s="14"/>
      <c r="BC345" s="14"/>
      <c r="BD345" s="15" t="s">
        <v>3123</v>
      </c>
      <c r="BE345" s="14"/>
      <c r="BF345" s="17"/>
      <c r="BG345" s="16"/>
      <c r="BH345" s="14"/>
      <c r="BI345" s="15" t="s">
        <v>3123</v>
      </c>
      <c r="BJ345" s="14"/>
      <c r="BK345" s="17"/>
      <c r="BL345" s="16"/>
      <c r="BM345" s="16"/>
      <c r="BN345" s="16"/>
      <c r="BO345" s="16"/>
      <c r="BP345" s="15" t="s">
        <v>3123</v>
      </c>
      <c r="BQ345" s="17"/>
      <c r="BR345" s="14"/>
      <c r="BS345" s="14"/>
      <c r="BT345" s="16"/>
      <c r="BU345" s="16"/>
      <c r="BV345" s="13"/>
      <c r="BW345" s="18" t="s">
        <v>9405</v>
      </c>
      <c r="BX345" s="13">
        <v>200</v>
      </c>
      <c r="BY345" s="17">
        <v>44123</v>
      </c>
      <c r="BZ345" s="18" t="s">
        <v>9406</v>
      </c>
      <c r="CA345" s="18" t="s">
        <v>9407</v>
      </c>
      <c r="CB345" s="18" t="s">
        <v>9408</v>
      </c>
      <c r="CC345" s="18"/>
      <c r="CD345" s="14" t="s">
        <v>9409</v>
      </c>
      <c r="CE345" s="17">
        <v>42935</v>
      </c>
      <c r="CF345" s="16"/>
      <c r="CG345" s="17"/>
      <c r="CH345" s="16"/>
      <c r="CI345" s="17"/>
      <c r="CJ345" s="16"/>
      <c r="CK345" s="17"/>
      <c r="CL345" s="16"/>
      <c r="CM345" s="17"/>
      <c r="CN345" s="19">
        <v>33.790510199621941</v>
      </c>
      <c r="CO345" s="19"/>
      <c r="CP345" s="17"/>
      <c r="CQ345" s="14" t="s">
        <v>7606</v>
      </c>
      <c r="CR345" s="14" t="s">
        <v>7607</v>
      </c>
      <c r="CS345" s="14" t="s">
        <v>5945</v>
      </c>
    </row>
    <row r="346" spans="1:97" ht="26.15" customHeight="1">
      <c r="A346" s="2">
        <v>358</v>
      </c>
      <c r="B346" s="25" t="s">
        <v>2775</v>
      </c>
      <c r="C346" s="25" t="e">
        <f>VLOOKUP(B346, Sheet6!$A$1:$B$77, 2, FALSE)</f>
        <v>#N/A</v>
      </c>
      <c r="D346" s="25" t="s">
        <v>2776</v>
      </c>
      <c r="E346" s="25" t="s">
        <v>2778</v>
      </c>
      <c r="F346" s="25" t="s">
        <v>9110</v>
      </c>
      <c r="G346" s="25" t="s">
        <v>10954</v>
      </c>
      <c r="H346" s="25" t="s">
        <v>10957</v>
      </c>
      <c r="I346" s="25" t="s">
        <v>10558</v>
      </c>
      <c r="J346" s="134" t="s">
        <v>10794</v>
      </c>
      <c r="L346" s="13">
        <v>2015</v>
      </c>
      <c r="M346" s="14" t="s">
        <v>9363</v>
      </c>
      <c r="N346" s="14" t="s">
        <v>9364</v>
      </c>
      <c r="O346" s="14" t="s">
        <v>9288</v>
      </c>
      <c r="P346" s="15" t="s">
        <v>3117</v>
      </c>
      <c r="Q346" s="16"/>
      <c r="R346" s="17">
        <v>42571</v>
      </c>
      <c r="S346" s="16" t="s">
        <v>9410</v>
      </c>
      <c r="T346" s="16">
        <v>21400</v>
      </c>
      <c r="U346" s="14" t="s">
        <v>5040</v>
      </c>
      <c r="V346" s="13"/>
      <c r="W346" s="17"/>
      <c r="X346" s="14"/>
      <c r="Y346" s="17"/>
      <c r="Z346" s="17"/>
      <c r="AA346" s="14" t="s">
        <v>5426</v>
      </c>
      <c r="AB346" s="14" t="s">
        <v>5427</v>
      </c>
      <c r="AC346" s="14" t="s">
        <v>5428</v>
      </c>
      <c r="AD346" s="20" t="str">
        <f t="shared" si="22"/>
        <v>Crowdfunding &gt; Revenue Sharing &gt; Agriculture
Crop Tech &gt; Finance &gt; Crowdfunding</v>
      </c>
      <c r="AE346" s="20" t="str">
        <f t="shared" si="21"/>
        <v>Crowdfunding</v>
      </c>
      <c r="AF346" s="20" t="str">
        <f t="shared" si="23"/>
        <v>Revenue Sharing</v>
      </c>
      <c r="AG346" s="20" t="str">
        <f t="shared" si="23"/>
        <v>Agriculture
Crop Tech</v>
      </c>
      <c r="AH346" s="20" t="str">
        <f t="shared" si="23"/>
        <v>Finance</v>
      </c>
      <c r="AI346" s="20" t="str">
        <f t="shared" si="23"/>
        <v>Crowdfunding</v>
      </c>
      <c r="AJ346" s="20" t="str">
        <f t="shared" si="23"/>
        <v/>
      </c>
      <c r="AK346" s="20" t="str">
        <f t="shared" si="23"/>
        <v/>
      </c>
      <c r="AL346" s="14" t="s">
        <v>4520</v>
      </c>
      <c r="AM346" s="14"/>
      <c r="AO346" s="14"/>
      <c r="AP346" s="14" t="s">
        <v>9288</v>
      </c>
      <c r="AQ346" s="14" t="s">
        <v>9412</v>
      </c>
      <c r="AR346" s="14"/>
      <c r="AS346" s="14" t="s">
        <v>9413</v>
      </c>
      <c r="AT346" s="14" t="s">
        <v>9414</v>
      </c>
      <c r="AU346" s="14" t="s">
        <v>9415</v>
      </c>
      <c r="AV346" s="18"/>
      <c r="AW346" s="16"/>
      <c r="AX346" s="17"/>
      <c r="AY346" s="15" t="s">
        <v>3123</v>
      </c>
      <c r="AZ346" s="17"/>
      <c r="BA346" s="16"/>
      <c r="BB346" s="14"/>
      <c r="BC346" s="14"/>
      <c r="BD346" s="15" t="s">
        <v>3123</v>
      </c>
      <c r="BE346" s="14"/>
      <c r="BF346" s="17"/>
      <c r="BG346" s="16"/>
      <c r="BH346" s="14"/>
      <c r="BI346" s="15" t="s">
        <v>3123</v>
      </c>
      <c r="BJ346" s="14"/>
      <c r="BK346" s="17"/>
      <c r="BL346" s="16"/>
      <c r="BM346" s="16"/>
      <c r="BN346" s="16"/>
      <c r="BO346" s="16"/>
      <c r="BP346" s="15" t="s">
        <v>3123</v>
      </c>
      <c r="BQ346" s="17"/>
      <c r="BR346" s="14"/>
      <c r="BS346" s="14"/>
      <c r="BT346" s="16"/>
      <c r="BU346" s="16"/>
      <c r="BV346" s="13"/>
      <c r="BW346" s="18" t="s">
        <v>9416</v>
      </c>
      <c r="BX346" s="13">
        <v>200</v>
      </c>
      <c r="BY346" s="17">
        <v>44123</v>
      </c>
      <c r="BZ346" s="18"/>
      <c r="CA346" s="18"/>
      <c r="CB346" s="18" t="s">
        <v>9417</v>
      </c>
      <c r="CC346" s="18"/>
      <c r="CD346" s="14" t="s">
        <v>9418</v>
      </c>
      <c r="CE346" s="17">
        <v>42404</v>
      </c>
      <c r="CF346" s="16"/>
      <c r="CG346" s="17"/>
      <c r="CH346" s="16"/>
      <c r="CI346" s="17"/>
      <c r="CJ346" s="16"/>
      <c r="CK346" s="17"/>
      <c r="CL346" s="16"/>
      <c r="CM346" s="17"/>
      <c r="CN346" s="19">
        <v>20.54299189664501</v>
      </c>
      <c r="CO346" s="19"/>
      <c r="CP346" s="17"/>
      <c r="CQ346" s="14" t="s">
        <v>6487</v>
      </c>
      <c r="CR346" s="14" t="s">
        <v>5944</v>
      </c>
      <c r="CS346" s="14" t="s">
        <v>5945</v>
      </c>
    </row>
    <row r="347" spans="1:97" ht="26.15" customHeight="1">
      <c r="A347" s="2">
        <v>61</v>
      </c>
      <c r="B347" s="25" t="s">
        <v>1011</v>
      </c>
      <c r="C347" s="25" t="e">
        <f>VLOOKUP(B347, Sheet6!$A$1:$B$77, 2, FALSE)</f>
        <v>#N/A</v>
      </c>
      <c r="D347" s="25" t="s">
        <v>1012</v>
      </c>
      <c r="E347" s="25" t="s">
        <v>1016</v>
      </c>
      <c r="F347" s="25" t="s">
        <v>5795</v>
      </c>
      <c r="G347" s="25" t="s">
        <v>10955</v>
      </c>
      <c r="H347" s="25" t="s">
        <v>10959</v>
      </c>
      <c r="I347" s="25" t="s">
        <v>10958</v>
      </c>
      <c r="J347" s="26" t="s">
        <v>10759</v>
      </c>
      <c r="L347" s="13">
        <v>2013</v>
      </c>
      <c r="M347" s="14" t="s">
        <v>6380</v>
      </c>
      <c r="N347" s="14" t="s">
        <v>6381</v>
      </c>
      <c r="O347" s="14" t="s">
        <v>4343</v>
      </c>
      <c r="P347" s="15" t="s">
        <v>3117</v>
      </c>
      <c r="Q347" s="16"/>
      <c r="R347" s="17">
        <v>42339</v>
      </c>
      <c r="S347" s="16" t="s">
        <v>5134</v>
      </c>
      <c r="T347" s="16">
        <v>1000000</v>
      </c>
      <c r="U347" s="14" t="s">
        <v>5040</v>
      </c>
      <c r="V347" s="13">
        <v>2</v>
      </c>
      <c r="W347" s="17">
        <v>44097</v>
      </c>
      <c r="X347" s="14"/>
      <c r="Y347" s="17"/>
      <c r="Z347" s="17"/>
      <c r="AA347" s="14" t="s">
        <v>6645</v>
      </c>
      <c r="AB347" s="14" t="s">
        <v>8119</v>
      </c>
      <c r="AC347" s="14" t="s">
        <v>9419</v>
      </c>
      <c r="AD347" s="20" t="str">
        <f t="shared" si="22"/>
        <v>Genomics &gt; Enabling Technologies &gt; Technology Platforms &gt; RNA interference
Crop Tech &gt; Autonomous Farming &gt; Pest Control</v>
      </c>
      <c r="AE347" s="20" t="str">
        <f t="shared" si="21"/>
        <v>Genomics</v>
      </c>
      <c r="AF347" s="20" t="str">
        <f t="shared" si="23"/>
        <v>Enabling Technologies</v>
      </c>
      <c r="AG347" s="20" t="str">
        <f t="shared" si="23"/>
        <v>Technology Platforms</v>
      </c>
      <c r="AH347" s="20" t="str">
        <f t="shared" si="23"/>
        <v>RNA interference
Crop Tech</v>
      </c>
      <c r="AI347" s="20" t="str">
        <f t="shared" si="23"/>
        <v>Autonomous Farming</v>
      </c>
      <c r="AJ347" s="20" t="str">
        <f t="shared" si="23"/>
        <v>Pest Control</v>
      </c>
      <c r="AK347" s="20" t="str">
        <f t="shared" si="23"/>
        <v/>
      </c>
      <c r="AL347" s="14" t="s">
        <v>9420</v>
      </c>
      <c r="AM347" s="14"/>
      <c r="AO347" s="14"/>
      <c r="AP347" s="14" t="s">
        <v>4343</v>
      </c>
      <c r="AQ347" s="14"/>
      <c r="AR347" s="14"/>
      <c r="AS347" s="14" t="s">
        <v>9422</v>
      </c>
      <c r="AT347" s="14" t="s">
        <v>9423</v>
      </c>
      <c r="AU347" s="14" t="s">
        <v>9424</v>
      </c>
      <c r="AV347" s="18"/>
      <c r="AW347" s="16"/>
      <c r="AX347" s="17"/>
      <c r="AY347" s="15" t="s">
        <v>3123</v>
      </c>
      <c r="AZ347" s="17"/>
      <c r="BA347" s="16"/>
      <c r="BB347" s="14"/>
      <c r="BC347" s="14"/>
      <c r="BD347" s="15" t="s">
        <v>3123</v>
      </c>
      <c r="BE347" s="14"/>
      <c r="BF347" s="17"/>
      <c r="BG347" s="16"/>
      <c r="BH347" s="14"/>
      <c r="BI347" s="15" t="s">
        <v>3123</v>
      </c>
      <c r="BJ347" s="14"/>
      <c r="BK347" s="17"/>
      <c r="BL347" s="16"/>
      <c r="BM347" s="16"/>
      <c r="BN347" s="16"/>
      <c r="BO347" s="16"/>
      <c r="BP347" s="15" t="s">
        <v>3123</v>
      </c>
      <c r="BQ347" s="17"/>
      <c r="BR347" s="14"/>
      <c r="BS347" s="14"/>
      <c r="BT347" s="16"/>
      <c r="BU347" s="16"/>
      <c r="BV347" s="13"/>
      <c r="BW347" s="18" t="s">
        <v>9425</v>
      </c>
      <c r="BX347" s="13">
        <v>200</v>
      </c>
      <c r="BY347" s="17">
        <v>44123</v>
      </c>
      <c r="BZ347" s="18"/>
      <c r="CA347" s="18" t="s">
        <v>9426</v>
      </c>
      <c r="CB347" s="18"/>
      <c r="CC347" s="18"/>
      <c r="CD347" s="14" t="s">
        <v>9427</v>
      </c>
      <c r="CE347" s="17">
        <v>43313</v>
      </c>
      <c r="CF347" s="16"/>
      <c r="CG347" s="17"/>
      <c r="CH347" s="16"/>
      <c r="CI347" s="17"/>
      <c r="CJ347" s="16"/>
      <c r="CK347" s="17"/>
      <c r="CL347" s="16"/>
      <c r="CM347" s="17"/>
      <c r="CN347" s="19">
        <v>28.252287739011429</v>
      </c>
      <c r="CO347" s="19"/>
      <c r="CP347" s="17"/>
      <c r="CQ347" s="14" t="s">
        <v>5345</v>
      </c>
      <c r="CR347" s="14" t="s">
        <v>9428</v>
      </c>
      <c r="CS347" s="14" t="s">
        <v>5620</v>
      </c>
    </row>
    <row r="348" spans="1:97" ht="26.15" customHeight="1">
      <c r="A348" s="2">
        <v>82</v>
      </c>
      <c r="B348" s="25" t="s">
        <v>1231</v>
      </c>
      <c r="C348" s="25" t="e">
        <f>VLOOKUP(B348, Sheet6!$A$1:$B$77, 2, FALSE)</f>
        <v>#N/A</v>
      </c>
      <c r="D348" s="25" t="s">
        <v>1232</v>
      </c>
      <c r="E348" s="25" t="s">
        <v>1233</v>
      </c>
      <c r="F348" s="25" t="s">
        <v>6079</v>
      </c>
      <c r="G348" s="25" t="s">
        <v>10955</v>
      </c>
      <c r="H348" s="25" t="s">
        <v>10959</v>
      </c>
      <c r="I348" s="25" t="s">
        <v>10958</v>
      </c>
      <c r="J348" s="26" t="s">
        <v>10965</v>
      </c>
      <c r="L348" s="13">
        <v>2015</v>
      </c>
      <c r="M348" s="14" t="s">
        <v>5050</v>
      </c>
      <c r="N348" s="14" t="s">
        <v>5050</v>
      </c>
      <c r="O348" s="14" t="s">
        <v>4343</v>
      </c>
      <c r="P348" s="15" t="s">
        <v>3117</v>
      </c>
      <c r="Q348" s="16">
        <v>910000</v>
      </c>
      <c r="R348" s="17">
        <v>43160</v>
      </c>
      <c r="S348" s="16" t="s">
        <v>7918</v>
      </c>
      <c r="T348" s="16">
        <v>110000</v>
      </c>
      <c r="U348" s="14" t="s">
        <v>34</v>
      </c>
      <c r="V348" s="13">
        <v>4</v>
      </c>
      <c r="W348" s="17">
        <v>44057</v>
      </c>
      <c r="X348" s="14"/>
      <c r="Y348" s="17"/>
      <c r="Z348" s="17"/>
      <c r="AA348" s="14" t="s">
        <v>1</v>
      </c>
      <c r="AB348" s="14" t="s">
        <v>5007</v>
      </c>
      <c r="AC348" s="14" t="s">
        <v>5053</v>
      </c>
      <c r="AD348" s="20" t="str">
        <f t="shared" si="22"/>
        <v>Crop Tech &gt; Farm Management Software &gt; Pest Monitoring</v>
      </c>
      <c r="AE348" s="20" t="str">
        <f t="shared" si="21"/>
        <v>Crop Tech</v>
      </c>
      <c r="AF348" s="20" t="str">
        <f t="shared" si="23"/>
        <v>Farm Management Software</v>
      </c>
      <c r="AG348" s="20" t="str">
        <f t="shared" si="23"/>
        <v>Pest Monitoring</v>
      </c>
      <c r="AH348" s="20" t="str">
        <f t="shared" si="23"/>
        <v/>
      </c>
      <c r="AI348" s="20" t="str">
        <f t="shared" si="23"/>
        <v/>
      </c>
      <c r="AJ348" s="20" t="str">
        <f t="shared" si="23"/>
        <v/>
      </c>
      <c r="AK348" s="20" t="str">
        <f t="shared" si="23"/>
        <v/>
      </c>
      <c r="AL348" s="14" t="s">
        <v>7919</v>
      </c>
      <c r="AM348" s="14"/>
      <c r="AO348" s="14"/>
      <c r="AP348" s="14" t="s">
        <v>5319</v>
      </c>
      <c r="AQ348" s="14" t="s">
        <v>7921</v>
      </c>
      <c r="AR348" s="14"/>
      <c r="AS348" s="14" t="s">
        <v>7922</v>
      </c>
      <c r="AT348" s="14" t="s">
        <v>7923</v>
      </c>
      <c r="AU348" s="14" t="s">
        <v>7924</v>
      </c>
      <c r="AV348" s="18" t="s">
        <v>7925</v>
      </c>
      <c r="AW348" s="16"/>
      <c r="AX348" s="17"/>
      <c r="AY348" s="15" t="s">
        <v>3123</v>
      </c>
      <c r="AZ348" s="17"/>
      <c r="BA348" s="16"/>
      <c r="BB348" s="14"/>
      <c r="BC348" s="14"/>
      <c r="BD348" s="15" t="s">
        <v>3123</v>
      </c>
      <c r="BE348" s="14"/>
      <c r="BF348" s="17"/>
      <c r="BG348" s="16"/>
      <c r="BH348" s="14"/>
      <c r="BI348" s="15" t="s">
        <v>3123</v>
      </c>
      <c r="BJ348" s="14"/>
      <c r="BK348" s="17"/>
      <c r="BL348" s="16"/>
      <c r="BM348" s="16"/>
      <c r="BN348" s="16"/>
      <c r="BO348" s="16"/>
      <c r="BP348" s="15" t="s">
        <v>3123</v>
      </c>
      <c r="BQ348" s="17"/>
      <c r="BR348" s="14"/>
      <c r="BS348" s="14"/>
      <c r="BT348" s="16"/>
      <c r="BU348" s="16"/>
      <c r="BV348" s="13"/>
      <c r="BW348" s="18" t="s">
        <v>7926</v>
      </c>
      <c r="BX348" s="13">
        <v>200</v>
      </c>
      <c r="BY348" s="17">
        <v>44123</v>
      </c>
      <c r="BZ348" s="18" t="s">
        <v>7927</v>
      </c>
      <c r="CA348" s="18" t="s">
        <v>7928</v>
      </c>
      <c r="CB348" s="18" t="s">
        <v>7929</v>
      </c>
      <c r="CC348" s="18" t="s">
        <v>7930</v>
      </c>
      <c r="CD348" s="14" t="s">
        <v>7931</v>
      </c>
      <c r="CE348" s="17">
        <v>43973</v>
      </c>
      <c r="CF348" s="16"/>
      <c r="CG348" s="17"/>
      <c r="CH348" s="16"/>
      <c r="CI348" s="17"/>
      <c r="CJ348" s="16"/>
      <c r="CK348" s="17"/>
      <c r="CL348" s="16"/>
      <c r="CM348" s="17"/>
      <c r="CN348" s="19">
        <v>41.457566891446191</v>
      </c>
      <c r="CO348" s="19"/>
      <c r="CP348" s="17"/>
      <c r="CQ348" s="14" t="s">
        <v>6797</v>
      </c>
      <c r="CR348" s="14" t="s">
        <v>5205</v>
      </c>
      <c r="CS348" s="14" t="s">
        <v>5004</v>
      </c>
    </row>
    <row r="349" spans="1:97" ht="26.15" customHeight="1">
      <c r="A349" s="2">
        <v>349</v>
      </c>
      <c r="B349" s="25" t="s">
        <v>2139</v>
      </c>
      <c r="C349" s="25" t="e">
        <f>VLOOKUP(B349, Sheet6!$A$1:$B$77, 2, FALSE)</f>
        <v>#N/A</v>
      </c>
      <c r="D349" s="25" t="s">
        <v>2140</v>
      </c>
      <c r="E349" s="25" t="s">
        <v>2142</v>
      </c>
      <c r="F349" s="25" t="s">
        <v>9063</v>
      </c>
      <c r="G349" s="25" t="s">
        <v>10955</v>
      </c>
      <c r="H349" s="25" t="s">
        <v>10967</v>
      </c>
      <c r="I349" s="25" t="s">
        <v>10558</v>
      </c>
      <c r="J349" s="25" t="s">
        <v>10821</v>
      </c>
      <c r="L349" s="13">
        <v>2010</v>
      </c>
      <c r="M349" s="14" t="s">
        <v>6762</v>
      </c>
      <c r="N349" s="14" t="s">
        <v>6763</v>
      </c>
      <c r="O349" s="14" t="s">
        <v>5333</v>
      </c>
      <c r="P349" s="15" t="s">
        <v>3117</v>
      </c>
      <c r="Q349" s="16">
        <v>2500000</v>
      </c>
      <c r="R349" s="17">
        <v>42570</v>
      </c>
      <c r="S349" s="16" t="s">
        <v>5134</v>
      </c>
      <c r="T349" s="16">
        <v>1200000</v>
      </c>
      <c r="U349" s="14" t="s">
        <v>109</v>
      </c>
      <c r="V349" s="13">
        <v>4</v>
      </c>
      <c r="W349" s="17">
        <v>43994</v>
      </c>
      <c r="X349" s="14"/>
      <c r="Y349" s="17"/>
      <c r="Z349" s="17"/>
      <c r="AA349" s="14" t="s">
        <v>1</v>
      </c>
      <c r="AB349" s="14" t="s">
        <v>5007</v>
      </c>
      <c r="AC349" s="14" t="s">
        <v>8624</v>
      </c>
      <c r="AD349" s="20" t="str">
        <f t="shared" si="22"/>
        <v>Crop Tech &gt; Farm Analytics &gt; Satellite Image Based</v>
      </c>
      <c r="AE349" s="20" t="str">
        <f t="shared" si="21"/>
        <v>Crop Tech</v>
      </c>
      <c r="AF349" s="20" t="str">
        <f t="shared" si="23"/>
        <v>Farm Analytics</v>
      </c>
      <c r="AG349" s="20" t="str">
        <f t="shared" si="23"/>
        <v>Satellite Image Based</v>
      </c>
      <c r="AH349" s="20" t="str">
        <f t="shared" si="23"/>
        <v/>
      </c>
      <c r="AI349" s="20" t="str">
        <f t="shared" si="23"/>
        <v/>
      </c>
      <c r="AJ349" s="20" t="str">
        <f t="shared" si="23"/>
        <v/>
      </c>
      <c r="AK349" s="20" t="str">
        <f t="shared" si="23"/>
        <v/>
      </c>
      <c r="AL349" s="14" t="s">
        <v>9429</v>
      </c>
      <c r="AM349" s="14"/>
      <c r="AO349" s="14"/>
      <c r="AP349" s="14" t="s">
        <v>5333</v>
      </c>
      <c r="AQ349" s="14"/>
      <c r="AR349" s="14"/>
      <c r="AS349" s="14" t="s">
        <v>9431</v>
      </c>
      <c r="AT349" s="14"/>
      <c r="AU349" s="14" t="s">
        <v>9432</v>
      </c>
      <c r="AV349" s="18" t="s">
        <v>9433</v>
      </c>
      <c r="AW349" s="16"/>
      <c r="AX349" s="17"/>
      <c r="AY349" s="15" t="s">
        <v>3123</v>
      </c>
      <c r="AZ349" s="17"/>
      <c r="BA349" s="16"/>
      <c r="BB349" s="14"/>
      <c r="BC349" s="14"/>
      <c r="BD349" s="15" t="s">
        <v>3123</v>
      </c>
      <c r="BE349" s="14"/>
      <c r="BF349" s="17"/>
      <c r="BG349" s="16"/>
      <c r="BH349" s="14"/>
      <c r="BI349" s="15" t="s">
        <v>3123</v>
      </c>
      <c r="BJ349" s="14"/>
      <c r="BK349" s="17"/>
      <c r="BL349" s="16"/>
      <c r="BM349" s="16"/>
      <c r="BN349" s="16"/>
      <c r="BO349" s="16"/>
      <c r="BP349" s="15" t="s">
        <v>3123</v>
      </c>
      <c r="BQ349" s="17"/>
      <c r="BR349" s="14"/>
      <c r="BS349" s="14"/>
      <c r="BT349" s="16"/>
      <c r="BU349" s="16"/>
      <c r="BV349" s="13"/>
      <c r="BW349" s="18" t="s">
        <v>9434</v>
      </c>
      <c r="BX349" s="13">
        <v>200</v>
      </c>
      <c r="BY349" s="17">
        <v>44123</v>
      </c>
      <c r="BZ349" s="18"/>
      <c r="CA349" s="18" t="s">
        <v>9435</v>
      </c>
      <c r="CB349" s="18"/>
      <c r="CC349" s="18"/>
      <c r="CD349" s="14" t="s">
        <v>9436</v>
      </c>
      <c r="CE349" s="17">
        <v>43019</v>
      </c>
      <c r="CF349" s="16"/>
      <c r="CG349" s="17"/>
      <c r="CH349" s="16"/>
      <c r="CI349" s="17"/>
      <c r="CJ349" s="16"/>
      <c r="CK349" s="17"/>
      <c r="CL349" s="16"/>
      <c r="CM349" s="17"/>
      <c r="CN349" s="19">
        <v>41.993311451856314</v>
      </c>
      <c r="CO349" s="19"/>
      <c r="CP349" s="17"/>
      <c r="CQ349" s="14" t="s">
        <v>5036</v>
      </c>
      <c r="CR349" s="14" t="s">
        <v>5962</v>
      </c>
      <c r="CS349" s="14" t="s">
        <v>5945</v>
      </c>
    </row>
    <row r="350" spans="1:97" ht="26.15" customHeight="1">
      <c r="A350" s="2">
        <v>68</v>
      </c>
      <c r="B350" s="25" t="s">
        <v>1635</v>
      </c>
      <c r="C350" s="25" t="e">
        <f>VLOOKUP(B350, Sheet6!$A$1:$B$77, 2, FALSE)</f>
        <v>#N/A</v>
      </c>
      <c r="D350" s="25" t="s">
        <v>1636</v>
      </c>
      <c r="E350" s="25" t="s">
        <v>1637</v>
      </c>
      <c r="F350" s="25" t="s">
        <v>5884</v>
      </c>
      <c r="G350" s="25" t="s">
        <v>10955</v>
      </c>
      <c r="H350" s="25" t="s">
        <v>10959</v>
      </c>
      <c r="I350" s="25" t="s">
        <v>10958</v>
      </c>
      <c r="J350" s="26" t="s">
        <v>10848</v>
      </c>
      <c r="L350" s="13">
        <v>2014</v>
      </c>
      <c r="M350" s="14" t="s">
        <v>5389</v>
      </c>
      <c r="N350" s="14" t="s">
        <v>5390</v>
      </c>
      <c r="O350" s="14" t="s">
        <v>5391</v>
      </c>
      <c r="P350" s="15" t="s">
        <v>3117</v>
      </c>
      <c r="Q350" s="16">
        <v>50000</v>
      </c>
      <c r="R350" s="17">
        <v>42156</v>
      </c>
      <c r="S350" s="16" t="s">
        <v>5425</v>
      </c>
      <c r="T350" s="16">
        <v>50000</v>
      </c>
      <c r="U350" s="14" t="s">
        <v>5630</v>
      </c>
      <c r="V350" s="13"/>
      <c r="W350" s="17"/>
      <c r="X350" s="14"/>
      <c r="Y350" s="17"/>
      <c r="Z350" s="17"/>
      <c r="AA350" s="14" t="s">
        <v>1</v>
      </c>
      <c r="AB350" s="14" t="s">
        <v>5084</v>
      </c>
      <c r="AC350" s="14" t="s">
        <v>9437</v>
      </c>
      <c r="AD350" s="20" t="str">
        <f t="shared" si="22"/>
        <v>Livestock Tech &gt; ECommerce &gt; Livestock Trading</v>
      </c>
      <c r="AE350" s="20" t="str">
        <f t="shared" si="21"/>
        <v>Livestock Tech</v>
      </c>
      <c r="AF350" s="20" t="str">
        <f t="shared" si="23"/>
        <v>ECommerce</v>
      </c>
      <c r="AG350" s="20" t="str">
        <f t="shared" si="23"/>
        <v>Livestock Trading</v>
      </c>
      <c r="AH350" s="20" t="str">
        <f t="shared" si="23"/>
        <v/>
      </c>
      <c r="AI350" s="20" t="str">
        <f t="shared" si="23"/>
        <v/>
      </c>
      <c r="AJ350" s="20" t="str">
        <f t="shared" si="23"/>
        <v/>
      </c>
      <c r="AK350" s="20" t="str">
        <f t="shared" si="23"/>
        <v/>
      </c>
      <c r="AL350" s="14" t="s">
        <v>1395</v>
      </c>
      <c r="AM350" s="14"/>
      <c r="AO350" s="14"/>
      <c r="AP350" s="14" t="s">
        <v>5391</v>
      </c>
      <c r="AQ350" s="14"/>
      <c r="AR350" s="14"/>
      <c r="AS350" s="14" t="s">
        <v>9439</v>
      </c>
      <c r="AT350" s="14" t="s">
        <v>9440</v>
      </c>
      <c r="AU350" s="14" t="s">
        <v>9441</v>
      </c>
      <c r="AV350" s="18"/>
      <c r="AW350" s="16"/>
      <c r="AX350" s="17"/>
      <c r="AY350" s="15" t="s">
        <v>3123</v>
      </c>
      <c r="AZ350" s="17"/>
      <c r="BA350" s="16"/>
      <c r="BB350" s="14"/>
      <c r="BC350" s="14"/>
      <c r="BD350" s="15" t="s">
        <v>3123</v>
      </c>
      <c r="BE350" s="14"/>
      <c r="BF350" s="17"/>
      <c r="BG350" s="16"/>
      <c r="BH350" s="14"/>
      <c r="BI350" s="15" t="s">
        <v>3123</v>
      </c>
      <c r="BJ350" s="14"/>
      <c r="BK350" s="17"/>
      <c r="BL350" s="16"/>
      <c r="BM350" s="16"/>
      <c r="BN350" s="16"/>
      <c r="BO350" s="16"/>
      <c r="BP350" s="15" t="s">
        <v>3117</v>
      </c>
      <c r="BQ350" s="17">
        <v>42461</v>
      </c>
      <c r="BR350" s="14"/>
      <c r="BS350" s="14"/>
      <c r="BT350" s="16"/>
      <c r="BU350" s="16"/>
      <c r="BV350" s="13"/>
      <c r="BW350" s="18" t="s">
        <v>9442</v>
      </c>
      <c r="BX350" s="13">
        <v>-1</v>
      </c>
      <c r="BY350" s="17">
        <v>44123</v>
      </c>
      <c r="BZ350" s="18"/>
      <c r="CA350" s="18" t="s">
        <v>9443</v>
      </c>
      <c r="CB350" s="18"/>
      <c r="CC350" s="18"/>
      <c r="CD350" s="14" t="s">
        <v>9444</v>
      </c>
      <c r="CE350" s="17">
        <v>42894</v>
      </c>
      <c r="CF350" s="16"/>
      <c r="CG350" s="17"/>
      <c r="CH350" s="16"/>
      <c r="CI350" s="17"/>
      <c r="CJ350" s="16"/>
      <c r="CK350" s="17"/>
      <c r="CL350" s="16"/>
      <c r="CM350" s="17"/>
      <c r="CN350" s="19">
        <v>31.546541457574889</v>
      </c>
      <c r="CO350" s="19"/>
      <c r="CP350" s="17"/>
      <c r="CQ350" s="14" t="s">
        <v>9445</v>
      </c>
      <c r="CR350" s="14" t="s">
        <v>6557</v>
      </c>
      <c r="CS350" s="14" t="s">
        <v>7194</v>
      </c>
    </row>
    <row r="351" spans="1:97" ht="26.15" customHeight="1">
      <c r="A351" s="2">
        <v>513</v>
      </c>
      <c r="B351" s="25" t="s">
        <v>2601</v>
      </c>
      <c r="C351" s="25" t="e">
        <f>VLOOKUP(B351, Sheet6!$A$1:$B$77, 2, FALSE)</f>
        <v>#N/A</v>
      </c>
      <c r="D351" s="25" t="s">
        <v>2602</v>
      </c>
      <c r="E351" s="25" t="s">
        <v>2603</v>
      </c>
      <c r="F351" s="25" t="s">
        <v>10074</v>
      </c>
      <c r="G351" s="25" t="s">
        <v>10955</v>
      </c>
      <c r="H351" s="25" t="s">
        <v>10967</v>
      </c>
      <c r="I351" s="25" t="s">
        <v>10558</v>
      </c>
      <c r="J351" s="25" t="s">
        <v>10735</v>
      </c>
      <c r="L351" s="13">
        <v>2015</v>
      </c>
      <c r="M351" s="14" t="s">
        <v>5038</v>
      </c>
      <c r="N351" s="14" t="s">
        <v>5039</v>
      </c>
      <c r="O351" s="14" t="s">
        <v>3994</v>
      </c>
      <c r="P351" s="15" t="s">
        <v>3117</v>
      </c>
      <c r="Q351" s="16">
        <v>10693115</v>
      </c>
      <c r="R351" s="17">
        <v>43013</v>
      </c>
      <c r="S351" s="16" t="s">
        <v>7941</v>
      </c>
      <c r="T351" s="16">
        <v>8000000</v>
      </c>
      <c r="U351" s="14" t="s">
        <v>109</v>
      </c>
      <c r="V351" s="13">
        <v>4</v>
      </c>
      <c r="W351" s="17">
        <v>44013</v>
      </c>
      <c r="X351" s="14"/>
      <c r="Y351" s="17"/>
      <c r="Z351" s="17"/>
      <c r="AA351" s="14" t="s">
        <v>5509</v>
      </c>
      <c r="AB351" s="14" t="s">
        <v>5510</v>
      </c>
      <c r="AC351" s="14" t="s">
        <v>5696</v>
      </c>
      <c r="AD351" s="20" t="str">
        <f t="shared" si="22"/>
        <v>B2B E-Commerce &gt; Food &amp; Beverages &gt; Groceries &gt; Farm Products &gt; E-Distributor
Online Grocery &gt; B2B Ecommerce &gt; Farm Produce &gt; Fruits and Vegetables &gt; E-Distributor
Crop Tech &gt; ECommerce &gt; Farm Produce &gt; B2B &gt; Fruits and Vegetables &gt; E Distributor</v>
      </c>
      <c r="AE351" s="20" t="str">
        <f t="shared" si="21"/>
        <v>B2B E-Commerce</v>
      </c>
      <c r="AF351" s="20" t="str">
        <f t="shared" si="23"/>
        <v>Food &amp; Beverages</v>
      </c>
      <c r="AG351" s="20" t="str">
        <f t="shared" si="23"/>
        <v>Groceries</v>
      </c>
      <c r="AH351" s="20" t="str">
        <f t="shared" si="23"/>
        <v>Farm Products</v>
      </c>
      <c r="AI351" s="20" t="str">
        <f t="shared" si="23"/>
        <v>E-Distributor
Online Grocery</v>
      </c>
      <c r="AJ351" s="20" t="str">
        <f t="shared" si="23"/>
        <v>B2B Ecommerce</v>
      </c>
      <c r="AK351" s="20" t="str">
        <f t="shared" si="23"/>
        <v>Farm Produce</v>
      </c>
      <c r="AL351" s="14" t="s">
        <v>7942</v>
      </c>
      <c r="AM351" s="14" t="s">
        <v>7943</v>
      </c>
      <c r="AO351" s="14"/>
      <c r="AP351" s="14" t="s">
        <v>3994</v>
      </c>
      <c r="AQ351" s="14" t="s">
        <v>7945</v>
      </c>
      <c r="AR351" s="14" t="s">
        <v>7946</v>
      </c>
      <c r="AS351" s="14" t="s">
        <v>7947</v>
      </c>
      <c r="AT351" s="14" t="s">
        <v>7948</v>
      </c>
      <c r="AU351" s="14" t="s">
        <v>7949</v>
      </c>
      <c r="AV351" s="18" t="s">
        <v>7950</v>
      </c>
      <c r="AW351" s="16">
        <v>3025053.8572877548</v>
      </c>
      <c r="AX351" s="17">
        <v>43465</v>
      </c>
      <c r="AY351" s="15" t="s">
        <v>3117</v>
      </c>
      <c r="AZ351" s="17">
        <v>42181</v>
      </c>
      <c r="BA351" s="16">
        <v>16985</v>
      </c>
      <c r="BB351" s="14" t="s">
        <v>7951</v>
      </c>
      <c r="BC351" s="14"/>
      <c r="BD351" s="15" t="s">
        <v>3123</v>
      </c>
      <c r="BE351" s="14"/>
      <c r="BF351" s="17"/>
      <c r="BG351" s="16"/>
      <c r="BH351" s="14"/>
      <c r="BI351" s="15" t="s">
        <v>3123</v>
      </c>
      <c r="BJ351" s="14"/>
      <c r="BK351" s="17"/>
      <c r="BL351" s="16"/>
      <c r="BM351" s="16"/>
      <c r="BN351" s="16"/>
      <c r="BO351" s="16"/>
      <c r="BP351" s="15" t="s">
        <v>3123</v>
      </c>
      <c r="BQ351" s="17"/>
      <c r="BR351" s="14"/>
      <c r="BS351" s="14"/>
      <c r="BT351" s="16"/>
      <c r="BU351" s="16"/>
      <c r="BV351" s="13"/>
      <c r="BW351" s="18" t="s">
        <v>7952</v>
      </c>
      <c r="BX351" s="13">
        <v>200</v>
      </c>
      <c r="BY351" s="17">
        <v>44123</v>
      </c>
      <c r="BZ351" s="18"/>
      <c r="CA351" s="18"/>
      <c r="CB351" s="18"/>
      <c r="CC351" s="18"/>
      <c r="CD351" s="14" t="s">
        <v>7953</v>
      </c>
      <c r="CE351" s="17">
        <v>42572</v>
      </c>
      <c r="CF351" s="16">
        <v>-1817777.6512987397</v>
      </c>
      <c r="CG351" s="17">
        <v>43465</v>
      </c>
      <c r="CH351" s="16">
        <v>-1644788.3796747874</v>
      </c>
      <c r="CI351" s="17">
        <v>43465</v>
      </c>
      <c r="CJ351" s="16"/>
      <c r="CK351" s="17"/>
      <c r="CL351" s="16">
        <v>36</v>
      </c>
      <c r="CM351" s="17">
        <v>44012</v>
      </c>
      <c r="CN351" s="19">
        <v>34.208530577255488</v>
      </c>
      <c r="CO351" s="19"/>
      <c r="CP351" s="17"/>
      <c r="CQ351" s="14" t="s">
        <v>5345</v>
      </c>
      <c r="CR351" s="14" t="s">
        <v>7221</v>
      </c>
      <c r="CS351" s="14" t="s">
        <v>5945</v>
      </c>
    </row>
    <row r="352" spans="1:97" ht="26.15" customHeight="1">
      <c r="A352" s="2">
        <v>43</v>
      </c>
      <c r="B352" s="25" t="s">
        <v>166</v>
      </c>
      <c r="C352" s="25" t="e">
        <f>VLOOKUP(B352, Sheet6!$A$1:$B$77, 2, FALSE)</f>
        <v>#N/A</v>
      </c>
      <c r="D352" s="25" t="s">
        <v>167</v>
      </c>
      <c r="E352" s="25" t="s">
        <v>168</v>
      </c>
      <c r="F352" s="25" t="s">
        <v>5581</v>
      </c>
      <c r="G352" s="25" t="s">
        <v>10955</v>
      </c>
      <c r="H352" s="25" t="s">
        <v>10957</v>
      </c>
      <c r="I352" s="25" t="s">
        <v>10958</v>
      </c>
      <c r="J352" s="26" t="s">
        <v>10821</v>
      </c>
      <c r="L352" s="13">
        <v>2010</v>
      </c>
      <c r="M352" s="14" t="s">
        <v>5038</v>
      </c>
      <c r="N352" s="14" t="s">
        <v>5039</v>
      </c>
      <c r="O352" s="14" t="s">
        <v>3994</v>
      </c>
      <c r="P352" s="15" t="s">
        <v>3117</v>
      </c>
      <c r="Q352" s="16">
        <v>8883505</v>
      </c>
      <c r="R352" s="17">
        <v>42230</v>
      </c>
      <c r="S352" s="16" t="s">
        <v>5051</v>
      </c>
      <c r="T352" s="16">
        <v>6632060</v>
      </c>
      <c r="U352" s="14" t="s">
        <v>109</v>
      </c>
      <c r="V352" s="13">
        <v>4</v>
      </c>
      <c r="W352" s="17">
        <v>44081</v>
      </c>
      <c r="X352" s="14" t="s">
        <v>5052</v>
      </c>
      <c r="Y352" s="17">
        <v>42921</v>
      </c>
      <c r="Z352" s="17">
        <v>42231</v>
      </c>
      <c r="AA352" s="14" t="s">
        <v>6645</v>
      </c>
      <c r="AB352" s="14" t="s">
        <v>9446</v>
      </c>
      <c r="AC352" s="14" t="s">
        <v>9447</v>
      </c>
      <c r="AD352" s="20" t="str">
        <f t="shared" si="22"/>
        <v>Biotech R&amp;D &gt; Research Applications &gt; Microbial Technology &gt; Suite
Aquaculture Tech &gt; Aquatic Plants &gt; Seaweed &gt; Diversified</v>
      </c>
      <c r="AE352" s="20" t="str">
        <f t="shared" si="21"/>
        <v>Biotech R&amp;D</v>
      </c>
      <c r="AF352" s="20" t="str">
        <f t="shared" si="23"/>
        <v>Research Applications</v>
      </c>
      <c r="AG352" s="20" t="str">
        <f t="shared" si="23"/>
        <v>Microbial Technology</v>
      </c>
      <c r="AH352" s="20" t="str">
        <f t="shared" si="23"/>
        <v>Suite
Aquaculture Tech</v>
      </c>
      <c r="AI352" s="20" t="str">
        <f t="shared" si="23"/>
        <v>Aquatic Plants</v>
      </c>
      <c r="AJ352" s="20" t="str">
        <f t="shared" si="23"/>
        <v>Seaweed</v>
      </c>
      <c r="AK352" s="20" t="str">
        <f t="shared" si="23"/>
        <v>Diversified</v>
      </c>
      <c r="AL352" s="14" t="s">
        <v>9448</v>
      </c>
      <c r="AM352" s="14" t="s">
        <v>9449</v>
      </c>
      <c r="AO352" s="14"/>
      <c r="AP352" s="14" t="s">
        <v>3994</v>
      </c>
      <c r="AQ352" s="14" t="s">
        <v>9451</v>
      </c>
      <c r="AR352" s="14" t="s">
        <v>9452</v>
      </c>
      <c r="AS352" s="14" t="s">
        <v>9453</v>
      </c>
      <c r="AT352" s="14" t="s">
        <v>9454</v>
      </c>
      <c r="AU352" s="14" t="s">
        <v>9455</v>
      </c>
      <c r="AV352" s="18"/>
      <c r="AW352" s="16">
        <v>2148200</v>
      </c>
      <c r="AX352" s="17">
        <v>43100</v>
      </c>
      <c r="AY352" s="15" t="s">
        <v>3117</v>
      </c>
      <c r="AZ352" s="17">
        <v>40385</v>
      </c>
      <c r="BA352" s="16">
        <v>2112</v>
      </c>
      <c r="BB352" s="14" t="s">
        <v>9456</v>
      </c>
      <c r="BC352" s="14"/>
      <c r="BD352" s="15" t="s">
        <v>3123</v>
      </c>
      <c r="BE352" s="14"/>
      <c r="BF352" s="17"/>
      <c r="BG352" s="16"/>
      <c r="BH352" s="14"/>
      <c r="BI352" s="15" t="s">
        <v>3123</v>
      </c>
      <c r="BJ352" s="14"/>
      <c r="BK352" s="17"/>
      <c r="BL352" s="16"/>
      <c r="BM352" s="16"/>
      <c r="BN352" s="16"/>
      <c r="BO352" s="16"/>
      <c r="BP352" s="15" t="s">
        <v>3123</v>
      </c>
      <c r="BQ352" s="17"/>
      <c r="BR352" s="14"/>
      <c r="BS352" s="14"/>
      <c r="BT352" s="16"/>
      <c r="BU352" s="16"/>
      <c r="BV352" s="13"/>
      <c r="BW352" s="18" t="s">
        <v>9457</v>
      </c>
      <c r="BX352" s="13">
        <v>200</v>
      </c>
      <c r="BY352" s="17">
        <v>44123</v>
      </c>
      <c r="BZ352" s="18"/>
      <c r="CA352" s="18" t="s">
        <v>9458</v>
      </c>
      <c r="CB352" s="18"/>
      <c r="CC352" s="18"/>
      <c r="CD352" s="14" t="s">
        <v>9459</v>
      </c>
      <c r="CE352" s="17">
        <v>42431</v>
      </c>
      <c r="CF352" s="16">
        <v>99100</v>
      </c>
      <c r="CG352" s="17">
        <v>43100</v>
      </c>
      <c r="CH352" s="16">
        <v>58100</v>
      </c>
      <c r="CI352" s="17">
        <v>43100</v>
      </c>
      <c r="CJ352" s="16"/>
      <c r="CK352" s="17"/>
      <c r="CL352" s="16">
        <v>61</v>
      </c>
      <c r="CM352" s="17">
        <v>44012</v>
      </c>
      <c r="CN352" s="19">
        <v>50.486825805668538</v>
      </c>
      <c r="CO352" s="19"/>
      <c r="CP352" s="17"/>
      <c r="CQ352" s="14" t="s">
        <v>5345</v>
      </c>
      <c r="CR352" s="14" t="s">
        <v>7272</v>
      </c>
      <c r="CS352" s="14" t="s">
        <v>5945</v>
      </c>
    </row>
    <row r="353" spans="1:97" ht="26.15" customHeight="1">
      <c r="A353" s="2">
        <v>328</v>
      </c>
      <c r="B353" s="25" t="s">
        <v>2181</v>
      </c>
      <c r="C353" s="25" t="e">
        <f>VLOOKUP(B353, Sheet6!$A$1:$B$77, 2, FALSE)</f>
        <v>#N/A</v>
      </c>
      <c r="D353" s="25" t="s">
        <v>2182</v>
      </c>
      <c r="E353" s="25" t="s">
        <v>2184</v>
      </c>
      <c r="F353" s="25" t="s">
        <v>8964</v>
      </c>
      <c r="G353" s="25" t="s">
        <v>10955</v>
      </c>
      <c r="H353" s="25" t="s">
        <v>10967</v>
      </c>
      <c r="I353" s="25" t="s">
        <v>10558</v>
      </c>
      <c r="J353" s="25" t="s">
        <v>10821</v>
      </c>
      <c r="L353" s="13">
        <v>2014</v>
      </c>
      <c r="M353" s="14" t="s">
        <v>5038</v>
      </c>
      <c r="N353" s="14" t="s">
        <v>5039</v>
      </c>
      <c r="O353" s="14" t="s">
        <v>3994</v>
      </c>
      <c r="P353" s="15" t="s">
        <v>3117</v>
      </c>
      <c r="Q353" s="16">
        <v>214702</v>
      </c>
      <c r="R353" s="17">
        <v>43104</v>
      </c>
      <c r="S353" s="16" t="s">
        <v>7954</v>
      </c>
      <c r="T353" s="16">
        <v>39403</v>
      </c>
      <c r="U353" s="14" t="s">
        <v>34</v>
      </c>
      <c r="V353" s="13">
        <v>2</v>
      </c>
      <c r="W353" s="17">
        <v>44004</v>
      </c>
      <c r="X353" s="14"/>
      <c r="Y353" s="17"/>
      <c r="Z353" s="17"/>
      <c r="AA353" s="14" t="s">
        <v>4995</v>
      </c>
      <c r="AB353" s="14" t="s">
        <v>4996</v>
      </c>
      <c r="AC353" s="14" t="s">
        <v>5418</v>
      </c>
      <c r="AD353" s="20" t="str">
        <f t="shared" si="22"/>
        <v>Online Grocery &gt; B2C Ecommerce &gt; Meat and Seafood &gt; Retailer &gt; Meat
Livestock Tech &gt; ECommerce &gt; Farm Produce &gt; B2C &gt; Retailer &gt; Meat</v>
      </c>
      <c r="AE353" s="20" t="str">
        <f t="shared" si="21"/>
        <v>Online Grocery</v>
      </c>
      <c r="AF353" s="20" t="str">
        <f t="shared" si="23"/>
        <v>B2C Ecommerce</v>
      </c>
      <c r="AG353" s="20" t="str">
        <f t="shared" si="23"/>
        <v>Meat and Seafood</v>
      </c>
      <c r="AH353" s="20" t="str">
        <f t="shared" si="23"/>
        <v>Retailer</v>
      </c>
      <c r="AI353" s="20" t="str">
        <f t="shared" si="23"/>
        <v>Meat
Livestock Tech</v>
      </c>
      <c r="AJ353" s="20" t="str">
        <f t="shared" si="23"/>
        <v>ECommerce</v>
      </c>
      <c r="AK353" s="20" t="str">
        <f t="shared" si="23"/>
        <v>Farm Produce</v>
      </c>
      <c r="AL353" s="14" t="s">
        <v>2514</v>
      </c>
      <c r="AM353" s="14" t="s">
        <v>7955</v>
      </c>
      <c r="AO353" s="14"/>
      <c r="AP353" s="14" t="s">
        <v>3994</v>
      </c>
      <c r="AQ353" s="14" t="s">
        <v>7957</v>
      </c>
      <c r="AR353" s="14"/>
      <c r="AS353" s="14" t="s">
        <v>7958</v>
      </c>
      <c r="AT353" s="14" t="s">
        <v>7959</v>
      </c>
      <c r="AU353" s="14" t="s">
        <v>7960</v>
      </c>
      <c r="AV353" s="18"/>
      <c r="AW353" s="16">
        <v>303</v>
      </c>
      <c r="AX353" s="17">
        <v>42004</v>
      </c>
      <c r="AY353" s="15" t="s">
        <v>3117</v>
      </c>
      <c r="AZ353" s="17">
        <v>41990</v>
      </c>
      <c r="BA353" s="16">
        <v>1566</v>
      </c>
      <c r="BB353" s="14" t="s">
        <v>7961</v>
      </c>
      <c r="BC353" s="14"/>
      <c r="BD353" s="15" t="s">
        <v>3123</v>
      </c>
      <c r="BE353" s="14"/>
      <c r="BF353" s="17"/>
      <c r="BG353" s="16"/>
      <c r="BH353" s="14"/>
      <c r="BI353" s="15" t="s">
        <v>3123</v>
      </c>
      <c r="BJ353" s="14"/>
      <c r="BK353" s="17"/>
      <c r="BL353" s="16"/>
      <c r="BM353" s="16"/>
      <c r="BN353" s="16"/>
      <c r="BO353" s="16"/>
      <c r="BP353" s="15" t="s">
        <v>3123</v>
      </c>
      <c r="BQ353" s="17"/>
      <c r="BR353" s="14"/>
      <c r="BS353" s="14"/>
      <c r="BT353" s="16"/>
      <c r="BU353" s="16"/>
      <c r="BV353" s="13"/>
      <c r="BW353" s="18" t="s">
        <v>7962</v>
      </c>
      <c r="BX353" s="13">
        <v>521</v>
      </c>
      <c r="BY353" s="17">
        <v>44123</v>
      </c>
      <c r="BZ353" s="18"/>
      <c r="CA353" s="18" t="s">
        <v>7963</v>
      </c>
      <c r="CB353" s="18" t="s">
        <v>7964</v>
      </c>
      <c r="CC353" s="18"/>
      <c r="CD353" s="14" t="s">
        <v>7965</v>
      </c>
      <c r="CE353" s="17">
        <v>42685</v>
      </c>
      <c r="CF353" s="16">
        <v>-11400</v>
      </c>
      <c r="CG353" s="17">
        <v>42004</v>
      </c>
      <c r="CH353" s="16">
        <v>-10400</v>
      </c>
      <c r="CI353" s="17">
        <v>42004</v>
      </c>
      <c r="CJ353" s="16"/>
      <c r="CK353" s="17"/>
      <c r="CL353" s="16"/>
      <c r="CM353" s="17"/>
      <c r="CN353" s="19">
        <v>19.927879732593524</v>
      </c>
      <c r="CO353" s="19"/>
      <c r="CP353" s="17"/>
      <c r="CQ353" s="14" t="s">
        <v>5082</v>
      </c>
      <c r="CR353" s="14"/>
      <c r="CS353" s="14" t="s">
        <v>7966</v>
      </c>
    </row>
    <row r="354" spans="1:97" ht="26.15" customHeight="1">
      <c r="A354" s="2">
        <v>169</v>
      </c>
      <c r="B354" s="25" t="s">
        <v>553</v>
      </c>
      <c r="C354" s="25" t="e">
        <f>VLOOKUP(B354, Sheet6!$A$1:$B$77, 2, FALSE)</f>
        <v>#N/A</v>
      </c>
      <c r="D354" s="25" t="s">
        <v>554</v>
      </c>
      <c r="E354" s="25" t="s">
        <v>556</v>
      </c>
      <c r="F354" s="25" t="s">
        <v>7184</v>
      </c>
      <c r="G354" s="25" t="s">
        <v>10955</v>
      </c>
      <c r="H354" s="25" t="s">
        <v>10959</v>
      </c>
      <c r="I354" s="25" t="s">
        <v>10968</v>
      </c>
      <c r="J354" s="26" t="s">
        <v>10842</v>
      </c>
      <c r="L354" s="13">
        <v>2015</v>
      </c>
      <c r="M354" s="14" t="s">
        <v>5038</v>
      </c>
      <c r="N354" s="14" t="s">
        <v>5039</v>
      </c>
      <c r="O354" s="14" t="s">
        <v>3994</v>
      </c>
      <c r="P354" s="15" t="s">
        <v>3117</v>
      </c>
      <c r="Q354" s="16">
        <v>94500000</v>
      </c>
      <c r="R354" s="17">
        <v>43815</v>
      </c>
      <c r="S354" s="16" t="s">
        <v>7790</v>
      </c>
      <c r="T354" s="16">
        <v>30000000</v>
      </c>
      <c r="U354" s="14" t="s">
        <v>627</v>
      </c>
      <c r="V354" s="13">
        <v>5</v>
      </c>
      <c r="W354" s="17">
        <v>44033</v>
      </c>
      <c r="X354" s="14" t="s">
        <v>5544</v>
      </c>
      <c r="Y354" s="17">
        <v>43829</v>
      </c>
      <c r="Z354" s="17">
        <v>43369</v>
      </c>
      <c r="AA354" s="14" t="s">
        <v>4995</v>
      </c>
      <c r="AB354" s="14" t="s">
        <v>4996</v>
      </c>
      <c r="AC354" s="14" t="s">
        <v>5418</v>
      </c>
      <c r="AD354" s="20" t="str">
        <f t="shared" si="22"/>
        <v>Online Grocery &gt; B2C Ecommerce &gt; Meat and Seafood &gt; Retailer &gt; Meat
Livestock Tech &gt; ECommerce &gt; Farm Produce &gt; B2C &gt; Retailer &gt; Meat</v>
      </c>
      <c r="AE354" s="20" t="str">
        <f t="shared" si="21"/>
        <v>Online Grocery</v>
      </c>
      <c r="AF354" s="20" t="str">
        <f t="shared" si="23"/>
        <v>B2C Ecommerce</v>
      </c>
      <c r="AG354" s="20" t="str">
        <f t="shared" si="23"/>
        <v>Meat and Seafood</v>
      </c>
      <c r="AH354" s="20" t="str">
        <f t="shared" si="23"/>
        <v>Retailer</v>
      </c>
      <c r="AI354" s="20" t="str">
        <f t="shared" si="23"/>
        <v>Meat
Livestock Tech</v>
      </c>
      <c r="AJ354" s="20" t="str">
        <f t="shared" si="23"/>
        <v>ECommerce</v>
      </c>
      <c r="AK354" s="20" t="str">
        <f t="shared" si="23"/>
        <v>Farm Produce</v>
      </c>
      <c r="AL354" s="14" t="s">
        <v>7982</v>
      </c>
      <c r="AM354" s="14" t="s">
        <v>7983</v>
      </c>
      <c r="AO354" s="14"/>
      <c r="AP354" s="14" t="s">
        <v>3994</v>
      </c>
      <c r="AQ354" s="14" t="s">
        <v>7985</v>
      </c>
      <c r="AR354" s="14" t="s">
        <v>7986</v>
      </c>
      <c r="AS354" s="14" t="s">
        <v>7987</v>
      </c>
      <c r="AT354" s="14" t="s">
        <v>7988</v>
      </c>
      <c r="AU354" s="14" t="s">
        <v>7989</v>
      </c>
      <c r="AV354" s="18"/>
      <c r="AW354" s="16">
        <v>9133000</v>
      </c>
      <c r="AX354" s="17">
        <v>43465</v>
      </c>
      <c r="AY354" s="15" t="s">
        <v>3117</v>
      </c>
      <c r="AZ354" s="17">
        <v>42137</v>
      </c>
      <c r="BA354" s="16">
        <v>1555</v>
      </c>
      <c r="BB354" s="14" t="s">
        <v>7990</v>
      </c>
      <c r="BC354" s="14"/>
      <c r="BD354" s="15" t="s">
        <v>3123</v>
      </c>
      <c r="BE354" s="14"/>
      <c r="BF354" s="17"/>
      <c r="BG354" s="16"/>
      <c r="BH354" s="14"/>
      <c r="BI354" s="15" t="s">
        <v>3123</v>
      </c>
      <c r="BJ354" s="14"/>
      <c r="BK354" s="17"/>
      <c r="BL354" s="16"/>
      <c r="BM354" s="16"/>
      <c r="BN354" s="16"/>
      <c r="BO354" s="16"/>
      <c r="BP354" s="15" t="s">
        <v>3123</v>
      </c>
      <c r="BQ354" s="17"/>
      <c r="BR354" s="14"/>
      <c r="BS354" s="14"/>
      <c r="BT354" s="16"/>
      <c r="BU354" s="16"/>
      <c r="BV354" s="13"/>
      <c r="BW354" s="18" t="s">
        <v>7991</v>
      </c>
      <c r="BX354" s="13">
        <v>200</v>
      </c>
      <c r="BY354" s="17">
        <v>44123</v>
      </c>
      <c r="BZ354" s="18" t="s">
        <v>7992</v>
      </c>
      <c r="CA354" s="18" t="s">
        <v>7993</v>
      </c>
      <c r="CB354" s="18" t="s">
        <v>7994</v>
      </c>
      <c r="CC354" s="18" t="s">
        <v>7995</v>
      </c>
      <c r="CD354" s="14" t="s">
        <v>7996</v>
      </c>
      <c r="CE354" s="17">
        <v>42535</v>
      </c>
      <c r="CF354" s="16">
        <v>-9494600</v>
      </c>
      <c r="CG354" s="17">
        <v>43465</v>
      </c>
      <c r="CH354" s="16">
        <v>-9015700</v>
      </c>
      <c r="CI354" s="17">
        <v>43465</v>
      </c>
      <c r="CJ354" s="16">
        <v>300000000</v>
      </c>
      <c r="CK354" s="17">
        <v>43819</v>
      </c>
      <c r="CL354" s="16">
        <v>1814</v>
      </c>
      <c r="CM354" s="17">
        <v>44012</v>
      </c>
      <c r="CN354" s="19">
        <v>74.588492157169654</v>
      </c>
      <c r="CO354" s="19"/>
      <c r="CP354" s="17"/>
      <c r="CQ354" s="14" t="s">
        <v>6487</v>
      </c>
      <c r="CR354" s="14" t="s">
        <v>7997</v>
      </c>
      <c r="CS354" s="14" t="s">
        <v>7998</v>
      </c>
    </row>
    <row r="355" spans="1:97" ht="26.15" customHeight="1">
      <c r="A355" s="2">
        <v>512</v>
      </c>
      <c r="B355" s="25" t="s">
        <v>2922</v>
      </c>
      <c r="C355" s="25" t="e">
        <f>VLOOKUP(B355, Sheet6!$A$1:$B$77, 2, FALSE)</f>
        <v>#N/A</v>
      </c>
      <c r="D355" s="25" t="s">
        <v>2923</v>
      </c>
      <c r="E355" s="25" t="s">
        <v>2925</v>
      </c>
      <c r="F355" s="25" t="s">
        <v>10066</v>
      </c>
      <c r="G355" s="25">
        <v>0</v>
      </c>
      <c r="H355" s="25">
        <v>0</v>
      </c>
      <c r="I355" s="25">
        <v>0</v>
      </c>
      <c r="J355" s="25">
        <v>0</v>
      </c>
      <c r="L355" s="13">
        <v>2014</v>
      </c>
      <c r="M355" s="14" t="s">
        <v>5038</v>
      </c>
      <c r="N355" s="14" t="s">
        <v>5039</v>
      </c>
      <c r="O355" s="14" t="s">
        <v>3994</v>
      </c>
      <c r="P355" s="15" t="s">
        <v>3117</v>
      </c>
      <c r="Q355" s="16"/>
      <c r="R355" s="17">
        <v>42977</v>
      </c>
      <c r="S355" s="16"/>
      <c r="T355" s="16" t="s">
        <v>50</v>
      </c>
      <c r="U355" s="14" t="s">
        <v>34</v>
      </c>
      <c r="V355" s="13">
        <v>3</v>
      </c>
      <c r="W355" s="17">
        <v>44003</v>
      </c>
      <c r="X355" s="14"/>
      <c r="Y355" s="17"/>
      <c r="Z355" s="17"/>
      <c r="AA355" s="14" t="s">
        <v>5976</v>
      </c>
      <c r="AB355" s="14" t="s">
        <v>7999</v>
      </c>
      <c r="AC355" s="14" t="s">
        <v>8000</v>
      </c>
      <c r="AD355" s="20" t="str">
        <f t="shared" si="22"/>
        <v>Industrial Robotics &gt; Agriculture
Crop Tech &gt; Autonomous Farming &gt; Harvesting</v>
      </c>
      <c r="AE355" s="20" t="str">
        <f t="shared" si="21"/>
        <v>Industrial Robotics</v>
      </c>
      <c r="AF355" s="20" t="str">
        <f t="shared" si="23"/>
        <v>Agriculture
Crop Tech</v>
      </c>
      <c r="AG355" s="20" t="str">
        <f t="shared" si="23"/>
        <v>Autonomous Farming</v>
      </c>
      <c r="AH355" s="20" t="str">
        <f t="shared" si="23"/>
        <v>Harvesting</v>
      </c>
      <c r="AI355" s="20" t="str">
        <f t="shared" si="23"/>
        <v/>
      </c>
      <c r="AJ355" s="20" t="str">
        <f t="shared" si="23"/>
        <v/>
      </c>
      <c r="AK355" s="20" t="str">
        <f t="shared" si="23"/>
        <v/>
      </c>
      <c r="AL355" s="14" t="s">
        <v>8001</v>
      </c>
      <c r="AM355" s="14"/>
      <c r="AO355" s="14"/>
      <c r="AP355" s="14" t="s">
        <v>3994</v>
      </c>
      <c r="AQ355" s="14"/>
      <c r="AR355" s="14"/>
      <c r="AS355" s="14" t="s">
        <v>8003</v>
      </c>
      <c r="AT355" s="14" t="s">
        <v>8004</v>
      </c>
      <c r="AU355" s="14" t="s">
        <v>8005</v>
      </c>
      <c r="AV355" s="18" t="s">
        <v>8006</v>
      </c>
      <c r="AW355" s="16">
        <v>9</v>
      </c>
      <c r="AX355" s="17">
        <v>43465</v>
      </c>
      <c r="AY355" s="15" t="s">
        <v>3117</v>
      </c>
      <c r="AZ355" s="17">
        <v>41851</v>
      </c>
      <c r="BA355" s="16">
        <v>9966</v>
      </c>
      <c r="BB355" s="14" t="s">
        <v>8007</v>
      </c>
      <c r="BC355" s="14"/>
      <c r="BD355" s="15" t="s">
        <v>3123</v>
      </c>
      <c r="BE355" s="14"/>
      <c r="BF355" s="17"/>
      <c r="BG355" s="16"/>
      <c r="BH355" s="14"/>
      <c r="BI355" s="15" t="s">
        <v>3123</v>
      </c>
      <c r="BJ355" s="14"/>
      <c r="BK355" s="17"/>
      <c r="BL355" s="16"/>
      <c r="BM355" s="16"/>
      <c r="BN355" s="16"/>
      <c r="BO355" s="16"/>
      <c r="BP355" s="15" t="s">
        <v>3123</v>
      </c>
      <c r="BQ355" s="17"/>
      <c r="BR355" s="14"/>
      <c r="BS355" s="14"/>
      <c r="BT355" s="16"/>
      <c r="BU355" s="16"/>
      <c r="BV355" s="13"/>
      <c r="BW355" s="18" t="s">
        <v>8008</v>
      </c>
      <c r="BX355" s="13">
        <v>200</v>
      </c>
      <c r="BY355" s="17">
        <v>44137</v>
      </c>
      <c r="BZ355" s="18" t="s">
        <v>8009</v>
      </c>
      <c r="CA355" s="18"/>
      <c r="CB355" s="18" t="s">
        <v>8010</v>
      </c>
      <c r="CC355" s="18"/>
      <c r="CD355" s="14" t="s">
        <v>8011</v>
      </c>
      <c r="CE355" s="17">
        <v>42614</v>
      </c>
      <c r="CF355" s="16">
        <v>-8700</v>
      </c>
      <c r="CG355" s="17">
        <v>43465</v>
      </c>
      <c r="CH355" s="16">
        <v>-9500</v>
      </c>
      <c r="CI355" s="17">
        <v>43465</v>
      </c>
      <c r="CJ355" s="16"/>
      <c r="CK355" s="17"/>
      <c r="CL355" s="16"/>
      <c r="CM355" s="17"/>
      <c r="CN355" s="19">
        <v>22.414119982037011</v>
      </c>
      <c r="CO355" s="19"/>
      <c r="CP355" s="17"/>
      <c r="CQ355" s="14" t="s">
        <v>7647</v>
      </c>
      <c r="CR355" s="14" t="s">
        <v>7249</v>
      </c>
      <c r="CS355" s="14" t="s">
        <v>5620</v>
      </c>
    </row>
    <row r="356" spans="1:97" ht="26.15" customHeight="1">
      <c r="A356" s="2">
        <v>140</v>
      </c>
      <c r="B356" s="25" t="s">
        <v>1058</v>
      </c>
      <c r="C356" s="25" t="e">
        <f>VLOOKUP(B356, Sheet6!$A$1:$B$77, 2, FALSE)</f>
        <v>#N/A</v>
      </c>
      <c r="D356" s="25" t="s">
        <v>1059</v>
      </c>
      <c r="E356" s="25" t="s">
        <v>1061</v>
      </c>
      <c r="F356" s="25" t="s">
        <v>6800</v>
      </c>
      <c r="G356" s="25" t="s">
        <v>10955</v>
      </c>
      <c r="H356" s="25" t="s">
        <v>10959</v>
      </c>
      <c r="I356" s="25" t="s">
        <v>10958</v>
      </c>
      <c r="J356" s="26" t="s">
        <v>10759</v>
      </c>
      <c r="L356" s="13">
        <v>2015</v>
      </c>
      <c r="M356" s="14" t="s">
        <v>9460</v>
      </c>
      <c r="N356" s="14" t="s">
        <v>9461</v>
      </c>
      <c r="O356" s="14" t="s">
        <v>9462</v>
      </c>
      <c r="P356" s="15" t="s">
        <v>3117</v>
      </c>
      <c r="Q356" s="16"/>
      <c r="R356" s="17">
        <v>42064</v>
      </c>
      <c r="S356" s="16" t="s">
        <v>5252</v>
      </c>
      <c r="T356" s="16">
        <v>100000</v>
      </c>
      <c r="U356" s="14" t="s">
        <v>5630</v>
      </c>
      <c r="V356" s="13"/>
      <c r="W356" s="17"/>
      <c r="X356" s="14"/>
      <c r="Y356" s="17"/>
      <c r="Z356" s="17"/>
      <c r="AA356" s="14" t="s">
        <v>1</v>
      </c>
      <c r="AB356" s="14" t="s">
        <v>5007</v>
      </c>
      <c r="AC356" s="14" t="s">
        <v>968</v>
      </c>
      <c r="AD356" s="20" t="str">
        <f t="shared" si="22"/>
        <v>Crop Tech &gt; Content Platforms &gt; Farming Advice &gt; Expert Advisors</v>
      </c>
      <c r="AE356" s="20" t="str">
        <f t="shared" si="21"/>
        <v>Crop Tech</v>
      </c>
      <c r="AF356" s="20" t="str">
        <f t="shared" si="23"/>
        <v>Content Platforms</v>
      </c>
      <c r="AG356" s="20" t="str">
        <f t="shared" si="23"/>
        <v>Farming Advice</v>
      </c>
      <c r="AH356" s="20" t="str">
        <f t="shared" si="23"/>
        <v>Expert Advisors</v>
      </c>
      <c r="AI356" s="20" t="str">
        <f t="shared" si="23"/>
        <v/>
      </c>
      <c r="AJ356" s="20" t="str">
        <f t="shared" si="23"/>
        <v/>
      </c>
      <c r="AK356" s="20" t="str">
        <f t="shared" si="23"/>
        <v/>
      </c>
      <c r="AL356" s="14" t="s">
        <v>156</v>
      </c>
      <c r="AM356" s="14"/>
      <c r="AO356" s="14"/>
      <c r="AP356" s="14" t="s">
        <v>9462</v>
      </c>
      <c r="AQ356" s="14"/>
      <c r="AR356" s="14"/>
      <c r="AS356" s="14" t="s">
        <v>9464</v>
      </c>
      <c r="AT356" s="14" t="s">
        <v>9465</v>
      </c>
      <c r="AU356" s="14" t="s">
        <v>9466</v>
      </c>
      <c r="AV356" s="18" t="s">
        <v>9467</v>
      </c>
      <c r="AW356" s="16"/>
      <c r="AX356" s="17"/>
      <c r="AY356" s="15" t="s">
        <v>3123</v>
      </c>
      <c r="AZ356" s="17"/>
      <c r="BA356" s="16"/>
      <c r="BB356" s="14"/>
      <c r="BC356" s="14"/>
      <c r="BD356" s="15" t="s">
        <v>3123</v>
      </c>
      <c r="BE356" s="14"/>
      <c r="BF356" s="17"/>
      <c r="BG356" s="16"/>
      <c r="BH356" s="14"/>
      <c r="BI356" s="15" t="s">
        <v>3123</v>
      </c>
      <c r="BJ356" s="14"/>
      <c r="BK356" s="17"/>
      <c r="BL356" s="16"/>
      <c r="BM356" s="16"/>
      <c r="BN356" s="16"/>
      <c r="BO356" s="16"/>
      <c r="BP356" s="15" t="s">
        <v>3117</v>
      </c>
      <c r="BQ356" s="17">
        <v>42522</v>
      </c>
      <c r="BR356" s="14"/>
      <c r="BS356" s="14"/>
      <c r="BT356" s="16"/>
      <c r="BU356" s="16"/>
      <c r="BV356" s="13"/>
      <c r="BW356" s="18" t="s">
        <v>9468</v>
      </c>
      <c r="BX356" s="13">
        <v>-1</v>
      </c>
      <c r="BY356" s="17">
        <v>44123</v>
      </c>
      <c r="BZ356" s="18" t="s">
        <v>9469</v>
      </c>
      <c r="CA356" s="18" t="s">
        <v>9470</v>
      </c>
      <c r="CB356" s="18" t="s">
        <v>9471</v>
      </c>
      <c r="CC356" s="18"/>
      <c r="CD356" s="14" t="s">
        <v>9472</v>
      </c>
      <c r="CE356" s="17">
        <v>43032</v>
      </c>
      <c r="CF356" s="16"/>
      <c r="CG356" s="17"/>
      <c r="CH356" s="16"/>
      <c r="CI356" s="17"/>
      <c r="CJ356" s="16"/>
      <c r="CK356" s="17"/>
      <c r="CL356" s="16"/>
      <c r="CM356" s="17"/>
      <c r="CN356" s="19">
        <v>23.862321109283162</v>
      </c>
      <c r="CO356" s="19"/>
      <c r="CP356" s="17"/>
      <c r="CQ356" s="14" t="s">
        <v>5345</v>
      </c>
      <c r="CR356" s="14" t="s">
        <v>7272</v>
      </c>
      <c r="CS356" s="14" t="s">
        <v>5945</v>
      </c>
    </row>
    <row r="357" spans="1:97" ht="26.15" customHeight="1">
      <c r="A357" s="2">
        <v>288</v>
      </c>
      <c r="B357" s="25" t="s">
        <v>131</v>
      </c>
      <c r="C357" s="25" t="e">
        <f>VLOOKUP(B357, Sheet6!$A$1:$B$77, 2, FALSE)</f>
        <v>#N/A</v>
      </c>
      <c r="D357" s="25" t="s">
        <v>132</v>
      </c>
      <c r="E357" s="25" t="s">
        <v>136</v>
      </c>
      <c r="F357" s="25" t="s">
        <v>8667</v>
      </c>
      <c r="G357" s="25" t="s">
        <v>10955</v>
      </c>
      <c r="H357" s="25" t="s">
        <v>10558</v>
      </c>
      <c r="I357" s="25" t="s">
        <v>10558</v>
      </c>
      <c r="J357" s="25" t="s">
        <v>10846</v>
      </c>
      <c r="L357" s="13">
        <v>2015</v>
      </c>
      <c r="M357" s="14" t="s">
        <v>9473</v>
      </c>
      <c r="N357" s="14" t="s">
        <v>9473</v>
      </c>
      <c r="O357" s="14" t="s">
        <v>5208</v>
      </c>
      <c r="P357" s="15" t="s">
        <v>3117</v>
      </c>
      <c r="Q357" s="16">
        <v>7014810</v>
      </c>
      <c r="R357" s="17">
        <v>42144</v>
      </c>
      <c r="S357" s="16" t="s">
        <v>5051</v>
      </c>
      <c r="T357" s="16">
        <v>7014810</v>
      </c>
      <c r="U357" s="14" t="s">
        <v>109</v>
      </c>
      <c r="V357" s="13">
        <v>4</v>
      </c>
      <c r="W357" s="17">
        <v>44099</v>
      </c>
      <c r="X357" s="14" t="s">
        <v>5052</v>
      </c>
      <c r="Y357" s="17">
        <v>44027</v>
      </c>
      <c r="Z357" s="17">
        <v>42144</v>
      </c>
      <c r="AA357" s="14" t="s">
        <v>6645</v>
      </c>
      <c r="AB357" s="14" t="s">
        <v>9474</v>
      </c>
      <c r="AC357" s="14" t="s">
        <v>9475</v>
      </c>
      <c r="AD357" s="20" t="str">
        <f t="shared" si="22"/>
        <v>Biotech R&amp;D &gt; Research Applications &gt; Industrial Biotechnology &gt; Bioprocessing
Crop Tech &gt; Farm Inputs &gt; Biologicals &gt; Diversified &gt; Microbes</v>
      </c>
      <c r="AE357" s="20" t="str">
        <f t="shared" si="21"/>
        <v>Biotech R&amp;D</v>
      </c>
      <c r="AF357" s="20" t="str">
        <f t="shared" si="23"/>
        <v>Research Applications</v>
      </c>
      <c r="AG357" s="20" t="str">
        <f t="shared" si="23"/>
        <v>Industrial Biotechnology</v>
      </c>
      <c r="AH357" s="20" t="str">
        <f t="shared" si="23"/>
        <v>Bioprocessing
Crop Tech</v>
      </c>
      <c r="AI357" s="20" t="str">
        <f t="shared" si="23"/>
        <v>Farm Inputs</v>
      </c>
      <c r="AJ357" s="20" t="str">
        <f t="shared" si="23"/>
        <v>Biologicals</v>
      </c>
      <c r="AK357" s="20" t="str">
        <f t="shared" si="23"/>
        <v>Diversified</v>
      </c>
      <c r="AL357" s="14" t="s">
        <v>2726</v>
      </c>
      <c r="AM357" s="14"/>
      <c r="AO357" s="14"/>
      <c r="AP357" s="14" t="s">
        <v>9477</v>
      </c>
      <c r="AQ357" s="14"/>
      <c r="AR357" s="14"/>
      <c r="AS357" s="14" t="s">
        <v>9478</v>
      </c>
      <c r="AT357" s="14" t="s">
        <v>9479</v>
      </c>
      <c r="AU357" s="14" t="s">
        <v>9480</v>
      </c>
      <c r="AV357" s="18"/>
      <c r="AW357" s="16"/>
      <c r="AX357" s="17"/>
      <c r="AY357" s="15" t="s">
        <v>3123</v>
      </c>
      <c r="AZ357" s="17"/>
      <c r="BA357" s="16"/>
      <c r="BB357" s="14"/>
      <c r="BC357" s="14"/>
      <c r="BD357" s="15" t="s">
        <v>3123</v>
      </c>
      <c r="BE357" s="14"/>
      <c r="BF357" s="17"/>
      <c r="BG357" s="16"/>
      <c r="BH357" s="14"/>
      <c r="BI357" s="15" t="s">
        <v>3123</v>
      </c>
      <c r="BJ357" s="14"/>
      <c r="BK357" s="17"/>
      <c r="BL357" s="16"/>
      <c r="BM357" s="16"/>
      <c r="BN357" s="16"/>
      <c r="BO357" s="16"/>
      <c r="BP357" s="15" t="s">
        <v>3123</v>
      </c>
      <c r="BQ357" s="17"/>
      <c r="BR357" s="14"/>
      <c r="BS357" s="14"/>
      <c r="BT357" s="16"/>
      <c r="BU357" s="16"/>
      <c r="BV357" s="13"/>
      <c r="BW357" s="18" t="s">
        <v>9481</v>
      </c>
      <c r="BX357" s="13">
        <v>200</v>
      </c>
      <c r="BY357" s="17">
        <v>44123</v>
      </c>
      <c r="BZ357" s="18" t="s">
        <v>9482</v>
      </c>
      <c r="CA357" s="18" t="s">
        <v>9483</v>
      </c>
      <c r="CB357" s="18"/>
      <c r="CC357" s="18"/>
      <c r="CD357" s="14" t="s">
        <v>9484</v>
      </c>
      <c r="CE357" s="17">
        <v>43851</v>
      </c>
      <c r="CF357" s="16"/>
      <c r="CG357" s="17"/>
      <c r="CH357" s="16"/>
      <c r="CI357" s="17"/>
      <c r="CJ357" s="16"/>
      <c r="CK357" s="17"/>
      <c r="CL357" s="16"/>
      <c r="CM357" s="17"/>
      <c r="CN357" s="19">
        <v>42.503142389050005</v>
      </c>
      <c r="CO357" s="19"/>
      <c r="CP357" s="17"/>
      <c r="CQ357" s="14" t="s">
        <v>5309</v>
      </c>
      <c r="CR357" s="14" t="s">
        <v>9485</v>
      </c>
      <c r="CS357" s="14" t="s">
        <v>5004</v>
      </c>
    </row>
    <row r="358" spans="1:97" ht="26.15" customHeight="1">
      <c r="A358" s="2">
        <v>386</v>
      </c>
      <c r="B358" s="25" t="s">
        <v>3090</v>
      </c>
      <c r="C358" s="25" t="e">
        <f>VLOOKUP(B358, Sheet6!$A$1:$B$77, 2, FALSE)</f>
        <v>#N/A</v>
      </c>
      <c r="D358" s="25" t="s">
        <v>3091</v>
      </c>
      <c r="E358" s="25" t="s">
        <v>3093</v>
      </c>
      <c r="F358" s="25" t="s">
        <v>9240</v>
      </c>
      <c r="G358" s="25">
        <v>0</v>
      </c>
      <c r="H358" s="25">
        <v>0</v>
      </c>
      <c r="I358" s="25">
        <v>0</v>
      </c>
      <c r="J358" s="25">
        <v>0</v>
      </c>
      <c r="L358" s="13">
        <v>2014</v>
      </c>
      <c r="M358" s="14" t="s">
        <v>8063</v>
      </c>
      <c r="N358" s="14" t="s">
        <v>8064</v>
      </c>
      <c r="O358" s="14" t="s">
        <v>6213</v>
      </c>
      <c r="P358" s="15" t="s">
        <v>3117</v>
      </c>
      <c r="Q358" s="16"/>
      <c r="R358" s="17">
        <v>43315</v>
      </c>
      <c r="S358" s="16"/>
      <c r="T358" s="16" t="s">
        <v>50</v>
      </c>
      <c r="U358" s="14" t="s">
        <v>34</v>
      </c>
      <c r="V358" s="13">
        <v>3</v>
      </c>
      <c r="W358" s="17">
        <v>44081</v>
      </c>
      <c r="X358" s="14"/>
      <c r="Y358" s="17"/>
      <c r="Z358" s="17"/>
      <c r="AA358" s="14" t="s">
        <v>7470</v>
      </c>
      <c r="AB358" s="14" t="s">
        <v>7471</v>
      </c>
      <c r="AC358" s="14" t="s">
        <v>8065</v>
      </c>
      <c r="AD358" s="20" t="str">
        <f t="shared" si="22"/>
        <v>Solar Energy &gt; Hardware Developer &gt; Balance of Systems &gt; Storage
Crop Tech &gt; Post Harvest Management &gt; Quality Control &gt; Fruits and Vegetables &gt; Solar Powered Cold Storage</v>
      </c>
      <c r="AE358" s="20" t="str">
        <f t="shared" si="21"/>
        <v>Solar Energy</v>
      </c>
      <c r="AF358" s="20" t="str">
        <f t="shared" si="23"/>
        <v>Hardware Developer</v>
      </c>
      <c r="AG358" s="20" t="str">
        <f t="shared" si="23"/>
        <v>Balance of Systems</v>
      </c>
      <c r="AH358" s="20" t="str">
        <f t="shared" si="23"/>
        <v>Storage
Crop Tech</v>
      </c>
      <c r="AI358" s="20" t="str">
        <f t="shared" si="23"/>
        <v>Post Harvest Management</v>
      </c>
      <c r="AJ358" s="20" t="str">
        <f t="shared" si="23"/>
        <v>Quality Control</v>
      </c>
      <c r="AK358" s="20" t="str">
        <f t="shared" si="23"/>
        <v>Fruits and Vegetables</v>
      </c>
      <c r="AL358" s="14" t="s">
        <v>8066</v>
      </c>
      <c r="AM358" s="14"/>
      <c r="AO358" s="14"/>
      <c r="AP358" s="14" t="s">
        <v>6213</v>
      </c>
      <c r="AQ358" s="14" t="s">
        <v>8068</v>
      </c>
      <c r="AR358" s="14"/>
      <c r="AS358" s="14" t="s">
        <v>8069</v>
      </c>
      <c r="AT358" s="14" t="s">
        <v>8070</v>
      </c>
      <c r="AU358" s="14" t="s">
        <v>8071</v>
      </c>
      <c r="AV358" s="18"/>
      <c r="AW358" s="16"/>
      <c r="AX358" s="17"/>
      <c r="AY358" s="15" t="s">
        <v>3123</v>
      </c>
      <c r="AZ358" s="17"/>
      <c r="BA358" s="16"/>
      <c r="BB358" s="14"/>
      <c r="BC358" s="14"/>
      <c r="BD358" s="15" t="s">
        <v>3123</v>
      </c>
      <c r="BE358" s="14"/>
      <c r="BF358" s="17"/>
      <c r="BG358" s="16"/>
      <c r="BH358" s="14"/>
      <c r="BI358" s="15" t="s">
        <v>3123</v>
      </c>
      <c r="BJ358" s="14"/>
      <c r="BK358" s="17"/>
      <c r="BL358" s="16"/>
      <c r="BM358" s="16"/>
      <c r="BN358" s="16"/>
      <c r="BO358" s="16"/>
      <c r="BP358" s="15" t="s">
        <v>3123</v>
      </c>
      <c r="BQ358" s="17"/>
      <c r="BR358" s="14"/>
      <c r="BS358" s="14"/>
      <c r="BT358" s="16"/>
      <c r="BU358" s="16"/>
      <c r="BV358" s="13"/>
      <c r="BW358" s="18" t="s">
        <v>8072</v>
      </c>
      <c r="BX358" s="13">
        <v>200</v>
      </c>
      <c r="BY358" s="17">
        <v>44123</v>
      </c>
      <c r="BZ358" s="18"/>
      <c r="CA358" s="18" t="s">
        <v>8073</v>
      </c>
      <c r="CB358" s="18"/>
      <c r="CC358" s="18"/>
      <c r="CD358" s="14" t="s">
        <v>8074</v>
      </c>
      <c r="CE358" s="17">
        <v>42447</v>
      </c>
      <c r="CF358" s="16"/>
      <c r="CG358" s="17"/>
      <c r="CH358" s="16"/>
      <c r="CI358" s="17"/>
      <c r="CJ358" s="16"/>
      <c r="CK358" s="17"/>
      <c r="CL358" s="16"/>
      <c r="CM358" s="17"/>
      <c r="CN358" s="19">
        <v>35.602425067175879</v>
      </c>
      <c r="CO358" s="19"/>
      <c r="CP358" s="17"/>
      <c r="CQ358" s="14" t="s">
        <v>7409</v>
      </c>
      <c r="CR358" s="14" t="s">
        <v>7272</v>
      </c>
      <c r="CS358" s="14" t="s">
        <v>7194</v>
      </c>
    </row>
    <row r="359" spans="1:97" ht="26.15" customHeight="1">
      <c r="A359" s="2">
        <v>25</v>
      </c>
      <c r="B359" s="25" t="s">
        <v>930</v>
      </c>
      <c r="C359" s="25" t="e">
        <f>VLOOKUP(B359, Sheet6!$A$1:$B$77, 2, FALSE)</f>
        <v>#N/A</v>
      </c>
      <c r="D359" s="25" t="s">
        <v>931</v>
      </c>
      <c r="E359" s="25" t="s">
        <v>935</v>
      </c>
      <c r="F359" s="25" t="s">
        <v>5351</v>
      </c>
      <c r="G359" s="25" t="s">
        <v>10955</v>
      </c>
      <c r="H359" s="25" t="s">
        <v>10959</v>
      </c>
      <c r="I359" s="25" t="s">
        <v>10958</v>
      </c>
      <c r="J359" s="26" t="s">
        <v>10759</v>
      </c>
      <c r="L359" s="13">
        <v>2014</v>
      </c>
      <c r="M359" s="14" t="s">
        <v>9486</v>
      </c>
      <c r="N359" s="14" t="s">
        <v>9487</v>
      </c>
      <c r="O359" s="14" t="s">
        <v>5818</v>
      </c>
      <c r="P359" s="15" t="s">
        <v>3117</v>
      </c>
      <c r="Q359" s="16"/>
      <c r="R359" s="17">
        <v>42095</v>
      </c>
      <c r="S359" s="16"/>
      <c r="T359" s="16" t="s">
        <v>50</v>
      </c>
      <c r="U359" s="14" t="s">
        <v>34</v>
      </c>
      <c r="V359" s="13">
        <v>3</v>
      </c>
      <c r="W359" s="17">
        <v>44081</v>
      </c>
      <c r="X359" s="14"/>
      <c r="Y359" s="17"/>
      <c r="Z359" s="17"/>
      <c r="AA359" s="14" t="s">
        <v>5493</v>
      </c>
      <c r="AB359" s="14" t="s">
        <v>5494</v>
      </c>
      <c r="AC359" s="14" t="s">
        <v>9488</v>
      </c>
      <c r="AD359" s="20" t="str">
        <f t="shared" si="22"/>
        <v>B2B E-Commerce &gt; Agriculture &gt; Listing Platform
Crop Tech &gt; ECommerce &gt; Farm Produce &gt; B2B &gt; Fruits and Vegetables &gt; E Distributor</v>
      </c>
      <c r="AE359" s="20" t="str">
        <f t="shared" si="21"/>
        <v>B2B E-Commerce</v>
      </c>
      <c r="AF359" s="20" t="str">
        <f t="shared" si="23"/>
        <v>Agriculture</v>
      </c>
      <c r="AG359" s="20" t="str">
        <f t="shared" si="23"/>
        <v>Listing Platform
Crop Tech</v>
      </c>
      <c r="AH359" s="20" t="str">
        <f t="shared" si="23"/>
        <v>ECommerce</v>
      </c>
      <c r="AI359" s="20" t="str">
        <f t="shared" si="23"/>
        <v>Farm Produce</v>
      </c>
      <c r="AJ359" s="20" t="str">
        <f t="shared" si="23"/>
        <v>B2B</v>
      </c>
      <c r="AK359" s="20" t="str">
        <f t="shared" si="23"/>
        <v>Fruits and Vegetables</v>
      </c>
      <c r="AL359" s="14" t="s">
        <v>4754</v>
      </c>
      <c r="AM359" s="14"/>
      <c r="AO359" s="14"/>
      <c r="AP359" s="14" t="s">
        <v>5818</v>
      </c>
      <c r="AQ359" s="14" t="s">
        <v>9490</v>
      </c>
      <c r="AR359" s="14" t="s">
        <v>9491</v>
      </c>
      <c r="AS359" s="14" t="s">
        <v>9492</v>
      </c>
      <c r="AT359" s="14" t="s">
        <v>9493</v>
      </c>
      <c r="AU359" s="14" t="s">
        <v>9494</v>
      </c>
      <c r="AV359" s="18"/>
      <c r="AW359" s="16"/>
      <c r="AX359" s="17"/>
      <c r="AY359" s="15" t="s">
        <v>3123</v>
      </c>
      <c r="AZ359" s="17"/>
      <c r="BA359" s="16"/>
      <c r="BB359" s="14"/>
      <c r="BC359" s="14"/>
      <c r="BD359" s="15" t="s">
        <v>3123</v>
      </c>
      <c r="BE359" s="14"/>
      <c r="BF359" s="17"/>
      <c r="BG359" s="16"/>
      <c r="BH359" s="14"/>
      <c r="BI359" s="15" t="s">
        <v>3123</v>
      </c>
      <c r="BJ359" s="14"/>
      <c r="BK359" s="17"/>
      <c r="BL359" s="16"/>
      <c r="BM359" s="16"/>
      <c r="BN359" s="16"/>
      <c r="BO359" s="16"/>
      <c r="BP359" s="15" t="s">
        <v>3123</v>
      </c>
      <c r="BQ359" s="17"/>
      <c r="BR359" s="14"/>
      <c r="BS359" s="14"/>
      <c r="BT359" s="16"/>
      <c r="BU359" s="16"/>
      <c r="BV359" s="13"/>
      <c r="BW359" s="18" t="s">
        <v>9495</v>
      </c>
      <c r="BX359" s="13">
        <v>200</v>
      </c>
      <c r="BY359" s="17">
        <v>44098</v>
      </c>
      <c r="BZ359" s="18"/>
      <c r="CA359" s="18" t="s">
        <v>9496</v>
      </c>
      <c r="CB359" s="18" t="s">
        <v>9497</v>
      </c>
      <c r="CC359" s="18" t="s">
        <v>9498</v>
      </c>
      <c r="CD359" s="14" t="s">
        <v>9499</v>
      </c>
      <c r="CE359" s="17">
        <v>43020</v>
      </c>
      <c r="CF359" s="16"/>
      <c r="CG359" s="17"/>
      <c r="CH359" s="16"/>
      <c r="CI359" s="17"/>
      <c r="CJ359" s="16"/>
      <c r="CK359" s="17"/>
      <c r="CL359" s="16"/>
      <c r="CM359" s="17"/>
      <c r="CN359" s="19">
        <v>27.137758524563203</v>
      </c>
      <c r="CO359" s="19"/>
      <c r="CP359" s="17"/>
      <c r="CQ359" s="14" t="s">
        <v>5104</v>
      </c>
      <c r="CR359" s="14" t="s">
        <v>5962</v>
      </c>
      <c r="CS359" s="14" t="s">
        <v>5945</v>
      </c>
    </row>
    <row r="360" spans="1:97" ht="26.15" customHeight="1">
      <c r="A360" s="2">
        <v>121</v>
      </c>
      <c r="B360" s="25" t="s">
        <v>1564</v>
      </c>
      <c r="C360" s="25" t="e">
        <f>VLOOKUP(B360, Sheet6!$A$1:$B$77, 2, FALSE)</f>
        <v>#N/A</v>
      </c>
      <c r="D360" s="25" t="s">
        <v>1565</v>
      </c>
      <c r="E360" s="25" t="s">
        <v>1568</v>
      </c>
      <c r="F360" s="25" t="s">
        <v>6589</v>
      </c>
      <c r="G360" s="25" t="s">
        <v>10955</v>
      </c>
      <c r="H360" s="25" t="s">
        <v>10959</v>
      </c>
      <c r="I360" s="25" t="s">
        <v>10958</v>
      </c>
      <c r="J360" s="26" t="s">
        <v>10993</v>
      </c>
      <c r="L360" s="13">
        <v>2013</v>
      </c>
      <c r="M360" s="14" t="s">
        <v>5189</v>
      </c>
      <c r="N360" s="14" t="s">
        <v>5190</v>
      </c>
      <c r="O360" s="14" t="s">
        <v>1258</v>
      </c>
      <c r="P360" s="15" t="s">
        <v>3117</v>
      </c>
      <c r="Q360" s="16">
        <v>40000</v>
      </c>
      <c r="R360" s="17">
        <v>41791</v>
      </c>
      <c r="S360" s="16" t="s">
        <v>5896</v>
      </c>
      <c r="T360" s="16">
        <v>40000</v>
      </c>
      <c r="U360" s="14" t="s">
        <v>34</v>
      </c>
      <c r="V360" s="13"/>
      <c r="W360" s="17"/>
      <c r="X360" s="14"/>
      <c r="Y360" s="17"/>
      <c r="Z360" s="17"/>
      <c r="AA360" s="14" t="s">
        <v>5947</v>
      </c>
      <c r="AB360" s="14" t="s">
        <v>6335</v>
      </c>
      <c r="AC360" s="14" t="s">
        <v>6336</v>
      </c>
      <c r="AD360" s="20" t="str">
        <f t="shared" si="22"/>
        <v>Field Force Automation &gt; Agricultural industry
Crop Tech &gt; Farm Management Software &gt; Diversified</v>
      </c>
      <c r="AE360" s="20" t="str">
        <f t="shared" si="21"/>
        <v>Field Force Automation</v>
      </c>
      <c r="AF360" s="20" t="str">
        <f t="shared" si="23"/>
        <v>Agricultural industry
Crop Tech</v>
      </c>
      <c r="AG360" s="20" t="str">
        <f t="shared" si="23"/>
        <v>Farm Management Software</v>
      </c>
      <c r="AH360" s="20" t="str">
        <f t="shared" si="23"/>
        <v>Diversified</v>
      </c>
      <c r="AI360" s="20" t="str">
        <f t="shared" si="23"/>
        <v/>
      </c>
      <c r="AJ360" s="20" t="str">
        <f t="shared" si="23"/>
        <v/>
      </c>
      <c r="AK360" s="20" t="str">
        <f t="shared" si="23"/>
        <v/>
      </c>
      <c r="AL360" s="14" t="s">
        <v>3689</v>
      </c>
      <c r="AM360" s="14"/>
      <c r="AO360" s="14"/>
      <c r="AP360" s="14" t="s">
        <v>1258</v>
      </c>
      <c r="AQ360" s="14"/>
      <c r="AR360" s="14"/>
      <c r="AS360" s="14" t="s">
        <v>9501</v>
      </c>
      <c r="AT360" s="14" t="s">
        <v>9502</v>
      </c>
      <c r="AU360" s="14" t="s">
        <v>9503</v>
      </c>
      <c r="AV360" s="18" t="s">
        <v>9504</v>
      </c>
      <c r="AW360" s="16"/>
      <c r="AX360" s="17"/>
      <c r="AY360" s="15" t="s">
        <v>3123</v>
      </c>
      <c r="AZ360" s="17"/>
      <c r="BA360" s="16"/>
      <c r="BB360" s="14"/>
      <c r="BC360" s="14"/>
      <c r="BD360" s="15" t="s">
        <v>3123</v>
      </c>
      <c r="BE360" s="14"/>
      <c r="BF360" s="17"/>
      <c r="BG360" s="16"/>
      <c r="BH360" s="14"/>
      <c r="BI360" s="15" t="s">
        <v>3123</v>
      </c>
      <c r="BJ360" s="14"/>
      <c r="BK360" s="17"/>
      <c r="BL360" s="16"/>
      <c r="BM360" s="16"/>
      <c r="BN360" s="16"/>
      <c r="BO360" s="16"/>
      <c r="BP360" s="15" t="s">
        <v>3123</v>
      </c>
      <c r="BQ360" s="17"/>
      <c r="BR360" s="14"/>
      <c r="BS360" s="14"/>
      <c r="BT360" s="16"/>
      <c r="BU360" s="16"/>
      <c r="BV360" s="13"/>
      <c r="BW360" s="18" t="s">
        <v>9505</v>
      </c>
      <c r="BX360" s="13">
        <v>200</v>
      </c>
      <c r="BY360" s="17">
        <v>44123</v>
      </c>
      <c r="BZ360" s="18" t="s">
        <v>9506</v>
      </c>
      <c r="CA360" s="18" t="s">
        <v>9507</v>
      </c>
      <c r="CB360" s="18" t="s">
        <v>9508</v>
      </c>
      <c r="CC360" s="18"/>
      <c r="CD360" s="14" t="s">
        <v>9509</v>
      </c>
      <c r="CE360" s="17">
        <v>42929</v>
      </c>
      <c r="CF360" s="16"/>
      <c r="CG360" s="17"/>
      <c r="CH360" s="16"/>
      <c r="CI360" s="17"/>
      <c r="CJ360" s="16"/>
      <c r="CK360" s="17"/>
      <c r="CL360" s="16"/>
      <c r="CM360" s="17"/>
      <c r="CN360" s="19">
        <v>30.152766750547062</v>
      </c>
      <c r="CO360" s="19"/>
      <c r="CP360" s="17"/>
      <c r="CQ360" s="14" t="s">
        <v>7284</v>
      </c>
      <c r="CR360" s="14" t="s">
        <v>6002</v>
      </c>
      <c r="CS360" s="14" t="s">
        <v>5945</v>
      </c>
    </row>
    <row r="361" spans="1:97" ht="26.15" customHeight="1">
      <c r="A361" s="2">
        <v>310</v>
      </c>
      <c r="B361" s="25" t="s">
        <v>2697</v>
      </c>
      <c r="C361" s="25" t="e">
        <f>VLOOKUP(B361, Sheet6!$A$1:$B$77, 2, FALSE)</f>
        <v>#N/A</v>
      </c>
      <c r="D361" s="25" t="s">
        <v>2698</v>
      </c>
      <c r="E361" s="25" t="s">
        <v>2701</v>
      </c>
      <c r="F361" s="25" t="s">
        <v>8887</v>
      </c>
      <c r="G361" s="25">
        <v>0</v>
      </c>
      <c r="H361" s="25">
        <v>0</v>
      </c>
      <c r="I361" s="25">
        <v>0</v>
      </c>
      <c r="J361" s="25">
        <v>0</v>
      </c>
      <c r="L361" s="13">
        <v>2015</v>
      </c>
      <c r="M361" s="14" t="s">
        <v>8032</v>
      </c>
      <c r="N361" s="14" t="s">
        <v>8033</v>
      </c>
      <c r="O361" s="14" t="s">
        <v>5208</v>
      </c>
      <c r="P361" s="15" t="s">
        <v>3117</v>
      </c>
      <c r="Q361" s="16"/>
      <c r="R361" s="17">
        <v>42831</v>
      </c>
      <c r="S361" s="16"/>
      <c r="T361" s="16" t="s">
        <v>50</v>
      </c>
      <c r="U361" s="14" t="s">
        <v>109</v>
      </c>
      <c r="V361" s="13"/>
      <c r="W361" s="17"/>
      <c r="X361" s="14"/>
      <c r="Y361" s="17"/>
      <c r="Z361" s="17"/>
      <c r="AA361" s="14" t="s">
        <v>1</v>
      </c>
      <c r="AB361" s="14" t="s">
        <v>5007</v>
      </c>
      <c r="AC361" s="14" t="s">
        <v>5192</v>
      </c>
      <c r="AD361" s="20" t="str">
        <f t="shared" si="22"/>
        <v>Crop Tech &gt; Farm Management Software &gt; Diversified</v>
      </c>
      <c r="AE361" s="20" t="str">
        <f t="shared" si="21"/>
        <v>Crop Tech</v>
      </c>
      <c r="AF361" s="20" t="str">
        <f t="shared" si="23"/>
        <v>Farm Management Software</v>
      </c>
      <c r="AG361" s="20" t="str">
        <f t="shared" si="23"/>
        <v>Diversified</v>
      </c>
      <c r="AH361" s="20" t="str">
        <f t="shared" si="23"/>
        <v/>
      </c>
      <c r="AI361" s="20" t="str">
        <f t="shared" si="23"/>
        <v/>
      </c>
      <c r="AJ361" s="20" t="str">
        <f t="shared" si="23"/>
        <v/>
      </c>
      <c r="AK361" s="20" t="str">
        <f t="shared" si="23"/>
        <v/>
      </c>
      <c r="AL361" s="14" t="s">
        <v>9510</v>
      </c>
      <c r="AM361" s="14"/>
      <c r="AO361" s="14"/>
      <c r="AP361" s="14" t="s">
        <v>5208</v>
      </c>
      <c r="AQ361" s="14"/>
      <c r="AR361" s="14"/>
      <c r="AS361" s="14" t="s">
        <v>9512</v>
      </c>
      <c r="AT361" s="14" t="s">
        <v>9513</v>
      </c>
      <c r="AU361" s="14" t="s">
        <v>9514</v>
      </c>
      <c r="AV361" s="18" t="s">
        <v>9515</v>
      </c>
      <c r="AW361" s="16"/>
      <c r="AX361" s="17"/>
      <c r="AY361" s="15" t="s">
        <v>3123</v>
      </c>
      <c r="AZ361" s="17"/>
      <c r="BA361" s="16"/>
      <c r="BB361" s="14"/>
      <c r="BC361" s="14"/>
      <c r="BD361" s="15" t="s">
        <v>3123</v>
      </c>
      <c r="BE361" s="14"/>
      <c r="BF361" s="17"/>
      <c r="BG361" s="16"/>
      <c r="BH361" s="14"/>
      <c r="BI361" s="15" t="s">
        <v>3123</v>
      </c>
      <c r="BJ361" s="14"/>
      <c r="BK361" s="17"/>
      <c r="BL361" s="16"/>
      <c r="BM361" s="16"/>
      <c r="BN361" s="16"/>
      <c r="BO361" s="16"/>
      <c r="BP361" s="15" t="s">
        <v>3123</v>
      </c>
      <c r="BQ361" s="17"/>
      <c r="BR361" s="14"/>
      <c r="BS361" s="14"/>
      <c r="BT361" s="16"/>
      <c r="BU361" s="16"/>
      <c r="BV361" s="13"/>
      <c r="BW361" s="18" t="s">
        <v>9516</v>
      </c>
      <c r="BX361" s="13">
        <v>200</v>
      </c>
      <c r="BY361" s="17">
        <v>44123</v>
      </c>
      <c r="BZ361" s="18" t="s">
        <v>9517</v>
      </c>
      <c r="CA361" s="18" t="s">
        <v>9518</v>
      </c>
      <c r="CB361" s="18"/>
      <c r="CC361" s="18"/>
      <c r="CD361" s="14" t="s">
        <v>9519</v>
      </c>
      <c r="CE361" s="17">
        <v>42930</v>
      </c>
      <c r="CF361" s="16"/>
      <c r="CG361" s="17"/>
      <c r="CH361" s="16"/>
      <c r="CI361" s="17"/>
      <c r="CJ361" s="16"/>
      <c r="CK361" s="17"/>
      <c r="CL361" s="16"/>
      <c r="CM361" s="17"/>
      <c r="CN361" s="19">
        <v>36.233755096156834</v>
      </c>
      <c r="CO361" s="19"/>
      <c r="CP361" s="17"/>
      <c r="CQ361" s="14" t="s">
        <v>7284</v>
      </c>
      <c r="CR361" s="14" t="s">
        <v>6002</v>
      </c>
      <c r="CS361" s="14" t="s">
        <v>5945</v>
      </c>
    </row>
    <row r="362" spans="1:97" ht="26.15" customHeight="1">
      <c r="A362" s="2">
        <v>34</v>
      </c>
      <c r="B362" s="25" t="s">
        <v>443</v>
      </c>
      <c r="C362" s="25" t="e">
        <f>VLOOKUP(B362, Sheet6!$A$1:$B$77, 2, FALSE)</f>
        <v>#N/A</v>
      </c>
      <c r="D362" s="25" t="s">
        <v>444</v>
      </c>
      <c r="E362" s="25" t="s">
        <v>447</v>
      </c>
      <c r="F362" s="25" t="s">
        <v>5458</v>
      </c>
      <c r="G362" s="25" t="s">
        <v>10955</v>
      </c>
      <c r="H362" s="25" t="s">
        <v>10959</v>
      </c>
      <c r="I362" s="25" t="s">
        <v>10958</v>
      </c>
      <c r="J362" s="26" t="s">
        <v>10842</v>
      </c>
      <c r="L362" s="13">
        <v>2015</v>
      </c>
      <c r="M362" s="14" t="s">
        <v>5312</v>
      </c>
      <c r="N362" s="14" t="s">
        <v>5313</v>
      </c>
      <c r="O362" s="14" t="s">
        <v>3994</v>
      </c>
      <c r="P362" s="15" t="s">
        <v>3117</v>
      </c>
      <c r="Q362" s="16">
        <v>793956</v>
      </c>
      <c r="R362" s="17">
        <v>42646</v>
      </c>
      <c r="S362" s="16" t="s">
        <v>9520</v>
      </c>
      <c r="T362" s="16">
        <v>418508</v>
      </c>
      <c r="U362" s="14" t="s">
        <v>5630</v>
      </c>
      <c r="V362" s="13"/>
      <c r="W362" s="17">
        <v>44022</v>
      </c>
      <c r="X362" s="14"/>
      <c r="Y362" s="17"/>
      <c r="Z362" s="17"/>
      <c r="AA362" s="14" t="s">
        <v>5509</v>
      </c>
      <c r="AB362" s="14" t="s">
        <v>5510</v>
      </c>
      <c r="AC362" s="14" t="s">
        <v>9521</v>
      </c>
      <c r="AD362" s="20" t="str">
        <f t="shared" si="22"/>
        <v>B2B E-Commerce &gt; Food &amp; Beverages &gt; Groceries &gt; Farm Products &gt; E-Distributor
Online Grocery &gt; B2B Ecommerce &gt; Farm Produce &gt; Fruits and Vegetables &gt; Marketplace
Crop Tech &gt; ECommerce &gt; Farm Produce &gt; B2B &gt; Fruits and Vegetables &gt; E Distributor</v>
      </c>
      <c r="AE362" s="20" t="str">
        <f t="shared" si="21"/>
        <v>B2B E-Commerce</v>
      </c>
      <c r="AF362" s="20" t="str">
        <f t="shared" si="23"/>
        <v>Food &amp; Beverages</v>
      </c>
      <c r="AG362" s="20" t="str">
        <f t="shared" si="23"/>
        <v>Groceries</v>
      </c>
      <c r="AH362" s="20" t="str">
        <f t="shared" si="23"/>
        <v>Farm Products</v>
      </c>
      <c r="AI362" s="20" t="str">
        <f t="shared" si="23"/>
        <v>E-Distributor
Online Grocery</v>
      </c>
      <c r="AJ362" s="20" t="str">
        <f t="shared" si="23"/>
        <v>B2B Ecommerce</v>
      </c>
      <c r="AK362" s="20" t="str">
        <f t="shared" si="23"/>
        <v>Farm Produce</v>
      </c>
      <c r="AL362" s="14" t="s">
        <v>9522</v>
      </c>
      <c r="AM362" s="14" t="s">
        <v>9523</v>
      </c>
      <c r="AO362" s="14"/>
      <c r="AP362" s="14" t="s">
        <v>3994</v>
      </c>
      <c r="AQ362" s="14"/>
      <c r="AR362" s="14"/>
      <c r="AS362" s="14" t="s">
        <v>9525</v>
      </c>
      <c r="AT362" s="14" t="s">
        <v>9526</v>
      </c>
      <c r="AU362" s="14" t="s">
        <v>9527</v>
      </c>
      <c r="AV362" s="18" t="s">
        <v>9528</v>
      </c>
      <c r="AW362" s="16">
        <v>471700</v>
      </c>
      <c r="AX362" s="17">
        <v>42735</v>
      </c>
      <c r="AY362" s="15" t="s">
        <v>3117</v>
      </c>
      <c r="AZ362" s="17">
        <v>42250</v>
      </c>
      <c r="BA362" s="16">
        <v>1507</v>
      </c>
      <c r="BB362" s="14" t="s">
        <v>9529</v>
      </c>
      <c r="BC362" s="14"/>
      <c r="BD362" s="15" t="s">
        <v>3123</v>
      </c>
      <c r="BE362" s="14"/>
      <c r="BF362" s="17"/>
      <c r="BG362" s="16"/>
      <c r="BH362" s="14"/>
      <c r="BI362" s="15" t="s">
        <v>3123</v>
      </c>
      <c r="BJ362" s="14"/>
      <c r="BK362" s="17"/>
      <c r="BL362" s="16"/>
      <c r="BM362" s="16"/>
      <c r="BN362" s="16"/>
      <c r="BO362" s="16"/>
      <c r="BP362" s="15" t="s">
        <v>3117</v>
      </c>
      <c r="BQ362" s="17"/>
      <c r="BR362" s="14"/>
      <c r="BS362" s="14"/>
      <c r="BT362" s="16"/>
      <c r="BU362" s="16"/>
      <c r="BV362" s="13"/>
      <c r="BW362" s="18" t="s">
        <v>9530</v>
      </c>
      <c r="BX362" s="13">
        <v>-1</v>
      </c>
      <c r="BY362" s="17">
        <v>44123</v>
      </c>
      <c r="BZ362" s="18" t="s">
        <v>9531</v>
      </c>
      <c r="CA362" s="18"/>
      <c r="CB362" s="18"/>
      <c r="CC362" s="18"/>
      <c r="CD362" s="14" t="s">
        <v>9532</v>
      </c>
      <c r="CE362" s="17">
        <v>42682</v>
      </c>
      <c r="CF362" s="16">
        <v>-360700</v>
      </c>
      <c r="CG362" s="17">
        <v>42735</v>
      </c>
      <c r="CH362" s="16">
        <v>-359500</v>
      </c>
      <c r="CI362" s="17">
        <v>42735</v>
      </c>
      <c r="CJ362" s="16">
        <v>3236593.8654896389</v>
      </c>
      <c r="CK362" s="17">
        <v>42587</v>
      </c>
      <c r="CL362" s="16"/>
      <c r="CM362" s="17"/>
      <c r="CN362" s="19">
        <v>34.787221287353255</v>
      </c>
      <c r="CO362" s="19"/>
      <c r="CP362" s="17"/>
      <c r="CQ362" s="14" t="s">
        <v>5036</v>
      </c>
      <c r="CR362" s="14" t="s">
        <v>5962</v>
      </c>
      <c r="CS362" s="14" t="s">
        <v>5945</v>
      </c>
    </row>
    <row r="363" spans="1:97" ht="26.15" customHeight="1">
      <c r="A363" s="2">
        <v>40</v>
      </c>
      <c r="B363" s="25" t="s">
        <v>1622</v>
      </c>
      <c r="C363" s="25" t="e">
        <f>VLOOKUP(B363, Sheet6!$A$1:$B$77, 2, FALSE)</f>
        <v>#N/A</v>
      </c>
      <c r="D363" s="25" t="s">
        <v>1623</v>
      </c>
      <c r="E363" s="25" t="s">
        <v>1626</v>
      </c>
      <c r="F363" s="25"/>
      <c r="G363" s="25" t="s">
        <v>10954</v>
      </c>
      <c r="H363" s="25" t="s">
        <v>10957</v>
      </c>
      <c r="I363" s="25" t="s">
        <v>10958</v>
      </c>
      <c r="J363" s="26" t="s">
        <v>10821</v>
      </c>
      <c r="L363" s="13">
        <v>2013</v>
      </c>
      <c r="M363" s="14" t="s">
        <v>5050</v>
      </c>
      <c r="N363" s="14" t="s">
        <v>5050</v>
      </c>
      <c r="O363" s="14" t="s">
        <v>4343</v>
      </c>
      <c r="P363" s="15" t="s">
        <v>3117</v>
      </c>
      <c r="Q363" s="16">
        <v>30000000</v>
      </c>
      <c r="R363" s="17">
        <v>43698</v>
      </c>
      <c r="S363" s="16" t="s">
        <v>5165</v>
      </c>
      <c r="T363" s="16">
        <v>10000000</v>
      </c>
      <c r="U363" s="14" t="s">
        <v>109</v>
      </c>
      <c r="V363" s="13">
        <v>5</v>
      </c>
      <c r="W363" s="17">
        <v>44057</v>
      </c>
      <c r="X363" s="14" t="s">
        <v>5052</v>
      </c>
      <c r="Y363" s="17">
        <v>44027</v>
      </c>
      <c r="Z363" s="17">
        <v>42177</v>
      </c>
      <c r="AA363" s="14" t="s">
        <v>8102</v>
      </c>
      <c r="AB363" s="14" t="s">
        <v>8103</v>
      </c>
      <c r="AC363" s="14" t="s">
        <v>8104</v>
      </c>
      <c r="AD363" s="20" t="str">
        <f t="shared" si="22"/>
        <v>IoT Applications &gt; Industry Specific &gt; Agriculture &gt; Farms
Crop Tech &gt; Farm Management Software &gt; Soil Management &gt; Soil Moisture Monitoring
Water and Wastewater Management Tech &gt; Smart Irrigation &gt; Farming &gt; Soil Moisture Monitoring</v>
      </c>
      <c r="AE363" s="20" t="str">
        <f t="shared" si="21"/>
        <v>IoT Applications</v>
      </c>
      <c r="AF363" s="20" t="str">
        <f t="shared" si="23"/>
        <v>Industry Specific</v>
      </c>
      <c r="AG363" s="20" t="str">
        <f t="shared" si="23"/>
        <v>Agriculture</v>
      </c>
      <c r="AH363" s="20" t="str">
        <f t="shared" si="23"/>
        <v>Farms
Crop Tech</v>
      </c>
      <c r="AI363" s="20" t="str">
        <f t="shared" si="23"/>
        <v>Farm Management Software</v>
      </c>
      <c r="AJ363" s="20" t="str">
        <f t="shared" si="23"/>
        <v>Soil Management</v>
      </c>
      <c r="AK363" s="20" t="str">
        <f t="shared" si="23"/>
        <v>Soil Moisture Monitoring
Water and Wastewater Management Tech</v>
      </c>
      <c r="AL363" s="14" t="s">
        <v>8105</v>
      </c>
      <c r="AM363" s="14"/>
      <c r="AO363" s="14"/>
      <c r="AP363" s="14" t="s">
        <v>4343</v>
      </c>
      <c r="AQ363" s="14"/>
      <c r="AR363" s="14"/>
      <c r="AS363" s="14" t="s">
        <v>8107</v>
      </c>
      <c r="AT363" s="14" t="s">
        <v>8108</v>
      </c>
      <c r="AU363" s="14" t="s">
        <v>8109</v>
      </c>
      <c r="AV363" s="18"/>
      <c r="AW363" s="16"/>
      <c r="AX363" s="17"/>
      <c r="AY363" s="15" t="s">
        <v>3123</v>
      </c>
      <c r="AZ363" s="17"/>
      <c r="BA363" s="16"/>
      <c r="BB363" s="14"/>
      <c r="BC363" s="14" t="s">
        <v>8110</v>
      </c>
      <c r="BD363" s="15" t="s">
        <v>3123</v>
      </c>
      <c r="BE363" s="14"/>
      <c r="BF363" s="17"/>
      <c r="BG363" s="16"/>
      <c r="BH363" s="14"/>
      <c r="BI363" s="15" t="s">
        <v>3123</v>
      </c>
      <c r="BJ363" s="14"/>
      <c r="BK363" s="17"/>
      <c r="BL363" s="16"/>
      <c r="BM363" s="16"/>
      <c r="BN363" s="16"/>
      <c r="BO363" s="16"/>
      <c r="BP363" s="15" t="s">
        <v>3123</v>
      </c>
      <c r="BQ363" s="17"/>
      <c r="BR363" s="14"/>
      <c r="BS363" s="14"/>
      <c r="BT363" s="16"/>
      <c r="BU363" s="16"/>
      <c r="BV363" s="13"/>
      <c r="BW363" s="18" t="s">
        <v>8111</v>
      </c>
      <c r="BX363" s="13">
        <v>200</v>
      </c>
      <c r="BY363" s="17">
        <v>44123</v>
      </c>
      <c r="BZ363" s="18" t="s">
        <v>8112</v>
      </c>
      <c r="CA363" s="18" t="s">
        <v>8113</v>
      </c>
      <c r="CB363" s="18" t="s">
        <v>8114</v>
      </c>
      <c r="CC363" s="18"/>
      <c r="CD363" s="14" t="s">
        <v>8115</v>
      </c>
      <c r="CE363" s="17">
        <v>42930</v>
      </c>
      <c r="CF363" s="16"/>
      <c r="CG363" s="17"/>
      <c r="CH363" s="16"/>
      <c r="CI363" s="17"/>
      <c r="CJ363" s="16"/>
      <c r="CK363" s="17"/>
      <c r="CL363" s="16"/>
      <c r="CM363" s="17"/>
      <c r="CN363" s="19">
        <v>58.847737822899433</v>
      </c>
      <c r="CO363" s="19"/>
      <c r="CP363" s="17"/>
      <c r="CQ363" s="14" t="s">
        <v>8116</v>
      </c>
      <c r="CR363" s="14" t="s">
        <v>8117</v>
      </c>
      <c r="CS363" s="14" t="s">
        <v>5311</v>
      </c>
    </row>
    <row r="364" spans="1:97" ht="26.15" customHeight="1">
      <c r="A364" s="2">
        <v>483</v>
      </c>
      <c r="B364" s="25" t="s">
        <v>2822</v>
      </c>
      <c r="C364" s="25" t="e">
        <f>VLOOKUP(B364, Sheet6!$A$1:$B$77, 2, FALSE)</f>
        <v>#N/A</v>
      </c>
      <c r="D364" s="25" t="s">
        <v>2823</v>
      </c>
      <c r="E364" s="25" t="s">
        <v>2825</v>
      </c>
      <c r="F364" s="25" t="s">
        <v>9868</v>
      </c>
      <c r="G364" s="25" t="s">
        <v>10955</v>
      </c>
      <c r="H364" s="25" t="s">
        <v>10957</v>
      </c>
      <c r="I364" s="25" t="s">
        <v>10558</v>
      </c>
      <c r="J364" s="25" t="s">
        <v>10715</v>
      </c>
      <c r="L364" s="13">
        <v>2013</v>
      </c>
      <c r="M364" s="14" t="s">
        <v>5132</v>
      </c>
      <c r="N364" s="14" t="s">
        <v>5133</v>
      </c>
      <c r="O364" s="14" t="s">
        <v>3994</v>
      </c>
      <c r="P364" s="15" t="s">
        <v>3117</v>
      </c>
      <c r="Q364" s="16">
        <v>234941</v>
      </c>
      <c r="R364" s="17">
        <v>43296</v>
      </c>
      <c r="S364" s="16" t="s">
        <v>8118</v>
      </c>
      <c r="T364" s="16">
        <v>218911</v>
      </c>
      <c r="U364" s="14" t="s">
        <v>34</v>
      </c>
      <c r="V364" s="13">
        <v>3</v>
      </c>
      <c r="W364" s="17">
        <v>44003</v>
      </c>
      <c r="X364" s="14"/>
      <c r="Y364" s="17"/>
      <c r="Z364" s="17"/>
      <c r="AA364" s="14" t="s">
        <v>6645</v>
      </c>
      <c r="AB364" s="14" t="s">
        <v>8119</v>
      </c>
      <c r="AC364" s="14" t="s">
        <v>8120</v>
      </c>
      <c r="AD364" s="20" t="str">
        <f t="shared" si="22"/>
        <v>Genomics &gt; Applied Genomics &gt; Agrigenomics
Crop Tech &gt; Farm Inputs &gt; Biologicals &gt; Crop Nutrition &gt; BioChar</v>
      </c>
      <c r="AE364" s="20" t="str">
        <f t="shared" si="21"/>
        <v>Genomics</v>
      </c>
      <c r="AF364" s="20" t="str">
        <f t="shared" si="23"/>
        <v>Applied Genomics</v>
      </c>
      <c r="AG364" s="20" t="str">
        <f t="shared" si="23"/>
        <v>Agrigenomics
Crop Tech</v>
      </c>
      <c r="AH364" s="20" t="str">
        <f t="shared" si="23"/>
        <v>Farm Inputs</v>
      </c>
      <c r="AI364" s="20" t="str">
        <f t="shared" si="23"/>
        <v>Biologicals</v>
      </c>
      <c r="AJ364" s="20" t="str">
        <f t="shared" ref="AF364:AK403" si="24">TRIM(MID(SUBSTITUTE($AD364,"&gt;",REPT(" ",LEN($AD364))), (AJ$6-1)*LEN($AD364)+1, LEN($AD364)))</f>
        <v>Crop Nutrition</v>
      </c>
      <c r="AK364" s="20" t="str">
        <f t="shared" si="24"/>
        <v>BioChar</v>
      </c>
      <c r="AL364" s="14" t="s">
        <v>8121</v>
      </c>
      <c r="AM364" s="14" t="s">
        <v>8122</v>
      </c>
      <c r="AO364" s="14"/>
      <c r="AP364" s="14" t="s">
        <v>3994</v>
      </c>
      <c r="AQ364" s="14"/>
      <c r="AR364" s="14"/>
      <c r="AS364" s="14" t="s">
        <v>8124</v>
      </c>
      <c r="AT364" s="14" t="s">
        <v>8125</v>
      </c>
      <c r="AU364" s="14" t="s">
        <v>8126</v>
      </c>
      <c r="AV364" s="18"/>
      <c r="AW364" s="16">
        <v>33900</v>
      </c>
      <c r="AX364" s="17">
        <v>43465</v>
      </c>
      <c r="AY364" s="15" t="s">
        <v>3117</v>
      </c>
      <c r="AZ364" s="17">
        <v>41639</v>
      </c>
      <c r="BA364" s="16">
        <v>1614</v>
      </c>
      <c r="BB364" s="14" t="s">
        <v>8127</v>
      </c>
      <c r="BC364" s="14"/>
      <c r="BD364" s="15" t="s">
        <v>3123</v>
      </c>
      <c r="BE364" s="14"/>
      <c r="BF364" s="17"/>
      <c r="BG364" s="16"/>
      <c r="BH364" s="14"/>
      <c r="BI364" s="15" t="s">
        <v>3123</v>
      </c>
      <c r="BJ364" s="14"/>
      <c r="BK364" s="17"/>
      <c r="BL364" s="16"/>
      <c r="BM364" s="16"/>
      <c r="BN364" s="16"/>
      <c r="BO364" s="16"/>
      <c r="BP364" s="15" t="s">
        <v>3123</v>
      </c>
      <c r="BQ364" s="17"/>
      <c r="BR364" s="14"/>
      <c r="BS364" s="14"/>
      <c r="BT364" s="16"/>
      <c r="BU364" s="16"/>
      <c r="BV364" s="13"/>
      <c r="BW364" s="18" t="s">
        <v>8128</v>
      </c>
      <c r="BX364" s="13">
        <v>200</v>
      </c>
      <c r="BY364" s="17">
        <v>44123</v>
      </c>
      <c r="BZ364" s="18"/>
      <c r="CA364" s="18"/>
      <c r="CB364" s="18" t="s">
        <v>8129</v>
      </c>
      <c r="CC364" s="18"/>
      <c r="CD364" s="14" t="s">
        <v>8130</v>
      </c>
      <c r="CE364" s="17">
        <v>43032</v>
      </c>
      <c r="CF364" s="16">
        <v>-93500</v>
      </c>
      <c r="CG364" s="17">
        <v>43465</v>
      </c>
      <c r="CH364" s="16">
        <v>-87600</v>
      </c>
      <c r="CI364" s="17">
        <v>43465</v>
      </c>
      <c r="CJ364" s="16"/>
      <c r="CK364" s="17"/>
      <c r="CL364" s="16"/>
      <c r="CM364" s="17"/>
      <c r="CN364" s="19">
        <v>28.283812153437367</v>
      </c>
      <c r="CO364" s="19"/>
      <c r="CP364" s="17"/>
      <c r="CQ364" s="14" t="s">
        <v>5036</v>
      </c>
      <c r="CR364" s="14" t="s">
        <v>5037</v>
      </c>
      <c r="CS364" s="14" t="s">
        <v>5004</v>
      </c>
    </row>
    <row r="365" spans="1:97" ht="26.15" customHeight="1">
      <c r="A365" s="2">
        <v>253</v>
      </c>
      <c r="B365" s="25" t="s">
        <v>2030</v>
      </c>
      <c r="C365" s="25" t="e">
        <f>VLOOKUP(B365, Sheet6!$A$1:$B$77, 2, FALSE)</f>
        <v>#N/A</v>
      </c>
      <c r="D365" s="25" t="s">
        <v>2031</v>
      </c>
      <c r="E365" s="25" t="s">
        <v>2034</v>
      </c>
      <c r="F365" s="25" t="s">
        <v>8185</v>
      </c>
      <c r="G365" s="25" t="s">
        <v>10955</v>
      </c>
      <c r="H365" s="25" t="s">
        <v>10957</v>
      </c>
      <c r="I365" s="25" t="s">
        <v>10558</v>
      </c>
      <c r="J365" s="25" t="s">
        <v>10846</v>
      </c>
      <c r="L365" s="13">
        <v>2012</v>
      </c>
      <c r="M365" s="14" t="s">
        <v>6212</v>
      </c>
      <c r="N365" s="14" t="s">
        <v>6212</v>
      </c>
      <c r="O365" s="14" t="s">
        <v>6213</v>
      </c>
      <c r="P365" s="15" t="s">
        <v>3117</v>
      </c>
      <c r="Q365" s="16">
        <v>20000000</v>
      </c>
      <c r="R365" s="17">
        <v>42792</v>
      </c>
      <c r="S365" s="16" t="s">
        <v>6740</v>
      </c>
      <c r="T365" s="16">
        <v>20000000</v>
      </c>
      <c r="U365" s="14" t="s">
        <v>5040</v>
      </c>
      <c r="V365" s="13">
        <v>3</v>
      </c>
      <c r="W365" s="17">
        <v>44131</v>
      </c>
      <c r="X365" s="14"/>
      <c r="Y365" s="17"/>
      <c r="Z365" s="17"/>
      <c r="AA365" s="14" t="s">
        <v>1</v>
      </c>
      <c r="AB365" s="14" t="s">
        <v>5007</v>
      </c>
      <c r="AC365" s="14" t="s">
        <v>257</v>
      </c>
      <c r="AD365" s="20" t="str">
        <f t="shared" si="22"/>
        <v>Crop Tech &gt; Farming as a Service &gt; Tech Enabled Services</v>
      </c>
      <c r="AE365" s="20" t="str">
        <f t="shared" si="21"/>
        <v>Crop Tech</v>
      </c>
      <c r="AF365" s="20" t="str">
        <f t="shared" si="24"/>
        <v>Farming as a Service</v>
      </c>
      <c r="AG365" s="20" t="str">
        <f t="shared" si="24"/>
        <v>Tech Enabled Services</v>
      </c>
      <c r="AH365" s="20" t="str">
        <f t="shared" si="24"/>
        <v/>
      </c>
      <c r="AI365" s="20" t="str">
        <f t="shared" si="24"/>
        <v/>
      </c>
      <c r="AJ365" s="20" t="str">
        <f t="shared" si="24"/>
        <v/>
      </c>
      <c r="AK365" s="20" t="str">
        <f t="shared" si="24"/>
        <v/>
      </c>
      <c r="AL365" s="14" t="s">
        <v>2018</v>
      </c>
      <c r="AM365" s="14"/>
      <c r="AO365" s="14"/>
      <c r="AP365" s="14" t="s">
        <v>6213</v>
      </c>
      <c r="AQ365" s="14" t="s">
        <v>9534</v>
      </c>
      <c r="AR365" s="14"/>
      <c r="AS365" s="14" t="s">
        <v>9535</v>
      </c>
      <c r="AT365" s="14"/>
      <c r="AU365" s="14" t="s">
        <v>9536</v>
      </c>
      <c r="AV365" s="18"/>
      <c r="AW365" s="16"/>
      <c r="AX365" s="17"/>
      <c r="AY365" s="15" t="s">
        <v>3123</v>
      </c>
      <c r="AZ365" s="17"/>
      <c r="BA365" s="16"/>
      <c r="BB365" s="14"/>
      <c r="BC365" s="14"/>
      <c r="BD365" s="15" t="s">
        <v>3123</v>
      </c>
      <c r="BE365" s="14"/>
      <c r="BF365" s="17"/>
      <c r="BG365" s="16"/>
      <c r="BH365" s="14"/>
      <c r="BI365" s="15" t="s">
        <v>3123</v>
      </c>
      <c r="BJ365" s="14"/>
      <c r="BK365" s="17"/>
      <c r="BL365" s="16"/>
      <c r="BM365" s="16"/>
      <c r="BN365" s="16"/>
      <c r="BO365" s="16"/>
      <c r="BP365" s="15" t="s">
        <v>3123</v>
      </c>
      <c r="BQ365" s="17"/>
      <c r="BR365" s="14"/>
      <c r="BS365" s="14"/>
      <c r="BT365" s="16"/>
      <c r="BU365" s="16"/>
      <c r="BV365" s="13"/>
      <c r="BW365" s="18" t="s">
        <v>9537</v>
      </c>
      <c r="BX365" s="13">
        <v>200</v>
      </c>
      <c r="BY365" s="17">
        <v>44123</v>
      </c>
      <c r="BZ365" s="18" t="s">
        <v>9538</v>
      </c>
      <c r="CA365" s="18" t="s">
        <v>9539</v>
      </c>
      <c r="CB365" s="18"/>
      <c r="CC365" s="18"/>
      <c r="CD365" s="14" t="s">
        <v>9540</v>
      </c>
      <c r="CE365" s="17">
        <v>44125</v>
      </c>
      <c r="CF365" s="16"/>
      <c r="CG365" s="17"/>
      <c r="CH365" s="16"/>
      <c r="CI365" s="17"/>
      <c r="CJ365" s="16"/>
      <c r="CK365" s="17"/>
      <c r="CL365" s="16"/>
      <c r="CM365" s="17"/>
      <c r="CN365" s="19">
        <v>35.444048693005186</v>
      </c>
      <c r="CO365" s="19"/>
      <c r="CP365" s="17"/>
      <c r="CQ365" s="14" t="s">
        <v>7409</v>
      </c>
      <c r="CR365" s="14" t="s">
        <v>9541</v>
      </c>
      <c r="CS365" s="14" t="s">
        <v>5521</v>
      </c>
    </row>
    <row r="366" spans="1:97" ht="26.15" customHeight="1">
      <c r="A366" s="2">
        <v>497</v>
      </c>
      <c r="B366" s="25" t="s">
        <v>2112</v>
      </c>
      <c r="C366" s="25" t="e">
        <f>VLOOKUP(B366, Sheet6!$A$1:$B$77, 2, FALSE)</f>
        <v>#N/A</v>
      </c>
      <c r="D366" s="25" t="s">
        <v>2113</v>
      </c>
      <c r="E366" s="25" t="s">
        <v>2114</v>
      </c>
      <c r="F366" s="25" t="s">
        <v>9947</v>
      </c>
      <c r="G366" s="25" t="s">
        <v>10955</v>
      </c>
      <c r="H366" s="25" t="s">
        <v>10967</v>
      </c>
      <c r="I366" s="25" t="s">
        <v>10558</v>
      </c>
      <c r="J366" s="25" t="s">
        <v>10735</v>
      </c>
      <c r="L366" s="13">
        <v>2013</v>
      </c>
      <c r="M366" s="14" t="s">
        <v>5020</v>
      </c>
      <c r="N366" s="14" t="s">
        <v>5021</v>
      </c>
      <c r="O366" s="14" t="s">
        <v>3994</v>
      </c>
      <c r="P366" s="15" t="s">
        <v>3117</v>
      </c>
      <c r="Q366" s="16">
        <v>17022002</v>
      </c>
      <c r="R366" s="17">
        <v>43750</v>
      </c>
      <c r="S366" s="16" t="s">
        <v>5022</v>
      </c>
      <c r="T366" s="16">
        <v>2386360</v>
      </c>
      <c r="U366" s="14" t="s">
        <v>25</v>
      </c>
      <c r="V366" s="13">
        <v>5</v>
      </c>
      <c r="W366" s="17">
        <v>44008</v>
      </c>
      <c r="X366" s="14" t="s">
        <v>5052</v>
      </c>
      <c r="Y366" s="17">
        <v>44054</v>
      </c>
      <c r="Z366" s="17">
        <v>43750</v>
      </c>
      <c r="AA366" s="14" t="s">
        <v>1</v>
      </c>
      <c r="AB366" s="14" t="s">
        <v>5007</v>
      </c>
      <c r="AC366" s="14" t="s">
        <v>257</v>
      </c>
      <c r="AD366" s="20" t="str">
        <f t="shared" si="22"/>
        <v>Crop Tech &gt; Farming as a Service &gt; Tech Enabled Services</v>
      </c>
      <c r="AE366" s="20" t="str">
        <f t="shared" ref="AE366:AE424" si="25">TRIM(MID(SUBSTITUTE($AD366,"&gt;",REPT(" ",LEN($AD366))), (AE$6-1)*LEN($AD366)+1, LEN($AD366)))</f>
        <v>Crop Tech</v>
      </c>
      <c r="AF366" s="20" t="str">
        <f t="shared" si="24"/>
        <v>Farming as a Service</v>
      </c>
      <c r="AG366" s="20" t="str">
        <f t="shared" si="24"/>
        <v>Tech Enabled Services</v>
      </c>
      <c r="AH366" s="20" t="str">
        <f t="shared" si="24"/>
        <v/>
      </c>
      <c r="AI366" s="20" t="str">
        <f t="shared" si="24"/>
        <v/>
      </c>
      <c r="AJ366" s="20" t="str">
        <f t="shared" si="24"/>
        <v/>
      </c>
      <c r="AK366" s="20" t="str">
        <f t="shared" si="24"/>
        <v/>
      </c>
      <c r="AL366" s="14" t="s">
        <v>8146</v>
      </c>
      <c r="AM366" s="14" t="s">
        <v>8147</v>
      </c>
      <c r="AO366" s="14"/>
      <c r="AP366" s="14" t="s">
        <v>3994</v>
      </c>
      <c r="AQ366" s="14" t="s">
        <v>8149</v>
      </c>
      <c r="AR366" s="14" t="s">
        <v>8150</v>
      </c>
      <c r="AS366" s="14" t="s">
        <v>8151</v>
      </c>
      <c r="AT366" s="14" t="s">
        <v>8152</v>
      </c>
      <c r="AU366" s="14" t="s">
        <v>8153</v>
      </c>
      <c r="AV366" s="18"/>
      <c r="AW366" s="16">
        <v>1173648</v>
      </c>
      <c r="AX366" s="17">
        <v>43465</v>
      </c>
      <c r="AY366" s="15" t="s">
        <v>3117</v>
      </c>
      <c r="AZ366" s="17">
        <v>41347</v>
      </c>
      <c r="BA366" s="16">
        <v>1839</v>
      </c>
      <c r="BB366" s="14" t="s">
        <v>8154</v>
      </c>
      <c r="BC366" s="14"/>
      <c r="BD366" s="15" t="s">
        <v>3123</v>
      </c>
      <c r="BE366" s="14"/>
      <c r="BF366" s="17"/>
      <c r="BG366" s="16"/>
      <c r="BH366" s="14"/>
      <c r="BI366" s="15" t="s">
        <v>3123</v>
      </c>
      <c r="BJ366" s="14"/>
      <c r="BK366" s="17"/>
      <c r="BL366" s="16"/>
      <c r="BM366" s="16"/>
      <c r="BN366" s="16"/>
      <c r="BO366" s="16"/>
      <c r="BP366" s="15" t="s">
        <v>3123</v>
      </c>
      <c r="BQ366" s="17"/>
      <c r="BR366" s="14"/>
      <c r="BS366" s="14"/>
      <c r="BT366" s="16"/>
      <c r="BU366" s="16"/>
      <c r="BV366" s="13"/>
      <c r="BW366" s="18" t="s">
        <v>8155</v>
      </c>
      <c r="BX366" s="13">
        <v>200</v>
      </c>
      <c r="BY366" s="17">
        <v>44123</v>
      </c>
      <c r="BZ366" s="18" t="s">
        <v>8156</v>
      </c>
      <c r="CA366" s="18" t="s">
        <v>8157</v>
      </c>
      <c r="CB366" s="18" t="s">
        <v>8158</v>
      </c>
      <c r="CC366" s="18" t="s">
        <v>8159</v>
      </c>
      <c r="CD366" s="14" t="s">
        <v>8160</v>
      </c>
      <c r="CE366" s="17">
        <v>42601</v>
      </c>
      <c r="CF366" s="16">
        <v>-2655803</v>
      </c>
      <c r="CG366" s="17">
        <v>43465</v>
      </c>
      <c r="CH366" s="16">
        <v>-2497716</v>
      </c>
      <c r="CI366" s="17">
        <v>43465</v>
      </c>
      <c r="CJ366" s="16">
        <v>50000000</v>
      </c>
      <c r="CK366" s="17">
        <v>43750</v>
      </c>
      <c r="CL366" s="16">
        <v>93</v>
      </c>
      <c r="CM366" s="17">
        <v>44104</v>
      </c>
      <c r="CN366" s="19">
        <v>53.746238555836605</v>
      </c>
      <c r="CO366" s="19"/>
      <c r="CP366" s="17"/>
      <c r="CQ366" s="14" t="s">
        <v>6540</v>
      </c>
      <c r="CR366" s="14" t="s">
        <v>6629</v>
      </c>
      <c r="CS366" s="14" t="s">
        <v>5004</v>
      </c>
    </row>
    <row r="367" spans="1:97" ht="26.15" customHeight="1">
      <c r="A367" s="2">
        <v>46</v>
      </c>
      <c r="B367" s="25" t="s">
        <v>1024</v>
      </c>
      <c r="C367" s="25" t="e">
        <f>VLOOKUP(B367, Sheet6!$A$1:$B$77, 2, FALSE)</f>
        <v>#N/A</v>
      </c>
      <c r="D367" s="25" t="s">
        <v>1025</v>
      </c>
      <c r="E367" s="25" t="s">
        <v>1029</v>
      </c>
      <c r="F367" s="25" t="s">
        <v>5622</v>
      </c>
      <c r="G367" s="25" t="s">
        <v>10955</v>
      </c>
      <c r="H367" s="25" t="s">
        <v>10959</v>
      </c>
      <c r="I367" s="25" t="s">
        <v>10958</v>
      </c>
      <c r="J367" s="26" t="s">
        <v>10961</v>
      </c>
      <c r="L367" s="13">
        <v>2014</v>
      </c>
      <c r="M367" s="14" t="s">
        <v>5038</v>
      </c>
      <c r="N367" s="14" t="s">
        <v>5039</v>
      </c>
      <c r="O367" s="14" t="s">
        <v>3994</v>
      </c>
      <c r="P367" s="15" t="s">
        <v>3117</v>
      </c>
      <c r="Q367" s="16">
        <v>239863</v>
      </c>
      <c r="R367" s="17">
        <v>42825</v>
      </c>
      <c r="S367" s="16" t="s">
        <v>9542</v>
      </c>
      <c r="T367" s="16">
        <v>113399</v>
      </c>
      <c r="U367" s="14" t="s">
        <v>34</v>
      </c>
      <c r="V367" s="13"/>
      <c r="W367" s="17"/>
      <c r="X367" s="14"/>
      <c r="Y367" s="17"/>
      <c r="Z367" s="17"/>
      <c r="AA367" s="14" t="s">
        <v>5041</v>
      </c>
      <c r="AB367" s="14" t="s">
        <v>5042</v>
      </c>
      <c r="AC367" s="14" t="s">
        <v>7413</v>
      </c>
      <c r="AD367" s="20" t="str">
        <f t="shared" si="22"/>
        <v>IoT Applications &gt; Industry Specific &gt; Agriculture &gt; Farms
Crop Tech &gt; Farm Management Software &gt; Diversified</v>
      </c>
      <c r="AE367" s="20" t="str">
        <f t="shared" si="25"/>
        <v>IoT Applications</v>
      </c>
      <c r="AF367" s="20" t="str">
        <f t="shared" si="24"/>
        <v>Industry Specific</v>
      </c>
      <c r="AG367" s="20" t="str">
        <f t="shared" si="24"/>
        <v>Agriculture</v>
      </c>
      <c r="AH367" s="20" t="str">
        <f t="shared" si="24"/>
        <v>Farms
Crop Tech</v>
      </c>
      <c r="AI367" s="20" t="str">
        <f t="shared" si="24"/>
        <v>Farm Management Software</v>
      </c>
      <c r="AJ367" s="20" t="str">
        <f t="shared" si="24"/>
        <v>Diversified</v>
      </c>
      <c r="AK367" s="20" t="str">
        <f t="shared" si="24"/>
        <v/>
      </c>
      <c r="AL367" s="14" t="s">
        <v>9543</v>
      </c>
      <c r="AM367" s="14" t="s">
        <v>9544</v>
      </c>
      <c r="AO367" s="14"/>
      <c r="AP367" s="14" t="s">
        <v>3994</v>
      </c>
      <c r="AQ367" s="14"/>
      <c r="AR367" s="14"/>
      <c r="AS367" s="14" t="s">
        <v>9546</v>
      </c>
      <c r="AT367" s="14" t="s">
        <v>9547</v>
      </c>
      <c r="AU367" s="14" t="s">
        <v>9548</v>
      </c>
      <c r="AV367" s="18" t="s">
        <v>9549</v>
      </c>
      <c r="AW367" s="16">
        <v>48100</v>
      </c>
      <c r="AX367" s="17">
        <v>43100</v>
      </c>
      <c r="AY367" s="15" t="s">
        <v>3117</v>
      </c>
      <c r="AZ367" s="17">
        <v>41899</v>
      </c>
      <c r="BA367" s="16">
        <v>6543</v>
      </c>
      <c r="BB367" s="14" t="s">
        <v>9550</v>
      </c>
      <c r="BC367" s="14"/>
      <c r="BD367" s="15" t="s">
        <v>3123</v>
      </c>
      <c r="BE367" s="14"/>
      <c r="BF367" s="17"/>
      <c r="BG367" s="16"/>
      <c r="BH367" s="14"/>
      <c r="BI367" s="15" t="s">
        <v>3123</v>
      </c>
      <c r="BJ367" s="14"/>
      <c r="BK367" s="17"/>
      <c r="BL367" s="16"/>
      <c r="BM367" s="16"/>
      <c r="BN367" s="16"/>
      <c r="BO367" s="16"/>
      <c r="BP367" s="15" t="s">
        <v>3123</v>
      </c>
      <c r="BQ367" s="17"/>
      <c r="BR367" s="14"/>
      <c r="BS367" s="14"/>
      <c r="BT367" s="16"/>
      <c r="BU367" s="16"/>
      <c r="BV367" s="13"/>
      <c r="BW367" s="18" t="s">
        <v>9551</v>
      </c>
      <c r="BX367" s="13">
        <v>200</v>
      </c>
      <c r="BY367" s="17">
        <v>44137</v>
      </c>
      <c r="BZ367" s="18" t="s">
        <v>9552</v>
      </c>
      <c r="CA367" s="18"/>
      <c r="CB367" s="18" t="s">
        <v>9553</v>
      </c>
      <c r="CC367" s="18"/>
      <c r="CD367" s="14" t="s">
        <v>9554</v>
      </c>
      <c r="CE367" s="17">
        <v>42929</v>
      </c>
      <c r="CF367" s="16">
        <v>-64200</v>
      </c>
      <c r="CG367" s="17">
        <v>43100</v>
      </c>
      <c r="CH367" s="16">
        <v>-6500</v>
      </c>
      <c r="CI367" s="17">
        <v>43100</v>
      </c>
      <c r="CJ367" s="16"/>
      <c r="CK367" s="17"/>
      <c r="CL367" s="16"/>
      <c r="CM367" s="17"/>
      <c r="CN367" s="19">
        <v>31.159558563273517</v>
      </c>
      <c r="CO367" s="19"/>
      <c r="CP367" s="17"/>
      <c r="CQ367" s="14" t="s">
        <v>5036</v>
      </c>
      <c r="CR367" s="14" t="s">
        <v>5962</v>
      </c>
      <c r="CS367" s="14" t="s">
        <v>5945</v>
      </c>
    </row>
    <row r="368" spans="1:97" ht="26.15" customHeight="1">
      <c r="A368" s="2">
        <v>492</v>
      </c>
      <c r="B368" s="25" t="s">
        <v>3003</v>
      </c>
      <c r="C368" s="25" t="e">
        <f>VLOOKUP(B368, Sheet6!$A$1:$B$77, 2, FALSE)</f>
        <v>#N/A</v>
      </c>
      <c r="D368" s="25" t="s">
        <v>3004</v>
      </c>
      <c r="E368" s="25" t="s">
        <v>3006</v>
      </c>
      <c r="F368" s="25" t="s">
        <v>9908</v>
      </c>
      <c r="G368" s="25" t="s">
        <v>10955</v>
      </c>
      <c r="H368" s="25" t="s">
        <v>10967</v>
      </c>
      <c r="I368" s="25" t="s">
        <v>10558</v>
      </c>
      <c r="J368" s="25" t="s">
        <v>10813</v>
      </c>
      <c r="L368" s="13">
        <v>2013</v>
      </c>
      <c r="M368" s="14" t="s">
        <v>5050</v>
      </c>
      <c r="N368" s="14" t="s">
        <v>5050</v>
      </c>
      <c r="O368" s="14" t="s">
        <v>4343</v>
      </c>
      <c r="P368" s="15" t="s">
        <v>3117</v>
      </c>
      <c r="Q368" s="16">
        <v>22000000</v>
      </c>
      <c r="R368" s="17">
        <v>42941</v>
      </c>
      <c r="S368" s="16" t="s">
        <v>5755</v>
      </c>
      <c r="T368" s="16">
        <v>15000000</v>
      </c>
      <c r="U368" s="14" t="s">
        <v>25</v>
      </c>
      <c r="V368" s="13">
        <v>5</v>
      </c>
      <c r="W368" s="17">
        <v>44057</v>
      </c>
      <c r="X368" s="14" t="s">
        <v>5052</v>
      </c>
      <c r="Y368" s="17">
        <v>43248</v>
      </c>
      <c r="Z368" s="17">
        <v>42577</v>
      </c>
      <c r="AA368" s="14" t="s">
        <v>6605</v>
      </c>
      <c r="AB368" s="14" t="s">
        <v>6606</v>
      </c>
      <c r="AC368" s="14" t="s">
        <v>6607</v>
      </c>
      <c r="AD368" s="20" t="str">
        <f t="shared" si="22"/>
        <v>IoT Applications &gt; Industry Specific &gt; Agriculture &gt; Farms
Computer Vision &gt; Industry Specific Applications &gt; Agriculture &gt; Crops
Crop Tech &gt; Farm Management Software &gt; Diversified</v>
      </c>
      <c r="AE368" s="20" t="str">
        <f t="shared" si="25"/>
        <v>IoT Applications</v>
      </c>
      <c r="AF368" s="20" t="str">
        <f t="shared" si="24"/>
        <v>Industry Specific</v>
      </c>
      <c r="AG368" s="20" t="str">
        <f t="shared" si="24"/>
        <v>Agriculture</v>
      </c>
      <c r="AH368" s="20" t="str">
        <f t="shared" si="24"/>
        <v>Farms
Computer Vision</v>
      </c>
      <c r="AI368" s="20" t="str">
        <f t="shared" si="24"/>
        <v>Industry Specific Applications</v>
      </c>
      <c r="AJ368" s="20" t="str">
        <f t="shared" si="24"/>
        <v>Agriculture</v>
      </c>
      <c r="AK368" s="20" t="str">
        <f t="shared" si="24"/>
        <v>Crops
Crop Tech</v>
      </c>
      <c r="AL368" s="14" t="s">
        <v>8184</v>
      </c>
      <c r="AM368" s="14"/>
      <c r="AO368" s="14"/>
      <c r="AP368" s="14" t="s">
        <v>4343</v>
      </c>
      <c r="AQ368" s="14" t="s">
        <v>8186</v>
      </c>
      <c r="AR368" s="14"/>
      <c r="AS368" s="14" t="s">
        <v>8187</v>
      </c>
      <c r="AT368" s="14" t="s">
        <v>8188</v>
      </c>
      <c r="AU368" s="14" t="s">
        <v>8189</v>
      </c>
      <c r="AV368" s="18" t="s">
        <v>8190</v>
      </c>
      <c r="AW368" s="16"/>
      <c r="AX368" s="17"/>
      <c r="AY368" s="15" t="s">
        <v>3123</v>
      </c>
      <c r="AZ368" s="17"/>
      <c r="BA368" s="16"/>
      <c r="BB368" s="14"/>
      <c r="BC368" s="14"/>
      <c r="BD368" s="15" t="s">
        <v>3123</v>
      </c>
      <c r="BE368" s="14"/>
      <c r="BF368" s="17"/>
      <c r="BG368" s="16"/>
      <c r="BH368" s="14"/>
      <c r="BI368" s="15" t="s">
        <v>3123</v>
      </c>
      <c r="BJ368" s="14"/>
      <c r="BK368" s="17"/>
      <c r="BL368" s="16"/>
      <c r="BM368" s="16"/>
      <c r="BN368" s="16"/>
      <c r="BO368" s="16"/>
      <c r="BP368" s="15" t="s">
        <v>3123</v>
      </c>
      <c r="BQ368" s="17"/>
      <c r="BR368" s="14"/>
      <c r="BS368" s="14"/>
      <c r="BT368" s="16"/>
      <c r="BU368" s="16"/>
      <c r="BV368" s="13"/>
      <c r="BW368" s="18" t="s">
        <v>8191</v>
      </c>
      <c r="BX368" s="13">
        <v>200</v>
      </c>
      <c r="BY368" s="17">
        <v>44122</v>
      </c>
      <c r="BZ368" s="18" t="s">
        <v>8192</v>
      </c>
      <c r="CA368" s="18" t="s">
        <v>8193</v>
      </c>
      <c r="CB368" s="18" t="s">
        <v>8194</v>
      </c>
      <c r="CC368" s="18"/>
      <c r="CD368" s="14" t="s">
        <v>8195</v>
      </c>
      <c r="CE368" s="17">
        <v>42929</v>
      </c>
      <c r="CF368" s="16"/>
      <c r="CG368" s="17"/>
      <c r="CH368" s="16"/>
      <c r="CI368" s="17"/>
      <c r="CJ368" s="16"/>
      <c r="CK368" s="17"/>
      <c r="CL368" s="16"/>
      <c r="CM368" s="17"/>
      <c r="CN368" s="19">
        <v>51.90438698173493</v>
      </c>
      <c r="CO368" s="19"/>
      <c r="CP368" s="17"/>
      <c r="CQ368" s="14" t="s">
        <v>7551</v>
      </c>
      <c r="CR368" s="14" t="s">
        <v>6002</v>
      </c>
      <c r="CS368" s="14" t="s">
        <v>6074</v>
      </c>
    </row>
    <row r="369" spans="1:97" ht="26.15" customHeight="1">
      <c r="A369" s="2">
        <v>428</v>
      </c>
      <c r="B369" s="25" t="s">
        <v>2736</v>
      </c>
      <c r="C369" s="25" t="e">
        <f>VLOOKUP(B369, Sheet6!$A$1:$B$77, 2, FALSE)</f>
        <v>#N/A</v>
      </c>
      <c r="D369" s="25" t="s">
        <v>2737</v>
      </c>
      <c r="E369" s="25" t="s">
        <v>2740</v>
      </c>
      <c r="F369" s="25" t="s">
        <v>9489</v>
      </c>
      <c r="G369" s="25" t="s">
        <v>10955</v>
      </c>
      <c r="H369" s="25" t="s">
        <v>10558</v>
      </c>
      <c r="I369" s="25" t="s">
        <v>10558</v>
      </c>
      <c r="J369" s="25" t="s">
        <v>10842</v>
      </c>
      <c r="L369" s="13">
        <v>2015</v>
      </c>
      <c r="M369" s="14" t="s">
        <v>5005</v>
      </c>
      <c r="N369" s="14" t="s">
        <v>5006</v>
      </c>
      <c r="O369" s="14" t="s">
        <v>3994</v>
      </c>
      <c r="P369" s="15" t="s">
        <v>3117</v>
      </c>
      <c r="Q369" s="16">
        <v>9059375</v>
      </c>
      <c r="R369" s="17">
        <v>43701</v>
      </c>
      <c r="S369" s="16" t="s">
        <v>5022</v>
      </c>
      <c r="T369" s="16">
        <v>2226700</v>
      </c>
      <c r="U369" s="14" t="s">
        <v>109</v>
      </c>
      <c r="V369" s="13">
        <v>4</v>
      </c>
      <c r="W369" s="17">
        <v>44033</v>
      </c>
      <c r="X369" s="14" t="s">
        <v>5052</v>
      </c>
      <c r="Y369" s="17">
        <v>43941</v>
      </c>
      <c r="Z369" s="17">
        <v>43178</v>
      </c>
      <c r="AA369" s="14" t="s">
        <v>4995</v>
      </c>
      <c r="AB369" s="14" t="s">
        <v>4996</v>
      </c>
      <c r="AC369" s="14" t="s">
        <v>5418</v>
      </c>
      <c r="AD369" s="20" t="str">
        <f t="shared" si="22"/>
        <v>Online Grocery &gt; B2C Ecommerce &gt; Meat and Seafood &gt; Retailer &gt; Meat
Livestock Tech &gt; ECommerce &gt; Farm Produce &gt; B2C &gt; Retailer &gt; Meat</v>
      </c>
      <c r="AE369" s="20" t="str">
        <f t="shared" si="25"/>
        <v>Online Grocery</v>
      </c>
      <c r="AF369" s="20" t="str">
        <f t="shared" si="24"/>
        <v>B2C Ecommerce</v>
      </c>
      <c r="AG369" s="20" t="str">
        <f t="shared" si="24"/>
        <v>Meat and Seafood</v>
      </c>
      <c r="AH369" s="20" t="str">
        <f t="shared" si="24"/>
        <v>Retailer</v>
      </c>
      <c r="AI369" s="20" t="str">
        <f t="shared" si="24"/>
        <v>Meat
Livestock Tech</v>
      </c>
      <c r="AJ369" s="20" t="str">
        <f t="shared" si="24"/>
        <v>ECommerce</v>
      </c>
      <c r="AK369" s="20" t="str">
        <f t="shared" si="24"/>
        <v>Farm Produce</v>
      </c>
      <c r="AL369" s="14" t="s">
        <v>8196</v>
      </c>
      <c r="AM369" s="14" t="s">
        <v>8197</v>
      </c>
      <c r="AO369" s="14"/>
      <c r="AP369" s="14" t="s">
        <v>3994</v>
      </c>
      <c r="AQ369" s="14"/>
      <c r="AR369" s="14" t="s">
        <v>8199</v>
      </c>
      <c r="AS369" s="14" t="s">
        <v>8200</v>
      </c>
      <c r="AT369" s="14" t="s">
        <v>8201</v>
      </c>
      <c r="AU369" s="14" t="s">
        <v>8202</v>
      </c>
      <c r="AV369" s="18" t="s">
        <v>8203</v>
      </c>
      <c r="AW369" s="16">
        <v>4087400</v>
      </c>
      <c r="AX369" s="17">
        <v>43465</v>
      </c>
      <c r="AY369" s="15" t="s">
        <v>3117</v>
      </c>
      <c r="AZ369" s="17">
        <v>42144</v>
      </c>
      <c r="BA369" s="16">
        <v>1566</v>
      </c>
      <c r="BB369" s="14" t="s">
        <v>8204</v>
      </c>
      <c r="BC369" s="14"/>
      <c r="BD369" s="15" t="s">
        <v>3123</v>
      </c>
      <c r="BE369" s="14"/>
      <c r="BF369" s="17"/>
      <c r="BG369" s="16"/>
      <c r="BH369" s="14"/>
      <c r="BI369" s="15" t="s">
        <v>3123</v>
      </c>
      <c r="BJ369" s="14"/>
      <c r="BK369" s="17"/>
      <c r="BL369" s="16"/>
      <c r="BM369" s="16"/>
      <c r="BN369" s="16"/>
      <c r="BO369" s="16"/>
      <c r="BP369" s="15" t="s">
        <v>3123</v>
      </c>
      <c r="BQ369" s="17"/>
      <c r="BR369" s="14"/>
      <c r="BS369" s="14"/>
      <c r="BT369" s="16"/>
      <c r="BU369" s="16"/>
      <c r="BV369" s="13"/>
      <c r="BW369" s="18" t="s">
        <v>8205</v>
      </c>
      <c r="BX369" s="13">
        <v>200</v>
      </c>
      <c r="BY369" s="17">
        <v>44122</v>
      </c>
      <c r="BZ369" s="18" t="s">
        <v>8206</v>
      </c>
      <c r="CA369" s="18" t="s">
        <v>8207</v>
      </c>
      <c r="CB369" s="18" t="s">
        <v>8208</v>
      </c>
      <c r="CC369" s="18"/>
      <c r="CD369" s="14" t="s">
        <v>8209</v>
      </c>
      <c r="CE369" s="17">
        <v>42602</v>
      </c>
      <c r="CF369" s="16">
        <v>-1037200</v>
      </c>
      <c r="CG369" s="17">
        <v>43465</v>
      </c>
      <c r="CH369" s="16">
        <v>-955600</v>
      </c>
      <c r="CI369" s="17">
        <v>43465</v>
      </c>
      <c r="CJ369" s="16">
        <v>20000000</v>
      </c>
      <c r="CK369" s="17">
        <v>43701</v>
      </c>
      <c r="CL369" s="16">
        <v>70</v>
      </c>
      <c r="CM369" s="17">
        <v>44012</v>
      </c>
      <c r="CN369" s="19">
        <v>61.840213692403182</v>
      </c>
      <c r="CO369" s="19"/>
      <c r="CP369" s="17"/>
      <c r="CQ369" s="14" t="s">
        <v>6487</v>
      </c>
      <c r="CR369" s="14" t="s">
        <v>5944</v>
      </c>
      <c r="CS369" s="14" t="s">
        <v>5945</v>
      </c>
    </row>
    <row r="370" spans="1:97" ht="26.15" customHeight="1">
      <c r="A370" s="2">
        <v>118</v>
      </c>
      <c r="B370" s="25" t="s">
        <v>191</v>
      </c>
      <c r="C370" s="25" t="e">
        <f>VLOOKUP(B370, Sheet6!$A$1:$B$77, 2, FALSE)</f>
        <v>#N/A</v>
      </c>
      <c r="D370" s="25" t="s">
        <v>192</v>
      </c>
      <c r="E370" s="25" t="s">
        <v>196</v>
      </c>
      <c r="F370" s="25" t="s">
        <v>6545</v>
      </c>
      <c r="G370" s="25" t="s">
        <v>10955</v>
      </c>
      <c r="H370" s="25" t="s">
        <v>10959</v>
      </c>
      <c r="I370" s="25" t="s">
        <v>10958</v>
      </c>
      <c r="J370" s="26" t="s">
        <v>10842</v>
      </c>
      <c r="L370" s="13">
        <v>2015</v>
      </c>
      <c r="M370" s="14" t="s">
        <v>7250</v>
      </c>
      <c r="N370" s="14" t="s">
        <v>6004</v>
      </c>
      <c r="O370" s="14" t="s">
        <v>4343</v>
      </c>
      <c r="P370" s="15" t="s">
        <v>3117</v>
      </c>
      <c r="Q370" s="16"/>
      <c r="R370" s="17">
        <v>41809</v>
      </c>
      <c r="S370" s="16" t="s">
        <v>6298</v>
      </c>
      <c r="T370" s="16">
        <v>20000</v>
      </c>
      <c r="U370" s="14" t="s">
        <v>5040</v>
      </c>
      <c r="V370" s="13">
        <v>2</v>
      </c>
      <c r="W370" s="17">
        <v>44048</v>
      </c>
      <c r="X370" s="14"/>
      <c r="Y370" s="17"/>
      <c r="Z370" s="17"/>
      <c r="AA370" s="14" t="s">
        <v>1</v>
      </c>
      <c r="AB370" s="14" t="s">
        <v>5007</v>
      </c>
      <c r="AC370" s="14" t="s">
        <v>6667</v>
      </c>
      <c r="AD370" s="20" t="str">
        <f t="shared" si="22"/>
        <v>Crop Tech &gt; Autonomous Farming &gt; Growing Systems &gt; Hydroponics</v>
      </c>
      <c r="AE370" s="20" t="str">
        <f t="shared" si="25"/>
        <v>Crop Tech</v>
      </c>
      <c r="AF370" s="20" t="str">
        <f t="shared" si="24"/>
        <v>Autonomous Farming</v>
      </c>
      <c r="AG370" s="20" t="str">
        <f t="shared" si="24"/>
        <v>Growing Systems</v>
      </c>
      <c r="AH370" s="20" t="str">
        <f t="shared" si="24"/>
        <v>Hydroponics</v>
      </c>
      <c r="AI370" s="20" t="str">
        <f t="shared" si="24"/>
        <v/>
      </c>
      <c r="AJ370" s="20" t="str">
        <f t="shared" si="24"/>
        <v/>
      </c>
      <c r="AK370" s="20" t="str">
        <f t="shared" si="24"/>
        <v/>
      </c>
      <c r="AL370" s="14" t="s">
        <v>4797</v>
      </c>
      <c r="AM370" s="14"/>
      <c r="AO370" s="14"/>
      <c r="AP370" s="14" t="s">
        <v>4343</v>
      </c>
      <c r="AQ370" s="14"/>
      <c r="AR370" s="14"/>
      <c r="AS370" s="14" t="s">
        <v>9084</v>
      </c>
      <c r="AT370" s="14" t="s">
        <v>9085</v>
      </c>
      <c r="AU370" s="14" t="s">
        <v>9086</v>
      </c>
      <c r="AV370" s="18" t="s">
        <v>9556</v>
      </c>
      <c r="AW370" s="16"/>
      <c r="AX370" s="17"/>
      <c r="AY370" s="15" t="s">
        <v>3123</v>
      </c>
      <c r="AZ370" s="17"/>
      <c r="BA370" s="16"/>
      <c r="BB370" s="14"/>
      <c r="BC370" s="14"/>
      <c r="BD370" s="15" t="s">
        <v>3123</v>
      </c>
      <c r="BE370" s="14"/>
      <c r="BF370" s="17"/>
      <c r="BG370" s="16"/>
      <c r="BH370" s="14"/>
      <c r="BI370" s="15" t="s">
        <v>3123</v>
      </c>
      <c r="BJ370" s="14"/>
      <c r="BK370" s="17"/>
      <c r="BL370" s="16"/>
      <c r="BM370" s="16"/>
      <c r="BN370" s="16"/>
      <c r="BO370" s="16"/>
      <c r="BP370" s="15" t="s">
        <v>3123</v>
      </c>
      <c r="BQ370" s="17"/>
      <c r="BR370" s="14" t="s">
        <v>2855</v>
      </c>
      <c r="BS370" s="14"/>
      <c r="BT370" s="16"/>
      <c r="BU370" s="16"/>
      <c r="BV370" s="13"/>
      <c r="BW370" s="18" t="s">
        <v>9557</v>
      </c>
      <c r="BX370" s="13">
        <v>-1</v>
      </c>
      <c r="BY370" s="17">
        <v>44122</v>
      </c>
      <c r="BZ370" s="18" t="s">
        <v>9558</v>
      </c>
      <c r="CA370" s="18" t="s">
        <v>9559</v>
      </c>
      <c r="CB370" s="18"/>
      <c r="CC370" s="18"/>
      <c r="CD370" s="14" t="s">
        <v>9560</v>
      </c>
      <c r="CE370" s="17">
        <v>43031</v>
      </c>
      <c r="CF370" s="16"/>
      <c r="CG370" s="17"/>
      <c r="CH370" s="16"/>
      <c r="CI370" s="17"/>
      <c r="CJ370" s="16"/>
      <c r="CK370" s="17"/>
      <c r="CL370" s="16"/>
      <c r="CM370" s="17"/>
      <c r="CN370" s="19">
        <v>9.3847583234607548</v>
      </c>
      <c r="CO370" s="19"/>
      <c r="CP370" s="17"/>
      <c r="CQ370" s="14" t="s">
        <v>5541</v>
      </c>
      <c r="CR370" s="14" t="s">
        <v>6523</v>
      </c>
      <c r="CS370" s="14" t="s">
        <v>5945</v>
      </c>
    </row>
    <row r="371" spans="1:97" ht="26.15" customHeight="1">
      <c r="A371" s="2">
        <v>359</v>
      </c>
      <c r="B371" s="25" t="s">
        <v>2220</v>
      </c>
      <c r="C371" s="25" t="e">
        <f>VLOOKUP(B371, Sheet6!$A$1:$B$77, 2, FALSE)</f>
        <v>#N/A</v>
      </c>
      <c r="D371" s="25" t="s">
        <v>2221</v>
      </c>
      <c r="E371" s="25" t="s">
        <v>2224</v>
      </c>
      <c r="F371" s="25" t="s">
        <v>9118</v>
      </c>
      <c r="G371" s="25" t="s">
        <v>10955</v>
      </c>
      <c r="H371" s="25" t="s">
        <v>10967</v>
      </c>
      <c r="I371" s="25" t="s">
        <v>10558</v>
      </c>
      <c r="J371" s="25" t="s">
        <v>10846</v>
      </c>
      <c r="L371" s="13">
        <v>2013</v>
      </c>
      <c r="M371" s="14" t="s">
        <v>5038</v>
      </c>
      <c r="N371" s="14" t="s">
        <v>5039</v>
      </c>
      <c r="O371" s="14" t="s">
        <v>3994</v>
      </c>
      <c r="P371" s="15" t="s">
        <v>3117</v>
      </c>
      <c r="Q371" s="16">
        <v>814923</v>
      </c>
      <c r="R371" s="17">
        <v>43990</v>
      </c>
      <c r="S371" s="16" t="s">
        <v>8210</v>
      </c>
      <c r="T371" s="16">
        <v>66424</v>
      </c>
      <c r="U371" s="14" t="s">
        <v>34</v>
      </c>
      <c r="V371" s="13">
        <v>5</v>
      </c>
      <c r="W371" s="17">
        <v>44003</v>
      </c>
      <c r="X371" s="14"/>
      <c r="Y371" s="17"/>
      <c r="Z371" s="17"/>
      <c r="AA371" s="14" t="s">
        <v>6857</v>
      </c>
      <c r="AB371" s="14" t="s">
        <v>6858</v>
      </c>
      <c r="AC371" s="14" t="s">
        <v>8211</v>
      </c>
      <c r="AD371" s="20" t="str">
        <f t="shared" si="22"/>
        <v>Drones &gt; Civilian Drones &gt; Pure Play Hardware
Geographic Information Systems &gt; Image Processing &amp; Mapping &gt; Aerial Image Processing
Crop Tech &gt; Farm Analytics &gt; Drones Based</v>
      </c>
      <c r="AE371" s="20" t="str">
        <f t="shared" si="25"/>
        <v>Drones</v>
      </c>
      <c r="AF371" s="20" t="str">
        <f t="shared" si="24"/>
        <v>Civilian Drones</v>
      </c>
      <c r="AG371" s="20" t="str">
        <f t="shared" si="24"/>
        <v>Pure Play Hardware
Geographic Information Systems</v>
      </c>
      <c r="AH371" s="20" t="str">
        <f t="shared" si="24"/>
        <v>Image Processing &amp; Mapping</v>
      </c>
      <c r="AI371" s="20" t="str">
        <f t="shared" si="24"/>
        <v>Aerial Image Processing
Crop Tech</v>
      </c>
      <c r="AJ371" s="20" t="str">
        <f t="shared" si="24"/>
        <v>Farm Analytics</v>
      </c>
      <c r="AK371" s="20" t="str">
        <f t="shared" si="24"/>
        <v>Drones Based</v>
      </c>
      <c r="AL371" s="14" t="s">
        <v>8212</v>
      </c>
      <c r="AM371" s="14" t="s">
        <v>8213</v>
      </c>
      <c r="AO371" s="14"/>
      <c r="AP371" s="14" t="s">
        <v>3994</v>
      </c>
      <c r="AQ371" s="14" t="s">
        <v>8215</v>
      </c>
      <c r="AR371" s="14" t="s">
        <v>8216</v>
      </c>
      <c r="AS371" s="14" t="s">
        <v>8217</v>
      </c>
      <c r="AT371" s="14" t="s">
        <v>8218</v>
      </c>
      <c r="AU371" s="14" t="s">
        <v>8219</v>
      </c>
      <c r="AV371" s="18"/>
      <c r="AW371" s="16">
        <v>538700</v>
      </c>
      <c r="AX371" s="17">
        <v>43465</v>
      </c>
      <c r="AY371" s="15" t="s">
        <v>3117</v>
      </c>
      <c r="AZ371" s="17">
        <v>41543</v>
      </c>
      <c r="BA371" s="16">
        <v>1599</v>
      </c>
      <c r="BB371" s="14" t="s">
        <v>8220</v>
      </c>
      <c r="BC371" s="14"/>
      <c r="BD371" s="15" t="s">
        <v>3123</v>
      </c>
      <c r="BE371" s="14"/>
      <c r="BF371" s="17"/>
      <c r="BG371" s="16"/>
      <c r="BH371" s="14"/>
      <c r="BI371" s="15" t="s">
        <v>3123</v>
      </c>
      <c r="BJ371" s="14"/>
      <c r="BK371" s="17"/>
      <c r="BL371" s="16"/>
      <c r="BM371" s="16"/>
      <c r="BN371" s="16"/>
      <c r="BO371" s="16"/>
      <c r="BP371" s="15" t="s">
        <v>3123</v>
      </c>
      <c r="BQ371" s="17"/>
      <c r="BR371" s="14"/>
      <c r="BS371" s="14"/>
      <c r="BT371" s="16"/>
      <c r="BU371" s="16"/>
      <c r="BV371" s="13"/>
      <c r="BW371" s="18" t="s">
        <v>8221</v>
      </c>
      <c r="BX371" s="13">
        <v>200</v>
      </c>
      <c r="BY371" s="17">
        <v>44122</v>
      </c>
      <c r="BZ371" s="18" t="s">
        <v>8222</v>
      </c>
      <c r="CA371" s="18" t="s">
        <v>8223</v>
      </c>
      <c r="CB371" s="18" t="s">
        <v>8224</v>
      </c>
      <c r="CC371" s="18"/>
      <c r="CD371" s="14" t="s">
        <v>8225</v>
      </c>
      <c r="CE371" s="17">
        <v>42256</v>
      </c>
      <c r="CF371" s="16">
        <v>-503</v>
      </c>
      <c r="CG371" s="17">
        <v>43465</v>
      </c>
      <c r="CH371" s="16">
        <v>111000</v>
      </c>
      <c r="CI371" s="17">
        <v>43465</v>
      </c>
      <c r="CJ371" s="16">
        <v>3902892.0783642828</v>
      </c>
      <c r="CK371" s="17">
        <v>43990</v>
      </c>
      <c r="CL371" s="16">
        <v>33</v>
      </c>
      <c r="CM371" s="17">
        <v>44012</v>
      </c>
      <c r="CN371" s="19">
        <v>51.065203116962941</v>
      </c>
      <c r="CO371" s="19"/>
      <c r="CP371" s="17"/>
      <c r="CQ371" s="14" t="s">
        <v>6365</v>
      </c>
      <c r="CR371" s="14" t="s">
        <v>8226</v>
      </c>
      <c r="CS371" s="14" t="s">
        <v>5004</v>
      </c>
    </row>
    <row r="372" spans="1:97" ht="26.15" customHeight="1">
      <c r="A372" s="2">
        <v>206</v>
      </c>
      <c r="B372" s="25" t="s">
        <v>1679</v>
      </c>
      <c r="C372" s="25" t="e">
        <f>VLOOKUP(B372, Sheet6!$A$1:$B$77, 2, FALSE)</f>
        <v>#N/A</v>
      </c>
      <c r="D372" s="25" t="s">
        <v>1680</v>
      </c>
      <c r="E372" s="25" t="s">
        <v>1683</v>
      </c>
      <c r="F372" s="25" t="s">
        <v>7611</v>
      </c>
      <c r="G372" s="25" t="s">
        <v>10955</v>
      </c>
      <c r="H372" s="25" t="s">
        <v>10959</v>
      </c>
      <c r="I372" s="25" t="s">
        <v>10958</v>
      </c>
      <c r="J372" s="26" t="s">
        <v>10706</v>
      </c>
      <c r="L372" s="13">
        <v>2013</v>
      </c>
      <c r="M372" s="14" t="s">
        <v>5803</v>
      </c>
      <c r="N372" s="14" t="s">
        <v>5804</v>
      </c>
      <c r="O372" s="14" t="s">
        <v>5208</v>
      </c>
      <c r="P372" s="15" t="s">
        <v>3117</v>
      </c>
      <c r="Q372" s="16">
        <v>707610</v>
      </c>
      <c r="R372" s="17">
        <v>42527</v>
      </c>
      <c r="S372" s="16" t="s">
        <v>9561</v>
      </c>
      <c r="T372" s="16">
        <v>707614</v>
      </c>
      <c r="U372" s="14" t="s">
        <v>34</v>
      </c>
      <c r="V372" s="13">
        <v>4</v>
      </c>
      <c r="W372" s="17">
        <v>44083</v>
      </c>
      <c r="X372" s="14"/>
      <c r="Y372" s="17"/>
      <c r="Z372" s="17"/>
      <c r="AA372" s="14" t="s">
        <v>5947</v>
      </c>
      <c r="AB372" s="14" t="s">
        <v>6335</v>
      </c>
      <c r="AC372" s="14" t="s">
        <v>6336</v>
      </c>
      <c r="AD372" s="20" t="str">
        <f t="shared" si="22"/>
        <v>Field Force Automation &gt; Agricultural industry
Crop Tech &gt; Farm Management Software &gt; Diversified</v>
      </c>
      <c r="AE372" s="20" t="str">
        <f t="shared" si="25"/>
        <v>Field Force Automation</v>
      </c>
      <c r="AF372" s="20" t="str">
        <f t="shared" si="24"/>
        <v>Agricultural industry
Crop Tech</v>
      </c>
      <c r="AG372" s="20" t="str">
        <f t="shared" si="24"/>
        <v>Farm Management Software</v>
      </c>
      <c r="AH372" s="20" t="str">
        <f t="shared" si="24"/>
        <v>Diversified</v>
      </c>
      <c r="AI372" s="20" t="str">
        <f t="shared" si="24"/>
        <v/>
      </c>
      <c r="AJ372" s="20" t="str">
        <f t="shared" si="24"/>
        <v/>
      </c>
      <c r="AK372" s="20" t="str">
        <f t="shared" si="24"/>
        <v/>
      </c>
      <c r="AL372" s="14" t="s">
        <v>588</v>
      </c>
      <c r="AM372" s="14"/>
      <c r="AO372" s="14"/>
      <c r="AP372" s="14" t="s">
        <v>5208</v>
      </c>
      <c r="AQ372" s="14"/>
      <c r="AR372" s="14"/>
      <c r="AS372" s="14" t="s">
        <v>9563</v>
      </c>
      <c r="AT372" s="14" t="s">
        <v>9564</v>
      </c>
      <c r="AU372" s="14" t="s">
        <v>9565</v>
      </c>
      <c r="AV372" s="18" t="s">
        <v>9566</v>
      </c>
      <c r="AW372" s="16"/>
      <c r="AX372" s="17"/>
      <c r="AY372" s="15" t="s">
        <v>3123</v>
      </c>
      <c r="AZ372" s="17"/>
      <c r="BA372" s="16"/>
      <c r="BB372" s="14"/>
      <c r="BC372" s="14"/>
      <c r="BD372" s="15" t="s">
        <v>3123</v>
      </c>
      <c r="BE372" s="14"/>
      <c r="BF372" s="17"/>
      <c r="BG372" s="16"/>
      <c r="BH372" s="14"/>
      <c r="BI372" s="15" t="s">
        <v>3123</v>
      </c>
      <c r="BJ372" s="14"/>
      <c r="BK372" s="17"/>
      <c r="BL372" s="16"/>
      <c r="BM372" s="16"/>
      <c r="BN372" s="16"/>
      <c r="BO372" s="16"/>
      <c r="BP372" s="15" t="s">
        <v>3123</v>
      </c>
      <c r="BQ372" s="17"/>
      <c r="BR372" s="14"/>
      <c r="BS372" s="14"/>
      <c r="BT372" s="16"/>
      <c r="BU372" s="16"/>
      <c r="BV372" s="13"/>
      <c r="BW372" s="18" t="s">
        <v>9567</v>
      </c>
      <c r="BX372" s="13">
        <v>200</v>
      </c>
      <c r="BY372" s="17">
        <v>44122</v>
      </c>
      <c r="BZ372" s="18" t="s">
        <v>9568</v>
      </c>
      <c r="CA372" s="18"/>
      <c r="CB372" s="18" t="s">
        <v>9569</v>
      </c>
      <c r="CC372" s="18"/>
      <c r="CD372" s="14" t="s">
        <v>9570</v>
      </c>
      <c r="CE372" s="17">
        <v>42929</v>
      </c>
      <c r="CF372" s="16"/>
      <c r="CG372" s="17"/>
      <c r="CH372" s="16"/>
      <c r="CI372" s="17"/>
      <c r="CJ372" s="16"/>
      <c r="CK372" s="17"/>
      <c r="CL372" s="16"/>
      <c r="CM372" s="17"/>
      <c r="CN372" s="19">
        <v>20.286104351288895</v>
      </c>
      <c r="CO372" s="19"/>
      <c r="CP372" s="17"/>
      <c r="CQ372" s="14" t="s">
        <v>7284</v>
      </c>
      <c r="CR372" s="14" t="s">
        <v>6002</v>
      </c>
      <c r="CS372" s="14" t="s">
        <v>5945</v>
      </c>
    </row>
    <row r="373" spans="1:97" ht="26.15" customHeight="1">
      <c r="A373" s="2">
        <v>195</v>
      </c>
      <c r="B373" s="25" t="s">
        <v>171</v>
      </c>
      <c r="C373" s="25" t="e">
        <f>VLOOKUP(B373, Sheet6!$A$1:$B$77, 2, FALSE)</f>
        <v>#N/A</v>
      </c>
      <c r="D373" s="25" t="s">
        <v>172</v>
      </c>
      <c r="E373" s="25" t="s">
        <v>174</v>
      </c>
      <c r="F373" s="25" t="s">
        <v>7474</v>
      </c>
      <c r="G373" s="25" t="s">
        <v>10955</v>
      </c>
      <c r="H373" s="25" t="s">
        <v>10959</v>
      </c>
      <c r="I373" s="25" t="s">
        <v>10958</v>
      </c>
      <c r="J373" s="26" t="s">
        <v>10768</v>
      </c>
      <c r="L373" s="13">
        <v>2014</v>
      </c>
      <c r="M373" s="14" t="s">
        <v>4993</v>
      </c>
      <c r="N373" s="14" t="s">
        <v>4994</v>
      </c>
      <c r="O373" s="14" t="s">
        <v>2057</v>
      </c>
      <c r="P373" s="15" t="s">
        <v>3117</v>
      </c>
      <c r="Q373" s="16"/>
      <c r="R373" s="17">
        <v>41995</v>
      </c>
      <c r="S373" s="16"/>
      <c r="T373" s="16" t="s">
        <v>50</v>
      </c>
      <c r="U373" s="14" t="s">
        <v>5630</v>
      </c>
      <c r="V373" s="13"/>
      <c r="W373" s="17"/>
      <c r="X373" s="14"/>
      <c r="Y373" s="17"/>
      <c r="Z373" s="17"/>
      <c r="AA373" s="14" t="s">
        <v>5509</v>
      </c>
      <c r="AB373" s="14" t="s">
        <v>5510</v>
      </c>
      <c r="AC373" s="14" t="s">
        <v>9581</v>
      </c>
      <c r="AD373" s="20" t="str">
        <f t="shared" si="22"/>
        <v>B2B E-Commerce &gt; Food &amp; Beverages &gt; Groceries &gt; Farm Products &gt; E-Distributor
Online Grocery &gt; B2B Ecommerce &gt; Multi-Category &gt; E-Distributor
Crop Tech &gt; ECommerce &gt; Farm Produce &gt; B2B</v>
      </c>
      <c r="AE373" s="20" t="str">
        <f t="shared" si="25"/>
        <v>B2B E-Commerce</v>
      </c>
      <c r="AF373" s="20" t="str">
        <f t="shared" si="24"/>
        <v>Food &amp; Beverages</v>
      </c>
      <c r="AG373" s="20" t="str">
        <f t="shared" si="24"/>
        <v>Groceries</v>
      </c>
      <c r="AH373" s="20" t="str">
        <f t="shared" si="24"/>
        <v>Farm Products</v>
      </c>
      <c r="AI373" s="20" t="str">
        <f t="shared" si="24"/>
        <v>E-Distributor
Online Grocery</v>
      </c>
      <c r="AJ373" s="20" t="str">
        <f t="shared" si="24"/>
        <v>B2B Ecommerce</v>
      </c>
      <c r="AK373" s="20" t="str">
        <f t="shared" si="24"/>
        <v>Multi-Category</v>
      </c>
      <c r="AL373" s="14" t="s">
        <v>4783</v>
      </c>
      <c r="AM373" s="14"/>
      <c r="AO373" s="14"/>
      <c r="AP373" s="14" t="s">
        <v>2057</v>
      </c>
      <c r="AQ373" s="14"/>
      <c r="AR373" s="14"/>
      <c r="AS373" s="14" t="s">
        <v>9583</v>
      </c>
      <c r="AT373" s="14" t="s">
        <v>9584</v>
      </c>
      <c r="AU373" s="14"/>
      <c r="AV373" s="18"/>
      <c r="AW373" s="16"/>
      <c r="AX373" s="17"/>
      <c r="AY373" s="15" t="s">
        <v>3123</v>
      </c>
      <c r="AZ373" s="17"/>
      <c r="BA373" s="16"/>
      <c r="BB373" s="14"/>
      <c r="BC373" s="14"/>
      <c r="BD373" s="15" t="s">
        <v>3123</v>
      </c>
      <c r="BE373" s="14"/>
      <c r="BF373" s="17"/>
      <c r="BG373" s="16"/>
      <c r="BH373" s="14"/>
      <c r="BI373" s="15" t="s">
        <v>3123</v>
      </c>
      <c r="BJ373" s="14"/>
      <c r="BK373" s="17"/>
      <c r="BL373" s="16"/>
      <c r="BM373" s="16"/>
      <c r="BN373" s="16"/>
      <c r="BO373" s="16"/>
      <c r="BP373" s="15" t="s">
        <v>3117</v>
      </c>
      <c r="BQ373" s="17"/>
      <c r="BR373" s="14"/>
      <c r="BS373" s="14"/>
      <c r="BT373" s="16"/>
      <c r="BU373" s="16"/>
      <c r="BV373" s="13"/>
      <c r="BW373" s="18" t="s">
        <v>9585</v>
      </c>
      <c r="BX373" s="13">
        <v>-1</v>
      </c>
      <c r="BY373" s="17">
        <v>44122</v>
      </c>
      <c r="BZ373" s="18"/>
      <c r="CA373" s="18"/>
      <c r="CB373" s="18"/>
      <c r="CC373" s="18"/>
      <c r="CD373" s="14" t="s">
        <v>9586</v>
      </c>
      <c r="CE373" s="17">
        <v>42643</v>
      </c>
      <c r="CF373" s="16"/>
      <c r="CG373" s="17"/>
      <c r="CH373" s="16"/>
      <c r="CI373" s="17"/>
      <c r="CJ373" s="16"/>
      <c r="CK373" s="17"/>
      <c r="CL373" s="16"/>
      <c r="CM373" s="17"/>
      <c r="CN373" s="19">
        <v>5.8051920571212241</v>
      </c>
      <c r="CO373" s="19"/>
      <c r="CP373" s="17"/>
      <c r="CQ373" s="14" t="s">
        <v>5036</v>
      </c>
      <c r="CR373" s="14" t="s">
        <v>9587</v>
      </c>
      <c r="CS373" s="14" t="s">
        <v>6074</v>
      </c>
    </row>
    <row r="374" spans="1:97" ht="26.15" customHeight="1">
      <c r="A374" s="2">
        <v>47</v>
      </c>
      <c r="B374" s="25" t="s">
        <v>914</v>
      </c>
      <c r="C374" s="25" t="e">
        <f>VLOOKUP(B374, Sheet6!$A$1:$B$77, 2, FALSE)</f>
        <v>#N/A</v>
      </c>
      <c r="D374" s="25" t="s">
        <v>915</v>
      </c>
      <c r="E374" s="25" t="s">
        <v>917</v>
      </c>
      <c r="F374" s="25" t="s">
        <v>5635</v>
      </c>
      <c r="G374" s="25" t="s">
        <v>10952</v>
      </c>
      <c r="H374" s="25" t="s">
        <v>10959</v>
      </c>
      <c r="I374" s="25" t="s">
        <v>10958</v>
      </c>
      <c r="J374" s="26" t="s">
        <v>10846</v>
      </c>
      <c r="L374" s="13">
        <v>2014</v>
      </c>
      <c r="M374" s="14" t="s">
        <v>4993</v>
      </c>
      <c r="N374" s="14" t="s">
        <v>4994</v>
      </c>
      <c r="O374" s="14" t="s">
        <v>2057</v>
      </c>
      <c r="P374" s="15" t="s">
        <v>3117</v>
      </c>
      <c r="Q374" s="16">
        <v>10000000</v>
      </c>
      <c r="R374" s="17">
        <v>42277</v>
      </c>
      <c r="S374" s="16" t="s">
        <v>5165</v>
      </c>
      <c r="T374" s="16">
        <v>10000000</v>
      </c>
      <c r="U374" s="14" t="s">
        <v>25</v>
      </c>
      <c r="V374" s="13"/>
      <c r="W374" s="17"/>
      <c r="X374" s="14"/>
      <c r="Y374" s="17"/>
      <c r="Z374" s="17"/>
      <c r="AA374" s="14" t="s">
        <v>8325</v>
      </c>
      <c r="AB374" s="14" t="s">
        <v>9280</v>
      </c>
      <c r="AC374" s="14" t="s">
        <v>9588</v>
      </c>
      <c r="AD374" s="20" t="str">
        <f t="shared" si="22"/>
        <v>Alternative Lending &gt; Online Lenders &gt; Business Loans &gt; Term Loans &gt; Marketplace &gt; P2P
Crowdfunding &gt; Revenue Sharing &gt; Agriculture
Crop Tech &gt; Finance &gt; Crowdfunding</v>
      </c>
      <c r="AE374" s="20" t="str">
        <f t="shared" si="25"/>
        <v>Alternative Lending</v>
      </c>
      <c r="AF374" s="20" t="str">
        <f t="shared" si="24"/>
        <v>Online Lenders</v>
      </c>
      <c r="AG374" s="20" t="str">
        <f t="shared" si="24"/>
        <v>Business Loans</v>
      </c>
      <c r="AH374" s="20" t="str">
        <f t="shared" si="24"/>
        <v>Term Loans</v>
      </c>
      <c r="AI374" s="20" t="str">
        <f t="shared" si="24"/>
        <v>Marketplace</v>
      </c>
      <c r="AJ374" s="20" t="str">
        <f t="shared" si="24"/>
        <v>P2P
Crowdfunding</v>
      </c>
      <c r="AK374" s="20" t="str">
        <f t="shared" si="24"/>
        <v>Revenue Sharing</v>
      </c>
      <c r="AL374" s="14" t="s">
        <v>9589</v>
      </c>
      <c r="AM374" s="14"/>
      <c r="AO374" s="14"/>
      <c r="AP374" s="14" t="s">
        <v>2057</v>
      </c>
      <c r="AQ374" s="14"/>
      <c r="AR374" s="14"/>
      <c r="AS374" s="14"/>
      <c r="AT374" s="14"/>
      <c r="AU374" s="14"/>
      <c r="AV374" s="18"/>
      <c r="AW374" s="16"/>
      <c r="AX374" s="17"/>
      <c r="AY374" s="15" t="s">
        <v>3123</v>
      </c>
      <c r="AZ374" s="17"/>
      <c r="BA374" s="16"/>
      <c r="BB374" s="14"/>
      <c r="BC374" s="14"/>
      <c r="BD374" s="15" t="s">
        <v>3123</v>
      </c>
      <c r="BE374" s="14"/>
      <c r="BF374" s="17"/>
      <c r="BG374" s="16"/>
      <c r="BH374" s="14"/>
      <c r="BI374" s="15" t="s">
        <v>3123</v>
      </c>
      <c r="BJ374" s="14"/>
      <c r="BK374" s="17"/>
      <c r="BL374" s="16"/>
      <c r="BM374" s="16"/>
      <c r="BN374" s="16"/>
      <c r="BO374" s="16"/>
      <c r="BP374" s="15" t="s">
        <v>3123</v>
      </c>
      <c r="BQ374" s="17"/>
      <c r="BR374" s="14"/>
      <c r="BS374" s="14"/>
      <c r="BT374" s="16"/>
      <c r="BU374" s="16"/>
      <c r="BV374" s="13"/>
      <c r="BW374" s="18" t="s">
        <v>9591</v>
      </c>
      <c r="BX374" s="13">
        <v>-1</v>
      </c>
      <c r="BY374" s="17">
        <v>44122</v>
      </c>
      <c r="BZ374" s="18"/>
      <c r="CA374" s="18"/>
      <c r="CB374" s="18"/>
      <c r="CC374" s="18"/>
      <c r="CD374" s="14" t="s">
        <v>9592</v>
      </c>
      <c r="CE374" s="17">
        <v>42662</v>
      </c>
      <c r="CF374" s="16"/>
      <c r="CG374" s="17"/>
      <c r="CH374" s="16"/>
      <c r="CI374" s="17"/>
      <c r="CJ374" s="16"/>
      <c r="CK374" s="17"/>
      <c r="CL374" s="16"/>
      <c r="CM374" s="17"/>
      <c r="CN374" s="19">
        <v>30.641521450000564</v>
      </c>
      <c r="CO374" s="19"/>
      <c r="CP374" s="17"/>
      <c r="CQ374" s="14" t="s">
        <v>6556</v>
      </c>
      <c r="CR374" s="14" t="s">
        <v>6557</v>
      </c>
      <c r="CS374" s="14" t="s">
        <v>5945</v>
      </c>
    </row>
    <row r="375" spans="1:97" ht="26.15" customHeight="1">
      <c r="A375" s="2">
        <v>417</v>
      </c>
      <c r="B375" s="25" t="s">
        <v>2347</v>
      </c>
      <c r="C375" s="25" t="e">
        <f>VLOOKUP(B375, Sheet6!$A$1:$B$77, 2, FALSE)</f>
        <v>#N/A</v>
      </c>
      <c r="D375" s="25" t="s">
        <v>2348</v>
      </c>
      <c r="E375" s="25" t="s">
        <v>2350</v>
      </c>
      <c r="F375" s="25" t="s">
        <v>9430</v>
      </c>
      <c r="G375" s="25" t="s">
        <v>10955</v>
      </c>
      <c r="H375" s="25" t="s">
        <v>10558</v>
      </c>
      <c r="I375" s="25" t="s">
        <v>10558</v>
      </c>
      <c r="J375" s="25" t="s">
        <v>10846</v>
      </c>
      <c r="L375" s="13">
        <v>2013</v>
      </c>
      <c r="M375" s="14" t="s">
        <v>4993</v>
      </c>
      <c r="N375" s="14" t="s">
        <v>4994</v>
      </c>
      <c r="O375" s="14" t="s">
        <v>2057</v>
      </c>
      <c r="P375" s="15" t="s">
        <v>3117</v>
      </c>
      <c r="Q375" s="16">
        <v>26000000</v>
      </c>
      <c r="R375" s="17">
        <v>42205</v>
      </c>
      <c r="S375" s="16" t="s">
        <v>9593</v>
      </c>
      <c r="T375" s="16">
        <v>16000000</v>
      </c>
      <c r="U375" s="14" t="s">
        <v>25</v>
      </c>
      <c r="V375" s="13">
        <v>5</v>
      </c>
      <c r="W375" s="17">
        <v>44028</v>
      </c>
      <c r="X375" s="14" t="s">
        <v>5544</v>
      </c>
      <c r="Y375" s="17">
        <v>44027</v>
      </c>
      <c r="Z375" s="17">
        <v>42186</v>
      </c>
      <c r="AA375" s="14" t="s">
        <v>1</v>
      </c>
      <c r="AB375" s="14" t="s">
        <v>5007</v>
      </c>
      <c r="AC375" s="14" t="s">
        <v>6157</v>
      </c>
      <c r="AD375" s="20" t="str">
        <f t="shared" si="22"/>
        <v>Crop Tech &gt; ECommerce &gt; Farm Inputs &gt; Multi Category &gt; Marketplace</v>
      </c>
      <c r="AE375" s="20" t="str">
        <f t="shared" si="25"/>
        <v>Crop Tech</v>
      </c>
      <c r="AF375" s="20" t="str">
        <f t="shared" si="24"/>
        <v>ECommerce</v>
      </c>
      <c r="AG375" s="20" t="str">
        <f t="shared" si="24"/>
        <v>Farm Inputs</v>
      </c>
      <c r="AH375" s="20" t="str">
        <f t="shared" si="24"/>
        <v>Multi Category</v>
      </c>
      <c r="AI375" s="20" t="str">
        <f t="shared" si="24"/>
        <v>Marketplace</v>
      </c>
      <c r="AJ375" s="20" t="str">
        <f t="shared" si="24"/>
        <v/>
      </c>
      <c r="AK375" s="20" t="str">
        <f t="shared" si="24"/>
        <v/>
      </c>
      <c r="AL375" s="14" t="s">
        <v>4762</v>
      </c>
      <c r="AM375" s="14"/>
      <c r="AO375" s="14"/>
      <c r="AP375" s="14" t="s">
        <v>2057</v>
      </c>
      <c r="AQ375" s="14"/>
      <c r="AR375" s="14"/>
      <c r="AS375" s="14" t="s">
        <v>9595</v>
      </c>
      <c r="AT375" s="14"/>
      <c r="AU375" s="14"/>
      <c r="AV375" s="18"/>
      <c r="AW375" s="16"/>
      <c r="AX375" s="17"/>
      <c r="AY375" s="15" t="s">
        <v>3123</v>
      </c>
      <c r="AZ375" s="17"/>
      <c r="BA375" s="16"/>
      <c r="BB375" s="14"/>
      <c r="BC375" s="14"/>
      <c r="BD375" s="15" t="s">
        <v>3123</v>
      </c>
      <c r="BE375" s="14"/>
      <c r="BF375" s="17"/>
      <c r="BG375" s="16"/>
      <c r="BH375" s="14"/>
      <c r="BI375" s="15" t="s">
        <v>3123</v>
      </c>
      <c r="BJ375" s="14"/>
      <c r="BK375" s="17"/>
      <c r="BL375" s="16"/>
      <c r="BM375" s="16"/>
      <c r="BN375" s="16"/>
      <c r="BO375" s="16"/>
      <c r="BP375" s="15" t="s">
        <v>3123</v>
      </c>
      <c r="BQ375" s="17"/>
      <c r="BR375" s="14"/>
      <c r="BS375" s="14"/>
      <c r="BT375" s="16"/>
      <c r="BU375" s="16"/>
      <c r="BV375" s="13"/>
      <c r="BW375" s="18" t="s">
        <v>9596</v>
      </c>
      <c r="BX375" s="13">
        <v>-1</v>
      </c>
      <c r="BY375" s="17">
        <v>44122</v>
      </c>
      <c r="BZ375" s="18" t="s">
        <v>9597</v>
      </c>
      <c r="CA375" s="18"/>
      <c r="CB375" s="18"/>
      <c r="CC375" s="18"/>
      <c r="CD375" s="14" t="s">
        <v>9598</v>
      </c>
      <c r="CE375" s="17">
        <v>42933</v>
      </c>
      <c r="CF375" s="16"/>
      <c r="CG375" s="17"/>
      <c r="CH375" s="16"/>
      <c r="CI375" s="17"/>
      <c r="CJ375" s="16"/>
      <c r="CK375" s="17"/>
      <c r="CL375" s="16"/>
      <c r="CM375" s="17"/>
      <c r="CN375" s="19">
        <v>24.151240442133403</v>
      </c>
      <c r="CO375" s="19"/>
      <c r="CP375" s="17"/>
      <c r="CQ375" s="14" t="s">
        <v>7816</v>
      </c>
      <c r="CR375" s="14" t="s">
        <v>7522</v>
      </c>
      <c r="CS375" s="14" t="s">
        <v>5945</v>
      </c>
    </row>
    <row r="376" spans="1:97" ht="26.15" customHeight="1">
      <c r="A376" s="2">
        <v>341</v>
      </c>
      <c r="B376" s="25" t="s">
        <v>2574</v>
      </c>
      <c r="C376" s="25" t="e">
        <f>VLOOKUP(B376, Sheet6!$A$1:$B$77, 2, FALSE)</f>
        <v>#N/A</v>
      </c>
      <c r="D376" s="25" t="s">
        <v>2575</v>
      </c>
      <c r="E376" s="25" t="s">
        <v>2576</v>
      </c>
      <c r="F376" s="25" t="s">
        <v>9024</v>
      </c>
      <c r="G376" s="25" t="s">
        <v>10955</v>
      </c>
      <c r="H376" s="25" t="s">
        <v>10558</v>
      </c>
      <c r="I376" s="25" t="s">
        <v>10558</v>
      </c>
      <c r="J376" s="25" t="s">
        <v>10517</v>
      </c>
      <c r="L376" s="13">
        <v>2014</v>
      </c>
      <c r="M376" s="14" t="s">
        <v>4993</v>
      </c>
      <c r="N376" s="14" t="s">
        <v>4994</v>
      </c>
      <c r="O376" s="14" t="s">
        <v>2057</v>
      </c>
      <c r="P376" s="15" t="s">
        <v>3117</v>
      </c>
      <c r="Q376" s="16">
        <v>1303000000</v>
      </c>
      <c r="R376" s="17">
        <v>43382</v>
      </c>
      <c r="S376" s="16" t="s">
        <v>8227</v>
      </c>
      <c r="T376" s="16">
        <v>600000000</v>
      </c>
      <c r="U376" s="14" t="s">
        <v>1410</v>
      </c>
      <c r="V376" s="13">
        <v>5</v>
      </c>
      <c r="W376" s="17">
        <v>44014</v>
      </c>
      <c r="X376" s="14" t="s">
        <v>8228</v>
      </c>
      <c r="Y376" s="17">
        <v>43804</v>
      </c>
      <c r="Z376" s="17">
        <v>43111</v>
      </c>
      <c r="AA376" s="14" t="s">
        <v>5509</v>
      </c>
      <c r="AB376" s="14" t="s">
        <v>5510</v>
      </c>
      <c r="AC376" s="14" t="s">
        <v>7819</v>
      </c>
      <c r="AD376" s="20" t="str">
        <f t="shared" si="22"/>
        <v>B2B E-Commerce &gt; Food &amp; Beverages &gt; Groceries &gt; Farm Products &gt; E-Distributor
Online Grocery &gt; B2B Ecommerce &gt; Farm Produce &gt; Multi-Category &gt; E-Distributor
Crop Tech &gt; ECommerce &gt; Farm Produce &gt; B2B &gt; Fruits and Vegetables &gt; E Distributor</v>
      </c>
      <c r="AE376" s="20" t="str">
        <f t="shared" si="25"/>
        <v>B2B E-Commerce</v>
      </c>
      <c r="AF376" s="20" t="str">
        <f t="shared" si="24"/>
        <v>Food &amp; Beverages</v>
      </c>
      <c r="AG376" s="20" t="str">
        <f t="shared" si="24"/>
        <v>Groceries</v>
      </c>
      <c r="AH376" s="20" t="str">
        <f t="shared" si="24"/>
        <v>Farm Products</v>
      </c>
      <c r="AI376" s="20" t="str">
        <f t="shared" si="24"/>
        <v>E-Distributor
Online Grocery</v>
      </c>
      <c r="AJ376" s="20" t="str">
        <f t="shared" si="24"/>
        <v>B2B Ecommerce</v>
      </c>
      <c r="AK376" s="20" t="str">
        <f t="shared" si="24"/>
        <v>Farm Produce</v>
      </c>
      <c r="AL376" s="14" t="s">
        <v>8229</v>
      </c>
      <c r="AM376" s="14"/>
      <c r="AO376" s="14"/>
      <c r="AP376" s="14" t="s">
        <v>2057</v>
      </c>
      <c r="AQ376" s="14"/>
      <c r="AR376" s="14"/>
      <c r="AS376" s="14" t="s">
        <v>8231</v>
      </c>
      <c r="AT376" s="14" t="s">
        <v>8232</v>
      </c>
      <c r="AU376" s="14" t="s">
        <v>8233</v>
      </c>
      <c r="AV376" s="18"/>
      <c r="AW376" s="16"/>
      <c r="AX376" s="17"/>
      <c r="AY376" s="15" t="s">
        <v>3123</v>
      </c>
      <c r="AZ376" s="17"/>
      <c r="BA376" s="16"/>
      <c r="BB376" s="14"/>
      <c r="BC376" s="14"/>
      <c r="BD376" s="15" t="s">
        <v>3123</v>
      </c>
      <c r="BE376" s="14"/>
      <c r="BF376" s="17"/>
      <c r="BG376" s="16"/>
      <c r="BH376" s="14"/>
      <c r="BI376" s="15" t="s">
        <v>3123</v>
      </c>
      <c r="BJ376" s="14"/>
      <c r="BK376" s="17"/>
      <c r="BL376" s="16"/>
      <c r="BM376" s="16"/>
      <c r="BN376" s="16"/>
      <c r="BO376" s="16"/>
      <c r="BP376" s="15" t="s">
        <v>3123</v>
      </c>
      <c r="BQ376" s="17"/>
      <c r="BR376" s="14"/>
      <c r="BS376" s="14"/>
      <c r="BT376" s="16"/>
      <c r="BU376" s="16"/>
      <c r="BV376" s="13"/>
      <c r="BW376" s="18" t="s">
        <v>8234</v>
      </c>
      <c r="BX376" s="13">
        <v>200</v>
      </c>
      <c r="BY376" s="17">
        <v>44122</v>
      </c>
      <c r="BZ376" s="18" t="s">
        <v>8235</v>
      </c>
      <c r="CA376" s="18"/>
      <c r="CB376" s="18"/>
      <c r="CC376" s="18"/>
      <c r="CD376" s="14" t="s">
        <v>8236</v>
      </c>
      <c r="CE376" s="17">
        <v>42430</v>
      </c>
      <c r="CF376" s="16"/>
      <c r="CG376" s="17"/>
      <c r="CH376" s="16"/>
      <c r="CI376" s="17"/>
      <c r="CJ376" s="16"/>
      <c r="CK376" s="17"/>
      <c r="CL376" s="16"/>
      <c r="CM376" s="17"/>
      <c r="CN376" s="19">
        <v>44.690128028016112</v>
      </c>
      <c r="CO376" s="19"/>
      <c r="CP376" s="17"/>
      <c r="CQ376" s="14" t="s">
        <v>5036</v>
      </c>
      <c r="CR376" s="14" t="s">
        <v>7827</v>
      </c>
      <c r="CS376" s="14" t="s">
        <v>5004</v>
      </c>
    </row>
    <row r="377" spans="1:97" ht="26.15" customHeight="1">
      <c r="A377" s="2">
        <v>159</v>
      </c>
      <c r="B377" s="25" t="s">
        <v>1063</v>
      </c>
      <c r="C377" s="25" t="e">
        <f>VLOOKUP(B377, Sheet6!$A$1:$B$77, 2, FALSE)</f>
        <v>#N/A</v>
      </c>
      <c r="D377" s="25" t="s">
        <v>1064</v>
      </c>
      <c r="E377" s="25" t="s">
        <v>1066</v>
      </c>
      <c r="F377" s="25" t="s">
        <v>7047</v>
      </c>
      <c r="G377" s="25" t="s">
        <v>10955</v>
      </c>
      <c r="H377" s="25" t="s">
        <v>10959</v>
      </c>
      <c r="I377" s="25" t="s">
        <v>10958</v>
      </c>
      <c r="J377" s="26" t="s">
        <v>10846</v>
      </c>
      <c r="L377" s="13">
        <v>2015</v>
      </c>
      <c r="M377" s="14" t="s">
        <v>4993</v>
      </c>
      <c r="N377" s="14" t="s">
        <v>4994</v>
      </c>
      <c r="O377" s="14" t="s">
        <v>2057</v>
      </c>
      <c r="P377" s="15" t="s">
        <v>3117</v>
      </c>
      <c r="Q377" s="16">
        <v>15000000</v>
      </c>
      <c r="R377" s="17">
        <v>42042</v>
      </c>
      <c r="S377" s="16" t="s">
        <v>5755</v>
      </c>
      <c r="T377" s="16">
        <v>15000000</v>
      </c>
      <c r="U377" s="14" t="s">
        <v>5630</v>
      </c>
      <c r="V377" s="13"/>
      <c r="W377" s="17"/>
      <c r="X377" s="14"/>
      <c r="Y377" s="17"/>
      <c r="Z377" s="17"/>
      <c r="AA377" s="14" t="s">
        <v>5509</v>
      </c>
      <c r="AB377" s="14" t="s">
        <v>5510</v>
      </c>
      <c r="AC377" s="14" t="s">
        <v>7819</v>
      </c>
      <c r="AD377" s="20" t="str">
        <f t="shared" si="22"/>
        <v>B2B E-Commerce &gt; Food &amp; Beverages &gt; Groceries &gt; Farm Products &gt; E-Distributor
Online Grocery &gt; B2B Ecommerce &gt; Farm Produce &gt; Multi-Category &gt; E-Distributor
Crop Tech &gt; ECommerce &gt; Farm Produce &gt; B2B &gt; Fruits and Vegetables &gt; E Distributor</v>
      </c>
      <c r="AE377" s="20" t="str">
        <f t="shared" si="25"/>
        <v>B2B E-Commerce</v>
      </c>
      <c r="AF377" s="20" t="str">
        <f t="shared" si="24"/>
        <v>Food &amp; Beverages</v>
      </c>
      <c r="AG377" s="20" t="str">
        <f t="shared" si="24"/>
        <v>Groceries</v>
      </c>
      <c r="AH377" s="20" t="str">
        <f t="shared" si="24"/>
        <v>Farm Products</v>
      </c>
      <c r="AI377" s="20" t="str">
        <f t="shared" si="24"/>
        <v>E-Distributor
Online Grocery</v>
      </c>
      <c r="AJ377" s="20" t="str">
        <f t="shared" si="24"/>
        <v>B2B Ecommerce</v>
      </c>
      <c r="AK377" s="20" t="str">
        <f t="shared" si="24"/>
        <v>Farm Produce</v>
      </c>
      <c r="AL377" s="14"/>
      <c r="AM377" s="14"/>
      <c r="AO377" s="14"/>
      <c r="AP377" s="14" t="s">
        <v>2057</v>
      </c>
      <c r="AQ377" s="14"/>
      <c r="AR377" s="14"/>
      <c r="AS377" s="14" t="s">
        <v>9600</v>
      </c>
      <c r="AT377" s="14"/>
      <c r="AU377" s="14" t="s">
        <v>9601</v>
      </c>
      <c r="AV377" s="18"/>
      <c r="AW377" s="16"/>
      <c r="AX377" s="17"/>
      <c r="AY377" s="15" t="s">
        <v>3123</v>
      </c>
      <c r="AZ377" s="17"/>
      <c r="BA377" s="16"/>
      <c r="BB377" s="14"/>
      <c r="BC377" s="14"/>
      <c r="BD377" s="15" t="s">
        <v>3123</v>
      </c>
      <c r="BE377" s="14"/>
      <c r="BF377" s="17"/>
      <c r="BG377" s="16"/>
      <c r="BH377" s="14"/>
      <c r="BI377" s="15" t="s">
        <v>3123</v>
      </c>
      <c r="BJ377" s="14"/>
      <c r="BK377" s="17"/>
      <c r="BL377" s="16"/>
      <c r="BM377" s="16"/>
      <c r="BN377" s="16"/>
      <c r="BO377" s="16"/>
      <c r="BP377" s="15" t="s">
        <v>3117</v>
      </c>
      <c r="BQ377" s="17"/>
      <c r="BR377" s="14"/>
      <c r="BS377" s="14"/>
      <c r="BT377" s="16"/>
      <c r="BU377" s="16"/>
      <c r="BV377" s="13"/>
      <c r="BW377" s="18" t="s">
        <v>9602</v>
      </c>
      <c r="BX377" s="13">
        <v>-1</v>
      </c>
      <c r="BY377" s="17">
        <v>44122</v>
      </c>
      <c r="BZ377" s="18" t="s">
        <v>9603</v>
      </c>
      <c r="CA377" s="18"/>
      <c r="CB377" s="18"/>
      <c r="CC377" s="18"/>
      <c r="CD377" s="14" t="s">
        <v>9604</v>
      </c>
      <c r="CE377" s="17">
        <v>42565</v>
      </c>
      <c r="CF377" s="16"/>
      <c r="CG377" s="17"/>
      <c r="CH377" s="16"/>
      <c r="CI377" s="17"/>
      <c r="CJ377" s="16"/>
      <c r="CK377" s="17"/>
      <c r="CL377" s="16"/>
      <c r="CM377" s="17"/>
      <c r="CN377" s="19">
        <v>12.507275321969381</v>
      </c>
      <c r="CO377" s="19"/>
      <c r="CP377" s="17"/>
      <c r="CQ377" s="14" t="s">
        <v>5036</v>
      </c>
      <c r="CR377" s="14" t="s">
        <v>7249</v>
      </c>
      <c r="CS377" s="14" t="s">
        <v>6074</v>
      </c>
    </row>
    <row r="378" spans="1:97" ht="26.15" customHeight="1">
      <c r="A378" s="2">
        <v>220</v>
      </c>
      <c r="B378" s="25" t="s">
        <v>353</v>
      </c>
      <c r="C378" s="25" t="e">
        <f>VLOOKUP(B378, Sheet6!$A$1:$B$77, 2, FALSE)</f>
        <v>#N/A</v>
      </c>
      <c r="D378" s="25" t="s">
        <v>354</v>
      </c>
      <c r="E378" s="25" t="s">
        <v>358</v>
      </c>
      <c r="F378" s="25" t="s">
        <v>7766</v>
      </c>
      <c r="G378" s="25" t="s">
        <v>10955</v>
      </c>
      <c r="H378" s="25" t="s">
        <v>10959</v>
      </c>
      <c r="I378" s="25" t="s">
        <v>10958</v>
      </c>
      <c r="J378" s="26" t="s">
        <v>10770</v>
      </c>
      <c r="L378" s="13">
        <v>2013</v>
      </c>
      <c r="M378" s="14" t="s">
        <v>6630</v>
      </c>
      <c r="N378" s="14" t="s">
        <v>6631</v>
      </c>
      <c r="O378" s="14" t="s">
        <v>6632</v>
      </c>
      <c r="P378" s="15" t="s">
        <v>3117</v>
      </c>
      <c r="Q378" s="16">
        <v>400000</v>
      </c>
      <c r="R378" s="17">
        <v>41791</v>
      </c>
      <c r="S378" s="16" t="s">
        <v>9605</v>
      </c>
      <c r="T378" s="16">
        <v>400000</v>
      </c>
      <c r="U378" s="14" t="s">
        <v>34</v>
      </c>
      <c r="V378" s="13"/>
      <c r="W378" s="17"/>
      <c r="X378" s="14"/>
      <c r="Y378" s="17"/>
      <c r="Z378" s="17"/>
      <c r="AA378" s="14" t="s">
        <v>1</v>
      </c>
      <c r="AB378" s="14" t="s">
        <v>5007</v>
      </c>
      <c r="AC378" s="14" t="s">
        <v>6299</v>
      </c>
      <c r="AD378" s="20" t="str">
        <f t="shared" si="22"/>
        <v>Crop Tech &gt; ECommerce &gt; Farm Produce &gt; B2C &gt; Fruits and Vegetables &gt; Marketplace</v>
      </c>
      <c r="AE378" s="20" t="str">
        <f t="shared" si="25"/>
        <v>Crop Tech</v>
      </c>
      <c r="AF378" s="20" t="str">
        <f t="shared" si="24"/>
        <v>ECommerce</v>
      </c>
      <c r="AG378" s="20" t="str">
        <f t="shared" si="24"/>
        <v>Farm Produce</v>
      </c>
      <c r="AH378" s="20" t="str">
        <f t="shared" si="24"/>
        <v>B2C</v>
      </c>
      <c r="AI378" s="20" t="str">
        <f t="shared" si="24"/>
        <v>Fruits and Vegetables</v>
      </c>
      <c r="AJ378" s="20" t="str">
        <f t="shared" si="24"/>
        <v>Marketplace</v>
      </c>
      <c r="AK378" s="20" t="str">
        <f t="shared" si="24"/>
        <v/>
      </c>
      <c r="AL378" s="14" t="s">
        <v>180</v>
      </c>
      <c r="AM378" s="14"/>
      <c r="AO378" s="14"/>
      <c r="AP378" s="14" t="s">
        <v>6632</v>
      </c>
      <c r="AQ378" s="14" t="s">
        <v>9607</v>
      </c>
      <c r="AR378" s="14"/>
      <c r="AS378" s="14" t="s">
        <v>9608</v>
      </c>
      <c r="AT378" s="14" t="s">
        <v>9609</v>
      </c>
      <c r="AU378" s="14" t="s">
        <v>9610</v>
      </c>
      <c r="AV378" s="18"/>
      <c r="AW378" s="16"/>
      <c r="AX378" s="17"/>
      <c r="AY378" s="15" t="s">
        <v>3123</v>
      </c>
      <c r="AZ378" s="17"/>
      <c r="BA378" s="16"/>
      <c r="BB378" s="14"/>
      <c r="BC378" s="14"/>
      <c r="BD378" s="15" t="s">
        <v>3123</v>
      </c>
      <c r="BE378" s="14"/>
      <c r="BF378" s="17"/>
      <c r="BG378" s="16"/>
      <c r="BH378" s="14"/>
      <c r="BI378" s="15" t="s">
        <v>3123</v>
      </c>
      <c r="BJ378" s="14"/>
      <c r="BK378" s="17"/>
      <c r="BL378" s="16"/>
      <c r="BM378" s="16"/>
      <c r="BN378" s="16"/>
      <c r="BO378" s="16"/>
      <c r="BP378" s="15" t="s">
        <v>3123</v>
      </c>
      <c r="BQ378" s="17"/>
      <c r="BR378" s="14"/>
      <c r="BS378" s="14"/>
      <c r="BT378" s="16"/>
      <c r="BU378" s="16"/>
      <c r="BV378" s="13"/>
      <c r="BW378" s="18" t="s">
        <v>9611</v>
      </c>
      <c r="BX378" s="13">
        <v>302</v>
      </c>
      <c r="BY378" s="17">
        <v>44122</v>
      </c>
      <c r="BZ378" s="18" t="s">
        <v>9612</v>
      </c>
      <c r="CA378" s="18" t="s">
        <v>9613</v>
      </c>
      <c r="CB378" s="18" t="s">
        <v>9614</v>
      </c>
      <c r="CC378" s="18"/>
      <c r="CD378" s="14" t="s">
        <v>9615</v>
      </c>
      <c r="CE378" s="17">
        <v>43020</v>
      </c>
      <c r="CF378" s="16"/>
      <c r="CG378" s="17"/>
      <c r="CH378" s="16"/>
      <c r="CI378" s="17"/>
      <c r="CJ378" s="16"/>
      <c r="CK378" s="17"/>
      <c r="CL378" s="16"/>
      <c r="CM378" s="17"/>
      <c r="CN378" s="19">
        <v>31.814637870185315</v>
      </c>
      <c r="CO378" s="19"/>
      <c r="CP378" s="17"/>
      <c r="CQ378" s="14" t="s">
        <v>7606</v>
      </c>
      <c r="CR378" s="14" t="s">
        <v>7607</v>
      </c>
      <c r="CS378" s="14" t="s">
        <v>5945</v>
      </c>
    </row>
    <row r="379" spans="1:97" ht="26.15" customHeight="1">
      <c r="A379" s="2">
        <v>96</v>
      </c>
      <c r="B379" s="25" t="s">
        <v>1913</v>
      </c>
      <c r="C379" s="25" t="e">
        <f>VLOOKUP(B379, Sheet6!$A$1:$B$77, 2, FALSE)</f>
        <v>#N/A</v>
      </c>
      <c r="D379" s="25" t="s">
        <v>1914</v>
      </c>
      <c r="E379" s="25" t="s">
        <v>1917</v>
      </c>
      <c r="F379" s="25" t="s">
        <v>6269</v>
      </c>
      <c r="G379" s="25" t="s">
        <v>10952</v>
      </c>
      <c r="H379" s="25" t="s">
        <v>10959</v>
      </c>
      <c r="I379" s="25" t="s">
        <v>10958</v>
      </c>
      <c r="J379" s="26" t="s">
        <v>10850</v>
      </c>
      <c r="L379" s="13">
        <v>2010</v>
      </c>
      <c r="M379" s="14" t="s">
        <v>5038</v>
      </c>
      <c r="N379" s="14" t="s">
        <v>5039</v>
      </c>
      <c r="O379" s="14" t="s">
        <v>3994</v>
      </c>
      <c r="P379" s="15" t="s">
        <v>3117</v>
      </c>
      <c r="Q379" s="16">
        <v>15568800</v>
      </c>
      <c r="R379" s="17">
        <v>43424</v>
      </c>
      <c r="S379" s="16" t="s">
        <v>7941</v>
      </c>
      <c r="T379" s="16">
        <v>8113650</v>
      </c>
      <c r="U379" s="14" t="s">
        <v>25</v>
      </c>
      <c r="V379" s="13">
        <v>5</v>
      </c>
      <c r="W379" s="17">
        <v>44098</v>
      </c>
      <c r="X379" s="14" t="s">
        <v>5052</v>
      </c>
      <c r="Y379" s="17">
        <v>44042</v>
      </c>
      <c r="Z379" s="17">
        <v>42522</v>
      </c>
      <c r="AA379" s="14" t="s">
        <v>8237</v>
      </c>
      <c r="AB379" s="14" t="s">
        <v>8238</v>
      </c>
      <c r="AC379" s="14" t="s">
        <v>8239</v>
      </c>
      <c r="AD379" s="20" t="str">
        <f t="shared" ref="AD379:AD437" si="26">IF(IFERROR(LEFT($A379, SEARCH(CHAR(10),$A379)-1),AC379)=0,"",IFERROR(LEFT($A379, SEARCH(CHAR(10),$A379)-1),AC379))</f>
        <v>Cognitive Computing &gt; Applications &gt; Agriculture &gt; Farm Monitoring
Crop Tech &gt; Farm Management Software &gt; Diversified</v>
      </c>
      <c r="AE379" s="20" t="str">
        <f t="shared" si="25"/>
        <v>Cognitive Computing</v>
      </c>
      <c r="AF379" s="20" t="str">
        <f t="shared" si="24"/>
        <v>Applications</v>
      </c>
      <c r="AG379" s="20" t="str">
        <f t="shared" si="24"/>
        <v>Agriculture</v>
      </c>
      <c r="AH379" s="20" t="str">
        <f t="shared" si="24"/>
        <v>Farm Monitoring
Crop Tech</v>
      </c>
      <c r="AI379" s="20" t="str">
        <f t="shared" si="24"/>
        <v>Farm Management Software</v>
      </c>
      <c r="AJ379" s="20" t="str">
        <f t="shared" si="24"/>
        <v>Diversified</v>
      </c>
      <c r="AK379" s="20" t="str">
        <f t="shared" si="24"/>
        <v/>
      </c>
      <c r="AL379" s="14" t="s">
        <v>8240</v>
      </c>
      <c r="AM379" s="14" t="s">
        <v>8241</v>
      </c>
      <c r="AO379" s="14"/>
      <c r="AP379" s="14" t="s">
        <v>3994</v>
      </c>
      <c r="AQ379" s="14" t="s">
        <v>8243</v>
      </c>
      <c r="AR379" s="14" t="s">
        <v>8244</v>
      </c>
      <c r="AS379" s="14" t="s">
        <v>8245</v>
      </c>
      <c r="AT379" s="14" t="s">
        <v>8246</v>
      </c>
      <c r="AU379" s="14" t="s">
        <v>8247</v>
      </c>
      <c r="AV379" s="18"/>
      <c r="AW379" s="16">
        <v>1622700</v>
      </c>
      <c r="AX379" s="17">
        <v>43465</v>
      </c>
      <c r="AY379" s="15" t="s">
        <v>3117</v>
      </c>
      <c r="AZ379" s="17">
        <v>40416</v>
      </c>
      <c r="BA379" s="16">
        <v>2132</v>
      </c>
      <c r="BB379" s="14" t="s">
        <v>8248</v>
      </c>
      <c r="BC379" s="14"/>
      <c r="BD379" s="15" t="s">
        <v>3123</v>
      </c>
      <c r="BE379" s="14"/>
      <c r="BF379" s="17"/>
      <c r="BG379" s="16"/>
      <c r="BH379" s="14"/>
      <c r="BI379" s="15" t="s">
        <v>3123</v>
      </c>
      <c r="BJ379" s="14"/>
      <c r="BK379" s="17"/>
      <c r="BL379" s="16"/>
      <c r="BM379" s="16"/>
      <c r="BN379" s="16"/>
      <c r="BO379" s="16"/>
      <c r="BP379" s="15" t="s">
        <v>3123</v>
      </c>
      <c r="BQ379" s="17"/>
      <c r="BR379" s="14"/>
      <c r="BS379" s="14"/>
      <c r="BT379" s="16"/>
      <c r="BU379" s="16"/>
      <c r="BV379" s="13"/>
      <c r="BW379" s="18" t="s">
        <v>8249</v>
      </c>
      <c r="BX379" s="13">
        <v>200</v>
      </c>
      <c r="BY379" s="17">
        <v>44122</v>
      </c>
      <c r="BZ379" s="18" t="s">
        <v>8250</v>
      </c>
      <c r="CA379" s="18" t="s">
        <v>8251</v>
      </c>
      <c r="CB379" s="18" t="s">
        <v>8252</v>
      </c>
      <c r="CC379" s="18" t="s">
        <v>8253</v>
      </c>
      <c r="CD379" s="14" t="s">
        <v>8254</v>
      </c>
      <c r="CE379" s="17">
        <v>43353</v>
      </c>
      <c r="CF379" s="16">
        <v>-2289300</v>
      </c>
      <c r="CG379" s="17">
        <v>43465</v>
      </c>
      <c r="CH379" s="16">
        <v>-1768900</v>
      </c>
      <c r="CI379" s="17">
        <v>43465</v>
      </c>
      <c r="CJ379" s="16">
        <v>28000000</v>
      </c>
      <c r="CK379" s="17">
        <v>43357</v>
      </c>
      <c r="CL379" s="16">
        <v>172</v>
      </c>
      <c r="CM379" s="17">
        <v>44012</v>
      </c>
      <c r="CN379" s="19">
        <v>60.337808733667373</v>
      </c>
      <c r="CO379" s="19"/>
      <c r="CP379" s="17"/>
      <c r="CQ379" s="14" t="s">
        <v>7305</v>
      </c>
      <c r="CR379" s="14" t="s">
        <v>5879</v>
      </c>
      <c r="CS379" s="14" t="s">
        <v>5004</v>
      </c>
    </row>
    <row r="380" spans="1:97" ht="26.15" customHeight="1">
      <c r="A380" s="2">
        <v>338</v>
      </c>
      <c r="B380" s="25" t="s">
        <v>3081</v>
      </c>
      <c r="C380" s="25" t="e">
        <f>VLOOKUP(B380, Sheet6!$A$1:$B$77, 2, FALSE)</f>
        <v>#N/A</v>
      </c>
      <c r="D380" s="25" t="s">
        <v>3082</v>
      </c>
      <c r="E380" s="25" t="s">
        <v>3083</v>
      </c>
      <c r="F380" s="25" t="s">
        <v>9007</v>
      </c>
      <c r="G380" s="25" t="s">
        <v>10955</v>
      </c>
      <c r="H380" s="25" t="s">
        <v>10959</v>
      </c>
      <c r="I380" s="25" t="s">
        <v>10558</v>
      </c>
      <c r="J380" s="25" t="s">
        <v>10770</v>
      </c>
      <c r="L380" s="13">
        <v>2015</v>
      </c>
      <c r="M380" s="14" t="s">
        <v>5038</v>
      </c>
      <c r="N380" s="14" t="s">
        <v>5039</v>
      </c>
      <c r="O380" s="14" t="s">
        <v>3994</v>
      </c>
      <c r="P380" s="15" t="s">
        <v>3117</v>
      </c>
      <c r="Q380" s="16">
        <v>163285834</v>
      </c>
      <c r="R380" s="17">
        <v>44116</v>
      </c>
      <c r="S380" s="16"/>
      <c r="T380" s="16" t="s">
        <v>50</v>
      </c>
      <c r="U380" s="14" t="s">
        <v>95</v>
      </c>
      <c r="V380" s="13">
        <v>5</v>
      </c>
      <c r="W380" s="17">
        <v>44110</v>
      </c>
      <c r="X380" s="14" t="s">
        <v>5544</v>
      </c>
      <c r="Y380" s="17">
        <v>44124</v>
      </c>
      <c r="Z380" s="17">
        <v>43446</v>
      </c>
      <c r="AA380" s="14" t="s">
        <v>8255</v>
      </c>
      <c r="AB380" s="14" t="s">
        <v>8256</v>
      </c>
      <c r="AC380" s="14" t="s">
        <v>8257</v>
      </c>
      <c r="AD380" s="20" t="str">
        <f t="shared" si="26"/>
        <v>Logistics Tech &gt; Parcel &gt; Hyperlocal &gt; B2B &gt; Food
B2B E-Commerce &gt; Food &amp; Beverages &gt; Groceries &gt; Farm Products &gt; Marketplace
Online Grocery &gt; B2B Ecommerce &gt; Farm Produce &gt; Fruits and Vegetables &gt; Marketplace
Crop Tech &gt; ECommerce &gt; Farm Produce &gt; B2B &gt; Fruits and Vegetables &gt; Marketplace</v>
      </c>
      <c r="AE380" s="20" t="str">
        <f t="shared" si="25"/>
        <v>Logistics Tech</v>
      </c>
      <c r="AF380" s="20" t="str">
        <f t="shared" si="24"/>
        <v>Parcel</v>
      </c>
      <c r="AG380" s="20" t="str">
        <f t="shared" si="24"/>
        <v>Hyperlocal</v>
      </c>
      <c r="AH380" s="20" t="str">
        <f t="shared" si="24"/>
        <v>B2B</v>
      </c>
      <c r="AI380" s="20" t="str">
        <f t="shared" si="24"/>
        <v>Food
B2B E-Commerce</v>
      </c>
      <c r="AJ380" s="20" t="str">
        <f t="shared" si="24"/>
        <v>Food &amp; Beverages</v>
      </c>
      <c r="AK380" s="20" t="str">
        <f t="shared" si="24"/>
        <v>Groceries</v>
      </c>
      <c r="AL380" s="14" t="s">
        <v>8258</v>
      </c>
      <c r="AM380" s="14" t="s">
        <v>8259</v>
      </c>
      <c r="AO380" s="14"/>
      <c r="AP380" s="14" t="s">
        <v>3994</v>
      </c>
      <c r="AQ380" s="14" t="s">
        <v>8261</v>
      </c>
      <c r="AR380" s="14" t="s">
        <v>8262</v>
      </c>
      <c r="AS380" s="14" t="s">
        <v>8263</v>
      </c>
      <c r="AT380" s="14" t="s">
        <v>8264</v>
      </c>
      <c r="AU380" s="14" t="s">
        <v>8265</v>
      </c>
      <c r="AV380" s="18" t="s">
        <v>8266</v>
      </c>
      <c r="AW380" s="16">
        <v>17109500</v>
      </c>
      <c r="AX380" s="17">
        <v>43465</v>
      </c>
      <c r="AY380" s="15" t="s">
        <v>3117</v>
      </c>
      <c r="AZ380" s="17">
        <v>42187</v>
      </c>
      <c r="BA380" s="16">
        <v>1573</v>
      </c>
      <c r="BB380" s="14" t="s">
        <v>8267</v>
      </c>
      <c r="BC380" s="14"/>
      <c r="BD380" s="15" t="s">
        <v>3123</v>
      </c>
      <c r="BE380" s="14"/>
      <c r="BF380" s="17"/>
      <c r="BG380" s="16"/>
      <c r="BH380" s="14"/>
      <c r="BI380" s="15" t="s">
        <v>3123</v>
      </c>
      <c r="BJ380" s="14"/>
      <c r="BK380" s="17"/>
      <c r="BL380" s="16"/>
      <c r="BM380" s="16"/>
      <c r="BN380" s="16"/>
      <c r="BO380" s="16"/>
      <c r="BP380" s="15" t="s">
        <v>3123</v>
      </c>
      <c r="BQ380" s="17"/>
      <c r="BR380" s="14"/>
      <c r="BS380" s="14"/>
      <c r="BT380" s="16"/>
      <c r="BU380" s="16"/>
      <c r="BV380" s="13"/>
      <c r="BW380" s="18" t="s">
        <v>8268</v>
      </c>
      <c r="BX380" s="13">
        <v>200</v>
      </c>
      <c r="BY380" s="17">
        <v>44122</v>
      </c>
      <c r="BZ380" s="18" t="s">
        <v>8269</v>
      </c>
      <c r="CA380" s="18" t="s">
        <v>8270</v>
      </c>
      <c r="CB380" s="18" t="s">
        <v>8271</v>
      </c>
      <c r="CC380" s="18" t="s">
        <v>8272</v>
      </c>
      <c r="CD380" s="14" t="s">
        <v>8273</v>
      </c>
      <c r="CE380" s="17">
        <v>43788</v>
      </c>
      <c r="CF380" s="16">
        <v>-11795100</v>
      </c>
      <c r="CG380" s="17">
        <v>43465</v>
      </c>
      <c r="CH380" s="16">
        <v>-11030500</v>
      </c>
      <c r="CI380" s="17">
        <v>43465</v>
      </c>
      <c r="CJ380" s="16">
        <v>350000000</v>
      </c>
      <c r="CK380" s="17">
        <v>43841</v>
      </c>
      <c r="CL380" s="16">
        <v>3783</v>
      </c>
      <c r="CM380" s="17">
        <v>44012</v>
      </c>
      <c r="CN380" s="19">
        <v>67.923045062986645</v>
      </c>
      <c r="CO380" s="19"/>
      <c r="CP380" s="17"/>
      <c r="CQ380" s="14" t="s">
        <v>8274</v>
      </c>
      <c r="CR380" s="14" t="s">
        <v>8275</v>
      </c>
      <c r="CS380" s="14" t="s">
        <v>5004</v>
      </c>
    </row>
    <row r="381" spans="1:97" ht="26.15" customHeight="1">
      <c r="A381" s="2">
        <v>550</v>
      </c>
      <c r="B381" s="25" t="s">
        <v>2874</v>
      </c>
      <c r="C381" s="25" t="e">
        <f>VLOOKUP(B381, Sheet6!$A$1:$B$77, 2, FALSE)</f>
        <v>#N/A</v>
      </c>
      <c r="D381" s="25" t="s">
        <v>2875</v>
      </c>
      <c r="E381" s="25" t="s">
        <v>2877</v>
      </c>
      <c r="F381" s="25" t="s">
        <v>10431</v>
      </c>
      <c r="G381" s="25" t="s">
        <v>10955</v>
      </c>
      <c r="H381" s="25" t="s">
        <v>10967</v>
      </c>
      <c r="I381" s="25" t="s">
        <v>10558</v>
      </c>
      <c r="J381" s="25" t="s">
        <v>10706</v>
      </c>
      <c r="L381" s="13">
        <v>2014</v>
      </c>
      <c r="M381" s="14" t="s">
        <v>6064</v>
      </c>
      <c r="N381" s="14" t="s">
        <v>6065</v>
      </c>
      <c r="O381" s="14" t="s">
        <v>2057</v>
      </c>
      <c r="P381" s="15" t="s">
        <v>3117</v>
      </c>
      <c r="Q381" s="16">
        <v>22500000</v>
      </c>
      <c r="R381" s="17">
        <v>42550</v>
      </c>
      <c r="S381" s="16" t="s">
        <v>9627</v>
      </c>
      <c r="T381" s="16">
        <v>22500000</v>
      </c>
      <c r="U381" s="14" t="s">
        <v>109</v>
      </c>
      <c r="V381" s="13"/>
      <c r="W381" s="17"/>
      <c r="X381" s="14"/>
      <c r="Y381" s="17"/>
      <c r="Z381" s="17"/>
      <c r="AA381" s="14" t="s">
        <v>5426</v>
      </c>
      <c r="AB381" s="14" t="s">
        <v>6018</v>
      </c>
      <c r="AC381" s="14" t="s">
        <v>9628</v>
      </c>
      <c r="AD381" s="20" t="str">
        <f t="shared" si="26"/>
        <v>Alternative Lending &gt; Online Lenders &gt; Business Loans &gt; Term Loans &gt; Marketplace &gt; P2P
Crop Tech &gt; Finance &gt; Loans</v>
      </c>
      <c r="AE381" s="20" t="str">
        <f t="shared" si="25"/>
        <v>Alternative Lending</v>
      </c>
      <c r="AF381" s="20" t="str">
        <f t="shared" si="24"/>
        <v>Online Lenders</v>
      </c>
      <c r="AG381" s="20" t="str">
        <f t="shared" si="24"/>
        <v>Business Loans</v>
      </c>
      <c r="AH381" s="20" t="str">
        <f t="shared" si="24"/>
        <v>Term Loans</v>
      </c>
      <c r="AI381" s="20" t="str">
        <f t="shared" si="24"/>
        <v>Marketplace</v>
      </c>
      <c r="AJ381" s="20" t="str">
        <f t="shared" si="24"/>
        <v>P2P
Crop Tech</v>
      </c>
      <c r="AK381" s="20" t="str">
        <f t="shared" si="24"/>
        <v>Finance</v>
      </c>
      <c r="AL381" s="14"/>
      <c r="AM381" s="14"/>
      <c r="AO381" s="14"/>
      <c r="AP381" s="14" t="s">
        <v>2057</v>
      </c>
      <c r="AQ381" s="14"/>
      <c r="AR381" s="14"/>
      <c r="AS381" s="14"/>
      <c r="AT381" s="14"/>
      <c r="AU381" s="14"/>
      <c r="AV381" s="18"/>
      <c r="AW381" s="16"/>
      <c r="AX381" s="17"/>
      <c r="AY381" s="15" t="s">
        <v>3123</v>
      </c>
      <c r="AZ381" s="17"/>
      <c r="BA381" s="16"/>
      <c r="BB381" s="14"/>
      <c r="BC381" s="14"/>
      <c r="BD381" s="15" t="s">
        <v>3123</v>
      </c>
      <c r="BE381" s="14"/>
      <c r="BF381" s="17"/>
      <c r="BG381" s="16"/>
      <c r="BH381" s="14"/>
      <c r="BI381" s="15" t="s">
        <v>3123</v>
      </c>
      <c r="BJ381" s="14"/>
      <c r="BK381" s="17"/>
      <c r="BL381" s="16"/>
      <c r="BM381" s="16"/>
      <c r="BN381" s="16"/>
      <c r="BO381" s="16"/>
      <c r="BP381" s="15" t="s">
        <v>3123</v>
      </c>
      <c r="BQ381" s="17"/>
      <c r="BR381" s="14"/>
      <c r="BS381" s="14"/>
      <c r="BT381" s="16"/>
      <c r="BU381" s="16"/>
      <c r="BV381" s="13"/>
      <c r="BW381" s="18" t="s">
        <v>9630</v>
      </c>
      <c r="BX381" s="13">
        <v>-1</v>
      </c>
      <c r="BY381" s="17">
        <v>44122</v>
      </c>
      <c r="BZ381" s="18"/>
      <c r="CA381" s="18"/>
      <c r="CB381" s="18"/>
      <c r="CC381" s="18"/>
      <c r="CD381" s="14" t="s">
        <v>9631</v>
      </c>
      <c r="CE381" s="17">
        <v>42555</v>
      </c>
      <c r="CF381" s="16"/>
      <c r="CG381" s="17"/>
      <c r="CH381" s="16"/>
      <c r="CI381" s="17"/>
      <c r="CJ381" s="16"/>
      <c r="CK381" s="17"/>
      <c r="CL381" s="16"/>
      <c r="CM381" s="17"/>
      <c r="CN381" s="19">
        <v>21.371950454099217</v>
      </c>
      <c r="CO381" s="19"/>
      <c r="CP381" s="17"/>
      <c r="CQ381" s="14" t="s">
        <v>7816</v>
      </c>
      <c r="CR381" s="14" t="s">
        <v>7522</v>
      </c>
      <c r="CS381" s="14" t="s">
        <v>5945</v>
      </c>
    </row>
    <row r="382" spans="1:97" ht="26.15" customHeight="1">
      <c r="A382" s="2">
        <v>128</v>
      </c>
      <c r="B382" s="25" t="s">
        <v>1100</v>
      </c>
      <c r="C382" s="25" t="e">
        <f>VLOOKUP(B382, Sheet6!$A$1:$B$77, 2, FALSE)</f>
        <v>#N/A</v>
      </c>
      <c r="D382" s="25" t="s">
        <v>1101</v>
      </c>
      <c r="E382" s="25" t="s">
        <v>1104</v>
      </c>
      <c r="F382" s="25" t="s">
        <v>6668</v>
      </c>
      <c r="G382" s="25" t="s">
        <v>10955</v>
      </c>
      <c r="H382" s="25" t="s">
        <v>10959</v>
      </c>
      <c r="I382" s="25" t="s">
        <v>10958</v>
      </c>
      <c r="J382" s="26" t="s">
        <v>10759</v>
      </c>
      <c r="L382" s="13">
        <v>1998</v>
      </c>
      <c r="M382" s="14" t="s">
        <v>5067</v>
      </c>
      <c r="N382" s="14" t="s">
        <v>5068</v>
      </c>
      <c r="O382" s="14" t="s">
        <v>3994</v>
      </c>
      <c r="P382" s="15" t="s">
        <v>3117</v>
      </c>
      <c r="Q382" s="16">
        <v>732883</v>
      </c>
      <c r="R382" s="17">
        <v>42670</v>
      </c>
      <c r="S382" s="16" t="s">
        <v>7229</v>
      </c>
      <c r="T382" s="16">
        <v>732883</v>
      </c>
      <c r="U382" s="14" t="s">
        <v>5335</v>
      </c>
      <c r="V382" s="13">
        <v>3</v>
      </c>
      <c r="W382" s="17">
        <v>44003</v>
      </c>
      <c r="X382" s="14"/>
      <c r="Y382" s="17"/>
      <c r="Z382" s="17"/>
      <c r="AA382" s="14" t="s">
        <v>6645</v>
      </c>
      <c r="AB382" s="14" t="s">
        <v>8119</v>
      </c>
      <c r="AC382" s="14" t="s">
        <v>9632</v>
      </c>
      <c r="AD382" s="20" t="str">
        <f t="shared" si="26"/>
        <v>Genomics &gt; Applied Genomics &gt; Agrigenomics
Crop Tech &gt; Farm Inputs &gt; Seeds &gt; Field Crops &gt; Hybrid</v>
      </c>
      <c r="AE382" s="20" t="str">
        <f t="shared" si="25"/>
        <v>Genomics</v>
      </c>
      <c r="AF382" s="20" t="str">
        <f t="shared" si="24"/>
        <v>Applied Genomics</v>
      </c>
      <c r="AG382" s="20" t="str">
        <f t="shared" si="24"/>
        <v>Agrigenomics
Crop Tech</v>
      </c>
      <c r="AH382" s="20" t="str">
        <f t="shared" si="24"/>
        <v>Farm Inputs</v>
      </c>
      <c r="AI382" s="20" t="str">
        <f t="shared" si="24"/>
        <v>Seeds</v>
      </c>
      <c r="AJ382" s="20" t="str">
        <f t="shared" si="24"/>
        <v>Field Crops</v>
      </c>
      <c r="AK382" s="20" t="str">
        <f t="shared" si="24"/>
        <v>Hybrid</v>
      </c>
      <c r="AL382" s="14" t="s">
        <v>9633</v>
      </c>
      <c r="AM382" s="14"/>
      <c r="AO382" s="14"/>
      <c r="AP382" s="14" t="s">
        <v>3994</v>
      </c>
      <c r="AQ382" s="14" t="s">
        <v>9635</v>
      </c>
      <c r="AR382" s="14"/>
      <c r="AS382" s="14" t="s">
        <v>9636</v>
      </c>
      <c r="AT382" s="14" t="s">
        <v>9637</v>
      </c>
      <c r="AU382" s="14" t="s">
        <v>9638</v>
      </c>
      <c r="AV382" s="18"/>
      <c r="AW382" s="16"/>
      <c r="AX382" s="17"/>
      <c r="AY382" s="15" t="s">
        <v>3123</v>
      </c>
      <c r="AZ382" s="17"/>
      <c r="BA382" s="16"/>
      <c r="BB382" s="14"/>
      <c r="BC382" s="14"/>
      <c r="BD382" s="15" t="s">
        <v>3117</v>
      </c>
      <c r="BE382" s="14" t="s">
        <v>9639</v>
      </c>
      <c r="BF382" s="17">
        <v>42624</v>
      </c>
      <c r="BG382" s="16">
        <v>40000000</v>
      </c>
      <c r="BH382" s="14" t="s">
        <v>5342</v>
      </c>
      <c r="BI382" s="15" t="s">
        <v>3123</v>
      </c>
      <c r="BJ382" s="14"/>
      <c r="BK382" s="17"/>
      <c r="BL382" s="16"/>
      <c r="BM382" s="16"/>
      <c r="BN382" s="16"/>
      <c r="BO382" s="16"/>
      <c r="BP382" s="15" t="s">
        <v>3123</v>
      </c>
      <c r="BQ382" s="17"/>
      <c r="BR382" s="14"/>
      <c r="BS382" s="14"/>
      <c r="BT382" s="16"/>
      <c r="BU382" s="16"/>
      <c r="BV382" s="13"/>
      <c r="BW382" s="18" t="s">
        <v>9640</v>
      </c>
      <c r="BX382" s="13">
        <v>200</v>
      </c>
      <c r="BY382" s="17">
        <v>44122</v>
      </c>
      <c r="BZ382" s="18" t="s">
        <v>9641</v>
      </c>
      <c r="CA382" s="18"/>
      <c r="CB382" s="18"/>
      <c r="CC382" s="18"/>
      <c r="CD382" s="14" t="s">
        <v>9642</v>
      </c>
      <c r="CE382" s="17">
        <v>42933</v>
      </c>
      <c r="CF382" s="16"/>
      <c r="CG382" s="17"/>
      <c r="CH382" s="16"/>
      <c r="CI382" s="17"/>
      <c r="CJ382" s="16">
        <v>20000000</v>
      </c>
      <c r="CK382" s="17">
        <v>42670</v>
      </c>
      <c r="CL382" s="16">
        <v>362</v>
      </c>
      <c r="CM382" s="17">
        <v>43921</v>
      </c>
      <c r="CN382" s="19">
        <v>32.620956020634701</v>
      </c>
      <c r="CO382" s="19"/>
      <c r="CP382" s="17"/>
      <c r="CQ382" s="14" t="s">
        <v>5036</v>
      </c>
      <c r="CR382" s="14" t="s">
        <v>5439</v>
      </c>
      <c r="CS382" s="14" t="s">
        <v>5311</v>
      </c>
    </row>
    <row r="383" spans="1:97" ht="26.15" customHeight="1">
      <c r="A383" s="2">
        <v>454</v>
      </c>
      <c r="B383" s="25" t="s">
        <v>2259</v>
      </c>
      <c r="C383" s="25" t="e">
        <f>VLOOKUP(B383, Sheet6!$A$1:$B$77, 2, FALSE)</f>
        <v>#N/A</v>
      </c>
      <c r="D383" s="25" t="s">
        <v>2260</v>
      </c>
      <c r="E383" s="25" t="s">
        <v>2261</v>
      </c>
      <c r="F383" s="25" t="s">
        <v>9634</v>
      </c>
      <c r="G383" s="25" t="s">
        <v>10955</v>
      </c>
      <c r="H383" s="25" t="s">
        <v>10967</v>
      </c>
      <c r="I383" s="25" t="s">
        <v>10558</v>
      </c>
      <c r="J383" s="25" t="s">
        <v>10993</v>
      </c>
      <c r="L383" s="13">
        <v>1994</v>
      </c>
      <c r="M383" s="14" t="s">
        <v>5067</v>
      </c>
      <c r="N383" s="14" t="s">
        <v>5068</v>
      </c>
      <c r="O383" s="14" t="s">
        <v>3994</v>
      </c>
      <c r="P383" s="15" t="s">
        <v>3117</v>
      </c>
      <c r="Q383" s="16">
        <v>9000000</v>
      </c>
      <c r="R383" s="17">
        <v>40675</v>
      </c>
      <c r="S383" s="16"/>
      <c r="T383" s="16" t="s">
        <v>50</v>
      </c>
      <c r="U383" s="14" t="s">
        <v>5335</v>
      </c>
      <c r="V383" s="13">
        <v>2</v>
      </c>
      <c r="W383" s="17">
        <v>44003</v>
      </c>
      <c r="X383" s="14"/>
      <c r="Y383" s="17"/>
      <c r="Z383" s="17"/>
      <c r="AA383" s="14" t="s">
        <v>6645</v>
      </c>
      <c r="AB383" s="14" t="s">
        <v>8119</v>
      </c>
      <c r="AC383" s="14" t="s">
        <v>9643</v>
      </c>
      <c r="AD383" s="20" t="str">
        <f t="shared" si="26"/>
        <v>Genomics &gt; Applied Genomics &gt; Agrigenomics
Crop Tech &gt; Farm Inputs &gt; Biologicals &gt; Diversified</v>
      </c>
      <c r="AE383" s="20" t="str">
        <f t="shared" si="25"/>
        <v>Genomics</v>
      </c>
      <c r="AF383" s="20" t="str">
        <f t="shared" si="24"/>
        <v>Applied Genomics</v>
      </c>
      <c r="AG383" s="20" t="str">
        <f t="shared" si="24"/>
        <v>Agrigenomics
Crop Tech</v>
      </c>
      <c r="AH383" s="20" t="str">
        <f t="shared" si="24"/>
        <v>Farm Inputs</v>
      </c>
      <c r="AI383" s="20" t="str">
        <f t="shared" si="24"/>
        <v>Biologicals</v>
      </c>
      <c r="AJ383" s="20" t="str">
        <f t="shared" si="24"/>
        <v>Diversified</v>
      </c>
      <c r="AK383" s="20" t="str">
        <f t="shared" si="24"/>
        <v/>
      </c>
      <c r="AL383" s="14" t="s">
        <v>9644</v>
      </c>
      <c r="AM383" s="14"/>
      <c r="AO383" s="14"/>
      <c r="AP383" s="14" t="s">
        <v>3994</v>
      </c>
      <c r="AQ383" s="14"/>
      <c r="AR383" s="14"/>
      <c r="AS383" s="14" t="s">
        <v>9646</v>
      </c>
      <c r="AT383" s="14" t="s">
        <v>9647</v>
      </c>
      <c r="AU383" s="14" t="s">
        <v>9648</v>
      </c>
      <c r="AV383" s="18"/>
      <c r="AW383" s="16"/>
      <c r="AX383" s="17"/>
      <c r="AY383" s="15" t="s">
        <v>3123</v>
      </c>
      <c r="AZ383" s="17"/>
      <c r="BA383" s="16"/>
      <c r="BB383" s="14"/>
      <c r="BC383" s="14"/>
      <c r="BD383" s="15" t="s">
        <v>3117</v>
      </c>
      <c r="BE383" s="14" t="s">
        <v>9649</v>
      </c>
      <c r="BF383" s="17">
        <v>42086</v>
      </c>
      <c r="BG383" s="16">
        <v>30000000</v>
      </c>
      <c r="BH383" s="14" t="s">
        <v>5342</v>
      </c>
      <c r="BI383" s="15" t="s">
        <v>3123</v>
      </c>
      <c r="BJ383" s="14"/>
      <c r="BK383" s="17"/>
      <c r="BL383" s="16"/>
      <c r="BM383" s="16"/>
      <c r="BN383" s="16"/>
      <c r="BO383" s="16"/>
      <c r="BP383" s="15" t="s">
        <v>3123</v>
      </c>
      <c r="BQ383" s="17"/>
      <c r="BR383" s="14"/>
      <c r="BS383" s="14"/>
      <c r="BT383" s="16"/>
      <c r="BU383" s="16"/>
      <c r="BV383" s="13"/>
      <c r="BW383" s="18" t="s">
        <v>9650</v>
      </c>
      <c r="BX383" s="13">
        <v>302</v>
      </c>
      <c r="BY383" s="17">
        <v>44122</v>
      </c>
      <c r="BZ383" s="18"/>
      <c r="CA383" s="18"/>
      <c r="CB383" s="18"/>
      <c r="CC383" s="18"/>
      <c r="CD383" s="14" t="s">
        <v>9651</v>
      </c>
      <c r="CE383" s="17">
        <v>43032</v>
      </c>
      <c r="CF383" s="16"/>
      <c r="CG383" s="17"/>
      <c r="CH383" s="16"/>
      <c r="CI383" s="17"/>
      <c r="CJ383" s="16"/>
      <c r="CK383" s="17"/>
      <c r="CL383" s="16"/>
      <c r="CM383" s="17"/>
      <c r="CN383" s="19">
        <v>38.189089867825409</v>
      </c>
      <c r="CO383" s="19"/>
      <c r="CP383" s="17"/>
      <c r="CQ383" s="14" t="s">
        <v>5345</v>
      </c>
      <c r="CR383" s="14" t="s">
        <v>8809</v>
      </c>
      <c r="CS383" s="14" t="s">
        <v>5311</v>
      </c>
    </row>
    <row r="384" spans="1:97" ht="26.15" customHeight="1">
      <c r="A384" s="2">
        <v>60</v>
      </c>
      <c r="B384" s="25" t="s">
        <v>1246</v>
      </c>
      <c r="C384" s="25" t="e">
        <f>VLOOKUP(B384, Sheet6!$A$1:$B$77, 2, FALSE)</f>
        <v>#N/A</v>
      </c>
      <c r="D384" s="25" t="s">
        <v>1247</v>
      </c>
      <c r="E384" s="25" t="s">
        <v>1252</v>
      </c>
      <c r="F384" s="25" t="s">
        <v>5780</v>
      </c>
      <c r="G384" s="25" t="s">
        <v>10955</v>
      </c>
      <c r="H384" s="25" t="s">
        <v>10959</v>
      </c>
      <c r="I384" s="25" t="s">
        <v>10958</v>
      </c>
      <c r="J384" s="26" t="s">
        <v>10846</v>
      </c>
      <c r="L384" s="13">
        <v>1999</v>
      </c>
      <c r="M384" s="14" t="s">
        <v>5067</v>
      </c>
      <c r="N384" s="14" t="s">
        <v>5068</v>
      </c>
      <c r="O384" s="14" t="s">
        <v>3994</v>
      </c>
      <c r="P384" s="15" t="s">
        <v>3117</v>
      </c>
      <c r="Q384" s="16">
        <v>3650000</v>
      </c>
      <c r="R384" s="17">
        <v>41426</v>
      </c>
      <c r="S384" s="16" t="s">
        <v>5456</v>
      </c>
      <c r="T384" s="16">
        <v>3650000</v>
      </c>
      <c r="U384" s="14" t="s">
        <v>5630</v>
      </c>
      <c r="V384" s="13"/>
      <c r="W384" s="17">
        <v>44003</v>
      </c>
      <c r="X384" s="14"/>
      <c r="Y384" s="17"/>
      <c r="Z384" s="17"/>
      <c r="AA384" s="14" t="s">
        <v>1</v>
      </c>
      <c r="AB384" s="14" t="s">
        <v>5007</v>
      </c>
      <c r="AC384" s="14" t="s">
        <v>9652</v>
      </c>
      <c r="AD384" s="20" t="str">
        <f t="shared" si="26"/>
        <v>Crop Tech &gt; Farm Inputs &gt; Seeds &gt; Field Crops &gt; GMO</v>
      </c>
      <c r="AE384" s="20" t="str">
        <f t="shared" si="25"/>
        <v>Crop Tech</v>
      </c>
      <c r="AF384" s="20" t="str">
        <f t="shared" si="24"/>
        <v>Farm Inputs</v>
      </c>
      <c r="AG384" s="20" t="str">
        <f t="shared" si="24"/>
        <v>Seeds</v>
      </c>
      <c r="AH384" s="20" t="str">
        <f t="shared" si="24"/>
        <v>Field Crops</v>
      </c>
      <c r="AI384" s="20" t="str">
        <f t="shared" si="24"/>
        <v>GMO</v>
      </c>
      <c r="AJ384" s="20" t="str">
        <f t="shared" si="24"/>
        <v/>
      </c>
      <c r="AK384" s="20" t="str">
        <f t="shared" si="24"/>
        <v/>
      </c>
      <c r="AL384" s="14" t="s">
        <v>4851</v>
      </c>
      <c r="AM384" s="14"/>
      <c r="AO384" s="14"/>
      <c r="AP384" s="14" t="s">
        <v>3994</v>
      </c>
      <c r="AQ384" s="14" t="s">
        <v>9654</v>
      </c>
      <c r="AR384" s="14"/>
      <c r="AS384" s="14" t="s">
        <v>9655</v>
      </c>
      <c r="AT384" s="14"/>
      <c r="AU384" s="14"/>
      <c r="AV384" s="18"/>
      <c r="AW384" s="16"/>
      <c r="AX384" s="17"/>
      <c r="AY384" s="15" t="s">
        <v>3123</v>
      </c>
      <c r="AZ384" s="17"/>
      <c r="BA384" s="16"/>
      <c r="BB384" s="14"/>
      <c r="BC384" s="14"/>
      <c r="BD384" s="15" t="s">
        <v>3123</v>
      </c>
      <c r="BE384" s="14"/>
      <c r="BF384" s="17"/>
      <c r="BG384" s="16"/>
      <c r="BH384" s="14"/>
      <c r="BI384" s="15" t="s">
        <v>3123</v>
      </c>
      <c r="BJ384" s="14"/>
      <c r="BK384" s="17"/>
      <c r="BL384" s="16"/>
      <c r="BM384" s="16"/>
      <c r="BN384" s="16"/>
      <c r="BO384" s="16"/>
      <c r="BP384" s="15" t="s">
        <v>3117</v>
      </c>
      <c r="BQ384" s="17"/>
      <c r="BR384" s="14"/>
      <c r="BS384" s="14"/>
      <c r="BT384" s="16"/>
      <c r="BU384" s="16"/>
      <c r="BV384" s="13"/>
      <c r="BW384" s="18" t="s">
        <v>9656</v>
      </c>
      <c r="BX384" s="13">
        <v>-1</v>
      </c>
      <c r="BY384" s="17">
        <v>44122</v>
      </c>
      <c r="BZ384" s="18" t="s">
        <v>9657</v>
      </c>
      <c r="CA384" s="18"/>
      <c r="CB384" s="18"/>
      <c r="CC384" s="18"/>
      <c r="CD384" s="14" t="s">
        <v>9658</v>
      </c>
      <c r="CE384" s="17">
        <v>42933</v>
      </c>
      <c r="CF384" s="16"/>
      <c r="CG384" s="17"/>
      <c r="CH384" s="16"/>
      <c r="CI384" s="17"/>
      <c r="CJ384" s="16"/>
      <c r="CK384" s="17"/>
      <c r="CL384" s="16"/>
      <c r="CM384" s="17"/>
      <c r="CN384" s="19">
        <v>18.937794943157314</v>
      </c>
      <c r="CO384" s="19"/>
      <c r="CP384" s="17"/>
      <c r="CQ384" s="14" t="s">
        <v>5345</v>
      </c>
      <c r="CR384" s="14" t="s">
        <v>9659</v>
      </c>
      <c r="CS384" s="14" t="s">
        <v>5311</v>
      </c>
    </row>
    <row r="385" spans="1:97" ht="26.15" customHeight="1">
      <c r="A385" s="2">
        <v>91</v>
      </c>
      <c r="B385" s="25" t="s">
        <v>1018</v>
      </c>
      <c r="C385" s="25" t="e">
        <f>VLOOKUP(B385, Sheet6!$A$1:$B$77, 2, FALSE)</f>
        <v>#N/A</v>
      </c>
      <c r="D385" s="25" t="s">
        <v>1019</v>
      </c>
      <c r="E385" s="25" t="s">
        <v>1021</v>
      </c>
      <c r="F385" s="25" t="s">
        <v>6200</v>
      </c>
      <c r="G385" s="25" t="s">
        <v>10955</v>
      </c>
      <c r="H385" s="25" t="s">
        <v>10959</v>
      </c>
      <c r="I385" s="25" t="s">
        <v>10958</v>
      </c>
      <c r="J385" s="26" t="s">
        <v>10846</v>
      </c>
      <c r="L385" s="13">
        <v>2013</v>
      </c>
      <c r="M385" s="14" t="s">
        <v>5038</v>
      </c>
      <c r="N385" s="14" t="s">
        <v>5039</v>
      </c>
      <c r="O385" s="14" t="s">
        <v>3994</v>
      </c>
      <c r="P385" s="15" t="s">
        <v>3117</v>
      </c>
      <c r="Q385" s="16">
        <v>223330</v>
      </c>
      <c r="R385" s="17">
        <v>42539</v>
      </c>
      <c r="S385" s="16" t="s">
        <v>9660</v>
      </c>
      <c r="T385" s="16">
        <v>148638</v>
      </c>
      <c r="U385" s="14" t="s">
        <v>34</v>
      </c>
      <c r="V385" s="13"/>
      <c r="W385" s="17"/>
      <c r="X385" s="14"/>
      <c r="Y385" s="17"/>
      <c r="Z385" s="17"/>
      <c r="AA385" s="14" t="s">
        <v>5442</v>
      </c>
      <c r="AB385" s="14" t="s">
        <v>6993</v>
      </c>
      <c r="AC385" s="14" t="s">
        <v>9661</v>
      </c>
      <c r="AD385" s="20" t="str">
        <f t="shared" si="26"/>
        <v>Crop Tech &gt; Autonomous Farming &gt; Irrigation
CIIE Batches &gt; 2017</v>
      </c>
      <c r="AE385" s="20" t="str">
        <f t="shared" si="25"/>
        <v>Crop Tech</v>
      </c>
      <c r="AF385" s="20" t="str">
        <f t="shared" si="24"/>
        <v>Autonomous Farming</v>
      </c>
      <c r="AG385" s="20" t="str">
        <f t="shared" si="24"/>
        <v>Irrigation
CIIE Batches</v>
      </c>
      <c r="AH385" s="20" t="str">
        <f t="shared" si="24"/>
        <v>2017</v>
      </c>
      <c r="AI385" s="20" t="str">
        <f t="shared" si="24"/>
        <v/>
      </c>
      <c r="AJ385" s="20" t="str">
        <f t="shared" si="24"/>
        <v/>
      </c>
      <c r="AK385" s="20" t="str">
        <f t="shared" si="24"/>
        <v/>
      </c>
      <c r="AL385" s="14" t="s">
        <v>9662</v>
      </c>
      <c r="AM385" s="14"/>
      <c r="AO385" s="14"/>
      <c r="AP385" s="14" t="s">
        <v>3994</v>
      </c>
      <c r="AQ385" s="14" t="s">
        <v>9664</v>
      </c>
      <c r="AR385" s="14" t="s">
        <v>9665</v>
      </c>
      <c r="AS385" s="14" t="s">
        <v>9666</v>
      </c>
      <c r="AT385" s="14" t="s">
        <v>9667</v>
      </c>
      <c r="AU385" s="14" t="s">
        <v>9668</v>
      </c>
      <c r="AV385" s="18"/>
      <c r="AW385" s="16">
        <v>66400</v>
      </c>
      <c r="AX385" s="17">
        <v>43465</v>
      </c>
      <c r="AY385" s="15" t="s">
        <v>3117</v>
      </c>
      <c r="AZ385" s="17">
        <v>42201</v>
      </c>
      <c r="BA385" s="16">
        <v>7884</v>
      </c>
      <c r="BB385" s="14" t="s">
        <v>9669</v>
      </c>
      <c r="BC385" s="14"/>
      <c r="BD385" s="15" t="s">
        <v>3123</v>
      </c>
      <c r="BE385" s="14"/>
      <c r="BF385" s="17"/>
      <c r="BG385" s="16"/>
      <c r="BH385" s="14"/>
      <c r="BI385" s="15" t="s">
        <v>3123</v>
      </c>
      <c r="BJ385" s="14"/>
      <c r="BK385" s="17"/>
      <c r="BL385" s="16"/>
      <c r="BM385" s="16"/>
      <c r="BN385" s="16"/>
      <c r="BO385" s="16"/>
      <c r="BP385" s="15" t="s">
        <v>3123</v>
      </c>
      <c r="BQ385" s="17"/>
      <c r="BR385" s="14"/>
      <c r="BS385" s="14"/>
      <c r="BT385" s="16"/>
      <c r="BU385" s="16"/>
      <c r="BV385" s="13"/>
      <c r="BW385" s="18" t="s">
        <v>9670</v>
      </c>
      <c r="BX385" s="13">
        <v>200</v>
      </c>
      <c r="BY385" s="17">
        <v>44122</v>
      </c>
      <c r="BZ385" s="18" t="s">
        <v>9671</v>
      </c>
      <c r="CA385" s="18"/>
      <c r="CB385" s="18" t="s">
        <v>9672</v>
      </c>
      <c r="CC385" s="18"/>
      <c r="CD385" s="14" t="s">
        <v>9673</v>
      </c>
      <c r="CE385" s="17">
        <v>42930</v>
      </c>
      <c r="CF385" s="16">
        <v>-70400</v>
      </c>
      <c r="CG385" s="17">
        <v>43465</v>
      </c>
      <c r="CH385" s="16">
        <v>-64800</v>
      </c>
      <c r="CI385" s="17">
        <v>43465</v>
      </c>
      <c r="CJ385" s="16"/>
      <c r="CK385" s="17"/>
      <c r="CL385" s="16"/>
      <c r="CM385" s="17"/>
      <c r="CN385" s="19">
        <v>28.67374437972116</v>
      </c>
      <c r="CO385" s="19"/>
      <c r="CP385" s="17"/>
      <c r="CQ385" s="14" t="s">
        <v>5036</v>
      </c>
      <c r="CR385" s="14" t="s">
        <v>5962</v>
      </c>
      <c r="CS385" s="14" t="s">
        <v>5945</v>
      </c>
    </row>
    <row r="386" spans="1:97" ht="26.15" customHeight="1">
      <c r="A386" s="2">
        <v>143</v>
      </c>
      <c r="B386" s="25" t="s">
        <v>2088</v>
      </c>
      <c r="C386" s="25" t="e">
        <f>VLOOKUP(B386, Sheet6!$A$1:$B$77, 2, FALSE)</f>
        <v>#N/A</v>
      </c>
      <c r="D386" s="25" t="s">
        <v>2089</v>
      </c>
      <c r="E386" s="25" t="s">
        <v>2090</v>
      </c>
      <c r="F386" s="25" t="s">
        <v>6831</v>
      </c>
      <c r="G386" s="25" t="s">
        <v>10953</v>
      </c>
      <c r="H386" s="25" t="s">
        <v>10957</v>
      </c>
      <c r="I386" s="25" t="s">
        <v>10958</v>
      </c>
      <c r="J386" s="26" t="s">
        <v>10965</v>
      </c>
      <c r="L386" s="13">
        <v>2011</v>
      </c>
      <c r="M386" s="14" t="s">
        <v>5312</v>
      </c>
      <c r="N386" s="14" t="s">
        <v>5313</v>
      </c>
      <c r="O386" s="14" t="s">
        <v>3994</v>
      </c>
      <c r="P386" s="15" t="s">
        <v>3117</v>
      </c>
      <c r="Q386" s="16"/>
      <c r="R386" s="17">
        <v>41670</v>
      </c>
      <c r="S386" s="16"/>
      <c r="T386" s="16" t="s">
        <v>50</v>
      </c>
      <c r="U386" s="14" t="s">
        <v>5630</v>
      </c>
      <c r="V386" s="13"/>
      <c r="W386" s="17"/>
      <c r="X386" s="14"/>
      <c r="Y386" s="17"/>
      <c r="Z386" s="17"/>
      <c r="AA386" s="14" t="s">
        <v>1</v>
      </c>
      <c r="AB386" s="14" t="s">
        <v>5007</v>
      </c>
      <c r="AC386" s="14" t="s">
        <v>8865</v>
      </c>
      <c r="AD386" s="20" t="str">
        <f t="shared" si="26"/>
        <v>Crop Tech &gt; Farm Inputs &gt; Biologicals &gt; Crop Nutrition &gt; BioChar</v>
      </c>
      <c r="AE386" s="20" t="str">
        <f t="shared" si="25"/>
        <v>Crop Tech</v>
      </c>
      <c r="AF386" s="20" t="str">
        <f t="shared" si="24"/>
        <v>Farm Inputs</v>
      </c>
      <c r="AG386" s="20" t="str">
        <f t="shared" si="24"/>
        <v>Biologicals</v>
      </c>
      <c r="AH386" s="20" t="str">
        <f t="shared" si="24"/>
        <v>Crop Nutrition</v>
      </c>
      <c r="AI386" s="20" t="str">
        <f t="shared" si="24"/>
        <v>BioChar</v>
      </c>
      <c r="AJ386" s="20" t="str">
        <f t="shared" si="24"/>
        <v/>
      </c>
      <c r="AK386" s="20" t="str">
        <f t="shared" si="24"/>
        <v/>
      </c>
      <c r="AL386" s="14" t="s">
        <v>3058</v>
      </c>
      <c r="AM386" s="14"/>
      <c r="AO386" s="14"/>
      <c r="AP386" s="14" t="s">
        <v>3994</v>
      </c>
      <c r="AQ386" s="14" t="s">
        <v>9675</v>
      </c>
      <c r="AR386" s="14" t="s">
        <v>9676</v>
      </c>
      <c r="AS386" s="14" t="s">
        <v>9677</v>
      </c>
      <c r="AT386" s="14" t="s">
        <v>9678</v>
      </c>
      <c r="AU386" s="14" t="s">
        <v>9679</v>
      </c>
      <c r="AV386" s="18"/>
      <c r="AW386" s="16"/>
      <c r="AX386" s="17"/>
      <c r="AY386" s="15" t="s">
        <v>3123</v>
      </c>
      <c r="AZ386" s="17"/>
      <c r="BA386" s="16"/>
      <c r="BB386" s="14"/>
      <c r="BC386" s="14"/>
      <c r="BD386" s="15" t="s">
        <v>3123</v>
      </c>
      <c r="BE386" s="14"/>
      <c r="BF386" s="17"/>
      <c r="BG386" s="16"/>
      <c r="BH386" s="14"/>
      <c r="BI386" s="15" t="s">
        <v>3123</v>
      </c>
      <c r="BJ386" s="14"/>
      <c r="BK386" s="17"/>
      <c r="BL386" s="16"/>
      <c r="BM386" s="16"/>
      <c r="BN386" s="16"/>
      <c r="BO386" s="16"/>
      <c r="BP386" s="15" t="s">
        <v>3117</v>
      </c>
      <c r="BQ386" s="17"/>
      <c r="BR386" s="14"/>
      <c r="BS386" s="14"/>
      <c r="BT386" s="16"/>
      <c r="BU386" s="16"/>
      <c r="BV386" s="13"/>
      <c r="BW386" s="18" t="s">
        <v>9680</v>
      </c>
      <c r="BX386" s="13">
        <v>200</v>
      </c>
      <c r="BY386" s="17">
        <v>44122</v>
      </c>
      <c r="BZ386" s="18" t="s">
        <v>9681</v>
      </c>
      <c r="CA386" s="18"/>
      <c r="CB386" s="18"/>
      <c r="CC386" s="18"/>
      <c r="CD386" s="14" t="s">
        <v>9682</v>
      </c>
      <c r="CE386" s="17">
        <v>43032</v>
      </c>
      <c r="CF386" s="16"/>
      <c r="CG386" s="17"/>
      <c r="CH386" s="16"/>
      <c r="CI386" s="17"/>
      <c r="CJ386" s="16"/>
      <c r="CK386" s="17"/>
      <c r="CL386" s="16"/>
      <c r="CM386" s="17"/>
      <c r="CN386" s="19">
        <v>10.140839432559684</v>
      </c>
      <c r="CO386" s="19"/>
      <c r="CP386" s="17"/>
      <c r="CQ386" s="14" t="s">
        <v>5345</v>
      </c>
      <c r="CR386" s="14" t="s">
        <v>7272</v>
      </c>
      <c r="CS386" s="14" t="s">
        <v>5945</v>
      </c>
    </row>
    <row r="387" spans="1:97" ht="26.15" customHeight="1">
      <c r="A387" s="2">
        <v>181</v>
      </c>
      <c r="B387" s="25" t="s">
        <v>1728</v>
      </c>
      <c r="C387" s="25" t="e">
        <f>VLOOKUP(B387, Sheet6!$A$1:$B$77, 2, FALSE)</f>
        <v>#N/A</v>
      </c>
      <c r="D387" s="25" t="s">
        <v>1729</v>
      </c>
      <c r="E387" s="25" t="s">
        <v>1733</v>
      </c>
      <c r="F387" s="25" t="s">
        <v>7309</v>
      </c>
      <c r="G387" s="25" t="s">
        <v>10952</v>
      </c>
      <c r="H387" s="25" t="s">
        <v>10959</v>
      </c>
      <c r="I387" s="25" t="s">
        <v>10958</v>
      </c>
      <c r="J387" s="26" t="s">
        <v>10870</v>
      </c>
      <c r="L387" s="13">
        <v>2013</v>
      </c>
      <c r="M387" s="14" t="s">
        <v>5777</v>
      </c>
      <c r="N387" s="14" t="s">
        <v>5050</v>
      </c>
      <c r="O387" s="14" t="s">
        <v>4343</v>
      </c>
      <c r="P387" s="15" t="s">
        <v>3117</v>
      </c>
      <c r="Q387" s="16"/>
      <c r="R387" s="17">
        <v>42491</v>
      </c>
      <c r="S387" s="16" t="s">
        <v>9683</v>
      </c>
      <c r="T387" s="16">
        <v>55000</v>
      </c>
      <c r="U387" s="14" t="s">
        <v>5040</v>
      </c>
      <c r="V387" s="13"/>
      <c r="W387" s="17"/>
      <c r="X387" s="14"/>
      <c r="Y387" s="17"/>
      <c r="Z387" s="17"/>
      <c r="AA387" s="14" t="s">
        <v>1</v>
      </c>
      <c r="AB387" s="14" t="s">
        <v>5007</v>
      </c>
      <c r="AC387" s="14" t="s">
        <v>9684</v>
      </c>
      <c r="AD387" s="20" t="str">
        <f t="shared" si="26"/>
        <v>Crop Tech &gt; Farm Inputs &gt; Plant Breeding &gt; Technology Providers</v>
      </c>
      <c r="AE387" s="20" t="str">
        <f t="shared" si="25"/>
        <v>Crop Tech</v>
      </c>
      <c r="AF387" s="20" t="str">
        <f t="shared" si="24"/>
        <v>Farm Inputs</v>
      </c>
      <c r="AG387" s="20" t="str">
        <f t="shared" si="24"/>
        <v>Plant Breeding</v>
      </c>
      <c r="AH387" s="20" t="str">
        <f t="shared" si="24"/>
        <v>Technology Providers</v>
      </c>
      <c r="AI387" s="20" t="str">
        <f t="shared" si="24"/>
        <v/>
      </c>
      <c r="AJ387" s="20" t="str">
        <f t="shared" si="24"/>
        <v/>
      </c>
      <c r="AK387" s="20" t="str">
        <f t="shared" si="24"/>
        <v/>
      </c>
      <c r="AL387" s="14" t="s">
        <v>156</v>
      </c>
      <c r="AM387" s="14"/>
      <c r="AO387" s="14"/>
      <c r="AP387" s="14" t="s">
        <v>4343</v>
      </c>
      <c r="AQ387" s="14" t="s">
        <v>9686</v>
      </c>
      <c r="AR387" s="14"/>
      <c r="AS387" s="14" t="s">
        <v>9687</v>
      </c>
      <c r="AT387" s="14" t="s">
        <v>9688</v>
      </c>
      <c r="AU387" s="14" t="s">
        <v>9689</v>
      </c>
      <c r="AV387" s="18"/>
      <c r="AW387" s="16"/>
      <c r="AX387" s="17"/>
      <c r="AY387" s="15" t="s">
        <v>3123</v>
      </c>
      <c r="AZ387" s="17"/>
      <c r="BA387" s="16"/>
      <c r="BB387" s="14"/>
      <c r="BC387" s="14"/>
      <c r="BD387" s="15" t="s">
        <v>3123</v>
      </c>
      <c r="BE387" s="14"/>
      <c r="BF387" s="17"/>
      <c r="BG387" s="16"/>
      <c r="BH387" s="14"/>
      <c r="BI387" s="15" t="s">
        <v>3123</v>
      </c>
      <c r="BJ387" s="14"/>
      <c r="BK387" s="17"/>
      <c r="BL387" s="16"/>
      <c r="BM387" s="16"/>
      <c r="BN387" s="16"/>
      <c r="BO387" s="16"/>
      <c r="BP387" s="15" t="s">
        <v>3123</v>
      </c>
      <c r="BQ387" s="17"/>
      <c r="BR387" s="14"/>
      <c r="BS387" s="14"/>
      <c r="BT387" s="16"/>
      <c r="BU387" s="16"/>
      <c r="BV387" s="13"/>
      <c r="BW387" s="18" t="s">
        <v>9690</v>
      </c>
      <c r="BX387" s="13">
        <v>200</v>
      </c>
      <c r="BY387" s="17">
        <v>44122</v>
      </c>
      <c r="BZ387" s="18" t="s">
        <v>9691</v>
      </c>
      <c r="CA387" s="18" t="s">
        <v>9692</v>
      </c>
      <c r="CB387" s="18" t="s">
        <v>9693</v>
      </c>
      <c r="CC387" s="18"/>
      <c r="CD387" s="14" t="s">
        <v>9694</v>
      </c>
      <c r="CE387" s="17">
        <v>43056</v>
      </c>
      <c r="CF387" s="16"/>
      <c r="CG387" s="17"/>
      <c r="CH387" s="16"/>
      <c r="CI387" s="17"/>
      <c r="CJ387" s="16"/>
      <c r="CK387" s="17"/>
      <c r="CL387" s="16"/>
      <c r="CM387" s="17"/>
      <c r="CN387" s="19">
        <v>23.31298357769094</v>
      </c>
      <c r="CO387" s="19"/>
      <c r="CP387" s="17"/>
      <c r="CQ387" s="14" t="s">
        <v>7284</v>
      </c>
      <c r="CR387" s="14" t="s">
        <v>6002</v>
      </c>
      <c r="CS387" s="14" t="s">
        <v>5945</v>
      </c>
    </row>
    <row r="388" spans="1:97" ht="26.15" customHeight="1">
      <c r="A388" s="2">
        <v>494</v>
      </c>
      <c r="B388" s="25" t="s">
        <v>3025</v>
      </c>
      <c r="C388" s="25" t="e">
        <f>VLOOKUP(B388, Sheet6!$A$1:$B$77, 2, FALSE)</f>
        <v>#N/A</v>
      </c>
      <c r="D388" s="25" t="s">
        <v>3026</v>
      </c>
      <c r="E388" s="25" t="s">
        <v>3027</v>
      </c>
      <c r="F388" s="25" t="s">
        <v>9927</v>
      </c>
      <c r="G388" s="25">
        <v>0</v>
      </c>
      <c r="H388" s="25">
        <v>0</v>
      </c>
      <c r="I388" s="25">
        <v>0</v>
      </c>
      <c r="J388" s="25">
        <v>0</v>
      </c>
      <c r="L388" s="13">
        <v>2013</v>
      </c>
      <c r="M388" s="14" t="s">
        <v>5038</v>
      </c>
      <c r="N388" s="14" t="s">
        <v>5039</v>
      </c>
      <c r="O388" s="14" t="s">
        <v>3994</v>
      </c>
      <c r="P388" s="15" t="s">
        <v>3117</v>
      </c>
      <c r="Q388" s="16"/>
      <c r="R388" s="17">
        <v>42522</v>
      </c>
      <c r="S388" s="16"/>
      <c r="T388" s="16" t="s">
        <v>50</v>
      </c>
      <c r="U388" s="14" t="s">
        <v>34</v>
      </c>
      <c r="V388" s="13">
        <v>3</v>
      </c>
      <c r="W388" s="17">
        <v>44022</v>
      </c>
      <c r="X388" s="14"/>
      <c r="Y388" s="17"/>
      <c r="Z388" s="17"/>
      <c r="AA388" s="14" t="s">
        <v>5442</v>
      </c>
      <c r="AB388" s="14" t="s">
        <v>6993</v>
      </c>
      <c r="AC388" s="14" t="s">
        <v>9709</v>
      </c>
      <c r="AD388" s="20" t="str">
        <f t="shared" si="26"/>
        <v>Crop Tech &gt; Content Platforms &gt; Data as a Service &gt; Farm Data Platform
CIIE Batches &gt; 2016</v>
      </c>
      <c r="AE388" s="20" t="str">
        <f t="shared" si="25"/>
        <v>Crop Tech</v>
      </c>
      <c r="AF388" s="20" t="str">
        <f t="shared" si="24"/>
        <v>Content Platforms</v>
      </c>
      <c r="AG388" s="20" t="str">
        <f t="shared" si="24"/>
        <v>Data as a Service</v>
      </c>
      <c r="AH388" s="20" t="str">
        <f t="shared" si="24"/>
        <v>Farm Data Platform
CIIE Batches</v>
      </c>
      <c r="AI388" s="20" t="str">
        <f t="shared" si="24"/>
        <v>2016</v>
      </c>
      <c r="AJ388" s="20" t="str">
        <f t="shared" si="24"/>
        <v/>
      </c>
      <c r="AK388" s="20" t="str">
        <f t="shared" si="24"/>
        <v/>
      </c>
      <c r="AL388" s="14" t="s">
        <v>9710</v>
      </c>
      <c r="AM388" s="14"/>
      <c r="AO388" s="14"/>
      <c r="AP388" s="14" t="s">
        <v>3994</v>
      </c>
      <c r="AQ388" s="14"/>
      <c r="AR388" s="14" t="s">
        <v>9712</v>
      </c>
      <c r="AS388" s="14" t="s">
        <v>9713</v>
      </c>
      <c r="AT388" s="14" t="s">
        <v>9714</v>
      </c>
      <c r="AU388" s="14" t="s">
        <v>9715</v>
      </c>
      <c r="AV388" s="18"/>
      <c r="AW388" s="16"/>
      <c r="AX388" s="17"/>
      <c r="AY388" s="15" t="s">
        <v>3123</v>
      </c>
      <c r="AZ388" s="17"/>
      <c r="BA388" s="16"/>
      <c r="BB388" s="14"/>
      <c r="BC388" s="14"/>
      <c r="BD388" s="15" t="s">
        <v>3123</v>
      </c>
      <c r="BE388" s="14"/>
      <c r="BF388" s="17"/>
      <c r="BG388" s="16"/>
      <c r="BH388" s="14"/>
      <c r="BI388" s="15" t="s">
        <v>3123</v>
      </c>
      <c r="BJ388" s="14"/>
      <c r="BK388" s="17"/>
      <c r="BL388" s="16"/>
      <c r="BM388" s="16"/>
      <c r="BN388" s="16"/>
      <c r="BO388" s="16"/>
      <c r="BP388" s="15" t="s">
        <v>3123</v>
      </c>
      <c r="BQ388" s="17"/>
      <c r="BR388" s="14"/>
      <c r="BS388" s="14"/>
      <c r="BT388" s="16"/>
      <c r="BU388" s="16"/>
      <c r="BV388" s="13"/>
      <c r="BW388" s="18" t="s">
        <v>9716</v>
      </c>
      <c r="BX388" s="13">
        <v>200</v>
      </c>
      <c r="BY388" s="17">
        <v>44122</v>
      </c>
      <c r="BZ388" s="18"/>
      <c r="CA388" s="18" t="s">
        <v>9717</v>
      </c>
      <c r="CB388" s="18"/>
      <c r="CC388" s="18"/>
      <c r="CD388" s="14" t="s">
        <v>9718</v>
      </c>
      <c r="CE388" s="17">
        <v>43032</v>
      </c>
      <c r="CF388" s="16"/>
      <c r="CG388" s="17"/>
      <c r="CH388" s="16"/>
      <c r="CI388" s="17"/>
      <c r="CJ388" s="16"/>
      <c r="CK388" s="17"/>
      <c r="CL388" s="16"/>
      <c r="CM388" s="17"/>
      <c r="CN388" s="19">
        <v>39.189820518987332</v>
      </c>
      <c r="CO388" s="19"/>
      <c r="CP388" s="17"/>
      <c r="CQ388" s="14" t="s">
        <v>5345</v>
      </c>
      <c r="CR388" s="14" t="s">
        <v>7272</v>
      </c>
      <c r="CS388" s="14" t="s">
        <v>5945</v>
      </c>
    </row>
    <row r="389" spans="1:97" ht="26.15" customHeight="1">
      <c r="A389" s="2">
        <v>59</v>
      </c>
      <c r="B389" s="25" t="s">
        <v>2053</v>
      </c>
      <c r="C389" s="25" t="e">
        <f>VLOOKUP(B389, Sheet6!$A$1:$B$77, 2, FALSE)</f>
        <v>#N/A</v>
      </c>
      <c r="D389" s="25" t="s">
        <v>2054</v>
      </c>
      <c r="E389" s="25" t="s">
        <v>2058</v>
      </c>
      <c r="F389" s="25" t="s">
        <v>5773</v>
      </c>
      <c r="G389" s="25" t="s">
        <v>10955</v>
      </c>
      <c r="H389" s="25" t="s">
        <v>10959</v>
      </c>
      <c r="I389" s="25" t="s">
        <v>10958</v>
      </c>
      <c r="J389" s="26" t="s">
        <v>10770</v>
      </c>
      <c r="L389" s="13">
        <v>2014</v>
      </c>
      <c r="M389" s="14" t="s">
        <v>5592</v>
      </c>
      <c r="N389" s="14" t="s">
        <v>5313</v>
      </c>
      <c r="O389" s="14" t="s">
        <v>3994</v>
      </c>
      <c r="P389" s="15" t="s">
        <v>3117</v>
      </c>
      <c r="Q389" s="16">
        <v>1000000</v>
      </c>
      <c r="R389" s="17">
        <v>43901</v>
      </c>
      <c r="S389" s="16"/>
      <c r="T389" s="16" t="s">
        <v>50</v>
      </c>
      <c r="U389" s="14" t="s">
        <v>34</v>
      </c>
      <c r="V389" s="13">
        <v>4</v>
      </c>
      <c r="W389" s="17">
        <v>44025</v>
      </c>
      <c r="X389" s="14"/>
      <c r="Y389" s="17"/>
      <c r="Z389" s="17"/>
      <c r="AA389" s="14" t="s">
        <v>4995</v>
      </c>
      <c r="AB389" s="14" t="s">
        <v>5578</v>
      </c>
      <c r="AC389" s="14" t="s">
        <v>6813</v>
      </c>
      <c r="AD389" s="20" t="str">
        <f t="shared" si="26"/>
        <v>Online Grocery &gt; B2C Ecommerce &gt; Multi Category &gt; Marketplace &gt; Own Delivery Fleet
Crop Tech &gt; ECommerce &gt; Farm Produce &gt; B2C &gt; Fruits and Vegetables &gt; Marketplace</v>
      </c>
      <c r="AE389" s="20" t="str">
        <f t="shared" si="25"/>
        <v>Online Grocery</v>
      </c>
      <c r="AF389" s="20" t="str">
        <f t="shared" si="24"/>
        <v>B2C Ecommerce</v>
      </c>
      <c r="AG389" s="20" t="str">
        <f t="shared" si="24"/>
        <v>Multi Category</v>
      </c>
      <c r="AH389" s="20" t="str">
        <f t="shared" si="24"/>
        <v>Marketplace</v>
      </c>
      <c r="AI389" s="20" t="str">
        <f t="shared" si="24"/>
        <v>Own Delivery Fleet
Crop Tech</v>
      </c>
      <c r="AJ389" s="20" t="str">
        <f t="shared" si="24"/>
        <v>ECommerce</v>
      </c>
      <c r="AK389" s="20" t="str">
        <f t="shared" si="24"/>
        <v>Farm Produce</v>
      </c>
      <c r="AL389" s="14" t="s">
        <v>4488</v>
      </c>
      <c r="AM389" s="14" t="s">
        <v>509</v>
      </c>
      <c r="AO389" s="14"/>
      <c r="AP389" s="14" t="s">
        <v>3994</v>
      </c>
      <c r="AQ389" s="14" t="s">
        <v>8288</v>
      </c>
      <c r="AR389" s="14" t="s">
        <v>8289</v>
      </c>
      <c r="AS389" s="14" t="s">
        <v>8290</v>
      </c>
      <c r="AT389" s="14" t="s">
        <v>8291</v>
      </c>
      <c r="AU389" s="14" t="s">
        <v>8292</v>
      </c>
      <c r="AV389" s="18"/>
      <c r="AW389" s="16">
        <v>819100</v>
      </c>
      <c r="AX389" s="17">
        <v>43465</v>
      </c>
      <c r="AY389" s="15" t="s">
        <v>3123</v>
      </c>
      <c r="AZ389" s="17"/>
      <c r="BA389" s="16"/>
      <c r="BB389" s="14"/>
      <c r="BC389" s="14"/>
      <c r="BD389" s="15" t="s">
        <v>3123</v>
      </c>
      <c r="BE389" s="14"/>
      <c r="BF389" s="17"/>
      <c r="BG389" s="16"/>
      <c r="BH389" s="14"/>
      <c r="BI389" s="15" t="s">
        <v>3123</v>
      </c>
      <c r="BJ389" s="14"/>
      <c r="BK389" s="17"/>
      <c r="BL389" s="16"/>
      <c r="BM389" s="16"/>
      <c r="BN389" s="16"/>
      <c r="BO389" s="16"/>
      <c r="BP389" s="15" t="s">
        <v>3123</v>
      </c>
      <c r="BQ389" s="17"/>
      <c r="BR389" s="14"/>
      <c r="BS389" s="14"/>
      <c r="BT389" s="16"/>
      <c r="BU389" s="16"/>
      <c r="BV389" s="13"/>
      <c r="BW389" s="18" t="s">
        <v>8293</v>
      </c>
      <c r="BX389" s="13">
        <v>200</v>
      </c>
      <c r="BY389" s="17">
        <v>44122</v>
      </c>
      <c r="BZ389" s="18"/>
      <c r="CA389" s="18" t="s">
        <v>8294</v>
      </c>
      <c r="CB389" s="18" t="s">
        <v>8295</v>
      </c>
      <c r="CC389" s="18"/>
      <c r="CD389" s="14" t="s">
        <v>8296</v>
      </c>
      <c r="CE389" s="17">
        <v>42880</v>
      </c>
      <c r="CF389" s="16">
        <v>-372300</v>
      </c>
      <c r="CG389" s="17">
        <v>43465</v>
      </c>
      <c r="CH389" s="16">
        <v>-341600</v>
      </c>
      <c r="CI389" s="17">
        <v>43465</v>
      </c>
      <c r="CJ389" s="16"/>
      <c r="CK389" s="17"/>
      <c r="CL389" s="16">
        <v>12</v>
      </c>
      <c r="CM389" s="17">
        <v>44012</v>
      </c>
      <c r="CN389" s="19">
        <v>41.05103619534475</v>
      </c>
      <c r="CO389" s="19"/>
      <c r="CP389" s="17"/>
      <c r="CQ389" s="14" t="s">
        <v>7606</v>
      </c>
      <c r="CR389" s="14" t="s">
        <v>8297</v>
      </c>
      <c r="CS389" s="14" t="s">
        <v>5004</v>
      </c>
    </row>
    <row r="390" spans="1:97" ht="26.15" customHeight="1">
      <c r="A390" s="2">
        <v>180</v>
      </c>
      <c r="B390" s="25" t="s">
        <v>1837</v>
      </c>
      <c r="C390" s="25" t="e">
        <f>VLOOKUP(B390, Sheet6!$A$1:$B$77, 2, FALSE)</f>
        <v>#N/A</v>
      </c>
      <c r="D390" s="25" t="s">
        <v>1838</v>
      </c>
      <c r="E390" s="25" t="s">
        <v>1839</v>
      </c>
      <c r="F390" s="25" t="s">
        <v>7299</v>
      </c>
      <c r="G390" s="25" t="s">
        <v>10955</v>
      </c>
      <c r="H390" s="25" t="s">
        <v>10959</v>
      </c>
      <c r="I390" s="25" t="s">
        <v>10958</v>
      </c>
      <c r="J390" s="26" t="s">
        <v>10842</v>
      </c>
      <c r="L390" s="13">
        <v>2010</v>
      </c>
      <c r="M390" s="14" t="s">
        <v>5038</v>
      </c>
      <c r="N390" s="14" t="s">
        <v>5039</v>
      </c>
      <c r="O390" s="14" t="s">
        <v>3994</v>
      </c>
      <c r="P390" s="15" t="s">
        <v>3117</v>
      </c>
      <c r="Q390" s="16">
        <v>10726419</v>
      </c>
      <c r="R390" s="17">
        <v>44111</v>
      </c>
      <c r="S390" s="16" t="s">
        <v>5456</v>
      </c>
      <c r="T390" s="16">
        <v>4457650</v>
      </c>
      <c r="U390" s="14" t="s">
        <v>109</v>
      </c>
      <c r="V390" s="13">
        <v>4</v>
      </c>
      <c r="W390" s="17">
        <v>44117</v>
      </c>
      <c r="X390" s="14"/>
      <c r="Y390" s="17"/>
      <c r="Z390" s="17"/>
      <c r="AA390" s="14" t="s">
        <v>8298</v>
      </c>
      <c r="AB390" s="14" t="s">
        <v>8299</v>
      </c>
      <c r="AC390" s="14" t="s">
        <v>8300</v>
      </c>
      <c r="AD390" s="20" t="str">
        <f t="shared" si="26"/>
        <v>Crop Tech &gt; ECommerce &gt; Farm Produce &gt; B2C &gt; Fruits and Vegetables &gt; Retailer
Cold Chain Logistics &gt; Integrated &gt; Horizontal</v>
      </c>
      <c r="AE390" s="20" t="str">
        <f t="shared" si="25"/>
        <v>Crop Tech</v>
      </c>
      <c r="AF390" s="20" t="str">
        <f t="shared" si="24"/>
        <v>ECommerce</v>
      </c>
      <c r="AG390" s="20" t="str">
        <f t="shared" si="24"/>
        <v>Farm Produce</v>
      </c>
      <c r="AH390" s="20" t="str">
        <f t="shared" si="24"/>
        <v>B2C</v>
      </c>
      <c r="AI390" s="20" t="str">
        <f t="shared" si="24"/>
        <v>Fruits and Vegetables</v>
      </c>
      <c r="AJ390" s="20" t="str">
        <f t="shared" si="24"/>
        <v>Retailer
Cold Chain Logistics</v>
      </c>
      <c r="AK390" s="20" t="str">
        <f t="shared" si="24"/>
        <v>Integrated</v>
      </c>
      <c r="AL390" s="14" t="s">
        <v>8301</v>
      </c>
      <c r="AM390" s="14" t="s">
        <v>2751</v>
      </c>
      <c r="AO390" s="14"/>
      <c r="AP390" s="14" t="s">
        <v>3994</v>
      </c>
      <c r="AQ390" s="14" t="s">
        <v>8303</v>
      </c>
      <c r="AR390" s="14" t="s">
        <v>8304</v>
      </c>
      <c r="AS390" s="14" t="s">
        <v>8305</v>
      </c>
      <c r="AT390" s="14" t="s">
        <v>8306</v>
      </c>
      <c r="AU390" s="14" t="s">
        <v>8307</v>
      </c>
      <c r="AV390" s="18"/>
      <c r="AW390" s="16">
        <v>2361270.2240646211</v>
      </c>
      <c r="AX390" s="17">
        <v>43100</v>
      </c>
      <c r="AY390" s="15" t="s">
        <v>3117</v>
      </c>
      <c r="AZ390" s="17">
        <v>41001</v>
      </c>
      <c r="BA390" s="16">
        <v>1916</v>
      </c>
      <c r="BB390" s="14" t="s">
        <v>8308</v>
      </c>
      <c r="BC390" s="14"/>
      <c r="BD390" s="15" t="s">
        <v>3123</v>
      </c>
      <c r="BE390" s="14"/>
      <c r="BF390" s="17"/>
      <c r="BG390" s="16"/>
      <c r="BH390" s="14"/>
      <c r="BI390" s="15" t="s">
        <v>3123</v>
      </c>
      <c r="BJ390" s="14"/>
      <c r="BK390" s="17"/>
      <c r="BL390" s="16"/>
      <c r="BM390" s="16"/>
      <c r="BN390" s="16"/>
      <c r="BO390" s="16"/>
      <c r="BP390" s="15" t="s">
        <v>3123</v>
      </c>
      <c r="BQ390" s="17"/>
      <c r="BR390" s="14"/>
      <c r="BS390" s="14"/>
      <c r="BT390" s="16"/>
      <c r="BU390" s="16"/>
      <c r="BV390" s="13"/>
      <c r="BW390" s="18" t="s">
        <v>8309</v>
      </c>
      <c r="BX390" s="13">
        <v>200</v>
      </c>
      <c r="BY390" s="17">
        <v>44122</v>
      </c>
      <c r="BZ390" s="18"/>
      <c r="CA390" s="18"/>
      <c r="CB390" s="18" t="s">
        <v>8310</v>
      </c>
      <c r="CC390" s="18"/>
      <c r="CD390" s="14" t="s">
        <v>8311</v>
      </c>
      <c r="CE390" s="17">
        <v>42338</v>
      </c>
      <c r="CF390" s="16">
        <v>-111510.30019563364</v>
      </c>
      <c r="CG390" s="17">
        <v>43100</v>
      </c>
      <c r="CH390" s="16">
        <v>-82007.642168857114</v>
      </c>
      <c r="CI390" s="17">
        <v>43100</v>
      </c>
      <c r="CJ390" s="16">
        <v>10000000</v>
      </c>
      <c r="CK390" s="17">
        <v>43920</v>
      </c>
      <c r="CL390" s="16">
        <v>124</v>
      </c>
      <c r="CM390" s="17">
        <v>44012</v>
      </c>
      <c r="CN390" s="19">
        <v>53.161392342942918</v>
      </c>
      <c r="CO390" s="19"/>
      <c r="CP390" s="17"/>
      <c r="CQ390" s="14" t="s">
        <v>7193</v>
      </c>
      <c r="CR390" s="14" t="s">
        <v>8312</v>
      </c>
      <c r="CS390" s="14" t="s">
        <v>5311</v>
      </c>
    </row>
    <row r="391" spans="1:97" ht="26.15" customHeight="1">
      <c r="A391" s="2">
        <v>490</v>
      </c>
      <c r="B391" s="25" t="s">
        <v>3085</v>
      </c>
      <c r="C391" s="25" t="e">
        <f>VLOOKUP(B391, Sheet6!$A$1:$B$77, 2, FALSE)</f>
        <v>#N/A</v>
      </c>
      <c r="D391" s="25" t="s">
        <v>3086</v>
      </c>
      <c r="E391" s="25" t="s">
        <v>3088</v>
      </c>
      <c r="F391" s="25" t="s">
        <v>9891</v>
      </c>
      <c r="G391" s="25">
        <v>0</v>
      </c>
      <c r="H391" s="25">
        <v>0</v>
      </c>
      <c r="I391" s="25">
        <v>0</v>
      </c>
      <c r="J391" s="25">
        <v>0</v>
      </c>
      <c r="L391" s="13">
        <v>2014</v>
      </c>
      <c r="M391" s="14" t="s">
        <v>5389</v>
      </c>
      <c r="N391" s="14" t="s">
        <v>5390</v>
      </c>
      <c r="O391" s="14" t="s">
        <v>5391</v>
      </c>
      <c r="P391" s="15" t="s">
        <v>3117</v>
      </c>
      <c r="Q391" s="16"/>
      <c r="R391" s="17">
        <v>43500</v>
      </c>
      <c r="S391" s="16"/>
      <c r="T391" s="16" t="s">
        <v>50</v>
      </c>
      <c r="U391" s="14" t="s">
        <v>34</v>
      </c>
      <c r="V391" s="13">
        <v>4</v>
      </c>
      <c r="W391" s="17">
        <v>44013</v>
      </c>
      <c r="X391" s="14"/>
      <c r="Y391" s="17"/>
      <c r="Z391" s="17"/>
      <c r="AA391" s="14" t="s">
        <v>8325</v>
      </c>
      <c r="AB391" s="14" t="s">
        <v>8326</v>
      </c>
      <c r="AC391" s="14" t="s">
        <v>8327</v>
      </c>
      <c r="AD391" s="20" t="str">
        <f t="shared" si="26"/>
        <v>Alternative Lending &gt; Enablers &gt; Alternative Credit Score &gt; Individuals
Banking Tech &gt; Loan Life Cycle Management &gt; Credit Assessment &gt; Alternative Credit Score
Crop Tech &gt; Finance &gt; Credit Scoring</v>
      </c>
      <c r="AE391" s="20" t="str">
        <f t="shared" si="25"/>
        <v>Alternative Lending</v>
      </c>
      <c r="AF391" s="20" t="str">
        <f t="shared" si="24"/>
        <v>Enablers</v>
      </c>
      <c r="AG391" s="20" t="str">
        <f t="shared" si="24"/>
        <v>Alternative Credit Score</v>
      </c>
      <c r="AH391" s="20" t="str">
        <f t="shared" si="24"/>
        <v>Individuals
Banking Tech</v>
      </c>
      <c r="AI391" s="20" t="str">
        <f t="shared" si="24"/>
        <v>Loan Life Cycle Management</v>
      </c>
      <c r="AJ391" s="20" t="str">
        <f t="shared" si="24"/>
        <v>Credit Assessment</v>
      </c>
      <c r="AK391" s="20" t="str">
        <f t="shared" si="24"/>
        <v>Alternative Credit Score
Crop Tech</v>
      </c>
      <c r="AL391" s="14" t="s">
        <v>8328</v>
      </c>
      <c r="AM391" s="14"/>
      <c r="AO391" s="14"/>
      <c r="AP391" s="14" t="s">
        <v>5391</v>
      </c>
      <c r="AQ391" s="14" t="s">
        <v>8330</v>
      </c>
      <c r="AR391" s="14" t="s">
        <v>8331</v>
      </c>
      <c r="AS391" s="14" t="s">
        <v>8332</v>
      </c>
      <c r="AT391" s="14" t="s">
        <v>8333</v>
      </c>
      <c r="AU391" s="14" t="s">
        <v>8334</v>
      </c>
      <c r="AV391" s="18" t="s">
        <v>8335</v>
      </c>
      <c r="AW391" s="16"/>
      <c r="AX391" s="17"/>
      <c r="AY391" s="15" t="s">
        <v>3123</v>
      </c>
      <c r="AZ391" s="17"/>
      <c r="BA391" s="16"/>
      <c r="BB391" s="14"/>
      <c r="BC391" s="14"/>
      <c r="BD391" s="15" t="s">
        <v>3123</v>
      </c>
      <c r="BE391" s="14"/>
      <c r="BF391" s="17"/>
      <c r="BG391" s="16"/>
      <c r="BH391" s="14"/>
      <c r="BI391" s="15" t="s">
        <v>3123</v>
      </c>
      <c r="BJ391" s="14"/>
      <c r="BK391" s="17"/>
      <c r="BL391" s="16"/>
      <c r="BM391" s="16"/>
      <c r="BN391" s="16"/>
      <c r="BO391" s="16"/>
      <c r="BP391" s="15" t="s">
        <v>3123</v>
      </c>
      <c r="BQ391" s="17"/>
      <c r="BR391" s="14"/>
      <c r="BS391" s="14"/>
      <c r="BT391" s="16"/>
      <c r="BU391" s="16"/>
      <c r="BV391" s="13"/>
      <c r="BW391" s="18" t="s">
        <v>8336</v>
      </c>
      <c r="BX391" s="13">
        <v>200</v>
      </c>
      <c r="BY391" s="17">
        <v>44121</v>
      </c>
      <c r="BZ391" s="18" t="s">
        <v>8337</v>
      </c>
      <c r="CA391" s="18" t="s">
        <v>8338</v>
      </c>
      <c r="CB391" s="18" t="s">
        <v>8339</v>
      </c>
      <c r="CC391" s="18"/>
      <c r="CD391" s="14" t="s">
        <v>8340</v>
      </c>
      <c r="CE391" s="17">
        <v>42586</v>
      </c>
      <c r="CF391" s="16"/>
      <c r="CG391" s="17"/>
      <c r="CH391" s="16"/>
      <c r="CI391" s="17"/>
      <c r="CJ391" s="16"/>
      <c r="CK391" s="17"/>
      <c r="CL391" s="16"/>
      <c r="CM391" s="17"/>
      <c r="CN391" s="19">
        <v>42.46388502461155</v>
      </c>
      <c r="CO391" s="19"/>
      <c r="CP391" s="17"/>
      <c r="CQ391" s="14" t="s">
        <v>8341</v>
      </c>
      <c r="CR391" s="14" t="s">
        <v>6839</v>
      </c>
      <c r="CS391" s="14" t="s">
        <v>7194</v>
      </c>
    </row>
    <row r="392" spans="1:97" ht="26.15" customHeight="1">
      <c r="A392" s="2">
        <v>54</v>
      </c>
      <c r="B392" s="25" t="s">
        <v>1218</v>
      </c>
      <c r="C392" s="25" t="e">
        <f>VLOOKUP(B392, Sheet6!$A$1:$B$77, 2, FALSE)</f>
        <v>#N/A</v>
      </c>
      <c r="D392" s="25" t="s">
        <v>1219</v>
      </c>
      <c r="E392" s="25" t="s">
        <v>1223</v>
      </c>
      <c r="F392" s="25" t="s">
        <v>5721</v>
      </c>
      <c r="G392" s="25" t="s">
        <v>10955</v>
      </c>
      <c r="H392" s="25" t="s">
        <v>10959</v>
      </c>
      <c r="I392" s="25" t="s">
        <v>10958</v>
      </c>
      <c r="J392" s="26" t="s">
        <v>10846</v>
      </c>
      <c r="L392" s="13">
        <v>2013</v>
      </c>
      <c r="M392" s="14" t="s">
        <v>8342</v>
      </c>
      <c r="N392" s="14" t="s">
        <v>8343</v>
      </c>
      <c r="O392" s="14" t="s">
        <v>6632</v>
      </c>
      <c r="P392" s="15" t="s">
        <v>3117</v>
      </c>
      <c r="Q392" s="16"/>
      <c r="R392" s="17">
        <v>42489</v>
      </c>
      <c r="S392" s="16" t="s">
        <v>9376</v>
      </c>
      <c r="T392" s="16">
        <v>33000</v>
      </c>
      <c r="U392" s="14" t="s">
        <v>5040</v>
      </c>
      <c r="V392" s="13"/>
      <c r="W392" s="17"/>
      <c r="X392" s="14"/>
      <c r="Y392" s="17"/>
      <c r="Z392" s="17"/>
      <c r="AA392" s="14" t="s">
        <v>1</v>
      </c>
      <c r="AB392" s="14" t="s">
        <v>5007</v>
      </c>
      <c r="AC392" s="14" t="s">
        <v>5192</v>
      </c>
      <c r="AD392" s="20" t="str">
        <f t="shared" si="26"/>
        <v>Crop Tech &gt; Farm Management Software &gt; Diversified</v>
      </c>
      <c r="AE392" s="20" t="str">
        <f t="shared" si="25"/>
        <v>Crop Tech</v>
      </c>
      <c r="AF392" s="20" t="str">
        <f t="shared" si="24"/>
        <v>Farm Management Software</v>
      </c>
      <c r="AG392" s="20" t="str">
        <f t="shared" si="24"/>
        <v>Diversified</v>
      </c>
      <c r="AH392" s="20" t="str">
        <f t="shared" si="24"/>
        <v/>
      </c>
      <c r="AI392" s="20" t="str">
        <f t="shared" si="24"/>
        <v/>
      </c>
      <c r="AJ392" s="20" t="str">
        <f t="shared" si="24"/>
        <v/>
      </c>
      <c r="AK392" s="20" t="str">
        <f t="shared" si="24"/>
        <v/>
      </c>
      <c r="AL392" s="14" t="s">
        <v>9719</v>
      </c>
      <c r="AM392" s="14"/>
      <c r="AO392" s="14"/>
      <c r="AP392" s="14" t="s">
        <v>6632</v>
      </c>
      <c r="AQ392" s="14"/>
      <c r="AR392" s="14"/>
      <c r="AS392" s="14" t="s">
        <v>9721</v>
      </c>
      <c r="AT392" s="14" t="s">
        <v>9722</v>
      </c>
      <c r="AU392" s="14" t="s">
        <v>9723</v>
      </c>
      <c r="AV392" s="18"/>
      <c r="AW392" s="16"/>
      <c r="AX392" s="17"/>
      <c r="AY392" s="15" t="s">
        <v>3123</v>
      </c>
      <c r="AZ392" s="17"/>
      <c r="BA392" s="16"/>
      <c r="BB392" s="14"/>
      <c r="BC392" s="14"/>
      <c r="BD392" s="15" t="s">
        <v>3123</v>
      </c>
      <c r="BE392" s="14"/>
      <c r="BF392" s="17"/>
      <c r="BG392" s="16"/>
      <c r="BH392" s="14"/>
      <c r="BI392" s="15" t="s">
        <v>3123</v>
      </c>
      <c r="BJ392" s="14"/>
      <c r="BK392" s="17"/>
      <c r="BL392" s="16"/>
      <c r="BM392" s="16"/>
      <c r="BN392" s="16"/>
      <c r="BO392" s="16"/>
      <c r="BP392" s="15" t="s">
        <v>3123</v>
      </c>
      <c r="BQ392" s="17"/>
      <c r="BR392" s="14"/>
      <c r="BS392" s="14"/>
      <c r="BT392" s="16"/>
      <c r="BU392" s="16"/>
      <c r="BV392" s="13"/>
      <c r="BW392" s="18" t="s">
        <v>9724</v>
      </c>
      <c r="BX392" s="13">
        <v>200</v>
      </c>
      <c r="BY392" s="17">
        <v>44121</v>
      </c>
      <c r="BZ392" s="18" t="s">
        <v>9725</v>
      </c>
      <c r="CA392" s="18" t="s">
        <v>9726</v>
      </c>
      <c r="CB392" s="18" t="s">
        <v>9727</v>
      </c>
      <c r="CC392" s="18"/>
      <c r="CD392" s="14" t="s">
        <v>9728</v>
      </c>
      <c r="CE392" s="17">
        <v>43019</v>
      </c>
      <c r="CF392" s="16"/>
      <c r="CG392" s="17"/>
      <c r="CH392" s="16"/>
      <c r="CI392" s="17"/>
      <c r="CJ392" s="16"/>
      <c r="CK392" s="17"/>
      <c r="CL392" s="16"/>
      <c r="CM392" s="17"/>
      <c r="CN392" s="19">
        <v>31.990144741687711</v>
      </c>
      <c r="CO392" s="19"/>
      <c r="CP392" s="17"/>
      <c r="CQ392" s="14" t="s">
        <v>5036</v>
      </c>
      <c r="CR392" s="14" t="s">
        <v>5962</v>
      </c>
      <c r="CS392" s="14" t="s">
        <v>5945</v>
      </c>
    </row>
    <row r="393" spans="1:97" ht="26.15" customHeight="1">
      <c r="A393" s="2">
        <v>12</v>
      </c>
      <c r="B393" s="25" t="s">
        <v>536</v>
      </c>
      <c r="C393" s="25" t="e">
        <f>VLOOKUP(B393, Sheet6!$A$1:$B$77, 2, FALSE)</f>
        <v>#N/A</v>
      </c>
      <c r="D393" s="25" t="s">
        <v>537</v>
      </c>
      <c r="E393" s="25" t="s">
        <v>539</v>
      </c>
      <c r="F393" s="25" t="s">
        <v>5156</v>
      </c>
      <c r="G393" s="51" t="s">
        <v>11106</v>
      </c>
      <c r="H393" s="25" t="s">
        <v>10959</v>
      </c>
      <c r="I393" s="25" t="s">
        <v>10958</v>
      </c>
      <c r="J393" s="26" t="s">
        <v>10766</v>
      </c>
      <c r="L393" s="13">
        <v>2014</v>
      </c>
      <c r="M393" s="14" t="s">
        <v>8342</v>
      </c>
      <c r="N393" s="14" t="s">
        <v>8343</v>
      </c>
      <c r="O393" s="14" t="s">
        <v>6632</v>
      </c>
      <c r="P393" s="15" t="s">
        <v>3117</v>
      </c>
      <c r="Q393" s="16"/>
      <c r="R393" s="17">
        <v>42972</v>
      </c>
      <c r="S393" s="16"/>
      <c r="T393" s="16" t="s">
        <v>50</v>
      </c>
      <c r="U393" s="14" t="s">
        <v>5040</v>
      </c>
      <c r="V393" s="13">
        <v>2</v>
      </c>
      <c r="W393" s="17">
        <v>44019</v>
      </c>
      <c r="X393" s="14"/>
      <c r="Y393" s="17"/>
      <c r="Z393" s="17"/>
      <c r="AA393" s="14" t="s">
        <v>5493</v>
      </c>
      <c r="AB393" s="14" t="s">
        <v>5494</v>
      </c>
      <c r="AC393" s="14" t="s">
        <v>8344</v>
      </c>
      <c r="AD393" s="20" t="str">
        <f t="shared" si="26"/>
        <v>B2B E-Commerce &gt; Food &amp; Beverages &gt; Groceries &gt; Farm Products &gt; Marketplace
Crop Tech &gt; ECommerce &gt; Farm Produce &gt; B2B &gt; Fruits and Vegetables &gt; Marketplace</v>
      </c>
      <c r="AE393" s="20" t="str">
        <f t="shared" si="25"/>
        <v>B2B E-Commerce</v>
      </c>
      <c r="AF393" s="20" t="str">
        <f t="shared" si="24"/>
        <v>Food &amp; Beverages</v>
      </c>
      <c r="AG393" s="20" t="str">
        <f t="shared" si="24"/>
        <v>Groceries</v>
      </c>
      <c r="AH393" s="20" t="str">
        <f t="shared" si="24"/>
        <v>Farm Products</v>
      </c>
      <c r="AI393" s="20" t="str">
        <f t="shared" si="24"/>
        <v>Marketplace
Crop Tech</v>
      </c>
      <c r="AJ393" s="20" t="str">
        <f t="shared" si="24"/>
        <v>ECommerce</v>
      </c>
      <c r="AK393" s="20" t="str">
        <f t="shared" si="24"/>
        <v>Farm Produce</v>
      </c>
      <c r="AL393" s="14" t="s">
        <v>8345</v>
      </c>
      <c r="AM393" s="14"/>
      <c r="AO393" s="14"/>
      <c r="AP393" s="14" t="s">
        <v>6632</v>
      </c>
      <c r="AQ393" s="14" t="s">
        <v>8347</v>
      </c>
      <c r="AR393" s="14"/>
      <c r="AS393" s="14" t="s">
        <v>8348</v>
      </c>
      <c r="AT393" s="14"/>
      <c r="AU393" s="14" t="s">
        <v>8349</v>
      </c>
      <c r="AV393" s="18" t="s">
        <v>8350</v>
      </c>
      <c r="AW393" s="16"/>
      <c r="AX393" s="17"/>
      <c r="AY393" s="15" t="s">
        <v>3123</v>
      </c>
      <c r="AZ393" s="17"/>
      <c r="BA393" s="16"/>
      <c r="BB393" s="14"/>
      <c r="BC393" s="14"/>
      <c r="BD393" s="15" t="s">
        <v>3123</v>
      </c>
      <c r="BE393" s="14"/>
      <c r="BF393" s="17"/>
      <c r="BG393" s="16"/>
      <c r="BH393" s="14"/>
      <c r="BI393" s="15" t="s">
        <v>3123</v>
      </c>
      <c r="BJ393" s="14"/>
      <c r="BK393" s="17"/>
      <c r="BL393" s="16"/>
      <c r="BM393" s="16"/>
      <c r="BN393" s="16"/>
      <c r="BO393" s="16"/>
      <c r="BP393" s="15" t="s">
        <v>3123</v>
      </c>
      <c r="BQ393" s="17"/>
      <c r="BR393" s="14"/>
      <c r="BS393" s="14"/>
      <c r="BT393" s="16"/>
      <c r="BU393" s="16"/>
      <c r="BV393" s="13"/>
      <c r="BW393" s="18" t="s">
        <v>8351</v>
      </c>
      <c r="BX393" s="13">
        <v>200</v>
      </c>
      <c r="BY393" s="17">
        <v>44121</v>
      </c>
      <c r="BZ393" s="18" t="s">
        <v>8352</v>
      </c>
      <c r="CA393" s="18" t="s">
        <v>8353</v>
      </c>
      <c r="CB393" s="18" t="s">
        <v>8354</v>
      </c>
      <c r="CC393" s="18"/>
      <c r="CD393" s="14" t="s">
        <v>8355</v>
      </c>
      <c r="CE393" s="17">
        <v>43020</v>
      </c>
      <c r="CF393" s="16"/>
      <c r="CG393" s="17"/>
      <c r="CH393" s="16"/>
      <c r="CI393" s="17"/>
      <c r="CJ393" s="16"/>
      <c r="CK393" s="17"/>
      <c r="CL393" s="16"/>
      <c r="CM393" s="17"/>
      <c r="CN393" s="19">
        <v>30.734636613479633</v>
      </c>
      <c r="CO393" s="19"/>
      <c r="CP393" s="17"/>
      <c r="CQ393" s="14" t="s">
        <v>8356</v>
      </c>
      <c r="CR393" s="14" t="s">
        <v>6557</v>
      </c>
      <c r="CS393" s="14" t="s">
        <v>5945</v>
      </c>
    </row>
    <row r="394" spans="1:97" ht="26.15" customHeight="1">
      <c r="A394" s="2">
        <v>184</v>
      </c>
      <c r="B394" s="25" t="s">
        <v>373</v>
      </c>
      <c r="C394" s="25" t="e">
        <f>VLOOKUP(B394, Sheet6!$A$1:$B$77, 2, FALSE)</f>
        <v>#N/A</v>
      </c>
      <c r="D394" s="25" t="s">
        <v>374</v>
      </c>
      <c r="E394" s="25" t="s">
        <v>376</v>
      </c>
      <c r="F394" s="25" t="s">
        <v>7339</v>
      </c>
      <c r="G394" s="25" t="s">
        <v>10955</v>
      </c>
      <c r="H394" s="25" t="s">
        <v>10959</v>
      </c>
      <c r="I394" s="25" t="s">
        <v>10958</v>
      </c>
      <c r="J394" s="26" t="s">
        <v>10846</v>
      </c>
      <c r="L394" s="13">
        <v>1988</v>
      </c>
      <c r="M394" s="14" t="s">
        <v>6666</v>
      </c>
      <c r="N394" s="14" t="s">
        <v>6380</v>
      </c>
      <c r="O394" s="14" t="s">
        <v>4343</v>
      </c>
      <c r="P394" s="15" t="s">
        <v>3117</v>
      </c>
      <c r="Q394" s="16">
        <v>180000000</v>
      </c>
      <c r="R394" s="17">
        <v>42293</v>
      </c>
      <c r="S394" s="16" t="s">
        <v>9729</v>
      </c>
      <c r="T394" s="16">
        <v>180000000</v>
      </c>
      <c r="U394" s="14" t="s">
        <v>5335</v>
      </c>
      <c r="V394" s="13">
        <v>1</v>
      </c>
      <c r="W394" s="17">
        <v>43993</v>
      </c>
      <c r="X394" s="14"/>
      <c r="Y394" s="17"/>
      <c r="Z394" s="17"/>
      <c r="AA394" s="14" t="s">
        <v>5442</v>
      </c>
      <c r="AB394" s="14" t="s">
        <v>5443</v>
      </c>
      <c r="AC394" s="14" t="s">
        <v>9730</v>
      </c>
      <c r="AD394" s="20" t="str">
        <f t="shared" si="26"/>
        <v>Crop Tech &gt; Autonomous Farming &gt; Irrigation
MassChallenge Batches &gt; Boston &gt; 2014 &gt; Silver</v>
      </c>
      <c r="AE394" s="20" t="str">
        <f t="shared" si="25"/>
        <v>Crop Tech</v>
      </c>
      <c r="AF394" s="20" t="str">
        <f t="shared" si="24"/>
        <v>Autonomous Farming</v>
      </c>
      <c r="AG394" s="20" t="str">
        <f t="shared" si="24"/>
        <v>Irrigation
MassChallenge Batches</v>
      </c>
      <c r="AH394" s="20" t="str">
        <f t="shared" si="24"/>
        <v>Boston</v>
      </c>
      <c r="AI394" s="20" t="str">
        <f t="shared" si="24"/>
        <v>2014</v>
      </c>
      <c r="AJ394" s="20" t="str">
        <f t="shared" si="24"/>
        <v>Silver</v>
      </c>
      <c r="AK394" s="20" t="str">
        <f t="shared" si="24"/>
        <v/>
      </c>
      <c r="AL394" s="14" t="s">
        <v>9731</v>
      </c>
      <c r="AM394" s="14"/>
      <c r="AO394" s="14"/>
      <c r="AP394" s="14" t="s">
        <v>4343</v>
      </c>
      <c r="AQ394" s="14"/>
      <c r="AR394" s="14"/>
      <c r="AS394" s="14" t="s">
        <v>9733</v>
      </c>
      <c r="AT394" s="14" t="s">
        <v>9734</v>
      </c>
      <c r="AU394" s="14" t="s">
        <v>9735</v>
      </c>
      <c r="AV394" s="18" t="s">
        <v>9736</v>
      </c>
      <c r="AW394" s="16"/>
      <c r="AX394" s="17"/>
      <c r="AY394" s="15" t="s">
        <v>3123</v>
      </c>
      <c r="AZ394" s="17"/>
      <c r="BA394" s="16"/>
      <c r="BB394" s="14"/>
      <c r="BC394" s="14"/>
      <c r="BD394" s="15" t="s">
        <v>3117</v>
      </c>
      <c r="BE394" s="14" t="s">
        <v>4682</v>
      </c>
      <c r="BF394" s="17">
        <v>41894</v>
      </c>
      <c r="BG394" s="16">
        <v>20000000</v>
      </c>
      <c r="BH394" s="14" t="s">
        <v>5342</v>
      </c>
      <c r="BI394" s="15" t="s">
        <v>3123</v>
      </c>
      <c r="BJ394" s="14"/>
      <c r="BK394" s="17"/>
      <c r="BL394" s="16"/>
      <c r="BM394" s="16"/>
      <c r="BN394" s="16"/>
      <c r="BO394" s="16"/>
      <c r="BP394" s="15" t="s">
        <v>3123</v>
      </c>
      <c r="BQ394" s="17"/>
      <c r="BR394" s="14"/>
      <c r="BS394" s="14"/>
      <c r="BT394" s="16"/>
      <c r="BU394" s="16"/>
      <c r="BV394" s="13"/>
      <c r="BW394" s="18" t="s">
        <v>9737</v>
      </c>
      <c r="BX394" s="13">
        <v>200</v>
      </c>
      <c r="BY394" s="17">
        <v>44121</v>
      </c>
      <c r="BZ394" s="18" t="s">
        <v>9738</v>
      </c>
      <c r="CA394" s="18"/>
      <c r="CB394" s="18"/>
      <c r="CC394" s="18"/>
      <c r="CD394" s="14" t="s">
        <v>9739</v>
      </c>
      <c r="CE394" s="17">
        <v>42930</v>
      </c>
      <c r="CF394" s="16"/>
      <c r="CG394" s="17"/>
      <c r="CH394" s="16"/>
      <c r="CI394" s="17"/>
      <c r="CJ394" s="16"/>
      <c r="CK394" s="17"/>
      <c r="CL394" s="16"/>
      <c r="CM394" s="17"/>
      <c r="CN394" s="19">
        <v>37.569563972516832</v>
      </c>
      <c r="CO394" s="19"/>
      <c r="CP394" s="17"/>
      <c r="CQ394" s="14" t="s">
        <v>5036</v>
      </c>
      <c r="CR394" s="14" t="s">
        <v>5962</v>
      </c>
      <c r="CS394" s="14" t="s">
        <v>5945</v>
      </c>
    </row>
    <row r="395" spans="1:97" ht="26.15" customHeight="1">
      <c r="A395" s="2">
        <v>449</v>
      </c>
      <c r="B395" s="25" t="s">
        <v>2869</v>
      </c>
      <c r="C395" s="25" t="e">
        <f>VLOOKUP(B395, Sheet6!$A$1:$B$77, 2, FALSE)</f>
        <v>#N/A</v>
      </c>
      <c r="D395" s="25" t="s">
        <v>2870</v>
      </c>
      <c r="E395" s="25" t="s">
        <v>2872</v>
      </c>
      <c r="F395" s="25" t="s">
        <v>9606</v>
      </c>
      <c r="G395" s="25" t="s">
        <v>10955</v>
      </c>
      <c r="H395" s="25" t="s">
        <v>10957</v>
      </c>
      <c r="I395" s="25" t="s">
        <v>10968</v>
      </c>
      <c r="J395" s="25" t="s">
        <v>10821</v>
      </c>
      <c r="L395" s="13">
        <v>2014</v>
      </c>
      <c r="M395" s="14" t="s">
        <v>8357</v>
      </c>
      <c r="N395" s="14" t="s">
        <v>5804</v>
      </c>
      <c r="O395" s="14" t="s">
        <v>5208</v>
      </c>
      <c r="P395" s="15" t="s">
        <v>3117</v>
      </c>
      <c r="Q395" s="16">
        <v>7000000</v>
      </c>
      <c r="R395" s="17">
        <v>43712</v>
      </c>
      <c r="S395" s="16" t="s">
        <v>6481</v>
      </c>
      <c r="T395" s="16">
        <v>5800000</v>
      </c>
      <c r="U395" s="14" t="s">
        <v>109</v>
      </c>
      <c r="V395" s="13">
        <v>5</v>
      </c>
      <c r="W395" s="17">
        <v>44057</v>
      </c>
      <c r="X395" s="14" t="s">
        <v>5052</v>
      </c>
      <c r="Y395" s="17">
        <v>43719</v>
      </c>
      <c r="Z395" s="17">
        <v>43712</v>
      </c>
      <c r="AA395" s="14" t="s">
        <v>5041</v>
      </c>
      <c r="AB395" s="14" t="s">
        <v>5042</v>
      </c>
      <c r="AC395" s="14" t="s">
        <v>7413</v>
      </c>
      <c r="AD395" s="20" t="str">
        <f t="shared" si="26"/>
        <v>IoT Applications &gt; Industry Specific &gt; Agriculture &gt; Farms
Crop Tech &gt; Farm Management Software &gt; Diversified</v>
      </c>
      <c r="AE395" s="20" t="str">
        <f t="shared" si="25"/>
        <v>IoT Applications</v>
      </c>
      <c r="AF395" s="20" t="str">
        <f t="shared" si="24"/>
        <v>Industry Specific</v>
      </c>
      <c r="AG395" s="20" t="str">
        <f t="shared" si="24"/>
        <v>Agriculture</v>
      </c>
      <c r="AH395" s="20" t="str">
        <f t="shared" si="24"/>
        <v>Farms
Crop Tech</v>
      </c>
      <c r="AI395" s="20" t="str">
        <f t="shared" si="24"/>
        <v>Farm Management Software</v>
      </c>
      <c r="AJ395" s="20" t="str">
        <f t="shared" si="24"/>
        <v>Diversified</v>
      </c>
      <c r="AK395" s="20" t="str">
        <f t="shared" si="24"/>
        <v/>
      </c>
      <c r="AL395" s="14" t="s">
        <v>8358</v>
      </c>
      <c r="AM395" s="14"/>
      <c r="AO395" s="14"/>
      <c r="AP395" s="14" t="s">
        <v>5208</v>
      </c>
      <c r="AQ395" s="14" t="s">
        <v>8360</v>
      </c>
      <c r="AR395" s="14" t="s">
        <v>8361</v>
      </c>
      <c r="AS395" s="14" t="s">
        <v>8362</v>
      </c>
      <c r="AT395" s="14" t="s">
        <v>8363</v>
      </c>
      <c r="AU395" s="14" t="s">
        <v>8364</v>
      </c>
      <c r="AV395" s="18" t="s">
        <v>8365</v>
      </c>
      <c r="AW395" s="16"/>
      <c r="AX395" s="17"/>
      <c r="AY395" s="15" t="s">
        <v>3123</v>
      </c>
      <c r="AZ395" s="17"/>
      <c r="BA395" s="16"/>
      <c r="BB395" s="14"/>
      <c r="BC395" s="14"/>
      <c r="BD395" s="15" t="s">
        <v>3123</v>
      </c>
      <c r="BE395" s="14"/>
      <c r="BF395" s="17"/>
      <c r="BG395" s="16"/>
      <c r="BH395" s="14"/>
      <c r="BI395" s="15" t="s">
        <v>3123</v>
      </c>
      <c r="BJ395" s="14"/>
      <c r="BK395" s="17"/>
      <c r="BL395" s="16"/>
      <c r="BM395" s="16"/>
      <c r="BN395" s="16"/>
      <c r="BO395" s="16"/>
      <c r="BP395" s="15" t="s">
        <v>3123</v>
      </c>
      <c r="BQ395" s="17"/>
      <c r="BR395" s="14"/>
      <c r="BS395" s="14"/>
      <c r="BT395" s="16"/>
      <c r="BU395" s="16"/>
      <c r="BV395" s="13"/>
      <c r="BW395" s="18" t="s">
        <v>8366</v>
      </c>
      <c r="BX395" s="13">
        <v>200</v>
      </c>
      <c r="BY395" s="17">
        <v>44121</v>
      </c>
      <c r="BZ395" s="18" t="s">
        <v>8367</v>
      </c>
      <c r="CA395" s="18" t="s">
        <v>8368</v>
      </c>
      <c r="CB395" s="18" t="s">
        <v>8369</v>
      </c>
      <c r="CC395" s="18" t="s">
        <v>8370</v>
      </c>
      <c r="CD395" s="14" t="s">
        <v>8371</v>
      </c>
      <c r="CE395" s="17">
        <v>43019</v>
      </c>
      <c r="CF395" s="16"/>
      <c r="CG395" s="17"/>
      <c r="CH395" s="16"/>
      <c r="CI395" s="17"/>
      <c r="CJ395" s="16"/>
      <c r="CK395" s="17"/>
      <c r="CL395" s="16"/>
      <c r="CM395" s="17"/>
      <c r="CN395" s="19">
        <v>49.110272606634908</v>
      </c>
      <c r="CO395" s="19"/>
      <c r="CP395" s="17"/>
      <c r="CQ395" s="14" t="s">
        <v>8372</v>
      </c>
      <c r="CR395" s="14" t="s">
        <v>5879</v>
      </c>
      <c r="CS395" s="14" t="s">
        <v>5004</v>
      </c>
    </row>
    <row r="396" spans="1:97" ht="26.15" customHeight="1">
      <c r="A396" s="2">
        <v>147</v>
      </c>
      <c r="B396" s="25" t="s">
        <v>1392</v>
      </c>
      <c r="C396" s="25" t="e">
        <f>VLOOKUP(B396, Sheet6!$A$1:$B$77, 2, FALSE)</f>
        <v>#N/A</v>
      </c>
      <c r="D396" s="25" t="s">
        <v>1393</v>
      </c>
      <c r="E396" s="25" t="s">
        <v>1397</v>
      </c>
      <c r="F396" s="25" t="s">
        <v>6890</v>
      </c>
      <c r="G396" s="25" t="s">
        <v>10953</v>
      </c>
      <c r="H396" s="25" t="s">
        <v>10959</v>
      </c>
      <c r="I396" s="25" t="s">
        <v>10958</v>
      </c>
      <c r="J396" s="26" t="s">
        <v>10852</v>
      </c>
      <c r="L396" s="13">
        <v>2011</v>
      </c>
      <c r="M396" s="14" t="s">
        <v>4993</v>
      </c>
      <c r="N396" s="14" t="s">
        <v>4994</v>
      </c>
      <c r="O396" s="14" t="s">
        <v>2057</v>
      </c>
      <c r="P396" s="15" t="s">
        <v>3117</v>
      </c>
      <c r="Q396" s="16">
        <v>20000000</v>
      </c>
      <c r="R396" s="17">
        <v>43467</v>
      </c>
      <c r="S396" s="16"/>
      <c r="T396" s="16" t="s">
        <v>50</v>
      </c>
      <c r="U396" s="14" t="s">
        <v>95</v>
      </c>
      <c r="V396" s="13">
        <v>5</v>
      </c>
      <c r="W396" s="17">
        <v>44027</v>
      </c>
      <c r="X396" s="14"/>
      <c r="Y396" s="17"/>
      <c r="Z396" s="17"/>
      <c r="AA396" s="14" t="s">
        <v>5509</v>
      </c>
      <c r="AB396" s="14" t="s">
        <v>5510</v>
      </c>
      <c r="AC396" s="14" t="s">
        <v>7886</v>
      </c>
      <c r="AD396" s="20" t="str">
        <f t="shared" si="26"/>
        <v>B2B E-Commerce &gt; Food &amp; Beverages &gt; Groceries &gt; Farm Products &gt; Marketplace
Online Grocery &gt; B2B Ecommerce &gt; Farm Produce &gt; Multi-Category &gt; Marketplace
Crop Tech &gt; ECommerce &gt; Farm Produce &gt; B2B &gt; Fruits and Vegetables &gt; Marketplace</v>
      </c>
      <c r="AE396" s="20" t="str">
        <f t="shared" si="25"/>
        <v>B2B E-Commerce</v>
      </c>
      <c r="AF396" s="20" t="str">
        <f t="shared" si="24"/>
        <v>Food &amp; Beverages</v>
      </c>
      <c r="AG396" s="20" t="str">
        <f t="shared" si="24"/>
        <v>Groceries</v>
      </c>
      <c r="AH396" s="20" t="str">
        <f t="shared" si="24"/>
        <v>Farm Products</v>
      </c>
      <c r="AI396" s="20" t="str">
        <f t="shared" si="24"/>
        <v>Marketplace
Online Grocery</v>
      </c>
      <c r="AJ396" s="20" t="str">
        <f t="shared" si="24"/>
        <v>B2B Ecommerce</v>
      </c>
      <c r="AK396" s="20" t="str">
        <f t="shared" si="24"/>
        <v>Farm Produce</v>
      </c>
      <c r="AL396" s="14" t="s">
        <v>8389</v>
      </c>
      <c r="AM396" s="14"/>
      <c r="AO396" s="14"/>
      <c r="AP396" s="14" t="s">
        <v>2057</v>
      </c>
      <c r="AQ396" s="14"/>
      <c r="AR396" s="14"/>
      <c r="AS396" s="14"/>
      <c r="AT396" s="14"/>
      <c r="AU396" s="14"/>
      <c r="AV396" s="18"/>
      <c r="AW396" s="16"/>
      <c r="AX396" s="17"/>
      <c r="AY396" s="15" t="s">
        <v>3123</v>
      </c>
      <c r="AZ396" s="17"/>
      <c r="BA396" s="16"/>
      <c r="BB396" s="14"/>
      <c r="BC396" s="14"/>
      <c r="BD396" s="15" t="s">
        <v>3123</v>
      </c>
      <c r="BE396" s="14"/>
      <c r="BF396" s="17"/>
      <c r="BG396" s="16"/>
      <c r="BH396" s="14"/>
      <c r="BI396" s="15" t="s">
        <v>3123</v>
      </c>
      <c r="BJ396" s="14"/>
      <c r="BK396" s="17"/>
      <c r="BL396" s="16"/>
      <c r="BM396" s="16"/>
      <c r="BN396" s="16"/>
      <c r="BO396" s="16"/>
      <c r="BP396" s="15" t="s">
        <v>3123</v>
      </c>
      <c r="BQ396" s="17"/>
      <c r="BR396" s="14"/>
      <c r="BS396" s="14"/>
      <c r="BT396" s="16"/>
      <c r="BU396" s="16"/>
      <c r="BV396" s="13"/>
      <c r="BW396" s="18" t="s">
        <v>8391</v>
      </c>
      <c r="BX396" s="13">
        <v>200</v>
      </c>
      <c r="BY396" s="17">
        <v>44121</v>
      </c>
      <c r="BZ396" s="18"/>
      <c r="CA396" s="18"/>
      <c r="CB396" s="18"/>
      <c r="CC396" s="18"/>
      <c r="CD396" s="14" t="s">
        <v>8392</v>
      </c>
      <c r="CE396" s="17">
        <v>42492</v>
      </c>
      <c r="CF396" s="16"/>
      <c r="CG396" s="17"/>
      <c r="CH396" s="16"/>
      <c r="CI396" s="17"/>
      <c r="CJ396" s="16"/>
      <c r="CK396" s="17"/>
      <c r="CL396" s="16"/>
      <c r="CM396" s="17"/>
      <c r="CN396" s="19">
        <v>45.561121317924353</v>
      </c>
      <c r="CO396" s="19"/>
      <c r="CP396" s="17"/>
      <c r="CQ396" s="14" t="s">
        <v>6556</v>
      </c>
      <c r="CR396" s="14" t="s">
        <v>6731</v>
      </c>
      <c r="CS396" s="14" t="s">
        <v>6074</v>
      </c>
    </row>
    <row r="397" spans="1:97" ht="26.15" customHeight="1">
      <c r="A397" s="2">
        <v>192</v>
      </c>
      <c r="B397" s="25" t="s">
        <v>1789</v>
      </c>
      <c r="C397" s="25" t="e">
        <f>VLOOKUP(B397, Sheet6!$A$1:$B$77, 2, FALSE)</f>
        <v>#N/A</v>
      </c>
      <c r="D397" s="25" t="s">
        <v>1790</v>
      </c>
      <c r="E397" s="25" t="s">
        <v>1792</v>
      </c>
      <c r="F397" s="25" t="s">
        <v>7440</v>
      </c>
      <c r="G397" s="25" t="s">
        <v>10955</v>
      </c>
      <c r="H397" s="25" t="s">
        <v>10959</v>
      </c>
      <c r="I397" s="25" t="s">
        <v>10958</v>
      </c>
      <c r="J397" s="26" t="s">
        <v>10774</v>
      </c>
      <c r="L397" s="13">
        <v>2012</v>
      </c>
      <c r="M397" s="14" t="s">
        <v>5389</v>
      </c>
      <c r="N397" s="14" t="s">
        <v>5390</v>
      </c>
      <c r="O397" s="14" t="s">
        <v>5391</v>
      </c>
      <c r="P397" s="15" t="s">
        <v>3117</v>
      </c>
      <c r="Q397" s="16">
        <v>50000</v>
      </c>
      <c r="R397" s="17">
        <v>42156</v>
      </c>
      <c r="S397" s="16" t="s">
        <v>5425</v>
      </c>
      <c r="T397" s="16">
        <v>50000</v>
      </c>
      <c r="U397" s="14" t="s">
        <v>5630</v>
      </c>
      <c r="V397" s="13"/>
      <c r="W397" s="17">
        <v>44027</v>
      </c>
      <c r="X397" s="14"/>
      <c r="Y397" s="17"/>
      <c r="Z397" s="17"/>
      <c r="AA397" s="14" t="s">
        <v>5509</v>
      </c>
      <c r="AB397" s="14" t="s">
        <v>5510</v>
      </c>
      <c r="AC397" s="14" t="s">
        <v>9346</v>
      </c>
      <c r="AD397" s="20" t="str">
        <f t="shared" si="26"/>
        <v>B2B E-Commerce &gt; Agriculture &gt; Marketplace
Online Grocery &gt; B2B Ecommerce &gt; Farm Produce &gt; Multi-Category &gt; Marketplace
Crop Tech &gt; ECommerce &gt; Farm Produce &gt; B2B</v>
      </c>
      <c r="AE397" s="20" t="str">
        <f t="shared" si="25"/>
        <v>B2B E-Commerce</v>
      </c>
      <c r="AF397" s="20" t="str">
        <f t="shared" si="24"/>
        <v>Agriculture</v>
      </c>
      <c r="AG397" s="20" t="str">
        <f t="shared" si="24"/>
        <v>Marketplace
Online Grocery</v>
      </c>
      <c r="AH397" s="20" t="str">
        <f t="shared" si="24"/>
        <v>B2B Ecommerce</v>
      </c>
      <c r="AI397" s="20" t="str">
        <f t="shared" si="24"/>
        <v>Farm Produce</v>
      </c>
      <c r="AJ397" s="20" t="str">
        <f t="shared" si="24"/>
        <v>Multi-Category</v>
      </c>
      <c r="AK397" s="20" t="str">
        <f t="shared" si="24"/>
        <v>Marketplace
Crop Tech</v>
      </c>
      <c r="AL397" s="14" t="s">
        <v>9740</v>
      </c>
      <c r="AM397" s="14"/>
      <c r="AO397" s="14"/>
      <c r="AP397" s="14" t="s">
        <v>5391</v>
      </c>
      <c r="AQ397" s="14" t="s">
        <v>9742</v>
      </c>
      <c r="AR397" s="14"/>
      <c r="AS397" s="14" t="s">
        <v>9743</v>
      </c>
      <c r="AT397" s="14" t="s">
        <v>9744</v>
      </c>
      <c r="AU397" s="14" t="s">
        <v>9745</v>
      </c>
      <c r="AV397" s="18"/>
      <c r="AW397" s="16"/>
      <c r="AX397" s="17"/>
      <c r="AY397" s="15" t="s">
        <v>3123</v>
      </c>
      <c r="AZ397" s="17"/>
      <c r="BA397" s="16"/>
      <c r="BB397" s="14"/>
      <c r="BC397" s="14"/>
      <c r="BD397" s="15" t="s">
        <v>3123</v>
      </c>
      <c r="BE397" s="14"/>
      <c r="BF397" s="17"/>
      <c r="BG397" s="16"/>
      <c r="BH397" s="14"/>
      <c r="BI397" s="15" t="s">
        <v>3123</v>
      </c>
      <c r="BJ397" s="14"/>
      <c r="BK397" s="17"/>
      <c r="BL397" s="16"/>
      <c r="BM397" s="16"/>
      <c r="BN397" s="16"/>
      <c r="BO397" s="16"/>
      <c r="BP397" s="15" t="s">
        <v>3117</v>
      </c>
      <c r="BQ397" s="17">
        <v>42887</v>
      </c>
      <c r="BR397" s="14"/>
      <c r="BS397" s="14"/>
      <c r="BT397" s="16"/>
      <c r="BU397" s="16"/>
      <c r="BV397" s="13"/>
      <c r="BW397" s="18" t="s">
        <v>9746</v>
      </c>
      <c r="BX397" s="13">
        <v>200</v>
      </c>
      <c r="BY397" s="17">
        <v>44121</v>
      </c>
      <c r="BZ397" s="18"/>
      <c r="CA397" s="18" t="s">
        <v>9747</v>
      </c>
      <c r="CB397" s="18"/>
      <c r="CC397" s="18"/>
      <c r="CD397" s="14" t="s">
        <v>9748</v>
      </c>
      <c r="CE397" s="17">
        <v>42647</v>
      </c>
      <c r="CF397" s="16"/>
      <c r="CG397" s="17"/>
      <c r="CH397" s="16"/>
      <c r="CI397" s="17"/>
      <c r="CJ397" s="16"/>
      <c r="CK397" s="17"/>
      <c r="CL397" s="16"/>
      <c r="CM397" s="17"/>
      <c r="CN397" s="19">
        <v>32.611406013130427</v>
      </c>
      <c r="CO397" s="19"/>
      <c r="CP397" s="17"/>
      <c r="CQ397" s="14" t="s">
        <v>6556</v>
      </c>
      <c r="CR397" s="14" t="s">
        <v>6557</v>
      </c>
      <c r="CS397" s="14" t="s">
        <v>5945</v>
      </c>
    </row>
    <row r="398" spans="1:97" ht="26.15" customHeight="1">
      <c r="A398" s="2">
        <v>377</v>
      </c>
      <c r="B398" s="25" t="s">
        <v>2672</v>
      </c>
      <c r="C398" s="25" t="e">
        <f>VLOOKUP(B398, Sheet6!$A$1:$B$77, 2, FALSE)</f>
        <v>#N/A</v>
      </c>
      <c r="D398" s="25" t="s">
        <v>2673</v>
      </c>
      <c r="E398" s="25" t="s">
        <v>2677</v>
      </c>
      <c r="F398" s="25" t="s">
        <v>9194</v>
      </c>
      <c r="G398" s="25" t="s">
        <v>10955</v>
      </c>
      <c r="H398" s="25" t="s">
        <v>10957</v>
      </c>
      <c r="I398" s="25" t="s">
        <v>10968</v>
      </c>
      <c r="J398" s="25" t="s">
        <v>10846</v>
      </c>
      <c r="L398" s="13">
        <v>2014</v>
      </c>
      <c r="M398" s="14" t="s">
        <v>9749</v>
      </c>
      <c r="N398" s="14" t="s">
        <v>9750</v>
      </c>
      <c r="O398" s="14" t="s">
        <v>6213</v>
      </c>
      <c r="P398" s="15" t="s">
        <v>3117</v>
      </c>
      <c r="Q398" s="16"/>
      <c r="R398" s="17">
        <v>41791</v>
      </c>
      <c r="S398" s="16" t="s">
        <v>5425</v>
      </c>
      <c r="T398" s="16">
        <v>50000</v>
      </c>
      <c r="U398" s="14" t="s">
        <v>5040</v>
      </c>
      <c r="V398" s="13"/>
      <c r="W398" s="17"/>
      <c r="X398" s="14"/>
      <c r="Y398" s="17"/>
      <c r="Z398" s="17"/>
      <c r="AA398" s="14" t="s">
        <v>1</v>
      </c>
      <c r="AB398" s="14" t="s">
        <v>5007</v>
      </c>
      <c r="AC398" s="14" t="s">
        <v>9751</v>
      </c>
      <c r="AD398" s="20" t="str">
        <f t="shared" si="26"/>
        <v>Crop Tech &gt; ECommerce &gt; Farm Inputs &gt; Farm Equipment &gt; Rentals</v>
      </c>
      <c r="AE398" s="20" t="str">
        <f t="shared" si="25"/>
        <v>Crop Tech</v>
      </c>
      <c r="AF398" s="20" t="str">
        <f t="shared" si="24"/>
        <v>ECommerce</v>
      </c>
      <c r="AG398" s="20" t="str">
        <f t="shared" si="24"/>
        <v>Farm Inputs</v>
      </c>
      <c r="AH398" s="20" t="str">
        <f t="shared" si="24"/>
        <v>Farm Equipment</v>
      </c>
      <c r="AI398" s="20" t="str">
        <f t="shared" si="24"/>
        <v>Rentals</v>
      </c>
      <c r="AJ398" s="20" t="str">
        <f t="shared" si="24"/>
        <v/>
      </c>
      <c r="AK398" s="20" t="str">
        <f t="shared" si="24"/>
        <v/>
      </c>
      <c r="AL398" s="14" t="s">
        <v>9752</v>
      </c>
      <c r="AM398" s="14"/>
      <c r="AO398" s="14"/>
      <c r="AP398" s="14" t="s">
        <v>3135</v>
      </c>
      <c r="AQ398" s="14"/>
      <c r="AR398" s="14"/>
      <c r="AS398" s="14" t="s">
        <v>9754</v>
      </c>
      <c r="AT398" s="14" t="s">
        <v>9755</v>
      </c>
      <c r="AU398" s="14" t="s">
        <v>9756</v>
      </c>
      <c r="AV398" s="18"/>
      <c r="AW398" s="16"/>
      <c r="AX398" s="17"/>
      <c r="AY398" s="15" t="s">
        <v>3123</v>
      </c>
      <c r="AZ398" s="17"/>
      <c r="BA398" s="16"/>
      <c r="BB398" s="14"/>
      <c r="BC398" s="14"/>
      <c r="BD398" s="15" t="s">
        <v>3123</v>
      </c>
      <c r="BE398" s="14"/>
      <c r="BF398" s="17"/>
      <c r="BG398" s="16"/>
      <c r="BH398" s="14"/>
      <c r="BI398" s="15" t="s">
        <v>3123</v>
      </c>
      <c r="BJ398" s="14"/>
      <c r="BK398" s="17"/>
      <c r="BL398" s="16"/>
      <c r="BM398" s="16"/>
      <c r="BN398" s="16"/>
      <c r="BO398" s="16"/>
      <c r="BP398" s="15" t="s">
        <v>3123</v>
      </c>
      <c r="BQ398" s="17"/>
      <c r="BR398" s="14"/>
      <c r="BS398" s="14"/>
      <c r="BT398" s="16"/>
      <c r="BU398" s="16"/>
      <c r="BV398" s="13"/>
      <c r="BW398" s="18" t="s">
        <v>9757</v>
      </c>
      <c r="BX398" s="13">
        <v>200</v>
      </c>
      <c r="BY398" s="17">
        <v>44121</v>
      </c>
      <c r="BZ398" s="18" t="s">
        <v>9758</v>
      </c>
      <c r="CA398" s="18" t="s">
        <v>9759</v>
      </c>
      <c r="CB398" s="18" t="s">
        <v>9760</v>
      </c>
      <c r="CC398" s="18" t="s">
        <v>9761</v>
      </c>
      <c r="CD398" s="14" t="s">
        <v>9762</v>
      </c>
      <c r="CE398" s="17">
        <v>43021</v>
      </c>
      <c r="CF398" s="16"/>
      <c r="CG398" s="17"/>
      <c r="CH398" s="16"/>
      <c r="CI398" s="17"/>
      <c r="CJ398" s="16"/>
      <c r="CK398" s="17"/>
      <c r="CL398" s="16"/>
      <c r="CM398" s="17"/>
      <c r="CN398" s="19">
        <v>43.882889825048117</v>
      </c>
      <c r="CO398" s="19"/>
      <c r="CP398" s="17"/>
      <c r="CQ398" s="14" t="s">
        <v>9763</v>
      </c>
      <c r="CR398" s="14" t="s">
        <v>7607</v>
      </c>
      <c r="CS398" s="14" t="s">
        <v>6074</v>
      </c>
    </row>
    <row r="399" spans="1:97" ht="26.15" customHeight="1">
      <c r="A399" s="2">
        <v>37</v>
      </c>
      <c r="B399" s="25" t="s">
        <v>825</v>
      </c>
      <c r="C399" s="25" t="e">
        <f>VLOOKUP(B399, Sheet6!$A$1:$B$77, 2, FALSE)</f>
        <v>#N/A</v>
      </c>
      <c r="D399" s="25" t="s">
        <v>826</v>
      </c>
      <c r="E399" s="25" t="s">
        <v>827</v>
      </c>
      <c r="F399" s="25" t="s">
        <v>5496</v>
      </c>
      <c r="G399" s="25" t="s">
        <v>10955</v>
      </c>
      <c r="H399" s="25" t="s">
        <v>10959</v>
      </c>
      <c r="I399" s="25" t="s">
        <v>10958</v>
      </c>
      <c r="J399" s="26" t="s">
        <v>10718</v>
      </c>
      <c r="L399" s="13">
        <v>2008</v>
      </c>
      <c r="M399" s="14" t="s">
        <v>5592</v>
      </c>
      <c r="N399" s="14" t="s">
        <v>5313</v>
      </c>
      <c r="O399" s="14" t="s">
        <v>3994</v>
      </c>
      <c r="P399" s="15" t="s">
        <v>3117</v>
      </c>
      <c r="Q399" s="16">
        <v>47182672</v>
      </c>
      <c r="R399" s="17">
        <v>43536</v>
      </c>
      <c r="S399" s="16" t="s">
        <v>7743</v>
      </c>
      <c r="T399" s="16">
        <v>31182200</v>
      </c>
      <c r="U399" s="14" t="s">
        <v>95</v>
      </c>
      <c r="V399" s="13">
        <v>4</v>
      </c>
      <c r="W399" s="17">
        <v>44026</v>
      </c>
      <c r="X399" s="14" t="s">
        <v>5544</v>
      </c>
      <c r="Y399" s="17">
        <v>43649</v>
      </c>
      <c r="Z399" s="17">
        <v>43590</v>
      </c>
      <c r="AA399" s="14" t="s">
        <v>5493</v>
      </c>
      <c r="AB399" s="14" t="s">
        <v>5494</v>
      </c>
      <c r="AC399" s="14" t="s">
        <v>8393</v>
      </c>
      <c r="AD399" s="20" t="str">
        <f t="shared" si="26"/>
        <v>B2B E-Commerce &gt; Agriculture &gt; E-Distributor
Crop Tech &gt; ECommerce &gt; Farm Inputs &gt; Multi Category &gt; Retailer &gt; Content Driven</v>
      </c>
      <c r="AE399" s="20" t="str">
        <f t="shared" si="25"/>
        <v>B2B E-Commerce</v>
      </c>
      <c r="AF399" s="20" t="str">
        <f t="shared" si="24"/>
        <v>Agriculture</v>
      </c>
      <c r="AG399" s="20" t="str">
        <f t="shared" si="24"/>
        <v>E-Distributor
Crop Tech</v>
      </c>
      <c r="AH399" s="20" t="str">
        <f t="shared" si="24"/>
        <v>ECommerce</v>
      </c>
      <c r="AI399" s="20" t="str">
        <f t="shared" si="24"/>
        <v>Farm Inputs</v>
      </c>
      <c r="AJ399" s="20" t="str">
        <f t="shared" si="24"/>
        <v>Multi Category</v>
      </c>
      <c r="AK399" s="20" t="str">
        <f t="shared" si="24"/>
        <v>Retailer</v>
      </c>
      <c r="AL399" s="14" t="s">
        <v>8394</v>
      </c>
      <c r="AM399" s="14" t="s">
        <v>2973</v>
      </c>
      <c r="AO399" s="14"/>
      <c r="AP399" s="14" t="s">
        <v>3994</v>
      </c>
      <c r="AQ399" s="14" t="s">
        <v>8396</v>
      </c>
      <c r="AR399" s="14" t="s">
        <v>8397</v>
      </c>
      <c r="AS399" s="14" t="s">
        <v>8398</v>
      </c>
      <c r="AT399" s="14" t="s">
        <v>8399</v>
      </c>
      <c r="AU399" s="14" t="s">
        <v>8400</v>
      </c>
      <c r="AV399" s="18"/>
      <c r="AW399" s="16">
        <v>11618100</v>
      </c>
      <c r="AX399" s="17">
        <v>43465</v>
      </c>
      <c r="AY399" s="15" t="s">
        <v>3117</v>
      </c>
      <c r="AZ399" s="17">
        <v>39741</v>
      </c>
      <c r="BA399" s="16">
        <v>1986</v>
      </c>
      <c r="BB399" s="14" t="s">
        <v>8401</v>
      </c>
      <c r="BC399" s="14"/>
      <c r="BD399" s="15" t="s">
        <v>3123</v>
      </c>
      <c r="BE399" s="14"/>
      <c r="BF399" s="17"/>
      <c r="BG399" s="16"/>
      <c r="BH399" s="14"/>
      <c r="BI399" s="15" t="s">
        <v>3123</v>
      </c>
      <c r="BJ399" s="14"/>
      <c r="BK399" s="17"/>
      <c r="BL399" s="16"/>
      <c r="BM399" s="16"/>
      <c r="BN399" s="16"/>
      <c r="BO399" s="16"/>
      <c r="BP399" s="15" t="s">
        <v>3123</v>
      </c>
      <c r="BQ399" s="17"/>
      <c r="BR399" s="14" t="s">
        <v>2910</v>
      </c>
      <c r="BS399" s="14"/>
      <c r="BT399" s="16"/>
      <c r="BU399" s="16"/>
      <c r="BV399" s="13"/>
      <c r="BW399" s="18" t="s">
        <v>8402</v>
      </c>
      <c r="BX399" s="13">
        <v>200</v>
      </c>
      <c r="BY399" s="17">
        <v>44121</v>
      </c>
      <c r="BZ399" s="18" t="s">
        <v>8403</v>
      </c>
      <c r="CA399" s="18" t="s">
        <v>8404</v>
      </c>
      <c r="CB399" s="18"/>
      <c r="CC399" s="18" t="s">
        <v>8405</v>
      </c>
      <c r="CD399" s="14" t="s">
        <v>8406</v>
      </c>
      <c r="CE399" s="17">
        <v>42863</v>
      </c>
      <c r="CF399" s="16">
        <v>-7017200</v>
      </c>
      <c r="CG399" s="17">
        <v>43465</v>
      </c>
      <c r="CH399" s="16">
        <v>-6646400</v>
      </c>
      <c r="CI399" s="17">
        <v>43465</v>
      </c>
      <c r="CJ399" s="16">
        <v>100000000</v>
      </c>
      <c r="CK399" s="17">
        <v>43565</v>
      </c>
      <c r="CL399" s="16">
        <v>1020</v>
      </c>
      <c r="CM399" s="17">
        <v>44012</v>
      </c>
      <c r="CN399" s="19">
        <v>71.493456540584731</v>
      </c>
      <c r="CO399" s="19"/>
      <c r="CP399" s="17"/>
      <c r="CQ399" s="14" t="s">
        <v>8407</v>
      </c>
      <c r="CR399" s="14" t="s">
        <v>6629</v>
      </c>
      <c r="CS399" s="14" t="s">
        <v>5004</v>
      </c>
    </row>
    <row r="400" spans="1:97" ht="26.15" customHeight="1">
      <c r="A400" s="2">
        <v>455</v>
      </c>
      <c r="B400" s="25" t="s">
        <v>3036</v>
      </c>
      <c r="C400" s="25" t="e">
        <f>VLOOKUP(B400, Sheet6!$A$1:$B$77, 2, FALSE)</f>
        <v>#N/A</v>
      </c>
      <c r="D400" s="25" t="s">
        <v>3037</v>
      </c>
      <c r="E400" s="25" t="s">
        <v>3038</v>
      </c>
      <c r="F400" s="25" t="s">
        <v>9645</v>
      </c>
      <c r="G400" s="25">
        <v>0</v>
      </c>
      <c r="H400" s="25">
        <v>0</v>
      </c>
      <c r="I400" s="25">
        <v>0</v>
      </c>
      <c r="J400" s="25">
        <v>0</v>
      </c>
      <c r="L400" s="13">
        <v>2014</v>
      </c>
      <c r="M400" s="14" t="s">
        <v>5189</v>
      </c>
      <c r="N400" s="14" t="s">
        <v>5190</v>
      </c>
      <c r="O400" s="14" t="s">
        <v>1258</v>
      </c>
      <c r="P400" s="15" t="s">
        <v>3117</v>
      </c>
      <c r="Q400" s="16"/>
      <c r="R400" s="17">
        <v>41789</v>
      </c>
      <c r="S400" s="16"/>
      <c r="T400" s="16" t="s">
        <v>50</v>
      </c>
      <c r="U400" s="14" t="s">
        <v>34</v>
      </c>
      <c r="V400" s="13"/>
      <c r="W400" s="17"/>
      <c r="X400" s="14"/>
      <c r="Y400" s="17"/>
      <c r="Z400" s="17"/>
      <c r="AA400" s="14" t="s">
        <v>5253</v>
      </c>
      <c r="AB400" s="14" t="s">
        <v>5254</v>
      </c>
      <c r="AC400" s="14" t="s">
        <v>9764</v>
      </c>
      <c r="AD400" s="20" t="str">
        <f t="shared" si="26"/>
        <v>Drones &gt; Services &gt; Horizontal
Crop Tech &gt; Farm Analytics &gt; Drones Based</v>
      </c>
      <c r="AE400" s="20" t="str">
        <f t="shared" si="25"/>
        <v>Drones</v>
      </c>
      <c r="AF400" s="20" t="str">
        <f t="shared" si="24"/>
        <v>Services</v>
      </c>
      <c r="AG400" s="20" t="str">
        <f t="shared" si="24"/>
        <v>Horizontal
Crop Tech</v>
      </c>
      <c r="AH400" s="20" t="str">
        <f t="shared" si="24"/>
        <v>Farm Analytics</v>
      </c>
      <c r="AI400" s="20" t="str">
        <f t="shared" si="24"/>
        <v>Drones Based</v>
      </c>
      <c r="AJ400" s="20" t="str">
        <f t="shared" si="24"/>
        <v/>
      </c>
      <c r="AK400" s="20" t="str">
        <f t="shared" si="24"/>
        <v/>
      </c>
      <c r="AL400" s="14" t="s">
        <v>9765</v>
      </c>
      <c r="AM400" s="14"/>
      <c r="AO400" s="14"/>
      <c r="AP400" s="14" t="s">
        <v>1258</v>
      </c>
      <c r="AQ400" s="14"/>
      <c r="AR400" s="14"/>
      <c r="AS400" s="14" t="s">
        <v>9767</v>
      </c>
      <c r="AT400" s="14" t="s">
        <v>9768</v>
      </c>
      <c r="AU400" s="14" t="s">
        <v>9769</v>
      </c>
      <c r="AV400" s="18" t="s">
        <v>9770</v>
      </c>
      <c r="AW400" s="16"/>
      <c r="AX400" s="17"/>
      <c r="AY400" s="15" t="s">
        <v>3123</v>
      </c>
      <c r="AZ400" s="17"/>
      <c r="BA400" s="16"/>
      <c r="BB400" s="14"/>
      <c r="BC400" s="14"/>
      <c r="BD400" s="15" t="s">
        <v>3123</v>
      </c>
      <c r="BE400" s="14"/>
      <c r="BF400" s="17"/>
      <c r="BG400" s="16"/>
      <c r="BH400" s="14"/>
      <c r="BI400" s="15" t="s">
        <v>3123</v>
      </c>
      <c r="BJ400" s="14"/>
      <c r="BK400" s="17"/>
      <c r="BL400" s="16"/>
      <c r="BM400" s="16"/>
      <c r="BN400" s="16"/>
      <c r="BO400" s="16"/>
      <c r="BP400" s="15" t="s">
        <v>3123</v>
      </c>
      <c r="BQ400" s="17"/>
      <c r="BR400" s="14"/>
      <c r="BS400" s="14"/>
      <c r="BT400" s="16"/>
      <c r="BU400" s="16"/>
      <c r="BV400" s="13"/>
      <c r="BW400" s="18" t="s">
        <v>9771</v>
      </c>
      <c r="BX400" s="13">
        <v>200</v>
      </c>
      <c r="BY400" s="17">
        <v>44121</v>
      </c>
      <c r="BZ400" s="18" t="s">
        <v>9772</v>
      </c>
      <c r="CA400" s="18" t="s">
        <v>9773</v>
      </c>
      <c r="CB400" s="18" t="s">
        <v>9774</v>
      </c>
      <c r="CC400" s="18"/>
      <c r="CD400" s="14" t="s">
        <v>9775</v>
      </c>
      <c r="CE400" s="17">
        <v>42332</v>
      </c>
      <c r="CF400" s="16"/>
      <c r="CG400" s="17"/>
      <c r="CH400" s="16"/>
      <c r="CI400" s="17"/>
      <c r="CJ400" s="16"/>
      <c r="CK400" s="17"/>
      <c r="CL400" s="16"/>
      <c r="CM400" s="17"/>
      <c r="CN400" s="19">
        <v>26.402056105611599</v>
      </c>
      <c r="CO400" s="19"/>
      <c r="CP400" s="17"/>
      <c r="CQ400" s="14" t="s">
        <v>5161</v>
      </c>
      <c r="CR400" s="14" t="s">
        <v>5162</v>
      </c>
      <c r="CS400" s="14" t="s">
        <v>5004</v>
      </c>
    </row>
    <row r="401" spans="1:97" ht="26.15" customHeight="1">
      <c r="A401" s="2">
        <v>329</v>
      </c>
      <c r="B401" s="25" t="s">
        <v>2406</v>
      </c>
      <c r="C401" s="25" t="e">
        <f>VLOOKUP(B401, Sheet6!$A$1:$B$77, 2, FALSE)</f>
        <v>#N/A</v>
      </c>
      <c r="D401" s="25" t="s">
        <v>2407</v>
      </c>
      <c r="E401" s="25" t="s">
        <v>2409</v>
      </c>
      <c r="F401" s="25" t="s">
        <v>8974</v>
      </c>
      <c r="G401" s="25" t="s">
        <v>10955</v>
      </c>
      <c r="H401" s="25" t="s">
        <v>10558</v>
      </c>
      <c r="I401" s="25" t="s">
        <v>10558</v>
      </c>
      <c r="J401" s="25" t="s">
        <v>10821</v>
      </c>
      <c r="L401" s="13">
        <v>2013</v>
      </c>
      <c r="M401" s="14" t="s">
        <v>6326</v>
      </c>
      <c r="N401" s="14" t="s">
        <v>5207</v>
      </c>
      <c r="O401" s="14" t="s">
        <v>5208</v>
      </c>
      <c r="P401" s="15" t="s">
        <v>3117</v>
      </c>
      <c r="Q401" s="16">
        <v>5080000</v>
      </c>
      <c r="R401" s="17">
        <v>42495</v>
      </c>
      <c r="S401" s="16"/>
      <c r="T401" s="16" t="s">
        <v>50</v>
      </c>
      <c r="U401" s="14" t="s">
        <v>5335</v>
      </c>
      <c r="V401" s="13">
        <v>4</v>
      </c>
      <c r="W401" s="17">
        <v>44057</v>
      </c>
      <c r="X401" s="14"/>
      <c r="Y401" s="17"/>
      <c r="Z401" s="17"/>
      <c r="AA401" s="14" t="s">
        <v>5041</v>
      </c>
      <c r="AB401" s="14" t="s">
        <v>5042</v>
      </c>
      <c r="AC401" s="14" t="s">
        <v>9776</v>
      </c>
      <c r="AD401" s="20" t="str">
        <f t="shared" si="26"/>
        <v>IoT Applications &gt; Industry Specific &gt; Agriculture &gt; Farms
Crop Tech &gt; Farm Management Software &gt; Pest Monitoring</v>
      </c>
      <c r="AE401" s="20" t="str">
        <f t="shared" si="25"/>
        <v>IoT Applications</v>
      </c>
      <c r="AF401" s="20" t="str">
        <f t="shared" si="24"/>
        <v>Industry Specific</v>
      </c>
      <c r="AG401" s="20" t="str">
        <f t="shared" si="24"/>
        <v>Agriculture</v>
      </c>
      <c r="AH401" s="20" t="str">
        <f t="shared" si="24"/>
        <v>Farms
Crop Tech</v>
      </c>
      <c r="AI401" s="20" t="str">
        <f t="shared" si="24"/>
        <v>Farm Management Software</v>
      </c>
      <c r="AJ401" s="20" t="str">
        <f t="shared" si="24"/>
        <v>Pest Monitoring</v>
      </c>
      <c r="AK401" s="20" t="str">
        <f t="shared" si="24"/>
        <v/>
      </c>
      <c r="AL401" s="14" t="s">
        <v>9777</v>
      </c>
      <c r="AM401" s="14"/>
      <c r="AO401" s="14"/>
      <c r="AP401" s="14" t="s">
        <v>5208</v>
      </c>
      <c r="AQ401" s="14"/>
      <c r="AR401" s="14"/>
      <c r="AS401" s="14" t="s">
        <v>9779</v>
      </c>
      <c r="AT401" s="14" t="s">
        <v>9780</v>
      </c>
      <c r="AU401" s="14" t="s">
        <v>9781</v>
      </c>
      <c r="AV401" s="18" t="s">
        <v>9782</v>
      </c>
      <c r="AW401" s="16"/>
      <c r="AX401" s="17"/>
      <c r="AY401" s="15" t="s">
        <v>3123</v>
      </c>
      <c r="AZ401" s="17"/>
      <c r="BA401" s="16"/>
      <c r="BB401" s="14"/>
      <c r="BC401" s="14"/>
      <c r="BD401" s="15" t="s">
        <v>3117</v>
      </c>
      <c r="BE401" s="14" t="s">
        <v>4155</v>
      </c>
      <c r="BF401" s="17">
        <v>43185</v>
      </c>
      <c r="BG401" s="16"/>
      <c r="BH401" s="14" t="s">
        <v>5342</v>
      </c>
      <c r="BI401" s="15" t="s">
        <v>3123</v>
      </c>
      <c r="BJ401" s="14"/>
      <c r="BK401" s="17"/>
      <c r="BL401" s="16"/>
      <c r="BM401" s="16"/>
      <c r="BN401" s="16"/>
      <c r="BO401" s="16"/>
      <c r="BP401" s="15" t="s">
        <v>3123</v>
      </c>
      <c r="BQ401" s="17"/>
      <c r="BR401" s="14"/>
      <c r="BS401" s="14"/>
      <c r="BT401" s="16"/>
      <c r="BU401" s="16"/>
      <c r="BV401" s="13"/>
      <c r="BW401" s="18" t="s">
        <v>9783</v>
      </c>
      <c r="BX401" s="13">
        <v>301</v>
      </c>
      <c r="BY401" s="17">
        <v>44121</v>
      </c>
      <c r="BZ401" s="18" t="s">
        <v>9784</v>
      </c>
      <c r="CA401" s="18"/>
      <c r="CB401" s="18"/>
      <c r="CC401" s="18"/>
      <c r="CD401" s="14" t="s">
        <v>9785</v>
      </c>
      <c r="CE401" s="17">
        <v>42929</v>
      </c>
      <c r="CF401" s="16"/>
      <c r="CG401" s="17"/>
      <c r="CH401" s="16"/>
      <c r="CI401" s="17"/>
      <c r="CJ401" s="16"/>
      <c r="CK401" s="17"/>
      <c r="CL401" s="16"/>
      <c r="CM401" s="17"/>
      <c r="CN401" s="19">
        <v>48.291833921810756</v>
      </c>
      <c r="CO401" s="19"/>
      <c r="CP401" s="17"/>
      <c r="CQ401" s="14" t="s">
        <v>7284</v>
      </c>
      <c r="CR401" s="14" t="s">
        <v>6002</v>
      </c>
      <c r="CS401" s="14" t="s">
        <v>5945</v>
      </c>
    </row>
    <row r="402" spans="1:97" ht="26.15" customHeight="1">
      <c r="A402" s="2">
        <v>339</v>
      </c>
      <c r="B402" s="25" t="s">
        <v>2215</v>
      </c>
      <c r="C402" s="25" t="e">
        <f>VLOOKUP(B402, Sheet6!$A$1:$B$77, 2, FALSE)</f>
        <v>#N/A</v>
      </c>
      <c r="D402" s="25" t="s">
        <v>2216</v>
      </c>
      <c r="E402" s="25" t="s">
        <v>2218</v>
      </c>
      <c r="F402" s="25" t="s">
        <v>9015</v>
      </c>
      <c r="G402" s="25" t="s">
        <v>10952</v>
      </c>
      <c r="H402" s="25" t="s">
        <v>10957</v>
      </c>
      <c r="I402" s="25" t="s">
        <v>10558</v>
      </c>
      <c r="J402" s="25" t="s">
        <v>10846</v>
      </c>
      <c r="L402" s="13">
        <v>2011</v>
      </c>
      <c r="M402" s="14" t="s">
        <v>5132</v>
      </c>
      <c r="N402" s="14" t="s">
        <v>5133</v>
      </c>
      <c r="O402" s="14" t="s">
        <v>3994</v>
      </c>
      <c r="P402" s="15" t="s">
        <v>3117</v>
      </c>
      <c r="Q402" s="16">
        <v>89088</v>
      </c>
      <c r="R402" s="17">
        <v>42579</v>
      </c>
      <c r="S402" s="16" t="s">
        <v>9786</v>
      </c>
      <c r="T402" s="16">
        <v>89088</v>
      </c>
      <c r="U402" s="14" t="s">
        <v>34</v>
      </c>
      <c r="V402" s="13">
        <v>2</v>
      </c>
      <c r="W402" s="17">
        <v>44043</v>
      </c>
      <c r="X402" s="14"/>
      <c r="Y402" s="17"/>
      <c r="Z402" s="17"/>
      <c r="AA402" s="14" t="s">
        <v>1</v>
      </c>
      <c r="AB402" s="14" t="s">
        <v>5007</v>
      </c>
      <c r="AC402" s="14" t="s">
        <v>8865</v>
      </c>
      <c r="AD402" s="20" t="str">
        <f t="shared" si="26"/>
        <v>Crop Tech &gt; Farm Inputs &gt; Biologicals &gt; Crop Nutrition &gt; BioChar</v>
      </c>
      <c r="AE402" s="20" t="str">
        <f t="shared" si="25"/>
        <v>Crop Tech</v>
      </c>
      <c r="AF402" s="20" t="str">
        <f t="shared" si="24"/>
        <v>Farm Inputs</v>
      </c>
      <c r="AG402" s="20" t="str">
        <f t="shared" si="24"/>
        <v>Biologicals</v>
      </c>
      <c r="AH402" s="20" t="str">
        <f t="shared" si="24"/>
        <v>Crop Nutrition</v>
      </c>
      <c r="AI402" s="20" t="str">
        <f t="shared" si="24"/>
        <v>BioChar</v>
      </c>
      <c r="AJ402" s="20" t="str">
        <f t="shared" si="24"/>
        <v/>
      </c>
      <c r="AK402" s="20" t="str">
        <f t="shared" si="24"/>
        <v/>
      </c>
      <c r="AL402" s="14" t="s">
        <v>9787</v>
      </c>
      <c r="AM402" s="14"/>
      <c r="AO402" s="14"/>
      <c r="AP402" s="14" t="s">
        <v>3994</v>
      </c>
      <c r="AQ402" s="14" t="s">
        <v>9789</v>
      </c>
      <c r="AR402" s="14" t="s">
        <v>9790</v>
      </c>
      <c r="AS402" s="14" t="s">
        <v>9791</v>
      </c>
      <c r="AT402" s="14" t="s">
        <v>9792</v>
      </c>
      <c r="AU402" s="14" t="s">
        <v>9793</v>
      </c>
      <c r="AV402" s="18"/>
      <c r="AW402" s="16">
        <v>101593</v>
      </c>
      <c r="AX402" s="17">
        <v>43465</v>
      </c>
      <c r="AY402" s="15" t="s">
        <v>3123</v>
      </c>
      <c r="AZ402" s="17"/>
      <c r="BA402" s="16"/>
      <c r="BB402" s="14"/>
      <c r="BC402" s="14"/>
      <c r="BD402" s="15" t="s">
        <v>3123</v>
      </c>
      <c r="BE402" s="14"/>
      <c r="BF402" s="17"/>
      <c r="BG402" s="16"/>
      <c r="BH402" s="14"/>
      <c r="BI402" s="15" t="s">
        <v>3123</v>
      </c>
      <c r="BJ402" s="14"/>
      <c r="BK402" s="17"/>
      <c r="BL402" s="16"/>
      <c r="BM402" s="16"/>
      <c r="BN402" s="16"/>
      <c r="BO402" s="16"/>
      <c r="BP402" s="15" t="s">
        <v>3123</v>
      </c>
      <c r="BQ402" s="17"/>
      <c r="BR402" s="14"/>
      <c r="BS402" s="14"/>
      <c r="BT402" s="16"/>
      <c r="BU402" s="16"/>
      <c r="BV402" s="13"/>
      <c r="BW402" s="18" t="s">
        <v>9794</v>
      </c>
      <c r="BX402" s="13">
        <v>200</v>
      </c>
      <c r="BY402" s="17">
        <v>44121</v>
      </c>
      <c r="BZ402" s="18" t="s">
        <v>9795</v>
      </c>
      <c r="CA402" s="18" t="s">
        <v>9796</v>
      </c>
      <c r="CB402" s="18" t="s">
        <v>9797</v>
      </c>
      <c r="CC402" s="18"/>
      <c r="CD402" s="14" t="s">
        <v>9798</v>
      </c>
      <c r="CE402" s="17">
        <v>43032</v>
      </c>
      <c r="CF402" s="16">
        <v>2490</v>
      </c>
      <c r="CG402" s="17">
        <v>43465</v>
      </c>
      <c r="CH402" s="16">
        <v>9246</v>
      </c>
      <c r="CI402" s="17">
        <v>43465</v>
      </c>
      <c r="CJ402" s="16">
        <v>360000</v>
      </c>
      <c r="CK402" s="17">
        <v>42551</v>
      </c>
      <c r="CL402" s="16"/>
      <c r="CM402" s="17"/>
      <c r="CN402" s="19">
        <v>39.293306367957264</v>
      </c>
      <c r="CO402" s="19"/>
      <c r="CP402" s="17"/>
      <c r="CQ402" s="14" t="s">
        <v>5036</v>
      </c>
      <c r="CR402" s="14" t="s">
        <v>5037</v>
      </c>
      <c r="CS402" s="14" t="s">
        <v>5004</v>
      </c>
    </row>
    <row r="403" spans="1:97" ht="26.15" customHeight="1">
      <c r="A403" s="2">
        <v>474</v>
      </c>
      <c r="B403" s="25" t="s">
        <v>2432</v>
      </c>
      <c r="C403" s="25" t="e">
        <f>VLOOKUP(B403, Sheet6!$A$1:$B$77, 2, FALSE)</f>
        <v>#N/A</v>
      </c>
      <c r="D403" s="25" t="s">
        <v>2433</v>
      </c>
      <c r="E403" s="25" t="s">
        <v>2436</v>
      </c>
      <c r="F403" s="25" t="s">
        <v>9778</v>
      </c>
      <c r="G403" s="25">
        <v>0</v>
      </c>
      <c r="H403" s="25">
        <v>0</v>
      </c>
      <c r="I403" s="25">
        <v>0</v>
      </c>
      <c r="J403" s="25">
        <v>0</v>
      </c>
      <c r="L403" s="13">
        <v>2013</v>
      </c>
      <c r="M403" s="14" t="s">
        <v>7285</v>
      </c>
      <c r="N403" s="14"/>
      <c r="O403" s="14" t="s">
        <v>5277</v>
      </c>
      <c r="P403" s="15" t="s">
        <v>3117</v>
      </c>
      <c r="Q403" s="16"/>
      <c r="R403" s="17">
        <v>42527</v>
      </c>
      <c r="S403" s="16"/>
      <c r="T403" s="16" t="s">
        <v>50</v>
      </c>
      <c r="U403" s="14" t="s">
        <v>109</v>
      </c>
      <c r="V403" s="13"/>
      <c r="W403" s="17"/>
      <c r="X403" s="14"/>
      <c r="Y403" s="17"/>
      <c r="Z403" s="17"/>
      <c r="AA403" s="14" t="s">
        <v>1</v>
      </c>
      <c r="AB403" s="14" t="s">
        <v>5007</v>
      </c>
      <c r="AC403" s="14" t="s">
        <v>2392</v>
      </c>
      <c r="AD403" s="20" t="str">
        <f t="shared" si="26"/>
        <v>Crop Tech &gt; Finance &gt; Crowdfunding</v>
      </c>
      <c r="AE403" s="20" t="str">
        <f t="shared" si="25"/>
        <v>Crop Tech</v>
      </c>
      <c r="AF403" s="20" t="str">
        <f t="shared" si="24"/>
        <v>Finance</v>
      </c>
      <c r="AG403" s="20" t="str">
        <f t="shared" ref="AF403:AK442" si="27">TRIM(MID(SUBSTITUTE($AD403,"&gt;",REPT(" ",LEN($AD403))), (AG$6-1)*LEN($AD403)+1, LEN($AD403)))</f>
        <v>Crowdfunding</v>
      </c>
      <c r="AH403" s="20" t="str">
        <f t="shared" si="27"/>
        <v/>
      </c>
      <c r="AI403" s="20" t="str">
        <f t="shared" si="27"/>
        <v/>
      </c>
      <c r="AJ403" s="20" t="str">
        <f t="shared" si="27"/>
        <v/>
      </c>
      <c r="AK403" s="20" t="str">
        <f t="shared" si="27"/>
        <v/>
      </c>
      <c r="AL403" s="14" t="s">
        <v>9799</v>
      </c>
      <c r="AM403" s="14"/>
      <c r="AO403" s="14"/>
      <c r="AP403" s="14" t="s">
        <v>5277</v>
      </c>
      <c r="AQ403" s="14"/>
      <c r="AR403" s="14"/>
      <c r="AS403" s="14" t="s">
        <v>9801</v>
      </c>
      <c r="AT403" s="14" t="s">
        <v>9802</v>
      </c>
      <c r="AU403" s="14" t="s">
        <v>9803</v>
      </c>
      <c r="AV403" s="18" t="s">
        <v>9804</v>
      </c>
      <c r="AW403" s="16"/>
      <c r="AX403" s="17"/>
      <c r="AY403" s="15" t="s">
        <v>3123</v>
      </c>
      <c r="AZ403" s="17"/>
      <c r="BA403" s="16"/>
      <c r="BB403" s="14"/>
      <c r="BC403" s="14"/>
      <c r="BD403" s="15" t="s">
        <v>3123</v>
      </c>
      <c r="BE403" s="14"/>
      <c r="BF403" s="17"/>
      <c r="BG403" s="16"/>
      <c r="BH403" s="14"/>
      <c r="BI403" s="15" t="s">
        <v>3123</v>
      </c>
      <c r="BJ403" s="14"/>
      <c r="BK403" s="17"/>
      <c r="BL403" s="16"/>
      <c r="BM403" s="16"/>
      <c r="BN403" s="16"/>
      <c r="BO403" s="16"/>
      <c r="BP403" s="15" t="s">
        <v>3123</v>
      </c>
      <c r="BQ403" s="17"/>
      <c r="BR403" s="14"/>
      <c r="BS403" s="14"/>
      <c r="BT403" s="16"/>
      <c r="BU403" s="16"/>
      <c r="BV403" s="13"/>
      <c r="BW403" s="18" t="s">
        <v>9805</v>
      </c>
      <c r="BX403" s="13">
        <v>200</v>
      </c>
      <c r="BY403" s="17">
        <v>44121</v>
      </c>
      <c r="BZ403" s="18" t="s">
        <v>9806</v>
      </c>
      <c r="CA403" s="18" t="s">
        <v>9807</v>
      </c>
      <c r="CB403" s="18" t="s">
        <v>9808</v>
      </c>
      <c r="CC403" s="18"/>
      <c r="CD403" s="14" t="s">
        <v>9809</v>
      </c>
      <c r="CE403" s="17">
        <v>42930</v>
      </c>
      <c r="CF403" s="16"/>
      <c r="CG403" s="17"/>
      <c r="CH403" s="16"/>
      <c r="CI403" s="17"/>
      <c r="CJ403" s="16"/>
      <c r="CK403" s="17"/>
      <c r="CL403" s="16"/>
      <c r="CM403" s="17"/>
      <c r="CN403" s="19">
        <v>34.562217238672105</v>
      </c>
      <c r="CO403" s="19"/>
      <c r="CP403" s="17"/>
      <c r="CQ403" s="14" t="s">
        <v>5345</v>
      </c>
      <c r="CR403" s="14" t="s">
        <v>7272</v>
      </c>
      <c r="CS403" s="14" t="s">
        <v>5945</v>
      </c>
    </row>
    <row r="404" spans="1:97" ht="26.15" customHeight="1">
      <c r="A404" s="2">
        <v>509</v>
      </c>
      <c r="B404" s="25" t="s">
        <v>2591</v>
      </c>
      <c r="C404" s="25" t="e">
        <f>VLOOKUP(B404, Sheet6!$A$1:$B$77, 2, FALSE)</f>
        <v>#N/A</v>
      </c>
      <c r="D404" s="25" t="s">
        <v>2592</v>
      </c>
      <c r="E404" s="25" t="s">
        <v>2594</v>
      </c>
      <c r="F404" s="25" t="s">
        <v>10056</v>
      </c>
      <c r="G404" s="25" t="s">
        <v>10954</v>
      </c>
      <c r="H404" s="25" t="s">
        <v>10558</v>
      </c>
      <c r="I404" s="25" t="s">
        <v>10558</v>
      </c>
      <c r="J404" s="134" t="s">
        <v>10794</v>
      </c>
      <c r="L404" s="13">
        <v>2013</v>
      </c>
      <c r="M404" s="14" t="s">
        <v>7307</v>
      </c>
      <c r="N404" s="14" t="s">
        <v>5267</v>
      </c>
      <c r="O404" s="14" t="s">
        <v>2057</v>
      </c>
      <c r="P404" s="15" t="s">
        <v>3117</v>
      </c>
      <c r="Q404" s="16">
        <v>10000000</v>
      </c>
      <c r="R404" s="17">
        <v>42164</v>
      </c>
      <c r="S404" s="16" t="s">
        <v>5165</v>
      </c>
      <c r="T404" s="16">
        <v>10000000</v>
      </c>
      <c r="U404" s="14" t="s">
        <v>109</v>
      </c>
      <c r="V404" s="13">
        <v>4</v>
      </c>
      <c r="W404" s="17">
        <v>44098</v>
      </c>
      <c r="X404" s="14"/>
      <c r="Y404" s="17"/>
      <c r="Z404" s="17"/>
      <c r="AA404" s="14" t="s">
        <v>1</v>
      </c>
      <c r="AB404" s="14" t="s">
        <v>5007</v>
      </c>
      <c r="AC404" s="14" t="s">
        <v>9810</v>
      </c>
      <c r="AD404" s="20" t="str">
        <f t="shared" si="26"/>
        <v>Crop Tech &gt; Farm Inputs &gt; Biologicals &gt; Diversified &gt; Microbes</v>
      </c>
      <c r="AE404" s="20" t="str">
        <f t="shared" si="25"/>
        <v>Crop Tech</v>
      </c>
      <c r="AF404" s="20" t="str">
        <f t="shared" si="27"/>
        <v>Farm Inputs</v>
      </c>
      <c r="AG404" s="20" t="str">
        <f t="shared" si="27"/>
        <v>Biologicals</v>
      </c>
      <c r="AH404" s="20" t="str">
        <f t="shared" si="27"/>
        <v>Diversified</v>
      </c>
      <c r="AI404" s="20" t="str">
        <f t="shared" si="27"/>
        <v>Microbes</v>
      </c>
      <c r="AJ404" s="20" t="str">
        <f t="shared" si="27"/>
        <v/>
      </c>
      <c r="AK404" s="20" t="str">
        <f t="shared" si="27"/>
        <v/>
      </c>
      <c r="AL404" s="14" t="s">
        <v>9811</v>
      </c>
      <c r="AM404" s="14"/>
      <c r="AO404" s="14"/>
      <c r="AP404" s="14" t="s">
        <v>2057</v>
      </c>
      <c r="AQ404" s="14"/>
      <c r="AR404" s="14"/>
      <c r="AS404" s="14" t="s">
        <v>9813</v>
      </c>
      <c r="AT404" s="14" t="s">
        <v>9814</v>
      </c>
      <c r="AU404" s="14" t="s">
        <v>9815</v>
      </c>
      <c r="AV404" s="18"/>
      <c r="AW404" s="16"/>
      <c r="AX404" s="17"/>
      <c r="AY404" s="15" t="s">
        <v>3123</v>
      </c>
      <c r="AZ404" s="17"/>
      <c r="BA404" s="16"/>
      <c r="BB404" s="14"/>
      <c r="BC404" s="14" t="s">
        <v>9816</v>
      </c>
      <c r="BD404" s="15" t="s">
        <v>3123</v>
      </c>
      <c r="BE404" s="14"/>
      <c r="BF404" s="17"/>
      <c r="BG404" s="16"/>
      <c r="BH404" s="14"/>
      <c r="BI404" s="15" t="s">
        <v>3123</v>
      </c>
      <c r="BJ404" s="14"/>
      <c r="BK404" s="17"/>
      <c r="BL404" s="16"/>
      <c r="BM404" s="16"/>
      <c r="BN404" s="16"/>
      <c r="BO404" s="16"/>
      <c r="BP404" s="15" t="s">
        <v>3123</v>
      </c>
      <c r="BQ404" s="17"/>
      <c r="BR404" s="14"/>
      <c r="BS404" s="14"/>
      <c r="BT404" s="16"/>
      <c r="BU404" s="16"/>
      <c r="BV404" s="13"/>
      <c r="BW404" s="18" t="s">
        <v>9817</v>
      </c>
      <c r="BX404" s="13">
        <v>200</v>
      </c>
      <c r="BY404" s="17">
        <v>44121</v>
      </c>
      <c r="BZ404" s="18"/>
      <c r="CA404" s="18"/>
      <c r="CB404" s="18"/>
      <c r="CC404" s="18"/>
      <c r="CD404" s="14" t="s">
        <v>9818</v>
      </c>
      <c r="CE404" s="17">
        <v>44092</v>
      </c>
      <c r="CF404" s="16"/>
      <c r="CG404" s="17"/>
      <c r="CH404" s="16"/>
      <c r="CI404" s="17"/>
      <c r="CJ404" s="16"/>
      <c r="CK404" s="17"/>
      <c r="CL404" s="16"/>
      <c r="CM404" s="17"/>
      <c r="CN404" s="19">
        <v>42.550150526229991</v>
      </c>
      <c r="CO404" s="19"/>
      <c r="CP404" s="17"/>
      <c r="CQ404" s="14" t="s">
        <v>5345</v>
      </c>
      <c r="CR404" s="14" t="s">
        <v>7272</v>
      </c>
      <c r="CS404" s="14" t="s">
        <v>5945</v>
      </c>
    </row>
    <row r="405" spans="1:97" ht="26.15" customHeight="1">
      <c r="A405" s="2">
        <v>475</v>
      </c>
      <c r="B405" s="25" t="s">
        <v>2315</v>
      </c>
      <c r="C405" s="25" t="e">
        <f>VLOOKUP(B405, Sheet6!$A$1:$B$77, 2, FALSE)</f>
        <v>#N/A</v>
      </c>
      <c r="D405" s="25" t="s">
        <v>2316</v>
      </c>
      <c r="E405" s="25" t="s">
        <v>2317</v>
      </c>
      <c r="F405" s="25" t="s">
        <v>9788</v>
      </c>
      <c r="G405" s="25" t="s">
        <v>10955</v>
      </c>
      <c r="H405" s="25" t="s">
        <v>10959</v>
      </c>
      <c r="I405" s="25" t="s">
        <v>10558</v>
      </c>
      <c r="J405" s="25" t="s">
        <v>10857</v>
      </c>
      <c r="L405" s="13">
        <v>2014</v>
      </c>
      <c r="M405" s="14" t="s">
        <v>9819</v>
      </c>
      <c r="N405" s="14" t="s">
        <v>6004</v>
      </c>
      <c r="O405" s="14" t="s">
        <v>4343</v>
      </c>
      <c r="P405" s="15" t="s">
        <v>3117</v>
      </c>
      <c r="Q405" s="16"/>
      <c r="R405" s="17">
        <v>42256</v>
      </c>
      <c r="S405" s="16"/>
      <c r="T405" s="16" t="s">
        <v>50</v>
      </c>
      <c r="U405" s="14" t="s">
        <v>25</v>
      </c>
      <c r="V405" s="13">
        <v>4</v>
      </c>
      <c r="W405" s="17">
        <v>43966</v>
      </c>
      <c r="X405" s="14"/>
      <c r="Y405" s="17"/>
      <c r="Z405" s="17"/>
      <c r="AA405" s="14" t="s">
        <v>5315</v>
      </c>
      <c r="AB405" s="14" t="s">
        <v>5316</v>
      </c>
      <c r="AC405" s="14" t="s">
        <v>5474</v>
      </c>
      <c r="AD405" s="20" t="str">
        <f t="shared" si="26"/>
        <v>Crop Tech &gt; Farm Inputs &gt; Biologicals &gt; Crop Nutrition &gt; Microbes
Chemicals Tech &gt; Green Chemicals &gt; Crop Nutrition &gt; Microbes</v>
      </c>
      <c r="AE405" s="20" t="str">
        <f t="shared" si="25"/>
        <v>Crop Tech</v>
      </c>
      <c r="AF405" s="20" t="str">
        <f t="shared" si="27"/>
        <v>Farm Inputs</v>
      </c>
      <c r="AG405" s="20" t="str">
        <f t="shared" si="27"/>
        <v>Biologicals</v>
      </c>
      <c r="AH405" s="20" t="str">
        <f t="shared" si="27"/>
        <v>Crop Nutrition</v>
      </c>
      <c r="AI405" s="20" t="str">
        <f t="shared" si="27"/>
        <v>Microbes
Chemicals Tech</v>
      </c>
      <c r="AJ405" s="20" t="str">
        <f t="shared" si="27"/>
        <v>Green Chemicals</v>
      </c>
      <c r="AK405" s="20" t="str">
        <f t="shared" si="27"/>
        <v>Crop Nutrition</v>
      </c>
      <c r="AL405" s="14" t="s">
        <v>9820</v>
      </c>
      <c r="AM405" s="14"/>
      <c r="AO405" s="14"/>
      <c r="AP405" s="14" t="s">
        <v>4343</v>
      </c>
      <c r="AQ405" s="14"/>
      <c r="AR405" s="14"/>
      <c r="AS405" s="14" t="s">
        <v>9822</v>
      </c>
      <c r="AT405" s="14" t="s">
        <v>9823</v>
      </c>
      <c r="AU405" s="14"/>
      <c r="AV405" s="18" t="s">
        <v>9824</v>
      </c>
      <c r="AW405" s="16"/>
      <c r="AX405" s="17"/>
      <c r="AY405" s="15" t="s">
        <v>3123</v>
      </c>
      <c r="AZ405" s="17"/>
      <c r="BA405" s="16"/>
      <c r="BB405" s="14"/>
      <c r="BC405" s="14"/>
      <c r="BD405" s="15" t="s">
        <v>3123</v>
      </c>
      <c r="BE405" s="14"/>
      <c r="BF405" s="17"/>
      <c r="BG405" s="16"/>
      <c r="BH405" s="14"/>
      <c r="BI405" s="15" t="s">
        <v>3123</v>
      </c>
      <c r="BJ405" s="14"/>
      <c r="BK405" s="17"/>
      <c r="BL405" s="16"/>
      <c r="BM405" s="16"/>
      <c r="BN405" s="16"/>
      <c r="BO405" s="16"/>
      <c r="BP405" s="15" t="s">
        <v>3123</v>
      </c>
      <c r="BQ405" s="17"/>
      <c r="BR405" s="14"/>
      <c r="BS405" s="14"/>
      <c r="BT405" s="16"/>
      <c r="BU405" s="16"/>
      <c r="BV405" s="13"/>
      <c r="BW405" s="18" t="s">
        <v>9825</v>
      </c>
      <c r="BX405" s="13">
        <v>200</v>
      </c>
      <c r="BY405" s="17">
        <v>44121</v>
      </c>
      <c r="BZ405" s="18" t="s">
        <v>9826</v>
      </c>
      <c r="CA405" s="18"/>
      <c r="CB405" s="18" t="s">
        <v>9827</v>
      </c>
      <c r="CC405" s="18"/>
      <c r="CD405" s="14" t="s">
        <v>9828</v>
      </c>
      <c r="CE405" s="17">
        <v>43032</v>
      </c>
      <c r="CF405" s="16"/>
      <c r="CG405" s="17"/>
      <c r="CH405" s="16"/>
      <c r="CI405" s="17"/>
      <c r="CJ405" s="16"/>
      <c r="CK405" s="17"/>
      <c r="CL405" s="16"/>
      <c r="CM405" s="17"/>
      <c r="CN405" s="19">
        <v>33.823374868685015</v>
      </c>
      <c r="CO405" s="19"/>
      <c r="CP405" s="17"/>
      <c r="CQ405" s="14"/>
      <c r="CR405" s="14" t="s">
        <v>9829</v>
      </c>
      <c r="CS405" s="14" t="s">
        <v>5945</v>
      </c>
    </row>
    <row r="406" spans="1:97" ht="26.15" customHeight="1">
      <c r="A406" s="2">
        <v>283</v>
      </c>
      <c r="B406" s="25" t="s">
        <v>1539</v>
      </c>
      <c r="C406" s="25" t="e">
        <f>VLOOKUP(B406, Sheet6!$A$1:$B$77, 2, FALSE)</f>
        <v>#N/A</v>
      </c>
      <c r="D406" s="25" t="s">
        <v>1540</v>
      </c>
      <c r="E406" s="25" t="s">
        <v>1542</v>
      </c>
      <c r="F406" s="25" t="s">
        <v>8593</v>
      </c>
      <c r="G406" s="25" t="s">
        <v>10955</v>
      </c>
      <c r="H406" s="25" t="s">
        <v>10957</v>
      </c>
      <c r="I406" s="25" t="s">
        <v>10558</v>
      </c>
      <c r="J406" s="25" t="s">
        <v>11104</v>
      </c>
      <c r="L406" s="13">
        <v>2010</v>
      </c>
      <c r="M406" s="14" t="s">
        <v>5777</v>
      </c>
      <c r="N406" s="14" t="s">
        <v>5050</v>
      </c>
      <c r="O406" s="14" t="s">
        <v>4343</v>
      </c>
      <c r="P406" s="15" t="s">
        <v>3117</v>
      </c>
      <c r="Q406" s="16"/>
      <c r="R406" s="17">
        <v>42491</v>
      </c>
      <c r="S406" s="16" t="s">
        <v>6930</v>
      </c>
      <c r="T406" s="16">
        <v>57000</v>
      </c>
      <c r="U406" s="14" t="s">
        <v>5040</v>
      </c>
      <c r="V406" s="13"/>
      <c r="W406" s="17"/>
      <c r="X406" s="14"/>
      <c r="Y406" s="17"/>
      <c r="Z406" s="17"/>
      <c r="AA406" s="14" t="s">
        <v>1</v>
      </c>
      <c r="AB406" s="14" t="s">
        <v>5007</v>
      </c>
      <c r="AC406" s="14" t="s">
        <v>2447</v>
      </c>
      <c r="AD406" s="20" t="str">
        <f t="shared" si="26"/>
        <v>Crop Tech &gt; Farm Equipment &gt; Dehumidifiers</v>
      </c>
      <c r="AE406" s="20" t="str">
        <f t="shared" si="25"/>
        <v>Crop Tech</v>
      </c>
      <c r="AF406" s="20" t="str">
        <f t="shared" si="27"/>
        <v>Farm Equipment</v>
      </c>
      <c r="AG406" s="20" t="str">
        <f t="shared" si="27"/>
        <v>Dehumidifiers</v>
      </c>
      <c r="AH406" s="20" t="str">
        <f t="shared" si="27"/>
        <v/>
      </c>
      <c r="AI406" s="20" t="str">
        <f t="shared" si="27"/>
        <v/>
      </c>
      <c r="AJ406" s="20" t="str">
        <f t="shared" si="27"/>
        <v/>
      </c>
      <c r="AK406" s="20" t="str">
        <f t="shared" si="27"/>
        <v/>
      </c>
      <c r="AL406" s="14" t="s">
        <v>9830</v>
      </c>
      <c r="AM406" s="14"/>
      <c r="AO406" s="14"/>
      <c r="AP406" s="14" t="s">
        <v>4343</v>
      </c>
      <c r="AQ406" s="14" t="s">
        <v>9832</v>
      </c>
      <c r="AR406" s="14"/>
      <c r="AS406" s="14" t="s">
        <v>9833</v>
      </c>
      <c r="AT406" s="14" t="s">
        <v>9834</v>
      </c>
      <c r="AU406" s="14" t="s">
        <v>9835</v>
      </c>
      <c r="AV406" s="18" t="s">
        <v>9836</v>
      </c>
      <c r="AW406" s="16"/>
      <c r="AX406" s="17"/>
      <c r="AY406" s="15" t="s">
        <v>3123</v>
      </c>
      <c r="AZ406" s="17"/>
      <c r="BA406" s="16"/>
      <c r="BB406" s="14"/>
      <c r="BC406" s="14"/>
      <c r="BD406" s="15" t="s">
        <v>3123</v>
      </c>
      <c r="BE406" s="14"/>
      <c r="BF406" s="17"/>
      <c r="BG406" s="16"/>
      <c r="BH406" s="14"/>
      <c r="BI406" s="15" t="s">
        <v>3123</v>
      </c>
      <c r="BJ406" s="14"/>
      <c r="BK406" s="17"/>
      <c r="BL406" s="16"/>
      <c r="BM406" s="16"/>
      <c r="BN406" s="16"/>
      <c r="BO406" s="16"/>
      <c r="BP406" s="15" t="s">
        <v>3123</v>
      </c>
      <c r="BQ406" s="17"/>
      <c r="BR406" s="14"/>
      <c r="BS406" s="14"/>
      <c r="BT406" s="16"/>
      <c r="BU406" s="16"/>
      <c r="BV406" s="13"/>
      <c r="BW406" s="18" t="s">
        <v>9837</v>
      </c>
      <c r="BX406" s="13">
        <v>200</v>
      </c>
      <c r="BY406" s="17">
        <v>44121</v>
      </c>
      <c r="BZ406" s="18" t="s">
        <v>9838</v>
      </c>
      <c r="CA406" s="18"/>
      <c r="CB406" s="18" t="s">
        <v>9839</v>
      </c>
      <c r="CC406" s="18"/>
      <c r="CD406" s="14" t="s">
        <v>9840</v>
      </c>
      <c r="CE406" s="17">
        <v>43033</v>
      </c>
      <c r="CF406" s="16"/>
      <c r="CG406" s="17"/>
      <c r="CH406" s="16"/>
      <c r="CI406" s="17"/>
      <c r="CJ406" s="16"/>
      <c r="CK406" s="17"/>
      <c r="CL406" s="16"/>
      <c r="CM406" s="17"/>
      <c r="CN406" s="19">
        <v>21.701895308724716</v>
      </c>
      <c r="CO406" s="19"/>
      <c r="CP406" s="17"/>
      <c r="CQ406" s="14"/>
      <c r="CR406" s="14" t="s">
        <v>9829</v>
      </c>
      <c r="CS406" s="14" t="s">
        <v>5945</v>
      </c>
    </row>
    <row r="407" spans="1:97" ht="26.15" customHeight="1">
      <c r="A407" s="54">
        <v>342</v>
      </c>
      <c r="B407" s="51" t="s">
        <v>2298</v>
      </c>
      <c r="C407" s="51" t="e">
        <f>VLOOKUP(B407, Sheet6!$A$1:$B$77, 2, FALSE)</f>
        <v>#N/A</v>
      </c>
      <c r="D407" s="51" t="s">
        <v>2299</v>
      </c>
      <c r="E407" s="51" t="s">
        <v>2303</v>
      </c>
      <c r="F407" s="51" t="s">
        <v>9031</v>
      </c>
      <c r="G407" s="51">
        <v>0</v>
      </c>
      <c r="H407" s="51">
        <v>0</v>
      </c>
      <c r="I407" s="51">
        <v>0</v>
      </c>
      <c r="J407" s="51">
        <v>0</v>
      </c>
      <c r="L407" s="13">
        <v>2013</v>
      </c>
      <c r="M407" s="14" t="s">
        <v>5507</v>
      </c>
      <c r="N407" s="14" t="s">
        <v>5507</v>
      </c>
      <c r="O407" s="14" t="s">
        <v>5508</v>
      </c>
      <c r="P407" s="15" t="s">
        <v>3117</v>
      </c>
      <c r="Q407" s="16"/>
      <c r="R407" s="17">
        <v>43443</v>
      </c>
      <c r="S407" s="16"/>
      <c r="T407" s="16" t="s">
        <v>50</v>
      </c>
      <c r="U407" s="14" t="s">
        <v>34</v>
      </c>
      <c r="V407" s="13">
        <v>4</v>
      </c>
      <c r="W407" s="17">
        <v>44063</v>
      </c>
      <c r="X407" s="14"/>
      <c r="Y407" s="17"/>
      <c r="Z407" s="17"/>
      <c r="AA407" s="14" t="s">
        <v>8102</v>
      </c>
      <c r="AB407" s="14" t="s">
        <v>8420</v>
      </c>
      <c r="AC407" s="14" t="s">
        <v>8421</v>
      </c>
      <c r="AD407" s="20" t="str">
        <f t="shared" si="26"/>
        <v>IoT Applications &gt; Industry Specific &gt; Agriculture &gt; Aquaculture
Aquaculture Tech &gt; Farm Monitoring &gt; Fishes &gt; Water Quality
Water and Wastewater Management Tech &gt; Smart Irrigation &gt; Farming &gt; Aquaculture Water Monitoring</v>
      </c>
      <c r="AE407" s="20" t="str">
        <f t="shared" si="25"/>
        <v>IoT Applications</v>
      </c>
      <c r="AF407" s="20" t="str">
        <f t="shared" si="27"/>
        <v>Industry Specific</v>
      </c>
      <c r="AG407" s="20" t="str">
        <f t="shared" si="27"/>
        <v>Agriculture</v>
      </c>
      <c r="AH407" s="20" t="str">
        <f t="shared" si="27"/>
        <v>Aquaculture
Aquaculture Tech</v>
      </c>
      <c r="AI407" s="20" t="str">
        <f t="shared" si="27"/>
        <v>Farm Monitoring</v>
      </c>
      <c r="AJ407" s="20" t="str">
        <f t="shared" si="27"/>
        <v>Fishes</v>
      </c>
      <c r="AK407" s="20" t="str">
        <f t="shared" si="27"/>
        <v>Water Quality
Water and Wastewater Management Tech</v>
      </c>
      <c r="AL407" s="14" t="s">
        <v>8422</v>
      </c>
      <c r="AM407" s="14"/>
      <c r="AO407" s="14"/>
      <c r="AP407" s="14" t="s">
        <v>5508</v>
      </c>
      <c r="AQ407" s="14" t="s">
        <v>8424</v>
      </c>
      <c r="AR407" s="14"/>
      <c r="AS407" s="14" t="s">
        <v>8425</v>
      </c>
      <c r="AT407" s="14" t="s">
        <v>8426</v>
      </c>
      <c r="AU407" s="14" t="s">
        <v>8427</v>
      </c>
      <c r="AV407" s="18"/>
      <c r="AW407" s="16"/>
      <c r="AX407" s="17"/>
      <c r="AY407" s="15" t="s">
        <v>3123</v>
      </c>
      <c r="AZ407" s="17"/>
      <c r="BA407" s="16"/>
      <c r="BB407" s="14"/>
      <c r="BC407" s="14"/>
      <c r="BD407" s="15" t="s">
        <v>3123</v>
      </c>
      <c r="BE407" s="14"/>
      <c r="BF407" s="17"/>
      <c r="BG407" s="16"/>
      <c r="BH407" s="14"/>
      <c r="BI407" s="15" t="s">
        <v>3123</v>
      </c>
      <c r="BJ407" s="14"/>
      <c r="BK407" s="17"/>
      <c r="BL407" s="16"/>
      <c r="BM407" s="16"/>
      <c r="BN407" s="16"/>
      <c r="BO407" s="16"/>
      <c r="BP407" s="15" t="s">
        <v>3123</v>
      </c>
      <c r="BQ407" s="17"/>
      <c r="BR407" s="14"/>
      <c r="BS407" s="14"/>
      <c r="BT407" s="16"/>
      <c r="BU407" s="16"/>
      <c r="BV407" s="13"/>
      <c r="BW407" s="18" t="s">
        <v>8428</v>
      </c>
      <c r="BX407" s="13">
        <v>200</v>
      </c>
      <c r="BY407" s="17">
        <v>44121</v>
      </c>
      <c r="BZ407" s="18"/>
      <c r="CA407" s="18" t="s">
        <v>8429</v>
      </c>
      <c r="CB407" s="18" t="s">
        <v>8430</v>
      </c>
      <c r="CC407" s="18"/>
      <c r="CD407" s="14" t="s">
        <v>8431</v>
      </c>
      <c r="CE407" s="17">
        <v>42934</v>
      </c>
      <c r="CF407" s="16"/>
      <c r="CG407" s="17"/>
      <c r="CH407" s="16"/>
      <c r="CI407" s="17"/>
      <c r="CJ407" s="16"/>
      <c r="CK407" s="17"/>
      <c r="CL407" s="16"/>
      <c r="CM407" s="17"/>
      <c r="CN407" s="19">
        <v>40.589010179588598</v>
      </c>
      <c r="CO407" s="19"/>
      <c r="CP407" s="17"/>
      <c r="CQ407" s="14" t="s">
        <v>8432</v>
      </c>
      <c r="CR407" s="14" t="s">
        <v>6266</v>
      </c>
      <c r="CS407" s="14" t="s">
        <v>5311</v>
      </c>
    </row>
    <row r="408" spans="1:97" ht="26.15" customHeight="1">
      <c r="A408" s="2">
        <v>489</v>
      </c>
      <c r="B408" s="25" t="s">
        <v>2845</v>
      </c>
      <c r="C408" s="25" t="e">
        <f>VLOOKUP(B408, Sheet6!$A$1:$B$77, 2, FALSE)</f>
        <v>#N/A</v>
      </c>
      <c r="D408" s="25" t="s">
        <v>2846</v>
      </c>
      <c r="E408" s="25" t="s">
        <v>2847</v>
      </c>
      <c r="F408" s="25" t="s">
        <v>9882</v>
      </c>
      <c r="G408" s="25" t="s">
        <v>10955</v>
      </c>
      <c r="H408" s="25" t="s">
        <v>10957</v>
      </c>
      <c r="I408" s="25" t="s">
        <v>10558</v>
      </c>
      <c r="J408" s="25" t="s">
        <v>11104</v>
      </c>
      <c r="L408" s="13">
        <v>2014</v>
      </c>
      <c r="M408" s="14" t="s">
        <v>9853</v>
      </c>
      <c r="N408" s="14" t="s">
        <v>9854</v>
      </c>
      <c r="O408" s="14" t="s">
        <v>9855</v>
      </c>
      <c r="P408" s="15" t="s">
        <v>3117</v>
      </c>
      <c r="Q408" s="16"/>
      <c r="R408" s="17">
        <v>41791</v>
      </c>
      <c r="S408" s="16" t="s">
        <v>5191</v>
      </c>
      <c r="T408" s="16">
        <v>30000</v>
      </c>
      <c r="U408" s="14" t="s">
        <v>5040</v>
      </c>
      <c r="V408" s="13">
        <v>3</v>
      </c>
      <c r="W408" s="17">
        <v>44006</v>
      </c>
      <c r="X408" s="14"/>
      <c r="Y408" s="17"/>
      <c r="Z408" s="17"/>
      <c r="AA408" s="14" t="s">
        <v>1</v>
      </c>
      <c r="AB408" s="14" t="s">
        <v>5084</v>
      </c>
      <c r="AC408" s="14" t="s">
        <v>6268</v>
      </c>
      <c r="AD408" s="20" t="str">
        <f t="shared" si="26"/>
        <v>Livestock Tech &gt; Livestock Management Software</v>
      </c>
      <c r="AE408" s="20" t="str">
        <f t="shared" si="25"/>
        <v>Livestock Tech</v>
      </c>
      <c r="AF408" s="20" t="str">
        <f t="shared" si="27"/>
        <v>Livestock Management Software</v>
      </c>
      <c r="AG408" s="20" t="str">
        <f t="shared" si="27"/>
        <v/>
      </c>
      <c r="AH408" s="20" t="str">
        <f t="shared" si="27"/>
        <v/>
      </c>
      <c r="AI408" s="20" t="str">
        <f t="shared" si="27"/>
        <v/>
      </c>
      <c r="AJ408" s="20" t="str">
        <f t="shared" si="27"/>
        <v/>
      </c>
      <c r="AK408" s="20" t="str">
        <f t="shared" si="27"/>
        <v/>
      </c>
      <c r="AL408" s="14" t="s">
        <v>9856</v>
      </c>
      <c r="AM408" s="14"/>
      <c r="AO408" s="14"/>
      <c r="AP408" s="14" t="s">
        <v>9855</v>
      </c>
      <c r="AQ408" s="14"/>
      <c r="AR408" s="14"/>
      <c r="AS408" s="14" t="s">
        <v>9858</v>
      </c>
      <c r="AT408" s="14" t="s">
        <v>9859</v>
      </c>
      <c r="AU408" s="14" t="s">
        <v>9860</v>
      </c>
      <c r="AV408" s="18" t="s">
        <v>9861</v>
      </c>
      <c r="AW408" s="16"/>
      <c r="AX408" s="17"/>
      <c r="AY408" s="15" t="s">
        <v>3123</v>
      </c>
      <c r="AZ408" s="17"/>
      <c r="BA408" s="16"/>
      <c r="BB408" s="14"/>
      <c r="BC408" s="14"/>
      <c r="BD408" s="15" t="s">
        <v>3123</v>
      </c>
      <c r="BE408" s="14"/>
      <c r="BF408" s="17"/>
      <c r="BG408" s="16"/>
      <c r="BH408" s="14"/>
      <c r="BI408" s="15" t="s">
        <v>3123</v>
      </c>
      <c r="BJ408" s="14"/>
      <c r="BK408" s="17"/>
      <c r="BL408" s="16"/>
      <c r="BM408" s="16"/>
      <c r="BN408" s="16"/>
      <c r="BO408" s="16"/>
      <c r="BP408" s="15" t="s">
        <v>3123</v>
      </c>
      <c r="BQ408" s="17"/>
      <c r="BR408" s="14"/>
      <c r="BS408" s="14"/>
      <c r="BT408" s="16"/>
      <c r="BU408" s="16"/>
      <c r="BV408" s="13"/>
      <c r="BW408" s="18" t="s">
        <v>9862</v>
      </c>
      <c r="BX408" s="13">
        <v>200</v>
      </c>
      <c r="BY408" s="17">
        <v>44120</v>
      </c>
      <c r="BZ408" s="18" t="s">
        <v>9863</v>
      </c>
      <c r="CA408" s="18" t="s">
        <v>9864</v>
      </c>
      <c r="CB408" s="18" t="s">
        <v>9865</v>
      </c>
      <c r="CC408" s="18"/>
      <c r="CD408" s="14" t="s">
        <v>9866</v>
      </c>
      <c r="CE408" s="17">
        <v>42891</v>
      </c>
      <c r="CF408" s="16"/>
      <c r="CG408" s="17"/>
      <c r="CH408" s="16"/>
      <c r="CI408" s="17"/>
      <c r="CJ408" s="16"/>
      <c r="CK408" s="17"/>
      <c r="CL408" s="16"/>
      <c r="CM408" s="17"/>
      <c r="CN408" s="19">
        <v>30.756765069050537</v>
      </c>
      <c r="CO408" s="19"/>
      <c r="CP408" s="17"/>
      <c r="CQ408" s="14" t="s">
        <v>7284</v>
      </c>
      <c r="CR408" s="14" t="s">
        <v>6002</v>
      </c>
      <c r="CS408" s="14" t="s">
        <v>5945</v>
      </c>
    </row>
    <row r="409" spans="1:97" ht="26.15" customHeight="1">
      <c r="A409" s="2">
        <v>142</v>
      </c>
      <c r="B409" s="25" t="s">
        <v>1341</v>
      </c>
      <c r="C409" s="25" t="e">
        <f>VLOOKUP(B409, Sheet6!$A$1:$B$77, 2, FALSE)</f>
        <v>#N/A</v>
      </c>
      <c r="D409" s="25" t="s">
        <v>1342</v>
      </c>
      <c r="E409" s="25" t="s">
        <v>1345</v>
      </c>
      <c r="F409" s="25" t="s">
        <v>6820</v>
      </c>
      <c r="G409" s="25" t="s">
        <v>10955</v>
      </c>
      <c r="H409" s="25" t="s">
        <v>10959</v>
      </c>
      <c r="I409" s="25" t="s">
        <v>10958</v>
      </c>
      <c r="J409" s="26" t="s">
        <v>10846</v>
      </c>
      <c r="L409" s="13">
        <v>2006</v>
      </c>
      <c r="M409" s="14" t="s">
        <v>9867</v>
      </c>
      <c r="N409" s="14" t="s">
        <v>5804</v>
      </c>
      <c r="O409" s="14" t="s">
        <v>5208</v>
      </c>
      <c r="P409" s="15" t="s">
        <v>3117</v>
      </c>
      <c r="Q409" s="16">
        <v>1731230</v>
      </c>
      <c r="R409" s="17">
        <v>41897</v>
      </c>
      <c r="S409" s="16" t="s">
        <v>5022</v>
      </c>
      <c r="T409" s="16">
        <v>1731230</v>
      </c>
      <c r="U409" s="14" t="s">
        <v>109</v>
      </c>
      <c r="V409" s="13"/>
      <c r="W409" s="17"/>
      <c r="X409" s="14"/>
      <c r="Y409" s="17"/>
      <c r="Z409" s="17"/>
      <c r="AA409" s="14" t="s">
        <v>5315</v>
      </c>
      <c r="AB409" s="14" t="s">
        <v>5316</v>
      </c>
      <c r="AC409" s="14" t="s">
        <v>5317</v>
      </c>
      <c r="AD409" s="20" t="str">
        <f t="shared" si="26"/>
        <v>Crop Tech &gt; Farm Inputs &gt; Biologicals &gt; Crop Protection &gt; Plant Based
Chemicals Tech &gt; Green Chemicals &gt; Crop Protection &gt; Plant Based</v>
      </c>
      <c r="AE409" s="20" t="str">
        <f t="shared" si="25"/>
        <v>Crop Tech</v>
      </c>
      <c r="AF409" s="20" t="str">
        <f t="shared" si="27"/>
        <v>Farm Inputs</v>
      </c>
      <c r="AG409" s="20" t="str">
        <f t="shared" si="27"/>
        <v>Biologicals</v>
      </c>
      <c r="AH409" s="20" t="str">
        <f t="shared" si="27"/>
        <v>Crop Protection</v>
      </c>
      <c r="AI409" s="20" t="str">
        <f t="shared" si="27"/>
        <v>Plant Based
Chemicals Tech</v>
      </c>
      <c r="AJ409" s="20" t="str">
        <f t="shared" si="27"/>
        <v>Green Chemicals</v>
      </c>
      <c r="AK409" s="20" t="str">
        <f t="shared" si="27"/>
        <v>Crop Protection</v>
      </c>
      <c r="AL409" s="14" t="s">
        <v>588</v>
      </c>
      <c r="AM409" s="14"/>
      <c r="AO409" s="14"/>
      <c r="AP409" s="14" t="s">
        <v>5208</v>
      </c>
      <c r="AQ409" s="14" t="s">
        <v>9869</v>
      </c>
      <c r="AR409" s="14" t="s">
        <v>9870</v>
      </c>
      <c r="AS409" s="14" t="s">
        <v>9871</v>
      </c>
      <c r="AT409" s="14" t="s">
        <v>9872</v>
      </c>
      <c r="AU409" s="14" t="s">
        <v>9873</v>
      </c>
      <c r="AV409" s="18" t="s">
        <v>9874</v>
      </c>
      <c r="AW409" s="16"/>
      <c r="AX409" s="17"/>
      <c r="AY409" s="15" t="s">
        <v>3123</v>
      </c>
      <c r="AZ409" s="17"/>
      <c r="BA409" s="16"/>
      <c r="BB409" s="14"/>
      <c r="BC409" s="14"/>
      <c r="BD409" s="15" t="s">
        <v>3123</v>
      </c>
      <c r="BE409" s="14"/>
      <c r="BF409" s="17"/>
      <c r="BG409" s="16"/>
      <c r="BH409" s="14"/>
      <c r="BI409" s="15" t="s">
        <v>3123</v>
      </c>
      <c r="BJ409" s="14"/>
      <c r="BK409" s="17"/>
      <c r="BL409" s="16"/>
      <c r="BM409" s="16"/>
      <c r="BN409" s="16"/>
      <c r="BO409" s="16"/>
      <c r="BP409" s="15" t="s">
        <v>3123</v>
      </c>
      <c r="BQ409" s="17"/>
      <c r="BR409" s="14"/>
      <c r="BS409" s="14"/>
      <c r="BT409" s="16"/>
      <c r="BU409" s="16"/>
      <c r="BV409" s="13"/>
      <c r="BW409" s="18" t="s">
        <v>9875</v>
      </c>
      <c r="BX409" s="13">
        <v>200</v>
      </c>
      <c r="BY409" s="17">
        <v>44120</v>
      </c>
      <c r="BZ409" s="18" t="s">
        <v>9876</v>
      </c>
      <c r="CA409" s="18" t="s">
        <v>9877</v>
      </c>
      <c r="CB409" s="18" t="s">
        <v>9878</v>
      </c>
      <c r="CC409" s="18" t="s">
        <v>9879</v>
      </c>
      <c r="CD409" s="14" t="s">
        <v>9880</v>
      </c>
      <c r="CE409" s="17">
        <v>43565</v>
      </c>
      <c r="CF409" s="16"/>
      <c r="CG409" s="17"/>
      <c r="CH409" s="16"/>
      <c r="CI409" s="17"/>
      <c r="CJ409" s="16"/>
      <c r="CK409" s="17"/>
      <c r="CL409" s="16"/>
      <c r="CM409" s="17"/>
      <c r="CN409" s="19">
        <v>28.936998734625682</v>
      </c>
      <c r="CO409" s="19"/>
      <c r="CP409" s="17"/>
      <c r="CQ409" s="14" t="s">
        <v>5104</v>
      </c>
      <c r="CR409" s="14" t="s">
        <v>5037</v>
      </c>
      <c r="CS409" s="14" t="s">
        <v>5004</v>
      </c>
    </row>
    <row r="410" spans="1:97" ht="26.15" customHeight="1">
      <c r="A410" s="2">
        <v>317</v>
      </c>
      <c r="B410" s="25" t="s">
        <v>2189</v>
      </c>
      <c r="C410" s="25" t="e">
        <f>VLOOKUP(B410, Sheet6!$A$1:$B$77, 2, FALSE)</f>
        <v>#N/A</v>
      </c>
      <c r="D410" s="25" t="s">
        <v>2190</v>
      </c>
      <c r="E410" s="25" t="s">
        <v>2192</v>
      </c>
      <c r="F410" s="25" t="s">
        <v>8917</v>
      </c>
      <c r="G410" s="25" t="s">
        <v>10955</v>
      </c>
      <c r="H410" s="25" t="s">
        <v>10957</v>
      </c>
      <c r="I410" s="25" t="s">
        <v>10558</v>
      </c>
      <c r="J410" s="25" t="s">
        <v>10715</v>
      </c>
      <c r="L410" s="13">
        <v>2013</v>
      </c>
      <c r="M410" s="14" t="s">
        <v>8447</v>
      </c>
      <c r="N410" s="14" t="s">
        <v>5276</v>
      </c>
      <c r="O410" s="14" t="s">
        <v>5277</v>
      </c>
      <c r="P410" s="15" t="s">
        <v>3117</v>
      </c>
      <c r="Q410" s="16">
        <v>4000000</v>
      </c>
      <c r="R410" s="17">
        <v>44055</v>
      </c>
      <c r="S410" s="16"/>
      <c r="T410" s="16" t="s">
        <v>50</v>
      </c>
      <c r="U410" s="14" t="s">
        <v>25</v>
      </c>
      <c r="V410" s="13">
        <v>5</v>
      </c>
      <c r="W410" s="17">
        <v>44057</v>
      </c>
      <c r="X410" s="14" t="s">
        <v>5052</v>
      </c>
      <c r="Y410" s="17">
        <v>44060</v>
      </c>
      <c r="Z410" s="17">
        <v>42255</v>
      </c>
      <c r="AA410" s="14" t="s">
        <v>5041</v>
      </c>
      <c r="AB410" s="14" t="s">
        <v>6243</v>
      </c>
      <c r="AC410" s="14" t="s">
        <v>8448</v>
      </c>
      <c r="AD410" s="20" t="str">
        <f t="shared" si="26"/>
        <v>IoT Applications &gt; Industry Specific &gt; Agriculture &gt; Aquaculture
Aquaculture Tech &gt; Feeding &gt; Automated Feeding Systems</v>
      </c>
      <c r="AE410" s="20" t="str">
        <f t="shared" si="25"/>
        <v>IoT Applications</v>
      </c>
      <c r="AF410" s="20" t="str">
        <f t="shared" si="27"/>
        <v>Industry Specific</v>
      </c>
      <c r="AG410" s="20" t="str">
        <f t="shared" si="27"/>
        <v>Agriculture</v>
      </c>
      <c r="AH410" s="20" t="str">
        <f t="shared" si="27"/>
        <v>Aquaculture
Aquaculture Tech</v>
      </c>
      <c r="AI410" s="20" t="str">
        <f t="shared" si="27"/>
        <v>Feeding</v>
      </c>
      <c r="AJ410" s="20" t="str">
        <f t="shared" si="27"/>
        <v>Automated Feeding Systems</v>
      </c>
      <c r="AK410" s="20" t="str">
        <f t="shared" si="27"/>
        <v/>
      </c>
      <c r="AL410" s="14" t="s">
        <v>8449</v>
      </c>
      <c r="AM410" s="14"/>
      <c r="AO410" s="14"/>
      <c r="AP410" s="14" t="s">
        <v>5277</v>
      </c>
      <c r="AQ410" s="14"/>
      <c r="AR410" s="14"/>
      <c r="AS410" s="14" t="s">
        <v>8451</v>
      </c>
      <c r="AT410" s="14" t="s">
        <v>8452</v>
      </c>
      <c r="AU410" s="14" t="s">
        <v>8453</v>
      </c>
      <c r="AV410" s="18" t="s">
        <v>8454</v>
      </c>
      <c r="AW410" s="16"/>
      <c r="AX410" s="17"/>
      <c r="AY410" s="15" t="s">
        <v>3123</v>
      </c>
      <c r="AZ410" s="17"/>
      <c r="BA410" s="16"/>
      <c r="BB410" s="14"/>
      <c r="BC410" s="14"/>
      <c r="BD410" s="15" t="s">
        <v>3123</v>
      </c>
      <c r="BE410" s="14"/>
      <c r="BF410" s="17"/>
      <c r="BG410" s="16"/>
      <c r="BH410" s="14"/>
      <c r="BI410" s="15" t="s">
        <v>3123</v>
      </c>
      <c r="BJ410" s="14"/>
      <c r="BK410" s="17"/>
      <c r="BL410" s="16"/>
      <c r="BM410" s="16"/>
      <c r="BN410" s="16"/>
      <c r="BO410" s="16"/>
      <c r="BP410" s="15" t="s">
        <v>3123</v>
      </c>
      <c r="BQ410" s="17"/>
      <c r="BR410" s="14" t="s">
        <v>8455</v>
      </c>
      <c r="BS410" s="14"/>
      <c r="BT410" s="16"/>
      <c r="BU410" s="16"/>
      <c r="BV410" s="13"/>
      <c r="BW410" s="18" t="s">
        <v>8456</v>
      </c>
      <c r="BX410" s="13">
        <v>200</v>
      </c>
      <c r="BY410" s="17">
        <v>44120</v>
      </c>
      <c r="BZ410" s="18" t="s">
        <v>8457</v>
      </c>
      <c r="CA410" s="18" t="s">
        <v>8458</v>
      </c>
      <c r="CB410" s="18" t="s">
        <v>8459</v>
      </c>
      <c r="CC410" s="18" t="s">
        <v>8460</v>
      </c>
      <c r="CD410" s="14" t="s">
        <v>8461</v>
      </c>
      <c r="CE410" s="17">
        <v>42934</v>
      </c>
      <c r="CF410" s="16"/>
      <c r="CG410" s="17"/>
      <c r="CH410" s="16"/>
      <c r="CI410" s="17"/>
      <c r="CJ410" s="16"/>
      <c r="CK410" s="17"/>
      <c r="CL410" s="16"/>
      <c r="CM410" s="17"/>
      <c r="CN410" s="19">
        <v>43.53418106271176</v>
      </c>
      <c r="CO410" s="19"/>
      <c r="CP410" s="17"/>
      <c r="CQ410" s="14" t="s">
        <v>5048</v>
      </c>
      <c r="CR410" s="14" t="s">
        <v>8462</v>
      </c>
      <c r="CS410" s="14" t="s">
        <v>5004</v>
      </c>
    </row>
    <row r="411" spans="1:97" ht="26.15" customHeight="1">
      <c r="A411" s="2">
        <v>370</v>
      </c>
      <c r="B411" s="25" t="s">
        <v>2491</v>
      </c>
      <c r="C411" s="25" t="e">
        <f>VLOOKUP(B411, Sheet6!$A$1:$B$77, 2, FALSE)</f>
        <v>#N/A</v>
      </c>
      <c r="D411" s="25" t="s">
        <v>2492</v>
      </c>
      <c r="E411" s="25" t="s">
        <v>2494</v>
      </c>
      <c r="F411" s="25" t="s">
        <v>9158</v>
      </c>
      <c r="G411" s="25" t="s">
        <v>10952</v>
      </c>
      <c r="H411" s="25" t="s">
        <v>10959</v>
      </c>
      <c r="I411" s="25" t="s">
        <v>10558</v>
      </c>
      <c r="J411" s="25" t="s">
        <v>10846</v>
      </c>
      <c r="L411" s="13">
        <v>2012</v>
      </c>
      <c r="M411" s="14" t="s">
        <v>8463</v>
      </c>
      <c r="N411" s="14" t="s">
        <v>5605</v>
      </c>
      <c r="O411" s="14" t="s">
        <v>3994</v>
      </c>
      <c r="P411" s="15" t="s">
        <v>3117</v>
      </c>
      <c r="Q411" s="16">
        <v>16507907</v>
      </c>
      <c r="R411" s="17">
        <v>43927</v>
      </c>
      <c r="S411" s="16" t="s">
        <v>5224</v>
      </c>
      <c r="T411" s="16">
        <v>12000000</v>
      </c>
      <c r="U411" s="14" t="s">
        <v>109</v>
      </c>
      <c r="V411" s="13">
        <v>4</v>
      </c>
      <c r="W411" s="17">
        <v>44074</v>
      </c>
      <c r="X411" s="14" t="s">
        <v>5052</v>
      </c>
      <c r="Y411" s="17">
        <v>44027</v>
      </c>
      <c r="Z411" s="17">
        <v>43542</v>
      </c>
      <c r="AA411" s="14" t="s">
        <v>1</v>
      </c>
      <c r="AB411" s="14" t="s">
        <v>5007</v>
      </c>
      <c r="AC411" s="14" t="s">
        <v>257</v>
      </c>
      <c r="AD411" s="20" t="str">
        <f t="shared" si="26"/>
        <v>Crop Tech &gt; Farming as a Service &gt; Tech Enabled Services</v>
      </c>
      <c r="AE411" s="20" t="str">
        <f t="shared" si="25"/>
        <v>Crop Tech</v>
      </c>
      <c r="AF411" s="20" t="str">
        <f t="shared" si="27"/>
        <v>Farming as a Service</v>
      </c>
      <c r="AG411" s="20" t="str">
        <f t="shared" si="27"/>
        <v>Tech Enabled Services</v>
      </c>
      <c r="AH411" s="20" t="str">
        <f t="shared" si="27"/>
        <v/>
      </c>
      <c r="AI411" s="20" t="str">
        <f t="shared" si="27"/>
        <v/>
      </c>
      <c r="AJ411" s="20" t="str">
        <f t="shared" si="27"/>
        <v/>
      </c>
      <c r="AK411" s="20" t="str">
        <f t="shared" si="27"/>
        <v/>
      </c>
      <c r="AL411" s="14" t="s">
        <v>8464</v>
      </c>
      <c r="AM411" s="14" t="s">
        <v>1169</v>
      </c>
      <c r="AO411" s="14"/>
      <c r="AP411" s="14" t="s">
        <v>3994</v>
      </c>
      <c r="AQ411" s="14"/>
      <c r="AR411" s="14"/>
      <c r="AS411" s="14" t="s">
        <v>8466</v>
      </c>
      <c r="AT411" s="14" t="s">
        <v>8467</v>
      </c>
      <c r="AU411" s="14" t="s">
        <v>8468</v>
      </c>
      <c r="AV411" s="18"/>
      <c r="AW411" s="16">
        <v>5417400</v>
      </c>
      <c r="AX411" s="17">
        <v>43465</v>
      </c>
      <c r="AY411" s="15" t="s">
        <v>3117</v>
      </c>
      <c r="AZ411" s="17">
        <v>40945</v>
      </c>
      <c r="BA411" s="16">
        <v>2022</v>
      </c>
      <c r="BB411" s="14" t="s">
        <v>8469</v>
      </c>
      <c r="BC411" s="14" t="s">
        <v>8470</v>
      </c>
      <c r="BD411" s="15" t="s">
        <v>3123</v>
      </c>
      <c r="BE411" s="14"/>
      <c r="BF411" s="17"/>
      <c r="BG411" s="16"/>
      <c r="BH411" s="14"/>
      <c r="BI411" s="15" t="s">
        <v>3123</v>
      </c>
      <c r="BJ411" s="14"/>
      <c r="BK411" s="17"/>
      <c r="BL411" s="16"/>
      <c r="BM411" s="16"/>
      <c r="BN411" s="16"/>
      <c r="BO411" s="16"/>
      <c r="BP411" s="15" t="s">
        <v>3123</v>
      </c>
      <c r="BQ411" s="17"/>
      <c r="BR411" s="14"/>
      <c r="BS411" s="14"/>
      <c r="BT411" s="16"/>
      <c r="BU411" s="16"/>
      <c r="BV411" s="13"/>
      <c r="BW411" s="18" t="s">
        <v>8471</v>
      </c>
      <c r="BX411" s="13">
        <v>200</v>
      </c>
      <c r="BY411" s="17">
        <v>44120</v>
      </c>
      <c r="BZ411" s="18" t="s">
        <v>8472</v>
      </c>
      <c r="CA411" s="18" t="s">
        <v>8473</v>
      </c>
      <c r="CB411" s="18"/>
      <c r="CC411" s="18"/>
      <c r="CD411" s="14" t="s">
        <v>8474</v>
      </c>
      <c r="CE411" s="17">
        <v>43063</v>
      </c>
      <c r="CF411" s="16">
        <v>-273200</v>
      </c>
      <c r="CG411" s="17">
        <v>43465</v>
      </c>
      <c r="CH411" s="16">
        <v>-279200</v>
      </c>
      <c r="CI411" s="17">
        <v>43465</v>
      </c>
      <c r="CJ411" s="16">
        <v>35000000</v>
      </c>
      <c r="CK411" s="17">
        <v>43921</v>
      </c>
      <c r="CL411" s="16">
        <v>243</v>
      </c>
      <c r="CM411" s="17">
        <v>44012</v>
      </c>
      <c r="CN411" s="19">
        <v>64.821383044680346</v>
      </c>
      <c r="CO411" s="19"/>
      <c r="CP411" s="17"/>
      <c r="CQ411" s="14" t="s">
        <v>8475</v>
      </c>
      <c r="CR411" s="14" t="s">
        <v>8476</v>
      </c>
      <c r="CS411" s="14" t="s">
        <v>5004</v>
      </c>
    </row>
    <row r="412" spans="1:97" ht="26.15" customHeight="1">
      <c r="A412" s="2">
        <v>35</v>
      </c>
      <c r="B412" s="25" t="s">
        <v>1613</v>
      </c>
      <c r="C412" s="25" t="e">
        <f>VLOOKUP(B412, Sheet6!$A$1:$B$77, 2, FALSE)</f>
        <v>#N/A</v>
      </c>
      <c r="D412" s="25" t="s">
        <v>1614</v>
      </c>
      <c r="E412" s="25" t="s">
        <v>1616</v>
      </c>
      <c r="F412" s="25" t="s">
        <v>5475</v>
      </c>
      <c r="G412" s="25" t="s">
        <v>10955</v>
      </c>
      <c r="H412" s="25" t="s">
        <v>10959</v>
      </c>
      <c r="I412" s="25" t="s">
        <v>10958</v>
      </c>
      <c r="J412" s="26" t="s">
        <v>10712</v>
      </c>
      <c r="L412" s="13">
        <v>2012</v>
      </c>
      <c r="M412" s="14" t="s">
        <v>6978</v>
      </c>
      <c r="N412" s="14" t="s">
        <v>6979</v>
      </c>
      <c r="O412" s="14" t="s">
        <v>4343</v>
      </c>
      <c r="P412" s="15" t="s">
        <v>3117</v>
      </c>
      <c r="Q412" s="16">
        <v>3000000</v>
      </c>
      <c r="R412" s="17">
        <v>42992</v>
      </c>
      <c r="S412" s="16" t="s">
        <v>5022</v>
      </c>
      <c r="T412" s="16">
        <v>2000000</v>
      </c>
      <c r="U412" s="14" t="s">
        <v>34</v>
      </c>
      <c r="V412" s="13">
        <v>5</v>
      </c>
      <c r="W412" s="17">
        <v>43970</v>
      </c>
      <c r="X412" s="14"/>
      <c r="Y412" s="17"/>
      <c r="Z412" s="17"/>
      <c r="AA412" s="14" t="s">
        <v>5315</v>
      </c>
      <c r="AB412" s="14" t="s">
        <v>5316</v>
      </c>
      <c r="AC412" s="14" t="s">
        <v>5317</v>
      </c>
      <c r="AD412" s="20" t="str">
        <f t="shared" si="26"/>
        <v>Crop Tech &gt; Farm Inputs &gt; Biologicals &gt; Crop Protection &gt; Plant Based
Chemicals Tech &gt; Green Chemicals &gt; Crop Protection &gt; Plant Based</v>
      </c>
      <c r="AE412" s="20" t="str">
        <f t="shared" si="25"/>
        <v>Crop Tech</v>
      </c>
      <c r="AF412" s="20" t="str">
        <f t="shared" si="27"/>
        <v>Farm Inputs</v>
      </c>
      <c r="AG412" s="20" t="str">
        <f t="shared" si="27"/>
        <v>Biologicals</v>
      </c>
      <c r="AH412" s="20" t="str">
        <f t="shared" si="27"/>
        <v>Crop Protection</v>
      </c>
      <c r="AI412" s="20" t="str">
        <f t="shared" si="27"/>
        <v>Plant Based
Chemicals Tech</v>
      </c>
      <c r="AJ412" s="20" t="str">
        <f t="shared" si="27"/>
        <v>Green Chemicals</v>
      </c>
      <c r="AK412" s="20" t="str">
        <f t="shared" si="27"/>
        <v>Crop Protection</v>
      </c>
      <c r="AL412" s="14" t="s">
        <v>8477</v>
      </c>
      <c r="AM412" s="14"/>
      <c r="AO412" s="14"/>
      <c r="AP412" s="14" t="s">
        <v>4343</v>
      </c>
      <c r="AQ412" s="14"/>
      <c r="AR412" s="14"/>
      <c r="AS412" s="14" t="s">
        <v>8479</v>
      </c>
      <c r="AT412" s="14" t="s">
        <v>8480</v>
      </c>
      <c r="AU412" s="14" t="s">
        <v>8481</v>
      </c>
      <c r="AV412" s="18"/>
      <c r="AW412" s="16"/>
      <c r="AX412" s="17"/>
      <c r="AY412" s="15" t="s">
        <v>3123</v>
      </c>
      <c r="AZ412" s="17"/>
      <c r="BA412" s="16"/>
      <c r="BB412" s="14"/>
      <c r="BC412" s="14"/>
      <c r="BD412" s="15" t="s">
        <v>3123</v>
      </c>
      <c r="BE412" s="14"/>
      <c r="BF412" s="17"/>
      <c r="BG412" s="16"/>
      <c r="BH412" s="14"/>
      <c r="BI412" s="15" t="s">
        <v>3123</v>
      </c>
      <c r="BJ412" s="14"/>
      <c r="BK412" s="17"/>
      <c r="BL412" s="16"/>
      <c r="BM412" s="16"/>
      <c r="BN412" s="16"/>
      <c r="BO412" s="16"/>
      <c r="BP412" s="15" t="s">
        <v>3123</v>
      </c>
      <c r="BQ412" s="17"/>
      <c r="BR412" s="14"/>
      <c r="BS412" s="14"/>
      <c r="BT412" s="16"/>
      <c r="BU412" s="16"/>
      <c r="BV412" s="13"/>
      <c r="BW412" s="18" t="s">
        <v>8482</v>
      </c>
      <c r="BX412" s="13">
        <v>200</v>
      </c>
      <c r="BY412" s="17">
        <v>44120</v>
      </c>
      <c r="BZ412" s="18" t="s">
        <v>8483</v>
      </c>
      <c r="CA412" s="18"/>
      <c r="CB412" s="18"/>
      <c r="CC412" s="18"/>
      <c r="CD412" s="14" t="s">
        <v>8484</v>
      </c>
      <c r="CE412" s="17">
        <v>43032</v>
      </c>
      <c r="CF412" s="16"/>
      <c r="CG412" s="17"/>
      <c r="CH412" s="16"/>
      <c r="CI412" s="17"/>
      <c r="CJ412" s="16"/>
      <c r="CK412" s="17"/>
      <c r="CL412" s="16"/>
      <c r="CM412" s="17"/>
      <c r="CN412" s="19">
        <v>35.047822688902471</v>
      </c>
      <c r="CO412" s="19"/>
      <c r="CP412" s="17"/>
      <c r="CQ412" s="14" t="s">
        <v>5345</v>
      </c>
      <c r="CR412" s="14" t="s">
        <v>7272</v>
      </c>
      <c r="CS412" s="14" t="s">
        <v>5945</v>
      </c>
    </row>
    <row r="413" spans="1:97" ht="26.15" customHeight="1">
      <c r="A413" s="2">
        <v>313</v>
      </c>
      <c r="B413" s="25" t="s">
        <v>2414</v>
      </c>
      <c r="C413" s="25" t="e">
        <f>VLOOKUP(B413, Sheet6!$A$1:$B$77, 2, FALSE)</f>
        <v>#N/A</v>
      </c>
      <c r="D413" s="25" t="s">
        <v>2415</v>
      </c>
      <c r="E413" s="25" t="s">
        <v>2416</v>
      </c>
      <c r="F413" s="25" t="s">
        <v>8905</v>
      </c>
      <c r="G413" s="25" t="s">
        <v>10952</v>
      </c>
      <c r="H413" s="25" t="s">
        <v>10558</v>
      </c>
      <c r="I413" s="25" t="s">
        <v>10558</v>
      </c>
      <c r="J413" s="25" t="s">
        <v>10784</v>
      </c>
      <c r="L413" s="13">
        <v>2012</v>
      </c>
      <c r="M413" s="14" t="s">
        <v>5038</v>
      </c>
      <c r="N413" s="14" t="s">
        <v>5039</v>
      </c>
      <c r="O413" s="14" t="s">
        <v>3994</v>
      </c>
      <c r="P413" s="15" t="s">
        <v>3117</v>
      </c>
      <c r="Q413" s="16">
        <v>2740519</v>
      </c>
      <c r="R413" s="17">
        <v>43747</v>
      </c>
      <c r="S413" s="16" t="s">
        <v>8485</v>
      </c>
      <c r="T413" s="16">
        <v>394129</v>
      </c>
      <c r="U413" s="14" t="s">
        <v>34</v>
      </c>
      <c r="V413" s="13">
        <v>3</v>
      </c>
      <c r="W413" s="17">
        <v>44104</v>
      </c>
      <c r="X413" s="14"/>
      <c r="Y413" s="17"/>
      <c r="Z413" s="17"/>
      <c r="AA413" s="14" t="s">
        <v>8486</v>
      </c>
      <c r="AB413" s="14" t="s">
        <v>8487</v>
      </c>
      <c r="AC413" s="14" t="s">
        <v>8488</v>
      </c>
      <c r="AD413" s="20" t="str">
        <f t="shared" si="26"/>
        <v>Manufacturing Tech &gt; Process Control &gt; Analytics &gt; Equipment Monitoring &amp; Analysis &gt; IoT-Based
Crop Tech &gt; Post Harvest Management &gt; Quality Testing &gt; Fruits and Vegetables &gt; Sensors</v>
      </c>
      <c r="AE413" s="20" t="str">
        <f t="shared" si="25"/>
        <v>Manufacturing Tech</v>
      </c>
      <c r="AF413" s="20" t="str">
        <f t="shared" si="27"/>
        <v>Process Control</v>
      </c>
      <c r="AG413" s="20" t="str">
        <f t="shared" si="27"/>
        <v>Analytics</v>
      </c>
      <c r="AH413" s="20" t="str">
        <f t="shared" si="27"/>
        <v>Equipment Monitoring &amp; Analysis</v>
      </c>
      <c r="AI413" s="20" t="str">
        <f t="shared" si="27"/>
        <v>IoT-Based
Crop Tech</v>
      </c>
      <c r="AJ413" s="20" t="str">
        <f t="shared" si="27"/>
        <v>Post Harvest Management</v>
      </c>
      <c r="AK413" s="20" t="str">
        <f t="shared" si="27"/>
        <v>Quality Testing</v>
      </c>
      <c r="AL413" s="14" t="s">
        <v>8489</v>
      </c>
      <c r="AM413" s="14"/>
      <c r="AO413" s="14"/>
      <c r="AP413" s="14" t="s">
        <v>3994</v>
      </c>
      <c r="AQ413" s="14" t="s">
        <v>8491</v>
      </c>
      <c r="AR413" s="14" t="s">
        <v>8492</v>
      </c>
      <c r="AS413" s="14" t="s">
        <v>8493</v>
      </c>
      <c r="AT413" s="14" t="s">
        <v>8494</v>
      </c>
      <c r="AU413" s="14" t="s">
        <v>8495</v>
      </c>
      <c r="AV413" s="18" t="s">
        <v>8496</v>
      </c>
      <c r="AW413" s="16">
        <v>149100</v>
      </c>
      <c r="AX413" s="17">
        <v>43465</v>
      </c>
      <c r="AY413" s="15" t="s">
        <v>3117</v>
      </c>
      <c r="AZ413" s="17">
        <v>41081</v>
      </c>
      <c r="BA413" s="16">
        <v>89006</v>
      </c>
      <c r="BB413" s="14" t="s">
        <v>8497</v>
      </c>
      <c r="BC413" s="14"/>
      <c r="BD413" s="15" t="s">
        <v>3123</v>
      </c>
      <c r="BE413" s="14"/>
      <c r="BF413" s="17"/>
      <c r="BG413" s="16"/>
      <c r="BH413" s="14"/>
      <c r="BI413" s="15" t="s">
        <v>3123</v>
      </c>
      <c r="BJ413" s="14"/>
      <c r="BK413" s="17"/>
      <c r="BL413" s="16"/>
      <c r="BM413" s="16"/>
      <c r="BN413" s="16"/>
      <c r="BO413" s="16"/>
      <c r="BP413" s="15" t="s">
        <v>3123</v>
      </c>
      <c r="BQ413" s="17"/>
      <c r="BR413" s="14"/>
      <c r="BS413" s="14"/>
      <c r="BT413" s="16"/>
      <c r="BU413" s="16"/>
      <c r="BV413" s="13"/>
      <c r="BW413" s="18" t="s">
        <v>8498</v>
      </c>
      <c r="BX413" s="13">
        <v>200</v>
      </c>
      <c r="BY413" s="17">
        <v>44120</v>
      </c>
      <c r="BZ413" s="18" t="s">
        <v>8499</v>
      </c>
      <c r="CA413" s="18"/>
      <c r="CB413" s="18"/>
      <c r="CC413" s="18"/>
      <c r="CD413" s="14" t="s">
        <v>8500</v>
      </c>
      <c r="CE413" s="17">
        <v>43144</v>
      </c>
      <c r="CF413" s="16">
        <v>-281100</v>
      </c>
      <c r="CG413" s="17">
        <v>43465</v>
      </c>
      <c r="CH413" s="16">
        <v>-257900</v>
      </c>
      <c r="CI413" s="17">
        <v>43465</v>
      </c>
      <c r="CJ413" s="16">
        <v>10000000</v>
      </c>
      <c r="CK413" s="17">
        <v>43747</v>
      </c>
      <c r="CL413" s="16">
        <v>53</v>
      </c>
      <c r="CM413" s="17">
        <v>43921</v>
      </c>
      <c r="CN413" s="19">
        <v>35.825025289298893</v>
      </c>
      <c r="CO413" s="19"/>
      <c r="CP413" s="17"/>
      <c r="CQ413" s="14" t="s">
        <v>6119</v>
      </c>
      <c r="CR413" s="14" t="s">
        <v>6557</v>
      </c>
      <c r="CS413" s="14" t="s">
        <v>7714</v>
      </c>
    </row>
    <row r="414" spans="1:97" ht="26.15" customHeight="1">
      <c r="A414" s="2">
        <v>183</v>
      </c>
      <c r="B414" s="25" t="s">
        <v>610</v>
      </c>
      <c r="C414" s="25" t="e">
        <f>VLOOKUP(B414, Sheet6!$A$1:$B$77, 2, FALSE)</f>
        <v>#N/A</v>
      </c>
      <c r="D414" s="25" t="s">
        <v>611</v>
      </c>
      <c r="E414" s="25" t="s">
        <v>613</v>
      </c>
      <c r="F414" s="25" t="s">
        <v>7334</v>
      </c>
      <c r="G414" s="25" t="s">
        <v>10955</v>
      </c>
      <c r="H414" s="25" t="s">
        <v>10959</v>
      </c>
      <c r="I414" s="25" t="s">
        <v>10958</v>
      </c>
      <c r="J414" s="26" t="s">
        <v>10846</v>
      </c>
      <c r="L414" s="13">
        <v>2016</v>
      </c>
      <c r="M414" s="14" t="s">
        <v>8501</v>
      </c>
      <c r="N414" s="14" t="s">
        <v>8502</v>
      </c>
      <c r="O414" s="14" t="s">
        <v>3994</v>
      </c>
      <c r="P414" s="15" t="s">
        <v>3117</v>
      </c>
      <c r="Q414" s="16">
        <v>8062080</v>
      </c>
      <c r="R414" s="17">
        <v>43683</v>
      </c>
      <c r="S414" s="16" t="s">
        <v>5456</v>
      </c>
      <c r="T414" s="16">
        <v>3500000</v>
      </c>
      <c r="U414" s="14" t="s">
        <v>109</v>
      </c>
      <c r="V414" s="13">
        <v>4</v>
      </c>
      <c r="W414" s="17">
        <v>44022</v>
      </c>
      <c r="X414" s="14" t="s">
        <v>5052</v>
      </c>
      <c r="Y414" s="17">
        <v>43738</v>
      </c>
      <c r="Z414" s="17">
        <v>43565</v>
      </c>
      <c r="AA414" s="14" t="s">
        <v>1</v>
      </c>
      <c r="AB414" s="14" t="s">
        <v>5007</v>
      </c>
      <c r="AC414" s="14" t="s">
        <v>8503</v>
      </c>
      <c r="AD414" s="20" t="str">
        <f t="shared" si="26"/>
        <v>Crop Tech &gt; ECommerce &gt; Farm Inputs &gt; Multi Category &gt; Retailer &gt; Content Driven</v>
      </c>
      <c r="AE414" s="20" t="str">
        <f t="shared" si="25"/>
        <v>Crop Tech</v>
      </c>
      <c r="AF414" s="20" t="str">
        <f t="shared" si="27"/>
        <v>ECommerce</v>
      </c>
      <c r="AG414" s="20" t="str">
        <f t="shared" si="27"/>
        <v>Farm Inputs</v>
      </c>
      <c r="AH414" s="20" t="str">
        <f t="shared" si="27"/>
        <v>Multi Category</v>
      </c>
      <c r="AI414" s="20" t="str">
        <f t="shared" si="27"/>
        <v>Retailer</v>
      </c>
      <c r="AJ414" s="20" t="str">
        <f t="shared" si="27"/>
        <v>Content Driven</v>
      </c>
      <c r="AK414" s="20" t="str">
        <f t="shared" si="27"/>
        <v/>
      </c>
      <c r="AL414" s="14" t="s">
        <v>8504</v>
      </c>
      <c r="AM414" s="14" t="s">
        <v>8505</v>
      </c>
      <c r="AO414" s="14"/>
      <c r="AP414" s="14" t="s">
        <v>3994</v>
      </c>
      <c r="AQ414" s="14" t="s">
        <v>8507</v>
      </c>
      <c r="AR414" s="14" t="s">
        <v>8508</v>
      </c>
      <c r="AS414" s="14" t="s">
        <v>8509</v>
      </c>
      <c r="AT414" s="14" t="s">
        <v>8510</v>
      </c>
      <c r="AU414" s="14" t="s">
        <v>8511</v>
      </c>
      <c r="AV414" s="18"/>
      <c r="AW414" s="16">
        <v>578400</v>
      </c>
      <c r="AX414" s="17">
        <v>43465</v>
      </c>
      <c r="AY414" s="15" t="s">
        <v>3117</v>
      </c>
      <c r="AZ414" s="17">
        <v>42513</v>
      </c>
      <c r="BA414" s="16">
        <v>1480</v>
      </c>
      <c r="BB414" s="14" t="s">
        <v>8512</v>
      </c>
      <c r="BC414" s="14"/>
      <c r="BD414" s="15" t="s">
        <v>3123</v>
      </c>
      <c r="BE414" s="14"/>
      <c r="BF414" s="17"/>
      <c r="BG414" s="16"/>
      <c r="BH414" s="14"/>
      <c r="BI414" s="15" t="s">
        <v>3123</v>
      </c>
      <c r="BJ414" s="14"/>
      <c r="BK414" s="17"/>
      <c r="BL414" s="16"/>
      <c r="BM414" s="16"/>
      <c r="BN414" s="16"/>
      <c r="BO414" s="16"/>
      <c r="BP414" s="15" t="s">
        <v>3123</v>
      </c>
      <c r="BQ414" s="17"/>
      <c r="BR414" s="14"/>
      <c r="BS414" s="14"/>
      <c r="BT414" s="16"/>
      <c r="BU414" s="16"/>
      <c r="BV414" s="13"/>
      <c r="BW414" s="18" t="s">
        <v>8513</v>
      </c>
      <c r="BX414" s="13">
        <v>200</v>
      </c>
      <c r="BY414" s="17">
        <v>44121</v>
      </c>
      <c r="BZ414" s="18" t="s">
        <v>8514</v>
      </c>
      <c r="CA414" s="18" t="s">
        <v>8515</v>
      </c>
      <c r="CB414" s="18" t="s">
        <v>8516</v>
      </c>
      <c r="CC414" s="18"/>
      <c r="CD414" s="14" t="s">
        <v>8517</v>
      </c>
      <c r="CE414" s="17">
        <v>43145</v>
      </c>
      <c r="CF414" s="16">
        <v>-386400</v>
      </c>
      <c r="CG414" s="17">
        <v>43465</v>
      </c>
      <c r="CH414" s="16">
        <v>-456900</v>
      </c>
      <c r="CI414" s="17">
        <v>43465</v>
      </c>
      <c r="CJ414" s="16">
        <v>10000000</v>
      </c>
      <c r="CK414" s="17">
        <v>43565</v>
      </c>
      <c r="CL414" s="16">
        <v>295</v>
      </c>
      <c r="CM414" s="17">
        <v>44012</v>
      </c>
      <c r="CN414" s="19">
        <v>61.577732158381693</v>
      </c>
      <c r="CO414" s="19"/>
      <c r="CP414" s="17"/>
      <c r="CQ414" s="14" t="s">
        <v>5082</v>
      </c>
      <c r="CR414" s="14" t="s">
        <v>5083</v>
      </c>
      <c r="CS414" s="14" t="s">
        <v>5004</v>
      </c>
    </row>
    <row r="415" spans="1:97" ht="26.15" customHeight="1">
      <c r="A415" s="2">
        <v>246</v>
      </c>
      <c r="B415" s="25" t="s">
        <v>1178</v>
      </c>
      <c r="C415" s="25" t="e">
        <f>VLOOKUP(B415, Sheet6!$A$1:$B$77, 2, FALSE)</f>
        <v>#N/A</v>
      </c>
      <c r="D415" s="25" t="s">
        <v>1179</v>
      </c>
      <c r="E415" s="25" t="s">
        <v>1183</v>
      </c>
      <c r="F415" s="25" t="s">
        <v>8093</v>
      </c>
      <c r="G415" s="25" t="s">
        <v>10955</v>
      </c>
      <c r="H415" s="25" t="s">
        <v>10959</v>
      </c>
      <c r="I415" s="25" t="s">
        <v>11101</v>
      </c>
      <c r="J415" s="25" t="s">
        <v>10774</v>
      </c>
      <c r="L415" s="13">
        <v>2001</v>
      </c>
      <c r="M415" s="14" t="s">
        <v>5689</v>
      </c>
      <c r="N415" s="14" t="s">
        <v>5674</v>
      </c>
      <c r="O415" s="14" t="s">
        <v>2057</v>
      </c>
      <c r="P415" s="15" t="s">
        <v>3117</v>
      </c>
      <c r="Q415" s="16"/>
      <c r="R415" s="17">
        <v>40299</v>
      </c>
      <c r="S415" s="16"/>
      <c r="T415" s="16" t="s">
        <v>50</v>
      </c>
      <c r="U415" s="14" t="s">
        <v>109</v>
      </c>
      <c r="V415" s="13">
        <v>2</v>
      </c>
      <c r="W415" s="17">
        <v>44034</v>
      </c>
      <c r="X415" s="14"/>
      <c r="Y415" s="17"/>
      <c r="Z415" s="17"/>
      <c r="AA415" s="14" t="s">
        <v>1</v>
      </c>
      <c r="AB415" s="14" t="s">
        <v>5084</v>
      </c>
      <c r="AC415" s="14" t="s">
        <v>9890</v>
      </c>
      <c r="AD415" s="20" t="str">
        <f t="shared" si="26"/>
        <v>Livestock Tech &gt; Health Management &gt; Nutrition Supplements &gt; Enzymes Based</v>
      </c>
      <c r="AE415" s="20" t="str">
        <f t="shared" si="25"/>
        <v>Livestock Tech</v>
      </c>
      <c r="AF415" s="20" t="str">
        <f t="shared" si="27"/>
        <v>Health Management</v>
      </c>
      <c r="AG415" s="20" t="str">
        <f t="shared" si="27"/>
        <v>Nutrition Supplements</v>
      </c>
      <c r="AH415" s="20" t="str">
        <f t="shared" si="27"/>
        <v>Enzymes Based</v>
      </c>
      <c r="AI415" s="20" t="str">
        <f t="shared" si="27"/>
        <v/>
      </c>
      <c r="AJ415" s="20" t="str">
        <f t="shared" si="27"/>
        <v/>
      </c>
      <c r="AK415" s="20" t="str">
        <f t="shared" si="27"/>
        <v/>
      </c>
      <c r="AL415" s="14" t="s">
        <v>4918</v>
      </c>
      <c r="AM415" s="14"/>
      <c r="AO415" s="14"/>
      <c r="AP415" s="14" t="s">
        <v>2057</v>
      </c>
      <c r="AQ415" s="14"/>
      <c r="AR415" s="14" t="s">
        <v>9892</v>
      </c>
      <c r="AS415" s="14"/>
      <c r="AT415" s="14"/>
      <c r="AU415" s="14"/>
      <c r="AV415" s="18"/>
      <c r="AW415" s="16"/>
      <c r="AX415" s="17"/>
      <c r="AY415" s="15" t="s">
        <v>3123</v>
      </c>
      <c r="AZ415" s="17"/>
      <c r="BA415" s="16"/>
      <c r="BB415" s="14"/>
      <c r="BC415" s="14"/>
      <c r="BD415" s="15" t="s">
        <v>3123</v>
      </c>
      <c r="BE415" s="14"/>
      <c r="BF415" s="17"/>
      <c r="BG415" s="16"/>
      <c r="BH415" s="14"/>
      <c r="BI415" s="15" t="s">
        <v>3123</v>
      </c>
      <c r="BJ415" s="14"/>
      <c r="BK415" s="17"/>
      <c r="BL415" s="16"/>
      <c r="BM415" s="16"/>
      <c r="BN415" s="16"/>
      <c r="BO415" s="16"/>
      <c r="BP415" s="15" t="s">
        <v>3123</v>
      </c>
      <c r="BQ415" s="17"/>
      <c r="BR415" s="14"/>
      <c r="BS415" s="14"/>
      <c r="BT415" s="16"/>
      <c r="BU415" s="16"/>
      <c r="BV415" s="13"/>
      <c r="BW415" s="18" t="s">
        <v>9893</v>
      </c>
      <c r="BX415" s="13">
        <v>200</v>
      </c>
      <c r="BY415" s="17">
        <v>44120</v>
      </c>
      <c r="BZ415" s="18"/>
      <c r="CA415" s="18"/>
      <c r="CB415" s="18"/>
      <c r="CC415" s="18"/>
      <c r="CD415" s="14" t="s">
        <v>9894</v>
      </c>
      <c r="CE415" s="17">
        <v>43061</v>
      </c>
      <c r="CF415" s="16"/>
      <c r="CG415" s="17"/>
      <c r="CH415" s="16"/>
      <c r="CI415" s="17"/>
      <c r="CJ415" s="16"/>
      <c r="CK415" s="17"/>
      <c r="CL415" s="16"/>
      <c r="CM415" s="17"/>
      <c r="CN415" s="19">
        <v>18.055513549011721</v>
      </c>
      <c r="CO415" s="19"/>
      <c r="CP415" s="17"/>
      <c r="CQ415" s="14" t="s">
        <v>5345</v>
      </c>
      <c r="CR415" s="14" t="s">
        <v>5346</v>
      </c>
      <c r="CS415" s="14" t="s">
        <v>5311</v>
      </c>
    </row>
    <row r="416" spans="1:97" ht="26.15" customHeight="1">
      <c r="A416" s="2">
        <v>285</v>
      </c>
      <c r="B416" s="25" t="s">
        <v>1953</v>
      </c>
      <c r="C416" s="25" t="e">
        <f>VLOOKUP(B416, Sheet6!$A$1:$B$77, 2, FALSE)</f>
        <v>#N/A</v>
      </c>
      <c r="D416" s="25" t="s">
        <v>1954</v>
      </c>
      <c r="E416" s="25" t="s">
        <v>1956</v>
      </c>
      <c r="F416" s="25" t="s">
        <v>8625</v>
      </c>
      <c r="G416" s="25" t="s">
        <v>10955</v>
      </c>
      <c r="H416" s="25" t="s">
        <v>10558</v>
      </c>
      <c r="I416" s="25" t="s">
        <v>10558</v>
      </c>
      <c r="J416" s="25" t="s">
        <v>10846</v>
      </c>
      <c r="L416" s="13">
        <v>2014</v>
      </c>
      <c r="M416" s="14" t="s">
        <v>5067</v>
      </c>
      <c r="N416" s="14" t="s">
        <v>5068</v>
      </c>
      <c r="O416" s="14" t="s">
        <v>3994</v>
      </c>
      <c r="P416" s="15" t="s">
        <v>3117</v>
      </c>
      <c r="Q416" s="16">
        <v>158000</v>
      </c>
      <c r="R416" s="17">
        <v>41992</v>
      </c>
      <c r="S416" s="16" t="s">
        <v>9895</v>
      </c>
      <c r="T416" s="16">
        <v>157802</v>
      </c>
      <c r="U416" s="14" t="s">
        <v>34</v>
      </c>
      <c r="V416" s="13">
        <v>3</v>
      </c>
      <c r="W416" s="17">
        <v>44088</v>
      </c>
      <c r="X416" s="14"/>
      <c r="Y416" s="17"/>
      <c r="Z416" s="17"/>
      <c r="AA416" s="14" t="s">
        <v>6645</v>
      </c>
      <c r="AB416" s="14" t="s">
        <v>9474</v>
      </c>
      <c r="AC416" s="14" t="s">
        <v>9896</v>
      </c>
      <c r="AD416" s="20" t="str">
        <f t="shared" si="26"/>
        <v>Biotech R&amp;D &gt; Research Applications &gt; Synthetic Biology &gt; Biofuels and Petroleum Replacements
Crop Tech &gt; Farm Inputs &gt; Biologicals &gt; Crop Nutrition &gt; BioChar &gt; From Carbon</v>
      </c>
      <c r="AE416" s="20" t="str">
        <f t="shared" si="25"/>
        <v>Biotech R&amp;D</v>
      </c>
      <c r="AF416" s="20" t="str">
        <f t="shared" si="27"/>
        <v>Research Applications</v>
      </c>
      <c r="AG416" s="20" t="str">
        <f t="shared" si="27"/>
        <v>Synthetic Biology</v>
      </c>
      <c r="AH416" s="20" t="str">
        <f t="shared" si="27"/>
        <v>Biofuels and Petroleum Replacements
Crop Tech</v>
      </c>
      <c r="AI416" s="20" t="str">
        <f t="shared" si="27"/>
        <v>Farm Inputs</v>
      </c>
      <c r="AJ416" s="20" t="str">
        <f t="shared" si="27"/>
        <v>Biologicals</v>
      </c>
      <c r="AK416" s="20" t="str">
        <f t="shared" si="27"/>
        <v>Crop Nutrition</v>
      </c>
      <c r="AL416" s="14" t="s">
        <v>4785</v>
      </c>
      <c r="AM416" s="14"/>
      <c r="AO416" s="14"/>
      <c r="AP416" s="14" t="s">
        <v>3994</v>
      </c>
      <c r="AQ416" s="14" t="s">
        <v>9898</v>
      </c>
      <c r="AR416" s="14" t="s">
        <v>9899</v>
      </c>
      <c r="AS416" s="14" t="s">
        <v>9900</v>
      </c>
      <c r="AT416" s="14" t="s">
        <v>9901</v>
      </c>
      <c r="AU416" s="14" t="s">
        <v>9902</v>
      </c>
      <c r="AV416" s="18"/>
      <c r="AW416" s="16"/>
      <c r="AX416" s="17"/>
      <c r="AY416" s="15" t="s">
        <v>3123</v>
      </c>
      <c r="AZ416" s="17"/>
      <c r="BA416" s="16"/>
      <c r="BB416" s="14"/>
      <c r="BC416" s="14"/>
      <c r="BD416" s="15" t="s">
        <v>3123</v>
      </c>
      <c r="BE416" s="14"/>
      <c r="BF416" s="17"/>
      <c r="BG416" s="16"/>
      <c r="BH416" s="14"/>
      <c r="BI416" s="15" t="s">
        <v>3123</v>
      </c>
      <c r="BJ416" s="14"/>
      <c r="BK416" s="17"/>
      <c r="BL416" s="16"/>
      <c r="BM416" s="16"/>
      <c r="BN416" s="16"/>
      <c r="BO416" s="16"/>
      <c r="BP416" s="15" t="s">
        <v>3123</v>
      </c>
      <c r="BQ416" s="17"/>
      <c r="BR416" s="14"/>
      <c r="BS416" s="14"/>
      <c r="BT416" s="16"/>
      <c r="BU416" s="16"/>
      <c r="BV416" s="13"/>
      <c r="BW416" s="18" t="s">
        <v>9903</v>
      </c>
      <c r="BX416" s="13">
        <v>200</v>
      </c>
      <c r="BY416" s="17">
        <v>44120</v>
      </c>
      <c r="BZ416" s="18"/>
      <c r="CA416" s="18" t="s">
        <v>9904</v>
      </c>
      <c r="CB416" s="18"/>
      <c r="CC416" s="18"/>
      <c r="CD416" s="14" t="s">
        <v>9905</v>
      </c>
      <c r="CE416" s="17">
        <v>42543</v>
      </c>
      <c r="CF416" s="16"/>
      <c r="CG416" s="17"/>
      <c r="CH416" s="16"/>
      <c r="CI416" s="17"/>
      <c r="CJ416" s="16"/>
      <c r="CK416" s="17"/>
      <c r="CL416" s="16"/>
      <c r="CM416" s="17"/>
      <c r="CN416" s="19">
        <v>25.079798949677517</v>
      </c>
      <c r="CO416" s="19"/>
      <c r="CP416" s="17"/>
      <c r="CQ416" s="14" t="s">
        <v>5345</v>
      </c>
      <c r="CR416" s="14" t="s">
        <v>8809</v>
      </c>
      <c r="CS416" s="14" t="s">
        <v>5311</v>
      </c>
    </row>
    <row r="417" spans="1:97" ht="26.15" customHeight="1">
      <c r="A417" s="2">
        <v>508</v>
      </c>
      <c r="B417" s="25" t="s">
        <v>2467</v>
      </c>
      <c r="C417" s="25" t="e">
        <f>VLOOKUP(B417, Sheet6!$A$1:$B$77, 2, FALSE)</f>
        <v>#N/A</v>
      </c>
      <c r="D417" s="25" t="s">
        <v>2468</v>
      </c>
      <c r="E417" s="25" t="s">
        <v>2469</v>
      </c>
      <c r="F417" s="25" t="s">
        <v>10042</v>
      </c>
      <c r="G417" s="25" t="s">
        <v>10955</v>
      </c>
      <c r="H417" s="25" t="s">
        <v>10558</v>
      </c>
      <c r="I417" s="25" t="s">
        <v>10558</v>
      </c>
      <c r="J417" s="25" t="s">
        <v>10846</v>
      </c>
      <c r="L417" s="13">
        <v>2010</v>
      </c>
      <c r="M417" s="14" t="s">
        <v>9906</v>
      </c>
      <c r="N417" s="14" t="s">
        <v>5720</v>
      </c>
      <c r="O417" s="14" t="s">
        <v>2057</v>
      </c>
      <c r="P417" s="15" t="s">
        <v>3117</v>
      </c>
      <c r="Q417" s="16">
        <v>1970000</v>
      </c>
      <c r="R417" s="17">
        <v>40959</v>
      </c>
      <c r="S417" s="16" t="s">
        <v>5022</v>
      </c>
      <c r="T417" s="16">
        <v>1970000</v>
      </c>
      <c r="U417" s="14" t="s">
        <v>109</v>
      </c>
      <c r="V417" s="13"/>
      <c r="W417" s="17"/>
      <c r="X417" s="14"/>
      <c r="Y417" s="17"/>
      <c r="Z417" s="17"/>
      <c r="AA417" s="14" t="s">
        <v>1</v>
      </c>
      <c r="AB417" s="14" t="s">
        <v>5007</v>
      </c>
      <c r="AC417" s="14" t="s">
        <v>6634</v>
      </c>
      <c r="AD417" s="20" t="str">
        <f t="shared" si="26"/>
        <v>Crop Tech &gt; Farm Inputs &gt; Biologicals &gt; Crop Nutrition &gt; Food Waste</v>
      </c>
      <c r="AE417" s="20" t="str">
        <f t="shared" si="25"/>
        <v>Crop Tech</v>
      </c>
      <c r="AF417" s="20" t="str">
        <f t="shared" si="27"/>
        <v>Farm Inputs</v>
      </c>
      <c r="AG417" s="20" t="str">
        <f t="shared" si="27"/>
        <v>Biologicals</v>
      </c>
      <c r="AH417" s="20" t="str">
        <f t="shared" si="27"/>
        <v>Crop Nutrition</v>
      </c>
      <c r="AI417" s="20" t="str">
        <f t="shared" si="27"/>
        <v>Food Waste</v>
      </c>
      <c r="AJ417" s="20" t="str">
        <f t="shared" si="27"/>
        <v/>
      </c>
      <c r="AK417" s="20" t="str">
        <f t="shared" si="27"/>
        <v/>
      </c>
      <c r="AL417" s="14" t="s">
        <v>9907</v>
      </c>
      <c r="AM417" s="14"/>
      <c r="AO417" s="14"/>
      <c r="AP417" s="14" t="s">
        <v>2057</v>
      </c>
      <c r="AQ417" s="14"/>
      <c r="AR417" s="14"/>
      <c r="AS417" s="14" t="s">
        <v>9909</v>
      </c>
      <c r="AT417" s="14"/>
      <c r="AU417" s="14" t="s">
        <v>9910</v>
      </c>
      <c r="AV417" s="18"/>
      <c r="AW417" s="16"/>
      <c r="AX417" s="17"/>
      <c r="AY417" s="15" t="s">
        <v>3123</v>
      </c>
      <c r="AZ417" s="17"/>
      <c r="BA417" s="16"/>
      <c r="BB417" s="14"/>
      <c r="BC417" s="14"/>
      <c r="BD417" s="15" t="s">
        <v>3123</v>
      </c>
      <c r="BE417" s="14"/>
      <c r="BF417" s="17"/>
      <c r="BG417" s="16"/>
      <c r="BH417" s="14"/>
      <c r="BI417" s="15" t="s">
        <v>3123</v>
      </c>
      <c r="BJ417" s="14"/>
      <c r="BK417" s="17"/>
      <c r="BL417" s="16"/>
      <c r="BM417" s="16"/>
      <c r="BN417" s="16"/>
      <c r="BO417" s="16"/>
      <c r="BP417" s="15" t="s">
        <v>3123</v>
      </c>
      <c r="BQ417" s="17"/>
      <c r="BR417" s="14"/>
      <c r="BS417" s="14"/>
      <c r="BT417" s="16"/>
      <c r="BU417" s="16"/>
      <c r="BV417" s="13"/>
      <c r="BW417" s="18" t="s">
        <v>9911</v>
      </c>
      <c r="BX417" s="13">
        <v>200</v>
      </c>
      <c r="BY417" s="17">
        <v>44120</v>
      </c>
      <c r="BZ417" s="18" t="s">
        <v>9912</v>
      </c>
      <c r="CA417" s="18" t="s">
        <v>9913</v>
      </c>
      <c r="CB417" s="18"/>
      <c r="CC417" s="18"/>
      <c r="CD417" s="14" t="s">
        <v>9914</v>
      </c>
      <c r="CE417" s="17">
        <v>42416</v>
      </c>
      <c r="CF417" s="16"/>
      <c r="CG417" s="17"/>
      <c r="CH417" s="16"/>
      <c r="CI417" s="17"/>
      <c r="CJ417" s="16"/>
      <c r="CK417" s="17"/>
      <c r="CL417" s="16"/>
      <c r="CM417" s="17"/>
      <c r="CN417" s="19">
        <v>23.021660422197773</v>
      </c>
      <c r="CO417" s="19"/>
      <c r="CP417" s="17"/>
      <c r="CQ417" s="14" t="s">
        <v>5345</v>
      </c>
      <c r="CR417" s="14" t="s">
        <v>7272</v>
      </c>
      <c r="CS417" s="14" t="s">
        <v>5945</v>
      </c>
    </row>
    <row r="418" spans="1:97" ht="26.15" customHeight="1">
      <c r="A418" s="2">
        <v>53</v>
      </c>
      <c r="B418" s="25" t="s">
        <v>1367</v>
      </c>
      <c r="C418" s="25" t="e">
        <f>VLOOKUP(B418, Sheet6!$A$1:$B$77, 2, FALSE)</f>
        <v>#N/A</v>
      </c>
      <c r="D418" s="25" t="s">
        <v>1368</v>
      </c>
      <c r="E418" s="25" t="s">
        <v>1371</v>
      </c>
      <c r="F418" s="25" t="s">
        <v>5709</v>
      </c>
      <c r="G418" s="25" t="s">
        <v>10955</v>
      </c>
      <c r="H418" s="25" t="s">
        <v>10959</v>
      </c>
      <c r="I418" s="25" t="s">
        <v>10958</v>
      </c>
      <c r="J418" s="26" t="s">
        <v>10842</v>
      </c>
      <c r="L418" s="13">
        <v>2011</v>
      </c>
      <c r="M418" s="14" t="s">
        <v>5189</v>
      </c>
      <c r="N418" s="14" t="s">
        <v>5190</v>
      </c>
      <c r="O418" s="14" t="s">
        <v>1258</v>
      </c>
      <c r="P418" s="15" t="s">
        <v>3117</v>
      </c>
      <c r="Q418" s="16">
        <v>40000</v>
      </c>
      <c r="R418" s="17">
        <v>40590</v>
      </c>
      <c r="S418" s="16" t="s">
        <v>5896</v>
      </c>
      <c r="T418" s="16">
        <v>40000</v>
      </c>
      <c r="U418" s="14" t="s">
        <v>34</v>
      </c>
      <c r="V418" s="13"/>
      <c r="W418" s="17"/>
      <c r="X418" s="14"/>
      <c r="Y418" s="17"/>
      <c r="Z418" s="17"/>
      <c r="AA418" s="14" t="s">
        <v>5947</v>
      </c>
      <c r="AB418" s="14" t="s">
        <v>8568</v>
      </c>
      <c r="AC418" s="14" t="s">
        <v>8569</v>
      </c>
      <c r="AD418" s="20" t="str">
        <f t="shared" si="26"/>
        <v>ERP &gt; Agriculture &gt; Farm Management &gt; Suite
Crop Tech &gt; Farm Management Software &gt; Diversified</v>
      </c>
      <c r="AE418" s="20" t="str">
        <f t="shared" si="25"/>
        <v>ERP</v>
      </c>
      <c r="AF418" s="20" t="str">
        <f t="shared" si="27"/>
        <v>Agriculture</v>
      </c>
      <c r="AG418" s="20" t="str">
        <f t="shared" si="27"/>
        <v>Farm Management</v>
      </c>
      <c r="AH418" s="20" t="str">
        <f t="shared" si="27"/>
        <v>Suite
Crop Tech</v>
      </c>
      <c r="AI418" s="20" t="str">
        <f t="shared" si="27"/>
        <v>Farm Management Software</v>
      </c>
      <c r="AJ418" s="20" t="str">
        <f t="shared" si="27"/>
        <v>Diversified</v>
      </c>
      <c r="AK418" s="20" t="str">
        <f t="shared" si="27"/>
        <v/>
      </c>
      <c r="AL418" s="14" t="s">
        <v>9915</v>
      </c>
      <c r="AM418" s="14"/>
      <c r="AO418" s="14"/>
      <c r="AP418" s="14" t="s">
        <v>1258</v>
      </c>
      <c r="AQ418" s="14"/>
      <c r="AR418" s="14"/>
      <c r="AS418" s="14" t="s">
        <v>9917</v>
      </c>
      <c r="AT418" s="14" t="s">
        <v>9918</v>
      </c>
      <c r="AU418" s="14" t="s">
        <v>9919</v>
      </c>
      <c r="AV418" s="18" t="s">
        <v>9920</v>
      </c>
      <c r="AW418" s="16"/>
      <c r="AX418" s="17"/>
      <c r="AY418" s="15" t="s">
        <v>3123</v>
      </c>
      <c r="AZ418" s="17"/>
      <c r="BA418" s="16"/>
      <c r="BB418" s="14"/>
      <c r="BC418" s="14"/>
      <c r="BD418" s="15" t="s">
        <v>3123</v>
      </c>
      <c r="BE418" s="14"/>
      <c r="BF418" s="17"/>
      <c r="BG418" s="16"/>
      <c r="BH418" s="14"/>
      <c r="BI418" s="15" t="s">
        <v>3123</v>
      </c>
      <c r="BJ418" s="14"/>
      <c r="BK418" s="17"/>
      <c r="BL418" s="16"/>
      <c r="BM418" s="16"/>
      <c r="BN418" s="16"/>
      <c r="BO418" s="16"/>
      <c r="BP418" s="15" t="s">
        <v>3123</v>
      </c>
      <c r="BQ418" s="17"/>
      <c r="BR418" s="14"/>
      <c r="BS418" s="14"/>
      <c r="BT418" s="16"/>
      <c r="BU418" s="16"/>
      <c r="BV418" s="13"/>
      <c r="BW418" s="18" t="s">
        <v>9921</v>
      </c>
      <c r="BX418" s="13">
        <v>200</v>
      </c>
      <c r="BY418" s="17">
        <v>44120</v>
      </c>
      <c r="BZ418" s="18" t="s">
        <v>9922</v>
      </c>
      <c r="CA418" s="18" t="s">
        <v>9923</v>
      </c>
      <c r="CB418" s="18" t="s">
        <v>9924</v>
      </c>
      <c r="CC418" s="18"/>
      <c r="CD418" s="14" t="s">
        <v>9925</v>
      </c>
      <c r="CE418" s="17">
        <v>42930</v>
      </c>
      <c r="CF418" s="16"/>
      <c r="CG418" s="17"/>
      <c r="CH418" s="16"/>
      <c r="CI418" s="17"/>
      <c r="CJ418" s="16"/>
      <c r="CK418" s="17"/>
      <c r="CL418" s="16"/>
      <c r="CM418" s="17"/>
      <c r="CN418" s="19">
        <v>40.358276909275737</v>
      </c>
      <c r="CO418" s="19"/>
      <c r="CP418" s="17"/>
      <c r="CQ418" s="14" t="s">
        <v>7284</v>
      </c>
      <c r="CR418" s="14" t="s">
        <v>6002</v>
      </c>
      <c r="CS418" s="14" t="s">
        <v>5945</v>
      </c>
    </row>
    <row r="419" spans="1:97" ht="26.15" customHeight="1">
      <c r="A419" s="2">
        <v>108</v>
      </c>
      <c r="B419" s="25" t="s">
        <v>669</v>
      </c>
      <c r="C419" s="25" t="e">
        <f>VLOOKUP(B419, Sheet6!$A$1:$B$77, 2, FALSE)</f>
        <v>#N/A</v>
      </c>
      <c r="D419" s="25" t="s">
        <v>670</v>
      </c>
      <c r="E419" s="25" t="s">
        <v>671</v>
      </c>
      <c r="F419" s="25" t="s">
        <v>6422</v>
      </c>
      <c r="G419" s="25" t="s">
        <v>10955</v>
      </c>
      <c r="H419" s="25" t="s">
        <v>10959</v>
      </c>
      <c r="I419" s="25" t="s">
        <v>10958</v>
      </c>
      <c r="J419" s="26" t="s">
        <v>10715</v>
      </c>
      <c r="L419" s="13">
        <v>2008</v>
      </c>
      <c r="M419" s="14" t="s">
        <v>5189</v>
      </c>
      <c r="N419" s="14" t="s">
        <v>5190</v>
      </c>
      <c r="O419" s="14" t="s">
        <v>1258</v>
      </c>
      <c r="P419" s="15" t="s">
        <v>3117</v>
      </c>
      <c r="Q419" s="16"/>
      <c r="R419" s="17">
        <v>40810</v>
      </c>
      <c r="S419" s="16"/>
      <c r="T419" s="16" t="s">
        <v>50</v>
      </c>
      <c r="U419" s="14" t="s">
        <v>34</v>
      </c>
      <c r="V419" s="13"/>
      <c r="W419" s="17"/>
      <c r="X419" s="14"/>
      <c r="Y419" s="17"/>
      <c r="Z419" s="17"/>
      <c r="AA419" s="14" t="s">
        <v>1</v>
      </c>
      <c r="AB419" s="14" t="s">
        <v>5135</v>
      </c>
      <c r="AC419" s="14" t="s">
        <v>9926</v>
      </c>
      <c r="AD419" s="20" t="str">
        <f t="shared" si="26"/>
        <v>Aquaculture Tech &gt; Fisheries &gt; Fishing Intelligence</v>
      </c>
      <c r="AE419" s="20" t="str">
        <f t="shared" si="25"/>
        <v>Aquaculture Tech</v>
      </c>
      <c r="AF419" s="20" t="str">
        <f t="shared" si="27"/>
        <v>Fisheries</v>
      </c>
      <c r="AG419" s="20" t="str">
        <f t="shared" si="27"/>
        <v>Fishing Intelligence</v>
      </c>
      <c r="AH419" s="20" t="str">
        <f t="shared" si="27"/>
        <v/>
      </c>
      <c r="AI419" s="20" t="str">
        <f t="shared" si="27"/>
        <v/>
      </c>
      <c r="AJ419" s="20" t="str">
        <f t="shared" si="27"/>
        <v/>
      </c>
      <c r="AK419" s="20" t="str">
        <f t="shared" si="27"/>
        <v/>
      </c>
      <c r="AL419" s="14" t="s">
        <v>3689</v>
      </c>
      <c r="AM419" s="14"/>
      <c r="AO419" s="14"/>
      <c r="AP419" s="14" t="s">
        <v>1258</v>
      </c>
      <c r="AQ419" s="14" t="s">
        <v>9928</v>
      </c>
      <c r="AR419" s="14"/>
      <c r="AS419" s="14" t="s">
        <v>9929</v>
      </c>
      <c r="AT419" s="14" t="s">
        <v>9930</v>
      </c>
      <c r="AU419" s="14" t="s">
        <v>9931</v>
      </c>
      <c r="AV419" s="18"/>
      <c r="AW419" s="16"/>
      <c r="AX419" s="17"/>
      <c r="AY419" s="15" t="s">
        <v>3123</v>
      </c>
      <c r="AZ419" s="17"/>
      <c r="BA419" s="16"/>
      <c r="BB419" s="14"/>
      <c r="BC419" s="14"/>
      <c r="BD419" s="15" t="s">
        <v>3123</v>
      </c>
      <c r="BE419" s="14"/>
      <c r="BF419" s="17"/>
      <c r="BG419" s="16"/>
      <c r="BH419" s="14"/>
      <c r="BI419" s="15" t="s">
        <v>3123</v>
      </c>
      <c r="BJ419" s="14"/>
      <c r="BK419" s="17"/>
      <c r="BL419" s="16"/>
      <c r="BM419" s="16"/>
      <c r="BN419" s="16"/>
      <c r="BO419" s="16"/>
      <c r="BP419" s="15" t="s">
        <v>3123</v>
      </c>
      <c r="BQ419" s="17"/>
      <c r="BR419" s="14"/>
      <c r="BS419" s="14"/>
      <c r="BT419" s="16"/>
      <c r="BU419" s="16"/>
      <c r="BV419" s="13"/>
      <c r="BW419" s="18" t="s">
        <v>9932</v>
      </c>
      <c r="BX419" s="13">
        <v>200</v>
      </c>
      <c r="BY419" s="17">
        <v>44120</v>
      </c>
      <c r="BZ419" s="18" t="s">
        <v>9933</v>
      </c>
      <c r="CA419" s="18"/>
      <c r="CB419" s="18" t="s">
        <v>9934</v>
      </c>
      <c r="CC419" s="18"/>
      <c r="CD419" s="14" t="s">
        <v>9935</v>
      </c>
      <c r="CE419" s="17">
        <v>43033</v>
      </c>
      <c r="CF419" s="16"/>
      <c r="CG419" s="17"/>
      <c r="CH419" s="16"/>
      <c r="CI419" s="17"/>
      <c r="CJ419" s="16"/>
      <c r="CK419" s="17"/>
      <c r="CL419" s="16"/>
      <c r="CM419" s="17"/>
      <c r="CN419" s="19">
        <v>29.185843853645078</v>
      </c>
      <c r="CO419" s="19"/>
      <c r="CP419" s="17"/>
      <c r="CQ419" s="14" t="s">
        <v>7284</v>
      </c>
      <c r="CR419" s="14" t="s">
        <v>6002</v>
      </c>
      <c r="CS419" s="14" t="s">
        <v>5945</v>
      </c>
    </row>
    <row r="420" spans="1:97" ht="26.15" customHeight="1">
      <c r="A420" s="2">
        <v>84</v>
      </c>
      <c r="B420" s="25" t="s">
        <v>783</v>
      </c>
      <c r="C420" s="25" t="e">
        <f>VLOOKUP(B420, Sheet6!$A$1:$B$77, 2, FALSE)</f>
        <v>#N/A</v>
      </c>
      <c r="D420" s="25" t="s">
        <v>784</v>
      </c>
      <c r="E420" s="25" t="s">
        <v>788</v>
      </c>
      <c r="F420" s="25" t="s">
        <v>6110</v>
      </c>
      <c r="G420" s="25" t="s">
        <v>10955</v>
      </c>
      <c r="H420" s="25" t="s">
        <v>10959</v>
      </c>
      <c r="I420" s="25" t="s">
        <v>10958</v>
      </c>
      <c r="J420" s="26" t="s">
        <v>10846</v>
      </c>
      <c r="L420" s="13">
        <v>2012</v>
      </c>
      <c r="M420" s="14" t="s">
        <v>5189</v>
      </c>
      <c r="N420" s="14" t="s">
        <v>5190</v>
      </c>
      <c r="O420" s="14" t="s">
        <v>1258</v>
      </c>
      <c r="P420" s="15" t="s">
        <v>3117</v>
      </c>
      <c r="Q420" s="16">
        <v>40000</v>
      </c>
      <c r="R420" s="17">
        <v>41221</v>
      </c>
      <c r="S420" s="16" t="s">
        <v>5896</v>
      </c>
      <c r="T420" s="16">
        <v>40000</v>
      </c>
      <c r="U420" s="14" t="s">
        <v>34</v>
      </c>
      <c r="V420" s="13"/>
      <c r="W420" s="17"/>
      <c r="X420" s="14"/>
      <c r="Y420" s="17"/>
      <c r="Z420" s="17"/>
      <c r="AA420" s="14" t="s">
        <v>9936</v>
      </c>
      <c r="AB420" s="14" t="s">
        <v>9937</v>
      </c>
      <c r="AC420" s="14" t="s">
        <v>9938</v>
      </c>
      <c r="AD420" s="20" t="str">
        <f t="shared" si="26"/>
        <v>Logistics Tech &gt; Freight &gt; Software Solutions &gt; Fleet Management &gt; Tracking &gt; Cargo &gt; Cold Chain Monitoring
Crop Tech &gt; Post Harvest Management &gt; Quality Control &gt; Fruits and Vegetables &gt; Solar Powered Cold Storage</v>
      </c>
      <c r="AE420" s="20" t="str">
        <f t="shared" si="25"/>
        <v>Logistics Tech</v>
      </c>
      <c r="AF420" s="20" t="str">
        <f t="shared" si="27"/>
        <v>Freight</v>
      </c>
      <c r="AG420" s="20" t="str">
        <f t="shared" si="27"/>
        <v>Software Solutions</v>
      </c>
      <c r="AH420" s="20" t="str">
        <f t="shared" si="27"/>
        <v>Fleet Management</v>
      </c>
      <c r="AI420" s="20" t="str">
        <f t="shared" si="27"/>
        <v>Tracking</v>
      </c>
      <c r="AJ420" s="20" t="str">
        <f t="shared" si="27"/>
        <v>Cargo</v>
      </c>
      <c r="AK420" s="20" t="str">
        <f t="shared" si="27"/>
        <v>Cold Chain Monitoring
Crop Tech</v>
      </c>
      <c r="AL420" s="14" t="s">
        <v>3689</v>
      </c>
      <c r="AM420" s="14"/>
      <c r="AO420" s="14"/>
      <c r="AP420" s="14" t="s">
        <v>1258</v>
      </c>
      <c r="AQ420" s="14"/>
      <c r="AR420" s="14"/>
      <c r="AS420" s="14" t="s">
        <v>9940</v>
      </c>
      <c r="AT420" s="14" t="s">
        <v>9941</v>
      </c>
      <c r="AU420" s="14" t="s">
        <v>9942</v>
      </c>
      <c r="AV420" s="18"/>
      <c r="AW420" s="16"/>
      <c r="AX420" s="17"/>
      <c r="AY420" s="15" t="s">
        <v>3123</v>
      </c>
      <c r="AZ420" s="17"/>
      <c r="BA420" s="16"/>
      <c r="BB420" s="14"/>
      <c r="BC420" s="14"/>
      <c r="BD420" s="15" t="s">
        <v>3123</v>
      </c>
      <c r="BE420" s="14"/>
      <c r="BF420" s="17"/>
      <c r="BG420" s="16"/>
      <c r="BH420" s="14"/>
      <c r="BI420" s="15" t="s">
        <v>3123</v>
      </c>
      <c r="BJ420" s="14"/>
      <c r="BK420" s="17"/>
      <c r="BL420" s="16"/>
      <c r="BM420" s="16"/>
      <c r="BN420" s="16"/>
      <c r="BO420" s="16"/>
      <c r="BP420" s="15" t="s">
        <v>3123</v>
      </c>
      <c r="BQ420" s="17"/>
      <c r="BR420" s="14"/>
      <c r="BS420" s="14"/>
      <c r="BT420" s="16"/>
      <c r="BU420" s="16"/>
      <c r="BV420" s="13"/>
      <c r="BW420" s="18" t="s">
        <v>9943</v>
      </c>
      <c r="BX420" s="13">
        <v>200</v>
      </c>
      <c r="BY420" s="17">
        <v>44120</v>
      </c>
      <c r="BZ420" s="18"/>
      <c r="CA420" s="18"/>
      <c r="CB420" s="18"/>
      <c r="CC420" s="18"/>
      <c r="CD420" s="14" t="s">
        <v>9944</v>
      </c>
      <c r="CE420" s="17">
        <v>43033</v>
      </c>
      <c r="CF420" s="16"/>
      <c r="CG420" s="17"/>
      <c r="CH420" s="16"/>
      <c r="CI420" s="17"/>
      <c r="CJ420" s="16"/>
      <c r="CK420" s="17"/>
      <c r="CL420" s="16"/>
      <c r="CM420" s="17"/>
      <c r="CN420" s="19">
        <v>16.418559707858513</v>
      </c>
      <c r="CO420" s="19"/>
      <c r="CP420" s="17"/>
      <c r="CQ420" s="14" t="s">
        <v>5345</v>
      </c>
      <c r="CR420" s="14" t="s">
        <v>7272</v>
      </c>
      <c r="CS420" s="14" t="s">
        <v>5945</v>
      </c>
    </row>
    <row r="421" spans="1:97" ht="26.15" customHeight="1">
      <c r="A421" s="2">
        <v>193</v>
      </c>
      <c r="B421" s="25" t="s">
        <v>66</v>
      </c>
      <c r="C421" s="25" t="e">
        <f>VLOOKUP(B421, Sheet6!$A$1:$B$77, 2, FALSE)</f>
        <v>#N/A</v>
      </c>
      <c r="D421" s="25" t="s">
        <v>67</v>
      </c>
      <c r="E421" s="25" t="s">
        <v>72</v>
      </c>
      <c r="F421" s="25" t="s">
        <v>7449</v>
      </c>
      <c r="G421" s="25" t="s">
        <v>10955</v>
      </c>
      <c r="H421" s="25" t="s">
        <v>10959</v>
      </c>
      <c r="I421" s="25" t="s">
        <v>10958</v>
      </c>
      <c r="J421" s="26" t="s">
        <v>10774</v>
      </c>
      <c r="L421" s="13">
        <v>2013</v>
      </c>
      <c r="M421" s="14" t="s">
        <v>5038</v>
      </c>
      <c r="N421" s="14" t="s">
        <v>5039</v>
      </c>
      <c r="O421" s="14" t="s">
        <v>3994</v>
      </c>
      <c r="P421" s="15" t="s">
        <v>3117</v>
      </c>
      <c r="Q421" s="16">
        <v>2257449</v>
      </c>
      <c r="R421" s="17">
        <v>43225</v>
      </c>
      <c r="S421" s="16" t="s">
        <v>8545</v>
      </c>
      <c r="T421" s="16">
        <v>716422</v>
      </c>
      <c r="U421" s="14" t="s">
        <v>34</v>
      </c>
      <c r="V421" s="13">
        <v>4</v>
      </c>
      <c r="W421" s="17">
        <v>44062</v>
      </c>
      <c r="X421" s="14"/>
      <c r="Y421" s="17"/>
      <c r="Z421" s="17"/>
      <c r="AA421" s="14" t="s">
        <v>4995</v>
      </c>
      <c r="AB421" s="14" t="s">
        <v>5578</v>
      </c>
      <c r="AC421" s="14" t="s">
        <v>8546</v>
      </c>
      <c r="AD421" s="20" t="str">
        <f t="shared" si="26"/>
        <v>Online Grocery &gt; B2C Ecommerce &gt; Fruits and Vegetables
Crop Tech &gt; ECommerce &gt; Farm Produce &gt; B2C &gt; Fruits and Vegetables &gt; Retailer</v>
      </c>
      <c r="AE421" s="20" t="str">
        <f t="shared" si="25"/>
        <v>Online Grocery</v>
      </c>
      <c r="AF421" s="20" t="str">
        <f t="shared" si="27"/>
        <v>B2C Ecommerce</v>
      </c>
      <c r="AG421" s="20" t="str">
        <f t="shared" si="27"/>
        <v>Fruits and Vegetables
Crop Tech</v>
      </c>
      <c r="AH421" s="20" t="str">
        <f t="shared" si="27"/>
        <v>ECommerce</v>
      </c>
      <c r="AI421" s="20" t="str">
        <f t="shared" si="27"/>
        <v>Farm Produce</v>
      </c>
      <c r="AJ421" s="20" t="str">
        <f t="shared" si="27"/>
        <v>B2C</v>
      </c>
      <c r="AK421" s="20" t="str">
        <f t="shared" si="27"/>
        <v>Fruits and Vegetables</v>
      </c>
      <c r="AL421" s="14" t="s">
        <v>8547</v>
      </c>
      <c r="AM421" s="14" t="s">
        <v>8548</v>
      </c>
      <c r="AO421" s="14"/>
      <c r="AP421" s="14" t="s">
        <v>3994</v>
      </c>
      <c r="AQ421" s="14"/>
      <c r="AR421" s="14"/>
      <c r="AS421" s="14" t="s">
        <v>8550</v>
      </c>
      <c r="AT421" s="14" t="s">
        <v>8551</v>
      </c>
      <c r="AU421" s="14" t="s">
        <v>8552</v>
      </c>
      <c r="AV421" s="18" t="s">
        <v>8553</v>
      </c>
      <c r="AW421" s="16">
        <v>865274</v>
      </c>
      <c r="AX421" s="17">
        <v>43465</v>
      </c>
      <c r="AY421" s="15" t="s">
        <v>3123</v>
      </c>
      <c r="AZ421" s="17"/>
      <c r="BA421" s="16"/>
      <c r="BB421" s="14"/>
      <c r="BC421" s="14"/>
      <c r="BD421" s="15" t="s">
        <v>3123</v>
      </c>
      <c r="BE421" s="14"/>
      <c r="BF421" s="17"/>
      <c r="BG421" s="16"/>
      <c r="BH421" s="14"/>
      <c r="BI421" s="15" t="s">
        <v>3123</v>
      </c>
      <c r="BJ421" s="14"/>
      <c r="BK421" s="17"/>
      <c r="BL421" s="16"/>
      <c r="BM421" s="16"/>
      <c r="BN421" s="16"/>
      <c r="BO421" s="16"/>
      <c r="BP421" s="15" t="s">
        <v>3123</v>
      </c>
      <c r="BQ421" s="17"/>
      <c r="BR421" s="14"/>
      <c r="BS421" s="14"/>
      <c r="BT421" s="16"/>
      <c r="BU421" s="16"/>
      <c r="BV421" s="13"/>
      <c r="BW421" s="18" t="s">
        <v>8554</v>
      </c>
      <c r="BX421" s="13">
        <v>200</v>
      </c>
      <c r="BY421" s="17">
        <v>44120</v>
      </c>
      <c r="BZ421" s="18" t="s">
        <v>8555</v>
      </c>
      <c r="CA421" s="18"/>
      <c r="CB421" s="18" t="s">
        <v>8556</v>
      </c>
      <c r="CC421" s="18" t="s">
        <v>8557</v>
      </c>
      <c r="CD421" s="14" t="s">
        <v>8558</v>
      </c>
      <c r="CE421" s="17">
        <v>42681</v>
      </c>
      <c r="CF421" s="16">
        <v>-691053</v>
      </c>
      <c r="CG421" s="17">
        <v>43465</v>
      </c>
      <c r="CH421" s="16">
        <v>-446635</v>
      </c>
      <c r="CI421" s="17">
        <v>43465</v>
      </c>
      <c r="CJ421" s="16">
        <v>5000000</v>
      </c>
      <c r="CK421" s="17">
        <v>43644</v>
      </c>
      <c r="CL421" s="16">
        <v>50</v>
      </c>
      <c r="CM421" s="17">
        <v>43465</v>
      </c>
      <c r="CN421" s="19">
        <v>41.828166028872509</v>
      </c>
      <c r="CO421" s="19"/>
      <c r="CP421" s="17"/>
      <c r="CQ421" s="14" t="s">
        <v>6487</v>
      </c>
      <c r="CR421" s="14" t="s">
        <v>5944</v>
      </c>
      <c r="CS421" s="14" t="s">
        <v>5945</v>
      </c>
    </row>
    <row r="422" spans="1:97" ht="26.15" customHeight="1">
      <c r="A422" s="2">
        <v>225</v>
      </c>
      <c r="B422" s="25" t="s">
        <v>730</v>
      </c>
      <c r="C422" s="25" t="e">
        <f>VLOOKUP(B422, Sheet6!$A$1:$B$77, 2, FALSE)</f>
        <v>#N/A</v>
      </c>
      <c r="D422" s="25" t="s">
        <v>731</v>
      </c>
      <c r="E422" s="25" t="s">
        <v>735</v>
      </c>
      <c r="F422" s="25" t="s">
        <v>7833</v>
      </c>
      <c r="G422" s="25" t="s">
        <v>10962</v>
      </c>
      <c r="H422" s="25" t="s">
        <v>10957</v>
      </c>
      <c r="I422" s="25" t="s">
        <v>10958</v>
      </c>
      <c r="J422" s="26" t="s">
        <v>10963</v>
      </c>
      <c r="L422" s="13">
        <v>2013</v>
      </c>
      <c r="M422" s="14" t="s">
        <v>5038</v>
      </c>
      <c r="N422" s="14" t="s">
        <v>5039</v>
      </c>
      <c r="O422" s="14" t="s">
        <v>3994</v>
      </c>
      <c r="P422" s="15" t="s">
        <v>3117</v>
      </c>
      <c r="Q422" s="16">
        <v>212000</v>
      </c>
      <c r="R422" s="17">
        <v>42864</v>
      </c>
      <c r="S422" s="16" t="s">
        <v>6314</v>
      </c>
      <c r="T422" s="16">
        <v>74400</v>
      </c>
      <c r="U422" s="14" t="s">
        <v>34</v>
      </c>
      <c r="V422" s="13">
        <v>3</v>
      </c>
      <c r="W422" s="17">
        <v>44097</v>
      </c>
      <c r="X422" s="14"/>
      <c r="Y422" s="17"/>
      <c r="Z422" s="17"/>
      <c r="AA422" s="14" t="s">
        <v>6586</v>
      </c>
      <c r="AB422" s="14" t="s">
        <v>6587</v>
      </c>
      <c r="AC422" s="14" t="s">
        <v>9945</v>
      </c>
      <c r="AD422" s="20" t="str">
        <f t="shared" si="26"/>
        <v>Biotech R&amp;D &gt; Services and Enablers &gt; Genomics
Genomics &gt; Applied Genomics &gt; Agrigenomics
Crop Tech &gt; Farm Inputs &gt; Seeds &gt; Field Crops &gt; Hybrid</v>
      </c>
      <c r="AE422" s="20" t="str">
        <f t="shared" si="25"/>
        <v>Biotech R&amp;D</v>
      </c>
      <c r="AF422" s="20" t="str">
        <f t="shared" si="27"/>
        <v>Services and Enablers</v>
      </c>
      <c r="AG422" s="20" t="str">
        <f t="shared" si="27"/>
        <v>Genomics
Genomics</v>
      </c>
      <c r="AH422" s="20" t="str">
        <f t="shared" si="27"/>
        <v>Applied Genomics</v>
      </c>
      <c r="AI422" s="20" t="str">
        <f t="shared" si="27"/>
        <v>Agrigenomics
Crop Tech</v>
      </c>
      <c r="AJ422" s="20" t="str">
        <f t="shared" si="27"/>
        <v>Farm Inputs</v>
      </c>
      <c r="AK422" s="20" t="str">
        <f t="shared" si="27"/>
        <v>Seeds</v>
      </c>
      <c r="AL422" s="14" t="s">
        <v>3639</v>
      </c>
      <c r="AM422" s="14" t="s">
        <v>9946</v>
      </c>
      <c r="AO422" s="14"/>
      <c r="AP422" s="14" t="s">
        <v>3994</v>
      </c>
      <c r="AQ422" s="14"/>
      <c r="AR422" s="14"/>
      <c r="AS422" s="14" t="s">
        <v>9948</v>
      </c>
      <c r="AT422" s="14" t="s">
        <v>9949</v>
      </c>
      <c r="AU422" s="14" t="s">
        <v>9950</v>
      </c>
      <c r="AV422" s="18" t="s">
        <v>9951</v>
      </c>
      <c r="AW422" s="16">
        <v>87405</v>
      </c>
      <c r="AX422" s="17">
        <v>42735</v>
      </c>
      <c r="AY422" s="15" t="s">
        <v>3117</v>
      </c>
      <c r="AZ422" s="17">
        <v>41533</v>
      </c>
      <c r="BA422" s="16">
        <v>1576</v>
      </c>
      <c r="BB422" s="14" t="s">
        <v>9952</v>
      </c>
      <c r="BC422" s="14"/>
      <c r="BD422" s="15" t="s">
        <v>3123</v>
      </c>
      <c r="BE422" s="14"/>
      <c r="BF422" s="17"/>
      <c r="BG422" s="16"/>
      <c r="BH422" s="14"/>
      <c r="BI422" s="15" t="s">
        <v>3123</v>
      </c>
      <c r="BJ422" s="14"/>
      <c r="BK422" s="17"/>
      <c r="BL422" s="16"/>
      <c r="BM422" s="16"/>
      <c r="BN422" s="16"/>
      <c r="BO422" s="16"/>
      <c r="BP422" s="15" t="s">
        <v>3123</v>
      </c>
      <c r="BQ422" s="17"/>
      <c r="BR422" s="14"/>
      <c r="BS422" s="14"/>
      <c r="BT422" s="16"/>
      <c r="BU422" s="16"/>
      <c r="BV422" s="13"/>
      <c r="BW422" s="18" t="s">
        <v>9953</v>
      </c>
      <c r="BX422" s="13">
        <v>200</v>
      </c>
      <c r="BY422" s="17">
        <v>44120</v>
      </c>
      <c r="BZ422" s="18" t="s">
        <v>9954</v>
      </c>
      <c r="CA422" s="18" t="s">
        <v>9955</v>
      </c>
      <c r="CB422" s="18" t="s">
        <v>9956</v>
      </c>
      <c r="CC422" s="18"/>
      <c r="CD422" s="14" t="s">
        <v>9957</v>
      </c>
      <c r="CE422" s="17">
        <v>43056</v>
      </c>
      <c r="CF422" s="16">
        <v>-64779</v>
      </c>
      <c r="CG422" s="17">
        <v>42735</v>
      </c>
      <c r="CH422" s="16">
        <v>-48969</v>
      </c>
      <c r="CI422" s="17">
        <v>42735</v>
      </c>
      <c r="CJ422" s="16"/>
      <c r="CK422" s="17"/>
      <c r="CL422" s="16"/>
      <c r="CM422" s="17"/>
      <c r="CN422" s="19">
        <v>18.721226608454892</v>
      </c>
      <c r="CO422" s="19"/>
      <c r="CP422" s="17"/>
      <c r="CQ422" s="14" t="s">
        <v>5036</v>
      </c>
      <c r="CR422" s="14" t="s">
        <v>5037</v>
      </c>
      <c r="CS422" s="14" t="s">
        <v>5004</v>
      </c>
    </row>
    <row r="423" spans="1:97" ht="26.15" customHeight="1">
      <c r="A423" s="2">
        <v>71</v>
      </c>
      <c r="B423" s="25" t="s">
        <v>573</v>
      </c>
      <c r="C423" s="25" t="e">
        <f>VLOOKUP(B423, Sheet6!$A$1:$B$77, 2, FALSE)</f>
        <v>#N/A</v>
      </c>
      <c r="D423" s="25" t="s">
        <v>574</v>
      </c>
      <c r="E423" s="25" t="s">
        <v>578</v>
      </c>
      <c r="F423" s="25" t="s">
        <v>5925</v>
      </c>
      <c r="G423" s="25" t="s">
        <v>10955</v>
      </c>
      <c r="H423" s="25" t="s">
        <v>10959</v>
      </c>
      <c r="I423" s="25" t="s">
        <v>10958</v>
      </c>
      <c r="J423" s="26" t="s">
        <v>10842</v>
      </c>
      <c r="L423" s="13">
        <v>2007</v>
      </c>
      <c r="M423" s="14" t="s">
        <v>5132</v>
      </c>
      <c r="N423" s="14" t="s">
        <v>5133</v>
      </c>
      <c r="O423" s="14" t="s">
        <v>3994</v>
      </c>
      <c r="P423" s="15" t="s">
        <v>3117</v>
      </c>
      <c r="Q423" s="16">
        <v>70047</v>
      </c>
      <c r="R423" s="17">
        <v>40633</v>
      </c>
      <c r="S423" s="16" t="s">
        <v>6604</v>
      </c>
      <c r="T423" s="16">
        <v>70047</v>
      </c>
      <c r="U423" s="14" t="s">
        <v>34</v>
      </c>
      <c r="V423" s="13"/>
      <c r="W423" s="17"/>
      <c r="X423" s="14"/>
      <c r="Y423" s="17"/>
      <c r="Z423" s="17"/>
      <c r="AA423" s="14" t="s">
        <v>1</v>
      </c>
      <c r="AB423" s="14" t="s">
        <v>5007</v>
      </c>
      <c r="AC423" s="14" t="s">
        <v>7273</v>
      </c>
      <c r="AD423" s="20" t="str">
        <f t="shared" si="26"/>
        <v>Crop Tech &gt; ECommerce &gt; Farm Produce &gt; B2B &gt; Fruits and Vegetables &gt; E Distributor</v>
      </c>
      <c r="AE423" s="20" t="str">
        <f t="shared" si="25"/>
        <v>Crop Tech</v>
      </c>
      <c r="AF423" s="20" t="str">
        <f t="shared" si="27"/>
        <v>ECommerce</v>
      </c>
      <c r="AG423" s="20" t="str">
        <f t="shared" si="27"/>
        <v>Farm Produce</v>
      </c>
      <c r="AH423" s="20" t="str">
        <f t="shared" si="27"/>
        <v>B2B</v>
      </c>
      <c r="AI423" s="20" t="str">
        <f t="shared" si="27"/>
        <v>Fruits and Vegetables</v>
      </c>
      <c r="AJ423" s="20" t="str">
        <f t="shared" si="27"/>
        <v>E Distributor</v>
      </c>
      <c r="AK423" s="20" t="str">
        <f t="shared" si="27"/>
        <v/>
      </c>
      <c r="AL423" s="14" t="s">
        <v>9958</v>
      </c>
      <c r="AM423" s="14" t="s">
        <v>9959</v>
      </c>
      <c r="AO423" s="14"/>
      <c r="AP423" s="14" t="s">
        <v>3994</v>
      </c>
      <c r="AQ423" s="14" t="s">
        <v>9961</v>
      </c>
      <c r="AR423" s="14" t="s">
        <v>9962</v>
      </c>
      <c r="AS423" s="14" t="s">
        <v>9963</v>
      </c>
      <c r="AT423" s="14" t="s">
        <v>9964</v>
      </c>
      <c r="AU423" s="14" t="s">
        <v>9965</v>
      </c>
      <c r="AV423" s="18" t="s">
        <v>9966</v>
      </c>
      <c r="AW423" s="16"/>
      <c r="AX423" s="17"/>
      <c r="AY423" s="15" t="s">
        <v>3123</v>
      </c>
      <c r="AZ423" s="17"/>
      <c r="BA423" s="16"/>
      <c r="BB423" s="14"/>
      <c r="BC423" s="14"/>
      <c r="BD423" s="15" t="s">
        <v>3123</v>
      </c>
      <c r="BE423" s="14"/>
      <c r="BF423" s="17"/>
      <c r="BG423" s="16"/>
      <c r="BH423" s="14"/>
      <c r="BI423" s="15" t="s">
        <v>3123</v>
      </c>
      <c r="BJ423" s="14"/>
      <c r="BK423" s="17"/>
      <c r="BL423" s="16"/>
      <c r="BM423" s="16"/>
      <c r="BN423" s="16"/>
      <c r="BO423" s="16"/>
      <c r="BP423" s="15" t="s">
        <v>3123</v>
      </c>
      <c r="BQ423" s="17"/>
      <c r="BR423" s="14"/>
      <c r="BS423" s="14"/>
      <c r="BT423" s="16"/>
      <c r="BU423" s="16"/>
      <c r="BV423" s="13"/>
      <c r="BW423" s="18" t="s">
        <v>9967</v>
      </c>
      <c r="BX423" s="13">
        <v>301</v>
      </c>
      <c r="BY423" s="17">
        <v>44120</v>
      </c>
      <c r="BZ423" s="18" t="s">
        <v>9968</v>
      </c>
      <c r="CA423" s="18" t="s">
        <v>9969</v>
      </c>
      <c r="CB423" s="18" t="s">
        <v>9970</v>
      </c>
      <c r="CC423" s="18"/>
      <c r="CD423" s="14" t="s">
        <v>9971</v>
      </c>
      <c r="CE423" s="17">
        <v>43020</v>
      </c>
      <c r="CF423" s="16"/>
      <c r="CG423" s="17"/>
      <c r="CH423" s="16"/>
      <c r="CI423" s="17"/>
      <c r="CJ423" s="16">
        <v>1000000</v>
      </c>
      <c r="CK423" s="17">
        <v>40633</v>
      </c>
      <c r="CL423" s="16"/>
      <c r="CM423" s="17"/>
      <c r="CN423" s="19">
        <v>35.930633045709314</v>
      </c>
      <c r="CO423" s="19"/>
      <c r="CP423" s="17"/>
      <c r="CQ423" s="14" t="s">
        <v>5345</v>
      </c>
      <c r="CR423" s="14" t="s">
        <v>7272</v>
      </c>
      <c r="CS423" s="14" t="s">
        <v>5945</v>
      </c>
    </row>
    <row r="424" spans="1:97" ht="26.15" customHeight="1">
      <c r="A424" s="2">
        <v>151</v>
      </c>
      <c r="B424" s="25" t="s">
        <v>790</v>
      </c>
      <c r="C424" s="25" t="e">
        <f>VLOOKUP(B424, Sheet6!$A$1:$B$77, 2, FALSE)</f>
        <v>#N/A</v>
      </c>
      <c r="D424" s="25" t="s">
        <v>791</v>
      </c>
      <c r="E424" s="25" t="s">
        <v>793</v>
      </c>
      <c r="F424" s="25" t="s">
        <v>6948</v>
      </c>
      <c r="G424" s="25" t="s">
        <v>10953</v>
      </c>
      <c r="H424" s="25" t="s">
        <v>10967</v>
      </c>
      <c r="I424" s="25" t="s">
        <v>10958</v>
      </c>
      <c r="J424" s="26" t="s">
        <v>10517</v>
      </c>
      <c r="L424" s="13">
        <v>2013</v>
      </c>
      <c r="M424" s="14" t="s">
        <v>6762</v>
      </c>
      <c r="N424" s="14" t="s">
        <v>6763</v>
      </c>
      <c r="O424" s="14" t="s">
        <v>5333</v>
      </c>
      <c r="P424" s="15" t="s">
        <v>3117</v>
      </c>
      <c r="Q424" s="16"/>
      <c r="R424" s="17">
        <v>42262</v>
      </c>
      <c r="S424" s="16" t="s">
        <v>5252</v>
      </c>
      <c r="T424" s="16">
        <v>100000</v>
      </c>
      <c r="U424" s="14" t="s">
        <v>5040</v>
      </c>
      <c r="V424" s="13"/>
      <c r="W424" s="17"/>
      <c r="X424" s="14"/>
      <c r="Y424" s="17"/>
      <c r="Z424" s="17"/>
      <c r="AA424" s="14" t="s">
        <v>5041</v>
      </c>
      <c r="AB424" s="14" t="s">
        <v>5042</v>
      </c>
      <c r="AC424" s="14" t="s">
        <v>6172</v>
      </c>
      <c r="AD424" s="20" t="str">
        <f t="shared" si="26"/>
        <v>IoT Applications &gt; Industry Specific &gt; Agriculture &gt; Farms
Crop Tech &gt; Farm Analytics &gt; Diversified</v>
      </c>
      <c r="AE424" s="20" t="str">
        <f t="shared" si="25"/>
        <v>IoT Applications</v>
      </c>
      <c r="AF424" s="20" t="str">
        <f t="shared" si="27"/>
        <v>Industry Specific</v>
      </c>
      <c r="AG424" s="20" t="str">
        <f t="shared" si="27"/>
        <v>Agriculture</v>
      </c>
      <c r="AH424" s="20" t="str">
        <f t="shared" si="27"/>
        <v>Farms
Crop Tech</v>
      </c>
      <c r="AI424" s="20" t="str">
        <f t="shared" si="27"/>
        <v>Farm Analytics</v>
      </c>
      <c r="AJ424" s="20" t="str">
        <f t="shared" si="27"/>
        <v>Diversified</v>
      </c>
      <c r="AK424" s="20" t="str">
        <f t="shared" si="27"/>
        <v/>
      </c>
      <c r="AL424" s="14" t="s">
        <v>9915</v>
      </c>
      <c r="AM424" s="14"/>
      <c r="AO424" s="14"/>
      <c r="AP424" s="14" t="s">
        <v>5333</v>
      </c>
      <c r="AQ424" s="14"/>
      <c r="AR424" s="14"/>
      <c r="AS424" s="14" t="s">
        <v>9973</v>
      </c>
      <c r="AT424" s="14" t="s">
        <v>9974</v>
      </c>
      <c r="AU424" s="14" t="s">
        <v>9975</v>
      </c>
      <c r="AV424" s="18" t="s">
        <v>9976</v>
      </c>
      <c r="AW424" s="16"/>
      <c r="AX424" s="17"/>
      <c r="AY424" s="15" t="s">
        <v>3123</v>
      </c>
      <c r="AZ424" s="17"/>
      <c r="BA424" s="16"/>
      <c r="BB424" s="14"/>
      <c r="BC424" s="14"/>
      <c r="BD424" s="15" t="s">
        <v>3123</v>
      </c>
      <c r="BE424" s="14"/>
      <c r="BF424" s="17"/>
      <c r="BG424" s="16"/>
      <c r="BH424" s="14"/>
      <c r="BI424" s="15" t="s">
        <v>3123</v>
      </c>
      <c r="BJ424" s="14"/>
      <c r="BK424" s="17"/>
      <c r="BL424" s="16"/>
      <c r="BM424" s="16"/>
      <c r="BN424" s="16"/>
      <c r="BO424" s="16"/>
      <c r="BP424" s="15" t="s">
        <v>3123</v>
      </c>
      <c r="BQ424" s="17"/>
      <c r="BR424" s="14"/>
      <c r="BS424" s="14"/>
      <c r="BT424" s="16"/>
      <c r="BU424" s="16"/>
      <c r="BV424" s="13"/>
      <c r="BW424" s="18" t="s">
        <v>9977</v>
      </c>
      <c r="BX424" s="13">
        <v>200</v>
      </c>
      <c r="BY424" s="17">
        <v>44119</v>
      </c>
      <c r="BZ424" s="18" t="s">
        <v>9978</v>
      </c>
      <c r="CA424" s="18" t="s">
        <v>9979</v>
      </c>
      <c r="CB424" s="18"/>
      <c r="CC424" s="18" t="s">
        <v>9980</v>
      </c>
      <c r="CD424" s="14" t="s">
        <v>9981</v>
      </c>
      <c r="CE424" s="17">
        <v>42929</v>
      </c>
      <c r="CF424" s="16"/>
      <c r="CG424" s="17"/>
      <c r="CH424" s="16"/>
      <c r="CI424" s="17"/>
      <c r="CJ424" s="16"/>
      <c r="CK424" s="17"/>
      <c r="CL424" s="16"/>
      <c r="CM424" s="17"/>
      <c r="CN424" s="19">
        <v>30.3457200376263</v>
      </c>
      <c r="CO424" s="19"/>
      <c r="CP424" s="17"/>
      <c r="CQ424" s="14" t="s">
        <v>7284</v>
      </c>
      <c r="CR424" s="14" t="s">
        <v>6002</v>
      </c>
      <c r="CS424" s="14" t="s">
        <v>5945</v>
      </c>
    </row>
    <row r="425" spans="1:97" ht="26.15" customHeight="1">
      <c r="A425" s="2">
        <v>136</v>
      </c>
      <c r="B425" s="25" t="s">
        <v>891</v>
      </c>
      <c r="C425" s="25" t="e">
        <f>VLOOKUP(B425, Sheet6!$A$1:$B$77, 2, FALSE)</f>
        <v>#N/A</v>
      </c>
      <c r="D425" s="25" t="s">
        <v>892</v>
      </c>
      <c r="E425" s="25" t="s">
        <v>895</v>
      </c>
      <c r="F425" s="25" t="s">
        <v>6756</v>
      </c>
      <c r="G425" s="25" t="s">
        <v>10955</v>
      </c>
      <c r="H425" s="25" t="s">
        <v>10959</v>
      </c>
      <c r="I425" s="25" t="s">
        <v>10958</v>
      </c>
      <c r="J425" s="26" t="s">
        <v>10842</v>
      </c>
      <c r="L425" s="13">
        <v>1983</v>
      </c>
      <c r="M425" s="14" t="s">
        <v>8579</v>
      </c>
      <c r="N425" s="14" t="s">
        <v>8580</v>
      </c>
      <c r="O425" s="14" t="s">
        <v>5333</v>
      </c>
      <c r="P425" s="15" t="s">
        <v>3117</v>
      </c>
      <c r="Q425" s="16"/>
      <c r="R425" s="17">
        <v>44013</v>
      </c>
      <c r="S425" s="16" t="s">
        <v>7885</v>
      </c>
      <c r="T425" s="16">
        <v>17000000</v>
      </c>
      <c r="U425" s="14" t="s">
        <v>5335</v>
      </c>
      <c r="V425" s="13">
        <v>4</v>
      </c>
      <c r="W425" s="17">
        <v>43963</v>
      </c>
      <c r="X425" s="14"/>
      <c r="Y425" s="17"/>
      <c r="Z425" s="17"/>
      <c r="AA425" s="14" t="s">
        <v>1</v>
      </c>
      <c r="AB425" s="14" t="s">
        <v>5007</v>
      </c>
      <c r="AC425" s="14" t="s">
        <v>5336</v>
      </c>
      <c r="AD425" s="20" t="str">
        <f t="shared" si="26"/>
        <v>Crop Tech &gt; Farm Inputs &gt; Biologicals &gt; Diversified</v>
      </c>
      <c r="AE425" s="20" t="str">
        <f t="shared" ref="AE425:AE470" si="28">TRIM(MID(SUBSTITUTE($AD425,"&gt;",REPT(" ",LEN($AD425))), (AE$6-1)*LEN($AD425)+1, LEN($AD425)))</f>
        <v>Crop Tech</v>
      </c>
      <c r="AF425" s="20" t="str">
        <f t="shared" si="27"/>
        <v>Farm Inputs</v>
      </c>
      <c r="AG425" s="20" t="str">
        <f t="shared" si="27"/>
        <v>Biologicals</v>
      </c>
      <c r="AH425" s="20" t="str">
        <f t="shared" si="27"/>
        <v>Diversified</v>
      </c>
      <c r="AI425" s="20" t="str">
        <f t="shared" si="27"/>
        <v/>
      </c>
      <c r="AJ425" s="20" t="str">
        <f t="shared" si="27"/>
        <v/>
      </c>
      <c r="AK425" s="20" t="str">
        <f t="shared" si="27"/>
        <v/>
      </c>
      <c r="AL425" s="14" t="s">
        <v>8581</v>
      </c>
      <c r="AM425" s="14"/>
      <c r="AO425" s="14"/>
      <c r="AP425" s="14" t="s">
        <v>5333</v>
      </c>
      <c r="AQ425" s="14"/>
      <c r="AR425" s="14"/>
      <c r="AS425" s="14" t="s">
        <v>8583</v>
      </c>
      <c r="AT425" s="14"/>
      <c r="AU425" s="14"/>
      <c r="AV425" s="18"/>
      <c r="AW425" s="16"/>
      <c r="AX425" s="17"/>
      <c r="AY425" s="15" t="s">
        <v>3123</v>
      </c>
      <c r="AZ425" s="17"/>
      <c r="BA425" s="16"/>
      <c r="BB425" s="14"/>
      <c r="BC425" s="14"/>
      <c r="BD425" s="15" t="s">
        <v>3117</v>
      </c>
      <c r="BE425" s="14" t="s">
        <v>8584</v>
      </c>
      <c r="BF425" s="17">
        <v>42662</v>
      </c>
      <c r="BG425" s="16"/>
      <c r="BH425" s="14" t="s">
        <v>5342</v>
      </c>
      <c r="BI425" s="15" t="s">
        <v>3123</v>
      </c>
      <c r="BJ425" s="14"/>
      <c r="BK425" s="17"/>
      <c r="BL425" s="16"/>
      <c r="BM425" s="16"/>
      <c r="BN425" s="16"/>
      <c r="BO425" s="16"/>
      <c r="BP425" s="15" t="s">
        <v>3123</v>
      </c>
      <c r="BQ425" s="17"/>
      <c r="BR425" s="14"/>
      <c r="BS425" s="14"/>
      <c r="BT425" s="16"/>
      <c r="BU425" s="16"/>
      <c r="BV425" s="13"/>
      <c r="BW425" s="18" t="s">
        <v>8585</v>
      </c>
      <c r="BX425" s="13">
        <v>200</v>
      </c>
      <c r="BY425" s="17">
        <v>44119</v>
      </c>
      <c r="BZ425" s="18" t="s">
        <v>8586</v>
      </c>
      <c r="CA425" s="18" t="s">
        <v>8587</v>
      </c>
      <c r="CB425" s="18" t="s">
        <v>8588</v>
      </c>
      <c r="CC425" s="18"/>
      <c r="CD425" s="14" t="s">
        <v>8589</v>
      </c>
      <c r="CE425" s="17">
        <v>43579</v>
      </c>
      <c r="CF425" s="16"/>
      <c r="CG425" s="17"/>
      <c r="CH425" s="16"/>
      <c r="CI425" s="17"/>
      <c r="CJ425" s="16"/>
      <c r="CK425" s="17"/>
      <c r="CL425" s="16"/>
      <c r="CM425" s="17"/>
      <c r="CN425" s="19">
        <v>53.355443144948637</v>
      </c>
      <c r="CO425" s="19"/>
      <c r="CP425" s="17"/>
      <c r="CQ425" s="14" t="s">
        <v>5345</v>
      </c>
      <c r="CR425" s="14" t="s">
        <v>5361</v>
      </c>
      <c r="CS425" s="14" t="s">
        <v>5311</v>
      </c>
    </row>
    <row r="426" spans="1:97" ht="26.15" customHeight="1">
      <c r="A426" s="2">
        <v>228</v>
      </c>
      <c r="B426" s="25" t="s">
        <v>1880</v>
      </c>
      <c r="C426" s="25" t="e">
        <f>VLOOKUP(B426, Sheet6!$A$1:$B$77, 2, FALSE)</f>
        <v>#N/A</v>
      </c>
      <c r="D426" s="25" t="s">
        <v>1881</v>
      </c>
      <c r="E426" s="25" t="s">
        <v>1883</v>
      </c>
      <c r="F426" s="25" t="s">
        <v>7862</v>
      </c>
      <c r="G426" s="25" t="s">
        <v>10955</v>
      </c>
      <c r="H426" s="25" t="s">
        <v>10959</v>
      </c>
      <c r="I426" s="25" t="s">
        <v>10958</v>
      </c>
      <c r="J426" s="26" t="s">
        <v>10726</v>
      </c>
      <c r="L426" s="13">
        <v>2012</v>
      </c>
      <c r="M426" s="14" t="s">
        <v>5389</v>
      </c>
      <c r="N426" s="14" t="s">
        <v>5390</v>
      </c>
      <c r="O426" s="14" t="s">
        <v>5391</v>
      </c>
      <c r="P426" s="15" t="s">
        <v>3117</v>
      </c>
      <c r="Q426" s="16">
        <v>150000</v>
      </c>
      <c r="R426" s="17">
        <v>43304</v>
      </c>
      <c r="S426" s="16"/>
      <c r="T426" s="16" t="s">
        <v>50</v>
      </c>
      <c r="U426" s="14" t="s">
        <v>109</v>
      </c>
      <c r="V426" s="13">
        <v>4</v>
      </c>
      <c r="W426" s="17">
        <v>44050</v>
      </c>
      <c r="X426" s="14"/>
      <c r="Y426" s="17"/>
      <c r="Z426" s="17"/>
      <c r="AA426" s="14" t="s">
        <v>5791</v>
      </c>
      <c r="AB426" s="14" t="s">
        <v>8590</v>
      </c>
      <c r="AC426" s="14" t="s">
        <v>8591</v>
      </c>
      <c r="AD426" s="20" t="str">
        <f t="shared" si="26"/>
        <v>Renewable Energy Tech &gt; Solar Energy &gt; Applications &gt; Agriculture and Food &gt; Smart Water Pumps
Crop Tech &gt; Farm Equipment &gt; Smart Solar Water Pumps</v>
      </c>
      <c r="AE426" s="20" t="str">
        <f t="shared" si="28"/>
        <v>Renewable Energy Tech</v>
      </c>
      <c r="AF426" s="20" t="str">
        <f t="shared" si="27"/>
        <v>Solar Energy</v>
      </c>
      <c r="AG426" s="20" t="str">
        <f t="shared" si="27"/>
        <v>Applications</v>
      </c>
      <c r="AH426" s="20" t="str">
        <f t="shared" si="27"/>
        <v>Agriculture and Food</v>
      </c>
      <c r="AI426" s="20" t="str">
        <f t="shared" si="27"/>
        <v>Smart Water Pumps
Crop Tech</v>
      </c>
      <c r="AJ426" s="20" t="str">
        <f t="shared" si="27"/>
        <v>Farm Equipment</v>
      </c>
      <c r="AK426" s="20" t="str">
        <f t="shared" si="27"/>
        <v>Smart Solar Water Pumps</v>
      </c>
      <c r="AL426" s="14" t="s">
        <v>8592</v>
      </c>
      <c r="AM426" s="14"/>
      <c r="AO426" s="14"/>
      <c r="AP426" s="14" t="s">
        <v>5391</v>
      </c>
      <c r="AQ426" s="14" t="s">
        <v>8594</v>
      </c>
      <c r="AR426" s="14" t="s">
        <v>8595</v>
      </c>
      <c r="AS426" s="14" t="s">
        <v>8596</v>
      </c>
      <c r="AT426" s="14" t="s">
        <v>8597</v>
      </c>
      <c r="AU426" s="14" t="s">
        <v>8598</v>
      </c>
      <c r="AV426" s="18"/>
      <c r="AW426" s="16"/>
      <c r="AX426" s="17"/>
      <c r="AY426" s="15" t="s">
        <v>3123</v>
      </c>
      <c r="AZ426" s="17"/>
      <c r="BA426" s="16"/>
      <c r="BB426" s="14"/>
      <c r="BC426" s="14"/>
      <c r="BD426" s="15" t="s">
        <v>3123</v>
      </c>
      <c r="BE426" s="14"/>
      <c r="BF426" s="17"/>
      <c r="BG426" s="16"/>
      <c r="BH426" s="14"/>
      <c r="BI426" s="15" t="s">
        <v>3123</v>
      </c>
      <c r="BJ426" s="14"/>
      <c r="BK426" s="17"/>
      <c r="BL426" s="16"/>
      <c r="BM426" s="16"/>
      <c r="BN426" s="16"/>
      <c r="BO426" s="16"/>
      <c r="BP426" s="15" t="s">
        <v>3123</v>
      </c>
      <c r="BQ426" s="17"/>
      <c r="BR426" s="14"/>
      <c r="BS426" s="14"/>
      <c r="BT426" s="16"/>
      <c r="BU426" s="16"/>
      <c r="BV426" s="13"/>
      <c r="BW426" s="18" t="s">
        <v>8599</v>
      </c>
      <c r="BX426" s="13">
        <v>200</v>
      </c>
      <c r="BY426" s="17">
        <v>44119</v>
      </c>
      <c r="BZ426" s="18" t="s">
        <v>8600</v>
      </c>
      <c r="CA426" s="18" t="s">
        <v>8601</v>
      </c>
      <c r="CB426" s="18"/>
      <c r="CC426" s="18" t="s">
        <v>8602</v>
      </c>
      <c r="CD426" s="14" t="s">
        <v>8603</v>
      </c>
      <c r="CE426" s="17">
        <v>43031</v>
      </c>
      <c r="CF426" s="16"/>
      <c r="CG426" s="17"/>
      <c r="CH426" s="16"/>
      <c r="CI426" s="17"/>
      <c r="CJ426" s="16"/>
      <c r="CK426" s="17"/>
      <c r="CL426" s="16"/>
      <c r="CM426" s="17"/>
      <c r="CN426" s="19">
        <v>47.048959864080061</v>
      </c>
      <c r="CO426" s="19"/>
      <c r="CP426" s="17"/>
      <c r="CQ426" s="14" t="s">
        <v>8604</v>
      </c>
      <c r="CR426" s="14" t="s">
        <v>8605</v>
      </c>
      <c r="CS426" s="14" t="s">
        <v>5311</v>
      </c>
    </row>
    <row r="427" spans="1:97" ht="26.15" customHeight="1">
      <c r="A427" s="2">
        <v>226</v>
      </c>
      <c r="B427" s="25" t="s">
        <v>980</v>
      </c>
      <c r="C427" s="25" t="e">
        <f>VLOOKUP(B427, Sheet6!$A$1:$B$77, 2, FALSE)</f>
        <v>#N/A</v>
      </c>
      <c r="D427" s="25" t="s">
        <v>981</v>
      </c>
      <c r="E427" s="25" t="s">
        <v>984</v>
      </c>
      <c r="F427" s="25" t="s">
        <v>7842</v>
      </c>
      <c r="G427" s="25" t="s">
        <v>10955</v>
      </c>
      <c r="H427" s="25" t="s">
        <v>10959</v>
      </c>
      <c r="I427" s="25" t="s">
        <v>10958</v>
      </c>
      <c r="J427" s="26" t="s">
        <v>10993</v>
      </c>
      <c r="L427" s="13">
        <v>2000</v>
      </c>
      <c r="M427" s="14" t="s">
        <v>5038</v>
      </c>
      <c r="N427" s="14" t="s">
        <v>5039</v>
      </c>
      <c r="O427" s="14" t="s">
        <v>3994</v>
      </c>
      <c r="P427" s="15" t="s">
        <v>3117</v>
      </c>
      <c r="Q427" s="16">
        <v>8729360</v>
      </c>
      <c r="R427" s="17">
        <v>41061</v>
      </c>
      <c r="S427" s="16"/>
      <c r="T427" s="16" t="s">
        <v>50</v>
      </c>
      <c r="U427" s="14" t="s">
        <v>5335</v>
      </c>
      <c r="V427" s="13">
        <v>1</v>
      </c>
      <c r="W427" s="17">
        <v>44133</v>
      </c>
      <c r="X427" s="14"/>
      <c r="Y427" s="17"/>
      <c r="Z427" s="17"/>
      <c r="AA427" s="14" t="s">
        <v>6586</v>
      </c>
      <c r="AB427" s="14" t="s">
        <v>6587</v>
      </c>
      <c r="AC427" s="14" t="s">
        <v>9982</v>
      </c>
      <c r="AD427" s="20" t="str">
        <f t="shared" si="26"/>
        <v>Biotech R&amp;D &gt; Research Applications &gt; Translational Research &gt; Biomarkers &gt; Agriculture
Genomics &gt; Applied Genomics &gt; Agrigenomics
Crop Tech &gt; Farm Inputs &gt; Seeds &gt; Field Crops &gt; GMO</v>
      </c>
      <c r="AE427" s="20" t="str">
        <f t="shared" si="28"/>
        <v>Biotech R&amp;D</v>
      </c>
      <c r="AF427" s="20" t="str">
        <f t="shared" si="27"/>
        <v>Research Applications</v>
      </c>
      <c r="AG427" s="20" t="str">
        <f t="shared" si="27"/>
        <v>Translational Research</v>
      </c>
      <c r="AH427" s="20" t="str">
        <f t="shared" si="27"/>
        <v>Biomarkers</v>
      </c>
      <c r="AI427" s="20" t="str">
        <f t="shared" si="27"/>
        <v>Agriculture
Genomics</v>
      </c>
      <c r="AJ427" s="20" t="str">
        <f t="shared" si="27"/>
        <v>Applied Genomics</v>
      </c>
      <c r="AK427" s="20" t="str">
        <f t="shared" si="27"/>
        <v>Agrigenomics
Crop Tech</v>
      </c>
      <c r="AL427" s="14" t="s">
        <v>9983</v>
      </c>
      <c r="AM427" s="14" t="s">
        <v>9984</v>
      </c>
      <c r="AO427" s="14"/>
      <c r="AP427" s="14" t="s">
        <v>3994</v>
      </c>
      <c r="AQ427" s="14" t="s">
        <v>9986</v>
      </c>
      <c r="AR427" s="14" t="s">
        <v>9987</v>
      </c>
      <c r="AS427" s="14" t="s">
        <v>9988</v>
      </c>
      <c r="AT427" s="14" t="s">
        <v>9989</v>
      </c>
      <c r="AU427" s="14" t="s">
        <v>9990</v>
      </c>
      <c r="AV427" s="18" t="s">
        <v>9991</v>
      </c>
      <c r="AW427" s="16"/>
      <c r="AX427" s="17"/>
      <c r="AY427" s="15" t="s">
        <v>3123</v>
      </c>
      <c r="AZ427" s="17"/>
      <c r="BA427" s="16"/>
      <c r="BB427" s="14"/>
      <c r="BC427" s="14"/>
      <c r="BD427" s="15" t="s">
        <v>3117</v>
      </c>
      <c r="BE427" s="14" t="s">
        <v>9992</v>
      </c>
      <c r="BF427" s="17">
        <v>40521</v>
      </c>
      <c r="BG427" s="16">
        <v>21701300</v>
      </c>
      <c r="BH427" s="14" t="s">
        <v>5342</v>
      </c>
      <c r="BI427" s="15" t="s">
        <v>3123</v>
      </c>
      <c r="BJ427" s="14"/>
      <c r="BK427" s="17"/>
      <c r="BL427" s="16"/>
      <c r="BM427" s="16"/>
      <c r="BN427" s="16"/>
      <c r="BO427" s="16"/>
      <c r="BP427" s="15" t="s">
        <v>3123</v>
      </c>
      <c r="BQ427" s="17"/>
      <c r="BR427" s="14"/>
      <c r="BS427" s="14"/>
      <c r="BT427" s="16"/>
      <c r="BU427" s="16"/>
      <c r="BV427" s="13"/>
      <c r="BW427" s="18" t="s">
        <v>9993</v>
      </c>
      <c r="BX427" s="13">
        <v>200</v>
      </c>
      <c r="BY427" s="17">
        <v>44119</v>
      </c>
      <c r="BZ427" s="18" t="s">
        <v>9994</v>
      </c>
      <c r="CA427" s="18"/>
      <c r="CB427" s="18"/>
      <c r="CC427" s="18"/>
      <c r="CD427" s="14" t="s">
        <v>9995</v>
      </c>
      <c r="CE427" s="17">
        <v>42933</v>
      </c>
      <c r="CF427" s="16"/>
      <c r="CG427" s="17"/>
      <c r="CH427" s="16"/>
      <c r="CI427" s="17"/>
      <c r="CJ427" s="16">
        <v>20000000</v>
      </c>
      <c r="CK427" s="17">
        <v>40494</v>
      </c>
      <c r="CL427" s="16">
        <v>510</v>
      </c>
      <c r="CM427" s="17">
        <v>43921</v>
      </c>
      <c r="CN427" s="19">
        <v>51.626624693302439</v>
      </c>
      <c r="CO427" s="19"/>
      <c r="CP427" s="17"/>
      <c r="CQ427" s="14" t="s">
        <v>5036</v>
      </c>
      <c r="CR427" s="14" t="s">
        <v>5962</v>
      </c>
      <c r="CS427" s="14" t="s">
        <v>5945</v>
      </c>
    </row>
    <row r="428" spans="1:97" ht="26.15" customHeight="1">
      <c r="A428" s="2">
        <v>190</v>
      </c>
      <c r="B428" s="25" t="s">
        <v>2047</v>
      </c>
      <c r="C428" s="25" t="e">
        <f>VLOOKUP(B428, Sheet6!$A$1:$B$77, 2, FALSE)</f>
        <v>#N/A</v>
      </c>
      <c r="D428" s="25" t="s">
        <v>2048</v>
      </c>
      <c r="E428" s="25" t="s">
        <v>2051</v>
      </c>
      <c r="F428" s="25" t="s">
        <v>7414</v>
      </c>
      <c r="G428" s="25" t="s">
        <v>10955</v>
      </c>
      <c r="H428" s="25" t="s">
        <v>10959</v>
      </c>
      <c r="I428" s="25" t="s">
        <v>10958</v>
      </c>
      <c r="J428" s="26" t="s">
        <v>10766</v>
      </c>
      <c r="L428" s="13">
        <v>2004</v>
      </c>
      <c r="M428" s="14" t="s">
        <v>5005</v>
      </c>
      <c r="N428" s="14" t="s">
        <v>5006</v>
      </c>
      <c r="O428" s="14" t="s">
        <v>3994</v>
      </c>
      <c r="P428" s="15" t="s">
        <v>3117</v>
      </c>
      <c r="Q428" s="16">
        <v>2111924</v>
      </c>
      <c r="R428" s="17">
        <v>43322</v>
      </c>
      <c r="S428" s="16" t="s">
        <v>8606</v>
      </c>
      <c r="T428" s="16">
        <v>611924</v>
      </c>
      <c r="U428" s="14" t="s">
        <v>34</v>
      </c>
      <c r="V428" s="13">
        <v>4</v>
      </c>
      <c r="W428" s="17">
        <v>44098</v>
      </c>
      <c r="X428" s="14"/>
      <c r="Y428" s="17"/>
      <c r="Z428" s="17"/>
      <c r="AA428" s="14" t="s">
        <v>1</v>
      </c>
      <c r="AB428" s="14" t="s">
        <v>5007</v>
      </c>
      <c r="AC428" s="14" t="s">
        <v>8607</v>
      </c>
      <c r="AD428" s="20" t="str">
        <f t="shared" si="26"/>
        <v>Crop Tech &gt; Farm Management Software &gt; Weather Forecasting</v>
      </c>
      <c r="AE428" s="20" t="str">
        <f t="shared" si="28"/>
        <v>Crop Tech</v>
      </c>
      <c r="AF428" s="20" t="str">
        <f t="shared" si="27"/>
        <v>Farm Management Software</v>
      </c>
      <c r="AG428" s="20" t="str">
        <f t="shared" si="27"/>
        <v>Weather Forecasting</v>
      </c>
      <c r="AH428" s="20" t="str">
        <f t="shared" si="27"/>
        <v/>
      </c>
      <c r="AI428" s="20" t="str">
        <f t="shared" si="27"/>
        <v/>
      </c>
      <c r="AJ428" s="20" t="str">
        <f t="shared" si="27"/>
        <v/>
      </c>
      <c r="AK428" s="20" t="str">
        <f t="shared" si="27"/>
        <v/>
      </c>
      <c r="AL428" s="14" t="s">
        <v>8608</v>
      </c>
      <c r="AM428" s="14" t="s">
        <v>8609</v>
      </c>
      <c r="AO428" s="14"/>
      <c r="AP428" s="14" t="s">
        <v>3994</v>
      </c>
      <c r="AQ428" s="14" t="s">
        <v>8611</v>
      </c>
      <c r="AR428" s="14"/>
      <c r="AS428" s="14" t="s">
        <v>8612</v>
      </c>
      <c r="AT428" s="14" t="s">
        <v>8613</v>
      </c>
      <c r="AU428" s="14" t="s">
        <v>8614</v>
      </c>
      <c r="AV428" s="18" t="s">
        <v>8615</v>
      </c>
      <c r="AW428" s="16">
        <v>4151601.4409709414</v>
      </c>
      <c r="AX428" s="17">
        <v>43465</v>
      </c>
      <c r="AY428" s="15" t="s">
        <v>3117</v>
      </c>
      <c r="AZ428" s="17">
        <v>38265</v>
      </c>
      <c r="BA428" s="16">
        <v>2179</v>
      </c>
      <c r="BB428" s="14" t="s">
        <v>8616</v>
      </c>
      <c r="BC428" s="14"/>
      <c r="BD428" s="15" t="s">
        <v>3123</v>
      </c>
      <c r="BE428" s="14"/>
      <c r="BF428" s="17"/>
      <c r="BG428" s="16"/>
      <c r="BH428" s="14"/>
      <c r="BI428" s="15" t="s">
        <v>3123</v>
      </c>
      <c r="BJ428" s="14"/>
      <c r="BK428" s="17"/>
      <c r="BL428" s="16"/>
      <c r="BM428" s="16"/>
      <c r="BN428" s="16"/>
      <c r="BO428" s="16"/>
      <c r="BP428" s="15" t="s">
        <v>3123</v>
      </c>
      <c r="BQ428" s="17"/>
      <c r="BR428" s="14"/>
      <c r="BS428" s="14"/>
      <c r="BT428" s="16"/>
      <c r="BU428" s="16"/>
      <c r="BV428" s="13"/>
      <c r="BW428" s="18" t="s">
        <v>8617</v>
      </c>
      <c r="BX428" s="13">
        <v>404</v>
      </c>
      <c r="BY428" s="17">
        <v>44119</v>
      </c>
      <c r="BZ428" s="18" t="s">
        <v>8618</v>
      </c>
      <c r="CA428" s="18" t="s">
        <v>8619</v>
      </c>
      <c r="CB428" s="18" t="s">
        <v>8620</v>
      </c>
      <c r="CC428" s="18"/>
      <c r="CD428" s="14" t="s">
        <v>8621</v>
      </c>
      <c r="CE428" s="17">
        <v>42929</v>
      </c>
      <c r="CF428" s="16">
        <v>52407.357979829663</v>
      </c>
      <c r="CG428" s="17">
        <v>43465</v>
      </c>
      <c r="CH428" s="16">
        <v>222259.79617000208</v>
      </c>
      <c r="CI428" s="17">
        <v>43465</v>
      </c>
      <c r="CJ428" s="16">
        <v>9000000</v>
      </c>
      <c r="CK428" s="17">
        <v>43322</v>
      </c>
      <c r="CL428" s="16">
        <v>89</v>
      </c>
      <c r="CM428" s="17">
        <v>43738</v>
      </c>
      <c r="CN428" s="19">
        <v>40.646595234273249</v>
      </c>
      <c r="CO428" s="19"/>
      <c r="CP428" s="17"/>
      <c r="CQ428" s="14" t="s">
        <v>7284</v>
      </c>
      <c r="CR428" s="14" t="s">
        <v>6002</v>
      </c>
      <c r="CS428" s="14" t="s">
        <v>5945</v>
      </c>
    </row>
    <row r="429" spans="1:97" ht="26.15" customHeight="1">
      <c r="A429" s="2">
        <v>334</v>
      </c>
      <c r="B429" s="25" t="s">
        <v>2092</v>
      </c>
      <c r="C429" s="25" t="e">
        <f>VLOOKUP(B429, Sheet6!$A$1:$B$77, 2, FALSE)</f>
        <v>#N/A</v>
      </c>
      <c r="D429" s="25" t="s">
        <v>2093</v>
      </c>
      <c r="E429" s="25" t="s">
        <v>2094</v>
      </c>
      <c r="F429" s="25" t="s">
        <v>8996</v>
      </c>
      <c r="G429" s="25" t="s">
        <v>10955</v>
      </c>
      <c r="H429" s="25" t="s">
        <v>10957</v>
      </c>
      <c r="I429" s="25" t="s">
        <v>10968</v>
      </c>
      <c r="J429" s="25" t="s">
        <v>10821</v>
      </c>
      <c r="L429" s="13">
        <v>1999</v>
      </c>
      <c r="M429" s="14" t="s">
        <v>5389</v>
      </c>
      <c r="N429" s="14" t="s">
        <v>5390</v>
      </c>
      <c r="O429" s="14" t="s">
        <v>5391</v>
      </c>
      <c r="P429" s="15" t="s">
        <v>3117</v>
      </c>
      <c r="Q429" s="16">
        <v>1500000</v>
      </c>
      <c r="R429" s="17">
        <v>41065</v>
      </c>
      <c r="S429" s="16" t="s">
        <v>5022</v>
      </c>
      <c r="T429" s="16">
        <v>1500000</v>
      </c>
      <c r="U429" s="14" t="s">
        <v>109</v>
      </c>
      <c r="V429" s="13"/>
      <c r="W429" s="17"/>
      <c r="X429" s="14"/>
      <c r="Y429" s="17"/>
      <c r="Z429" s="17"/>
      <c r="AA429" s="14" t="s">
        <v>1</v>
      </c>
      <c r="AB429" s="14" t="s">
        <v>5007</v>
      </c>
      <c r="AC429" s="14" t="s">
        <v>6430</v>
      </c>
      <c r="AD429" s="20" t="str">
        <f t="shared" si="26"/>
        <v>Crop Tech &gt; Farm Management Software</v>
      </c>
      <c r="AE429" s="20" t="str">
        <f t="shared" si="28"/>
        <v>Crop Tech</v>
      </c>
      <c r="AF429" s="20" t="str">
        <f t="shared" si="27"/>
        <v>Farm Management Software</v>
      </c>
      <c r="AG429" s="20" t="str">
        <f t="shared" si="27"/>
        <v/>
      </c>
      <c r="AH429" s="20" t="str">
        <f t="shared" si="27"/>
        <v/>
      </c>
      <c r="AI429" s="20" t="str">
        <f t="shared" si="27"/>
        <v/>
      </c>
      <c r="AJ429" s="20" t="str">
        <f t="shared" si="27"/>
        <v/>
      </c>
      <c r="AK429" s="20" t="str">
        <f t="shared" si="27"/>
        <v/>
      </c>
      <c r="AL429" s="14" t="s">
        <v>10008</v>
      </c>
      <c r="AM429" s="14"/>
      <c r="AO429" s="14"/>
      <c r="AP429" s="14" t="s">
        <v>5391</v>
      </c>
      <c r="AQ429" s="14" t="s">
        <v>10010</v>
      </c>
      <c r="AR429" s="14"/>
      <c r="AS429" s="14" t="s">
        <v>10011</v>
      </c>
      <c r="AT429" s="14" t="s">
        <v>10012</v>
      </c>
      <c r="AU429" s="14" t="s">
        <v>10013</v>
      </c>
      <c r="AV429" s="18" t="s">
        <v>10014</v>
      </c>
      <c r="AW429" s="16"/>
      <c r="AX429" s="17"/>
      <c r="AY429" s="15" t="s">
        <v>3123</v>
      </c>
      <c r="AZ429" s="17"/>
      <c r="BA429" s="16"/>
      <c r="BB429" s="14"/>
      <c r="BC429" s="14"/>
      <c r="BD429" s="15" t="s">
        <v>3123</v>
      </c>
      <c r="BE429" s="14"/>
      <c r="BF429" s="17"/>
      <c r="BG429" s="16"/>
      <c r="BH429" s="14"/>
      <c r="BI429" s="15" t="s">
        <v>3123</v>
      </c>
      <c r="BJ429" s="14"/>
      <c r="BK429" s="17"/>
      <c r="BL429" s="16"/>
      <c r="BM429" s="16"/>
      <c r="BN429" s="16"/>
      <c r="BO429" s="16"/>
      <c r="BP429" s="15" t="s">
        <v>3123</v>
      </c>
      <c r="BQ429" s="17"/>
      <c r="BR429" s="14"/>
      <c r="BS429" s="14"/>
      <c r="BT429" s="16"/>
      <c r="BU429" s="16"/>
      <c r="BV429" s="13"/>
      <c r="BW429" s="18" t="s">
        <v>10015</v>
      </c>
      <c r="BX429" s="13">
        <v>200</v>
      </c>
      <c r="BY429" s="17">
        <v>44119</v>
      </c>
      <c r="BZ429" s="18" t="s">
        <v>10016</v>
      </c>
      <c r="CA429" s="18" t="s">
        <v>10017</v>
      </c>
      <c r="CB429" s="18"/>
      <c r="CC429" s="18"/>
      <c r="CD429" s="14" t="s">
        <v>10018</v>
      </c>
      <c r="CE429" s="17">
        <v>42930</v>
      </c>
      <c r="CF429" s="16"/>
      <c r="CG429" s="17"/>
      <c r="CH429" s="16"/>
      <c r="CI429" s="17"/>
      <c r="CJ429" s="16"/>
      <c r="CK429" s="17"/>
      <c r="CL429" s="16"/>
      <c r="CM429" s="17"/>
      <c r="CN429" s="19">
        <v>31.449093832285211</v>
      </c>
      <c r="CO429" s="19"/>
      <c r="CP429" s="17"/>
      <c r="CQ429" s="14" t="s">
        <v>5345</v>
      </c>
      <c r="CR429" s="14" t="s">
        <v>7272</v>
      </c>
      <c r="CS429" s="14" t="s">
        <v>5945</v>
      </c>
    </row>
    <row r="430" spans="1:97" ht="26.15" customHeight="1">
      <c r="A430" s="2">
        <v>92</v>
      </c>
      <c r="B430" s="25" t="s">
        <v>1161</v>
      </c>
      <c r="C430" s="25" t="e">
        <f>VLOOKUP(B430, Sheet6!$A$1:$B$77, 2, FALSE)</f>
        <v>#N/A</v>
      </c>
      <c r="D430" s="25" t="s">
        <v>1162</v>
      </c>
      <c r="E430" s="25" t="s">
        <v>1166</v>
      </c>
      <c r="F430" s="25" t="s">
        <v>6215</v>
      </c>
      <c r="G430" s="25" t="s">
        <v>10953</v>
      </c>
      <c r="H430" s="25" t="s">
        <v>10960</v>
      </c>
      <c r="I430" s="25" t="s">
        <v>10958</v>
      </c>
      <c r="J430" s="26" t="s">
        <v>10517</v>
      </c>
      <c r="L430" s="13">
        <v>2015</v>
      </c>
      <c r="M430" s="14" t="s">
        <v>5005</v>
      </c>
      <c r="N430" s="14" t="s">
        <v>5006</v>
      </c>
      <c r="O430" s="14" t="s">
        <v>3994</v>
      </c>
      <c r="P430" s="15" t="s">
        <v>3117</v>
      </c>
      <c r="Q430" s="16">
        <v>314748</v>
      </c>
      <c r="R430" s="17">
        <v>42471</v>
      </c>
      <c r="S430" s="16" t="s">
        <v>10019</v>
      </c>
      <c r="T430" s="16">
        <v>314748</v>
      </c>
      <c r="U430" s="14" t="s">
        <v>34</v>
      </c>
      <c r="V430" s="13"/>
      <c r="W430" s="17"/>
      <c r="X430" s="14"/>
      <c r="Y430" s="17"/>
      <c r="Z430" s="17"/>
      <c r="AA430" s="14" t="s">
        <v>5509</v>
      </c>
      <c r="AB430" s="14" t="s">
        <v>5510</v>
      </c>
      <c r="AC430" s="14" t="s">
        <v>5511</v>
      </c>
      <c r="AD430" s="20" t="str">
        <f t="shared" si="26"/>
        <v>B2B E-Commerce &gt; Food &amp; Beverages &gt; Groceries &gt; Farm Products &gt; Marketplace
Online Grocery &gt; B2B Ecommerce &gt; Farm Produce &gt; Fruits and Vegetables &gt; Marketplace
Crop Tech &gt; ECommerce &gt; Farm Produce &gt; B2B &gt; Fruits and Vegetables &gt; Marketplace</v>
      </c>
      <c r="AE430" s="20" t="str">
        <f t="shared" si="28"/>
        <v>B2B E-Commerce</v>
      </c>
      <c r="AF430" s="20" t="str">
        <f t="shared" si="27"/>
        <v>Food &amp; Beverages</v>
      </c>
      <c r="AG430" s="20" t="str">
        <f t="shared" si="27"/>
        <v>Groceries</v>
      </c>
      <c r="AH430" s="20" t="str">
        <f t="shared" si="27"/>
        <v>Farm Products</v>
      </c>
      <c r="AI430" s="20" t="str">
        <f t="shared" si="27"/>
        <v>Marketplace
Online Grocery</v>
      </c>
      <c r="AJ430" s="20" t="str">
        <f t="shared" si="27"/>
        <v>B2B Ecommerce</v>
      </c>
      <c r="AK430" s="20" t="str">
        <f t="shared" si="27"/>
        <v>Farm Produce</v>
      </c>
      <c r="AL430" s="14" t="s">
        <v>2464</v>
      </c>
      <c r="AM430" s="14"/>
      <c r="AO430" s="14"/>
      <c r="AP430" s="14" t="s">
        <v>3994</v>
      </c>
      <c r="AQ430" s="14"/>
      <c r="AR430" s="14"/>
      <c r="AS430" s="14" t="s">
        <v>10021</v>
      </c>
      <c r="AT430" s="14" t="s">
        <v>10022</v>
      </c>
      <c r="AU430" s="14" t="s">
        <v>10023</v>
      </c>
      <c r="AV430" s="18" t="s">
        <v>10024</v>
      </c>
      <c r="AW430" s="16">
        <v>32372.716836968946</v>
      </c>
      <c r="AX430" s="17">
        <v>43465</v>
      </c>
      <c r="AY430" s="15" t="s">
        <v>3117</v>
      </c>
      <c r="AZ430" s="17">
        <v>39858</v>
      </c>
      <c r="BA430" s="16">
        <v>2042</v>
      </c>
      <c r="BB430" s="14" t="s">
        <v>10025</v>
      </c>
      <c r="BC430" s="14"/>
      <c r="BD430" s="15" t="s">
        <v>3123</v>
      </c>
      <c r="BE430" s="14"/>
      <c r="BF430" s="17"/>
      <c r="BG430" s="16"/>
      <c r="BH430" s="14"/>
      <c r="BI430" s="15" t="s">
        <v>3123</v>
      </c>
      <c r="BJ430" s="14"/>
      <c r="BK430" s="17"/>
      <c r="BL430" s="16"/>
      <c r="BM430" s="16"/>
      <c r="BN430" s="16"/>
      <c r="BO430" s="16"/>
      <c r="BP430" s="15" t="s">
        <v>3123</v>
      </c>
      <c r="BQ430" s="17"/>
      <c r="BR430" s="14"/>
      <c r="BS430" s="14"/>
      <c r="BT430" s="16"/>
      <c r="BU430" s="16"/>
      <c r="BV430" s="13"/>
      <c r="BW430" s="18" t="s">
        <v>10026</v>
      </c>
      <c r="BX430" s="13">
        <v>200</v>
      </c>
      <c r="BY430" s="17">
        <v>44119</v>
      </c>
      <c r="BZ430" s="18" t="s">
        <v>10027</v>
      </c>
      <c r="CA430" s="18" t="s">
        <v>10028</v>
      </c>
      <c r="CB430" s="18" t="s">
        <v>10029</v>
      </c>
      <c r="CC430" s="18"/>
      <c r="CD430" s="14" t="s">
        <v>10030</v>
      </c>
      <c r="CE430" s="17">
        <v>42473</v>
      </c>
      <c r="CF430" s="16">
        <v>-40078.37232970004</v>
      </c>
      <c r="CG430" s="17">
        <v>43465</v>
      </c>
      <c r="CH430" s="16">
        <v>-54135.272638594499</v>
      </c>
      <c r="CI430" s="17">
        <v>43465</v>
      </c>
      <c r="CJ430" s="16">
        <v>1</v>
      </c>
      <c r="CK430" s="17">
        <v>42464</v>
      </c>
      <c r="CL430" s="16">
        <v>375</v>
      </c>
      <c r="CM430" s="17">
        <v>43921</v>
      </c>
      <c r="CN430" s="19">
        <v>32.011592684280593</v>
      </c>
      <c r="CO430" s="19"/>
      <c r="CP430" s="17"/>
      <c r="CQ430" s="14" t="s">
        <v>6556</v>
      </c>
      <c r="CR430" s="14" t="s">
        <v>6557</v>
      </c>
      <c r="CS430" s="14" t="s">
        <v>5945</v>
      </c>
    </row>
    <row r="431" spans="1:97" ht="26.15" customHeight="1">
      <c r="A431" s="2">
        <v>171</v>
      </c>
      <c r="B431" s="25" t="s">
        <v>1235</v>
      </c>
      <c r="C431" s="25" t="e">
        <f>VLOOKUP(B431, Sheet6!$A$1:$B$77, 2, FALSE)</f>
        <v>#N/A</v>
      </c>
      <c r="D431" s="25" t="s">
        <v>1236</v>
      </c>
      <c r="E431" s="25" t="s">
        <v>1237</v>
      </c>
      <c r="F431" s="25" t="s">
        <v>7212</v>
      </c>
      <c r="G431" s="25" t="s">
        <v>10955</v>
      </c>
      <c r="H431" s="25" t="s">
        <v>10959</v>
      </c>
      <c r="I431" s="25" t="s">
        <v>10958</v>
      </c>
      <c r="J431" s="26" t="s">
        <v>10759</v>
      </c>
      <c r="L431" s="13">
        <v>2009</v>
      </c>
      <c r="M431" s="14" t="s">
        <v>7307</v>
      </c>
      <c r="N431" s="14" t="s">
        <v>5267</v>
      </c>
      <c r="O431" s="14" t="s">
        <v>2057</v>
      </c>
      <c r="P431" s="15" t="s">
        <v>3117</v>
      </c>
      <c r="Q431" s="16">
        <v>30060731</v>
      </c>
      <c r="R431" s="17">
        <v>41791</v>
      </c>
      <c r="S431" s="16"/>
      <c r="T431" s="16" t="s">
        <v>50</v>
      </c>
      <c r="U431" s="14" t="s">
        <v>95</v>
      </c>
      <c r="V431" s="13">
        <v>4</v>
      </c>
      <c r="W431" s="17">
        <v>44021</v>
      </c>
      <c r="X431" s="14" t="s">
        <v>5544</v>
      </c>
      <c r="Y431" s="17">
        <v>42920</v>
      </c>
      <c r="Z431" s="17">
        <v>41851</v>
      </c>
      <c r="AA431" s="14" t="s">
        <v>4995</v>
      </c>
      <c r="AB431" s="14" t="s">
        <v>5578</v>
      </c>
      <c r="AC431" s="14" t="s">
        <v>10031</v>
      </c>
      <c r="AD431" s="20" t="str">
        <f t="shared" si="26"/>
        <v>Online Grocery &gt; B2C Ecommerce &gt; Fruits and Vegetables &gt; Retailer &gt; Organic
Crop Tech &gt; ECommerce &gt; Farm Produce &gt; B2C &gt; Fruits and Vegetables &gt; Retailer</v>
      </c>
      <c r="AE431" s="20" t="str">
        <f t="shared" si="28"/>
        <v>Online Grocery</v>
      </c>
      <c r="AF431" s="20" t="str">
        <f t="shared" si="27"/>
        <v>B2C Ecommerce</v>
      </c>
      <c r="AG431" s="20" t="str">
        <f t="shared" si="27"/>
        <v>Fruits and Vegetables</v>
      </c>
      <c r="AH431" s="20" t="str">
        <f t="shared" si="27"/>
        <v>Retailer</v>
      </c>
      <c r="AI431" s="20" t="str">
        <f t="shared" si="27"/>
        <v>Organic
Crop Tech</v>
      </c>
      <c r="AJ431" s="20" t="str">
        <f t="shared" si="27"/>
        <v>ECommerce</v>
      </c>
      <c r="AK431" s="20" t="str">
        <f t="shared" si="27"/>
        <v>Farm Produce</v>
      </c>
      <c r="AL431" s="14" t="s">
        <v>10032</v>
      </c>
      <c r="AM431" s="14"/>
      <c r="AO431" s="14"/>
      <c r="AP431" s="14" t="s">
        <v>2057</v>
      </c>
      <c r="AQ431" s="14"/>
      <c r="AR431" s="14"/>
      <c r="AS431" s="14" t="s">
        <v>10034</v>
      </c>
      <c r="AT431" s="14" t="s">
        <v>10035</v>
      </c>
      <c r="AU431" s="14" t="s">
        <v>10036</v>
      </c>
      <c r="AV431" s="18" t="s">
        <v>10037</v>
      </c>
      <c r="AW431" s="16"/>
      <c r="AX431" s="17"/>
      <c r="AY431" s="15" t="s">
        <v>3123</v>
      </c>
      <c r="AZ431" s="17"/>
      <c r="BA431" s="16"/>
      <c r="BB431" s="14"/>
      <c r="BC431" s="14"/>
      <c r="BD431" s="15" t="s">
        <v>3123</v>
      </c>
      <c r="BE431" s="14"/>
      <c r="BF431" s="17"/>
      <c r="BG431" s="16"/>
      <c r="BH431" s="14"/>
      <c r="BI431" s="15" t="s">
        <v>3123</v>
      </c>
      <c r="BJ431" s="14"/>
      <c r="BK431" s="17"/>
      <c r="BL431" s="16"/>
      <c r="BM431" s="16"/>
      <c r="BN431" s="16"/>
      <c r="BO431" s="16"/>
      <c r="BP431" s="15" t="s">
        <v>3123</v>
      </c>
      <c r="BQ431" s="17"/>
      <c r="BR431" s="14"/>
      <c r="BS431" s="14"/>
      <c r="BT431" s="16"/>
      <c r="BU431" s="16"/>
      <c r="BV431" s="13"/>
      <c r="BW431" s="18" t="s">
        <v>10038</v>
      </c>
      <c r="BX431" s="13">
        <v>200</v>
      </c>
      <c r="BY431" s="17">
        <v>44118</v>
      </c>
      <c r="BZ431" s="18" t="s">
        <v>10039</v>
      </c>
      <c r="CA431" s="18"/>
      <c r="CB431" s="18"/>
      <c r="CC431" s="18"/>
      <c r="CD431" s="14" t="s">
        <v>10040</v>
      </c>
      <c r="CE431" s="17">
        <v>42220</v>
      </c>
      <c r="CF431" s="16"/>
      <c r="CG431" s="17"/>
      <c r="CH431" s="16"/>
      <c r="CI431" s="17"/>
      <c r="CJ431" s="16"/>
      <c r="CK431" s="17"/>
      <c r="CL431" s="16"/>
      <c r="CM431" s="17"/>
      <c r="CN431" s="19">
        <v>41.967492021949752</v>
      </c>
      <c r="CO431" s="19"/>
      <c r="CP431" s="17"/>
      <c r="CQ431" s="14" t="s">
        <v>6487</v>
      </c>
      <c r="CR431" s="14" t="s">
        <v>5944</v>
      </c>
      <c r="CS431" s="14" t="s">
        <v>5945</v>
      </c>
    </row>
    <row r="432" spans="1:97" ht="26.15" customHeight="1">
      <c r="A432" s="2">
        <v>126</v>
      </c>
      <c r="B432" s="25" t="s">
        <v>1602</v>
      </c>
      <c r="C432" s="25" t="e">
        <f>VLOOKUP(B432, Sheet6!$A$1:$B$77, 2, FALSE)</f>
        <v>#N/A</v>
      </c>
      <c r="D432" s="25" t="s">
        <v>1603</v>
      </c>
      <c r="E432" s="25" t="s">
        <v>1604</v>
      </c>
      <c r="F432" s="25" t="s">
        <v>6648</v>
      </c>
      <c r="G432" s="25" t="s">
        <v>10952</v>
      </c>
      <c r="H432" s="25" t="s">
        <v>10959</v>
      </c>
      <c r="I432" s="25" t="s">
        <v>10958</v>
      </c>
      <c r="J432" s="26" t="s">
        <v>10731</v>
      </c>
      <c r="L432" s="13">
        <v>2012</v>
      </c>
      <c r="M432" s="14" t="s">
        <v>6279</v>
      </c>
      <c r="N432" s="14" t="s">
        <v>6280</v>
      </c>
      <c r="O432" s="14" t="s">
        <v>6281</v>
      </c>
      <c r="P432" s="15" t="s">
        <v>3117</v>
      </c>
      <c r="Q432" s="16"/>
      <c r="R432" s="17">
        <v>42465</v>
      </c>
      <c r="S432" s="16"/>
      <c r="T432" s="16" t="s">
        <v>50</v>
      </c>
      <c r="U432" s="14" t="s">
        <v>5630</v>
      </c>
      <c r="V432" s="13"/>
      <c r="W432" s="17">
        <v>44026</v>
      </c>
      <c r="X432" s="14"/>
      <c r="Y432" s="17"/>
      <c r="Z432" s="17"/>
      <c r="AA432" s="14" t="s">
        <v>1</v>
      </c>
      <c r="AB432" s="14" t="s">
        <v>5007</v>
      </c>
      <c r="AC432" s="14" t="s">
        <v>10041</v>
      </c>
      <c r="AD432" s="20" t="str">
        <f t="shared" si="26"/>
        <v>Crop Tech &gt; Content Platforms &gt; Data as a Service &gt; Market Data &gt; Pricing Information</v>
      </c>
      <c r="AE432" s="20" t="str">
        <f t="shared" si="28"/>
        <v>Crop Tech</v>
      </c>
      <c r="AF432" s="20" t="str">
        <f t="shared" si="27"/>
        <v>Content Platforms</v>
      </c>
      <c r="AG432" s="20" t="str">
        <f t="shared" si="27"/>
        <v>Data as a Service</v>
      </c>
      <c r="AH432" s="20" t="str">
        <f t="shared" si="27"/>
        <v>Market Data</v>
      </c>
      <c r="AI432" s="20" t="str">
        <f t="shared" si="27"/>
        <v>Pricing Information</v>
      </c>
      <c r="AJ432" s="20" t="str">
        <f t="shared" si="27"/>
        <v/>
      </c>
      <c r="AK432" s="20" t="str">
        <f t="shared" si="27"/>
        <v/>
      </c>
      <c r="AL432" s="14" t="s">
        <v>798</v>
      </c>
      <c r="AM432" s="14"/>
      <c r="AO432" s="14"/>
      <c r="AP432" s="14" t="s">
        <v>6281</v>
      </c>
      <c r="AQ432" s="14" t="s">
        <v>10043</v>
      </c>
      <c r="AR432" s="14"/>
      <c r="AS432" s="14" t="s">
        <v>10044</v>
      </c>
      <c r="AT432" s="14" t="s">
        <v>10045</v>
      </c>
      <c r="AU432" s="14" t="s">
        <v>10046</v>
      </c>
      <c r="AV432" s="18" t="s">
        <v>10047</v>
      </c>
      <c r="AW432" s="16"/>
      <c r="AX432" s="17"/>
      <c r="AY432" s="15" t="s">
        <v>3123</v>
      </c>
      <c r="AZ432" s="17"/>
      <c r="BA432" s="16"/>
      <c r="BB432" s="14"/>
      <c r="BC432" s="14"/>
      <c r="BD432" s="15" t="s">
        <v>3123</v>
      </c>
      <c r="BE432" s="14"/>
      <c r="BF432" s="17"/>
      <c r="BG432" s="16"/>
      <c r="BH432" s="14"/>
      <c r="BI432" s="15" t="s">
        <v>3123</v>
      </c>
      <c r="BJ432" s="14"/>
      <c r="BK432" s="17"/>
      <c r="BL432" s="16"/>
      <c r="BM432" s="16"/>
      <c r="BN432" s="16"/>
      <c r="BO432" s="16"/>
      <c r="BP432" s="15" t="s">
        <v>3117</v>
      </c>
      <c r="BQ432" s="17">
        <v>42522</v>
      </c>
      <c r="BR432" s="14"/>
      <c r="BS432" s="14"/>
      <c r="BT432" s="16"/>
      <c r="BU432" s="16"/>
      <c r="BV432" s="13"/>
      <c r="BW432" s="18" t="s">
        <v>10048</v>
      </c>
      <c r="BX432" s="13">
        <v>301</v>
      </c>
      <c r="BY432" s="17">
        <v>44093</v>
      </c>
      <c r="BZ432" s="18" t="s">
        <v>10049</v>
      </c>
      <c r="CA432" s="18" t="s">
        <v>10050</v>
      </c>
      <c r="CB432" s="18" t="s">
        <v>10051</v>
      </c>
      <c r="CC432" s="18" t="s">
        <v>10052</v>
      </c>
      <c r="CD432" s="14" t="s">
        <v>10053</v>
      </c>
      <c r="CE432" s="17">
        <v>43032</v>
      </c>
      <c r="CF432" s="16"/>
      <c r="CG432" s="17"/>
      <c r="CH432" s="16"/>
      <c r="CI432" s="17"/>
      <c r="CJ432" s="16"/>
      <c r="CK432" s="17"/>
      <c r="CL432" s="16"/>
      <c r="CM432" s="17"/>
      <c r="CN432" s="19">
        <v>25.536891705008166</v>
      </c>
      <c r="CO432" s="19"/>
      <c r="CP432" s="17"/>
      <c r="CQ432" s="14"/>
      <c r="CR432" s="14" t="s">
        <v>6508</v>
      </c>
      <c r="CS432" s="14" t="s">
        <v>6509</v>
      </c>
    </row>
    <row r="433" spans="1:97" ht="26.15" customHeight="1">
      <c r="A433" s="2">
        <v>355</v>
      </c>
      <c r="B433" s="25" t="s">
        <v>2279</v>
      </c>
      <c r="C433" s="25" t="e">
        <f>VLOOKUP(B433, Sheet6!$A$1:$B$77, 2, FALSE)</f>
        <v>#N/A</v>
      </c>
      <c r="D433" s="25" t="s">
        <v>2280</v>
      </c>
      <c r="E433" s="25" t="s">
        <v>2281</v>
      </c>
      <c r="F433" s="25" t="s">
        <v>9099</v>
      </c>
      <c r="G433" s="25" t="s">
        <v>10955</v>
      </c>
      <c r="H433" s="25" t="s">
        <v>10959</v>
      </c>
      <c r="I433" s="25" t="s">
        <v>10968</v>
      </c>
      <c r="J433" s="25" t="s">
        <v>10765</v>
      </c>
      <c r="L433" s="13">
        <v>2004</v>
      </c>
      <c r="M433" s="14" t="s">
        <v>10054</v>
      </c>
      <c r="N433" s="14" t="s">
        <v>6381</v>
      </c>
      <c r="O433" s="14" t="s">
        <v>4343</v>
      </c>
      <c r="P433" s="15" t="s">
        <v>3117</v>
      </c>
      <c r="Q433" s="16"/>
      <c r="R433" s="17">
        <v>42325</v>
      </c>
      <c r="S433" s="16"/>
      <c r="T433" s="16" t="s">
        <v>50</v>
      </c>
      <c r="U433" s="14" t="s">
        <v>5630</v>
      </c>
      <c r="V433" s="13"/>
      <c r="W433" s="17"/>
      <c r="X433" s="14"/>
      <c r="Y433" s="17"/>
      <c r="Z433" s="17"/>
      <c r="AA433" s="14" t="s">
        <v>1</v>
      </c>
      <c r="AB433" s="14" t="s">
        <v>5135</v>
      </c>
      <c r="AC433" s="14" t="s">
        <v>2595</v>
      </c>
      <c r="AD433" s="20" t="str">
        <f t="shared" si="26"/>
        <v>Aquaculture Tech &gt; Fisheries &gt; Diversified</v>
      </c>
      <c r="AE433" s="20" t="str">
        <f t="shared" si="28"/>
        <v>Aquaculture Tech</v>
      </c>
      <c r="AF433" s="20" t="str">
        <f t="shared" si="27"/>
        <v>Fisheries</v>
      </c>
      <c r="AG433" s="20" t="str">
        <f t="shared" si="27"/>
        <v>Diversified</v>
      </c>
      <c r="AH433" s="20" t="str">
        <f t="shared" si="27"/>
        <v/>
      </c>
      <c r="AI433" s="20" t="str">
        <f t="shared" si="27"/>
        <v/>
      </c>
      <c r="AJ433" s="20" t="str">
        <f t="shared" si="27"/>
        <v/>
      </c>
      <c r="AK433" s="20" t="str">
        <f t="shared" si="27"/>
        <v/>
      </c>
      <c r="AL433" s="14" t="s">
        <v>10055</v>
      </c>
      <c r="AM433" s="14"/>
      <c r="AO433" s="14"/>
      <c r="AP433" s="14" t="s">
        <v>4343</v>
      </c>
      <c r="AQ433" s="14"/>
      <c r="AR433" s="14"/>
      <c r="AS433" s="14" t="s">
        <v>10057</v>
      </c>
      <c r="AT433" s="14" t="s">
        <v>10058</v>
      </c>
      <c r="AU433" s="14" t="s">
        <v>10059</v>
      </c>
      <c r="AV433" s="18" t="s">
        <v>10060</v>
      </c>
      <c r="AW433" s="16"/>
      <c r="AX433" s="17"/>
      <c r="AY433" s="15" t="s">
        <v>3123</v>
      </c>
      <c r="AZ433" s="17"/>
      <c r="BA433" s="16"/>
      <c r="BB433" s="14"/>
      <c r="BC433" s="14"/>
      <c r="BD433" s="15" t="s">
        <v>3123</v>
      </c>
      <c r="BE433" s="14"/>
      <c r="BF433" s="17"/>
      <c r="BG433" s="16"/>
      <c r="BH433" s="14"/>
      <c r="BI433" s="15" t="s">
        <v>3123</v>
      </c>
      <c r="BJ433" s="14"/>
      <c r="BK433" s="17"/>
      <c r="BL433" s="16"/>
      <c r="BM433" s="16"/>
      <c r="BN433" s="16"/>
      <c r="BO433" s="16"/>
      <c r="BP433" s="15" t="s">
        <v>3117</v>
      </c>
      <c r="BQ433" s="17"/>
      <c r="BR433" s="14"/>
      <c r="BS433" s="14"/>
      <c r="BT433" s="16"/>
      <c r="BU433" s="16"/>
      <c r="BV433" s="13"/>
      <c r="BW433" s="18" t="s">
        <v>10061</v>
      </c>
      <c r="BX433" s="13">
        <v>-1</v>
      </c>
      <c r="BY433" s="17">
        <v>44118</v>
      </c>
      <c r="BZ433" s="18" t="s">
        <v>10062</v>
      </c>
      <c r="CA433" s="18"/>
      <c r="CB433" s="18" t="s">
        <v>10063</v>
      </c>
      <c r="CC433" s="18"/>
      <c r="CD433" s="14" t="s">
        <v>10064</v>
      </c>
      <c r="CE433" s="17">
        <v>42934</v>
      </c>
      <c r="CF433" s="16"/>
      <c r="CG433" s="17"/>
      <c r="CH433" s="16"/>
      <c r="CI433" s="17"/>
      <c r="CJ433" s="16"/>
      <c r="CK433" s="17"/>
      <c r="CL433" s="16"/>
      <c r="CM433" s="17"/>
      <c r="CN433" s="19">
        <v>23.352084383531214</v>
      </c>
      <c r="CO433" s="19"/>
      <c r="CP433" s="17"/>
      <c r="CQ433" s="14" t="s">
        <v>5345</v>
      </c>
      <c r="CR433" s="14" t="s">
        <v>7272</v>
      </c>
      <c r="CS433" s="14" t="s">
        <v>5945</v>
      </c>
    </row>
    <row r="434" spans="1:97" ht="26.15" customHeight="1">
      <c r="A434" s="2">
        <v>431</v>
      </c>
      <c r="B434" s="25" t="s">
        <v>2271</v>
      </c>
      <c r="C434" s="25" t="e">
        <f>VLOOKUP(B434, Sheet6!$A$1:$B$77, 2, FALSE)</f>
        <v>#N/A</v>
      </c>
      <c r="D434" s="25" t="s">
        <v>2272</v>
      </c>
      <c r="E434" s="25" t="s">
        <v>2276</v>
      </c>
      <c r="F434" s="25" t="s">
        <v>9524</v>
      </c>
      <c r="G434" s="25" t="s">
        <v>10955</v>
      </c>
      <c r="H434" s="25" t="s">
        <v>10967</v>
      </c>
      <c r="I434" s="25" t="s">
        <v>10558</v>
      </c>
      <c r="J434" s="25" t="s">
        <v>10821</v>
      </c>
      <c r="L434" s="13">
        <v>2003</v>
      </c>
      <c r="M434" s="14" t="s">
        <v>5020</v>
      </c>
      <c r="N434" s="14" t="s">
        <v>5021</v>
      </c>
      <c r="O434" s="14" t="s">
        <v>3994</v>
      </c>
      <c r="P434" s="15" t="s">
        <v>3117</v>
      </c>
      <c r="Q434" s="16">
        <v>11768115</v>
      </c>
      <c r="R434" s="17">
        <v>43084</v>
      </c>
      <c r="S434" s="16" t="s">
        <v>6481</v>
      </c>
      <c r="T434" s="16">
        <v>6269920</v>
      </c>
      <c r="U434" s="14" t="s">
        <v>95</v>
      </c>
      <c r="V434" s="13">
        <v>5</v>
      </c>
      <c r="W434" s="17">
        <v>44022</v>
      </c>
      <c r="X434" s="14" t="s">
        <v>5052</v>
      </c>
      <c r="Y434" s="17">
        <v>44027</v>
      </c>
      <c r="Z434" s="17">
        <v>42217</v>
      </c>
      <c r="AA434" s="14" t="s">
        <v>1</v>
      </c>
      <c r="AB434" s="14" t="s">
        <v>5007</v>
      </c>
      <c r="AC434" s="14" t="s">
        <v>8607</v>
      </c>
      <c r="AD434" s="20" t="str">
        <f t="shared" si="26"/>
        <v>Crop Tech &gt; Farm Management Software &gt; Weather Forecasting</v>
      </c>
      <c r="AE434" s="20" t="str">
        <f t="shared" si="28"/>
        <v>Crop Tech</v>
      </c>
      <c r="AF434" s="20" t="str">
        <f t="shared" si="27"/>
        <v>Farm Management Software</v>
      </c>
      <c r="AG434" s="20" t="str">
        <f t="shared" si="27"/>
        <v>Weather Forecasting</v>
      </c>
      <c r="AH434" s="20" t="str">
        <f t="shared" si="27"/>
        <v/>
      </c>
      <c r="AI434" s="20" t="str">
        <f t="shared" si="27"/>
        <v/>
      </c>
      <c r="AJ434" s="20" t="str">
        <f t="shared" si="27"/>
        <v/>
      </c>
      <c r="AK434" s="20" t="str">
        <f t="shared" si="27"/>
        <v/>
      </c>
      <c r="AL434" s="14" t="s">
        <v>8636</v>
      </c>
      <c r="AM434" s="14"/>
      <c r="AO434" s="14"/>
      <c r="AP434" s="14" t="s">
        <v>3994</v>
      </c>
      <c r="AQ434" s="14"/>
      <c r="AR434" s="14" t="s">
        <v>8638</v>
      </c>
      <c r="AS434" s="14" t="s">
        <v>8639</v>
      </c>
      <c r="AT434" s="14" t="s">
        <v>8640</v>
      </c>
      <c r="AU434" s="14" t="s">
        <v>8641</v>
      </c>
      <c r="AV434" s="18" t="s">
        <v>8642</v>
      </c>
      <c r="AW434" s="16">
        <v>5827100</v>
      </c>
      <c r="AX434" s="17">
        <v>43465</v>
      </c>
      <c r="AY434" s="15" t="s">
        <v>3117</v>
      </c>
      <c r="AZ434" s="17">
        <v>38132</v>
      </c>
      <c r="BA434" s="16">
        <v>2205</v>
      </c>
      <c r="BB434" s="14"/>
      <c r="BC434" s="14"/>
      <c r="BD434" s="15" t="s">
        <v>3123</v>
      </c>
      <c r="BE434" s="14"/>
      <c r="BF434" s="17"/>
      <c r="BG434" s="16"/>
      <c r="BH434" s="14"/>
      <c r="BI434" s="15" t="s">
        <v>3123</v>
      </c>
      <c r="BJ434" s="14"/>
      <c r="BK434" s="17"/>
      <c r="BL434" s="16"/>
      <c r="BM434" s="16"/>
      <c r="BN434" s="16"/>
      <c r="BO434" s="16"/>
      <c r="BP434" s="15" t="s">
        <v>3123</v>
      </c>
      <c r="BQ434" s="17"/>
      <c r="BR434" s="14"/>
      <c r="BS434" s="14"/>
      <c r="BT434" s="16"/>
      <c r="BU434" s="16"/>
      <c r="BV434" s="13"/>
      <c r="BW434" s="18" t="s">
        <v>8643</v>
      </c>
      <c r="BX434" s="13">
        <v>200</v>
      </c>
      <c r="BY434" s="17">
        <v>44118</v>
      </c>
      <c r="BZ434" s="18" t="s">
        <v>8644</v>
      </c>
      <c r="CA434" s="18" t="s">
        <v>8645</v>
      </c>
      <c r="CB434" s="18" t="s">
        <v>8646</v>
      </c>
      <c r="CC434" s="18"/>
      <c r="CD434" s="14" t="s">
        <v>8647</v>
      </c>
      <c r="CE434" s="17">
        <v>43091</v>
      </c>
      <c r="CF434" s="16">
        <v>-893800</v>
      </c>
      <c r="CG434" s="17">
        <v>43465</v>
      </c>
      <c r="CH434" s="16">
        <v>148600</v>
      </c>
      <c r="CI434" s="17">
        <v>43465</v>
      </c>
      <c r="CJ434" s="16">
        <v>30000000</v>
      </c>
      <c r="CK434" s="17">
        <v>43084</v>
      </c>
      <c r="CL434" s="16">
        <v>304</v>
      </c>
      <c r="CM434" s="17">
        <v>43921</v>
      </c>
      <c r="CN434" s="19">
        <v>58.989904437095511</v>
      </c>
      <c r="CO434" s="19"/>
      <c r="CP434" s="17"/>
      <c r="CQ434" s="14" t="s">
        <v>5345</v>
      </c>
      <c r="CR434" s="14" t="s">
        <v>7272</v>
      </c>
      <c r="CS434" s="14" t="s">
        <v>5945</v>
      </c>
    </row>
    <row r="435" spans="1:97" ht="26.15" customHeight="1">
      <c r="A435" s="2">
        <v>78</v>
      </c>
      <c r="B435" s="25" t="s">
        <v>1196</v>
      </c>
      <c r="C435" s="25" t="e">
        <f>VLOOKUP(B435, Sheet6!$A$1:$B$77, 2, FALSE)</f>
        <v>#N/A</v>
      </c>
      <c r="D435" s="25" t="s">
        <v>1197</v>
      </c>
      <c r="E435" s="25" t="s">
        <v>389</v>
      </c>
      <c r="F435" s="25" t="s">
        <v>6021</v>
      </c>
      <c r="G435" s="25" t="s">
        <v>10955</v>
      </c>
      <c r="H435" s="25" t="s">
        <v>10959</v>
      </c>
      <c r="I435" s="25" t="s">
        <v>10958</v>
      </c>
      <c r="J435" s="26" t="s">
        <v>10852</v>
      </c>
      <c r="L435" s="13">
        <v>1999</v>
      </c>
      <c r="M435" s="14" t="s">
        <v>7608</v>
      </c>
      <c r="N435" s="14" t="s">
        <v>7609</v>
      </c>
      <c r="O435" s="14" t="s">
        <v>4343</v>
      </c>
      <c r="P435" s="15" t="s">
        <v>3117</v>
      </c>
      <c r="Q435" s="16">
        <v>37500000</v>
      </c>
      <c r="R435" s="17">
        <v>44096</v>
      </c>
      <c r="S435" s="16" t="s">
        <v>8665</v>
      </c>
      <c r="T435" s="16">
        <v>23500000</v>
      </c>
      <c r="U435" s="14" t="s">
        <v>95</v>
      </c>
      <c r="V435" s="13">
        <v>4</v>
      </c>
      <c r="W435" s="17">
        <v>44103</v>
      </c>
      <c r="X435" s="14" t="s">
        <v>5052</v>
      </c>
      <c r="Y435" s="17">
        <v>44102</v>
      </c>
      <c r="Z435" s="17">
        <v>44096</v>
      </c>
      <c r="AA435" s="14" t="s">
        <v>5041</v>
      </c>
      <c r="AB435" s="14" t="s">
        <v>5042</v>
      </c>
      <c r="AC435" s="14" t="s">
        <v>5486</v>
      </c>
      <c r="AD435" s="20" t="str">
        <f t="shared" si="26"/>
        <v>IoT Applications &gt; Industry Specific &gt; Agriculture &gt; Farms
Crop Tech &gt; Farm Analytics &gt; Multispectral Sensing</v>
      </c>
      <c r="AE435" s="20" t="str">
        <f t="shared" si="28"/>
        <v>IoT Applications</v>
      </c>
      <c r="AF435" s="20" t="str">
        <f t="shared" si="27"/>
        <v>Industry Specific</v>
      </c>
      <c r="AG435" s="20" t="str">
        <f t="shared" si="27"/>
        <v>Agriculture</v>
      </c>
      <c r="AH435" s="20" t="str">
        <f t="shared" si="27"/>
        <v>Farms
Crop Tech</v>
      </c>
      <c r="AI435" s="20" t="str">
        <f t="shared" si="27"/>
        <v>Farm Analytics</v>
      </c>
      <c r="AJ435" s="20" t="str">
        <f t="shared" si="27"/>
        <v>Multispectral Sensing</v>
      </c>
      <c r="AK435" s="20" t="str">
        <f t="shared" si="27"/>
        <v/>
      </c>
      <c r="AL435" s="14" t="s">
        <v>8666</v>
      </c>
      <c r="AM435" s="14"/>
      <c r="AO435" s="14"/>
      <c r="AP435" s="14" t="s">
        <v>4343</v>
      </c>
      <c r="AQ435" s="14" t="s">
        <v>8668</v>
      </c>
      <c r="AR435" s="14"/>
      <c r="AS435" s="14" t="s">
        <v>8669</v>
      </c>
      <c r="AT435" s="14" t="s">
        <v>8670</v>
      </c>
      <c r="AU435" s="14" t="s">
        <v>8671</v>
      </c>
      <c r="AV435" s="18" t="s">
        <v>8672</v>
      </c>
      <c r="AW435" s="16"/>
      <c r="AX435" s="17"/>
      <c r="AY435" s="15" t="s">
        <v>3123</v>
      </c>
      <c r="AZ435" s="17"/>
      <c r="BA435" s="16"/>
      <c r="BB435" s="14"/>
      <c r="BC435" s="14"/>
      <c r="BD435" s="15" t="s">
        <v>3123</v>
      </c>
      <c r="BE435" s="14"/>
      <c r="BF435" s="17"/>
      <c r="BG435" s="16"/>
      <c r="BH435" s="14"/>
      <c r="BI435" s="15" t="s">
        <v>3123</v>
      </c>
      <c r="BJ435" s="14"/>
      <c r="BK435" s="17"/>
      <c r="BL435" s="16"/>
      <c r="BM435" s="16"/>
      <c r="BN435" s="16"/>
      <c r="BO435" s="16"/>
      <c r="BP435" s="15" t="s">
        <v>3123</v>
      </c>
      <c r="BQ435" s="17"/>
      <c r="BR435" s="14"/>
      <c r="BS435" s="14"/>
      <c r="BT435" s="16"/>
      <c r="BU435" s="16"/>
      <c r="BV435" s="13"/>
      <c r="BW435" s="18" t="s">
        <v>8673</v>
      </c>
      <c r="BX435" s="13">
        <v>200</v>
      </c>
      <c r="BY435" s="17">
        <v>44118</v>
      </c>
      <c r="BZ435" s="18" t="s">
        <v>8674</v>
      </c>
      <c r="CA435" s="18" t="s">
        <v>8675</v>
      </c>
      <c r="CB435" s="18"/>
      <c r="CC435" s="18"/>
      <c r="CD435" s="14" t="s">
        <v>8676</v>
      </c>
      <c r="CE435" s="17">
        <v>42929</v>
      </c>
      <c r="CF435" s="16"/>
      <c r="CG435" s="17"/>
      <c r="CH435" s="16"/>
      <c r="CI435" s="17"/>
      <c r="CJ435" s="16"/>
      <c r="CK435" s="17"/>
      <c r="CL435" s="16"/>
      <c r="CM435" s="17"/>
      <c r="CN435" s="19">
        <v>55.081785322541194</v>
      </c>
      <c r="CO435" s="19"/>
      <c r="CP435" s="17"/>
      <c r="CQ435" s="14" t="s">
        <v>7284</v>
      </c>
      <c r="CR435" s="14" t="s">
        <v>6002</v>
      </c>
      <c r="CS435" s="14" t="s">
        <v>5945</v>
      </c>
    </row>
    <row r="436" spans="1:97" ht="26.15" customHeight="1">
      <c r="A436" s="2">
        <v>187</v>
      </c>
      <c r="B436" s="25" t="s">
        <v>1876</v>
      </c>
      <c r="C436" s="25" t="e">
        <f>VLOOKUP(B436, Sheet6!$A$1:$B$77, 2, FALSE)</f>
        <v>#N/A</v>
      </c>
      <c r="D436" s="25" t="s">
        <v>1877</v>
      </c>
      <c r="E436" s="25" t="s">
        <v>942</v>
      </c>
      <c r="F436" s="25" t="s">
        <v>7371</v>
      </c>
      <c r="G436" s="25" t="s">
        <v>10952</v>
      </c>
      <c r="H436" s="25" t="s">
        <v>10959</v>
      </c>
      <c r="I436" s="25" t="s">
        <v>10958</v>
      </c>
      <c r="J436" s="26" t="s">
        <v>10870</v>
      </c>
      <c r="L436" s="13">
        <v>2008</v>
      </c>
      <c r="M436" s="14" t="s">
        <v>6826</v>
      </c>
      <c r="N436" s="14" t="s">
        <v>6004</v>
      </c>
      <c r="O436" s="14" t="s">
        <v>4343</v>
      </c>
      <c r="P436" s="15" t="s">
        <v>3117</v>
      </c>
      <c r="Q436" s="16"/>
      <c r="R436" s="17">
        <v>41625</v>
      </c>
      <c r="S436" s="16"/>
      <c r="T436" s="16" t="s">
        <v>50</v>
      </c>
      <c r="U436" s="14" t="s">
        <v>109</v>
      </c>
      <c r="V436" s="13"/>
      <c r="W436" s="17"/>
      <c r="X436" s="14"/>
      <c r="Y436" s="17"/>
      <c r="Z436" s="17"/>
      <c r="AA436" s="14" t="s">
        <v>1</v>
      </c>
      <c r="AB436" s="14" t="s">
        <v>5007</v>
      </c>
      <c r="AC436" s="14" t="s">
        <v>10065</v>
      </c>
      <c r="AD436" s="20" t="str">
        <f t="shared" si="26"/>
        <v>Crop Tech &gt; Farm Inputs &gt; Plant Breeding &gt; Management Solutions &gt; Analytics</v>
      </c>
      <c r="AE436" s="20" t="str">
        <f t="shared" si="28"/>
        <v>Crop Tech</v>
      </c>
      <c r="AF436" s="20" t="str">
        <f t="shared" si="27"/>
        <v>Farm Inputs</v>
      </c>
      <c r="AG436" s="20" t="str">
        <f t="shared" si="27"/>
        <v>Plant Breeding</v>
      </c>
      <c r="AH436" s="20" t="str">
        <f t="shared" si="27"/>
        <v>Management Solutions</v>
      </c>
      <c r="AI436" s="20" t="str">
        <f t="shared" si="27"/>
        <v>Analytics</v>
      </c>
      <c r="AJ436" s="20" t="str">
        <f t="shared" si="27"/>
        <v/>
      </c>
      <c r="AK436" s="20" t="str">
        <f t="shared" si="27"/>
        <v/>
      </c>
      <c r="AL436" s="14" t="s">
        <v>3630</v>
      </c>
      <c r="AM436" s="14"/>
      <c r="AO436" s="14"/>
      <c r="AP436" s="14" t="s">
        <v>4343</v>
      </c>
      <c r="AQ436" s="14"/>
      <c r="AR436" s="14"/>
      <c r="AS436" s="14" t="s">
        <v>10067</v>
      </c>
      <c r="AT436" s="14" t="s">
        <v>10068</v>
      </c>
      <c r="AU436" s="14" t="s">
        <v>10069</v>
      </c>
      <c r="AV436" s="18" t="s">
        <v>10070</v>
      </c>
      <c r="AW436" s="16"/>
      <c r="AX436" s="17"/>
      <c r="AY436" s="15" t="s">
        <v>3123</v>
      </c>
      <c r="AZ436" s="17"/>
      <c r="BA436" s="16"/>
      <c r="BB436" s="14"/>
      <c r="BC436" s="14"/>
      <c r="BD436" s="15" t="s">
        <v>3123</v>
      </c>
      <c r="BE436" s="14"/>
      <c r="BF436" s="17"/>
      <c r="BG436" s="16"/>
      <c r="BH436" s="14"/>
      <c r="BI436" s="15" t="s">
        <v>3123</v>
      </c>
      <c r="BJ436" s="14"/>
      <c r="BK436" s="17"/>
      <c r="BL436" s="16"/>
      <c r="BM436" s="16"/>
      <c r="BN436" s="16"/>
      <c r="BO436" s="16"/>
      <c r="BP436" s="15" t="s">
        <v>3123</v>
      </c>
      <c r="BQ436" s="17"/>
      <c r="BR436" s="14"/>
      <c r="BS436" s="14"/>
      <c r="BT436" s="16"/>
      <c r="BU436" s="16"/>
      <c r="BV436" s="13"/>
      <c r="BW436" s="18" t="s">
        <v>10071</v>
      </c>
      <c r="BX436" s="13">
        <v>200</v>
      </c>
      <c r="BY436" s="17">
        <v>44118</v>
      </c>
      <c r="BZ436" s="18" t="s">
        <v>10072</v>
      </c>
      <c r="CA436" s="18"/>
      <c r="CB436" s="18"/>
      <c r="CC436" s="18"/>
      <c r="CD436" s="14" t="s">
        <v>10073</v>
      </c>
      <c r="CE436" s="17">
        <v>43056</v>
      </c>
      <c r="CF436" s="16"/>
      <c r="CG436" s="17"/>
      <c r="CH436" s="16"/>
      <c r="CI436" s="17"/>
      <c r="CJ436" s="16"/>
      <c r="CK436" s="17"/>
      <c r="CL436" s="16"/>
      <c r="CM436" s="17"/>
      <c r="CN436" s="19">
        <v>31.422606494164825</v>
      </c>
      <c r="CO436" s="19"/>
      <c r="CP436" s="17"/>
      <c r="CQ436" s="14" t="s">
        <v>7284</v>
      </c>
      <c r="CR436" s="14" t="s">
        <v>6002</v>
      </c>
      <c r="CS436" s="14" t="s">
        <v>5945</v>
      </c>
    </row>
    <row r="437" spans="1:97" ht="26.15" customHeight="1">
      <c r="A437" s="2">
        <v>401</v>
      </c>
      <c r="B437" s="25" t="s">
        <v>2284</v>
      </c>
      <c r="C437" s="25" t="e">
        <f>VLOOKUP(B437, Sheet6!$A$1:$B$77, 2, FALSE)</f>
        <v>#N/A</v>
      </c>
      <c r="D437" s="25" t="s">
        <v>2285</v>
      </c>
      <c r="E437" s="25" t="s">
        <v>2286</v>
      </c>
      <c r="F437" s="25" t="s">
        <v>9323</v>
      </c>
      <c r="G437" s="25" t="s">
        <v>10955</v>
      </c>
      <c r="H437" s="25" t="s">
        <v>10967</v>
      </c>
      <c r="I437" s="25" t="s">
        <v>10558</v>
      </c>
      <c r="J437" s="25" t="s">
        <v>10718</v>
      </c>
      <c r="L437" s="13">
        <v>2004</v>
      </c>
      <c r="M437" s="14" t="s">
        <v>6826</v>
      </c>
      <c r="N437" s="14" t="s">
        <v>6004</v>
      </c>
      <c r="O437" s="14" t="s">
        <v>4343</v>
      </c>
      <c r="P437" s="15" t="s">
        <v>3117</v>
      </c>
      <c r="Q437" s="16">
        <v>10300000</v>
      </c>
      <c r="R437" s="17">
        <v>42302</v>
      </c>
      <c r="S437" s="16" t="s">
        <v>5165</v>
      </c>
      <c r="T437" s="16">
        <v>10000000</v>
      </c>
      <c r="U437" s="14" t="s">
        <v>34</v>
      </c>
      <c r="V437" s="13"/>
      <c r="W437" s="17"/>
      <c r="X437" s="14"/>
      <c r="Y437" s="17"/>
      <c r="Z437" s="17"/>
      <c r="AA437" s="14" t="s">
        <v>1</v>
      </c>
      <c r="AB437" s="14" t="s">
        <v>5007</v>
      </c>
      <c r="AC437" s="14" t="s">
        <v>6482</v>
      </c>
      <c r="AD437" s="20" t="str">
        <f t="shared" si="26"/>
        <v>Crop Tech &gt; Farm Inputs &gt; Seeds &gt; Field Crops &gt; Hybrid</v>
      </c>
      <c r="AE437" s="20" t="str">
        <f t="shared" si="28"/>
        <v>Crop Tech</v>
      </c>
      <c r="AF437" s="20" t="str">
        <f t="shared" si="27"/>
        <v>Farm Inputs</v>
      </c>
      <c r="AG437" s="20" t="str">
        <f t="shared" si="27"/>
        <v>Seeds</v>
      </c>
      <c r="AH437" s="20" t="str">
        <f t="shared" si="27"/>
        <v>Field Crops</v>
      </c>
      <c r="AI437" s="20" t="str">
        <f t="shared" si="27"/>
        <v>Hybrid</v>
      </c>
      <c r="AJ437" s="20" t="str">
        <f t="shared" si="27"/>
        <v/>
      </c>
      <c r="AK437" s="20" t="str">
        <f t="shared" si="27"/>
        <v/>
      </c>
      <c r="AL437" s="14" t="s">
        <v>247</v>
      </c>
      <c r="AM437" s="14"/>
      <c r="AO437" s="14"/>
      <c r="AP437" s="14" t="s">
        <v>4343</v>
      </c>
      <c r="AQ437" s="14"/>
      <c r="AR437" s="14"/>
      <c r="AS437" s="14" t="s">
        <v>10075</v>
      </c>
      <c r="AT437" s="14" t="s">
        <v>10076</v>
      </c>
      <c r="AU437" s="14" t="s">
        <v>10077</v>
      </c>
      <c r="AV437" s="18" t="s">
        <v>10078</v>
      </c>
      <c r="AW437" s="16"/>
      <c r="AX437" s="17"/>
      <c r="AY437" s="15" t="s">
        <v>3123</v>
      </c>
      <c r="AZ437" s="17"/>
      <c r="BA437" s="16"/>
      <c r="BB437" s="14"/>
      <c r="BC437" s="14"/>
      <c r="BD437" s="15" t="s">
        <v>3123</v>
      </c>
      <c r="BE437" s="14"/>
      <c r="BF437" s="17"/>
      <c r="BG437" s="16"/>
      <c r="BH437" s="14"/>
      <c r="BI437" s="15" t="s">
        <v>3123</v>
      </c>
      <c r="BJ437" s="14"/>
      <c r="BK437" s="17"/>
      <c r="BL437" s="16"/>
      <c r="BM437" s="16"/>
      <c r="BN437" s="16"/>
      <c r="BO437" s="16"/>
      <c r="BP437" s="15" t="s">
        <v>3123</v>
      </c>
      <c r="BQ437" s="17"/>
      <c r="BR437" s="14"/>
      <c r="BS437" s="14"/>
      <c r="BT437" s="16"/>
      <c r="BU437" s="16"/>
      <c r="BV437" s="13"/>
      <c r="BW437" s="18" t="s">
        <v>10079</v>
      </c>
      <c r="BX437" s="13">
        <v>200</v>
      </c>
      <c r="BY437" s="17">
        <v>44117</v>
      </c>
      <c r="BZ437" s="18" t="s">
        <v>10080</v>
      </c>
      <c r="CA437" s="18" t="s">
        <v>10081</v>
      </c>
      <c r="CB437" s="18" t="s">
        <v>10082</v>
      </c>
      <c r="CC437" s="18"/>
      <c r="CD437" s="14" t="s">
        <v>10083</v>
      </c>
      <c r="CE437" s="17">
        <v>42983</v>
      </c>
      <c r="CF437" s="16"/>
      <c r="CG437" s="17"/>
      <c r="CH437" s="16"/>
      <c r="CI437" s="17"/>
      <c r="CJ437" s="16"/>
      <c r="CK437" s="17"/>
      <c r="CL437" s="16"/>
      <c r="CM437" s="17"/>
      <c r="CN437" s="19">
        <v>44.525116947177267</v>
      </c>
      <c r="CO437" s="19"/>
      <c r="CP437" s="17"/>
      <c r="CQ437" s="14" t="s">
        <v>5345</v>
      </c>
      <c r="CR437" s="14" t="s">
        <v>7272</v>
      </c>
      <c r="CS437" s="14" t="s">
        <v>5945</v>
      </c>
    </row>
    <row r="438" spans="1:97" ht="26.15" customHeight="1">
      <c r="A438" s="2">
        <v>383</v>
      </c>
      <c r="B438" s="25" t="s">
        <v>2393</v>
      </c>
      <c r="C438" s="25" t="e">
        <f>VLOOKUP(B438, Sheet6!$A$1:$B$77, 2, FALSE)</f>
        <v>#N/A</v>
      </c>
      <c r="D438" s="25" t="s">
        <v>2394</v>
      </c>
      <c r="E438" s="25" t="s">
        <v>2396</v>
      </c>
      <c r="F438" s="25" t="s">
        <v>9222</v>
      </c>
      <c r="G438" s="25" t="s">
        <v>10955</v>
      </c>
      <c r="H438" s="25" t="s">
        <v>10959</v>
      </c>
      <c r="I438" s="25" t="s">
        <v>11102</v>
      </c>
      <c r="J438" s="25" t="s">
        <v>10759</v>
      </c>
      <c r="L438" s="13">
        <v>2010</v>
      </c>
      <c r="M438" s="14" t="s">
        <v>6495</v>
      </c>
      <c r="N438" s="14" t="s">
        <v>6004</v>
      </c>
      <c r="O438" s="14" t="s">
        <v>4343</v>
      </c>
      <c r="P438" s="15" t="s">
        <v>3117</v>
      </c>
      <c r="Q438" s="16"/>
      <c r="R438" s="17">
        <v>40940</v>
      </c>
      <c r="S438" s="16"/>
      <c r="T438" s="16" t="s">
        <v>50</v>
      </c>
      <c r="U438" s="14" t="s">
        <v>34</v>
      </c>
      <c r="V438" s="13">
        <v>4</v>
      </c>
      <c r="W438" s="17">
        <v>44097</v>
      </c>
      <c r="X438" s="14"/>
      <c r="Y438" s="17"/>
      <c r="Z438" s="17"/>
      <c r="AA438" s="14" t="s">
        <v>6586</v>
      </c>
      <c r="AB438" s="14" t="s">
        <v>6587</v>
      </c>
      <c r="AC438" s="14" t="s">
        <v>10084</v>
      </c>
      <c r="AD438" s="20" t="str">
        <f t="shared" ref="AD438:AD470" si="29">IF(IFERROR(LEFT($A438, SEARCH(CHAR(10),$A438)-1),AC438)=0,"",IFERROR(LEFT($A438, SEARCH(CHAR(10),$A438)-1),AC438))</f>
        <v>Biotech R&amp;D &gt; Research Applications &gt; Genomics &gt; Suite
Genomics &gt; Genome Informatics &gt; Integrative Bioinformatics Platforms
Crop Tech &gt; Farm Inputs &gt; Plant Breeding &gt; Management Solutions &gt; Analytics</v>
      </c>
      <c r="AE438" s="20" t="str">
        <f t="shared" si="28"/>
        <v>Biotech R&amp;D</v>
      </c>
      <c r="AF438" s="20" t="str">
        <f t="shared" si="27"/>
        <v>Research Applications</v>
      </c>
      <c r="AG438" s="20" t="str">
        <f t="shared" si="27"/>
        <v>Genomics</v>
      </c>
      <c r="AH438" s="20" t="str">
        <f t="shared" si="27"/>
        <v>Suite
Genomics</v>
      </c>
      <c r="AI438" s="20" t="str">
        <f t="shared" si="27"/>
        <v>Genome Informatics</v>
      </c>
      <c r="AJ438" s="20" t="str">
        <f t="shared" si="27"/>
        <v>Integrative Bioinformatics Platforms
Crop Tech</v>
      </c>
      <c r="AK438" s="20" t="str">
        <f t="shared" si="27"/>
        <v>Farm Inputs</v>
      </c>
      <c r="AL438" s="14" t="s">
        <v>10085</v>
      </c>
      <c r="AM438" s="14"/>
      <c r="AO438" s="14"/>
      <c r="AP438" s="14" t="s">
        <v>4343</v>
      </c>
      <c r="AQ438" s="14"/>
      <c r="AR438" s="14"/>
      <c r="AS438" s="14" t="s">
        <v>10087</v>
      </c>
      <c r="AT438" s="14" t="s">
        <v>10088</v>
      </c>
      <c r="AU438" s="14" t="s">
        <v>10089</v>
      </c>
      <c r="AV438" s="18" t="s">
        <v>10090</v>
      </c>
      <c r="AW438" s="16"/>
      <c r="AX438" s="17"/>
      <c r="AY438" s="15" t="s">
        <v>3123</v>
      </c>
      <c r="AZ438" s="17"/>
      <c r="BA438" s="16"/>
      <c r="BB438" s="14"/>
      <c r="BC438" s="14"/>
      <c r="BD438" s="15" t="s">
        <v>3123</v>
      </c>
      <c r="BE438" s="14"/>
      <c r="BF438" s="17"/>
      <c r="BG438" s="16"/>
      <c r="BH438" s="14"/>
      <c r="BI438" s="15" t="s">
        <v>3123</v>
      </c>
      <c r="BJ438" s="14"/>
      <c r="BK438" s="17"/>
      <c r="BL438" s="16"/>
      <c r="BM438" s="16"/>
      <c r="BN438" s="16"/>
      <c r="BO438" s="16"/>
      <c r="BP438" s="15" t="s">
        <v>3123</v>
      </c>
      <c r="BQ438" s="17"/>
      <c r="BR438" s="14"/>
      <c r="BS438" s="14"/>
      <c r="BT438" s="16"/>
      <c r="BU438" s="16"/>
      <c r="BV438" s="13"/>
      <c r="BW438" s="18" t="s">
        <v>10091</v>
      </c>
      <c r="BX438" s="13">
        <v>200</v>
      </c>
      <c r="BY438" s="17">
        <v>44117</v>
      </c>
      <c r="BZ438" s="18" t="s">
        <v>10092</v>
      </c>
      <c r="CA438" s="18" t="s">
        <v>10093</v>
      </c>
      <c r="CB438" s="18" t="s">
        <v>10094</v>
      </c>
      <c r="CC438" s="18"/>
      <c r="CD438" s="14" t="s">
        <v>10095</v>
      </c>
      <c r="CE438" s="17">
        <v>43056</v>
      </c>
      <c r="CF438" s="16"/>
      <c r="CG438" s="17"/>
      <c r="CH438" s="16"/>
      <c r="CI438" s="17"/>
      <c r="CJ438" s="16"/>
      <c r="CK438" s="17"/>
      <c r="CL438" s="16"/>
      <c r="CM438" s="17"/>
      <c r="CN438" s="19">
        <v>29.987707058804411</v>
      </c>
      <c r="CO438" s="19"/>
      <c r="CP438" s="17"/>
      <c r="CQ438" s="14" t="s">
        <v>7259</v>
      </c>
      <c r="CR438" s="14" t="s">
        <v>6120</v>
      </c>
      <c r="CS438" s="14" t="s">
        <v>5311</v>
      </c>
    </row>
    <row r="439" spans="1:97" ht="26.15" customHeight="1">
      <c r="A439" s="2">
        <v>458</v>
      </c>
      <c r="B439" s="25" t="s">
        <v>2909</v>
      </c>
      <c r="C439" s="25" t="e">
        <f>VLOOKUP(B439, Sheet6!$A$1:$B$77, 2, FALSE)</f>
        <v>#N/A</v>
      </c>
      <c r="D439" s="25" t="s">
        <v>2910</v>
      </c>
      <c r="E439" s="25" t="s">
        <v>2912</v>
      </c>
      <c r="F439" s="25" t="s">
        <v>9674</v>
      </c>
      <c r="G439" s="25" t="s">
        <v>10955</v>
      </c>
      <c r="H439" s="25" t="s">
        <v>10957</v>
      </c>
      <c r="I439" s="25" t="s">
        <v>10968</v>
      </c>
      <c r="J439" s="25" t="s">
        <v>10709</v>
      </c>
      <c r="L439" s="13">
        <v>1965</v>
      </c>
      <c r="M439" s="14" t="s">
        <v>5050</v>
      </c>
      <c r="N439" s="14" t="s">
        <v>5050</v>
      </c>
      <c r="O439" s="14" t="s">
        <v>4343</v>
      </c>
      <c r="P439" s="15" t="s">
        <v>3117</v>
      </c>
      <c r="Q439" s="16"/>
      <c r="R439" s="17">
        <v>43608</v>
      </c>
      <c r="S439" s="16" t="s">
        <v>5022</v>
      </c>
      <c r="T439" s="16">
        <v>2010000</v>
      </c>
      <c r="U439" s="14" t="s">
        <v>5335</v>
      </c>
      <c r="V439" s="13">
        <v>5</v>
      </c>
      <c r="W439" s="17">
        <v>44050</v>
      </c>
      <c r="X439" s="14"/>
      <c r="Y439" s="17"/>
      <c r="Z439" s="17"/>
      <c r="AA439" s="14" t="s">
        <v>1</v>
      </c>
      <c r="AB439" s="14" t="s">
        <v>5007</v>
      </c>
      <c r="AC439" s="14" t="s">
        <v>6488</v>
      </c>
      <c r="AD439" s="20" t="str">
        <f t="shared" si="29"/>
        <v>Crop Tech &gt; Autonomous Farming &gt; Irrigation</v>
      </c>
      <c r="AE439" s="20" t="str">
        <f t="shared" si="28"/>
        <v>Crop Tech</v>
      </c>
      <c r="AF439" s="20" t="str">
        <f t="shared" si="27"/>
        <v>Autonomous Farming</v>
      </c>
      <c r="AG439" s="20" t="str">
        <f t="shared" si="27"/>
        <v>Irrigation</v>
      </c>
      <c r="AH439" s="20" t="str">
        <f t="shared" si="27"/>
        <v/>
      </c>
      <c r="AI439" s="20" t="str">
        <f t="shared" si="27"/>
        <v/>
      </c>
      <c r="AJ439" s="20" t="str">
        <f t="shared" si="27"/>
        <v/>
      </c>
      <c r="AK439" s="20" t="str">
        <f t="shared" si="27"/>
        <v/>
      </c>
      <c r="AL439" s="14" t="s">
        <v>8691</v>
      </c>
      <c r="AM439" s="14"/>
      <c r="AO439" s="14"/>
      <c r="AP439" s="14" t="s">
        <v>5319</v>
      </c>
      <c r="AQ439" s="14"/>
      <c r="AR439" s="14"/>
      <c r="AS439" s="14" t="s">
        <v>8693</v>
      </c>
      <c r="AT439" s="14"/>
      <c r="AU439" s="14"/>
      <c r="AV439" s="18" t="s">
        <v>8694</v>
      </c>
      <c r="AW439" s="16"/>
      <c r="AX439" s="17"/>
      <c r="AY439" s="15" t="s">
        <v>3123</v>
      </c>
      <c r="AZ439" s="17"/>
      <c r="BA439" s="16"/>
      <c r="BB439" s="14"/>
      <c r="BC439" s="14"/>
      <c r="BD439" s="15" t="s">
        <v>3117</v>
      </c>
      <c r="BE439" s="14" t="s">
        <v>8695</v>
      </c>
      <c r="BF439" s="17">
        <v>42954</v>
      </c>
      <c r="BG439" s="16">
        <v>1900000000</v>
      </c>
      <c r="BH439" s="14" t="s">
        <v>5342</v>
      </c>
      <c r="BI439" s="15" t="s">
        <v>3123</v>
      </c>
      <c r="BJ439" s="14"/>
      <c r="BK439" s="17"/>
      <c r="BL439" s="16"/>
      <c r="BM439" s="16"/>
      <c r="BN439" s="16"/>
      <c r="BO439" s="16"/>
      <c r="BP439" s="15" t="s">
        <v>3123</v>
      </c>
      <c r="BQ439" s="17"/>
      <c r="BR439" s="14"/>
      <c r="BS439" s="14"/>
      <c r="BT439" s="16"/>
      <c r="BU439" s="16"/>
      <c r="BV439" s="13"/>
      <c r="BW439" s="18" t="s">
        <v>8696</v>
      </c>
      <c r="BX439" s="13">
        <v>200</v>
      </c>
      <c r="BY439" s="17">
        <v>44117</v>
      </c>
      <c r="BZ439" s="18" t="s">
        <v>8697</v>
      </c>
      <c r="CA439" s="18" t="s">
        <v>8698</v>
      </c>
      <c r="CB439" s="18" t="s">
        <v>8699</v>
      </c>
      <c r="CC439" s="18" t="s">
        <v>8700</v>
      </c>
      <c r="CD439" s="14" t="s">
        <v>8701</v>
      </c>
      <c r="CE439" s="17">
        <v>43031</v>
      </c>
      <c r="CF439" s="16"/>
      <c r="CG439" s="17"/>
      <c r="CH439" s="16"/>
      <c r="CI439" s="17"/>
      <c r="CJ439" s="16"/>
      <c r="CK439" s="17"/>
      <c r="CL439" s="16"/>
      <c r="CM439" s="17"/>
      <c r="CN439" s="19">
        <v>58.540338432457062</v>
      </c>
      <c r="CO439" s="19"/>
      <c r="CP439" s="17"/>
      <c r="CQ439" s="14" t="s">
        <v>5345</v>
      </c>
      <c r="CR439" s="14" t="s">
        <v>7272</v>
      </c>
      <c r="CS439" s="14" t="s">
        <v>5945</v>
      </c>
    </row>
    <row r="440" spans="1:97" ht="26.15" customHeight="1">
      <c r="A440" s="2">
        <v>3</v>
      </c>
      <c r="B440" s="25" t="s">
        <v>116</v>
      </c>
      <c r="C440" s="25" t="e">
        <f>VLOOKUP(B440, Sheet6!$A$1:$B$77, 2, FALSE)</f>
        <v>#N/A</v>
      </c>
      <c r="D440" s="25" t="s">
        <v>117</v>
      </c>
      <c r="E440" s="25" t="s">
        <v>122</v>
      </c>
      <c r="F440" s="25" t="s">
        <v>5025</v>
      </c>
      <c r="G440" s="25" t="s">
        <v>10955</v>
      </c>
      <c r="H440" s="25" t="s">
        <v>10959</v>
      </c>
      <c r="I440" s="25" t="s">
        <v>10958</v>
      </c>
      <c r="J440" s="26" t="s">
        <v>10718</v>
      </c>
      <c r="L440" s="13">
        <v>2011</v>
      </c>
      <c r="M440" s="14" t="s">
        <v>10096</v>
      </c>
      <c r="N440" s="14" t="s">
        <v>10097</v>
      </c>
      <c r="O440" s="14" t="s">
        <v>10098</v>
      </c>
      <c r="P440" s="15" t="s">
        <v>3117</v>
      </c>
      <c r="Q440" s="16"/>
      <c r="R440" s="17">
        <v>42156</v>
      </c>
      <c r="S440" s="16" t="s">
        <v>10099</v>
      </c>
      <c r="T440" s="16">
        <v>10772</v>
      </c>
      <c r="U440" s="14" t="s">
        <v>5040</v>
      </c>
      <c r="V440" s="13">
        <v>4</v>
      </c>
      <c r="W440" s="17">
        <v>44011</v>
      </c>
      <c r="X440" s="14"/>
      <c r="Y440" s="17"/>
      <c r="Z440" s="17"/>
      <c r="AA440" s="14" t="s">
        <v>1</v>
      </c>
      <c r="AB440" s="14" t="s">
        <v>5007</v>
      </c>
      <c r="AC440" s="14" t="s">
        <v>10100</v>
      </c>
      <c r="AD440" s="20" t="str">
        <f t="shared" si="29"/>
        <v>Crop Tech &gt; ECommerce &gt; Farm Inputs &gt; Multi Category &gt; Retailer</v>
      </c>
      <c r="AE440" s="20" t="str">
        <f t="shared" si="28"/>
        <v>Crop Tech</v>
      </c>
      <c r="AF440" s="20" t="str">
        <f t="shared" si="27"/>
        <v>ECommerce</v>
      </c>
      <c r="AG440" s="20" t="str">
        <f t="shared" si="27"/>
        <v>Farm Inputs</v>
      </c>
      <c r="AH440" s="20" t="str">
        <f t="shared" si="27"/>
        <v>Multi Category</v>
      </c>
      <c r="AI440" s="20" t="str">
        <f t="shared" si="27"/>
        <v>Retailer</v>
      </c>
      <c r="AJ440" s="20" t="str">
        <f t="shared" si="27"/>
        <v/>
      </c>
      <c r="AK440" s="20" t="str">
        <f t="shared" si="27"/>
        <v/>
      </c>
      <c r="AL440" s="14" t="s">
        <v>10101</v>
      </c>
      <c r="AM440" s="14"/>
      <c r="AO440" s="14"/>
      <c r="AP440" s="14" t="s">
        <v>10098</v>
      </c>
      <c r="AQ440" s="14" t="s">
        <v>10103</v>
      </c>
      <c r="AR440" s="14"/>
      <c r="AS440" s="14" t="s">
        <v>10104</v>
      </c>
      <c r="AT440" s="14" t="s">
        <v>10105</v>
      </c>
      <c r="AU440" s="14" t="s">
        <v>10106</v>
      </c>
      <c r="AV440" s="18" t="s">
        <v>10107</v>
      </c>
      <c r="AW440" s="16"/>
      <c r="AX440" s="17"/>
      <c r="AY440" s="15" t="s">
        <v>3123</v>
      </c>
      <c r="AZ440" s="17"/>
      <c r="BA440" s="16"/>
      <c r="BB440" s="14"/>
      <c r="BC440" s="14"/>
      <c r="BD440" s="15" t="s">
        <v>3123</v>
      </c>
      <c r="BE440" s="14"/>
      <c r="BF440" s="17"/>
      <c r="BG440" s="16"/>
      <c r="BH440" s="14"/>
      <c r="BI440" s="15" t="s">
        <v>3123</v>
      </c>
      <c r="BJ440" s="14"/>
      <c r="BK440" s="17"/>
      <c r="BL440" s="16"/>
      <c r="BM440" s="16"/>
      <c r="BN440" s="16"/>
      <c r="BO440" s="16"/>
      <c r="BP440" s="15" t="s">
        <v>3123</v>
      </c>
      <c r="BQ440" s="17"/>
      <c r="BR440" s="14"/>
      <c r="BS440" s="14"/>
      <c r="BT440" s="16"/>
      <c r="BU440" s="16"/>
      <c r="BV440" s="13"/>
      <c r="BW440" s="18" t="s">
        <v>10108</v>
      </c>
      <c r="BX440" s="13">
        <v>200</v>
      </c>
      <c r="BY440" s="17">
        <v>44117</v>
      </c>
      <c r="BZ440" s="18" t="s">
        <v>10109</v>
      </c>
      <c r="CA440" s="18" t="s">
        <v>10110</v>
      </c>
      <c r="CB440" s="18" t="s">
        <v>10111</v>
      </c>
      <c r="CC440" s="18" t="s">
        <v>10112</v>
      </c>
      <c r="CD440" s="14" t="s">
        <v>10113</v>
      </c>
      <c r="CE440" s="17">
        <v>43021</v>
      </c>
      <c r="CF440" s="16"/>
      <c r="CG440" s="17"/>
      <c r="CH440" s="16"/>
      <c r="CI440" s="17"/>
      <c r="CJ440" s="16"/>
      <c r="CK440" s="17"/>
      <c r="CL440" s="16"/>
      <c r="CM440" s="17"/>
      <c r="CN440" s="19">
        <v>26.856781253496475</v>
      </c>
      <c r="CO440" s="19"/>
      <c r="CP440" s="17"/>
      <c r="CQ440" s="14" t="s">
        <v>7409</v>
      </c>
      <c r="CR440" s="14" t="s">
        <v>7272</v>
      </c>
      <c r="CS440" s="14" t="s">
        <v>7194</v>
      </c>
    </row>
    <row r="441" spans="1:97" ht="26.15" customHeight="1">
      <c r="A441" s="2">
        <v>164</v>
      </c>
      <c r="B441" s="25" t="s">
        <v>523</v>
      </c>
      <c r="C441" s="25" t="e">
        <f>VLOOKUP(B441, Sheet6!$A$1:$B$77, 2, FALSE)</f>
        <v>#N/A</v>
      </c>
      <c r="D441" s="25" t="s">
        <v>524</v>
      </c>
      <c r="E441" s="25" t="s">
        <v>116</v>
      </c>
      <c r="F441" s="25" t="s">
        <v>116</v>
      </c>
      <c r="G441" s="25" t="s">
        <v>10955</v>
      </c>
      <c r="H441" s="25" t="s">
        <v>10959</v>
      </c>
      <c r="I441" s="25" t="s">
        <v>10958</v>
      </c>
      <c r="J441" s="26" t="s">
        <v>10842</v>
      </c>
      <c r="L441" s="13">
        <v>2010</v>
      </c>
      <c r="M441" s="14" t="s">
        <v>5389</v>
      </c>
      <c r="N441" s="14" t="s">
        <v>5390</v>
      </c>
      <c r="O441" s="14" t="s">
        <v>5391</v>
      </c>
      <c r="P441" s="15" t="s">
        <v>3117</v>
      </c>
      <c r="Q441" s="16">
        <v>235000</v>
      </c>
      <c r="R441" s="17">
        <v>41791</v>
      </c>
      <c r="S441" s="16"/>
      <c r="T441" s="16" t="s">
        <v>50</v>
      </c>
      <c r="U441" s="14" t="s">
        <v>34</v>
      </c>
      <c r="V441" s="13">
        <v>3</v>
      </c>
      <c r="W441" s="17">
        <v>44137</v>
      </c>
      <c r="X441" s="14"/>
      <c r="Y441" s="17"/>
      <c r="Z441" s="17"/>
      <c r="AA441" s="14" t="s">
        <v>5493</v>
      </c>
      <c r="AB441" s="14" t="s">
        <v>5494</v>
      </c>
      <c r="AC441" s="14" t="s">
        <v>10114</v>
      </c>
      <c r="AD441" s="20" t="str">
        <f t="shared" si="29"/>
        <v>B2B E-Commerce &gt; Food &amp; Beverages &gt; Groceries &gt; Farm Products &gt; Marketplace
Crop Tech &gt; Content Platforms &gt; Data as a Service &gt; Market Data</v>
      </c>
      <c r="AE441" s="20" t="str">
        <f t="shared" si="28"/>
        <v>B2B E-Commerce</v>
      </c>
      <c r="AF441" s="20" t="str">
        <f t="shared" si="27"/>
        <v>Food &amp; Beverages</v>
      </c>
      <c r="AG441" s="20" t="str">
        <f t="shared" si="27"/>
        <v>Groceries</v>
      </c>
      <c r="AH441" s="20" t="str">
        <f t="shared" si="27"/>
        <v>Farm Products</v>
      </c>
      <c r="AI441" s="20" t="str">
        <f t="shared" si="27"/>
        <v>Marketplace
Crop Tech</v>
      </c>
      <c r="AJ441" s="20" t="str">
        <f t="shared" si="27"/>
        <v>Content Platforms</v>
      </c>
      <c r="AK441" s="20" t="str">
        <f t="shared" si="27"/>
        <v>Data as a Service</v>
      </c>
      <c r="AL441" s="14" t="s">
        <v>10115</v>
      </c>
      <c r="AM441" s="14"/>
      <c r="AO441" s="14"/>
      <c r="AP441" s="14" t="s">
        <v>5391</v>
      </c>
      <c r="AQ441" s="14" t="s">
        <v>10117</v>
      </c>
      <c r="AR441" s="14" t="s">
        <v>10118</v>
      </c>
      <c r="AS441" s="14" t="s">
        <v>10119</v>
      </c>
      <c r="AT441" s="14" t="s">
        <v>10120</v>
      </c>
      <c r="AU441" s="14" t="s">
        <v>10121</v>
      </c>
      <c r="AV441" s="18" t="s">
        <v>10122</v>
      </c>
      <c r="AW441" s="16"/>
      <c r="AX441" s="17"/>
      <c r="AY441" s="15" t="s">
        <v>3123</v>
      </c>
      <c r="AZ441" s="17"/>
      <c r="BA441" s="16"/>
      <c r="BB441" s="14"/>
      <c r="BC441" s="14"/>
      <c r="BD441" s="15" t="s">
        <v>3123</v>
      </c>
      <c r="BE441" s="14"/>
      <c r="BF441" s="17"/>
      <c r="BG441" s="16"/>
      <c r="BH441" s="14"/>
      <c r="BI441" s="15" t="s">
        <v>3123</v>
      </c>
      <c r="BJ441" s="14"/>
      <c r="BK441" s="17"/>
      <c r="BL441" s="16"/>
      <c r="BM441" s="16"/>
      <c r="BN441" s="16"/>
      <c r="BO441" s="16"/>
      <c r="BP441" s="15" t="s">
        <v>3123</v>
      </c>
      <c r="BQ441" s="17"/>
      <c r="BR441" s="14"/>
      <c r="BS441" s="14"/>
      <c r="BT441" s="16"/>
      <c r="BU441" s="16"/>
      <c r="BV441" s="13"/>
      <c r="BW441" s="18" t="s">
        <v>10123</v>
      </c>
      <c r="BX441" s="13">
        <v>200</v>
      </c>
      <c r="BY441" s="17">
        <v>44117</v>
      </c>
      <c r="BZ441" s="18" t="s">
        <v>10124</v>
      </c>
      <c r="CA441" s="18" t="s">
        <v>10125</v>
      </c>
      <c r="CB441" s="18"/>
      <c r="CC441" s="18"/>
      <c r="CD441" s="14" t="s">
        <v>10126</v>
      </c>
      <c r="CE441" s="17">
        <v>42647</v>
      </c>
      <c r="CF441" s="16"/>
      <c r="CG441" s="17"/>
      <c r="CH441" s="16"/>
      <c r="CI441" s="17"/>
      <c r="CJ441" s="16"/>
      <c r="CK441" s="17"/>
      <c r="CL441" s="16"/>
      <c r="CM441" s="17"/>
      <c r="CN441" s="19">
        <v>25.142118794233799</v>
      </c>
      <c r="CO441" s="19"/>
      <c r="CP441" s="17"/>
      <c r="CQ441" s="14" t="s">
        <v>5036</v>
      </c>
      <c r="CR441" s="14" t="s">
        <v>5037</v>
      </c>
      <c r="CS441" s="14" t="s">
        <v>5004</v>
      </c>
    </row>
    <row r="442" spans="1:97" ht="26.15" customHeight="1">
      <c r="A442" s="2">
        <v>476</v>
      </c>
      <c r="B442" s="25" t="s">
        <v>2386</v>
      </c>
      <c r="C442" s="25" t="e">
        <f>VLOOKUP(B442, Sheet6!$A$1:$B$77, 2, FALSE)</f>
        <v>#N/A</v>
      </c>
      <c r="D442" s="25" t="s">
        <v>2387</v>
      </c>
      <c r="E442" s="25" t="s">
        <v>2391</v>
      </c>
      <c r="F442" s="25" t="s">
        <v>9800</v>
      </c>
      <c r="G442" s="25" t="s">
        <v>10955</v>
      </c>
      <c r="H442" s="25" t="s">
        <v>10957</v>
      </c>
      <c r="I442" s="25" t="s">
        <v>10968</v>
      </c>
      <c r="J442" s="25" t="s">
        <v>10645</v>
      </c>
      <c r="L442" s="13">
        <v>1996</v>
      </c>
      <c r="M442" s="14" t="s">
        <v>8373</v>
      </c>
      <c r="N442" s="14" t="s">
        <v>5313</v>
      </c>
      <c r="O442" s="14" t="s">
        <v>3994</v>
      </c>
      <c r="P442" s="15" t="s">
        <v>3117</v>
      </c>
      <c r="Q442" s="16">
        <v>35112790</v>
      </c>
      <c r="R442" s="17">
        <v>40277</v>
      </c>
      <c r="S442" s="16" t="s">
        <v>7790</v>
      </c>
      <c r="T442" s="16">
        <v>30000000</v>
      </c>
      <c r="U442" s="14" t="s">
        <v>25</v>
      </c>
      <c r="V442" s="13">
        <v>4</v>
      </c>
      <c r="W442" s="17">
        <v>44032</v>
      </c>
      <c r="X442" s="14" t="s">
        <v>5052</v>
      </c>
      <c r="Y442" s="17">
        <v>44032</v>
      </c>
      <c r="Z442" s="17">
        <v>40277</v>
      </c>
      <c r="AA442" s="14" t="s">
        <v>1</v>
      </c>
      <c r="AB442" s="14" t="s">
        <v>5007</v>
      </c>
      <c r="AC442" s="14" t="s">
        <v>6482</v>
      </c>
      <c r="AD442" s="20" t="str">
        <f t="shared" si="29"/>
        <v>Crop Tech &gt; Farm Inputs &gt; Seeds &gt; Field Crops &gt; Hybrid</v>
      </c>
      <c r="AE442" s="20" t="str">
        <f t="shared" si="28"/>
        <v>Crop Tech</v>
      </c>
      <c r="AF442" s="20" t="str">
        <f t="shared" si="27"/>
        <v>Farm Inputs</v>
      </c>
      <c r="AG442" s="20" t="str">
        <f t="shared" si="27"/>
        <v>Seeds</v>
      </c>
      <c r="AH442" s="20" t="str">
        <f t="shared" si="27"/>
        <v>Field Crops</v>
      </c>
      <c r="AI442" s="20" t="str">
        <f t="shared" si="27"/>
        <v>Hybrid</v>
      </c>
      <c r="AJ442" s="20" t="str">
        <f t="shared" ref="AF442:AK470" si="30">TRIM(MID(SUBSTITUTE($AD442,"&gt;",REPT(" ",LEN($AD442))), (AJ$6-1)*LEN($AD442)+1, LEN($AD442)))</f>
        <v/>
      </c>
      <c r="AK442" s="20" t="str">
        <f t="shared" si="30"/>
        <v/>
      </c>
      <c r="AL442" s="14" t="s">
        <v>10127</v>
      </c>
      <c r="AM442" s="14" t="s">
        <v>10128</v>
      </c>
      <c r="AO442" s="14"/>
      <c r="AP442" s="14" t="s">
        <v>3994</v>
      </c>
      <c r="AQ442" s="14" t="s">
        <v>10130</v>
      </c>
      <c r="AR442" s="14" t="s">
        <v>10131</v>
      </c>
      <c r="AS442" s="14" t="s">
        <v>10132</v>
      </c>
      <c r="AT442" s="14"/>
      <c r="AU442" s="14"/>
      <c r="AV442" s="18" t="s">
        <v>10133</v>
      </c>
      <c r="AW442" s="16">
        <v>22454000</v>
      </c>
      <c r="AX442" s="17">
        <v>43100</v>
      </c>
      <c r="AY442" s="15" t="s">
        <v>3123</v>
      </c>
      <c r="AZ442" s="17"/>
      <c r="BA442" s="16"/>
      <c r="BB442" s="14"/>
      <c r="BC442" s="14"/>
      <c r="BD442" s="15" t="s">
        <v>3123</v>
      </c>
      <c r="BE442" s="14"/>
      <c r="BF442" s="17"/>
      <c r="BG442" s="16"/>
      <c r="BH442" s="14"/>
      <c r="BI442" s="15" t="s">
        <v>3123</v>
      </c>
      <c r="BJ442" s="14"/>
      <c r="BK442" s="17"/>
      <c r="BL442" s="16"/>
      <c r="BM442" s="16"/>
      <c r="BN442" s="16"/>
      <c r="BO442" s="16"/>
      <c r="BP442" s="15" t="s">
        <v>3123</v>
      </c>
      <c r="BQ442" s="17"/>
      <c r="BR442" s="14"/>
      <c r="BS442" s="14"/>
      <c r="BT442" s="16"/>
      <c r="BU442" s="16"/>
      <c r="BV442" s="13"/>
      <c r="BW442" s="18" t="s">
        <v>10134</v>
      </c>
      <c r="BX442" s="13">
        <v>200</v>
      </c>
      <c r="BY442" s="17">
        <v>44117</v>
      </c>
      <c r="BZ442" s="18" t="s">
        <v>10135</v>
      </c>
      <c r="CA442" s="18" t="s">
        <v>10136</v>
      </c>
      <c r="CB442" s="18"/>
      <c r="CC442" s="18"/>
      <c r="CD442" s="14" t="s">
        <v>10137</v>
      </c>
      <c r="CE442" s="17">
        <v>43035</v>
      </c>
      <c r="CF442" s="16">
        <v>-749300</v>
      </c>
      <c r="CG442" s="17">
        <v>43100</v>
      </c>
      <c r="CH442" s="16">
        <v>-173800</v>
      </c>
      <c r="CI442" s="17">
        <v>43100</v>
      </c>
      <c r="CJ442" s="16">
        <v>250000000</v>
      </c>
      <c r="CK442" s="17">
        <v>40263</v>
      </c>
      <c r="CL442" s="16">
        <v>273</v>
      </c>
      <c r="CM442" s="17">
        <v>43465</v>
      </c>
      <c r="CN442" s="19">
        <v>50.188017329838054</v>
      </c>
      <c r="CO442" s="19"/>
      <c r="CP442" s="17"/>
      <c r="CQ442" s="14" t="s">
        <v>5104</v>
      </c>
      <c r="CR442" s="14" t="s">
        <v>5037</v>
      </c>
      <c r="CS442" s="14" t="s">
        <v>5004</v>
      </c>
    </row>
    <row r="443" spans="1:97" ht="26.15" customHeight="1">
      <c r="A443" s="2">
        <v>506</v>
      </c>
      <c r="B443" s="25" t="s">
        <v>2461</v>
      </c>
      <c r="C443" s="25" t="e">
        <f>VLOOKUP(B443, Sheet6!$A$1:$B$77, 2, FALSE)</f>
        <v>#N/A</v>
      </c>
      <c r="D443" s="25" t="s">
        <v>2462</v>
      </c>
      <c r="E443" s="25" t="s">
        <v>2465</v>
      </c>
      <c r="F443" s="25" t="s">
        <v>10020</v>
      </c>
      <c r="G443" s="25" t="s">
        <v>10955</v>
      </c>
      <c r="H443" s="25" t="s">
        <v>10558</v>
      </c>
      <c r="I443" s="25" t="s">
        <v>10968</v>
      </c>
      <c r="J443" s="25" t="s">
        <v>10842</v>
      </c>
      <c r="L443" s="13">
        <v>2007</v>
      </c>
      <c r="M443" s="14" t="s">
        <v>10138</v>
      </c>
      <c r="N443" s="14" t="s">
        <v>5164</v>
      </c>
      <c r="O443" s="14" t="s">
        <v>4343</v>
      </c>
      <c r="P443" s="15" t="s">
        <v>3117</v>
      </c>
      <c r="Q443" s="16">
        <v>91000000</v>
      </c>
      <c r="R443" s="17">
        <v>41520</v>
      </c>
      <c r="S443" s="16" t="s">
        <v>10139</v>
      </c>
      <c r="T443" s="16">
        <v>65000000</v>
      </c>
      <c r="U443" s="14" t="s">
        <v>95</v>
      </c>
      <c r="V443" s="13">
        <v>5</v>
      </c>
      <c r="W443" s="17">
        <v>44001</v>
      </c>
      <c r="X443" s="14" t="s">
        <v>5544</v>
      </c>
      <c r="Y443" s="17">
        <v>43678</v>
      </c>
      <c r="Z443" s="17">
        <v>41521</v>
      </c>
      <c r="AA443" s="14" t="s">
        <v>6645</v>
      </c>
      <c r="AB443" s="14" t="s">
        <v>8119</v>
      </c>
      <c r="AC443" s="14" t="s">
        <v>10140</v>
      </c>
      <c r="AD443" s="20" t="str">
        <f t="shared" si="29"/>
        <v>Genomics &gt; Applied Genomics &gt; Agrigenomics
Crop Tech &gt; Farm Inputs &gt; Plant Breeding &gt; Technology Providers</v>
      </c>
      <c r="AE443" s="20" t="str">
        <f t="shared" si="28"/>
        <v>Genomics</v>
      </c>
      <c r="AF443" s="20" t="str">
        <f t="shared" si="30"/>
        <v>Applied Genomics</v>
      </c>
      <c r="AG443" s="20" t="str">
        <f t="shared" si="30"/>
        <v>Agrigenomics
Crop Tech</v>
      </c>
      <c r="AH443" s="20" t="str">
        <f t="shared" si="30"/>
        <v>Farm Inputs</v>
      </c>
      <c r="AI443" s="20" t="str">
        <f t="shared" si="30"/>
        <v>Plant Breeding</v>
      </c>
      <c r="AJ443" s="20" t="str">
        <f t="shared" si="30"/>
        <v>Technology Providers</v>
      </c>
      <c r="AK443" s="20" t="str">
        <f t="shared" si="30"/>
        <v/>
      </c>
      <c r="AL443" s="14" t="s">
        <v>10141</v>
      </c>
      <c r="AM443" s="14"/>
      <c r="AO443" s="14"/>
      <c r="AP443" s="14" t="s">
        <v>4343</v>
      </c>
      <c r="AQ443" s="14"/>
      <c r="AR443" s="14"/>
      <c r="AS443" s="14" t="s">
        <v>10143</v>
      </c>
      <c r="AT443" s="14" t="s">
        <v>10144</v>
      </c>
      <c r="AU443" s="14" t="s">
        <v>10145</v>
      </c>
      <c r="AV443" s="18" t="s">
        <v>10146</v>
      </c>
      <c r="AW443" s="16"/>
      <c r="AX443" s="17"/>
      <c r="AY443" s="15" t="s">
        <v>3123</v>
      </c>
      <c r="AZ443" s="17"/>
      <c r="BA443" s="16"/>
      <c r="BB443" s="14"/>
      <c r="BC443" s="14"/>
      <c r="BD443" s="15" t="s">
        <v>3123</v>
      </c>
      <c r="BE443" s="14"/>
      <c r="BF443" s="17"/>
      <c r="BG443" s="16"/>
      <c r="BH443" s="14"/>
      <c r="BI443" s="15" t="s">
        <v>3123</v>
      </c>
      <c r="BJ443" s="14"/>
      <c r="BK443" s="17"/>
      <c r="BL443" s="16"/>
      <c r="BM443" s="16"/>
      <c r="BN443" s="16"/>
      <c r="BO443" s="16"/>
      <c r="BP443" s="15" t="s">
        <v>3123</v>
      </c>
      <c r="BQ443" s="17"/>
      <c r="BR443" s="14"/>
      <c r="BS443" s="14"/>
      <c r="BT443" s="16"/>
      <c r="BU443" s="16"/>
      <c r="BV443" s="13"/>
      <c r="BW443" s="18" t="s">
        <v>10147</v>
      </c>
      <c r="BX443" s="13">
        <v>200</v>
      </c>
      <c r="BY443" s="17">
        <v>44117</v>
      </c>
      <c r="BZ443" s="18" t="s">
        <v>10148</v>
      </c>
      <c r="CA443" s="18" t="s">
        <v>10149</v>
      </c>
      <c r="CB443" s="18"/>
      <c r="CC443" s="18"/>
      <c r="CD443" s="14" t="s">
        <v>10150</v>
      </c>
      <c r="CE443" s="17">
        <v>43098</v>
      </c>
      <c r="CF443" s="16"/>
      <c r="CG443" s="17"/>
      <c r="CH443" s="16"/>
      <c r="CI443" s="17"/>
      <c r="CJ443" s="16"/>
      <c r="CK443" s="17"/>
      <c r="CL443" s="16"/>
      <c r="CM443" s="17"/>
      <c r="CN443" s="19">
        <v>49.073885607202868</v>
      </c>
      <c r="CO443" s="19"/>
      <c r="CP443" s="17"/>
      <c r="CQ443" s="14" t="s">
        <v>5036</v>
      </c>
      <c r="CR443" s="14" t="s">
        <v>5037</v>
      </c>
      <c r="CS443" s="14" t="s">
        <v>5004</v>
      </c>
    </row>
    <row r="444" spans="1:97" ht="26.15" customHeight="1">
      <c r="A444" s="2">
        <v>6</v>
      </c>
      <c r="B444" s="25" t="s">
        <v>236</v>
      </c>
      <c r="C444" s="25" t="e">
        <f>VLOOKUP(B444, Sheet6!$A$1:$B$77, 2, FALSE)</f>
        <v>#N/A</v>
      </c>
      <c r="D444" s="25" t="s">
        <v>237</v>
      </c>
      <c r="E444" s="25" t="s">
        <v>241</v>
      </c>
      <c r="F444" s="25" t="s">
        <v>5072</v>
      </c>
      <c r="G444" s="25" t="s">
        <v>10955</v>
      </c>
      <c r="H444" s="25" t="s">
        <v>10959</v>
      </c>
      <c r="I444" s="25" t="s">
        <v>10958</v>
      </c>
      <c r="J444" s="26" t="s">
        <v>10846</v>
      </c>
      <c r="L444" s="13">
        <v>2015</v>
      </c>
      <c r="M444" s="14" t="s">
        <v>5038</v>
      </c>
      <c r="N444" s="14" t="s">
        <v>5039</v>
      </c>
      <c r="O444" s="14" t="s">
        <v>3994</v>
      </c>
      <c r="P444" s="15" t="s">
        <v>3117</v>
      </c>
      <c r="Q444" s="16">
        <v>36362460</v>
      </c>
      <c r="R444" s="17">
        <v>44130</v>
      </c>
      <c r="S444" s="16" t="s">
        <v>7460</v>
      </c>
      <c r="T444" s="16">
        <v>11000000</v>
      </c>
      <c r="U444" s="14" t="s">
        <v>25</v>
      </c>
      <c r="V444" s="13">
        <v>5</v>
      </c>
      <c r="W444" s="17">
        <v>44124</v>
      </c>
      <c r="X444" s="14" t="s">
        <v>5544</v>
      </c>
      <c r="Y444" s="17">
        <v>44139</v>
      </c>
      <c r="Z444" s="17">
        <v>44130</v>
      </c>
      <c r="AA444" s="14" t="s">
        <v>8702</v>
      </c>
      <c r="AB444" s="14" t="s">
        <v>8703</v>
      </c>
      <c r="AC444" s="14" t="s">
        <v>8704</v>
      </c>
      <c r="AD444" s="20" t="str">
        <f t="shared" si="29"/>
        <v>In Store Retail Tech &gt; Informal Distribution &gt; Marketplace
B2B E-Commerce &gt; Food &amp; Beverages &gt; Groceries &gt; Processed Products &gt; Marketplace
Online Grocery &gt; B2B Ecommerce &gt; Packaged Food Products &gt; Marketplace
Crop Tech &gt; ECommerce &gt; Farm Produce &gt; B2B &gt; Fruits and Vegetables &gt; Marketplace</v>
      </c>
      <c r="AE444" s="20" t="str">
        <f t="shared" si="28"/>
        <v>In Store Retail Tech</v>
      </c>
      <c r="AF444" s="20" t="str">
        <f t="shared" si="30"/>
        <v>Informal Distribution</v>
      </c>
      <c r="AG444" s="20" t="str">
        <f t="shared" si="30"/>
        <v>Marketplace
B2B E-Commerce</v>
      </c>
      <c r="AH444" s="20" t="str">
        <f t="shared" si="30"/>
        <v>Food &amp; Beverages</v>
      </c>
      <c r="AI444" s="20" t="str">
        <f t="shared" si="30"/>
        <v>Groceries</v>
      </c>
      <c r="AJ444" s="20" t="str">
        <f t="shared" si="30"/>
        <v>Processed Products</v>
      </c>
      <c r="AK444" s="20" t="str">
        <f t="shared" si="30"/>
        <v>Marketplace
Online Grocery</v>
      </c>
      <c r="AL444" s="14" t="s">
        <v>8705</v>
      </c>
      <c r="AM444" s="14" t="s">
        <v>8706</v>
      </c>
      <c r="AO444" s="14"/>
      <c r="AP444" s="14" t="s">
        <v>3994</v>
      </c>
      <c r="AQ444" s="14" t="s">
        <v>8708</v>
      </c>
      <c r="AR444" s="14"/>
      <c r="AS444" s="14" t="s">
        <v>8709</v>
      </c>
      <c r="AT444" s="14" t="s">
        <v>8710</v>
      </c>
      <c r="AU444" s="14" t="s">
        <v>8711</v>
      </c>
      <c r="AV444" s="18" t="s">
        <v>8712</v>
      </c>
      <c r="AW444" s="16">
        <v>29233300</v>
      </c>
      <c r="AX444" s="17">
        <v>43465</v>
      </c>
      <c r="AY444" s="15" t="s">
        <v>3117</v>
      </c>
      <c r="AZ444" s="17">
        <v>42312</v>
      </c>
      <c r="BA444" s="16">
        <v>1523</v>
      </c>
      <c r="BB444" s="14" t="s">
        <v>8713</v>
      </c>
      <c r="BC444" s="14"/>
      <c r="BD444" s="15" t="s">
        <v>3123</v>
      </c>
      <c r="BE444" s="14"/>
      <c r="BF444" s="17"/>
      <c r="BG444" s="16"/>
      <c r="BH444" s="14"/>
      <c r="BI444" s="15" t="s">
        <v>3123</v>
      </c>
      <c r="BJ444" s="14"/>
      <c r="BK444" s="17"/>
      <c r="BL444" s="16"/>
      <c r="BM444" s="16"/>
      <c r="BN444" s="16"/>
      <c r="BO444" s="16"/>
      <c r="BP444" s="15" t="s">
        <v>3123</v>
      </c>
      <c r="BQ444" s="17"/>
      <c r="BR444" s="14"/>
      <c r="BS444" s="14"/>
      <c r="BT444" s="16"/>
      <c r="BU444" s="16"/>
      <c r="BV444" s="13"/>
      <c r="BW444" s="18" t="s">
        <v>8714</v>
      </c>
      <c r="BX444" s="13">
        <v>200</v>
      </c>
      <c r="BY444" s="17">
        <v>44117</v>
      </c>
      <c r="BZ444" s="18" t="s">
        <v>8715</v>
      </c>
      <c r="CA444" s="18"/>
      <c r="CB444" s="18"/>
      <c r="CC444" s="18"/>
      <c r="CD444" s="14" t="s">
        <v>8716</v>
      </c>
      <c r="CE444" s="17">
        <v>42661</v>
      </c>
      <c r="CF444" s="16">
        <v>-8176500</v>
      </c>
      <c r="CG444" s="17">
        <v>43465</v>
      </c>
      <c r="CH444" s="16">
        <v>-8056000</v>
      </c>
      <c r="CI444" s="17">
        <v>43465</v>
      </c>
      <c r="CJ444" s="16">
        <v>80000000</v>
      </c>
      <c r="CK444" s="17">
        <v>43763</v>
      </c>
      <c r="CL444" s="16">
        <v>213</v>
      </c>
      <c r="CM444" s="17">
        <v>44012</v>
      </c>
      <c r="CN444" s="19">
        <v>60.399154644673651</v>
      </c>
      <c r="CO444" s="19"/>
      <c r="CP444" s="17"/>
      <c r="CQ444" s="14" t="s">
        <v>6556</v>
      </c>
      <c r="CR444" s="14" t="s">
        <v>5003</v>
      </c>
      <c r="CS444" s="14" t="s">
        <v>5004</v>
      </c>
    </row>
    <row r="445" spans="1:97" ht="26.15" customHeight="1">
      <c r="A445" s="2">
        <v>77</v>
      </c>
      <c r="B445" s="25" t="s">
        <v>694</v>
      </c>
      <c r="C445" s="25" t="e">
        <f>VLOOKUP(B445, Sheet6!$A$1:$B$77, 2, FALSE)</f>
        <v>#N/A</v>
      </c>
      <c r="D445" s="25" t="s">
        <v>695</v>
      </c>
      <c r="E445" s="25" t="s">
        <v>699</v>
      </c>
      <c r="F445" s="25" t="s">
        <v>6007</v>
      </c>
      <c r="G445" s="25" t="s">
        <v>10955</v>
      </c>
      <c r="H445" s="25" t="s">
        <v>10959</v>
      </c>
      <c r="I445" s="25" t="s">
        <v>10958</v>
      </c>
      <c r="J445" s="26" t="s">
        <v>10846</v>
      </c>
      <c r="L445" s="13">
        <v>1963</v>
      </c>
      <c r="M445" s="14" t="s">
        <v>10151</v>
      </c>
      <c r="N445" s="14" t="s">
        <v>5313</v>
      </c>
      <c r="O445" s="14" t="s">
        <v>3994</v>
      </c>
      <c r="P445" s="15" t="s">
        <v>3117</v>
      </c>
      <c r="Q445" s="16"/>
      <c r="R445" s="17">
        <v>42459</v>
      </c>
      <c r="S445" s="16" t="s">
        <v>10152</v>
      </c>
      <c r="T445" s="16">
        <v>120000000</v>
      </c>
      <c r="U445" s="14" t="s">
        <v>5314</v>
      </c>
      <c r="V445" s="13">
        <v>5</v>
      </c>
      <c r="W445" s="17">
        <v>44042</v>
      </c>
      <c r="X445" s="14"/>
      <c r="Y445" s="17"/>
      <c r="Z445" s="17"/>
      <c r="AA445" s="14" t="s">
        <v>1</v>
      </c>
      <c r="AB445" s="14" t="s">
        <v>5007</v>
      </c>
      <c r="AC445" s="14" t="s">
        <v>6488</v>
      </c>
      <c r="AD445" s="20" t="str">
        <f t="shared" si="29"/>
        <v>Crop Tech &gt; Autonomous Farming &gt; Irrigation</v>
      </c>
      <c r="AE445" s="20" t="str">
        <f t="shared" si="28"/>
        <v>Crop Tech</v>
      </c>
      <c r="AF445" s="20" t="str">
        <f t="shared" si="30"/>
        <v>Autonomous Farming</v>
      </c>
      <c r="AG445" s="20" t="str">
        <f t="shared" si="30"/>
        <v>Irrigation</v>
      </c>
      <c r="AH445" s="20" t="str">
        <f t="shared" si="30"/>
        <v/>
      </c>
      <c r="AI445" s="20" t="str">
        <f t="shared" si="30"/>
        <v/>
      </c>
      <c r="AJ445" s="20" t="str">
        <f t="shared" si="30"/>
        <v/>
      </c>
      <c r="AK445" s="20" t="str">
        <f t="shared" si="30"/>
        <v/>
      </c>
      <c r="AL445" s="14" t="s">
        <v>10153</v>
      </c>
      <c r="AM445" s="14"/>
      <c r="AO445" s="14"/>
      <c r="AP445" s="14" t="s">
        <v>5319</v>
      </c>
      <c r="AQ445" s="14" t="s">
        <v>10155</v>
      </c>
      <c r="AR445" s="14" t="s">
        <v>10156</v>
      </c>
      <c r="AS445" s="14" t="s">
        <v>10157</v>
      </c>
      <c r="AT445" s="14" t="s">
        <v>10158</v>
      </c>
      <c r="AU445" s="14" t="s">
        <v>10159</v>
      </c>
      <c r="AV445" s="18"/>
      <c r="AW445" s="16">
        <v>1024037902</v>
      </c>
      <c r="AX445" s="17">
        <v>42735</v>
      </c>
      <c r="AY445" s="15" t="s">
        <v>3123</v>
      </c>
      <c r="AZ445" s="17"/>
      <c r="BA445" s="16"/>
      <c r="BB445" s="14"/>
      <c r="BC445" s="14" t="s">
        <v>10160</v>
      </c>
      <c r="BD445" s="15" t="s">
        <v>3123</v>
      </c>
      <c r="BE445" s="14"/>
      <c r="BF445" s="17"/>
      <c r="BG445" s="16"/>
      <c r="BH445" s="14"/>
      <c r="BI445" s="15" t="s">
        <v>3117</v>
      </c>
      <c r="BJ445" s="14" t="s">
        <v>10161</v>
      </c>
      <c r="BK445" s="17"/>
      <c r="BL445" s="16"/>
      <c r="BM445" s="16"/>
      <c r="BN445" s="16"/>
      <c r="BO445" s="16"/>
      <c r="BP445" s="15" t="s">
        <v>3123</v>
      </c>
      <c r="BQ445" s="17"/>
      <c r="BR445" s="14"/>
      <c r="BS445" s="14"/>
      <c r="BT445" s="16"/>
      <c r="BU445" s="16"/>
      <c r="BV445" s="13"/>
      <c r="BW445" s="18" t="s">
        <v>10162</v>
      </c>
      <c r="BX445" s="13">
        <v>200</v>
      </c>
      <c r="BY445" s="17">
        <v>44117</v>
      </c>
      <c r="BZ445" s="18" t="s">
        <v>10163</v>
      </c>
      <c r="CA445" s="18" t="s">
        <v>10164</v>
      </c>
      <c r="CB445" s="18" t="s">
        <v>10165</v>
      </c>
      <c r="CC445" s="18"/>
      <c r="CD445" s="14" t="s">
        <v>10166</v>
      </c>
      <c r="CE445" s="17">
        <v>42271</v>
      </c>
      <c r="CF445" s="16">
        <v>21504174</v>
      </c>
      <c r="CG445" s="17">
        <v>42735</v>
      </c>
      <c r="CH445" s="16">
        <v>180838870</v>
      </c>
      <c r="CI445" s="17">
        <v>42735</v>
      </c>
      <c r="CJ445" s="16"/>
      <c r="CK445" s="17"/>
      <c r="CL445" s="16">
        <v>7041</v>
      </c>
      <c r="CM445" s="17">
        <v>43921</v>
      </c>
      <c r="CN445" s="19">
        <v>64.225232132162361</v>
      </c>
      <c r="CO445" s="19"/>
      <c r="CP445" s="17"/>
      <c r="CQ445" s="14" t="s">
        <v>5104</v>
      </c>
      <c r="CR445" s="14" t="s">
        <v>5439</v>
      </c>
      <c r="CS445" s="14" t="s">
        <v>5311</v>
      </c>
    </row>
    <row r="446" spans="1:97" ht="26.15" customHeight="1">
      <c r="A446" s="2">
        <v>505</v>
      </c>
      <c r="B446" s="25" t="s">
        <v>2993</v>
      </c>
      <c r="C446" s="25" t="e">
        <f>VLOOKUP(B446, Sheet6!$A$1:$B$77, 2, FALSE)</f>
        <v>#N/A</v>
      </c>
      <c r="D446" s="25" t="s">
        <v>2994</v>
      </c>
      <c r="E446" s="25" t="s">
        <v>2995</v>
      </c>
      <c r="F446" s="25" t="s">
        <v>10009</v>
      </c>
      <c r="G446" s="25" t="s">
        <v>10953</v>
      </c>
      <c r="H446" s="25" t="s">
        <v>10959</v>
      </c>
      <c r="I446" s="25" t="s">
        <v>11102</v>
      </c>
      <c r="J446" s="25" t="s">
        <v>10842</v>
      </c>
      <c r="L446" s="13">
        <v>1980</v>
      </c>
      <c r="M446" s="14" t="s">
        <v>10167</v>
      </c>
      <c r="N446" s="14" t="s">
        <v>5804</v>
      </c>
      <c r="O446" s="14" t="s">
        <v>5208</v>
      </c>
      <c r="P446" s="15" t="s">
        <v>3117</v>
      </c>
      <c r="Q446" s="16"/>
      <c r="R446" s="17">
        <v>40852</v>
      </c>
      <c r="S446" s="16"/>
      <c r="T446" s="16" t="s">
        <v>50</v>
      </c>
      <c r="U446" s="14" t="s">
        <v>5040</v>
      </c>
      <c r="V446" s="13"/>
      <c r="W446" s="17"/>
      <c r="X446" s="14"/>
      <c r="Y446" s="17"/>
      <c r="Z446" s="17"/>
      <c r="AA446" s="14" t="s">
        <v>1</v>
      </c>
      <c r="AB446" s="14" t="s">
        <v>5084</v>
      </c>
      <c r="AC446" s="14" t="s">
        <v>10168</v>
      </c>
      <c r="AD446" s="20" t="str">
        <f t="shared" si="29"/>
        <v>Livestock Tech &gt; Feeding &gt; Sustainable Feeds &gt; Plant Based</v>
      </c>
      <c r="AE446" s="20" t="str">
        <f t="shared" si="28"/>
        <v>Livestock Tech</v>
      </c>
      <c r="AF446" s="20" t="str">
        <f t="shared" si="30"/>
        <v>Feeding</v>
      </c>
      <c r="AG446" s="20" t="str">
        <f t="shared" si="30"/>
        <v>Sustainable Feeds</v>
      </c>
      <c r="AH446" s="20" t="str">
        <f t="shared" si="30"/>
        <v>Plant Based</v>
      </c>
      <c r="AI446" s="20" t="str">
        <f t="shared" si="30"/>
        <v/>
      </c>
      <c r="AJ446" s="20" t="str">
        <f t="shared" si="30"/>
        <v/>
      </c>
      <c r="AK446" s="20" t="str">
        <f t="shared" si="30"/>
        <v/>
      </c>
      <c r="AL446" s="14" t="s">
        <v>10169</v>
      </c>
      <c r="AM446" s="14"/>
      <c r="AO446" s="14"/>
      <c r="AP446" s="14" t="s">
        <v>5208</v>
      </c>
      <c r="AQ446" s="14"/>
      <c r="AR446" s="14"/>
      <c r="AS446" s="14"/>
      <c r="AT446" s="14"/>
      <c r="AU446" s="14"/>
      <c r="AV446" s="18" t="s">
        <v>10171</v>
      </c>
      <c r="AW446" s="16"/>
      <c r="AX446" s="17"/>
      <c r="AY446" s="15" t="s">
        <v>3123</v>
      </c>
      <c r="AZ446" s="17"/>
      <c r="BA446" s="16"/>
      <c r="BB446" s="14"/>
      <c r="BC446" s="14"/>
      <c r="BD446" s="15" t="s">
        <v>3123</v>
      </c>
      <c r="BE446" s="14"/>
      <c r="BF446" s="17"/>
      <c r="BG446" s="16"/>
      <c r="BH446" s="14"/>
      <c r="BI446" s="15" t="s">
        <v>3123</v>
      </c>
      <c r="BJ446" s="14"/>
      <c r="BK446" s="17"/>
      <c r="BL446" s="16"/>
      <c r="BM446" s="16"/>
      <c r="BN446" s="16"/>
      <c r="BO446" s="16"/>
      <c r="BP446" s="15" t="s">
        <v>3123</v>
      </c>
      <c r="BQ446" s="17"/>
      <c r="BR446" s="14"/>
      <c r="BS446" s="14"/>
      <c r="BT446" s="16"/>
      <c r="BU446" s="16"/>
      <c r="BV446" s="13"/>
      <c r="BW446" s="18" t="s">
        <v>10172</v>
      </c>
      <c r="BX446" s="13">
        <v>200</v>
      </c>
      <c r="BY446" s="17">
        <v>44117</v>
      </c>
      <c r="BZ446" s="18" t="s">
        <v>10173</v>
      </c>
      <c r="CA446" s="18" t="s">
        <v>10174</v>
      </c>
      <c r="CB446" s="18"/>
      <c r="CC446" s="18"/>
      <c r="CD446" s="14" t="s">
        <v>10175</v>
      </c>
      <c r="CE446" s="17">
        <v>42902</v>
      </c>
      <c r="CF446" s="16"/>
      <c r="CG446" s="17"/>
      <c r="CH446" s="16"/>
      <c r="CI446" s="17"/>
      <c r="CJ446" s="16"/>
      <c r="CK446" s="17"/>
      <c r="CL446" s="16"/>
      <c r="CM446" s="17"/>
      <c r="CN446" s="19">
        <v>23.733719807844142</v>
      </c>
      <c r="CO446" s="19"/>
      <c r="CP446" s="17"/>
      <c r="CQ446" s="14" t="s">
        <v>7569</v>
      </c>
      <c r="CR446" s="14" t="s">
        <v>10176</v>
      </c>
      <c r="CS446" s="14" t="s">
        <v>5311</v>
      </c>
    </row>
    <row r="447" spans="1:97" ht="26.15" customHeight="1">
      <c r="A447" s="2">
        <v>493</v>
      </c>
      <c r="B447" s="25" t="s">
        <v>3053</v>
      </c>
      <c r="C447" s="25" t="e">
        <f>VLOOKUP(B447, Sheet6!$A$1:$B$77, 2, FALSE)</f>
        <v>#N/A</v>
      </c>
      <c r="D447" s="25" t="s">
        <v>3054</v>
      </c>
      <c r="E447" s="25" t="s">
        <v>3055</v>
      </c>
      <c r="F447" s="25" t="s">
        <v>9916</v>
      </c>
      <c r="G447" s="25" t="s">
        <v>10955</v>
      </c>
      <c r="H447" s="25" t="s">
        <v>10957</v>
      </c>
      <c r="I447" s="25" t="s">
        <v>10558</v>
      </c>
      <c r="J447" s="25" t="s">
        <v>10846</v>
      </c>
      <c r="L447" s="13">
        <v>2010</v>
      </c>
      <c r="M447" s="14" t="s">
        <v>5067</v>
      </c>
      <c r="N447" s="14" t="s">
        <v>5068</v>
      </c>
      <c r="O447" s="14" t="s">
        <v>3994</v>
      </c>
      <c r="P447" s="15" t="s">
        <v>3117</v>
      </c>
      <c r="Q447" s="16">
        <v>437444</v>
      </c>
      <c r="R447" s="17">
        <v>40625</v>
      </c>
      <c r="S447" s="16" t="s">
        <v>10177</v>
      </c>
      <c r="T447" s="16">
        <v>437444</v>
      </c>
      <c r="U447" s="14" t="s">
        <v>34</v>
      </c>
      <c r="V447" s="13">
        <v>2</v>
      </c>
      <c r="W447" s="17">
        <v>44042</v>
      </c>
      <c r="X447" s="14"/>
      <c r="Y447" s="17"/>
      <c r="Z447" s="17"/>
      <c r="AA447" s="14" t="s">
        <v>1</v>
      </c>
      <c r="AB447" s="14" t="s">
        <v>5084</v>
      </c>
      <c r="AC447" s="14" t="s">
        <v>10178</v>
      </c>
      <c r="AD447" s="20" t="str">
        <f t="shared" si="29"/>
        <v>Livestock Tech &gt; Identification</v>
      </c>
      <c r="AE447" s="20" t="str">
        <f t="shared" si="28"/>
        <v>Livestock Tech</v>
      </c>
      <c r="AF447" s="20" t="str">
        <f t="shared" si="30"/>
        <v>Identification</v>
      </c>
      <c r="AG447" s="20" t="str">
        <f t="shared" si="30"/>
        <v/>
      </c>
      <c r="AH447" s="20" t="str">
        <f t="shared" si="30"/>
        <v/>
      </c>
      <c r="AI447" s="20" t="str">
        <f t="shared" si="30"/>
        <v/>
      </c>
      <c r="AJ447" s="20" t="str">
        <f t="shared" si="30"/>
        <v/>
      </c>
      <c r="AK447" s="20" t="str">
        <f t="shared" si="30"/>
        <v/>
      </c>
      <c r="AL447" s="14" t="s">
        <v>10179</v>
      </c>
      <c r="AM447" s="14"/>
      <c r="AO447" s="14"/>
      <c r="AP447" s="14" t="s">
        <v>3994</v>
      </c>
      <c r="AQ447" s="14" t="s">
        <v>10181</v>
      </c>
      <c r="AR447" s="14"/>
      <c r="AS447" s="14" t="s">
        <v>10182</v>
      </c>
      <c r="AT447" s="14" t="s">
        <v>10183</v>
      </c>
      <c r="AU447" s="14" t="s">
        <v>10184</v>
      </c>
      <c r="AV447" s="18" t="s">
        <v>10185</v>
      </c>
      <c r="AW447" s="16">
        <v>1341500</v>
      </c>
      <c r="AX447" s="17">
        <v>43465</v>
      </c>
      <c r="AY447" s="15" t="s">
        <v>3123</v>
      </c>
      <c r="AZ447" s="17"/>
      <c r="BA447" s="16"/>
      <c r="BB447" s="14"/>
      <c r="BC447" s="14"/>
      <c r="BD447" s="15" t="s">
        <v>3123</v>
      </c>
      <c r="BE447" s="14"/>
      <c r="BF447" s="17"/>
      <c r="BG447" s="16"/>
      <c r="BH447" s="14"/>
      <c r="BI447" s="15" t="s">
        <v>3123</v>
      </c>
      <c r="BJ447" s="14"/>
      <c r="BK447" s="17"/>
      <c r="BL447" s="16"/>
      <c r="BM447" s="16"/>
      <c r="BN447" s="16"/>
      <c r="BO447" s="16"/>
      <c r="BP447" s="15" t="s">
        <v>3123</v>
      </c>
      <c r="BQ447" s="17"/>
      <c r="BR447" s="14"/>
      <c r="BS447" s="14"/>
      <c r="BT447" s="16"/>
      <c r="BU447" s="16"/>
      <c r="BV447" s="13"/>
      <c r="BW447" s="18" t="s">
        <v>10186</v>
      </c>
      <c r="BX447" s="13">
        <v>200</v>
      </c>
      <c r="BY447" s="17">
        <v>44116</v>
      </c>
      <c r="BZ447" s="18" t="s">
        <v>10187</v>
      </c>
      <c r="CA447" s="18"/>
      <c r="CB447" s="18"/>
      <c r="CC447" s="18"/>
      <c r="CD447" s="14" t="s">
        <v>10188</v>
      </c>
      <c r="CE447" s="17">
        <v>42888</v>
      </c>
      <c r="CF447" s="16">
        <v>70800</v>
      </c>
      <c r="CG447" s="17">
        <v>43465</v>
      </c>
      <c r="CH447" s="16">
        <v>113100</v>
      </c>
      <c r="CI447" s="17">
        <v>43465</v>
      </c>
      <c r="CJ447" s="16"/>
      <c r="CK447" s="17"/>
      <c r="CL447" s="16">
        <v>28</v>
      </c>
      <c r="CM447" s="17">
        <v>43921</v>
      </c>
      <c r="CN447" s="19">
        <v>31.223587741653073</v>
      </c>
      <c r="CO447" s="19"/>
      <c r="CP447" s="17"/>
      <c r="CQ447" s="14" t="s">
        <v>6365</v>
      </c>
      <c r="CR447" s="14" t="s">
        <v>5642</v>
      </c>
      <c r="CS447" s="14" t="s">
        <v>5311</v>
      </c>
    </row>
    <row r="448" spans="1:97" ht="26.15" customHeight="1">
      <c r="A448" s="2">
        <v>52</v>
      </c>
      <c r="B448" s="25" t="s">
        <v>996</v>
      </c>
      <c r="C448" s="25" t="e">
        <f>VLOOKUP(B448, Sheet6!$A$1:$B$77, 2, FALSE)</f>
        <v>#N/A</v>
      </c>
      <c r="D448" s="25" t="s">
        <v>997</v>
      </c>
      <c r="E448" s="25" t="s">
        <v>1001</v>
      </c>
      <c r="F448" s="25" t="s">
        <v>5699</v>
      </c>
      <c r="G448" s="25" t="s">
        <v>10955</v>
      </c>
      <c r="H448" s="25" t="s">
        <v>10957</v>
      </c>
      <c r="I448" s="25" t="s">
        <v>10958</v>
      </c>
      <c r="J448" s="26" t="s">
        <v>10821</v>
      </c>
      <c r="L448" s="13">
        <v>2008</v>
      </c>
      <c r="M448" s="14" t="s">
        <v>10189</v>
      </c>
      <c r="N448" s="14" t="s">
        <v>6004</v>
      </c>
      <c r="O448" s="14" t="s">
        <v>4343</v>
      </c>
      <c r="P448" s="15" t="s">
        <v>3117</v>
      </c>
      <c r="Q448" s="16">
        <v>4990000</v>
      </c>
      <c r="R448" s="17">
        <v>40475</v>
      </c>
      <c r="S448" s="16" t="s">
        <v>5543</v>
      </c>
      <c r="T448" s="16">
        <v>4986090</v>
      </c>
      <c r="U448" s="14" t="s">
        <v>109</v>
      </c>
      <c r="V448" s="13"/>
      <c r="W448" s="17"/>
      <c r="X448" s="14"/>
      <c r="Y448" s="17"/>
      <c r="Z448" s="17"/>
      <c r="AA448" s="14" t="s">
        <v>1</v>
      </c>
      <c r="AB448" s="14" t="s">
        <v>5135</v>
      </c>
      <c r="AC448" s="14" t="s">
        <v>3070</v>
      </c>
      <c r="AD448" s="20" t="str">
        <f t="shared" si="29"/>
        <v>Aquaculture Tech &gt; Farm Management &gt; Fishes</v>
      </c>
      <c r="AE448" s="20" t="str">
        <f t="shared" si="28"/>
        <v>Aquaculture Tech</v>
      </c>
      <c r="AF448" s="20" t="str">
        <f t="shared" si="30"/>
        <v>Farm Management</v>
      </c>
      <c r="AG448" s="20" t="str">
        <f t="shared" si="30"/>
        <v>Fishes</v>
      </c>
      <c r="AH448" s="20" t="str">
        <f t="shared" si="30"/>
        <v/>
      </c>
      <c r="AI448" s="20" t="str">
        <f t="shared" si="30"/>
        <v/>
      </c>
      <c r="AJ448" s="20" t="str">
        <f t="shared" si="30"/>
        <v/>
      </c>
      <c r="AK448" s="20" t="str">
        <f t="shared" si="30"/>
        <v/>
      </c>
      <c r="AL448" s="14" t="s">
        <v>4909</v>
      </c>
      <c r="AM448" s="14"/>
      <c r="AO448" s="14"/>
      <c r="AP448" s="14" t="s">
        <v>4343</v>
      </c>
      <c r="AQ448" s="14"/>
      <c r="AR448" s="14"/>
      <c r="AS448" s="14" t="s">
        <v>10191</v>
      </c>
      <c r="AT448" s="14" t="s">
        <v>10192</v>
      </c>
      <c r="AU448" s="14" t="s">
        <v>10193</v>
      </c>
      <c r="AV448" s="18" t="s">
        <v>10194</v>
      </c>
      <c r="AW448" s="16"/>
      <c r="AX448" s="17"/>
      <c r="AY448" s="15" t="s">
        <v>3123</v>
      </c>
      <c r="AZ448" s="17"/>
      <c r="BA448" s="16"/>
      <c r="BB448" s="14"/>
      <c r="BC448" s="14"/>
      <c r="BD448" s="15" t="s">
        <v>3123</v>
      </c>
      <c r="BE448" s="14"/>
      <c r="BF448" s="17"/>
      <c r="BG448" s="16"/>
      <c r="BH448" s="14"/>
      <c r="BI448" s="15" t="s">
        <v>3123</v>
      </c>
      <c r="BJ448" s="14"/>
      <c r="BK448" s="17"/>
      <c r="BL448" s="16"/>
      <c r="BM448" s="16"/>
      <c r="BN448" s="16"/>
      <c r="BO448" s="16"/>
      <c r="BP448" s="15" t="s">
        <v>3123</v>
      </c>
      <c r="BQ448" s="17"/>
      <c r="BR448" s="14"/>
      <c r="BS448" s="14"/>
      <c r="BT448" s="16"/>
      <c r="BU448" s="16"/>
      <c r="BV448" s="13"/>
      <c r="BW448" s="18" t="s">
        <v>10195</v>
      </c>
      <c r="BX448" s="13">
        <v>200</v>
      </c>
      <c r="BY448" s="17">
        <v>44117</v>
      </c>
      <c r="BZ448" s="18" t="s">
        <v>10196</v>
      </c>
      <c r="CA448" s="18"/>
      <c r="CB448" s="18"/>
      <c r="CC448" s="18" t="s">
        <v>10197</v>
      </c>
      <c r="CD448" s="14" t="s">
        <v>10198</v>
      </c>
      <c r="CE448" s="17">
        <v>42934</v>
      </c>
      <c r="CF448" s="16"/>
      <c r="CG448" s="17"/>
      <c r="CH448" s="16"/>
      <c r="CI448" s="17"/>
      <c r="CJ448" s="16"/>
      <c r="CK448" s="17"/>
      <c r="CL448" s="16"/>
      <c r="CM448" s="17"/>
      <c r="CN448" s="19">
        <v>19.474071929056585</v>
      </c>
      <c r="CO448" s="19"/>
      <c r="CP448" s="17"/>
      <c r="CQ448" s="14" t="s">
        <v>5541</v>
      </c>
      <c r="CR448" s="14" t="s">
        <v>6523</v>
      </c>
      <c r="CS448" s="14" t="s">
        <v>5945</v>
      </c>
    </row>
    <row r="449" spans="1:97" ht="26.15" customHeight="1">
      <c r="A449" s="2">
        <v>307</v>
      </c>
      <c r="B449" s="25" t="s">
        <v>2914</v>
      </c>
      <c r="C449" s="25" t="e">
        <f>VLOOKUP(B449, Sheet6!$A$1:$B$77, 2, FALSE)</f>
        <v>#N/A</v>
      </c>
      <c r="D449" s="25" t="s">
        <v>2915</v>
      </c>
      <c r="E449" s="25" t="s">
        <v>2917</v>
      </c>
      <c r="F449" s="25" t="s">
        <v>8866</v>
      </c>
      <c r="G449" s="25" t="s">
        <v>10955</v>
      </c>
      <c r="H449" s="25" t="s">
        <v>10957</v>
      </c>
      <c r="I449" s="25" t="s">
        <v>10968</v>
      </c>
      <c r="J449" s="25" t="s">
        <v>10709</v>
      </c>
      <c r="L449" s="13">
        <v>2001</v>
      </c>
      <c r="M449" s="14" t="s">
        <v>6826</v>
      </c>
      <c r="N449" s="14" t="s">
        <v>6004</v>
      </c>
      <c r="O449" s="14" t="s">
        <v>4343</v>
      </c>
      <c r="P449" s="15" t="s">
        <v>3117</v>
      </c>
      <c r="Q449" s="16"/>
      <c r="R449" s="17">
        <v>40869</v>
      </c>
      <c r="S449" s="16" t="s">
        <v>5022</v>
      </c>
      <c r="T449" s="16">
        <v>2100000</v>
      </c>
      <c r="U449" s="14" t="s">
        <v>5335</v>
      </c>
      <c r="V449" s="13"/>
      <c r="W449" s="17"/>
      <c r="X449" s="14"/>
      <c r="Y449" s="17"/>
      <c r="Z449" s="17"/>
      <c r="AA449" s="14" t="s">
        <v>6645</v>
      </c>
      <c r="AB449" s="14" t="s">
        <v>8119</v>
      </c>
      <c r="AC449" s="14" t="s">
        <v>10140</v>
      </c>
      <c r="AD449" s="20" t="str">
        <f t="shared" si="29"/>
        <v>Genomics &gt; Applied Genomics &gt; Agrigenomics
Crop Tech &gt; Farm Inputs &gt; Plant Breeding &gt; Technology Providers</v>
      </c>
      <c r="AE449" s="20" t="str">
        <f t="shared" si="28"/>
        <v>Genomics</v>
      </c>
      <c r="AF449" s="20" t="str">
        <f t="shared" si="30"/>
        <v>Applied Genomics</v>
      </c>
      <c r="AG449" s="20" t="str">
        <f t="shared" si="30"/>
        <v>Agrigenomics
Crop Tech</v>
      </c>
      <c r="AH449" s="20" t="str">
        <f t="shared" si="30"/>
        <v>Farm Inputs</v>
      </c>
      <c r="AI449" s="20" t="str">
        <f t="shared" si="30"/>
        <v>Plant Breeding</v>
      </c>
      <c r="AJ449" s="20" t="str">
        <f t="shared" si="30"/>
        <v>Technology Providers</v>
      </c>
      <c r="AK449" s="20" t="str">
        <f t="shared" si="30"/>
        <v/>
      </c>
      <c r="AL449" s="14" t="s">
        <v>4822</v>
      </c>
      <c r="AM449" s="14"/>
      <c r="AO449" s="14"/>
      <c r="AP449" s="14" t="s">
        <v>4343</v>
      </c>
      <c r="AQ449" s="14"/>
      <c r="AR449" s="14"/>
      <c r="AS449" s="14" t="s">
        <v>10200</v>
      </c>
      <c r="AT449" s="14" t="s">
        <v>10201</v>
      </c>
      <c r="AU449" s="14" t="s">
        <v>10202</v>
      </c>
      <c r="AV449" s="18" t="s">
        <v>10203</v>
      </c>
      <c r="AW449" s="16"/>
      <c r="AX449" s="17"/>
      <c r="AY449" s="15" t="s">
        <v>3123</v>
      </c>
      <c r="AZ449" s="17"/>
      <c r="BA449" s="16"/>
      <c r="BB449" s="14"/>
      <c r="BC449" s="14"/>
      <c r="BD449" s="15" t="s">
        <v>3117</v>
      </c>
      <c r="BE449" s="14" t="s">
        <v>10204</v>
      </c>
      <c r="BF449" s="17">
        <v>40311</v>
      </c>
      <c r="BG449" s="16"/>
      <c r="BH449" s="14" t="s">
        <v>5342</v>
      </c>
      <c r="BI449" s="15" t="s">
        <v>3117</v>
      </c>
      <c r="BJ449" s="14"/>
      <c r="BK449" s="17"/>
      <c r="BL449" s="16"/>
      <c r="BM449" s="16"/>
      <c r="BN449" s="16"/>
      <c r="BO449" s="16"/>
      <c r="BP449" s="15" t="s">
        <v>3123</v>
      </c>
      <c r="BQ449" s="17"/>
      <c r="BR449" s="14" t="s">
        <v>10204</v>
      </c>
      <c r="BS449" s="14"/>
      <c r="BT449" s="16"/>
      <c r="BU449" s="16"/>
      <c r="BV449" s="13"/>
      <c r="BW449" s="18" t="s">
        <v>10205</v>
      </c>
      <c r="BX449" s="13">
        <v>200</v>
      </c>
      <c r="BY449" s="17">
        <v>44116</v>
      </c>
      <c r="BZ449" s="18" t="s">
        <v>10206</v>
      </c>
      <c r="CA449" s="18" t="s">
        <v>10207</v>
      </c>
      <c r="CB449" s="18" t="s">
        <v>10208</v>
      </c>
      <c r="CC449" s="18"/>
      <c r="CD449" s="14" t="s">
        <v>10209</v>
      </c>
      <c r="CE449" s="17">
        <v>43668</v>
      </c>
      <c r="CF449" s="16"/>
      <c r="CG449" s="17"/>
      <c r="CH449" s="16"/>
      <c r="CI449" s="17"/>
      <c r="CJ449" s="16"/>
      <c r="CK449" s="17"/>
      <c r="CL449" s="16"/>
      <c r="CM449" s="17"/>
      <c r="CN449" s="19">
        <v>32.194013764902984</v>
      </c>
      <c r="CO449" s="19"/>
      <c r="CP449" s="17"/>
      <c r="CQ449" s="14" t="s">
        <v>5345</v>
      </c>
      <c r="CR449" s="14" t="s">
        <v>7221</v>
      </c>
      <c r="CS449" s="14" t="s">
        <v>5945</v>
      </c>
    </row>
    <row r="450" spans="1:97" ht="26.15" customHeight="1">
      <c r="A450" s="2">
        <v>284</v>
      </c>
      <c r="B450" s="25" t="s">
        <v>1500</v>
      </c>
      <c r="C450" s="25" t="e">
        <f>VLOOKUP(B450, Sheet6!$A$1:$B$77, 2, FALSE)</f>
        <v>#N/A</v>
      </c>
      <c r="D450" s="25" t="s">
        <v>1501</v>
      </c>
      <c r="E450" s="25" t="s">
        <v>1503</v>
      </c>
      <c r="F450" s="25" t="s">
        <v>8610</v>
      </c>
      <c r="G450" s="25" t="s">
        <v>10953</v>
      </c>
      <c r="H450" s="25" t="s">
        <v>10558</v>
      </c>
      <c r="I450" s="25" t="s">
        <v>10558</v>
      </c>
      <c r="J450" s="25" t="s">
        <v>10846</v>
      </c>
      <c r="L450" s="13">
        <v>2009</v>
      </c>
      <c r="M450" s="14" t="s">
        <v>7307</v>
      </c>
      <c r="N450" s="14" t="s">
        <v>5267</v>
      </c>
      <c r="O450" s="14" t="s">
        <v>2057</v>
      </c>
      <c r="P450" s="15" t="s">
        <v>3117</v>
      </c>
      <c r="Q450" s="16">
        <v>204990000</v>
      </c>
      <c r="R450" s="17">
        <v>42590</v>
      </c>
      <c r="S450" s="16" t="s">
        <v>5755</v>
      </c>
      <c r="T450" s="16">
        <v>15019200</v>
      </c>
      <c r="U450" s="14" t="s">
        <v>1309</v>
      </c>
      <c r="V450" s="13">
        <v>5</v>
      </c>
      <c r="W450" s="17">
        <v>44003</v>
      </c>
      <c r="X450" s="14" t="s">
        <v>5544</v>
      </c>
      <c r="Y450" s="17">
        <v>42914</v>
      </c>
      <c r="Z450" s="17">
        <v>42125</v>
      </c>
      <c r="AA450" s="14" t="s">
        <v>4995</v>
      </c>
      <c r="AB450" s="14" t="s">
        <v>5578</v>
      </c>
      <c r="AC450" s="14" t="s">
        <v>8546</v>
      </c>
      <c r="AD450" s="20" t="str">
        <f t="shared" si="29"/>
        <v>Online Grocery &gt; B2C Ecommerce &gt; Fruits and Vegetables
Crop Tech &gt; ECommerce &gt; Farm Produce &gt; B2C &gt; Fruits and Vegetables &gt; Retailer</v>
      </c>
      <c r="AE450" s="20" t="str">
        <f t="shared" si="28"/>
        <v>Online Grocery</v>
      </c>
      <c r="AF450" s="20" t="str">
        <f t="shared" si="30"/>
        <v>B2C Ecommerce</v>
      </c>
      <c r="AG450" s="20" t="str">
        <f t="shared" si="30"/>
        <v>Fruits and Vegetables
Crop Tech</v>
      </c>
      <c r="AH450" s="20" t="str">
        <f t="shared" si="30"/>
        <v>ECommerce</v>
      </c>
      <c r="AI450" s="20" t="str">
        <f t="shared" si="30"/>
        <v>Farm Produce</v>
      </c>
      <c r="AJ450" s="20" t="str">
        <f t="shared" si="30"/>
        <v>B2C</v>
      </c>
      <c r="AK450" s="20" t="str">
        <f t="shared" si="30"/>
        <v>Fruits and Vegetables</v>
      </c>
      <c r="AL450" s="14" t="s">
        <v>10210</v>
      </c>
      <c r="AM450" s="14"/>
      <c r="AO450" s="14"/>
      <c r="AP450" s="14" t="s">
        <v>2057</v>
      </c>
      <c r="AQ450" s="14"/>
      <c r="AR450" s="14"/>
      <c r="AS450" s="14" t="s">
        <v>10212</v>
      </c>
      <c r="AT450" s="14"/>
      <c r="AU450" s="14" t="s">
        <v>10213</v>
      </c>
      <c r="AV450" s="18"/>
      <c r="AW450" s="16"/>
      <c r="AX450" s="17"/>
      <c r="AY450" s="15" t="s">
        <v>3123</v>
      </c>
      <c r="AZ450" s="17"/>
      <c r="BA450" s="16"/>
      <c r="BB450" s="14"/>
      <c r="BC450" s="14"/>
      <c r="BD450" s="15" t="s">
        <v>3123</v>
      </c>
      <c r="BE450" s="14"/>
      <c r="BF450" s="17"/>
      <c r="BG450" s="16"/>
      <c r="BH450" s="14"/>
      <c r="BI450" s="15" t="s">
        <v>3123</v>
      </c>
      <c r="BJ450" s="14"/>
      <c r="BK450" s="17"/>
      <c r="BL450" s="16"/>
      <c r="BM450" s="16"/>
      <c r="BN450" s="16"/>
      <c r="BO450" s="16"/>
      <c r="BP450" s="15" t="s">
        <v>3123</v>
      </c>
      <c r="BQ450" s="17"/>
      <c r="BR450" s="14"/>
      <c r="BS450" s="14"/>
      <c r="BT450" s="16"/>
      <c r="BU450" s="16"/>
      <c r="BV450" s="13"/>
      <c r="BW450" s="18" t="s">
        <v>10214</v>
      </c>
      <c r="BX450" s="13">
        <v>200</v>
      </c>
      <c r="BY450" s="17">
        <v>44117</v>
      </c>
      <c r="BZ450" s="18"/>
      <c r="CA450" s="18"/>
      <c r="CB450" s="18"/>
      <c r="CC450" s="18"/>
      <c r="CD450" s="14" t="s">
        <v>10215</v>
      </c>
      <c r="CE450" s="17">
        <v>42220</v>
      </c>
      <c r="CF450" s="16"/>
      <c r="CG450" s="17"/>
      <c r="CH450" s="16"/>
      <c r="CI450" s="17"/>
      <c r="CJ450" s="16"/>
      <c r="CK450" s="17"/>
      <c r="CL450" s="16"/>
      <c r="CM450" s="17"/>
      <c r="CN450" s="19">
        <v>43.299742015511491</v>
      </c>
      <c r="CO450" s="19"/>
      <c r="CP450" s="17"/>
      <c r="CQ450" s="14" t="s">
        <v>5082</v>
      </c>
      <c r="CR450" s="14" t="s">
        <v>5944</v>
      </c>
      <c r="CS450" s="14" t="s">
        <v>5945</v>
      </c>
    </row>
    <row r="451" spans="1:97" ht="26.15" customHeight="1">
      <c r="A451" s="2">
        <v>363</v>
      </c>
      <c r="B451" s="25" t="s">
        <v>2832</v>
      </c>
      <c r="C451" s="25" t="e">
        <f>VLOOKUP(B451, Sheet6!$A$1:$B$77, 2, FALSE)</f>
        <v>#N/A</v>
      </c>
      <c r="D451" s="25" t="s">
        <v>2833</v>
      </c>
      <c r="E451" s="25" t="s">
        <v>2836</v>
      </c>
      <c r="F451" s="25" t="s">
        <v>9144</v>
      </c>
      <c r="G451" s="25" t="s">
        <v>10952</v>
      </c>
      <c r="H451" s="25" t="s">
        <v>10558</v>
      </c>
      <c r="I451" s="25" t="s">
        <v>10558</v>
      </c>
      <c r="J451" s="25" t="s">
        <v>10780</v>
      </c>
      <c r="L451" s="13">
        <v>2007</v>
      </c>
      <c r="M451" s="14" t="s">
        <v>5522</v>
      </c>
      <c r="N451" s="14" t="s">
        <v>5523</v>
      </c>
      <c r="O451" s="14" t="s">
        <v>5524</v>
      </c>
      <c r="P451" s="15" t="s">
        <v>3117</v>
      </c>
      <c r="Q451" s="16">
        <v>2750000</v>
      </c>
      <c r="R451" s="17">
        <v>42578</v>
      </c>
      <c r="S451" s="16" t="s">
        <v>10229</v>
      </c>
      <c r="T451" s="16">
        <v>867788</v>
      </c>
      <c r="U451" s="14" t="s">
        <v>34</v>
      </c>
      <c r="V451" s="13">
        <v>4</v>
      </c>
      <c r="W451" s="17">
        <v>44027</v>
      </c>
      <c r="X451" s="14" t="s">
        <v>5052</v>
      </c>
      <c r="Y451" s="17">
        <v>43594</v>
      </c>
      <c r="Z451" s="17">
        <v>42578</v>
      </c>
      <c r="AA451" s="14" t="s">
        <v>5947</v>
      </c>
      <c r="AB451" s="14" t="s">
        <v>6335</v>
      </c>
      <c r="AC451" s="14" t="s">
        <v>10230</v>
      </c>
      <c r="AD451" s="20" t="str">
        <f t="shared" si="29"/>
        <v>Field Force Automation &gt; Agricultural industry
Crop Tech &gt; Content Platforms &gt; Farming Advice &gt; Expert Advisors</v>
      </c>
      <c r="AE451" s="20" t="str">
        <f t="shared" si="28"/>
        <v>Field Force Automation</v>
      </c>
      <c r="AF451" s="20" t="str">
        <f t="shared" si="30"/>
        <v>Agricultural industry
Crop Tech</v>
      </c>
      <c r="AG451" s="20" t="str">
        <f t="shared" si="30"/>
        <v>Content Platforms</v>
      </c>
      <c r="AH451" s="20" t="str">
        <f t="shared" si="30"/>
        <v>Farming Advice</v>
      </c>
      <c r="AI451" s="20" t="str">
        <f t="shared" si="30"/>
        <v>Expert Advisors</v>
      </c>
      <c r="AJ451" s="20" t="str">
        <f t="shared" si="30"/>
        <v/>
      </c>
      <c r="AK451" s="20" t="str">
        <f t="shared" si="30"/>
        <v/>
      </c>
      <c r="AL451" s="14" t="s">
        <v>10231</v>
      </c>
      <c r="AM451" s="14"/>
      <c r="AO451" s="14"/>
      <c r="AP451" s="14" t="s">
        <v>5524</v>
      </c>
      <c r="AQ451" s="14" t="s">
        <v>10233</v>
      </c>
      <c r="AR451" s="14"/>
      <c r="AS451" s="14" t="s">
        <v>10234</v>
      </c>
      <c r="AT451" s="14" t="s">
        <v>10235</v>
      </c>
      <c r="AU451" s="14" t="s">
        <v>10236</v>
      </c>
      <c r="AV451" s="18" t="s">
        <v>10237</v>
      </c>
      <c r="AW451" s="16"/>
      <c r="AX451" s="17"/>
      <c r="AY451" s="15" t="s">
        <v>3123</v>
      </c>
      <c r="AZ451" s="17"/>
      <c r="BA451" s="16"/>
      <c r="BB451" s="14"/>
      <c r="BC451" s="14"/>
      <c r="BD451" s="15" t="s">
        <v>3123</v>
      </c>
      <c r="BE451" s="14"/>
      <c r="BF451" s="17"/>
      <c r="BG451" s="16"/>
      <c r="BH451" s="14"/>
      <c r="BI451" s="15" t="s">
        <v>3123</v>
      </c>
      <c r="BJ451" s="14"/>
      <c r="BK451" s="17"/>
      <c r="BL451" s="16"/>
      <c r="BM451" s="16"/>
      <c r="BN451" s="16"/>
      <c r="BO451" s="16"/>
      <c r="BP451" s="15" t="s">
        <v>3123</v>
      </c>
      <c r="BQ451" s="17"/>
      <c r="BR451" s="14"/>
      <c r="BS451" s="14"/>
      <c r="BT451" s="16"/>
      <c r="BU451" s="16"/>
      <c r="BV451" s="13"/>
      <c r="BW451" s="18" t="s">
        <v>10238</v>
      </c>
      <c r="BX451" s="13">
        <v>301</v>
      </c>
      <c r="BY451" s="17">
        <v>44116</v>
      </c>
      <c r="BZ451" s="18" t="s">
        <v>10239</v>
      </c>
      <c r="CA451" s="18" t="s">
        <v>10240</v>
      </c>
      <c r="CB451" s="18" t="s">
        <v>10241</v>
      </c>
      <c r="CC451" s="18"/>
      <c r="CD451" s="14" t="s">
        <v>10242</v>
      </c>
      <c r="CE451" s="17">
        <v>42930</v>
      </c>
      <c r="CF451" s="16"/>
      <c r="CG451" s="17"/>
      <c r="CH451" s="16"/>
      <c r="CI451" s="17"/>
      <c r="CJ451" s="16"/>
      <c r="CK451" s="17"/>
      <c r="CL451" s="16"/>
      <c r="CM451" s="17"/>
      <c r="CN451" s="19">
        <v>47.923419248539503</v>
      </c>
      <c r="CO451" s="19"/>
      <c r="CP451" s="17"/>
      <c r="CQ451" s="14" t="s">
        <v>7146</v>
      </c>
      <c r="CR451" s="14" t="s">
        <v>5310</v>
      </c>
      <c r="CS451" s="14" t="s">
        <v>5311</v>
      </c>
    </row>
    <row r="452" spans="1:97" ht="26.15" customHeight="1">
      <c r="A452" s="2">
        <v>74</v>
      </c>
      <c r="B452" s="25" t="s">
        <v>707</v>
      </c>
      <c r="C452" s="25" t="e">
        <f>VLOOKUP(B452, Sheet6!$A$1:$B$77, 2, FALSE)</f>
        <v>#N/A</v>
      </c>
      <c r="D452" s="25" t="s">
        <v>708</v>
      </c>
      <c r="E452" s="25" t="s">
        <v>710</v>
      </c>
      <c r="F452" s="25" t="s">
        <v>10964</v>
      </c>
      <c r="G452" s="25" t="s">
        <v>10955</v>
      </c>
      <c r="H452" s="25" t="s">
        <v>10959</v>
      </c>
      <c r="I452" s="25" t="s">
        <v>10958</v>
      </c>
      <c r="J452" s="26" t="s">
        <v>10770</v>
      </c>
      <c r="L452" s="13">
        <v>1999</v>
      </c>
      <c r="M452" s="14" t="s">
        <v>10243</v>
      </c>
      <c r="N452" s="14" t="s">
        <v>5804</v>
      </c>
      <c r="O452" s="14" t="s">
        <v>5208</v>
      </c>
      <c r="P452" s="15" t="s">
        <v>3117</v>
      </c>
      <c r="Q452" s="16"/>
      <c r="R452" s="17">
        <v>40184</v>
      </c>
      <c r="S452" s="16"/>
      <c r="T452" s="16" t="s">
        <v>50</v>
      </c>
      <c r="U452" s="14" t="s">
        <v>109</v>
      </c>
      <c r="V452" s="13"/>
      <c r="W452" s="17"/>
      <c r="X452" s="14"/>
      <c r="Y452" s="17"/>
      <c r="Z452" s="17"/>
      <c r="AA452" s="14" t="s">
        <v>1</v>
      </c>
      <c r="AB452" s="14" t="s">
        <v>5007</v>
      </c>
      <c r="AC452" s="14" t="s">
        <v>6741</v>
      </c>
      <c r="AD452" s="20" t="str">
        <f t="shared" si="29"/>
        <v>Crop Tech &gt; Autonomous Farming &gt; Diversified</v>
      </c>
      <c r="AE452" s="20" t="str">
        <f t="shared" si="28"/>
        <v>Crop Tech</v>
      </c>
      <c r="AF452" s="20" t="str">
        <f t="shared" si="30"/>
        <v>Autonomous Farming</v>
      </c>
      <c r="AG452" s="20" t="str">
        <f t="shared" si="30"/>
        <v>Diversified</v>
      </c>
      <c r="AH452" s="20" t="str">
        <f t="shared" si="30"/>
        <v/>
      </c>
      <c r="AI452" s="20" t="str">
        <f t="shared" si="30"/>
        <v/>
      </c>
      <c r="AJ452" s="20" t="str">
        <f t="shared" si="30"/>
        <v/>
      </c>
      <c r="AK452" s="20" t="str">
        <f t="shared" si="30"/>
        <v/>
      </c>
      <c r="AL452" s="14" t="s">
        <v>10244</v>
      </c>
      <c r="AM452" s="14"/>
      <c r="AO452" s="14"/>
      <c r="AP452" s="14" t="s">
        <v>5208</v>
      </c>
      <c r="AQ452" s="14"/>
      <c r="AR452" s="14"/>
      <c r="AS452" s="14" t="s">
        <v>10246</v>
      </c>
      <c r="AT452" s="14"/>
      <c r="AU452" s="14" t="s">
        <v>10247</v>
      </c>
      <c r="AV452" s="18" t="s">
        <v>10248</v>
      </c>
      <c r="AW452" s="16"/>
      <c r="AX452" s="17"/>
      <c r="AY452" s="15" t="s">
        <v>3123</v>
      </c>
      <c r="AZ452" s="17"/>
      <c r="BA452" s="16"/>
      <c r="BB452" s="14"/>
      <c r="BC452" s="14"/>
      <c r="BD452" s="15" t="s">
        <v>3123</v>
      </c>
      <c r="BE452" s="14"/>
      <c r="BF452" s="17"/>
      <c r="BG452" s="16"/>
      <c r="BH452" s="14"/>
      <c r="BI452" s="15" t="s">
        <v>3123</v>
      </c>
      <c r="BJ452" s="14"/>
      <c r="BK452" s="17"/>
      <c r="BL452" s="16"/>
      <c r="BM452" s="16"/>
      <c r="BN452" s="16"/>
      <c r="BO452" s="16"/>
      <c r="BP452" s="15" t="s">
        <v>3123</v>
      </c>
      <c r="BQ452" s="17"/>
      <c r="BR452" s="14"/>
      <c r="BS452" s="14"/>
      <c r="BT452" s="16"/>
      <c r="BU452" s="16"/>
      <c r="BV452" s="13"/>
      <c r="BW452" s="18" t="s">
        <v>10249</v>
      </c>
      <c r="BX452" s="13">
        <v>-1</v>
      </c>
      <c r="BY452" s="17">
        <v>44117</v>
      </c>
      <c r="BZ452" s="18" t="s">
        <v>10250</v>
      </c>
      <c r="CA452" s="18" t="s">
        <v>10251</v>
      </c>
      <c r="CB452" s="18"/>
      <c r="CC452" s="18"/>
      <c r="CD452" s="14" t="s">
        <v>10252</v>
      </c>
      <c r="CE452" s="17">
        <v>42930</v>
      </c>
      <c r="CF452" s="16"/>
      <c r="CG452" s="17"/>
      <c r="CH452" s="16"/>
      <c r="CI452" s="17"/>
      <c r="CJ452" s="16"/>
      <c r="CK452" s="17"/>
      <c r="CL452" s="16"/>
      <c r="CM452" s="17"/>
      <c r="CN452" s="19">
        <v>23.830908471406229</v>
      </c>
      <c r="CO452" s="19"/>
      <c r="CP452" s="17"/>
      <c r="CQ452" s="14" t="s">
        <v>5036</v>
      </c>
      <c r="CR452" s="14" t="s">
        <v>5962</v>
      </c>
      <c r="CS452" s="14" t="s">
        <v>5945</v>
      </c>
    </row>
    <row r="453" spans="1:97" ht="26.15" customHeight="1">
      <c r="A453" s="2">
        <v>56</v>
      </c>
      <c r="B453" s="25" t="s">
        <v>1858</v>
      </c>
      <c r="C453" s="25" t="e">
        <f>VLOOKUP(B453, Sheet6!$A$1:$B$77, 2, FALSE)</f>
        <v>#N/A</v>
      </c>
      <c r="D453" s="25" t="s">
        <v>1859</v>
      </c>
      <c r="E453" s="25" t="s">
        <v>1860</v>
      </c>
      <c r="F453" s="25" t="s">
        <v>5741</v>
      </c>
      <c r="G453" s="25" t="s">
        <v>10955</v>
      </c>
      <c r="H453" s="25" t="s">
        <v>10959</v>
      </c>
      <c r="I453" s="25" t="s">
        <v>10958</v>
      </c>
      <c r="J453" s="26" t="s">
        <v>10759</v>
      </c>
      <c r="L453" s="13">
        <v>2007</v>
      </c>
      <c r="M453" s="14" t="s">
        <v>10253</v>
      </c>
      <c r="N453" s="14" t="s">
        <v>6065</v>
      </c>
      <c r="O453" s="14" t="s">
        <v>2057</v>
      </c>
      <c r="P453" s="15" t="s">
        <v>3117</v>
      </c>
      <c r="Q453" s="16"/>
      <c r="R453" s="17">
        <v>41946</v>
      </c>
      <c r="S453" s="16"/>
      <c r="T453" s="16" t="s">
        <v>50</v>
      </c>
      <c r="U453" s="14" t="s">
        <v>109</v>
      </c>
      <c r="V453" s="13"/>
      <c r="W453" s="17"/>
      <c r="X453" s="14"/>
      <c r="Y453" s="17"/>
      <c r="Z453" s="17"/>
      <c r="AA453" s="14" t="s">
        <v>5426</v>
      </c>
      <c r="AB453" s="14" t="s">
        <v>6018</v>
      </c>
      <c r="AC453" s="14" t="s">
        <v>9628</v>
      </c>
      <c r="AD453" s="20" t="str">
        <f t="shared" si="29"/>
        <v>Alternative Lending &gt; Online Lenders &gt; Business Loans &gt; Term Loans &gt; Marketplace &gt; P2P
Crop Tech &gt; Finance &gt; Loans</v>
      </c>
      <c r="AE453" s="20" t="str">
        <f t="shared" si="28"/>
        <v>Alternative Lending</v>
      </c>
      <c r="AF453" s="20" t="str">
        <f t="shared" si="30"/>
        <v>Online Lenders</v>
      </c>
      <c r="AG453" s="20" t="str">
        <f t="shared" si="30"/>
        <v>Business Loans</v>
      </c>
      <c r="AH453" s="20" t="str">
        <f t="shared" si="30"/>
        <v>Term Loans</v>
      </c>
      <c r="AI453" s="20" t="str">
        <f t="shared" si="30"/>
        <v>Marketplace</v>
      </c>
      <c r="AJ453" s="20" t="str">
        <f t="shared" si="30"/>
        <v>P2P
Crop Tech</v>
      </c>
      <c r="AK453" s="20" t="str">
        <f t="shared" si="30"/>
        <v>Finance</v>
      </c>
      <c r="AL453" s="14" t="s">
        <v>4762</v>
      </c>
      <c r="AM453" s="14"/>
      <c r="AO453" s="14"/>
      <c r="AP453" s="14" t="s">
        <v>2057</v>
      </c>
      <c r="AQ453" s="14"/>
      <c r="AR453" s="14"/>
      <c r="AS453" s="14" t="s">
        <v>10255</v>
      </c>
      <c r="AT453" s="14" t="s">
        <v>10256</v>
      </c>
      <c r="AU453" s="14"/>
      <c r="AV453" s="18"/>
      <c r="AW453" s="16"/>
      <c r="AX453" s="17"/>
      <c r="AY453" s="15" t="s">
        <v>3123</v>
      </c>
      <c r="AZ453" s="17"/>
      <c r="BA453" s="16"/>
      <c r="BB453" s="14"/>
      <c r="BC453" s="14"/>
      <c r="BD453" s="15" t="s">
        <v>3123</v>
      </c>
      <c r="BE453" s="14"/>
      <c r="BF453" s="17"/>
      <c r="BG453" s="16"/>
      <c r="BH453" s="14"/>
      <c r="BI453" s="15" t="s">
        <v>3123</v>
      </c>
      <c r="BJ453" s="14"/>
      <c r="BK453" s="17"/>
      <c r="BL453" s="16"/>
      <c r="BM453" s="16"/>
      <c r="BN453" s="16"/>
      <c r="BO453" s="16"/>
      <c r="BP453" s="15" t="s">
        <v>3123</v>
      </c>
      <c r="BQ453" s="17"/>
      <c r="BR453" s="14"/>
      <c r="BS453" s="14"/>
      <c r="BT453" s="16"/>
      <c r="BU453" s="16"/>
      <c r="BV453" s="13"/>
      <c r="BW453" s="18" t="s">
        <v>10257</v>
      </c>
      <c r="BX453" s="13">
        <v>200</v>
      </c>
      <c r="BY453" s="17">
        <v>44117</v>
      </c>
      <c r="BZ453" s="18"/>
      <c r="CA453" s="18"/>
      <c r="CB453" s="18"/>
      <c r="CC453" s="18"/>
      <c r="CD453" s="14" t="s">
        <v>10258</v>
      </c>
      <c r="CE453" s="17">
        <v>42367</v>
      </c>
      <c r="CF453" s="16"/>
      <c r="CG453" s="17"/>
      <c r="CH453" s="16"/>
      <c r="CI453" s="17"/>
      <c r="CJ453" s="16"/>
      <c r="CK453" s="17"/>
      <c r="CL453" s="16"/>
      <c r="CM453" s="17"/>
      <c r="CN453" s="19">
        <v>13.474793564958146</v>
      </c>
      <c r="CO453" s="19"/>
      <c r="CP453" s="17"/>
      <c r="CQ453" s="14" t="s">
        <v>7606</v>
      </c>
      <c r="CR453" s="14" t="s">
        <v>7607</v>
      </c>
      <c r="CS453" s="14" t="s">
        <v>5945</v>
      </c>
    </row>
    <row r="454" spans="1:97" ht="26.15" customHeight="1">
      <c r="A454" s="2">
        <v>371</v>
      </c>
      <c r="B454" s="25" t="s">
        <v>2107</v>
      </c>
      <c r="C454" s="25" t="e">
        <f>VLOOKUP(B454, Sheet6!$A$1:$B$77, 2, FALSE)</f>
        <v>#N/A</v>
      </c>
      <c r="D454" s="25" t="s">
        <v>2108</v>
      </c>
      <c r="E454" s="25" t="s">
        <v>2109</v>
      </c>
      <c r="F454" s="25" t="s">
        <v>9165</v>
      </c>
      <c r="G454" s="25" t="s">
        <v>11106</v>
      </c>
      <c r="H454" s="25" t="s">
        <v>10558</v>
      </c>
      <c r="I454" s="25" t="s">
        <v>10558</v>
      </c>
      <c r="J454" s="25" t="s">
        <v>10517</v>
      </c>
      <c r="L454" s="13">
        <v>2009</v>
      </c>
      <c r="M454" s="14" t="s">
        <v>5592</v>
      </c>
      <c r="N454" s="14" t="s">
        <v>5313</v>
      </c>
      <c r="O454" s="14" t="s">
        <v>3994</v>
      </c>
      <c r="P454" s="15" t="s">
        <v>3117</v>
      </c>
      <c r="Q454" s="16">
        <v>10590520</v>
      </c>
      <c r="R454" s="17">
        <v>43811</v>
      </c>
      <c r="S454" s="16" t="s">
        <v>6481</v>
      </c>
      <c r="T454" s="16">
        <v>6000000</v>
      </c>
      <c r="U454" s="14" t="s">
        <v>109</v>
      </c>
      <c r="V454" s="13">
        <v>4</v>
      </c>
      <c r="W454" s="17">
        <v>44050</v>
      </c>
      <c r="X454" s="14" t="s">
        <v>5052</v>
      </c>
      <c r="Y454" s="17">
        <v>43816</v>
      </c>
      <c r="Z454" s="17">
        <v>43811</v>
      </c>
      <c r="AA454" s="14" t="s">
        <v>5791</v>
      </c>
      <c r="AB454" s="14" t="s">
        <v>8590</v>
      </c>
      <c r="AC454" s="14" t="s">
        <v>8733</v>
      </c>
      <c r="AD454" s="20" t="str">
        <f t="shared" si="29"/>
        <v>Renewable Energy Tech &gt; Solar Energy &gt; Applications &gt; Agriculture and Food &gt; Smart Water Pumps &gt; Controllers
Crop Tech &gt; Farm Equipment &gt; Smart Solar Water Pumps &gt; Controllers</v>
      </c>
      <c r="AE454" s="20" t="str">
        <f t="shared" si="28"/>
        <v>Renewable Energy Tech</v>
      </c>
      <c r="AF454" s="20" t="str">
        <f t="shared" si="30"/>
        <v>Solar Energy</v>
      </c>
      <c r="AG454" s="20" t="str">
        <f t="shared" si="30"/>
        <v>Applications</v>
      </c>
      <c r="AH454" s="20" t="str">
        <f t="shared" si="30"/>
        <v>Agriculture and Food</v>
      </c>
      <c r="AI454" s="20" t="str">
        <f t="shared" si="30"/>
        <v>Smart Water Pumps</v>
      </c>
      <c r="AJ454" s="20" t="str">
        <f t="shared" si="30"/>
        <v>Controllers
Crop Tech</v>
      </c>
      <c r="AK454" s="20" t="str">
        <f t="shared" si="30"/>
        <v>Farm Equipment</v>
      </c>
      <c r="AL454" s="14" t="s">
        <v>8734</v>
      </c>
      <c r="AM454" s="14" t="s">
        <v>8735</v>
      </c>
      <c r="AO454" s="14"/>
      <c r="AP454" s="14" t="s">
        <v>3994</v>
      </c>
      <c r="AQ454" s="14" t="s">
        <v>8737</v>
      </c>
      <c r="AR454" s="14" t="s">
        <v>8738</v>
      </c>
      <c r="AS454" s="14" t="s">
        <v>8739</v>
      </c>
      <c r="AT454" s="14" t="s">
        <v>8740</v>
      </c>
      <c r="AU454" s="14" t="s">
        <v>8741</v>
      </c>
      <c r="AV454" s="18" t="s">
        <v>8742</v>
      </c>
      <c r="AW454" s="16">
        <v>9797193</v>
      </c>
      <c r="AX454" s="17">
        <v>43465</v>
      </c>
      <c r="AY454" s="15" t="s">
        <v>3117</v>
      </c>
      <c r="AZ454" s="17">
        <v>40471</v>
      </c>
      <c r="BA454" s="16">
        <v>2703</v>
      </c>
      <c r="BB454" s="14" t="s">
        <v>8743</v>
      </c>
      <c r="BC454" s="14"/>
      <c r="BD454" s="15" t="s">
        <v>3123</v>
      </c>
      <c r="BE454" s="14"/>
      <c r="BF454" s="17"/>
      <c r="BG454" s="16"/>
      <c r="BH454" s="14"/>
      <c r="BI454" s="15" t="s">
        <v>3123</v>
      </c>
      <c r="BJ454" s="14"/>
      <c r="BK454" s="17"/>
      <c r="BL454" s="16"/>
      <c r="BM454" s="16"/>
      <c r="BN454" s="16"/>
      <c r="BO454" s="16"/>
      <c r="BP454" s="15" t="s">
        <v>3123</v>
      </c>
      <c r="BQ454" s="17"/>
      <c r="BR454" s="14"/>
      <c r="BS454" s="14"/>
      <c r="BT454" s="16"/>
      <c r="BU454" s="16"/>
      <c r="BV454" s="13"/>
      <c r="BW454" s="18" t="s">
        <v>8744</v>
      </c>
      <c r="BX454" s="13">
        <v>200</v>
      </c>
      <c r="BY454" s="17">
        <v>44116</v>
      </c>
      <c r="BZ454" s="18" t="s">
        <v>8745</v>
      </c>
      <c r="CA454" s="18" t="s">
        <v>8746</v>
      </c>
      <c r="CB454" s="18" t="s">
        <v>8747</v>
      </c>
      <c r="CC454" s="18"/>
      <c r="CD454" s="14" t="s">
        <v>8748</v>
      </c>
      <c r="CE454" s="17">
        <v>43031</v>
      </c>
      <c r="CF454" s="16">
        <v>-486610</v>
      </c>
      <c r="CG454" s="17">
        <v>43465</v>
      </c>
      <c r="CH454" s="16">
        <v>-86979</v>
      </c>
      <c r="CI454" s="17">
        <v>43465</v>
      </c>
      <c r="CJ454" s="16">
        <v>20000000</v>
      </c>
      <c r="CK454" s="17">
        <v>43803</v>
      </c>
      <c r="CL454" s="16">
        <v>276</v>
      </c>
      <c r="CM454" s="17">
        <v>43921</v>
      </c>
      <c r="CN454" s="19">
        <v>61.821519399240991</v>
      </c>
      <c r="CO454" s="19"/>
      <c r="CP454" s="17"/>
      <c r="CQ454" s="14" t="s">
        <v>6365</v>
      </c>
      <c r="CR454" s="14" t="s">
        <v>8749</v>
      </c>
      <c r="CS454" s="14" t="s">
        <v>5004</v>
      </c>
    </row>
    <row r="455" spans="1:97" ht="26.15" customHeight="1">
      <c r="A455" s="2">
        <v>111</v>
      </c>
      <c r="B455" s="25" t="s">
        <v>871</v>
      </c>
      <c r="C455" s="25" t="e">
        <f>VLOOKUP(B455, Sheet6!$A$1:$B$77, 2, FALSE)</f>
        <v>#N/A</v>
      </c>
      <c r="D455" s="25" t="s">
        <v>872</v>
      </c>
      <c r="E455" s="25" t="s">
        <v>876</v>
      </c>
      <c r="F455" s="25" t="s">
        <v>6454</v>
      </c>
      <c r="G455" s="25" t="s">
        <v>10955</v>
      </c>
      <c r="H455" s="25" t="s">
        <v>10959</v>
      </c>
      <c r="I455" s="25" t="s">
        <v>10958</v>
      </c>
      <c r="J455" s="26" t="s">
        <v>10846</v>
      </c>
      <c r="L455" s="13">
        <v>2008</v>
      </c>
      <c r="M455" s="14" t="s">
        <v>5592</v>
      </c>
      <c r="N455" s="14" t="s">
        <v>5313</v>
      </c>
      <c r="O455" s="14" t="s">
        <v>3994</v>
      </c>
      <c r="P455" s="15" t="s">
        <v>3117</v>
      </c>
      <c r="Q455" s="16">
        <v>8723427</v>
      </c>
      <c r="R455" s="17">
        <v>41568</v>
      </c>
      <c r="S455" s="16" t="s">
        <v>5022</v>
      </c>
      <c r="T455" s="16">
        <v>1675644</v>
      </c>
      <c r="U455" s="14" t="s">
        <v>109</v>
      </c>
      <c r="V455" s="13">
        <v>3</v>
      </c>
      <c r="W455" s="17">
        <v>44050</v>
      </c>
      <c r="X455" s="14"/>
      <c r="Y455" s="17"/>
      <c r="Z455" s="17"/>
      <c r="AA455" s="14" t="s">
        <v>1</v>
      </c>
      <c r="AB455" s="14" t="s">
        <v>5007</v>
      </c>
      <c r="AC455" s="14" t="s">
        <v>6488</v>
      </c>
      <c r="AD455" s="20" t="str">
        <f t="shared" si="29"/>
        <v>Crop Tech &gt; Autonomous Farming &gt; Irrigation</v>
      </c>
      <c r="AE455" s="20" t="str">
        <f t="shared" si="28"/>
        <v>Crop Tech</v>
      </c>
      <c r="AF455" s="20" t="str">
        <f t="shared" si="30"/>
        <v>Autonomous Farming</v>
      </c>
      <c r="AG455" s="20" t="str">
        <f t="shared" si="30"/>
        <v>Irrigation</v>
      </c>
      <c r="AH455" s="20" t="str">
        <f t="shared" si="30"/>
        <v/>
      </c>
      <c r="AI455" s="20" t="str">
        <f t="shared" si="30"/>
        <v/>
      </c>
      <c r="AJ455" s="20" t="str">
        <f t="shared" si="30"/>
        <v/>
      </c>
      <c r="AK455" s="20" t="str">
        <f t="shared" si="30"/>
        <v/>
      </c>
      <c r="AL455" s="14" t="s">
        <v>10259</v>
      </c>
      <c r="AM455" s="14"/>
      <c r="AO455" s="14"/>
      <c r="AP455" s="14" t="s">
        <v>3994</v>
      </c>
      <c r="AQ455" s="14" t="s">
        <v>10261</v>
      </c>
      <c r="AR455" s="14" t="s">
        <v>10262</v>
      </c>
      <c r="AS455" s="14" t="s">
        <v>10263</v>
      </c>
      <c r="AT455" s="14" t="s">
        <v>10264</v>
      </c>
      <c r="AU455" s="14" t="s">
        <v>10265</v>
      </c>
      <c r="AV455" s="18" t="s">
        <v>10266</v>
      </c>
      <c r="AW455" s="16">
        <v>1775300</v>
      </c>
      <c r="AX455" s="17">
        <v>43465</v>
      </c>
      <c r="AY455" s="15" t="s">
        <v>3123</v>
      </c>
      <c r="AZ455" s="17"/>
      <c r="BA455" s="16"/>
      <c r="BB455" s="14"/>
      <c r="BC455" s="14"/>
      <c r="BD455" s="15" t="s">
        <v>3123</v>
      </c>
      <c r="BE455" s="14"/>
      <c r="BF455" s="17"/>
      <c r="BG455" s="16"/>
      <c r="BH455" s="14"/>
      <c r="BI455" s="15" t="s">
        <v>3123</v>
      </c>
      <c r="BJ455" s="14"/>
      <c r="BK455" s="17"/>
      <c r="BL455" s="16"/>
      <c r="BM455" s="16"/>
      <c r="BN455" s="16"/>
      <c r="BO455" s="16"/>
      <c r="BP455" s="15" t="s">
        <v>3123</v>
      </c>
      <c r="BQ455" s="17"/>
      <c r="BR455" s="14"/>
      <c r="BS455" s="14"/>
      <c r="BT455" s="16"/>
      <c r="BU455" s="16"/>
      <c r="BV455" s="13"/>
      <c r="BW455" s="18" t="s">
        <v>10267</v>
      </c>
      <c r="BX455" s="13">
        <v>200</v>
      </c>
      <c r="BY455" s="17">
        <v>44117</v>
      </c>
      <c r="BZ455" s="18" t="s">
        <v>10268</v>
      </c>
      <c r="CA455" s="18" t="s">
        <v>10269</v>
      </c>
      <c r="CB455" s="18" t="s">
        <v>10270</v>
      </c>
      <c r="CC455" s="18"/>
      <c r="CD455" s="14" t="s">
        <v>10271</v>
      </c>
      <c r="CE455" s="17">
        <v>43031</v>
      </c>
      <c r="CF455" s="16">
        <v>17300</v>
      </c>
      <c r="CG455" s="17">
        <v>43465</v>
      </c>
      <c r="CH455" s="16">
        <v>89000</v>
      </c>
      <c r="CI455" s="17">
        <v>43465</v>
      </c>
      <c r="CJ455" s="16"/>
      <c r="CK455" s="17"/>
      <c r="CL455" s="16">
        <v>56</v>
      </c>
      <c r="CM455" s="17">
        <v>43921</v>
      </c>
      <c r="CN455" s="19">
        <v>45.580158274664562</v>
      </c>
      <c r="CO455" s="19"/>
      <c r="CP455" s="17"/>
      <c r="CQ455" s="14" t="s">
        <v>7409</v>
      </c>
      <c r="CR455" s="14" t="s">
        <v>7272</v>
      </c>
      <c r="CS455" s="14" t="s">
        <v>7194</v>
      </c>
    </row>
    <row r="456" spans="1:97" ht="26.15" customHeight="1">
      <c r="A456" s="2">
        <v>388</v>
      </c>
      <c r="B456" s="25" t="s">
        <v>2661</v>
      </c>
      <c r="C456" s="25" t="e">
        <f>VLOOKUP(B456, Sheet6!$A$1:$B$77, 2, FALSE)</f>
        <v>#N/A</v>
      </c>
      <c r="D456" s="25" t="s">
        <v>2662</v>
      </c>
      <c r="E456" s="25" t="s">
        <v>2663</v>
      </c>
      <c r="F456" s="25" t="s">
        <v>9249</v>
      </c>
      <c r="G456" s="25">
        <v>0</v>
      </c>
      <c r="H456" s="25">
        <v>0</v>
      </c>
      <c r="I456" s="25">
        <v>0</v>
      </c>
      <c r="J456" s="25">
        <v>0</v>
      </c>
      <c r="L456" s="13">
        <v>1980</v>
      </c>
      <c r="M456" s="14" t="s">
        <v>6762</v>
      </c>
      <c r="N456" s="14" t="s">
        <v>6763</v>
      </c>
      <c r="O456" s="14" t="s">
        <v>5333</v>
      </c>
      <c r="P456" s="15" t="s">
        <v>3117</v>
      </c>
      <c r="Q456" s="16"/>
      <c r="R456" s="17">
        <v>42705</v>
      </c>
      <c r="S456" s="16"/>
      <c r="T456" s="16" t="s">
        <v>50</v>
      </c>
      <c r="U456" s="14" t="s">
        <v>109</v>
      </c>
      <c r="V456" s="13">
        <v>2</v>
      </c>
      <c r="W456" s="17">
        <v>43971</v>
      </c>
      <c r="X456" s="14"/>
      <c r="Y456" s="17"/>
      <c r="Z456" s="17"/>
      <c r="AA456" s="14" t="s">
        <v>1</v>
      </c>
      <c r="AB456" s="14" t="s">
        <v>5007</v>
      </c>
      <c r="AC456" s="14" t="s">
        <v>9652</v>
      </c>
      <c r="AD456" s="20" t="str">
        <f t="shared" si="29"/>
        <v>Crop Tech &gt; Farm Inputs &gt; Seeds &gt; Field Crops &gt; GMO</v>
      </c>
      <c r="AE456" s="20" t="str">
        <f t="shared" si="28"/>
        <v>Crop Tech</v>
      </c>
      <c r="AF456" s="20" t="str">
        <f t="shared" si="30"/>
        <v>Farm Inputs</v>
      </c>
      <c r="AG456" s="20" t="str">
        <f t="shared" si="30"/>
        <v>Seeds</v>
      </c>
      <c r="AH456" s="20" t="str">
        <f t="shared" si="30"/>
        <v>Field Crops</v>
      </c>
      <c r="AI456" s="20" t="str">
        <f t="shared" si="30"/>
        <v>GMO</v>
      </c>
      <c r="AJ456" s="20" t="str">
        <f t="shared" si="30"/>
        <v/>
      </c>
      <c r="AK456" s="20" t="str">
        <f t="shared" si="30"/>
        <v/>
      </c>
      <c r="AL456" s="14" t="s">
        <v>4439</v>
      </c>
      <c r="AM456" s="14"/>
      <c r="AO456" s="14"/>
      <c r="AP456" s="14" t="s">
        <v>5333</v>
      </c>
      <c r="AQ456" s="14"/>
      <c r="AR456" s="14" t="s">
        <v>10273</v>
      </c>
      <c r="AS456" s="14" t="s">
        <v>10274</v>
      </c>
      <c r="AT456" s="14"/>
      <c r="AU456" s="14"/>
      <c r="AV456" s="18"/>
      <c r="AW456" s="16"/>
      <c r="AX456" s="17"/>
      <c r="AY456" s="15" t="s">
        <v>3123</v>
      </c>
      <c r="AZ456" s="17"/>
      <c r="BA456" s="16"/>
      <c r="BB456" s="14"/>
      <c r="BC456" s="14"/>
      <c r="BD456" s="15" t="s">
        <v>3123</v>
      </c>
      <c r="BE456" s="14"/>
      <c r="BF456" s="17"/>
      <c r="BG456" s="16"/>
      <c r="BH456" s="14"/>
      <c r="BI456" s="15" t="s">
        <v>3123</v>
      </c>
      <c r="BJ456" s="14"/>
      <c r="BK456" s="17"/>
      <c r="BL456" s="16"/>
      <c r="BM456" s="16"/>
      <c r="BN456" s="16"/>
      <c r="BO456" s="16"/>
      <c r="BP456" s="15" t="s">
        <v>3123</v>
      </c>
      <c r="BQ456" s="17"/>
      <c r="BR456" s="14"/>
      <c r="BS456" s="14"/>
      <c r="BT456" s="16"/>
      <c r="BU456" s="16"/>
      <c r="BV456" s="13"/>
      <c r="BW456" s="18" t="s">
        <v>10275</v>
      </c>
      <c r="BX456" s="13">
        <v>200</v>
      </c>
      <c r="BY456" s="17">
        <v>44116</v>
      </c>
      <c r="BZ456" s="18" t="s">
        <v>10276</v>
      </c>
      <c r="CA456" s="18" t="s">
        <v>10277</v>
      </c>
      <c r="CB456" s="18"/>
      <c r="CC456" s="18"/>
      <c r="CD456" s="14" t="s">
        <v>10278</v>
      </c>
      <c r="CE456" s="17">
        <v>43371</v>
      </c>
      <c r="CF456" s="16"/>
      <c r="CG456" s="17"/>
      <c r="CH456" s="16"/>
      <c r="CI456" s="17"/>
      <c r="CJ456" s="16"/>
      <c r="CK456" s="17"/>
      <c r="CL456" s="16"/>
      <c r="CM456" s="17"/>
      <c r="CN456" s="19">
        <v>37.884902256024041</v>
      </c>
      <c r="CO456" s="19"/>
      <c r="CP456" s="17"/>
      <c r="CQ456" s="14" t="s">
        <v>5345</v>
      </c>
      <c r="CR456" s="14" t="s">
        <v>10279</v>
      </c>
      <c r="CS456" s="14" t="s">
        <v>5521</v>
      </c>
    </row>
    <row r="457" spans="1:97" ht="26.15" customHeight="1">
      <c r="A457" s="2">
        <v>394</v>
      </c>
      <c r="B457" s="25" t="s">
        <v>2526</v>
      </c>
      <c r="C457" s="25" t="e">
        <f>VLOOKUP(B457, Sheet6!$A$1:$B$77, 2, FALSE)</f>
        <v>#N/A</v>
      </c>
      <c r="D457" s="25" t="s">
        <v>2527</v>
      </c>
      <c r="E457" s="25" t="s">
        <v>2528</v>
      </c>
      <c r="F457" s="25" t="s">
        <v>9282</v>
      </c>
      <c r="G457" s="25" t="s">
        <v>10953</v>
      </c>
      <c r="H457" s="25" t="s">
        <v>10558</v>
      </c>
      <c r="I457" s="25" t="s">
        <v>10558</v>
      </c>
      <c r="J457" s="25" t="s">
        <v>10517</v>
      </c>
      <c r="L457" s="13">
        <v>2010</v>
      </c>
      <c r="M457" s="14" t="s">
        <v>10280</v>
      </c>
      <c r="N457" s="14" t="s">
        <v>8033</v>
      </c>
      <c r="O457" s="14" t="s">
        <v>5208</v>
      </c>
      <c r="P457" s="15" t="s">
        <v>3117</v>
      </c>
      <c r="Q457" s="16">
        <v>637900</v>
      </c>
      <c r="R457" s="17">
        <v>42829</v>
      </c>
      <c r="S457" s="16" t="s">
        <v>10281</v>
      </c>
      <c r="T457" s="16">
        <v>637879</v>
      </c>
      <c r="U457" s="14" t="s">
        <v>34</v>
      </c>
      <c r="V457" s="13">
        <v>2</v>
      </c>
      <c r="W457" s="17">
        <v>44057</v>
      </c>
      <c r="X457" s="14"/>
      <c r="Y457" s="17"/>
      <c r="Z457" s="17"/>
      <c r="AA457" s="14" t="s">
        <v>9154</v>
      </c>
      <c r="AB457" s="14" t="s">
        <v>9155</v>
      </c>
      <c r="AC457" s="14" t="s">
        <v>10282</v>
      </c>
      <c r="AD457" s="20" t="str">
        <f t="shared" si="29"/>
        <v>Wearable Technology &gt; Pet Wearables
IoT Applications &gt; Industry Specific &gt; Agriculture &gt; Livestock
Pet Tech &gt; Pet Care Management &gt; Health Monitoring &gt; Cats and Dogs &gt; Wearable
Livestock Tech &gt; Health Management &gt; Health Monitoring &gt; Diversified</v>
      </c>
      <c r="AE457" s="20" t="str">
        <f t="shared" si="28"/>
        <v>Wearable Technology</v>
      </c>
      <c r="AF457" s="20" t="str">
        <f t="shared" si="30"/>
        <v>Pet Wearables
IoT Applications</v>
      </c>
      <c r="AG457" s="20" t="str">
        <f t="shared" si="30"/>
        <v>Industry Specific</v>
      </c>
      <c r="AH457" s="20" t="str">
        <f t="shared" si="30"/>
        <v>Agriculture</v>
      </c>
      <c r="AI457" s="20" t="str">
        <f t="shared" si="30"/>
        <v>Livestock
Pet Tech</v>
      </c>
      <c r="AJ457" s="20" t="str">
        <f t="shared" si="30"/>
        <v>Pet Care Management</v>
      </c>
      <c r="AK457" s="20" t="str">
        <f t="shared" si="30"/>
        <v>Health Monitoring</v>
      </c>
      <c r="AL457" s="14" t="s">
        <v>4062</v>
      </c>
      <c r="AM457" s="14"/>
      <c r="AO457" s="14"/>
      <c r="AP457" s="14" t="s">
        <v>5208</v>
      </c>
      <c r="AQ457" s="14" t="s">
        <v>10284</v>
      </c>
      <c r="AR457" s="14" t="s">
        <v>10285</v>
      </c>
      <c r="AS457" s="14" t="s">
        <v>10286</v>
      </c>
      <c r="AT457" s="14"/>
      <c r="AU457" s="14"/>
      <c r="AV457" s="18" t="s">
        <v>10287</v>
      </c>
      <c r="AW457" s="16"/>
      <c r="AX457" s="17"/>
      <c r="AY457" s="15" t="s">
        <v>3123</v>
      </c>
      <c r="AZ457" s="17"/>
      <c r="BA457" s="16"/>
      <c r="BB457" s="14"/>
      <c r="BC457" s="14"/>
      <c r="BD457" s="15" t="s">
        <v>3123</v>
      </c>
      <c r="BE457" s="14"/>
      <c r="BF457" s="17"/>
      <c r="BG457" s="16"/>
      <c r="BH457" s="14"/>
      <c r="BI457" s="15" t="s">
        <v>3123</v>
      </c>
      <c r="BJ457" s="14"/>
      <c r="BK457" s="17"/>
      <c r="BL457" s="16"/>
      <c r="BM457" s="16"/>
      <c r="BN457" s="16"/>
      <c r="BO457" s="16"/>
      <c r="BP457" s="15" t="s">
        <v>3123</v>
      </c>
      <c r="BQ457" s="17"/>
      <c r="BR457" s="14"/>
      <c r="BS457" s="14"/>
      <c r="BT457" s="16"/>
      <c r="BU457" s="16"/>
      <c r="BV457" s="13"/>
      <c r="BW457" s="18" t="s">
        <v>10288</v>
      </c>
      <c r="BX457" s="13">
        <v>301</v>
      </c>
      <c r="BY457" s="17">
        <v>44117</v>
      </c>
      <c r="BZ457" s="18" t="s">
        <v>10289</v>
      </c>
      <c r="CA457" s="18" t="s">
        <v>10290</v>
      </c>
      <c r="CB457" s="18" t="s">
        <v>10291</v>
      </c>
      <c r="CC457" s="18"/>
      <c r="CD457" s="14" t="s">
        <v>10292</v>
      </c>
      <c r="CE457" s="17">
        <v>42888</v>
      </c>
      <c r="CF457" s="16"/>
      <c r="CG457" s="17"/>
      <c r="CH457" s="16"/>
      <c r="CI457" s="17"/>
      <c r="CJ457" s="16"/>
      <c r="CK457" s="17"/>
      <c r="CL457" s="16"/>
      <c r="CM457" s="17"/>
      <c r="CN457" s="19">
        <v>20.125007455304448</v>
      </c>
      <c r="CO457" s="19"/>
      <c r="CP457" s="17"/>
      <c r="CQ457" s="14" t="s">
        <v>5036</v>
      </c>
      <c r="CR457" s="14" t="s">
        <v>5962</v>
      </c>
      <c r="CS457" s="14" t="s">
        <v>5945</v>
      </c>
    </row>
    <row r="458" spans="1:97" ht="26.15" customHeight="1">
      <c r="A458" s="2">
        <v>347</v>
      </c>
      <c r="B458" s="25" t="s">
        <v>2502</v>
      </c>
      <c r="C458" s="25" t="e">
        <f>VLOOKUP(B458, Sheet6!$A$1:$B$77, 2, FALSE)</f>
        <v>#N/A</v>
      </c>
      <c r="D458" s="25" t="s">
        <v>2503</v>
      </c>
      <c r="E458" s="25" t="s">
        <v>2505</v>
      </c>
      <c r="F458" s="25" t="s">
        <v>9054</v>
      </c>
      <c r="G458" s="25" t="s">
        <v>10953</v>
      </c>
      <c r="H458" s="25" t="s">
        <v>10967</v>
      </c>
      <c r="I458" s="25" t="s">
        <v>10558</v>
      </c>
      <c r="J458" s="25" t="s">
        <v>10821</v>
      </c>
      <c r="L458" s="13">
        <v>1993</v>
      </c>
      <c r="M458" s="14" t="s">
        <v>5038</v>
      </c>
      <c r="N458" s="14" t="s">
        <v>5039</v>
      </c>
      <c r="O458" s="14" t="s">
        <v>3994</v>
      </c>
      <c r="P458" s="15" t="s">
        <v>3117</v>
      </c>
      <c r="Q458" s="16">
        <v>10000000</v>
      </c>
      <c r="R458" s="17">
        <v>41400</v>
      </c>
      <c r="S458" s="16" t="s">
        <v>5165</v>
      </c>
      <c r="T458" s="16">
        <v>10000000</v>
      </c>
      <c r="U458" s="14" t="s">
        <v>5630</v>
      </c>
      <c r="V458" s="13"/>
      <c r="W458" s="17">
        <v>44003</v>
      </c>
      <c r="X458" s="14"/>
      <c r="Y458" s="17"/>
      <c r="Z458" s="17"/>
      <c r="AA458" s="14" t="s">
        <v>6645</v>
      </c>
      <c r="AB458" s="14" t="s">
        <v>8119</v>
      </c>
      <c r="AC458" s="14" t="s">
        <v>9643</v>
      </c>
      <c r="AD458" s="20" t="str">
        <f t="shared" si="29"/>
        <v>Genomics &gt; Applied Genomics &gt; Agrigenomics
Crop Tech &gt; Farm Inputs &gt; Biologicals &gt; Diversified</v>
      </c>
      <c r="AE458" s="20" t="str">
        <f t="shared" si="28"/>
        <v>Genomics</v>
      </c>
      <c r="AF458" s="20" t="str">
        <f t="shared" si="30"/>
        <v>Applied Genomics</v>
      </c>
      <c r="AG458" s="20" t="str">
        <f t="shared" si="30"/>
        <v>Agrigenomics
Crop Tech</v>
      </c>
      <c r="AH458" s="20" t="str">
        <f t="shared" si="30"/>
        <v>Farm Inputs</v>
      </c>
      <c r="AI458" s="20" t="str">
        <f t="shared" si="30"/>
        <v>Biologicals</v>
      </c>
      <c r="AJ458" s="20" t="str">
        <f t="shared" si="30"/>
        <v>Diversified</v>
      </c>
      <c r="AK458" s="20" t="str">
        <f t="shared" si="30"/>
        <v/>
      </c>
      <c r="AL458" s="14" t="s">
        <v>10293</v>
      </c>
      <c r="AM458" s="14"/>
      <c r="AO458" s="14"/>
      <c r="AP458" s="14" t="s">
        <v>3994</v>
      </c>
      <c r="AQ458" s="14" t="s">
        <v>10295</v>
      </c>
      <c r="AR458" s="14" t="s">
        <v>10296</v>
      </c>
      <c r="AS458" s="14" t="s">
        <v>10297</v>
      </c>
      <c r="AT458" s="14" t="s">
        <v>10298</v>
      </c>
      <c r="AU458" s="14" t="s">
        <v>10299</v>
      </c>
      <c r="AV458" s="18" t="s">
        <v>10300</v>
      </c>
      <c r="AW458" s="16"/>
      <c r="AX458" s="17"/>
      <c r="AY458" s="15" t="s">
        <v>3123</v>
      </c>
      <c r="AZ458" s="17"/>
      <c r="BA458" s="16"/>
      <c r="BB458" s="14"/>
      <c r="BC458" s="14"/>
      <c r="BD458" s="15" t="s">
        <v>3123</v>
      </c>
      <c r="BE458" s="14"/>
      <c r="BF458" s="17"/>
      <c r="BG458" s="16"/>
      <c r="BH458" s="14"/>
      <c r="BI458" s="15" t="s">
        <v>3117</v>
      </c>
      <c r="BJ458" s="14" t="s">
        <v>10301</v>
      </c>
      <c r="BK458" s="17">
        <v>42011</v>
      </c>
      <c r="BL458" s="16"/>
      <c r="BM458" s="16"/>
      <c r="BN458" s="16"/>
      <c r="BO458" s="16"/>
      <c r="BP458" s="15" t="s">
        <v>3117</v>
      </c>
      <c r="BQ458" s="17"/>
      <c r="BR458" s="14"/>
      <c r="BS458" s="14"/>
      <c r="BT458" s="16"/>
      <c r="BU458" s="16"/>
      <c r="BV458" s="13"/>
      <c r="BW458" s="18" t="s">
        <v>10302</v>
      </c>
      <c r="BX458" s="13">
        <v>-1</v>
      </c>
      <c r="BY458" s="17">
        <v>44116</v>
      </c>
      <c r="BZ458" s="18" t="s">
        <v>10303</v>
      </c>
      <c r="CA458" s="18"/>
      <c r="CB458" s="18"/>
      <c r="CC458" s="18"/>
      <c r="CD458" s="14" t="s">
        <v>10304</v>
      </c>
      <c r="CE458" s="17">
        <v>43032</v>
      </c>
      <c r="CF458" s="16"/>
      <c r="CG458" s="17"/>
      <c r="CH458" s="16"/>
      <c r="CI458" s="17"/>
      <c r="CJ458" s="16"/>
      <c r="CK458" s="17"/>
      <c r="CL458" s="16"/>
      <c r="CM458" s="17"/>
      <c r="CN458" s="19">
        <v>30.465215632768299</v>
      </c>
      <c r="CO458" s="19"/>
      <c r="CP458" s="17"/>
      <c r="CQ458" s="14" t="s">
        <v>5345</v>
      </c>
      <c r="CR458" s="14" t="s">
        <v>8809</v>
      </c>
      <c r="CS458" s="14" t="s">
        <v>5311</v>
      </c>
    </row>
    <row r="459" spans="1:97" ht="26.15" customHeight="1">
      <c r="A459" s="2">
        <v>295</v>
      </c>
      <c r="B459" s="25" t="s">
        <v>1885</v>
      </c>
      <c r="C459" s="25" t="e">
        <f>VLOOKUP(B459, Sheet6!$A$1:$B$77, 2, FALSE)</f>
        <v>#N/A</v>
      </c>
      <c r="D459" s="25" t="s">
        <v>1886</v>
      </c>
      <c r="E459" s="25" t="s">
        <v>1889</v>
      </c>
      <c r="F459" s="25" t="s">
        <v>8766</v>
      </c>
      <c r="G459" s="25" t="s">
        <v>10955</v>
      </c>
      <c r="H459" s="25" t="s">
        <v>10957</v>
      </c>
      <c r="I459" s="25" t="s">
        <v>11101</v>
      </c>
      <c r="J459" s="25" t="s">
        <v>10765</v>
      </c>
      <c r="L459" s="13">
        <v>2004</v>
      </c>
      <c r="M459" s="14" t="s">
        <v>5050</v>
      </c>
      <c r="N459" s="14" t="s">
        <v>5050</v>
      </c>
      <c r="O459" s="14" t="s">
        <v>4343</v>
      </c>
      <c r="P459" s="15" t="s">
        <v>3117</v>
      </c>
      <c r="Q459" s="16">
        <v>5200000</v>
      </c>
      <c r="R459" s="17">
        <v>41631</v>
      </c>
      <c r="S459" s="16" t="s">
        <v>5456</v>
      </c>
      <c r="T459" s="16">
        <v>4200000</v>
      </c>
      <c r="U459" s="14" t="s">
        <v>109</v>
      </c>
      <c r="V459" s="13">
        <v>3</v>
      </c>
      <c r="W459" s="17">
        <v>43970</v>
      </c>
      <c r="X459" s="14"/>
      <c r="Y459" s="17"/>
      <c r="Z459" s="17"/>
      <c r="AA459" s="14" t="s">
        <v>5315</v>
      </c>
      <c r="AB459" s="14" t="s">
        <v>5316</v>
      </c>
      <c r="AC459" s="14" t="s">
        <v>5317</v>
      </c>
      <c r="AD459" s="20" t="str">
        <f t="shared" si="29"/>
        <v>Crop Tech &gt; Farm Inputs &gt; Biologicals &gt; Crop Protection &gt; Plant Based
Chemicals Tech &gt; Green Chemicals &gt; Crop Protection &gt; Plant Based</v>
      </c>
      <c r="AE459" s="20" t="str">
        <f t="shared" si="28"/>
        <v>Crop Tech</v>
      </c>
      <c r="AF459" s="20" t="str">
        <f t="shared" si="30"/>
        <v>Farm Inputs</v>
      </c>
      <c r="AG459" s="20" t="str">
        <f t="shared" si="30"/>
        <v>Biologicals</v>
      </c>
      <c r="AH459" s="20" t="str">
        <f t="shared" si="30"/>
        <v>Crop Protection</v>
      </c>
      <c r="AI459" s="20" t="str">
        <f t="shared" si="30"/>
        <v>Plant Based
Chemicals Tech</v>
      </c>
      <c r="AJ459" s="20" t="str">
        <f t="shared" si="30"/>
        <v>Green Chemicals</v>
      </c>
      <c r="AK459" s="20" t="str">
        <f t="shared" si="30"/>
        <v>Crop Protection</v>
      </c>
      <c r="AL459" s="14" t="s">
        <v>4822</v>
      </c>
      <c r="AM459" s="14"/>
      <c r="AO459" s="14"/>
      <c r="AP459" s="14" t="s">
        <v>4343</v>
      </c>
      <c r="AQ459" s="14"/>
      <c r="AR459" s="14"/>
      <c r="AS459" s="14" t="s">
        <v>10306</v>
      </c>
      <c r="AT459" s="14" t="s">
        <v>10307</v>
      </c>
      <c r="AU459" s="14" t="s">
        <v>10308</v>
      </c>
      <c r="AV459" s="18" t="s">
        <v>10309</v>
      </c>
      <c r="AW459" s="16"/>
      <c r="AX459" s="17"/>
      <c r="AY459" s="15" t="s">
        <v>3123</v>
      </c>
      <c r="AZ459" s="17"/>
      <c r="BA459" s="16"/>
      <c r="BB459" s="14"/>
      <c r="BC459" s="14"/>
      <c r="BD459" s="15" t="s">
        <v>3123</v>
      </c>
      <c r="BE459" s="14"/>
      <c r="BF459" s="17"/>
      <c r="BG459" s="16"/>
      <c r="BH459" s="14"/>
      <c r="BI459" s="15" t="s">
        <v>3123</v>
      </c>
      <c r="BJ459" s="14"/>
      <c r="BK459" s="17"/>
      <c r="BL459" s="16"/>
      <c r="BM459" s="16"/>
      <c r="BN459" s="16"/>
      <c r="BO459" s="16"/>
      <c r="BP459" s="15" t="s">
        <v>3123</v>
      </c>
      <c r="BQ459" s="17"/>
      <c r="BR459" s="14"/>
      <c r="BS459" s="14"/>
      <c r="BT459" s="16"/>
      <c r="BU459" s="16"/>
      <c r="BV459" s="13"/>
      <c r="BW459" s="18" t="s">
        <v>10310</v>
      </c>
      <c r="BX459" s="13">
        <v>-1</v>
      </c>
      <c r="BY459" s="17">
        <v>44116</v>
      </c>
      <c r="BZ459" s="18" t="s">
        <v>10311</v>
      </c>
      <c r="CA459" s="18"/>
      <c r="CB459" s="18"/>
      <c r="CC459" s="18"/>
      <c r="CD459" s="14" t="s">
        <v>10312</v>
      </c>
      <c r="CE459" s="17">
        <v>43032</v>
      </c>
      <c r="CF459" s="16"/>
      <c r="CG459" s="17"/>
      <c r="CH459" s="16"/>
      <c r="CI459" s="17"/>
      <c r="CJ459" s="16"/>
      <c r="CK459" s="17"/>
      <c r="CL459" s="16"/>
      <c r="CM459" s="17"/>
      <c r="CN459" s="19">
        <v>24.945549964091907</v>
      </c>
      <c r="CO459" s="19"/>
      <c r="CP459" s="17"/>
      <c r="CQ459" s="14" t="s">
        <v>5345</v>
      </c>
      <c r="CR459" s="14" t="s">
        <v>7272</v>
      </c>
      <c r="CS459" s="14" t="s">
        <v>5945</v>
      </c>
    </row>
    <row r="460" spans="1:97" ht="26.15" customHeight="1">
      <c r="A460" s="2">
        <v>177</v>
      </c>
      <c r="B460" s="25" t="s">
        <v>1211</v>
      </c>
      <c r="C460" s="25" t="e">
        <f>VLOOKUP(B460, Sheet6!$A$1:$B$77, 2, FALSE)</f>
        <v>#N/A</v>
      </c>
      <c r="D460" s="25" t="s">
        <v>1212</v>
      </c>
      <c r="E460" s="25" t="s">
        <v>1216</v>
      </c>
      <c r="F460" s="25" t="s">
        <v>7267</v>
      </c>
      <c r="G460" s="25" t="s">
        <v>10955</v>
      </c>
      <c r="H460" s="25" t="s">
        <v>10959</v>
      </c>
      <c r="I460" s="25" t="s">
        <v>10958</v>
      </c>
      <c r="J460" s="52" t="s">
        <v>10846</v>
      </c>
      <c r="L460" s="13">
        <v>1977</v>
      </c>
      <c r="M460" s="14" t="s">
        <v>10138</v>
      </c>
      <c r="N460" s="14" t="s">
        <v>5164</v>
      </c>
      <c r="O460" s="14" t="s">
        <v>4343</v>
      </c>
      <c r="P460" s="15" t="s">
        <v>3117</v>
      </c>
      <c r="Q460" s="16">
        <v>11291283</v>
      </c>
      <c r="R460" s="17">
        <v>40330</v>
      </c>
      <c r="S460" s="16" t="s">
        <v>7460</v>
      </c>
      <c r="T460" s="16">
        <v>11291283</v>
      </c>
      <c r="U460" s="14" t="s">
        <v>5040</v>
      </c>
      <c r="V460" s="13">
        <v>5</v>
      </c>
      <c r="W460" s="17">
        <v>44006</v>
      </c>
      <c r="X460" s="14" t="s">
        <v>5052</v>
      </c>
      <c r="Y460" s="17">
        <v>43608</v>
      </c>
      <c r="Z460" s="17">
        <v>43617</v>
      </c>
      <c r="AA460" s="14" t="s">
        <v>1</v>
      </c>
      <c r="AB460" s="14" t="s">
        <v>5084</v>
      </c>
      <c r="AC460" s="14" t="s">
        <v>1783</v>
      </c>
      <c r="AD460" s="20" t="str">
        <f t="shared" si="29"/>
        <v>Livestock Tech &gt; Livestock Management Software &gt; Cattle</v>
      </c>
      <c r="AE460" s="20" t="str">
        <f t="shared" si="28"/>
        <v>Livestock Tech</v>
      </c>
      <c r="AF460" s="20" t="str">
        <f t="shared" si="30"/>
        <v>Livestock Management Software</v>
      </c>
      <c r="AG460" s="20" t="str">
        <f t="shared" si="30"/>
        <v>Cattle</v>
      </c>
      <c r="AH460" s="20" t="str">
        <f t="shared" si="30"/>
        <v/>
      </c>
      <c r="AI460" s="20" t="str">
        <f t="shared" si="30"/>
        <v/>
      </c>
      <c r="AJ460" s="20" t="str">
        <f t="shared" si="30"/>
        <v/>
      </c>
      <c r="AK460" s="20" t="str">
        <f t="shared" si="30"/>
        <v/>
      </c>
      <c r="AL460" s="14" t="s">
        <v>10328</v>
      </c>
      <c r="AM460" s="14" t="s">
        <v>10329</v>
      </c>
      <c r="AO460" s="14"/>
      <c r="AP460" s="14" t="s">
        <v>4343</v>
      </c>
      <c r="AQ460" s="14"/>
      <c r="AR460" s="14"/>
      <c r="AS460" s="14" t="s">
        <v>10331</v>
      </c>
      <c r="AT460" s="14"/>
      <c r="AU460" s="14"/>
      <c r="AV460" s="18" t="s">
        <v>10332</v>
      </c>
      <c r="AW460" s="16"/>
      <c r="AX460" s="17"/>
      <c r="AY460" s="15" t="s">
        <v>3123</v>
      </c>
      <c r="AZ460" s="17"/>
      <c r="BA460" s="16"/>
      <c r="BB460" s="14"/>
      <c r="BC460" s="14" t="s">
        <v>10333</v>
      </c>
      <c r="BD460" s="15" t="s">
        <v>3123</v>
      </c>
      <c r="BE460" s="14"/>
      <c r="BF460" s="17"/>
      <c r="BG460" s="16"/>
      <c r="BH460" s="14"/>
      <c r="BI460" s="15" t="s">
        <v>3123</v>
      </c>
      <c r="BJ460" s="14"/>
      <c r="BK460" s="17"/>
      <c r="BL460" s="16"/>
      <c r="BM460" s="16"/>
      <c r="BN460" s="16"/>
      <c r="BO460" s="16"/>
      <c r="BP460" s="15" t="s">
        <v>3123</v>
      </c>
      <c r="BQ460" s="17"/>
      <c r="BR460" s="14"/>
      <c r="BS460" s="14"/>
      <c r="BT460" s="16"/>
      <c r="BU460" s="16"/>
      <c r="BV460" s="13"/>
      <c r="BW460" s="18" t="s">
        <v>10334</v>
      </c>
      <c r="BX460" s="13">
        <v>200</v>
      </c>
      <c r="BY460" s="17">
        <v>44116</v>
      </c>
      <c r="BZ460" s="18" t="s">
        <v>10335</v>
      </c>
      <c r="CA460" s="18" t="s">
        <v>10336</v>
      </c>
      <c r="CB460" s="18" t="s">
        <v>10337</v>
      </c>
      <c r="CC460" s="18"/>
      <c r="CD460" s="14" t="s">
        <v>10338</v>
      </c>
      <c r="CE460" s="17">
        <v>42902</v>
      </c>
      <c r="CF460" s="16"/>
      <c r="CG460" s="17"/>
      <c r="CH460" s="16"/>
      <c r="CI460" s="17"/>
      <c r="CJ460" s="16"/>
      <c r="CK460" s="17"/>
      <c r="CL460" s="16"/>
      <c r="CM460" s="17"/>
      <c r="CN460" s="19">
        <v>56.53214395018955</v>
      </c>
      <c r="CO460" s="19"/>
      <c r="CP460" s="17"/>
      <c r="CQ460" s="14" t="s">
        <v>5036</v>
      </c>
      <c r="CR460" s="14" t="s">
        <v>5962</v>
      </c>
      <c r="CS460" s="14" t="s">
        <v>5945</v>
      </c>
    </row>
    <row r="461" spans="1:97" ht="26.15" customHeight="1">
      <c r="A461" s="2">
        <v>138</v>
      </c>
      <c r="B461" s="25" t="s">
        <v>1108</v>
      </c>
      <c r="C461" s="25" t="e">
        <f>VLOOKUP(B461, Sheet6!$A$1:$B$77, 2, FALSE)</f>
        <v>#N/A</v>
      </c>
      <c r="D461" s="25" t="s">
        <v>1109</v>
      </c>
      <c r="E461" s="25" t="s">
        <v>1113</v>
      </c>
      <c r="F461" s="25" t="s">
        <v>6778</v>
      </c>
      <c r="G461" s="25" t="s">
        <v>10955</v>
      </c>
      <c r="H461" s="25" t="s">
        <v>10957</v>
      </c>
      <c r="I461" s="25" t="s">
        <v>10958</v>
      </c>
      <c r="J461" s="26" t="s">
        <v>10842</v>
      </c>
      <c r="L461" s="13">
        <v>1994</v>
      </c>
      <c r="M461" s="14" t="s">
        <v>5067</v>
      </c>
      <c r="N461" s="14" t="s">
        <v>5068</v>
      </c>
      <c r="O461" s="14" t="s">
        <v>3994</v>
      </c>
      <c r="P461" s="15" t="s">
        <v>3117</v>
      </c>
      <c r="Q461" s="16">
        <v>50000000</v>
      </c>
      <c r="R461" s="17">
        <v>40724</v>
      </c>
      <c r="S461" s="16" t="s">
        <v>10314</v>
      </c>
      <c r="T461" s="16">
        <v>50000000</v>
      </c>
      <c r="U461" s="14" t="s">
        <v>5314</v>
      </c>
      <c r="V461" s="13">
        <v>2</v>
      </c>
      <c r="W461" s="17">
        <v>43973</v>
      </c>
      <c r="X461" s="14"/>
      <c r="Y461" s="17"/>
      <c r="Z461" s="17"/>
      <c r="AA461" s="14" t="s">
        <v>1</v>
      </c>
      <c r="AB461" s="14" t="s">
        <v>5007</v>
      </c>
      <c r="AC461" s="14" t="s">
        <v>10339</v>
      </c>
      <c r="AD461" s="20" t="str">
        <f t="shared" si="29"/>
        <v>Crop Tech &gt; Farm Inputs &gt; Seeds &gt; Horticulture &gt; Hybrid</v>
      </c>
      <c r="AE461" s="20" t="str">
        <f t="shared" si="28"/>
        <v>Crop Tech</v>
      </c>
      <c r="AF461" s="20" t="str">
        <f t="shared" si="30"/>
        <v>Farm Inputs</v>
      </c>
      <c r="AG461" s="20" t="str">
        <f t="shared" si="30"/>
        <v>Seeds</v>
      </c>
      <c r="AH461" s="20" t="str">
        <f t="shared" si="30"/>
        <v>Horticulture</v>
      </c>
      <c r="AI461" s="20" t="str">
        <f t="shared" si="30"/>
        <v>Hybrid</v>
      </c>
      <c r="AJ461" s="20" t="str">
        <f t="shared" si="30"/>
        <v/>
      </c>
      <c r="AK461" s="20" t="str">
        <f t="shared" si="30"/>
        <v/>
      </c>
      <c r="AL461" s="14" t="s">
        <v>10340</v>
      </c>
      <c r="AM461" s="14"/>
      <c r="AO461" s="14"/>
      <c r="AP461" s="14" t="s">
        <v>3994</v>
      </c>
      <c r="AQ461" s="14"/>
      <c r="AR461" s="14" t="s">
        <v>10342</v>
      </c>
      <c r="AS461" s="14" t="s">
        <v>10343</v>
      </c>
      <c r="AT461" s="14" t="s">
        <v>10344</v>
      </c>
      <c r="AU461" s="14" t="s">
        <v>10345</v>
      </c>
      <c r="AV461" s="18" t="s">
        <v>10346</v>
      </c>
      <c r="AW461" s="16"/>
      <c r="AX461" s="17"/>
      <c r="AY461" s="15" t="s">
        <v>3123</v>
      </c>
      <c r="AZ461" s="17"/>
      <c r="BA461" s="16"/>
      <c r="BB461" s="14"/>
      <c r="BC461" s="14"/>
      <c r="BD461" s="15" t="s">
        <v>3123</v>
      </c>
      <c r="BE461" s="14"/>
      <c r="BF461" s="17"/>
      <c r="BG461" s="16"/>
      <c r="BH461" s="14"/>
      <c r="BI461" s="15" t="s">
        <v>3117</v>
      </c>
      <c r="BJ461" s="14" t="s">
        <v>10347</v>
      </c>
      <c r="BK461" s="17">
        <v>39176</v>
      </c>
      <c r="BL461" s="16"/>
      <c r="BM461" s="16"/>
      <c r="BN461" s="16"/>
      <c r="BO461" s="16"/>
      <c r="BP461" s="15" t="s">
        <v>3123</v>
      </c>
      <c r="BQ461" s="17"/>
      <c r="BR461" s="14"/>
      <c r="BS461" s="14"/>
      <c r="BT461" s="16"/>
      <c r="BU461" s="16"/>
      <c r="BV461" s="13"/>
      <c r="BW461" s="18" t="s">
        <v>10348</v>
      </c>
      <c r="BX461" s="13">
        <v>200</v>
      </c>
      <c r="BY461" s="17">
        <v>44116</v>
      </c>
      <c r="BZ461" s="18" t="s">
        <v>10349</v>
      </c>
      <c r="CA461" s="18"/>
      <c r="CB461" s="18"/>
      <c r="CC461" s="18"/>
      <c r="CD461" s="14" t="s">
        <v>10350</v>
      </c>
      <c r="CE461" s="17">
        <v>43298</v>
      </c>
      <c r="CF461" s="16"/>
      <c r="CG461" s="17"/>
      <c r="CH461" s="16"/>
      <c r="CI461" s="17"/>
      <c r="CJ461" s="16"/>
      <c r="CK461" s="17"/>
      <c r="CL461" s="16"/>
      <c r="CM461" s="17"/>
      <c r="CN461" s="19">
        <v>29.400344679252139</v>
      </c>
      <c r="CO461" s="19"/>
      <c r="CP461" s="17"/>
      <c r="CQ461" s="14" t="s">
        <v>5345</v>
      </c>
      <c r="CR461" s="14" t="s">
        <v>10351</v>
      </c>
      <c r="CS461" s="14" t="s">
        <v>5620</v>
      </c>
    </row>
    <row r="462" spans="1:97" ht="26.15" customHeight="1">
      <c r="A462" s="2">
        <v>398</v>
      </c>
      <c r="B462" s="25" t="s">
        <v>2762</v>
      </c>
      <c r="C462" s="25" t="e">
        <f>VLOOKUP(B462, Sheet6!$A$1:$B$77, 2, FALSE)</f>
        <v>#N/A</v>
      </c>
      <c r="D462" s="25" t="s">
        <v>2763</v>
      </c>
      <c r="E462" s="25" t="s">
        <v>2765</v>
      </c>
      <c r="F462" s="25" t="s">
        <v>9304</v>
      </c>
      <c r="G462" s="25" t="s">
        <v>10952</v>
      </c>
      <c r="H462" s="25" t="s">
        <v>10959</v>
      </c>
      <c r="I462" s="25" t="s">
        <v>10558</v>
      </c>
      <c r="J462" s="25" t="s">
        <v>10842</v>
      </c>
      <c r="L462" s="13">
        <v>2011</v>
      </c>
      <c r="M462" s="14" t="s">
        <v>10352</v>
      </c>
      <c r="N462" s="14" t="s">
        <v>10353</v>
      </c>
      <c r="O462" s="14" t="s">
        <v>10354</v>
      </c>
      <c r="P462" s="15" t="s">
        <v>3117</v>
      </c>
      <c r="Q462" s="16">
        <v>150000</v>
      </c>
      <c r="R462" s="17">
        <v>41610</v>
      </c>
      <c r="S462" s="16" t="s">
        <v>5105</v>
      </c>
      <c r="T462" s="16">
        <v>150000</v>
      </c>
      <c r="U462" s="14" t="s">
        <v>34</v>
      </c>
      <c r="V462" s="13"/>
      <c r="W462" s="17"/>
      <c r="X462" s="14"/>
      <c r="Y462" s="17"/>
      <c r="Z462" s="17"/>
      <c r="AA462" s="14" t="s">
        <v>5947</v>
      </c>
      <c r="AB462" s="14" t="s">
        <v>7296</v>
      </c>
      <c r="AC462" s="14" t="s">
        <v>10355</v>
      </c>
      <c r="AD462" s="20" t="str">
        <f t="shared" si="29"/>
        <v>MarketingTech &gt; Suite &gt; SMB
Crop Tech &gt; Content Platforms &gt; Farming Advice &gt; Expert Advisors</v>
      </c>
      <c r="AE462" s="20" t="str">
        <f t="shared" si="28"/>
        <v>MarketingTech</v>
      </c>
      <c r="AF462" s="20" t="str">
        <f t="shared" si="30"/>
        <v>Suite</v>
      </c>
      <c r="AG462" s="20" t="str">
        <f t="shared" si="30"/>
        <v>SMB
Crop Tech</v>
      </c>
      <c r="AH462" s="20" t="str">
        <f t="shared" si="30"/>
        <v>Content Platforms</v>
      </c>
      <c r="AI462" s="20" t="str">
        <f t="shared" si="30"/>
        <v>Farming Advice</v>
      </c>
      <c r="AJ462" s="20" t="str">
        <f t="shared" si="30"/>
        <v>Expert Advisors</v>
      </c>
      <c r="AK462" s="20" t="str">
        <f t="shared" si="30"/>
        <v/>
      </c>
      <c r="AL462" s="14" t="s">
        <v>10356</v>
      </c>
      <c r="AM462" s="14"/>
      <c r="AO462" s="14"/>
      <c r="AP462" s="14" t="s">
        <v>10358</v>
      </c>
      <c r="AQ462" s="14" t="s">
        <v>10359</v>
      </c>
      <c r="AR462" s="14"/>
      <c r="AS462" s="14" t="s">
        <v>10360</v>
      </c>
      <c r="AT462" s="14" t="s">
        <v>10361</v>
      </c>
      <c r="AU462" s="14" t="s">
        <v>10362</v>
      </c>
      <c r="AV462" s="18" t="s">
        <v>10363</v>
      </c>
      <c r="AW462" s="16"/>
      <c r="AX462" s="17"/>
      <c r="AY462" s="15" t="s">
        <v>3123</v>
      </c>
      <c r="AZ462" s="17"/>
      <c r="BA462" s="16"/>
      <c r="BB462" s="14"/>
      <c r="BC462" s="14"/>
      <c r="BD462" s="15" t="s">
        <v>3123</v>
      </c>
      <c r="BE462" s="14"/>
      <c r="BF462" s="17"/>
      <c r="BG462" s="16"/>
      <c r="BH462" s="14"/>
      <c r="BI462" s="15" t="s">
        <v>3123</v>
      </c>
      <c r="BJ462" s="14"/>
      <c r="BK462" s="17"/>
      <c r="BL462" s="16"/>
      <c r="BM462" s="16"/>
      <c r="BN462" s="16"/>
      <c r="BO462" s="16"/>
      <c r="BP462" s="15" t="s">
        <v>3123</v>
      </c>
      <c r="BQ462" s="17"/>
      <c r="BR462" s="14"/>
      <c r="BS462" s="14"/>
      <c r="BT462" s="16"/>
      <c r="BU462" s="16"/>
      <c r="BV462" s="13"/>
      <c r="BW462" s="18" t="s">
        <v>10364</v>
      </c>
      <c r="BX462" s="13">
        <v>200</v>
      </c>
      <c r="BY462" s="17">
        <v>44116</v>
      </c>
      <c r="BZ462" s="18" t="s">
        <v>10365</v>
      </c>
      <c r="CA462" s="18" t="s">
        <v>10366</v>
      </c>
      <c r="CB462" s="18" t="s">
        <v>10367</v>
      </c>
      <c r="CC462" s="18" t="s">
        <v>10368</v>
      </c>
      <c r="CD462" s="14" t="s">
        <v>10369</v>
      </c>
      <c r="CE462" s="17">
        <v>42510</v>
      </c>
      <c r="CF462" s="16"/>
      <c r="CG462" s="17"/>
      <c r="CH462" s="16"/>
      <c r="CI462" s="17"/>
      <c r="CJ462" s="16"/>
      <c r="CK462" s="17"/>
      <c r="CL462" s="16"/>
      <c r="CM462" s="17"/>
      <c r="CN462" s="19">
        <v>45.419617495813974</v>
      </c>
      <c r="CO462" s="19"/>
      <c r="CP462" s="17"/>
      <c r="CQ462" s="14" t="s">
        <v>5036</v>
      </c>
      <c r="CR462" s="14" t="s">
        <v>5962</v>
      </c>
      <c r="CS462" s="14" t="s">
        <v>5945</v>
      </c>
    </row>
    <row r="463" spans="1:97" ht="26.15" customHeight="1">
      <c r="A463" s="2">
        <v>81</v>
      </c>
      <c r="B463" s="25" t="s">
        <v>1932</v>
      </c>
      <c r="C463" s="25" t="e">
        <f>VLOOKUP(B463, Sheet6!$A$1:$B$77, 2, FALSE)</f>
        <v>#N/A</v>
      </c>
      <c r="D463" s="25" t="s">
        <v>1933</v>
      </c>
      <c r="E463" s="25" t="s">
        <v>1934</v>
      </c>
      <c r="F463" s="25" t="s">
        <v>6068</v>
      </c>
      <c r="G463" s="25" t="s">
        <v>11118</v>
      </c>
      <c r="H463" s="25" t="s">
        <v>10957</v>
      </c>
      <c r="I463" s="25" t="s">
        <v>10958</v>
      </c>
      <c r="J463" s="26" t="s">
        <v>10965</v>
      </c>
      <c r="L463" s="13">
        <v>2013</v>
      </c>
      <c r="M463" s="14" t="s">
        <v>5312</v>
      </c>
      <c r="N463" s="14" t="s">
        <v>5313</v>
      </c>
      <c r="O463" s="14" t="s">
        <v>3994</v>
      </c>
      <c r="P463" s="15" t="s">
        <v>3117</v>
      </c>
      <c r="Q463" s="16">
        <v>1500000</v>
      </c>
      <c r="R463" s="17">
        <v>41730</v>
      </c>
      <c r="S463" s="16" t="s">
        <v>5022</v>
      </c>
      <c r="T463" s="16">
        <v>1500000</v>
      </c>
      <c r="U463" s="14" t="s">
        <v>5630</v>
      </c>
      <c r="V463" s="13"/>
      <c r="W463" s="17"/>
      <c r="X463" s="14"/>
      <c r="Y463" s="17"/>
      <c r="Z463" s="17"/>
      <c r="AA463" s="14" t="s">
        <v>4995</v>
      </c>
      <c r="AB463" s="14" t="s">
        <v>5578</v>
      </c>
      <c r="AC463" s="14" t="s">
        <v>10370</v>
      </c>
      <c r="AD463" s="20" t="str">
        <f t="shared" si="29"/>
        <v>Online Grocery &gt; B2C Ecommerce &gt; Fruits and Vegetables
Crop Tech &gt; ECommerce &gt; Farm Produce &gt; B2C &gt; Fruits and Vegetables &gt; Farm to Home &gt; Organic</v>
      </c>
      <c r="AE463" s="20" t="str">
        <f t="shared" si="28"/>
        <v>Online Grocery</v>
      </c>
      <c r="AF463" s="20" t="str">
        <f t="shared" si="30"/>
        <v>B2C Ecommerce</v>
      </c>
      <c r="AG463" s="20" t="str">
        <f t="shared" si="30"/>
        <v>Fruits and Vegetables
Crop Tech</v>
      </c>
      <c r="AH463" s="20" t="str">
        <f t="shared" si="30"/>
        <v>ECommerce</v>
      </c>
      <c r="AI463" s="20" t="str">
        <f t="shared" si="30"/>
        <v>Farm Produce</v>
      </c>
      <c r="AJ463" s="20" t="str">
        <f t="shared" si="30"/>
        <v>B2C</v>
      </c>
      <c r="AK463" s="20" t="str">
        <f t="shared" si="30"/>
        <v>Fruits and Vegetables</v>
      </c>
      <c r="AL463" s="14"/>
      <c r="AM463" s="14"/>
      <c r="AO463" s="14"/>
      <c r="AP463" s="14" t="s">
        <v>3994</v>
      </c>
      <c r="AQ463" s="14"/>
      <c r="AR463" s="14"/>
      <c r="AS463" s="14" t="s">
        <v>10372</v>
      </c>
      <c r="AT463" s="14" t="s">
        <v>10373</v>
      </c>
      <c r="AU463" s="14" t="s">
        <v>10374</v>
      </c>
      <c r="AV463" s="18" t="s">
        <v>10375</v>
      </c>
      <c r="AW463" s="16"/>
      <c r="AX463" s="17"/>
      <c r="AY463" s="15" t="s">
        <v>3123</v>
      </c>
      <c r="AZ463" s="17"/>
      <c r="BA463" s="16"/>
      <c r="BB463" s="14"/>
      <c r="BC463" s="14"/>
      <c r="BD463" s="15" t="s">
        <v>3123</v>
      </c>
      <c r="BE463" s="14"/>
      <c r="BF463" s="17"/>
      <c r="BG463" s="16"/>
      <c r="BH463" s="14"/>
      <c r="BI463" s="15" t="s">
        <v>3123</v>
      </c>
      <c r="BJ463" s="14"/>
      <c r="BK463" s="17"/>
      <c r="BL463" s="16"/>
      <c r="BM463" s="16"/>
      <c r="BN463" s="16"/>
      <c r="BO463" s="16"/>
      <c r="BP463" s="15" t="s">
        <v>3117</v>
      </c>
      <c r="BQ463" s="17">
        <v>42254</v>
      </c>
      <c r="BR463" s="14"/>
      <c r="BS463" s="14"/>
      <c r="BT463" s="16"/>
      <c r="BU463" s="16"/>
      <c r="BV463" s="13"/>
      <c r="BW463" s="18" t="s">
        <v>10376</v>
      </c>
      <c r="BX463" s="13">
        <v>200</v>
      </c>
      <c r="BY463" s="17">
        <v>44116</v>
      </c>
      <c r="BZ463" s="18" t="s">
        <v>10377</v>
      </c>
      <c r="CA463" s="18" t="s">
        <v>10378</v>
      </c>
      <c r="CB463" s="18" t="s">
        <v>10379</v>
      </c>
      <c r="CC463" s="18"/>
      <c r="CD463" s="14" t="s">
        <v>10380</v>
      </c>
      <c r="CE463" s="17">
        <v>42185</v>
      </c>
      <c r="CF463" s="16"/>
      <c r="CG463" s="17"/>
      <c r="CH463" s="16"/>
      <c r="CI463" s="17"/>
      <c r="CJ463" s="16"/>
      <c r="CK463" s="17"/>
      <c r="CL463" s="16"/>
      <c r="CM463" s="17"/>
      <c r="CN463" s="19">
        <v>17.449894829106185</v>
      </c>
      <c r="CO463" s="19"/>
      <c r="CP463" s="17"/>
      <c r="CQ463" s="14" t="s">
        <v>5082</v>
      </c>
      <c r="CR463" s="14"/>
      <c r="CS463" s="14" t="s">
        <v>7966</v>
      </c>
    </row>
    <row r="464" spans="1:97" ht="26.15" customHeight="1">
      <c r="A464" s="2">
        <v>365</v>
      </c>
      <c r="B464" s="25" t="s">
        <v>2290</v>
      </c>
      <c r="C464" s="25" t="e">
        <f>VLOOKUP(B464, Sheet6!$A$1:$B$77, 2, FALSE)</f>
        <v>#N/A</v>
      </c>
      <c r="D464" s="25" t="s">
        <v>2291</v>
      </c>
      <c r="E464" s="25" t="s">
        <v>2293</v>
      </c>
      <c r="F464" s="25" t="s">
        <v>9151</v>
      </c>
      <c r="G464" s="25" t="s">
        <v>10954</v>
      </c>
      <c r="H464" s="25" t="s">
        <v>10959</v>
      </c>
      <c r="I464" s="25" t="s">
        <v>10558</v>
      </c>
      <c r="J464" s="25" t="s">
        <v>10737</v>
      </c>
      <c r="L464" s="13">
        <v>2013</v>
      </c>
      <c r="M464" s="14" t="s">
        <v>10381</v>
      </c>
      <c r="N464" s="14" t="s">
        <v>6004</v>
      </c>
      <c r="O464" s="14" t="s">
        <v>4343</v>
      </c>
      <c r="P464" s="15" t="s">
        <v>3117</v>
      </c>
      <c r="Q464" s="16">
        <v>450000</v>
      </c>
      <c r="R464" s="17">
        <v>42751</v>
      </c>
      <c r="S464" s="16"/>
      <c r="T464" s="16" t="s">
        <v>50</v>
      </c>
      <c r="U464" s="14" t="s">
        <v>5630</v>
      </c>
      <c r="V464" s="13"/>
      <c r="W464" s="17">
        <v>44002</v>
      </c>
      <c r="X464" s="14"/>
      <c r="Y464" s="17"/>
      <c r="Z464" s="17"/>
      <c r="AA464" s="14" t="s">
        <v>8102</v>
      </c>
      <c r="AB464" s="14" t="s">
        <v>10382</v>
      </c>
      <c r="AC464" s="14" t="s">
        <v>10383</v>
      </c>
      <c r="AD464" s="20" t="str">
        <f t="shared" si="29"/>
        <v>Smart Homes &gt; Gardening &gt; Sprinkler Controllers
Crop Tech &gt; Autonomous Farming &gt; Gardening &gt; Sprinkler Controllers
Water and Wastewater Management Tech &gt; Smart Irrigation &gt; Gardening &gt; Smart Sprinkler Controllers</v>
      </c>
      <c r="AE464" s="20" t="str">
        <f t="shared" si="28"/>
        <v>Smart Homes</v>
      </c>
      <c r="AF464" s="20" t="str">
        <f t="shared" si="30"/>
        <v>Gardening</v>
      </c>
      <c r="AG464" s="20" t="str">
        <f t="shared" si="30"/>
        <v>Sprinkler Controllers
Crop Tech</v>
      </c>
      <c r="AH464" s="20" t="str">
        <f t="shared" si="30"/>
        <v>Autonomous Farming</v>
      </c>
      <c r="AI464" s="20" t="str">
        <f t="shared" si="30"/>
        <v>Gardening</v>
      </c>
      <c r="AJ464" s="20" t="str">
        <f t="shared" si="30"/>
        <v>Sprinkler Controllers
Water and Wastewater Management Tech</v>
      </c>
      <c r="AK464" s="20" t="str">
        <f t="shared" si="30"/>
        <v>Smart Irrigation</v>
      </c>
      <c r="AL464" s="14" t="s">
        <v>10384</v>
      </c>
      <c r="AM464" s="14"/>
      <c r="AO464" s="14"/>
      <c r="AP464" s="14" t="s">
        <v>4343</v>
      </c>
      <c r="AQ464" s="14" t="s">
        <v>10386</v>
      </c>
      <c r="AR464" s="14"/>
      <c r="AS464" s="14" t="s">
        <v>10387</v>
      </c>
      <c r="AT464" s="14" t="s">
        <v>10388</v>
      </c>
      <c r="AU464" s="14" t="s">
        <v>10389</v>
      </c>
      <c r="AV464" s="18" t="s">
        <v>10390</v>
      </c>
      <c r="AW464" s="16"/>
      <c r="AX464" s="17"/>
      <c r="AY464" s="15" t="s">
        <v>3123</v>
      </c>
      <c r="AZ464" s="17"/>
      <c r="BA464" s="16"/>
      <c r="BB464" s="14"/>
      <c r="BC464" s="14"/>
      <c r="BD464" s="15" t="s">
        <v>3123</v>
      </c>
      <c r="BE464" s="14"/>
      <c r="BF464" s="17"/>
      <c r="BG464" s="16"/>
      <c r="BH464" s="14"/>
      <c r="BI464" s="15" t="s">
        <v>3123</v>
      </c>
      <c r="BJ464" s="14"/>
      <c r="BK464" s="17"/>
      <c r="BL464" s="16"/>
      <c r="BM464" s="16"/>
      <c r="BN464" s="16"/>
      <c r="BO464" s="16"/>
      <c r="BP464" s="15" t="s">
        <v>3117</v>
      </c>
      <c r="BQ464" s="17">
        <v>43252</v>
      </c>
      <c r="BR464" s="14"/>
      <c r="BS464" s="14"/>
      <c r="BT464" s="16"/>
      <c r="BU464" s="16"/>
      <c r="BV464" s="13"/>
      <c r="BW464" s="18" t="s">
        <v>10391</v>
      </c>
      <c r="BX464" s="13">
        <v>200</v>
      </c>
      <c r="BY464" s="17">
        <v>44116</v>
      </c>
      <c r="BZ464" s="18" t="s">
        <v>10392</v>
      </c>
      <c r="CA464" s="18" t="s">
        <v>10393</v>
      </c>
      <c r="CB464" s="18" t="s">
        <v>10394</v>
      </c>
      <c r="CC464" s="18" t="s">
        <v>10395</v>
      </c>
      <c r="CD464" s="14" t="s">
        <v>10396</v>
      </c>
      <c r="CE464" s="17">
        <v>43185</v>
      </c>
      <c r="CF464" s="16"/>
      <c r="CG464" s="17"/>
      <c r="CH464" s="16"/>
      <c r="CI464" s="17"/>
      <c r="CJ464" s="16"/>
      <c r="CK464" s="17"/>
      <c r="CL464" s="16"/>
      <c r="CM464" s="17"/>
      <c r="CN464" s="19">
        <v>36.670238893651849</v>
      </c>
      <c r="CO464" s="19"/>
      <c r="CP464" s="17"/>
      <c r="CQ464" s="14" t="s">
        <v>5247</v>
      </c>
      <c r="CR464" s="14" t="s">
        <v>6839</v>
      </c>
      <c r="CS464" s="14" t="s">
        <v>5945</v>
      </c>
    </row>
    <row r="465" spans="1:97" ht="26.15" customHeight="1">
      <c r="A465" s="2">
        <v>362</v>
      </c>
      <c r="B465" s="25" t="s">
        <v>2126</v>
      </c>
      <c r="C465" s="25" t="e">
        <f>VLOOKUP(B465, Sheet6!$A$1:$B$77, 2, FALSE)</f>
        <v>#N/A</v>
      </c>
      <c r="D465" s="25" t="s">
        <v>2127</v>
      </c>
      <c r="E465" s="25" t="s">
        <v>2128</v>
      </c>
      <c r="F465" s="25" t="s">
        <v>9135</v>
      </c>
      <c r="G465" s="25" t="s">
        <v>10955</v>
      </c>
      <c r="H465" s="25" t="s">
        <v>10558</v>
      </c>
      <c r="I465" s="25" t="s">
        <v>10558</v>
      </c>
      <c r="J465" s="25" t="s">
        <v>10842</v>
      </c>
      <c r="L465" s="13">
        <v>2013</v>
      </c>
      <c r="M465" s="14" t="s">
        <v>5038</v>
      </c>
      <c r="N465" s="14" t="s">
        <v>5039</v>
      </c>
      <c r="O465" s="14" t="s">
        <v>3994</v>
      </c>
      <c r="P465" s="15" t="s">
        <v>3117</v>
      </c>
      <c r="Q465" s="16">
        <v>133229</v>
      </c>
      <c r="R465" s="17">
        <v>43075</v>
      </c>
      <c r="S465" s="16" t="s">
        <v>8764</v>
      </c>
      <c r="T465" s="16">
        <v>69074</v>
      </c>
      <c r="U465" s="14" t="s">
        <v>34</v>
      </c>
      <c r="V465" s="13">
        <v>4</v>
      </c>
      <c r="W465" s="17">
        <v>44057</v>
      </c>
      <c r="X465" s="14"/>
      <c r="Y465" s="17"/>
      <c r="Z465" s="17"/>
      <c r="AA465" s="14" t="s">
        <v>5041</v>
      </c>
      <c r="AB465" s="14" t="s">
        <v>5042</v>
      </c>
      <c r="AC465" s="14" t="s">
        <v>5486</v>
      </c>
      <c r="AD465" s="20" t="str">
        <f t="shared" si="29"/>
        <v>IoT Applications &gt; Industry Specific &gt; Agriculture &gt; Farms
Crop Tech &gt; Farm Analytics &gt; Multispectral Sensing</v>
      </c>
      <c r="AE465" s="20" t="str">
        <f t="shared" si="28"/>
        <v>IoT Applications</v>
      </c>
      <c r="AF465" s="20" t="str">
        <f t="shared" si="30"/>
        <v>Industry Specific</v>
      </c>
      <c r="AG465" s="20" t="str">
        <f t="shared" si="30"/>
        <v>Agriculture</v>
      </c>
      <c r="AH465" s="20" t="str">
        <f t="shared" si="30"/>
        <v>Farms
Crop Tech</v>
      </c>
      <c r="AI465" s="20" t="str">
        <f t="shared" si="30"/>
        <v>Farm Analytics</v>
      </c>
      <c r="AJ465" s="20" t="str">
        <f t="shared" si="30"/>
        <v>Multispectral Sensing</v>
      </c>
      <c r="AK465" s="20" t="str">
        <f t="shared" si="30"/>
        <v/>
      </c>
      <c r="AL465" s="14" t="s">
        <v>3639</v>
      </c>
      <c r="AM465" s="14" t="s">
        <v>8765</v>
      </c>
      <c r="AO465" s="14"/>
      <c r="AP465" s="14" t="s">
        <v>3994</v>
      </c>
      <c r="AQ465" s="14"/>
      <c r="AR465" s="14"/>
      <c r="AS465" s="14" t="s">
        <v>8767</v>
      </c>
      <c r="AT465" s="14" t="s">
        <v>8768</v>
      </c>
      <c r="AU465" s="14" t="s">
        <v>8769</v>
      </c>
      <c r="AV465" s="18"/>
      <c r="AW465" s="16">
        <v>76500</v>
      </c>
      <c r="AX465" s="17">
        <v>43100</v>
      </c>
      <c r="AY465" s="15" t="s">
        <v>3117</v>
      </c>
      <c r="AZ465" s="17">
        <v>41551</v>
      </c>
      <c r="BA465" s="16">
        <v>1618</v>
      </c>
      <c r="BB465" s="14" t="s">
        <v>8770</v>
      </c>
      <c r="BC465" s="14"/>
      <c r="BD465" s="15" t="s">
        <v>3123</v>
      </c>
      <c r="BE465" s="14"/>
      <c r="BF465" s="17"/>
      <c r="BG465" s="16"/>
      <c r="BH465" s="14"/>
      <c r="BI465" s="15" t="s">
        <v>3123</v>
      </c>
      <c r="BJ465" s="14"/>
      <c r="BK465" s="17"/>
      <c r="BL465" s="16"/>
      <c r="BM465" s="16"/>
      <c r="BN465" s="16"/>
      <c r="BO465" s="16"/>
      <c r="BP465" s="15" t="s">
        <v>3123</v>
      </c>
      <c r="BQ465" s="17"/>
      <c r="BR465" s="14"/>
      <c r="BS465" s="14"/>
      <c r="BT465" s="16"/>
      <c r="BU465" s="16"/>
      <c r="BV465" s="13"/>
      <c r="BW465" s="18" t="s">
        <v>8771</v>
      </c>
      <c r="BX465" s="13">
        <v>200</v>
      </c>
      <c r="BY465" s="17">
        <v>44116</v>
      </c>
      <c r="BZ465" s="18" t="s">
        <v>8772</v>
      </c>
      <c r="CA465" s="18" t="s">
        <v>8773</v>
      </c>
      <c r="CB465" s="18" t="s">
        <v>8774</v>
      </c>
      <c r="CC465" s="18"/>
      <c r="CD465" s="14" t="s">
        <v>8775</v>
      </c>
      <c r="CE465" s="17">
        <v>42929</v>
      </c>
      <c r="CF465" s="16">
        <v>-20800</v>
      </c>
      <c r="CG465" s="17">
        <v>43100</v>
      </c>
      <c r="CH465" s="16">
        <v>-20800</v>
      </c>
      <c r="CI465" s="17">
        <v>43100</v>
      </c>
      <c r="CJ465" s="16"/>
      <c r="CK465" s="17"/>
      <c r="CL465" s="16"/>
      <c r="CM465" s="17"/>
      <c r="CN465" s="19">
        <v>38.739234556602689</v>
      </c>
      <c r="CO465" s="19"/>
      <c r="CP465" s="17"/>
      <c r="CQ465" s="14" t="s">
        <v>5036</v>
      </c>
      <c r="CR465" s="14" t="s">
        <v>5962</v>
      </c>
      <c r="CS465" s="14" t="s">
        <v>5945</v>
      </c>
    </row>
    <row r="466" spans="1:97" ht="26.15" customHeight="1">
      <c r="A466" s="2">
        <v>254</v>
      </c>
      <c r="B466" s="25" t="s">
        <v>878</v>
      </c>
      <c r="C466" s="25" t="e">
        <f>VLOOKUP(B466, Sheet6!$A$1:$B$77, 2, FALSE)</f>
        <v>#N/A</v>
      </c>
      <c r="D466" s="25" t="s">
        <v>879</v>
      </c>
      <c r="E466" s="25" t="s">
        <v>883</v>
      </c>
      <c r="F466" s="25" t="s">
        <v>8198</v>
      </c>
      <c r="G466" s="25" t="s">
        <v>10952</v>
      </c>
      <c r="H466" s="25" t="s">
        <v>10957</v>
      </c>
      <c r="I466" s="25" t="s">
        <v>10558</v>
      </c>
      <c r="J466" s="25" t="s">
        <v>10821</v>
      </c>
      <c r="L466" s="13">
        <v>2012</v>
      </c>
      <c r="M466" s="14" t="s">
        <v>8776</v>
      </c>
      <c r="N466" s="14" t="s">
        <v>6480</v>
      </c>
      <c r="O466" s="14" t="s">
        <v>3994</v>
      </c>
      <c r="P466" s="15" t="s">
        <v>3117</v>
      </c>
      <c r="Q466" s="16">
        <v>6780764</v>
      </c>
      <c r="R466" s="17">
        <v>43220</v>
      </c>
      <c r="S466" s="16" t="s">
        <v>5543</v>
      </c>
      <c r="T466" s="16">
        <v>5439750</v>
      </c>
      <c r="U466" s="14" t="s">
        <v>25</v>
      </c>
      <c r="V466" s="13">
        <v>5</v>
      </c>
      <c r="W466" s="17">
        <v>44098</v>
      </c>
      <c r="X466" s="14"/>
      <c r="Y466" s="17"/>
      <c r="Z466" s="17"/>
      <c r="AA466" s="14" t="s">
        <v>5041</v>
      </c>
      <c r="AB466" s="14" t="s">
        <v>6243</v>
      </c>
      <c r="AC466" s="14" t="s">
        <v>8777</v>
      </c>
      <c r="AD466" s="20" t="str">
        <f t="shared" si="29"/>
        <v>IoT Applications &gt; Industry Specific &gt; Agriculture &gt; Aquaculture
Aquaculture Tech &gt; Farm Monitoring &gt; Diversified</v>
      </c>
      <c r="AE466" s="20" t="str">
        <f t="shared" si="28"/>
        <v>IoT Applications</v>
      </c>
      <c r="AF466" s="20" t="str">
        <f t="shared" si="30"/>
        <v>Industry Specific</v>
      </c>
      <c r="AG466" s="20" t="str">
        <f t="shared" si="30"/>
        <v>Agriculture</v>
      </c>
      <c r="AH466" s="20" t="str">
        <f t="shared" si="30"/>
        <v>Aquaculture
Aquaculture Tech</v>
      </c>
      <c r="AI466" s="20" t="str">
        <f t="shared" si="30"/>
        <v>Farm Monitoring</v>
      </c>
      <c r="AJ466" s="20" t="str">
        <f t="shared" si="30"/>
        <v>Diversified</v>
      </c>
      <c r="AK466" s="20" t="str">
        <f t="shared" si="30"/>
        <v/>
      </c>
      <c r="AL466" s="14" t="s">
        <v>8778</v>
      </c>
      <c r="AM466" s="14"/>
      <c r="AO466" s="14"/>
      <c r="AP466" s="14" t="s">
        <v>3994</v>
      </c>
      <c r="AQ466" s="14"/>
      <c r="AR466" s="14"/>
      <c r="AS466" s="14" t="s">
        <v>8780</v>
      </c>
      <c r="AT466" s="14" t="s">
        <v>8781</v>
      </c>
      <c r="AU466" s="14" t="s">
        <v>8782</v>
      </c>
      <c r="AV466" s="18" t="s">
        <v>8783</v>
      </c>
      <c r="AW466" s="16">
        <v>1360200</v>
      </c>
      <c r="AX466" s="17">
        <v>43465</v>
      </c>
      <c r="AY466" s="15" t="s">
        <v>3117</v>
      </c>
      <c r="AZ466" s="17">
        <v>41187</v>
      </c>
      <c r="BA466" s="16">
        <v>1931</v>
      </c>
      <c r="BB466" s="14" t="s">
        <v>8784</v>
      </c>
      <c r="BC466" s="14"/>
      <c r="BD466" s="15" t="s">
        <v>3123</v>
      </c>
      <c r="BE466" s="14"/>
      <c r="BF466" s="17"/>
      <c r="BG466" s="16"/>
      <c r="BH466" s="14"/>
      <c r="BI466" s="15" t="s">
        <v>3123</v>
      </c>
      <c r="BJ466" s="14"/>
      <c r="BK466" s="17"/>
      <c r="BL466" s="16"/>
      <c r="BM466" s="16"/>
      <c r="BN466" s="16"/>
      <c r="BO466" s="16"/>
      <c r="BP466" s="15" t="s">
        <v>3123</v>
      </c>
      <c r="BQ466" s="17"/>
      <c r="BR466" s="14"/>
      <c r="BS466" s="14"/>
      <c r="BT466" s="16"/>
      <c r="BU466" s="16"/>
      <c r="BV466" s="13"/>
      <c r="BW466" s="18" t="s">
        <v>8785</v>
      </c>
      <c r="BX466" s="13">
        <v>200</v>
      </c>
      <c r="BY466" s="17">
        <v>44116</v>
      </c>
      <c r="BZ466" s="18" t="s">
        <v>8786</v>
      </c>
      <c r="CA466" s="18" t="s">
        <v>8787</v>
      </c>
      <c r="CB466" s="18" t="s">
        <v>8788</v>
      </c>
      <c r="CC466" s="18"/>
      <c r="CD466" s="14" t="s">
        <v>8789</v>
      </c>
      <c r="CE466" s="17">
        <v>42934</v>
      </c>
      <c r="CF466" s="16">
        <v>-270300</v>
      </c>
      <c r="CG466" s="17">
        <v>43100</v>
      </c>
      <c r="CH466" s="16">
        <v>-249400</v>
      </c>
      <c r="CI466" s="17">
        <v>43100</v>
      </c>
      <c r="CJ466" s="16">
        <v>20000000</v>
      </c>
      <c r="CK466" s="17">
        <v>43146</v>
      </c>
      <c r="CL466" s="16">
        <v>60</v>
      </c>
      <c r="CM466" s="17">
        <v>44012</v>
      </c>
      <c r="CN466" s="19">
        <v>53.99806641757668</v>
      </c>
      <c r="CO466" s="19"/>
      <c r="CP466" s="17"/>
      <c r="CQ466" s="14" t="s">
        <v>6493</v>
      </c>
      <c r="CR466" s="14" t="s">
        <v>8790</v>
      </c>
      <c r="CS466" s="14" t="s">
        <v>5004</v>
      </c>
    </row>
    <row r="467" spans="1:97" ht="26.15" customHeight="1">
      <c r="A467" s="2">
        <v>392</v>
      </c>
      <c r="B467" s="25" t="s">
        <v>2516</v>
      </c>
      <c r="C467" s="25" t="e">
        <f>VLOOKUP(B467, Sheet6!$A$1:$B$77, 2, FALSE)</f>
        <v>#N/A</v>
      </c>
      <c r="D467" s="25" t="s">
        <v>2517</v>
      </c>
      <c r="E467" s="25" t="s">
        <v>2518</v>
      </c>
      <c r="F467" s="25" t="s">
        <v>9275</v>
      </c>
      <c r="G467" s="25" t="s">
        <v>10954</v>
      </c>
      <c r="H467" s="25" t="s">
        <v>10959</v>
      </c>
      <c r="I467" s="25" t="s">
        <v>10558</v>
      </c>
      <c r="J467" s="25" t="s">
        <v>10821</v>
      </c>
      <c r="L467" s="13">
        <v>2011</v>
      </c>
      <c r="M467" s="14" t="s">
        <v>5038</v>
      </c>
      <c r="N467" s="14" t="s">
        <v>5039</v>
      </c>
      <c r="O467" s="14" t="s">
        <v>3994</v>
      </c>
      <c r="P467" s="15" t="s">
        <v>3117</v>
      </c>
      <c r="Q467" s="16">
        <v>19009146</v>
      </c>
      <c r="R467" s="17">
        <v>43999</v>
      </c>
      <c r="S467" s="16"/>
      <c r="T467" s="16" t="s">
        <v>50</v>
      </c>
      <c r="U467" s="14" t="s">
        <v>25</v>
      </c>
      <c r="V467" s="13">
        <v>4</v>
      </c>
      <c r="W467" s="17">
        <v>44098</v>
      </c>
      <c r="X467" s="14" t="s">
        <v>5052</v>
      </c>
      <c r="Y467" s="17">
        <v>44027</v>
      </c>
      <c r="Z467" s="17">
        <v>43112</v>
      </c>
      <c r="AA467" s="14" t="s">
        <v>5041</v>
      </c>
      <c r="AB467" s="14" t="s">
        <v>7369</v>
      </c>
      <c r="AC467" s="14" t="s">
        <v>8810</v>
      </c>
      <c r="AD467" s="20" t="str">
        <f t="shared" si="29"/>
        <v>IoT Applications &gt; Industry Specific &gt; Agriculture &gt; Livestock
Livestock Tech &gt; Livestock Management Software &gt; Cattle</v>
      </c>
      <c r="AE467" s="20" t="str">
        <f t="shared" si="28"/>
        <v>IoT Applications</v>
      </c>
      <c r="AF467" s="20" t="str">
        <f t="shared" si="30"/>
        <v>Industry Specific</v>
      </c>
      <c r="AG467" s="20" t="str">
        <f t="shared" si="30"/>
        <v>Agriculture</v>
      </c>
      <c r="AH467" s="20" t="str">
        <f t="shared" si="30"/>
        <v>Livestock
Livestock Tech</v>
      </c>
      <c r="AI467" s="20" t="str">
        <f t="shared" si="30"/>
        <v>Livestock Management Software</v>
      </c>
      <c r="AJ467" s="20" t="str">
        <f t="shared" si="30"/>
        <v>Cattle</v>
      </c>
      <c r="AK467" s="20" t="str">
        <f t="shared" si="30"/>
        <v/>
      </c>
      <c r="AL467" s="14" t="s">
        <v>8811</v>
      </c>
      <c r="AM467" s="14" t="s">
        <v>8812</v>
      </c>
      <c r="AO467" s="14"/>
      <c r="AP467" s="14" t="s">
        <v>3994</v>
      </c>
      <c r="AQ467" s="14" t="s">
        <v>8814</v>
      </c>
      <c r="AR467" s="14" t="s">
        <v>8815</v>
      </c>
      <c r="AS467" s="14" t="s">
        <v>8816</v>
      </c>
      <c r="AT467" s="14" t="s">
        <v>8817</v>
      </c>
      <c r="AU467" s="14" t="s">
        <v>8818</v>
      </c>
      <c r="AV467" s="18" t="s">
        <v>8819</v>
      </c>
      <c r="AW467" s="16">
        <v>6895700</v>
      </c>
      <c r="AX467" s="17">
        <v>43465</v>
      </c>
      <c r="AY467" s="15" t="s">
        <v>3117</v>
      </c>
      <c r="AZ467" s="17">
        <v>40653</v>
      </c>
      <c r="BA467" s="16">
        <v>2221</v>
      </c>
      <c r="BB467" s="14" t="s">
        <v>8820</v>
      </c>
      <c r="BC467" s="14"/>
      <c r="BD467" s="15" t="s">
        <v>3123</v>
      </c>
      <c r="BE467" s="14"/>
      <c r="BF467" s="17"/>
      <c r="BG467" s="16"/>
      <c r="BH467" s="14"/>
      <c r="BI467" s="15" t="s">
        <v>3123</v>
      </c>
      <c r="BJ467" s="14"/>
      <c r="BK467" s="17"/>
      <c r="BL467" s="16"/>
      <c r="BM467" s="16"/>
      <c r="BN467" s="16"/>
      <c r="BO467" s="16"/>
      <c r="BP467" s="15" t="s">
        <v>3123</v>
      </c>
      <c r="BQ467" s="17"/>
      <c r="BR467" s="14"/>
      <c r="BS467" s="14"/>
      <c r="BT467" s="16"/>
      <c r="BU467" s="16"/>
      <c r="BV467" s="13"/>
      <c r="BW467" s="18" t="s">
        <v>8821</v>
      </c>
      <c r="BX467" s="13">
        <v>200</v>
      </c>
      <c r="BY467" s="17">
        <v>44116</v>
      </c>
      <c r="BZ467" s="18" t="s">
        <v>8822</v>
      </c>
      <c r="CA467" s="18" t="s">
        <v>8823</v>
      </c>
      <c r="CB467" s="18" t="s">
        <v>8824</v>
      </c>
      <c r="CC467" s="18" t="s">
        <v>8825</v>
      </c>
      <c r="CD467" s="14" t="s">
        <v>8826</v>
      </c>
      <c r="CE467" s="17">
        <v>43965</v>
      </c>
      <c r="CF467" s="16">
        <v>-2338600</v>
      </c>
      <c r="CG467" s="17">
        <v>43465</v>
      </c>
      <c r="CH467" s="16">
        <v>-1763500</v>
      </c>
      <c r="CI467" s="17">
        <v>43465</v>
      </c>
      <c r="CJ467" s="16">
        <v>30000000</v>
      </c>
      <c r="CK467" s="17">
        <v>43494</v>
      </c>
      <c r="CL467" s="16">
        <v>346</v>
      </c>
      <c r="CM467" s="17">
        <v>44012</v>
      </c>
      <c r="CN467" s="19">
        <v>69.991495818041955</v>
      </c>
      <c r="CO467" s="19"/>
      <c r="CP467" s="17"/>
      <c r="CQ467" s="14" t="s">
        <v>6493</v>
      </c>
      <c r="CR467" s="14" t="s">
        <v>8790</v>
      </c>
      <c r="CS467" s="14" t="s">
        <v>5004</v>
      </c>
    </row>
    <row r="468" spans="1:97" ht="26.15" customHeight="1">
      <c r="A468" s="2">
        <v>275</v>
      </c>
      <c r="B468" s="25" t="s">
        <v>749</v>
      </c>
      <c r="C468" s="25" t="e">
        <f>VLOOKUP(B468, Sheet6!$A$1:$B$77, 2, FALSE)</f>
        <v>#N/A</v>
      </c>
      <c r="D468" s="25" t="s">
        <v>750</v>
      </c>
      <c r="E468" s="25" t="s">
        <v>751</v>
      </c>
      <c r="F468" s="25" t="s">
        <v>8490</v>
      </c>
      <c r="G468" s="25" t="s">
        <v>10955</v>
      </c>
      <c r="H468" s="25" t="s">
        <v>10558</v>
      </c>
      <c r="I468" s="25" t="s">
        <v>10558</v>
      </c>
      <c r="J468" s="25" t="s">
        <v>10766</v>
      </c>
      <c r="L468" s="13">
        <v>2010</v>
      </c>
      <c r="M468" s="14" t="s">
        <v>5038</v>
      </c>
      <c r="N468" s="14" t="s">
        <v>5039</v>
      </c>
      <c r="O468" s="14" t="s">
        <v>3994</v>
      </c>
      <c r="P468" s="15" t="s">
        <v>3117</v>
      </c>
      <c r="Q468" s="16">
        <v>1740510</v>
      </c>
      <c r="R468" s="17">
        <v>42004</v>
      </c>
      <c r="S468" s="16" t="s">
        <v>10397</v>
      </c>
      <c r="T468" s="16">
        <v>784575</v>
      </c>
      <c r="U468" s="14" t="s">
        <v>34</v>
      </c>
      <c r="V468" s="13">
        <v>5</v>
      </c>
      <c r="W468" s="17">
        <v>44098</v>
      </c>
      <c r="X468" s="14"/>
      <c r="Y468" s="17"/>
      <c r="Z468" s="17"/>
      <c r="AA468" s="14" t="s">
        <v>5947</v>
      </c>
      <c r="AB468" s="14" t="s">
        <v>8568</v>
      </c>
      <c r="AC468" s="14" t="s">
        <v>8569</v>
      </c>
      <c r="AD468" s="20" t="str">
        <f t="shared" si="29"/>
        <v>ERP &gt; Agriculture &gt; Farm Management &gt; Suite
Crop Tech &gt; Farm Management Software &gt; Diversified</v>
      </c>
      <c r="AE468" s="20" t="str">
        <f t="shared" si="28"/>
        <v>ERP</v>
      </c>
      <c r="AF468" s="20" t="str">
        <f t="shared" si="30"/>
        <v>Agriculture</v>
      </c>
      <c r="AG468" s="20" t="str">
        <f t="shared" si="30"/>
        <v>Farm Management</v>
      </c>
      <c r="AH468" s="20" t="str">
        <f t="shared" si="30"/>
        <v>Suite
Crop Tech</v>
      </c>
      <c r="AI468" s="20" t="str">
        <f t="shared" si="30"/>
        <v>Farm Management Software</v>
      </c>
      <c r="AJ468" s="20" t="str">
        <f t="shared" si="30"/>
        <v>Diversified</v>
      </c>
      <c r="AK468" s="20" t="str">
        <f t="shared" si="30"/>
        <v/>
      </c>
      <c r="AL468" s="14" t="s">
        <v>644</v>
      </c>
      <c r="AM468" s="14"/>
      <c r="AO468" s="14"/>
      <c r="AP468" s="14" t="s">
        <v>3994</v>
      </c>
      <c r="AQ468" s="14" t="s">
        <v>10399</v>
      </c>
      <c r="AR468" s="14" t="s">
        <v>10400</v>
      </c>
      <c r="AS468" s="14" t="s">
        <v>10401</v>
      </c>
      <c r="AT468" s="14" t="s">
        <v>10402</v>
      </c>
      <c r="AU468" s="14" t="s">
        <v>10403</v>
      </c>
      <c r="AV468" s="18" t="s">
        <v>10404</v>
      </c>
      <c r="AW468" s="16">
        <v>106900</v>
      </c>
      <c r="AX468" s="17">
        <v>43100</v>
      </c>
      <c r="AY468" s="15" t="s">
        <v>3117</v>
      </c>
      <c r="AZ468" s="17">
        <v>40465</v>
      </c>
      <c r="BA468" s="16">
        <v>2250</v>
      </c>
      <c r="BB468" s="14" t="s">
        <v>10405</v>
      </c>
      <c r="BC468" s="14"/>
      <c r="BD468" s="15" t="s">
        <v>3123</v>
      </c>
      <c r="BE468" s="14"/>
      <c r="BF468" s="17"/>
      <c r="BG468" s="16"/>
      <c r="BH468" s="14"/>
      <c r="BI468" s="15" t="s">
        <v>3123</v>
      </c>
      <c r="BJ468" s="14"/>
      <c r="BK468" s="17"/>
      <c r="BL468" s="16"/>
      <c r="BM468" s="16"/>
      <c r="BN468" s="16"/>
      <c r="BO468" s="16"/>
      <c r="BP468" s="15" t="s">
        <v>3123</v>
      </c>
      <c r="BQ468" s="17"/>
      <c r="BR468" s="14"/>
      <c r="BS468" s="14"/>
      <c r="BT468" s="16"/>
      <c r="BU468" s="16"/>
      <c r="BV468" s="13"/>
      <c r="BW468" s="18" t="s">
        <v>10406</v>
      </c>
      <c r="BX468" s="13">
        <v>200</v>
      </c>
      <c r="BY468" s="17">
        <v>44117</v>
      </c>
      <c r="BZ468" s="18" t="s">
        <v>10407</v>
      </c>
      <c r="CA468" s="18" t="s">
        <v>10408</v>
      </c>
      <c r="CB468" s="18" t="s">
        <v>10409</v>
      </c>
      <c r="CC468" s="18"/>
      <c r="CD468" s="14" t="s">
        <v>10410</v>
      </c>
      <c r="CE468" s="17">
        <v>42325</v>
      </c>
      <c r="CF468" s="16">
        <v>-55500</v>
      </c>
      <c r="CG468" s="17">
        <v>43100</v>
      </c>
      <c r="CH468" s="16">
        <v>-17200</v>
      </c>
      <c r="CI468" s="17">
        <v>43100</v>
      </c>
      <c r="CJ468" s="16"/>
      <c r="CK468" s="17"/>
      <c r="CL468" s="16">
        <v>6</v>
      </c>
      <c r="CM468" s="17">
        <v>43830</v>
      </c>
      <c r="CN468" s="19">
        <v>27.87568031951335</v>
      </c>
      <c r="CO468" s="19"/>
      <c r="CP468" s="17"/>
      <c r="CQ468" s="14" t="s">
        <v>10411</v>
      </c>
      <c r="CR468" s="14" t="s">
        <v>6182</v>
      </c>
      <c r="CS468" s="14" t="s">
        <v>5945</v>
      </c>
    </row>
    <row r="469" spans="1:97" ht="26.15" customHeight="1">
      <c r="A469" s="54">
        <v>63</v>
      </c>
      <c r="B469" s="51" t="s">
        <v>1520</v>
      </c>
      <c r="C469" s="25" t="e">
        <f>VLOOKUP(B469, Sheet6!$A$1:$B$77, 2, FALSE)</f>
        <v>#N/A</v>
      </c>
      <c r="D469" s="51" t="s">
        <v>1521</v>
      </c>
      <c r="E469" s="51" t="s">
        <v>1523</v>
      </c>
      <c r="F469" s="51" t="s">
        <v>5819</v>
      </c>
      <c r="G469" s="51" t="s">
        <v>10955</v>
      </c>
      <c r="H469" s="51" t="s">
        <v>10957</v>
      </c>
      <c r="I469" s="51" t="s">
        <v>10958</v>
      </c>
      <c r="J469" s="52" t="s">
        <v>10821</v>
      </c>
      <c r="L469" s="13">
        <v>2009</v>
      </c>
      <c r="M469" s="14" t="s">
        <v>5312</v>
      </c>
      <c r="N469" s="14" t="s">
        <v>5313</v>
      </c>
      <c r="O469" s="14" t="s">
        <v>3994</v>
      </c>
      <c r="P469" s="15" t="s">
        <v>3117</v>
      </c>
      <c r="Q469" s="16">
        <v>14634837</v>
      </c>
      <c r="R469" s="17">
        <v>43554</v>
      </c>
      <c r="S469" s="16" t="s">
        <v>5134</v>
      </c>
      <c r="T469" s="16">
        <v>1152780</v>
      </c>
      <c r="U469" s="14" t="s">
        <v>109</v>
      </c>
      <c r="V469" s="13">
        <v>4</v>
      </c>
      <c r="W469" s="17">
        <v>44022</v>
      </c>
      <c r="X469" s="14"/>
      <c r="Y469" s="17"/>
      <c r="Z469" s="17"/>
      <c r="AA469" s="14" t="s">
        <v>1</v>
      </c>
      <c r="AB469" s="14" t="s">
        <v>5007</v>
      </c>
      <c r="AC469" s="14" t="s">
        <v>257</v>
      </c>
      <c r="AD469" s="20" t="str">
        <f t="shared" si="29"/>
        <v>Crop Tech &gt; Farming as a Service &gt; Tech Enabled Services</v>
      </c>
      <c r="AE469" s="20" t="str">
        <f t="shared" si="28"/>
        <v>Crop Tech</v>
      </c>
      <c r="AF469" s="20" t="str">
        <f t="shared" si="30"/>
        <v>Farming as a Service</v>
      </c>
      <c r="AG469" s="20" t="str">
        <f t="shared" si="30"/>
        <v>Tech Enabled Services</v>
      </c>
      <c r="AH469" s="20" t="str">
        <f t="shared" si="30"/>
        <v/>
      </c>
      <c r="AI469" s="20" t="str">
        <f t="shared" si="30"/>
        <v/>
      </c>
      <c r="AJ469" s="20" t="str">
        <f t="shared" si="30"/>
        <v/>
      </c>
      <c r="AK469" s="20" t="str">
        <f t="shared" si="30"/>
        <v/>
      </c>
      <c r="AL469" s="14" t="s">
        <v>8827</v>
      </c>
      <c r="AM469" s="14" t="s">
        <v>8828</v>
      </c>
      <c r="AO469" s="14"/>
      <c r="AP469" s="14" t="s">
        <v>3994</v>
      </c>
      <c r="AQ469" s="14"/>
      <c r="AR469" s="14"/>
      <c r="AS469" s="14" t="s">
        <v>8830</v>
      </c>
      <c r="AT469" s="14" t="s">
        <v>8831</v>
      </c>
      <c r="AU469" s="14" t="s">
        <v>8832</v>
      </c>
      <c r="AV469" s="18" t="s">
        <v>8833</v>
      </c>
      <c r="AW469" s="16">
        <v>14404300</v>
      </c>
      <c r="AX469" s="17">
        <v>43465</v>
      </c>
      <c r="AY469" s="15" t="s">
        <v>3117</v>
      </c>
      <c r="AZ469" s="17">
        <v>40080</v>
      </c>
      <c r="BA469" s="16">
        <v>2074</v>
      </c>
      <c r="BB469" s="14" t="s">
        <v>8834</v>
      </c>
      <c r="BC469" s="14"/>
      <c r="BD469" s="15" t="s">
        <v>3123</v>
      </c>
      <c r="BE469" s="14"/>
      <c r="BF469" s="17"/>
      <c r="BG469" s="16"/>
      <c r="BH469" s="14"/>
      <c r="BI469" s="15" t="s">
        <v>3123</v>
      </c>
      <c r="BJ469" s="14"/>
      <c r="BK469" s="17"/>
      <c r="BL469" s="16"/>
      <c r="BM469" s="16"/>
      <c r="BN469" s="16"/>
      <c r="BO469" s="16"/>
      <c r="BP469" s="15" t="s">
        <v>3123</v>
      </c>
      <c r="BQ469" s="17"/>
      <c r="BR469" s="14"/>
      <c r="BS469" s="14"/>
      <c r="BT469" s="16"/>
      <c r="BU469" s="16"/>
      <c r="BV469" s="13"/>
      <c r="BW469" s="18" t="s">
        <v>8835</v>
      </c>
      <c r="BX469" s="13">
        <v>200</v>
      </c>
      <c r="BY469" s="17">
        <v>44117</v>
      </c>
      <c r="BZ469" s="18" t="s">
        <v>8836</v>
      </c>
      <c r="CA469" s="18"/>
      <c r="CB469" s="18" t="s">
        <v>8837</v>
      </c>
      <c r="CC469" s="18"/>
      <c r="CD469" s="14" t="s">
        <v>8838</v>
      </c>
      <c r="CE469" s="17">
        <v>42605</v>
      </c>
      <c r="CF469" s="16">
        <v>-881800</v>
      </c>
      <c r="CG469" s="17">
        <v>43465</v>
      </c>
      <c r="CH469" s="16">
        <v>-211700</v>
      </c>
      <c r="CI469" s="17">
        <v>43465</v>
      </c>
      <c r="CJ469" s="16">
        <v>27000000</v>
      </c>
      <c r="CK469" s="17">
        <v>43843</v>
      </c>
      <c r="CL469" s="16">
        <v>200</v>
      </c>
      <c r="CM469" s="17">
        <v>44012</v>
      </c>
      <c r="CN469" s="19">
        <v>51.909019496593189</v>
      </c>
      <c r="CO469" s="19"/>
      <c r="CP469" s="17"/>
      <c r="CQ469" s="14" t="s">
        <v>5247</v>
      </c>
      <c r="CR469" s="14" t="s">
        <v>5753</v>
      </c>
      <c r="CS469" s="14" t="s">
        <v>5004</v>
      </c>
    </row>
    <row r="470" spans="1:97" ht="26.15" customHeight="1">
      <c r="A470" s="2">
        <v>173</v>
      </c>
      <c r="B470" s="25" t="s">
        <v>1462</v>
      </c>
      <c r="C470" s="25" t="e">
        <f>VLOOKUP(B470, Sheet6!$A$1:$B$77, 2, FALSE)</f>
        <v>#N/A</v>
      </c>
      <c r="D470" s="25" t="s">
        <v>1463</v>
      </c>
      <c r="E470" s="25" t="s">
        <v>1464</v>
      </c>
      <c r="F470" s="25" t="s">
        <v>7230</v>
      </c>
      <c r="G470" s="25" t="s">
        <v>10955</v>
      </c>
      <c r="H470" s="25" t="s">
        <v>10959</v>
      </c>
      <c r="I470" s="25" t="s">
        <v>10958</v>
      </c>
      <c r="J470" s="26" t="s">
        <v>10759</v>
      </c>
      <c r="L470" s="13">
        <v>1940</v>
      </c>
      <c r="M470" s="14" t="s">
        <v>10428</v>
      </c>
      <c r="N470" s="14" t="s">
        <v>10428</v>
      </c>
      <c r="O470" s="14" t="s">
        <v>10429</v>
      </c>
      <c r="P470" s="15" t="s">
        <v>3117</v>
      </c>
      <c r="Q470" s="16">
        <v>50000000</v>
      </c>
      <c r="R470" s="17">
        <v>41791</v>
      </c>
      <c r="S470" s="16"/>
      <c r="T470" s="16" t="s">
        <v>50</v>
      </c>
      <c r="U470" s="14" t="s">
        <v>5040</v>
      </c>
      <c r="V470" s="13">
        <v>4</v>
      </c>
      <c r="W470" s="17">
        <v>43998</v>
      </c>
      <c r="X470" s="14" t="s">
        <v>5544</v>
      </c>
      <c r="Y470" s="17">
        <v>44027</v>
      </c>
      <c r="Z470" s="17">
        <v>41791</v>
      </c>
      <c r="AA470" s="14" t="s">
        <v>1</v>
      </c>
      <c r="AB470" s="14" t="s">
        <v>5007</v>
      </c>
      <c r="AC470" s="14" t="s">
        <v>9684</v>
      </c>
      <c r="AD470" s="20" t="str">
        <f t="shared" si="29"/>
        <v>Crop Tech &gt; Farm Inputs &gt; Plant Breeding &gt; Technology Providers</v>
      </c>
      <c r="AE470" s="20" t="str">
        <f t="shared" si="28"/>
        <v>Crop Tech</v>
      </c>
      <c r="AF470" s="20" t="str">
        <f t="shared" si="30"/>
        <v>Farm Inputs</v>
      </c>
      <c r="AG470" s="20" t="str">
        <f t="shared" si="30"/>
        <v>Plant Breeding</v>
      </c>
      <c r="AH470" s="20" t="str">
        <f t="shared" si="30"/>
        <v>Technology Providers</v>
      </c>
      <c r="AI470" s="20" t="str">
        <f t="shared" si="30"/>
        <v/>
      </c>
      <c r="AJ470" s="20" t="str">
        <f t="shared" si="30"/>
        <v/>
      </c>
      <c r="AK470" s="20" t="str">
        <f t="shared" si="30"/>
        <v/>
      </c>
      <c r="AL470" s="14" t="s">
        <v>10430</v>
      </c>
      <c r="AM470" s="14"/>
      <c r="AO470" s="14"/>
      <c r="AP470" s="14" t="s">
        <v>5391</v>
      </c>
      <c r="AQ470" s="14"/>
      <c r="AR470" s="14"/>
      <c r="AS470" s="14" t="s">
        <v>10432</v>
      </c>
      <c r="AT470" s="14" t="s">
        <v>10433</v>
      </c>
      <c r="AU470" s="14" t="s">
        <v>10434</v>
      </c>
      <c r="AV470" s="18" t="s">
        <v>10435</v>
      </c>
      <c r="AW470" s="16"/>
      <c r="AX470" s="17"/>
      <c r="AY470" s="15" t="s">
        <v>3123</v>
      </c>
      <c r="AZ470" s="17"/>
      <c r="BA470" s="16"/>
      <c r="BB470" s="14"/>
      <c r="BC470" s="14"/>
      <c r="BD470" s="15" t="s">
        <v>3123</v>
      </c>
      <c r="BE470" s="14"/>
      <c r="BF470" s="17"/>
      <c r="BG470" s="16"/>
      <c r="BH470" s="14"/>
      <c r="BI470" s="15" t="s">
        <v>3123</v>
      </c>
      <c r="BJ470" s="14"/>
      <c r="BK470" s="17"/>
      <c r="BL470" s="16"/>
      <c r="BM470" s="16"/>
      <c r="BN470" s="16"/>
      <c r="BO470" s="16"/>
      <c r="BP470" s="15" t="s">
        <v>3123</v>
      </c>
      <c r="BQ470" s="17"/>
      <c r="BR470" s="14"/>
      <c r="BS470" s="14"/>
      <c r="BT470" s="16"/>
      <c r="BU470" s="16"/>
      <c r="BV470" s="13"/>
      <c r="BW470" s="18" t="s">
        <v>10436</v>
      </c>
      <c r="BX470" s="13">
        <v>301</v>
      </c>
      <c r="BY470" s="17">
        <v>44118</v>
      </c>
      <c r="BZ470" s="18" t="s">
        <v>10437</v>
      </c>
      <c r="CA470" s="18" t="s">
        <v>10438</v>
      </c>
      <c r="CB470" s="18" t="s">
        <v>10439</v>
      </c>
      <c r="CC470" s="18" t="s">
        <v>10440</v>
      </c>
      <c r="CD470" s="14" t="s">
        <v>10441</v>
      </c>
      <c r="CE470" s="17">
        <v>43138</v>
      </c>
      <c r="CF470" s="16"/>
      <c r="CG470" s="17"/>
      <c r="CH470" s="16"/>
      <c r="CI470" s="17"/>
      <c r="CJ470" s="16"/>
      <c r="CK470" s="17"/>
      <c r="CL470" s="16"/>
      <c r="CM470" s="17"/>
      <c r="CN470" s="19">
        <v>46.297272833376361</v>
      </c>
      <c r="CO470" s="19"/>
      <c r="CP470" s="17"/>
      <c r="CQ470" s="14" t="s">
        <v>5036</v>
      </c>
      <c r="CR470" s="14" t="s">
        <v>5037</v>
      </c>
      <c r="CS470" s="14" t="s">
        <v>5004</v>
      </c>
    </row>
  </sheetData>
  <autoFilter ref="A6:J470" xr:uid="{CE6CF254-31B8-4F74-AF12-C84586168172}">
    <sortState xmlns:xlrd2="http://schemas.microsoft.com/office/spreadsheetml/2017/richdata2" ref="A7:J470">
      <sortCondition ref="C7:C470"/>
      <sortCondition ref="B7:B470"/>
    </sortState>
  </autoFilter>
  <mergeCells count="1">
    <mergeCell ref="K1:K1048576"/>
  </mergeCells>
  <hyperlinks>
    <hyperlink ref="BW7" r:id="rId1" xr:uid="{F56864E7-3CD0-4200-9860-68CDD25CF177}"/>
    <hyperlink ref="CD7" r:id="rId2" xr:uid="{ABD5DCDD-A1FE-4244-B782-B9359413466C}"/>
    <hyperlink ref="BW8" r:id="rId3" xr:uid="{C7E0DEC3-4948-4AA3-AEB1-0D5E2421A4A3}"/>
    <hyperlink ref="BZ8" r:id="rId4" xr:uid="{4EDD476B-30F6-4E1C-AF96-30288AE64CBB}"/>
    <hyperlink ref="CA8" r:id="rId5" xr:uid="{5BD98B92-2754-4BB7-B961-DEE79D25B3C5}"/>
    <hyperlink ref="CB8" r:id="rId6" xr:uid="{E22B3AE7-0DD6-4B3D-AE99-F2EA015DCF32}"/>
    <hyperlink ref="CD8" r:id="rId7" xr:uid="{19C15F8A-8303-4D25-BDD4-269EC1A0ACD3}"/>
    <hyperlink ref="BW9" r:id="rId8" xr:uid="{AC7A1927-56DD-483B-9A98-21621639804B}"/>
    <hyperlink ref="BZ9" r:id="rId9" xr:uid="{3A42812D-F901-4016-97E6-AFAA41A6A05F}"/>
    <hyperlink ref="CA9" r:id="rId10" xr:uid="{98471864-F18E-41D2-9278-3AF1DF237F49}"/>
    <hyperlink ref="CB9" r:id="rId11" xr:uid="{C05CF7F4-0BE3-4A43-AB84-9FD873B0980C}"/>
    <hyperlink ref="CD9" r:id="rId12" xr:uid="{3092DAF3-D2AB-4E9B-9471-4BB14837BB04}"/>
    <hyperlink ref="BW10" r:id="rId13" xr:uid="{7CBF7B89-0119-484F-B635-357055733D1A}"/>
    <hyperlink ref="CD10" r:id="rId14" xr:uid="{039F5C51-470F-4485-8ED4-FAF45AC01DC7}"/>
    <hyperlink ref="BW11" r:id="rId15" xr:uid="{43909CAF-CB29-41FE-8B02-7116240C8F32}"/>
    <hyperlink ref="BZ11" r:id="rId16" xr:uid="{40C9E737-770A-40DC-8FB5-0D0DE83D1449}"/>
    <hyperlink ref="CB11" r:id="rId17" xr:uid="{AFCD7887-1E1F-418F-B6E0-5A42451727DB}"/>
    <hyperlink ref="CD11" r:id="rId18" xr:uid="{F0BE2B2C-5F62-40C3-8E10-3C2B699CDB3D}"/>
    <hyperlink ref="BW12" r:id="rId19" xr:uid="{C0D9D3AD-BF47-4618-84EA-5B7A8795EE95}"/>
    <hyperlink ref="CC12" r:id="rId20" xr:uid="{EDF2988C-A9BC-43CE-8AAB-CDE1EA30FBE4}"/>
    <hyperlink ref="CD12" r:id="rId21" xr:uid="{F581500A-1FE2-4975-BA0A-DF336665BFAF}"/>
    <hyperlink ref="BW13" r:id="rId22" xr:uid="{DBCBC805-683A-450E-86F1-FE7013F9B3FB}"/>
    <hyperlink ref="CD13" r:id="rId23" xr:uid="{FEFF084F-D97B-4CD0-AA7C-B2D9C5AC962F}"/>
    <hyperlink ref="BW14" r:id="rId24" xr:uid="{8A29BF03-3333-4C3E-94E5-FB6743367298}"/>
    <hyperlink ref="BZ14" r:id="rId25" xr:uid="{17CA0375-28DF-458C-B951-77AC1CA93D46}"/>
    <hyperlink ref="CA14" r:id="rId26" xr:uid="{C5E663EB-F778-4F07-866F-E6922FE9448C}"/>
    <hyperlink ref="CB14" r:id="rId27" xr:uid="{06317214-C68D-4DF9-94CE-36D62C500463}"/>
    <hyperlink ref="CD14" r:id="rId28" xr:uid="{296327E0-3AA1-4957-B39E-9E2EA416F815}"/>
    <hyperlink ref="BW15" r:id="rId29" xr:uid="{977E7173-7677-4938-B539-C11F0DE431F2}"/>
    <hyperlink ref="CD15" r:id="rId30" xr:uid="{DD2902B3-4FA9-49F4-8F63-61A82C70A7CD}"/>
    <hyperlink ref="BW16" r:id="rId31" xr:uid="{06CA62CF-BAE3-4220-8C8D-4807210EC699}"/>
    <hyperlink ref="CD16" r:id="rId32" xr:uid="{F2CEF890-0380-4469-9059-9AB86F3C0551}"/>
    <hyperlink ref="BW17" r:id="rId33" xr:uid="{8E47C632-3BAE-4D63-89B5-D5B449C32EFC}"/>
    <hyperlink ref="BZ17" r:id="rId34" xr:uid="{EF630045-E8F4-4F8C-B059-56C470D4E21E}"/>
    <hyperlink ref="CB17" r:id="rId35" xr:uid="{D4B847A5-6EE6-4FA4-9082-C8489E8E4278}"/>
    <hyperlink ref="CC17" r:id="rId36" xr:uid="{CC9BFEB3-FE11-4198-AB68-4FBCD31896C4}"/>
    <hyperlink ref="CD17" r:id="rId37" xr:uid="{59023569-9ABB-4BB7-985B-F25B9446EC8D}"/>
    <hyperlink ref="BW18" r:id="rId38" xr:uid="{F8614113-1528-43AC-9BEF-7FCA9CA3BE6C}"/>
    <hyperlink ref="BZ18" r:id="rId39" xr:uid="{E252EEDD-E582-4B3C-85F6-4250102B045F}"/>
    <hyperlink ref="CD18" r:id="rId40" xr:uid="{5D61D115-DD34-455E-9486-169E84CC41AE}"/>
    <hyperlink ref="BW19" r:id="rId41" xr:uid="{FD7BE2B9-0C3A-4C00-BF6C-7CB492F47979}"/>
    <hyperlink ref="CD19" r:id="rId42" xr:uid="{BDD1BE89-4739-41FD-8D01-7EF453577D31}"/>
    <hyperlink ref="BW20" r:id="rId43" xr:uid="{12D5AE73-6155-4FEF-B84F-17B965D6D810}"/>
    <hyperlink ref="CD20" r:id="rId44" xr:uid="{C6620E14-BA94-43F9-82F4-E3D8FF31AAB9}"/>
    <hyperlink ref="BW21" r:id="rId45" xr:uid="{27F8E041-297D-40B7-B885-A6FD258BD5AF}"/>
    <hyperlink ref="BZ21" r:id="rId46" xr:uid="{8114C6D7-D92B-4259-8E41-2E9EED885DA4}"/>
    <hyperlink ref="CB21" r:id="rId47" xr:uid="{E356139A-5C7F-479D-807A-B3B5CB6D4710}"/>
    <hyperlink ref="CC21" r:id="rId48" xr:uid="{D1AC5A6E-FB29-431C-9799-9A3EF7826A96}"/>
    <hyperlink ref="CD21" r:id="rId49" xr:uid="{F5D14014-2C36-41CE-A403-30CE22CF94FE}"/>
    <hyperlink ref="BW22" r:id="rId50" xr:uid="{FD32F8F0-A768-4F30-B0D0-08ABC159B26D}"/>
    <hyperlink ref="BZ22" r:id="rId51" xr:uid="{1B030EC8-1A2B-4E4B-90EE-3A49B85DBDAA}"/>
    <hyperlink ref="CB22" r:id="rId52" xr:uid="{44BA20AF-F659-4A11-A15B-F48362BEECA8}"/>
    <hyperlink ref="CD22" r:id="rId53" xr:uid="{6F985B90-F7B2-42FB-B2E2-1E5540BC139C}"/>
    <hyperlink ref="BW23" r:id="rId54" xr:uid="{EFA10181-154D-4926-BAE8-D013C9AB1F41}"/>
    <hyperlink ref="BZ23" r:id="rId55" xr:uid="{FA5D0476-383D-4A05-AA56-9E5114A6FD25}"/>
    <hyperlink ref="CA23" r:id="rId56" xr:uid="{6BB3707C-F559-4667-98C7-E71828DEFDEE}"/>
    <hyperlink ref="CB23" r:id="rId57" xr:uid="{8B7BC8BF-BF63-479F-940F-91E45E797C14}"/>
    <hyperlink ref="CD23" r:id="rId58" xr:uid="{092D4283-1896-4D6F-A775-EC4956CC442D}"/>
    <hyperlink ref="BW24" r:id="rId59" xr:uid="{EC9A7153-CAAF-4666-9A61-F97B4C2E4B2F}"/>
    <hyperlink ref="CD24" r:id="rId60" xr:uid="{9E29A64F-E16B-480B-A96B-D50D2B29E2F9}"/>
    <hyperlink ref="BW25" r:id="rId61" xr:uid="{7EE6EDB5-794D-4A23-8948-1E6451D9167A}"/>
    <hyperlink ref="BZ25" r:id="rId62" xr:uid="{D1F73BA9-D8BC-45CB-B84E-EF442745AB6E}"/>
    <hyperlink ref="CB25" r:id="rId63" xr:uid="{A7DAF2F1-17B4-4F18-B747-6B38F612DC56}"/>
    <hyperlink ref="CD25" r:id="rId64" xr:uid="{A5F94C32-37A6-4937-8197-B711D0CC11B8}"/>
    <hyperlink ref="BW26" r:id="rId65" xr:uid="{A570A14E-27E5-414D-8283-894204776A50}"/>
    <hyperlink ref="CD26" r:id="rId66" xr:uid="{5216728C-C102-4274-8405-72B121F977AD}"/>
    <hyperlink ref="BW27" r:id="rId67" xr:uid="{97A2675B-EF14-4122-9276-A276C98D3610}"/>
    <hyperlink ref="BZ27" r:id="rId68" xr:uid="{62FFCAB8-CBD8-4F74-895C-A8A109E3C608}"/>
    <hyperlink ref="CD27" r:id="rId69" xr:uid="{CEC2A8C7-8341-4548-8BB0-8F8144C9DE1B}"/>
    <hyperlink ref="BW28" r:id="rId70" xr:uid="{D104033B-5C90-4C49-9337-E6D691B6E87C}"/>
    <hyperlink ref="BZ28" r:id="rId71" xr:uid="{096BCC72-429C-4E28-A6B0-5351BFEC97EC}"/>
    <hyperlink ref="CB28" r:id="rId72" xr:uid="{88291799-541C-4DE6-B79B-979C337754EB}"/>
    <hyperlink ref="CC28" r:id="rId73" xr:uid="{662C7346-7466-4E42-9E23-390F125900EA}"/>
    <hyperlink ref="CD28" r:id="rId74" xr:uid="{12037962-F3D5-47E3-B891-39BC6E1F51A8}"/>
    <hyperlink ref="BW29" r:id="rId75" xr:uid="{B0D2C046-B10C-4B7B-AC7C-85FDF9AB8FB0}"/>
    <hyperlink ref="CD29" r:id="rId76" xr:uid="{44B9D5A1-8488-4C1F-8F5B-145DD19422C5}"/>
    <hyperlink ref="AV30" r:id="rId77" xr:uid="{C2087998-5415-4AA8-86FE-56A9A7F70C1E}"/>
    <hyperlink ref="BW30" r:id="rId78" xr:uid="{FB8275E9-1835-44F4-B259-65543D80F5D0}"/>
    <hyperlink ref="BZ30" r:id="rId79" xr:uid="{BAE0D8D6-8A24-440A-BEFE-17365B7E04D0}"/>
    <hyperlink ref="CA30" r:id="rId80" xr:uid="{E3C69D8C-0EBB-46C6-9CE0-31F295F42585}"/>
    <hyperlink ref="CD30" r:id="rId81" xr:uid="{55CFBE3F-D10E-4BDD-93CC-EB8C7B38727F}"/>
    <hyperlink ref="BW31" r:id="rId82" xr:uid="{3CC764C5-2BF5-4C81-8C41-D13DC6AA2481}"/>
    <hyperlink ref="BZ31" r:id="rId83" xr:uid="{3229B679-72EB-4091-BFE3-6106734F1E61}"/>
    <hyperlink ref="CB31" r:id="rId84" xr:uid="{D2A87B32-6EEE-481A-AA32-0C01CDAF0F24}"/>
    <hyperlink ref="CC31" r:id="rId85" xr:uid="{3C769650-51AA-459F-B00C-FD80268FEFB2}"/>
    <hyperlink ref="CD31" r:id="rId86" xr:uid="{C5B77171-044C-4AD0-BA36-C9D173341EBA}"/>
    <hyperlink ref="BW32" r:id="rId87" xr:uid="{8E4A476D-47FA-4FD3-96D7-258EB212FC45}"/>
    <hyperlink ref="CB32" r:id="rId88" xr:uid="{EB428867-F88E-40BC-BB55-673CF651EA2F}"/>
    <hyperlink ref="CD32" r:id="rId89" xr:uid="{65A93518-850B-406F-92D1-9A923E8310CC}"/>
    <hyperlink ref="BW33" r:id="rId90" xr:uid="{B1FC1ECB-DA07-4EC2-80E1-A8A4B05852B8}"/>
    <hyperlink ref="BZ33" r:id="rId91" xr:uid="{7547266E-0257-4945-B686-68412E0D0CB3}"/>
    <hyperlink ref="CC33" r:id="rId92" xr:uid="{E43C2AA9-44EF-45A6-85AB-0AC09955B6B6}"/>
    <hyperlink ref="CD33" r:id="rId93" xr:uid="{0BE01AE9-0176-415E-9C38-ACC21C7EDC3F}"/>
    <hyperlink ref="BW34" r:id="rId94" xr:uid="{F702F5EF-893A-4ED6-8D83-8030175B6DFA}"/>
    <hyperlink ref="CD34" r:id="rId95" xr:uid="{D9599874-6A0D-4200-9899-9C19C123A23C}"/>
    <hyperlink ref="AV35" r:id="rId96" xr:uid="{5770E2F6-91DD-4E95-8CBD-07EA1C507890}"/>
    <hyperlink ref="BW35" r:id="rId97" xr:uid="{E8095139-9493-452A-A5BE-82B06DE943F6}"/>
    <hyperlink ref="BZ35" r:id="rId98" xr:uid="{AE93B331-6027-4A0B-90AB-7940FB53BBF3}"/>
    <hyperlink ref="CA35" r:id="rId99" xr:uid="{9F3FE59B-8340-4C29-993B-93DEEE6228CA}"/>
    <hyperlink ref="CB35" r:id="rId100" xr:uid="{570633ED-2EA4-488C-8D81-04874D0C9B4D}"/>
    <hyperlink ref="CD35" r:id="rId101" xr:uid="{3FB8286F-3BB4-40DF-B678-955E940C567C}"/>
    <hyperlink ref="BW36" r:id="rId102" xr:uid="{4CEA9115-E158-4CB8-A728-6CD934E4ED7F}"/>
    <hyperlink ref="BZ36" r:id="rId103" xr:uid="{5149D06D-66E8-4ABC-90ED-0B1B21F3D8DE}"/>
    <hyperlink ref="CA36" r:id="rId104" xr:uid="{1D7E725E-736C-4231-B0C7-D9D3299CACB0}"/>
    <hyperlink ref="CB36" r:id="rId105" xr:uid="{55D6B564-C36D-45A7-95AE-29302C91F79E}"/>
    <hyperlink ref="CD36" r:id="rId106" xr:uid="{91FF763C-2A60-41F8-A9B1-56533FBEE159}"/>
    <hyperlink ref="BW37" r:id="rId107" xr:uid="{48376F8E-D5F1-4459-BB51-20D7FD348012}"/>
    <hyperlink ref="BZ37" r:id="rId108" xr:uid="{DA3BC639-BFD2-449D-B953-2C8D3372AA77}"/>
    <hyperlink ref="CD37" r:id="rId109" xr:uid="{D01AE0E0-23B8-41DD-A632-14F5A37E1554}"/>
    <hyperlink ref="BW38" r:id="rId110" xr:uid="{A8802271-5EF0-4197-9995-0E8871BF0DD0}"/>
    <hyperlink ref="BZ38" r:id="rId111" xr:uid="{A5798872-C09F-4974-B837-FBBD7F494FBA}"/>
    <hyperlink ref="CD38" r:id="rId112" xr:uid="{454F56B6-B179-4B4F-B66E-FE51CD5AD718}"/>
    <hyperlink ref="BW39" r:id="rId113" xr:uid="{4A0A56D2-A91D-40D9-97E5-30881CF541E3}"/>
    <hyperlink ref="CD39" r:id="rId114" xr:uid="{65BB1EC6-DD01-4A95-9F0B-67BDA76D744D}"/>
    <hyperlink ref="BW40" r:id="rId115" xr:uid="{2635A4DA-7B77-4492-A2F9-B1EBC2CD700C}"/>
    <hyperlink ref="BZ40" r:id="rId116" xr:uid="{70BD2FED-DCC2-4644-B579-BDF339C0862B}"/>
    <hyperlink ref="CD40" r:id="rId117" xr:uid="{63F1D581-FBB7-4864-9E2B-5896C8253004}"/>
    <hyperlink ref="BW41" r:id="rId118" xr:uid="{6ED50870-43CF-471E-A517-B397118CE8E5}"/>
    <hyperlink ref="BZ41" r:id="rId119" xr:uid="{17876310-BC95-41B5-BCD8-40F732363484}"/>
    <hyperlink ref="CD41" r:id="rId120" xr:uid="{9D6328F1-E131-4C29-9CC6-E106CFB2223C}"/>
    <hyperlink ref="BW42" r:id="rId121" xr:uid="{E31F10CE-8A7B-45A2-A14B-8F5515FC0215}"/>
    <hyperlink ref="BZ42" r:id="rId122" xr:uid="{51A95D9C-1644-4E69-9F9A-32F79AAAEEF5}"/>
    <hyperlink ref="CA42" r:id="rId123" xr:uid="{DD4CA029-1011-401B-857D-122CD4609ABB}"/>
    <hyperlink ref="CB42" r:id="rId124" xr:uid="{3495A1FA-DC8F-4F26-AC1D-6EA118DEC7E4}"/>
    <hyperlink ref="CD42" r:id="rId125" xr:uid="{29BCB3EF-7783-42F9-9D63-D57FAE79F5BD}"/>
    <hyperlink ref="BW43" r:id="rId126" xr:uid="{92F96A78-CDE8-4CFF-9630-5517B97C8F70}"/>
    <hyperlink ref="BZ43" r:id="rId127" xr:uid="{27199FE7-6ECA-4238-BD30-422CFB745377}"/>
    <hyperlink ref="CA43" r:id="rId128" xr:uid="{54D506B4-D72B-4D54-B4A3-1CD03D17EC5F}"/>
    <hyperlink ref="CD43" r:id="rId129" xr:uid="{22B42C95-AB9D-494F-9695-608D44C74A13}"/>
    <hyperlink ref="BW44" r:id="rId130" xr:uid="{9670E4F7-3586-4CEF-B697-5AE7F0CB3513}"/>
    <hyperlink ref="CD44" r:id="rId131" xr:uid="{DE11709E-4048-45E9-B697-CC3D2AEF7B5C}"/>
    <hyperlink ref="BW45" r:id="rId132" xr:uid="{60295C59-A257-4036-B14E-CD628B4E667B}"/>
    <hyperlink ref="BZ45" r:id="rId133" xr:uid="{484C7010-D71B-4330-8B15-C39C02224E03}"/>
    <hyperlink ref="CB45" r:id="rId134" xr:uid="{B66CA57C-FD3B-4E2A-8574-CEB9A71CC3AA}"/>
    <hyperlink ref="CD45" r:id="rId135" xr:uid="{FB89B4DC-912F-4325-A099-9FA1312A1B82}"/>
    <hyperlink ref="BW46" r:id="rId136" xr:uid="{9D357A12-1617-4646-B227-2B259EB76001}"/>
    <hyperlink ref="BZ46" r:id="rId137" xr:uid="{E8C4F818-BECF-411A-9899-260392E34FB7}"/>
    <hyperlink ref="CA46" r:id="rId138" xr:uid="{CF0DFC0B-3DDE-47C7-BFBC-6022BBBEDA9B}"/>
    <hyperlink ref="CB46" r:id="rId139" xr:uid="{B5D5F265-D31F-442F-8D57-EFCA6C8AE386}"/>
    <hyperlink ref="CC46" r:id="rId140" xr:uid="{65FC3192-0E13-4FE0-9AFD-E2EF0FFE4561}"/>
    <hyperlink ref="CD46" r:id="rId141" xr:uid="{8A3F3A8E-2443-41F4-85E9-E9743D1BAD4E}"/>
    <hyperlink ref="BW47" r:id="rId142" xr:uid="{0A2FCEE2-6D4D-4FBC-B04C-51F89941F088}"/>
    <hyperlink ref="CD47" r:id="rId143" xr:uid="{7BB616E4-B043-481E-9A22-D3027687FD20}"/>
    <hyperlink ref="BW48" r:id="rId144" xr:uid="{B66E6562-4BA3-48E9-9CDC-9E506ED00EE0}"/>
    <hyperlink ref="CD48" r:id="rId145" xr:uid="{9423F483-C559-47DE-B63E-982B06A1C6D5}"/>
    <hyperlink ref="BW49" r:id="rId146" xr:uid="{A5E517AE-B5D2-49CD-8EB9-61168534F348}"/>
    <hyperlink ref="BZ49" r:id="rId147" xr:uid="{A8A6457C-F358-4F3A-ABF2-86945C43E212}"/>
    <hyperlink ref="CA49" r:id="rId148" xr:uid="{287D4A8A-C03C-4258-A90A-8C6967036E76}"/>
    <hyperlink ref="CD49" r:id="rId149" xr:uid="{18377F98-8D0A-460B-96A3-260EC73CF1C9}"/>
    <hyperlink ref="BW50" r:id="rId150" xr:uid="{ECAB2068-0A57-4642-B3F2-A2DA3E7C332A}"/>
    <hyperlink ref="BZ50" r:id="rId151" xr:uid="{E1BBCD24-E6C2-424C-B878-0E5578E7EAF1}"/>
    <hyperlink ref="CA50" r:id="rId152" xr:uid="{C1E8B903-4C08-4746-95CB-ECC1A6075B18}"/>
    <hyperlink ref="CB50" r:id="rId153" xr:uid="{32CB8A14-722E-42CF-AFCC-02184C44ED5A}"/>
    <hyperlink ref="CD50" r:id="rId154" xr:uid="{0911ABC2-79ED-4A19-B295-E62E139EF899}"/>
    <hyperlink ref="AV51" r:id="rId155" xr:uid="{ADF3F6B8-A537-4558-9677-3DC17F227655}"/>
    <hyperlink ref="BW51" r:id="rId156" xr:uid="{D6B60123-E10B-45D2-8D92-17B198525FC5}"/>
    <hyperlink ref="BZ51" r:id="rId157" xr:uid="{2CFB1DCE-4BFE-42A7-B741-DD7603F1D655}"/>
    <hyperlink ref="CD51" r:id="rId158" xr:uid="{D568FF80-28D0-4B50-8F1F-765BCB364337}"/>
    <hyperlink ref="BW52" r:id="rId159" xr:uid="{79932043-35D4-4784-A5AA-BBEB30D3E2D2}"/>
    <hyperlink ref="CA52" r:id="rId160" xr:uid="{7E7D6B09-1466-4D69-BEAC-7A30D7094CC4}"/>
    <hyperlink ref="CD52" r:id="rId161" xr:uid="{BC66C774-9F93-4D69-996D-488F76C7E1A7}"/>
    <hyperlink ref="BW53" r:id="rId162" xr:uid="{8CFBC81D-9C34-4056-B91A-863EA606563B}"/>
    <hyperlink ref="BZ53" r:id="rId163" xr:uid="{F2CF1B48-6D5B-4E70-A732-C0E05FBB788A}"/>
    <hyperlink ref="CA53" r:id="rId164" xr:uid="{8E54E287-DBBE-4165-9FE4-B5405FA19D18}"/>
    <hyperlink ref="CB53" r:id="rId165" xr:uid="{25A59CAE-B0E2-4052-BB03-3733F72893BA}"/>
    <hyperlink ref="CC53" r:id="rId166" xr:uid="{EB79073F-2B48-47C4-886A-5F9FA22A93E6}"/>
    <hyperlink ref="CD53" r:id="rId167" xr:uid="{6B7043DC-355E-414F-8AD3-221D8738FA87}"/>
    <hyperlink ref="BW54" r:id="rId168" xr:uid="{6596AAEF-F866-48B3-A6E0-E4A64EAF32C0}"/>
    <hyperlink ref="BZ54" r:id="rId169" xr:uid="{80FD1017-6628-437B-ACF9-309DDD968113}"/>
    <hyperlink ref="CA54" r:id="rId170" xr:uid="{EE8A4D56-CED1-4DD1-934A-15F1F52A26A3}"/>
    <hyperlink ref="CB54" r:id="rId171" xr:uid="{8429C670-4EF9-45EE-9B85-AFE1401738A4}"/>
    <hyperlink ref="CD54" r:id="rId172" xr:uid="{DF1EB7A4-92BA-418B-A080-29DEE541B0DD}"/>
    <hyperlink ref="BW55" r:id="rId173" xr:uid="{2E3A02BD-7D76-4B98-982D-EC83315AC156}"/>
    <hyperlink ref="BZ55" r:id="rId174" xr:uid="{A908A74E-27B6-49D0-ACCE-C5B45B93376D}"/>
    <hyperlink ref="CA55" r:id="rId175" xr:uid="{7855045E-A11D-4145-A2C7-4CF544A21BB9}"/>
    <hyperlink ref="CB55" r:id="rId176" xr:uid="{D7556660-7403-4288-A1B1-5A60E1550E18}"/>
    <hyperlink ref="CC55" r:id="rId177" xr:uid="{694721A3-523C-47CF-BB9E-F7CBEC28DA1B}"/>
    <hyperlink ref="CD55" r:id="rId178" xr:uid="{339C9113-1FCB-4198-A7B4-A8A9ACA0335E}"/>
    <hyperlink ref="BW56" r:id="rId179" xr:uid="{8F5CE240-AC7C-451A-95FE-FA3282F2DBF7}"/>
    <hyperlink ref="BZ56" r:id="rId180" xr:uid="{05AA6F5A-B5C1-403B-BD63-32883BF8E076}"/>
    <hyperlink ref="CD56" r:id="rId181" xr:uid="{87388A43-1C6F-411F-B067-4CCF0EDDB212}"/>
    <hyperlink ref="BW58" r:id="rId182" xr:uid="{7E53B860-13B5-47C6-9774-489EF6FAD629}"/>
    <hyperlink ref="BZ58" r:id="rId183" xr:uid="{8A6F8292-F97A-4AE1-AF35-1E3D1866409A}"/>
    <hyperlink ref="CA58" r:id="rId184" xr:uid="{30B4F190-017E-4C6F-97FA-ED74B8D401D7}"/>
    <hyperlink ref="CB58" r:id="rId185" xr:uid="{37730B6F-E518-4355-919A-B987655F17C2}"/>
    <hyperlink ref="CC58" r:id="rId186" xr:uid="{34B3F4DE-367B-459B-B1A2-6ADFF0C833D6}"/>
    <hyperlink ref="CD58" r:id="rId187" xr:uid="{B63C5CF7-0161-4F10-97D5-0F6E9CAB3FEA}"/>
    <hyperlink ref="AV59" r:id="rId188" xr:uid="{29C719B7-ACCB-479C-B8B4-14A69E921013}"/>
    <hyperlink ref="BW59" r:id="rId189" xr:uid="{F7D111BC-F39E-4703-85F6-923C1E8C2BAA}"/>
    <hyperlink ref="BZ59" r:id="rId190" xr:uid="{6BC2115D-B1C4-49DB-8ABD-4AA2C148AFC5}"/>
    <hyperlink ref="CA59" r:id="rId191" xr:uid="{B368C9C5-D31F-4FA0-A93A-F7B94B778828}"/>
    <hyperlink ref="CB59" r:id="rId192" xr:uid="{85A9D824-DAB0-4BD4-9791-B64567A19268}"/>
    <hyperlink ref="CC59" r:id="rId193" xr:uid="{7CAF3426-195D-4A4F-8A6F-9C70AB82BFE9}"/>
    <hyperlink ref="CD59" r:id="rId194" xr:uid="{63A7CC50-167C-45E8-99E3-0404A1A93236}"/>
    <hyperlink ref="BW60" r:id="rId195" xr:uid="{B9A5511B-64F1-4CB4-8ED4-5A4892029B10}"/>
    <hyperlink ref="CD60" r:id="rId196" xr:uid="{21061121-6B47-4D7C-9531-AE7CDE238D03}"/>
    <hyperlink ref="BW61" r:id="rId197" xr:uid="{31EBD231-0535-4A5A-A3B9-0F0D4114B3F7}"/>
    <hyperlink ref="BZ61" r:id="rId198" xr:uid="{1B8B7072-F2EE-4BD5-901F-A5655E607535}"/>
    <hyperlink ref="CB61" r:id="rId199" xr:uid="{4DB8088F-A924-4B12-AD76-74B0280CED14}"/>
    <hyperlink ref="CD61" r:id="rId200" xr:uid="{46188E16-735A-434B-9AE8-F1157E09A0E9}"/>
    <hyperlink ref="BW62" r:id="rId201" xr:uid="{8AF93419-3DCD-4005-924B-2C5FC477D0D8}"/>
    <hyperlink ref="BZ62" r:id="rId202" xr:uid="{CF2B2650-5E57-488A-AC58-F63AB9F27AB0}"/>
    <hyperlink ref="CA62" r:id="rId203" xr:uid="{BB4845A5-9C8B-4565-87B1-4C05B1578E13}"/>
    <hyperlink ref="CB62" r:id="rId204" xr:uid="{CE92400C-8BFC-4583-9986-F42F86BFCF41}"/>
    <hyperlink ref="CC62" r:id="rId205" xr:uid="{2FF8DB72-D107-4580-BA09-919CC546FA3E}"/>
    <hyperlink ref="CD62" r:id="rId206" xr:uid="{EE24F947-D108-436C-A587-FE0291AC7464}"/>
    <hyperlink ref="BW63" r:id="rId207" xr:uid="{81D71F66-975C-4B1E-9E26-132A2CFCE908}"/>
    <hyperlink ref="BZ63" r:id="rId208" xr:uid="{0EAEA1E8-632B-4E77-86F8-12485433F59A}"/>
    <hyperlink ref="CA63" r:id="rId209" xr:uid="{D11750FA-4E09-4B93-97D2-84B316C22560}"/>
    <hyperlink ref="CB63" r:id="rId210" xr:uid="{06B90DBF-46A7-4193-8A43-C6BC5A2F2C71}"/>
    <hyperlink ref="CC63" r:id="rId211" xr:uid="{140EECAD-E9EC-43D4-AF52-B5F8BA5F7E59}"/>
    <hyperlink ref="CD63" r:id="rId212" xr:uid="{E0484604-3A3A-4942-A01E-B14A89DC38B2}"/>
    <hyperlink ref="BW64" r:id="rId213" xr:uid="{F6BA5350-0942-4666-A55A-EC38DB02DBB4}"/>
    <hyperlink ref="BZ64" r:id="rId214" xr:uid="{2CD7E54F-A33D-445E-AE10-DD1540814061}"/>
    <hyperlink ref="CD64" r:id="rId215" xr:uid="{72E73516-3E65-4669-A4FA-DA5A8B4B16CC}"/>
    <hyperlink ref="BW65" r:id="rId216" xr:uid="{A2BF38F5-D6E9-492D-9CE8-860E130B913F}"/>
    <hyperlink ref="CD65" r:id="rId217" xr:uid="{5E29C246-04E4-4285-A394-D6E5BE6F3813}"/>
    <hyperlink ref="BW66" r:id="rId218" xr:uid="{94B79522-6194-4B64-87EC-D62B6A0982C1}"/>
    <hyperlink ref="BZ66" r:id="rId219" xr:uid="{8EE24D2E-576C-4109-A2C5-B4CFDAD27B87}"/>
    <hyperlink ref="CA66" r:id="rId220" xr:uid="{DFC75BD7-639B-47E4-8590-79F693574C23}"/>
    <hyperlink ref="CC66" r:id="rId221" xr:uid="{9C8EF226-9CFD-4E3B-A4E8-AE8A753BED92}"/>
    <hyperlink ref="CD66" r:id="rId222" xr:uid="{B5D33F75-7EE2-44AD-AD15-A0B341C7A6B0}"/>
    <hyperlink ref="BW67" r:id="rId223" xr:uid="{8CEB9A60-8ECD-40D4-AC5A-58D739CDE8FA}"/>
    <hyperlink ref="BZ67" r:id="rId224" xr:uid="{A75A1A7C-B5AB-4244-88A1-CA0C5EA3CB76}"/>
    <hyperlink ref="CD67" r:id="rId225" xr:uid="{F3599AFC-05AA-4B5D-95BA-AAB75242E13B}"/>
    <hyperlink ref="BW68" r:id="rId226" xr:uid="{DC3BA5D4-9C88-4FAB-BD57-6FC93EEFC56C}"/>
    <hyperlink ref="BZ68" r:id="rId227" xr:uid="{E8046DE1-45C0-4A2A-AC7A-CAB2ACF6D991}"/>
    <hyperlink ref="CB68" r:id="rId228" xr:uid="{6126D323-2412-480A-90BB-1E44D88D034C}"/>
    <hyperlink ref="CD68" r:id="rId229" xr:uid="{96FA7004-BA23-40B5-BA64-6B6319AD0109}"/>
    <hyperlink ref="BW69" r:id="rId230" xr:uid="{6B496DB3-5808-410C-BDC5-134E6A6040C1}"/>
    <hyperlink ref="BZ69" r:id="rId231" xr:uid="{909A151A-CC35-4EF3-B2B6-577DF525CEF5}"/>
    <hyperlink ref="CA69" r:id="rId232" xr:uid="{1BE279C2-FFEC-4BBA-A410-F5062B167669}"/>
    <hyperlink ref="CD69" r:id="rId233" xr:uid="{1905AAAD-8B6C-4A8D-B4BB-11501B424C02}"/>
    <hyperlink ref="BW70" r:id="rId234" xr:uid="{B8C32D44-098D-4E21-A5C1-3A1AC2C61646}"/>
    <hyperlink ref="BZ70" r:id="rId235" xr:uid="{DA9D346B-DADF-4E26-A9FF-EC848F239400}"/>
    <hyperlink ref="CD70" r:id="rId236" xr:uid="{AD777522-3FE4-4DC8-915B-8E4AF65060D9}"/>
    <hyperlink ref="BW71" r:id="rId237" xr:uid="{0DB4DEB3-0B36-4C50-850E-BF7BC4F8BE6C}"/>
    <hyperlink ref="BZ71" r:id="rId238" xr:uid="{CAE1920B-729B-45EE-B17D-9B83A131C9B2}"/>
    <hyperlink ref="CB71" r:id="rId239" xr:uid="{44166D91-FE67-4FDB-8E27-2DA55481359F}"/>
    <hyperlink ref="CC71" r:id="rId240" xr:uid="{9FA4CB78-F51C-4AA3-B42F-00B322F9794F}"/>
    <hyperlink ref="CD71" r:id="rId241" xr:uid="{12E079BB-811B-4A7E-AE61-B5C36F050E5F}"/>
    <hyperlink ref="BW72" r:id="rId242" xr:uid="{95FD1C4E-B8C6-4B45-93E2-660DDC553725}"/>
    <hyperlink ref="BZ72" r:id="rId243" xr:uid="{5A9DFA12-ED94-4C7D-9406-7793C8E47CC1}"/>
    <hyperlink ref="CA72" r:id="rId244" xr:uid="{1670125A-CA06-4522-B8EB-490DC30FFCFE}"/>
    <hyperlink ref="CB72" r:id="rId245" xr:uid="{821F9EC0-4DF1-4D57-A2D0-B4343FE84992}"/>
    <hyperlink ref="CD72" r:id="rId246" xr:uid="{04BD5F86-4670-43FE-88CE-F556F05699C5}"/>
    <hyperlink ref="BW73" r:id="rId247" xr:uid="{C497A168-D223-40C0-95E6-424C9AF7AB8C}"/>
    <hyperlink ref="BZ73" r:id="rId248" xr:uid="{237B74A8-BA9F-4350-92E7-0B1717898E22}"/>
    <hyperlink ref="CD73" r:id="rId249" xr:uid="{DC8D2ED0-404C-43A4-9100-1CAA4E468E38}"/>
    <hyperlink ref="BW74" r:id="rId250" xr:uid="{68C41AEE-4A2F-4277-8A30-6BE74381C773}"/>
    <hyperlink ref="CD74" r:id="rId251" xr:uid="{F3352D24-9533-4815-A975-12A86A3474BC}"/>
    <hyperlink ref="BW75" r:id="rId252" xr:uid="{A10869FA-F290-444B-A294-3C911C1A1C2D}"/>
    <hyperlink ref="CA75" r:id="rId253" xr:uid="{DAC50989-9883-4F7D-9D37-184E390E4481}"/>
    <hyperlink ref="CB75" r:id="rId254" xr:uid="{CD33B54D-BA80-4BC4-B874-EC2F47253682}"/>
    <hyperlink ref="CC75" r:id="rId255" xr:uid="{0F76EA21-6741-42F2-A3FE-9CF81CA0AC03}"/>
    <hyperlink ref="CD75" r:id="rId256" xr:uid="{0A69158B-4678-437F-9D58-C78AF8150111}"/>
    <hyperlink ref="BW76" r:id="rId257" xr:uid="{3F33CCD0-B5E4-4830-8AA5-358E2E289215}"/>
    <hyperlink ref="BZ76" r:id="rId258" xr:uid="{81BD0937-D402-4263-AF31-C0DADE9C1187}"/>
    <hyperlink ref="CA76" r:id="rId259" xr:uid="{6D4883EB-2164-49A9-B1AC-F457AB6C5DB0}"/>
    <hyperlink ref="CB76" r:id="rId260" xr:uid="{A7CB340E-02C6-44AC-87B3-1C074413BE69}"/>
    <hyperlink ref="CD76" r:id="rId261" xr:uid="{A1E2AD1B-BB08-411A-AF1E-F847FCAF8F00}"/>
    <hyperlink ref="BW77" r:id="rId262" xr:uid="{8DA85764-761E-4B14-9D04-C3A8205D0F49}"/>
    <hyperlink ref="BZ77" r:id="rId263" xr:uid="{883EFDEA-DAB2-4C02-A971-BDF9ADF96288}"/>
    <hyperlink ref="CB77" r:id="rId264" xr:uid="{5204ED74-A284-4BC8-B7CA-ECA55AB56902}"/>
    <hyperlink ref="CD77" r:id="rId265" xr:uid="{5D9BAD5D-B5D4-40AF-BDF3-F7428401025C}"/>
    <hyperlink ref="BW78" r:id="rId266" xr:uid="{13AB30CC-3427-4C27-87D7-2F55FFF4D3EC}"/>
    <hyperlink ref="BZ78" r:id="rId267" xr:uid="{5B404E79-50AC-499C-A633-8ADB2166EF68}"/>
    <hyperlink ref="CB78" r:id="rId268" xr:uid="{10C3DA75-F295-42A7-AFF3-4B1B95822B7B}"/>
    <hyperlink ref="CD78" r:id="rId269" xr:uid="{2025A237-D071-4B50-BD6A-4FC26EDF52FF}"/>
    <hyperlink ref="BW79" r:id="rId270" xr:uid="{455DEB4C-0365-4DA2-8FD8-CCE1DAD7B288}"/>
    <hyperlink ref="CD79" r:id="rId271" xr:uid="{2CADFD63-D9B3-4798-90F0-C02FF7F0C6D4}"/>
    <hyperlink ref="BW80" r:id="rId272" xr:uid="{DDC0CD08-2852-4586-802A-BB8CE3072047}"/>
    <hyperlink ref="BZ80" r:id="rId273" xr:uid="{471761C5-2AC4-4901-8F9F-7ECD83DA149C}"/>
    <hyperlink ref="CB80" r:id="rId274" xr:uid="{DB03916D-E0CE-4506-A4CC-6F4CE3C98359}"/>
    <hyperlink ref="CC80" r:id="rId275" xr:uid="{CF2ABAB1-5DB7-4572-B14E-4AC0FB786318}"/>
    <hyperlink ref="CD80" r:id="rId276" xr:uid="{6949CD2C-7406-4658-B09C-78AA2ABA9916}"/>
    <hyperlink ref="BW81" r:id="rId277" xr:uid="{F1B65FA8-845E-432E-A0FC-E2A5189EA7DB}"/>
    <hyperlink ref="BZ81" r:id="rId278" xr:uid="{508745C9-7B71-40F1-BD5D-BE26AA714CEF}"/>
    <hyperlink ref="CA81" r:id="rId279" xr:uid="{C959775D-3B56-4DDE-B55B-2D6703B8B15C}"/>
    <hyperlink ref="CB81" r:id="rId280" xr:uid="{0D12F83B-4240-4EA0-A04A-A70C8AB868F1}"/>
    <hyperlink ref="CD81" r:id="rId281" xr:uid="{DAD64D76-B51D-4B71-B2B4-FB2FD1830EA9}"/>
    <hyperlink ref="BW82" r:id="rId282" xr:uid="{C4492D65-DFF9-43FF-AD96-45B771495FA6}"/>
    <hyperlink ref="CD82" r:id="rId283" xr:uid="{21FC9A91-5CFB-4CA4-9A41-1D77B3B26BDF}"/>
    <hyperlink ref="BW83" r:id="rId284" xr:uid="{51E53AAE-2321-49E8-8CC4-EFDB1D5E73C7}"/>
    <hyperlink ref="BZ83" r:id="rId285" xr:uid="{953929C2-B9DA-4E60-963D-36A15800345E}"/>
    <hyperlink ref="CD83" r:id="rId286" xr:uid="{94E957A3-19A4-44AA-8F1B-0F8E7EAD173A}"/>
    <hyperlink ref="BW84" r:id="rId287" xr:uid="{6D87E586-1A86-482D-8FD0-644D54B5DF07}"/>
    <hyperlink ref="CD84" r:id="rId288" xr:uid="{90A9219C-F5D4-4F24-A214-5A94B1A56E4B}"/>
    <hyperlink ref="BW85" r:id="rId289" xr:uid="{148B3204-062A-4A6C-AD8B-C47EF1689CA7}"/>
    <hyperlink ref="BZ85" r:id="rId290" xr:uid="{8BDD4448-4469-4A41-B6DA-736A24427324}"/>
    <hyperlink ref="CA85" r:id="rId291" xr:uid="{4D58BC36-F549-4D5E-9B2E-716C60C539DB}"/>
    <hyperlink ref="CB85" r:id="rId292" xr:uid="{2198D3B7-1D7F-4F0E-ADA3-236C05699BEE}"/>
    <hyperlink ref="CD85" r:id="rId293" xr:uid="{3AF3CDFB-30B6-450D-9C28-CD4DEB779772}"/>
    <hyperlink ref="BW86" r:id="rId294" xr:uid="{72F25480-08DF-47F1-9097-9CF3ABDA3CDA}"/>
    <hyperlink ref="CD86" r:id="rId295" xr:uid="{EDF4F1E4-CEE4-4892-BDB8-3233F9326024}"/>
    <hyperlink ref="BW87" r:id="rId296" xr:uid="{F4696441-E4C2-4A81-9A01-9FCEA646CFCE}"/>
    <hyperlink ref="CD87" r:id="rId297" xr:uid="{0959E0D7-7A80-4B41-A2F1-1190109B960A}"/>
    <hyperlink ref="BW88" r:id="rId298" xr:uid="{4E131A61-2B0C-475F-B0DA-5882282095EF}"/>
    <hyperlink ref="BZ88" r:id="rId299" xr:uid="{CBE9E753-15BE-4EBB-8C2F-F1BDAC26B591}"/>
    <hyperlink ref="CA88" r:id="rId300" xr:uid="{7A37AE74-EEAC-4DEB-902E-17E6CDD61B51}"/>
    <hyperlink ref="CD88" r:id="rId301" xr:uid="{1DF393E3-76DA-4555-B728-63B9DC673552}"/>
    <hyperlink ref="BW89" r:id="rId302" xr:uid="{59C4A4C4-4FEF-456A-BA41-87FF89C2FF99}"/>
    <hyperlink ref="CA89" r:id="rId303" xr:uid="{3366026E-9FB6-4A5E-8850-A226C2D50C32}"/>
    <hyperlink ref="CB89" r:id="rId304" xr:uid="{2C3CAE72-7838-4440-8B51-469337C48B89}"/>
    <hyperlink ref="CD89" r:id="rId305" xr:uid="{39C71D7A-F5B8-44C3-A138-902C8C91D119}"/>
    <hyperlink ref="BW90" r:id="rId306" xr:uid="{B6294489-670F-44D1-8C03-12DBF8E04C1B}"/>
    <hyperlink ref="BZ90" r:id="rId307" xr:uid="{06D481B2-E6D9-4554-90FE-97CE716FF6E4}"/>
    <hyperlink ref="CA90" r:id="rId308" xr:uid="{0EF788C7-9D0F-4852-B974-9045D9D150E5}"/>
    <hyperlink ref="CB90" r:id="rId309" xr:uid="{6D6BEBB1-12C1-4C13-B25D-36CB5A9D102A}"/>
    <hyperlink ref="CC90" r:id="rId310" xr:uid="{E3215324-03DB-4A15-8BF5-C9088A32E498}"/>
    <hyperlink ref="CD90" r:id="rId311" xr:uid="{44C87AD7-5699-4868-A645-FB437EB707EF}"/>
    <hyperlink ref="BW91" r:id="rId312" xr:uid="{8A32FD53-222C-4426-9322-BBC5A12A762D}"/>
    <hyperlink ref="BZ91" r:id="rId313" xr:uid="{7D250386-FD1C-44BB-8CDB-85950FE65AE2}"/>
    <hyperlink ref="CA91" r:id="rId314" xr:uid="{17E59C62-3C2A-4D9A-8C80-48673E5FABC8}"/>
    <hyperlink ref="CB91" r:id="rId315" xr:uid="{503DCB2E-73E7-4352-AC8F-E8BA62FEA139}"/>
    <hyperlink ref="CD91" r:id="rId316" xr:uid="{AE1E3981-83AD-442C-B8EA-F4270AA506F7}"/>
    <hyperlink ref="BW92" r:id="rId317" xr:uid="{3354E799-778F-4CB2-BED8-F575C3D8AE22}"/>
    <hyperlink ref="BZ92" r:id="rId318" xr:uid="{521CD041-4428-4BB7-8B8A-5E71AC74FAD5}"/>
    <hyperlink ref="CA92" r:id="rId319" xr:uid="{FF995D4C-F64D-4B60-A88B-FB1B54A89128}"/>
    <hyperlink ref="CB92" r:id="rId320" xr:uid="{74DBA1FA-8D42-4F92-94D3-7B7DFB3FE085}"/>
    <hyperlink ref="CC92" r:id="rId321" xr:uid="{4981AAB3-CF72-4182-AA8E-0913C0201781}"/>
    <hyperlink ref="CD92" r:id="rId322" xr:uid="{91238FCB-6CC0-4D6A-A207-56C4A4B9C99D}"/>
    <hyperlink ref="BW93" r:id="rId323" xr:uid="{8B2FF245-B069-4C80-B24C-3315D0AD3AD8}"/>
    <hyperlink ref="BZ93" r:id="rId324" xr:uid="{7B1211B6-8FFB-45C3-9A48-381006B9AFF8}"/>
    <hyperlink ref="CA93" r:id="rId325" xr:uid="{79C2A4F4-7825-4EC9-B04C-81B48FC08FE1}"/>
    <hyperlink ref="CB93" r:id="rId326" xr:uid="{B1627B8C-FE1C-4E71-9632-A3C8ACC0E9FB}"/>
    <hyperlink ref="CC93" r:id="rId327" xr:uid="{89EF801F-F974-4797-BE3B-D1BFB3EC6D17}"/>
    <hyperlink ref="CD93" r:id="rId328" xr:uid="{0216A126-80B1-441F-84EC-73258C198CF5}"/>
    <hyperlink ref="BW94" r:id="rId329" xr:uid="{F246CE0F-763E-493B-9F17-9494F9E6A950}"/>
    <hyperlink ref="CD94" r:id="rId330" xr:uid="{71B25C53-0C7A-4D6F-957C-1674A919DA18}"/>
    <hyperlink ref="BW95" r:id="rId331" xr:uid="{4A2165DB-5586-4FF3-AB42-5A5B7807D4C1}"/>
    <hyperlink ref="BZ95" r:id="rId332" xr:uid="{D07844E0-6965-4DFA-8A93-C9FBAC42B0C3}"/>
    <hyperlink ref="CA95" r:id="rId333" xr:uid="{16C3D8C3-2D55-4D02-A586-216B65C99FDD}"/>
    <hyperlink ref="CD95" r:id="rId334" xr:uid="{6F2ACA01-6FFF-4AA0-8AF2-BF3D6CA2EC32}"/>
    <hyperlink ref="BW96" r:id="rId335" xr:uid="{5E91EF23-8C70-4D75-83E2-0A7E4884AD1A}"/>
    <hyperlink ref="BZ96" r:id="rId336" xr:uid="{E0036A46-94B8-42F2-9AED-A878D9C6736F}"/>
    <hyperlink ref="CD96" r:id="rId337" xr:uid="{915500A1-F399-4C2E-B178-DDDD8ABEB90B}"/>
    <hyperlink ref="BW97" r:id="rId338" xr:uid="{7B64B41D-9B3D-4532-B5C3-1DB18435C956}"/>
    <hyperlink ref="CD97" r:id="rId339" xr:uid="{0529B21F-5994-44BD-81FE-6395BB5ACEDD}"/>
    <hyperlink ref="BW98" r:id="rId340" xr:uid="{A4CDE5E4-140E-4AC7-A92B-EC4F5AF5DA88}"/>
    <hyperlink ref="BZ98" r:id="rId341" xr:uid="{59788067-10DB-4B91-8020-F513E5E74150}"/>
    <hyperlink ref="CD98" r:id="rId342" xr:uid="{A6E2A56B-CBE1-486B-84D2-4CDB8CE90FA7}"/>
    <hyperlink ref="BW99" r:id="rId343" xr:uid="{90A65CE4-D77B-4000-A9BF-A09147D7A675}"/>
    <hyperlink ref="BZ99" r:id="rId344" xr:uid="{5FF57A2F-88EA-4704-8B01-A5D735602643}"/>
    <hyperlink ref="CB99" r:id="rId345" xr:uid="{596F6E60-3A4E-4AAC-8C7F-6927C097824C}"/>
    <hyperlink ref="CC99" r:id="rId346" xr:uid="{B95C5122-23E1-4040-B97F-76AF2616A735}"/>
    <hyperlink ref="CD99" r:id="rId347" xr:uid="{964C15BB-AE73-42FB-AEF4-FFD7D0A10586}"/>
    <hyperlink ref="BW100" r:id="rId348" xr:uid="{3C8C152B-C77D-4260-A531-C1DC22D0E437}"/>
    <hyperlink ref="CA100" r:id="rId349" xr:uid="{0BDD87FF-91BC-4236-8D74-CB0EC8DD1A4F}"/>
    <hyperlink ref="CD100" r:id="rId350" xr:uid="{812BB4AA-94FE-4BE5-8C5A-3F1CD1DC2A29}"/>
    <hyperlink ref="BW101" r:id="rId351" xr:uid="{A1CC6100-27A5-4365-8839-83D44987D006}"/>
    <hyperlink ref="BZ101" r:id="rId352" xr:uid="{28314EDF-9ADC-4EBB-9110-054A56EAA2E6}"/>
    <hyperlink ref="CA101" r:id="rId353" xr:uid="{FF9CC494-2780-48F3-9836-8FE07C27A427}"/>
    <hyperlink ref="CB101" r:id="rId354" xr:uid="{D8EA343B-F689-426D-B095-C53BC9684016}"/>
    <hyperlink ref="CC101" r:id="rId355" xr:uid="{3AF6EAED-C5A3-457F-9138-0A88EC4ECDCD}"/>
    <hyperlink ref="CD101" r:id="rId356" xr:uid="{DF0D2D85-16F5-4AA1-A632-A909E8483DB4}"/>
    <hyperlink ref="BW102" r:id="rId357" xr:uid="{58A96C57-BEB9-40AA-A768-8DF06980919C}"/>
    <hyperlink ref="CD102" r:id="rId358" xr:uid="{F39B18CA-C581-4715-AD6A-B4AFF3192DB5}"/>
    <hyperlink ref="BW103" r:id="rId359" xr:uid="{4BBA0B65-D476-48D2-9C67-A2626F72FB35}"/>
    <hyperlink ref="BZ103" r:id="rId360" xr:uid="{7A9B4FEE-B199-4105-8A54-E7A34D6F6A81}"/>
    <hyperlink ref="CD103" r:id="rId361" xr:uid="{4C48EECA-B8E8-477F-8A51-8F2BE9202D86}"/>
    <hyperlink ref="BW104" r:id="rId362" xr:uid="{768B672A-3CD5-4B6F-B8E0-0423C1E04FDF}"/>
    <hyperlink ref="CD104" r:id="rId363" xr:uid="{B78ECC81-85F9-4AE0-AB31-9A0E7346CE4D}"/>
    <hyperlink ref="BW105" r:id="rId364" xr:uid="{98BABF7E-C512-4D47-A476-F4A98EC924E2}"/>
    <hyperlink ref="CB105" r:id="rId365" xr:uid="{6E74AFE6-FC06-48CD-9462-80814AA43876}"/>
    <hyperlink ref="CD105" r:id="rId366" xr:uid="{375DBCCD-3F8C-413A-AC90-64F3B4E765DA}"/>
    <hyperlink ref="BW106" r:id="rId367" xr:uid="{DE82A4C1-BDC0-4990-BB8E-CAF85D4CCEAF}"/>
    <hyperlink ref="BZ106" r:id="rId368" xr:uid="{52D2AD3E-E182-48CC-A9A4-DA34AD030B06}"/>
    <hyperlink ref="CA106" r:id="rId369" xr:uid="{55E915DD-A3EF-47FD-A07B-6E39F08D7EB3}"/>
    <hyperlink ref="CB106" r:id="rId370" xr:uid="{3D8CC7DB-6771-4E3F-9BED-CBE2F990364F}"/>
    <hyperlink ref="CD106" r:id="rId371" xr:uid="{513BF70E-94D1-4ECC-A97B-C9C8DFC61AAA}"/>
    <hyperlink ref="BW107" r:id="rId372" xr:uid="{7AD38115-D013-434A-ABBD-080F618916FB}"/>
    <hyperlink ref="CD107" r:id="rId373" xr:uid="{8908FFEB-AD86-47A9-8078-7AE56B30AF71}"/>
    <hyperlink ref="BW108" r:id="rId374" xr:uid="{64FACC20-10BC-4E68-97F5-29B2F814921E}"/>
    <hyperlink ref="BZ108" r:id="rId375" xr:uid="{9C4CDB74-3D16-4426-B455-C5E33493A2F8}"/>
    <hyperlink ref="CA108" r:id="rId376" xr:uid="{1FA864AF-837C-4AD6-ABC7-13E4C63992F4}"/>
    <hyperlink ref="CB108" r:id="rId377" xr:uid="{D8BDBF6B-A4D9-4378-B8F0-D85171B19E23}"/>
    <hyperlink ref="CD108" r:id="rId378" xr:uid="{7CBD2D9D-3BEA-437A-9DC0-2F440B025D24}"/>
    <hyperlink ref="BW109" r:id="rId379" xr:uid="{881F26F9-6983-4240-B9EE-F91135B85A9A}"/>
    <hyperlink ref="CD109" r:id="rId380" xr:uid="{98BF1D69-BA04-4547-9C2C-AB4EACED5879}"/>
    <hyperlink ref="BW110" r:id="rId381" xr:uid="{B16A4085-AE6D-419A-8CB3-27FDE7285B96}"/>
    <hyperlink ref="BZ110" r:id="rId382" xr:uid="{BD46641C-22EC-4CCA-A0B1-4D8B07809551}"/>
    <hyperlink ref="CA110" r:id="rId383" xr:uid="{0790C7FA-6FEB-484E-BF14-9DCDBEF4B88E}"/>
    <hyperlink ref="CB110" r:id="rId384" xr:uid="{79E26487-071E-4DCD-8CC7-8D0C136F34F7}"/>
    <hyperlink ref="CC110" r:id="rId385" xr:uid="{3AF0E035-07FC-47AB-B650-A470DE4680B6}"/>
    <hyperlink ref="CD110" r:id="rId386" xr:uid="{B598FD09-6F1B-47ED-8F20-AD76D473D45A}"/>
    <hyperlink ref="BW111" r:id="rId387" xr:uid="{D45B3AC5-927A-4577-973F-2537C9DF0C8F}"/>
    <hyperlink ref="BZ111" r:id="rId388" xr:uid="{E7BDA4D1-31C0-4DDD-BDC2-890703E5B7E5}"/>
    <hyperlink ref="CA111" r:id="rId389" xr:uid="{5F28C894-DF6B-4159-B076-E621B5FB8B26}"/>
    <hyperlink ref="CB111" r:id="rId390" xr:uid="{65C73AC0-5E53-45B0-8606-E4183C8B8D0A}"/>
    <hyperlink ref="CD111" r:id="rId391" xr:uid="{8A6D8BDB-3E89-4D50-B96B-9FE3EB7F8B66}"/>
    <hyperlink ref="BW112" r:id="rId392" xr:uid="{96B04FC8-4FC2-4B6E-9BFF-795A727424C5}"/>
    <hyperlink ref="CD112" r:id="rId393" xr:uid="{16776964-FEE3-48D2-ADAC-91B211BB5C56}"/>
    <hyperlink ref="BW113" r:id="rId394" xr:uid="{1458D388-5886-4D97-9DD9-4FCED6E28641}"/>
    <hyperlink ref="CD113" r:id="rId395" xr:uid="{66B64B61-CAE7-4492-9D9B-4BB3E8C19F79}"/>
    <hyperlink ref="BW114" r:id="rId396" xr:uid="{725531E9-562C-4DC3-AD4B-C6E0873F0D97}"/>
    <hyperlink ref="BZ114" r:id="rId397" xr:uid="{4CADAAAC-E183-4642-B233-39A25B0304F9}"/>
    <hyperlink ref="CA114" r:id="rId398" xr:uid="{7C4B63E3-3A5B-4F9C-BA8B-F09833156FF5}"/>
    <hyperlink ref="CB114" r:id="rId399" xr:uid="{62805338-25DC-4FBF-8DB0-F62ED479F1C6}"/>
    <hyperlink ref="CD114" r:id="rId400" xr:uid="{267B3D21-D631-44BB-A8E5-E9DB83C89140}"/>
    <hyperlink ref="BW115" r:id="rId401" xr:uid="{9D37245E-876C-4E61-BC3B-46A6A75DE81E}"/>
    <hyperlink ref="BZ115" r:id="rId402" xr:uid="{104F3DD6-5365-4DC8-9ED7-94EFCA8AF7A4}"/>
    <hyperlink ref="CA115" r:id="rId403" xr:uid="{BD4DA2ED-CCBC-479B-B071-CF9E0A143C7C}"/>
    <hyperlink ref="CB115" r:id="rId404" xr:uid="{69B3F3BD-316D-41E2-AFF0-73C04CA1267B}"/>
    <hyperlink ref="CC115" r:id="rId405" xr:uid="{8DDA1EC3-A74B-45F2-B8DF-0BD828FFC5F2}"/>
    <hyperlink ref="CD115" r:id="rId406" xr:uid="{B9161059-499E-4E56-A33E-A8B089614CF7}"/>
    <hyperlink ref="BW116" r:id="rId407" xr:uid="{F39AFB49-5E9F-45E3-85FF-66B52393BEFE}"/>
    <hyperlink ref="BZ116" r:id="rId408" xr:uid="{0A0948E3-215A-4EC5-8980-F86790C6A78D}"/>
    <hyperlink ref="CA116" r:id="rId409" xr:uid="{95181F36-141F-4379-9AEC-075D3EDB0609}"/>
    <hyperlink ref="CB116" r:id="rId410" xr:uid="{D61FAD15-5AE0-4E2E-BC22-4FB61EBF713B}"/>
    <hyperlink ref="CD116" r:id="rId411" xr:uid="{042C404D-3E0D-4BD1-8366-59A962CD8528}"/>
    <hyperlink ref="BW117" r:id="rId412" xr:uid="{5A4ACFBB-8C7F-4F76-8159-BBF66E394688}"/>
    <hyperlink ref="BZ117" r:id="rId413" xr:uid="{E36C7A7D-8973-4600-9FFC-8D96755EC381}"/>
    <hyperlink ref="CA117" r:id="rId414" xr:uid="{566499F2-8E16-4EA9-AB19-F3D2AD9BF0D3}"/>
    <hyperlink ref="CB117" r:id="rId415" xr:uid="{6C7A687B-7A13-4B7B-A6A2-478250EF6E30}"/>
    <hyperlink ref="CC117" r:id="rId416" xr:uid="{FEFD60FD-D12B-44F6-AF80-297BD2E3962B}"/>
    <hyperlink ref="CD117" r:id="rId417" xr:uid="{F31BC143-E664-47E5-B501-B1F90BEFEB61}"/>
    <hyperlink ref="BW118" r:id="rId418" xr:uid="{0CB9D3C0-D855-4293-AC6B-1D5BB229C1A2}"/>
    <hyperlink ref="BZ118" r:id="rId419" xr:uid="{AEE37FF5-D831-475E-A91F-2788F4270116}"/>
    <hyperlink ref="CA118" r:id="rId420" xr:uid="{F60067AC-061C-4A76-8F7B-3A768C01A0E0}"/>
    <hyperlink ref="CD118" r:id="rId421" xr:uid="{F1704658-9B45-42F0-9E9A-A060583D5571}"/>
    <hyperlink ref="BW119" r:id="rId422" xr:uid="{12023A6F-19DD-4B80-B909-5747BE01E21F}"/>
    <hyperlink ref="BZ119" r:id="rId423" xr:uid="{15BCB25A-D42F-4917-9B89-DD37FDB5AEF2}"/>
    <hyperlink ref="CA119" r:id="rId424" xr:uid="{C3CB6D2E-65B3-47A7-8132-DFE652DFE8DA}"/>
    <hyperlink ref="CB119" r:id="rId425" xr:uid="{47340583-25D8-4832-ADBF-89FE1C9C7964}"/>
    <hyperlink ref="CD119" r:id="rId426" xr:uid="{F54937AB-805F-47DE-992D-121F808C6AC2}"/>
    <hyperlink ref="BW120" r:id="rId427" xr:uid="{4D8FEFBA-BC44-4765-A40F-4A1C58E632E5}"/>
    <hyperlink ref="BZ120" r:id="rId428" xr:uid="{C5E37DEC-E09F-4710-AABC-D46D07A94673}"/>
    <hyperlink ref="CB120" r:id="rId429" xr:uid="{CB771852-E583-48F8-96BB-B3E7FB5C11A7}"/>
    <hyperlink ref="CD120" r:id="rId430" xr:uid="{AF2C8A62-7E0C-48FC-978B-481539B75927}"/>
    <hyperlink ref="BW121" r:id="rId431" xr:uid="{455CAFD0-AAE2-4B6F-B753-BB3B53CF4640}"/>
    <hyperlink ref="BZ121" r:id="rId432" xr:uid="{97C05E59-2429-4FF8-919A-0F7D4E85195D}"/>
    <hyperlink ref="CA121" r:id="rId433" xr:uid="{B776FCFA-707F-4249-959A-98A84DEC3448}"/>
    <hyperlink ref="CB121" r:id="rId434" xr:uid="{B29B4F14-7ED5-4382-A102-EC004692A05E}"/>
    <hyperlink ref="CD121" r:id="rId435" xr:uid="{E1F776FD-4593-453D-9342-B6C2108C2267}"/>
    <hyperlink ref="BW122" r:id="rId436" xr:uid="{014A4A3F-02BA-4155-9EA3-420F6E8CEF79}"/>
    <hyperlink ref="BZ122" r:id="rId437" xr:uid="{75360162-AAF0-403E-A76B-501556734070}"/>
    <hyperlink ref="CB122" r:id="rId438" xr:uid="{0794EA37-88BD-454A-8C25-98D1C75FDC65}"/>
    <hyperlink ref="CD122" r:id="rId439" xr:uid="{B5B4E1E9-52AA-4636-A347-3DC92DADE70A}"/>
    <hyperlink ref="BW123" r:id="rId440" xr:uid="{2F46332E-ED17-4FAE-87C0-315C5CB69B50}"/>
    <hyperlink ref="BZ123" r:id="rId441" xr:uid="{4FA91E8E-746A-4B1A-A3BB-ECFCFB1CFD2D}"/>
    <hyperlink ref="CA123" r:id="rId442" xr:uid="{6301CC8D-AAA4-4BB7-A799-6A9C087B611C}"/>
    <hyperlink ref="CB123" r:id="rId443" xr:uid="{BCC82047-4D9A-47C9-9AF2-DC47B9C9E817}"/>
    <hyperlink ref="CD123" r:id="rId444" xr:uid="{11B01AA2-1214-48D3-A708-75C7FB202FF3}"/>
    <hyperlink ref="BW124" r:id="rId445" xr:uid="{673505ED-9DDD-44D2-885C-BC8655858CC4}"/>
    <hyperlink ref="BZ124" r:id="rId446" xr:uid="{E562ED90-487A-4AFD-891A-2DA2FB031D31}"/>
    <hyperlink ref="CB124" r:id="rId447" xr:uid="{21643A31-0AB6-4640-98D7-786E06C7C5E0}"/>
    <hyperlink ref="CD124" r:id="rId448" xr:uid="{D0F68BDA-D9BF-42C5-B6D3-1E43BADA3A8A}"/>
    <hyperlink ref="BW125" r:id="rId449" xr:uid="{36282C99-6446-44A3-B243-2548D4AB9978}"/>
    <hyperlink ref="BZ125" r:id="rId450" xr:uid="{6C180522-5882-41EA-AAEC-D779369D75EA}"/>
    <hyperlink ref="CD125" r:id="rId451" xr:uid="{636C424B-1C90-420C-BC11-FFFCEA73662F}"/>
    <hyperlink ref="BW126" r:id="rId452" xr:uid="{74687018-3451-4BA6-95FD-9910B78F267F}"/>
    <hyperlink ref="BZ126" r:id="rId453" xr:uid="{FE625857-7808-4A41-A04D-20244666E802}"/>
    <hyperlink ref="CA126" r:id="rId454" xr:uid="{CE36C194-B498-4503-A2C7-4BBF0D3A618B}"/>
    <hyperlink ref="CB126" r:id="rId455" xr:uid="{AA994E92-2230-4D31-BFE5-AB11862DCA68}"/>
    <hyperlink ref="CD126" r:id="rId456" xr:uid="{619C7752-1D97-4A53-8E83-E4000321B08F}"/>
    <hyperlink ref="BW127" r:id="rId457" xr:uid="{0D666813-06C1-4F39-A9D7-8110CE616139}"/>
    <hyperlink ref="BZ127" r:id="rId458" xr:uid="{C2408A24-480D-46C4-809B-D4406CD6B71B}"/>
    <hyperlink ref="CA127" r:id="rId459" xr:uid="{1EB6F7BC-1C42-4A5C-81B5-3608AB9D1273}"/>
    <hyperlink ref="CB127" r:id="rId460" xr:uid="{E73A9666-826C-481D-B777-05A55E644966}"/>
    <hyperlink ref="CD127" r:id="rId461" xr:uid="{9A077652-7CDC-4C5C-8AAE-243F0DFF2A23}"/>
    <hyperlink ref="BW128" r:id="rId462" xr:uid="{062EDC13-358C-499F-A829-B5F8D6495404}"/>
    <hyperlink ref="CD128" r:id="rId463" xr:uid="{C182DB06-7471-4C64-9712-47A4A03C6BB0}"/>
    <hyperlink ref="BW129" r:id="rId464" xr:uid="{4AEFEAAC-756A-4095-9F95-C6BD94866208}"/>
    <hyperlink ref="BZ129" r:id="rId465" xr:uid="{53832FEC-0300-4BD3-A95A-E591DE5BBD0B}"/>
    <hyperlink ref="CA129" r:id="rId466" xr:uid="{95FA79CB-C899-4326-A613-3A828AE78780}"/>
    <hyperlink ref="CD129" r:id="rId467" xr:uid="{33A88E5B-5729-4A69-AE11-FD713626B63F}"/>
    <hyperlink ref="BW130" r:id="rId468" xr:uid="{634F5A51-F9BC-42E9-A407-ABEE2782E46B}"/>
    <hyperlink ref="CD130" r:id="rId469" xr:uid="{8BBC67BC-C698-4A73-B63F-E5E777DCA189}"/>
    <hyperlink ref="BW131" r:id="rId470" xr:uid="{8AA3BF4D-54D8-43E0-BBAA-531839C01F21}"/>
    <hyperlink ref="BZ131" r:id="rId471" xr:uid="{E0A4DA57-9209-486C-9942-2461047AE9C9}"/>
    <hyperlink ref="CA131" r:id="rId472" xr:uid="{F3193EE3-6BA2-4659-AC15-8B987C08E3CB}"/>
    <hyperlink ref="CB131" r:id="rId473" xr:uid="{21B97F03-219F-4A6F-B5A2-F2A5823EC7F8}"/>
    <hyperlink ref="CD131" r:id="rId474" xr:uid="{6A3ADFC5-F5B7-4510-A1D3-1F0CDC83FCF5}"/>
    <hyperlink ref="BW132" r:id="rId475" xr:uid="{FCB9F671-D686-442E-B95E-37BC0E07DD6F}"/>
    <hyperlink ref="BZ132" r:id="rId476" xr:uid="{8F3304B7-F3C2-4CB7-BFA0-1D4498A088ED}"/>
    <hyperlink ref="CA132" r:id="rId477" xr:uid="{86D8B6B5-AC10-4BD3-8412-64D9DBF4C25C}"/>
    <hyperlink ref="CB132" r:id="rId478" xr:uid="{CAF13351-6BDE-4CB4-906C-033F4D8ACA68}"/>
    <hyperlink ref="CD132" r:id="rId479" xr:uid="{33AD0ED9-178D-459B-A143-B6C865C6D5F1}"/>
    <hyperlink ref="BW133" r:id="rId480" xr:uid="{FC0D37CA-9746-4B2B-AB2F-A7506B593717}"/>
    <hyperlink ref="BZ133" r:id="rId481" xr:uid="{C1E5EADC-7DA2-4245-BAE8-89FCCC9D8A05}"/>
    <hyperlink ref="CD133" r:id="rId482" xr:uid="{3D69F122-24F5-4E1C-BD6E-1DA4E34F1AF1}"/>
    <hyperlink ref="BW134" r:id="rId483" xr:uid="{B7A42E2D-C861-461B-9458-16DD5B140192}"/>
    <hyperlink ref="BZ134" r:id="rId484" xr:uid="{75D62F38-92DE-48E8-B3D8-7C85860898EC}"/>
    <hyperlink ref="CA134" r:id="rId485" xr:uid="{1F7C55A2-08BD-415D-9375-AE25AAFA813B}"/>
    <hyperlink ref="CB134" r:id="rId486" xr:uid="{B8755CD4-795C-4E84-9FCA-53A15B00CDE4}"/>
    <hyperlink ref="CD134" r:id="rId487" xr:uid="{97F7E168-8349-47D1-A2EC-6193E54B398C}"/>
    <hyperlink ref="BW135" r:id="rId488" xr:uid="{ECA4F0D2-4906-424D-87D5-57257D477B69}"/>
    <hyperlink ref="BZ135" r:id="rId489" xr:uid="{7CB08370-393B-4AA8-AC1A-CDA85E738F20}"/>
    <hyperlink ref="CA135" r:id="rId490" xr:uid="{5792FB98-7481-4676-9928-BE930E686D2A}"/>
    <hyperlink ref="CB135" r:id="rId491" xr:uid="{AC54BDF8-F9F3-45BB-B985-7BBEFE6A5431}"/>
    <hyperlink ref="CD135" r:id="rId492" xr:uid="{47D2E22D-1193-40CC-B05C-5BE0ECA7536D}"/>
    <hyperlink ref="BW136" r:id="rId493" xr:uid="{7BB1260B-B5D8-4CF2-AF47-6B7E8E011B91}"/>
    <hyperlink ref="BZ136" r:id="rId494" xr:uid="{466796A5-B34E-4700-9033-629BB7DA267C}"/>
    <hyperlink ref="CB136" r:id="rId495" xr:uid="{97BE8160-8631-48BE-8513-1FDCE0E70D96}"/>
    <hyperlink ref="CD136" r:id="rId496" xr:uid="{A20A2E8C-4669-48F9-A1E0-32165066DD5A}"/>
    <hyperlink ref="BW137" r:id="rId497" xr:uid="{86E84215-88D5-4DDE-96EC-66E48E3B6A30}"/>
    <hyperlink ref="CD137" r:id="rId498" xr:uid="{82E7E91E-00A3-4455-A8D6-60A5E9D239FF}"/>
    <hyperlink ref="BW138" r:id="rId499" xr:uid="{7E6D5A9F-A9D0-462A-A703-C768EA5810CF}"/>
    <hyperlink ref="BZ138" r:id="rId500" xr:uid="{671D8F2C-6895-4FB7-A9F5-F000AD926483}"/>
    <hyperlink ref="CA138" r:id="rId501" xr:uid="{AD94AE06-9959-4D6D-ACAC-0670538F09DD}"/>
    <hyperlink ref="CB138" r:id="rId502" xr:uid="{E9D75E7A-84F4-48F5-B192-B8A3F802F8A7}"/>
    <hyperlink ref="CD138" r:id="rId503" xr:uid="{2AC63501-9421-4951-9389-1853EA017821}"/>
    <hyperlink ref="BW139" r:id="rId504" xr:uid="{AAC2CE84-2DED-4014-BA24-203DDFEE33D1}"/>
    <hyperlink ref="CB139" r:id="rId505" xr:uid="{C4D8F67C-59C3-40D7-ADB7-A3477A78047A}"/>
    <hyperlink ref="CD139" r:id="rId506" xr:uid="{623E6729-AB5D-4680-8FC8-A3F9D35BC187}"/>
    <hyperlink ref="BW140" r:id="rId507" xr:uid="{550DA8AA-649B-456D-9427-3446DB0FFCCD}"/>
    <hyperlink ref="CD140" r:id="rId508" xr:uid="{84363F42-41FE-4347-AA6B-40A34942A138}"/>
    <hyperlink ref="BW141" r:id="rId509" xr:uid="{688B551A-7FDC-40A6-844D-16595AB7D162}"/>
    <hyperlink ref="CD141" r:id="rId510" xr:uid="{51A138E5-892F-4AB4-98E1-744AD855B2AB}"/>
    <hyperlink ref="BW142" r:id="rId511" xr:uid="{DCB5B70A-8309-42B4-A867-F663CDD93FB9}"/>
    <hyperlink ref="BZ142" r:id="rId512" xr:uid="{21A61D72-F21E-45AE-BFFD-1854CEBA4FB8}"/>
    <hyperlink ref="CD142" r:id="rId513" xr:uid="{3484942D-9DD2-4CEC-8073-B9D892A5E18C}"/>
    <hyperlink ref="BW143" r:id="rId514" xr:uid="{151706C7-09E2-4651-81D8-AE06741394AA}"/>
    <hyperlink ref="BZ143" r:id="rId515" xr:uid="{7C3F7958-61C8-43F7-84E4-A5129804874C}"/>
    <hyperlink ref="CA143" r:id="rId516" xr:uid="{381D35EE-1366-49F0-8DA2-61225F6D09C0}"/>
    <hyperlink ref="CD143" r:id="rId517" xr:uid="{964D5216-1FC1-416F-BF72-1831013854AF}"/>
    <hyperlink ref="BW144" r:id="rId518" xr:uid="{9056F2BB-F582-427E-A0D5-E7658646577D}"/>
    <hyperlink ref="CD144" r:id="rId519" xr:uid="{D16B3251-3DF7-440B-A6EA-03180440C5C9}"/>
    <hyperlink ref="BW145" r:id="rId520" xr:uid="{9BD29BD6-4F30-42D9-AAF9-B734987369D1}"/>
    <hyperlink ref="CD145" r:id="rId521" xr:uid="{397AD693-1B97-4168-8FDC-D20CEA96C27C}"/>
    <hyperlink ref="BW146" r:id="rId522" xr:uid="{71098AF8-1B71-4329-8BEB-996E60503559}"/>
    <hyperlink ref="BZ146" r:id="rId523" xr:uid="{FD421951-F66D-4E64-907F-04558DF9AAAE}"/>
    <hyperlink ref="CA146" r:id="rId524" xr:uid="{96473970-4054-4CF2-8EED-44BE48EE98AF}"/>
    <hyperlink ref="CB146" r:id="rId525" xr:uid="{9256A843-0C0A-4493-8A5B-D269D58CCC2E}"/>
    <hyperlink ref="CD146" r:id="rId526" xr:uid="{C86D609E-90CB-41FF-A754-EDFCF74DEC9A}"/>
    <hyperlink ref="BW147" r:id="rId527" xr:uid="{6108238A-5B70-4C3C-A0D6-FBEBEB7BBF93}"/>
    <hyperlink ref="BZ147" r:id="rId528" xr:uid="{3C0EE936-6115-4BC3-930F-49AD880EF546}"/>
    <hyperlink ref="CD147" r:id="rId529" xr:uid="{0D392322-B4A3-42A3-BCC2-64752C0D7355}"/>
    <hyperlink ref="BW148" r:id="rId530" xr:uid="{A09D1DB0-0482-48B6-8FF1-19E6C1A89E8B}"/>
    <hyperlink ref="CD148" r:id="rId531" xr:uid="{6FC9C73F-5751-4886-96F4-D53DBA37CF59}"/>
    <hyperlink ref="BW149" r:id="rId532" xr:uid="{6223E464-C07D-4883-B644-368BAABDF4AF}"/>
    <hyperlink ref="BZ149" r:id="rId533" xr:uid="{02549505-A7A1-4E65-97F8-9233F795A86F}"/>
    <hyperlink ref="CD149" r:id="rId534" xr:uid="{70DAFBFC-62F4-47E0-B492-922F06A68052}"/>
    <hyperlink ref="BW150" r:id="rId535" xr:uid="{A0F60435-7A93-413A-94EC-E54355745AB5}"/>
    <hyperlink ref="BZ150" r:id="rId536" xr:uid="{83747E8F-A7D6-4EA9-9D7C-947EBF0B8AE8}"/>
    <hyperlink ref="CA150" r:id="rId537" xr:uid="{908F218C-A2E7-4150-A3B1-0F5AFF9C96D0}"/>
    <hyperlink ref="CB150" r:id="rId538" xr:uid="{AA48F9F3-165C-4161-80B6-289D70214466}"/>
    <hyperlink ref="CC150" r:id="rId539" xr:uid="{7D4A1BD1-16C1-46BF-9DFE-CADA6F0E536B}"/>
    <hyperlink ref="CD150" r:id="rId540" xr:uid="{AB136E3D-90E8-423B-A7D6-030D2BF0ECD5}"/>
    <hyperlink ref="BW151" r:id="rId541" xr:uid="{F17A89B6-6C1C-4D8F-9890-C652FAFFFFBC}"/>
    <hyperlink ref="BZ151" r:id="rId542" xr:uid="{14F05292-B4A2-425A-A72A-38017B5A05ED}"/>
    <hyperlink ref="CA151" r:id="rId543" xr:uid="{88821293-8DB7-4E77-AA1D-F3E10E94FDD8}"/>
    <hyperlink ref="CB151" r:id="rId544" xr:uid="{6CF02017-1EA9-4416-8622-4466887951E1}"/>
    <hyperlink ref="CD151" r:id="rId545" xr:uid="{EB15D38F-52E6-4AE5-9978-3ED93B483011}"/>
    <hyperlink ref="BW152" r:id="rId546" xr:uid="{79433840-0355-463D-B67B-C4F240784124}"/>
    <hyperlink ref="BZ152" r:id="rId547" xr:uid="{EAB283F3-9D25-4199-B066-9B57C12AB8FF}"/>
    <hyperlink ref="CA152" r:id="rId548" xr:uid="{41A0BF27-7DEF-4719-9DDB-0C1135B8DF17}"/>
    <hyperlink ref="CB152" r:id="rId549" xr:uid="{7E1F77CB-3F1D-4781-A5B8-6D48E1D0724C}"/>
    <hyperlink ref="CC152" r:id="rId550" xr:uid="{579959CE-5582-4450-9663-98DF24271A42}"/>
    <hyperlink ref="CD152" r:id="rId551" xr:uid="{349C0491-3F66-437E-881D-9C945E7C4573}"/>
    <hyperlink ref="BW153" r:id="rId552" xr:uid="{F6D150BB-4C82-45B0-BA21-EAED2E20955A}"/>
    <hyperlink ref="BZ153" r:id="rId553" xr:uid="{2CDB73BD-F8C6-466B-B880-0B8AD4D00281}"/>
    <hyperlink ref="CA153" r:id="rId554" xr:uid="{E5B5B72C-E73C-4E59-859A-90662F57FDE5}"/>
    <hyperlink ref="CD153" r:id="rId555" xr:uid="{10359704-90CF-4EDF-9B45-C00155DACC11}"/>
    <hyperlink ref="AV154" r:id="rId556" xr:uid="{BBD8904E-F05A-4D00-92C9-0A32802280FD}"/>
    <hyperlink ref="BW154" r:id="rId557" xr:uid="{5DDA659C-6E50-463E-AA31-492E8BEA8D8A}"/>
    <hyperlink ref="BZ154" r:id="rId558" xr:uid="{5D2DE6E0-2713-4090-80B1-0609A1A0607C}"/>
    <hyperlink ref="CA154" r:id="rId559" xr:uid="{227317FE-3C9A-4C5A-A5E3-5B4457DB33FA}"/>
    <hyperlink ref="CD154" r:id="rId560" xr:uid="{DB66C539-0AB4-4FEF-A07F-A6A9D37D8BF9}"/>
    <hyperlink ref="BW155" r:id="rId561" xr:uid="{33121632-2F8B-4CC0-905A-43EAB41E873E}"/>
    <hyperlink ref="CD155" r:id="rId562" xr:uid="{97E305BA-1B1F-44AB-946F-3362FDB56F74}"/>
    <hyperlink ref="BW156" r:id="rId563" xr:uid="{138155B7-08F5-4E0C-8953-CF2768323DB2}"/>
    <hyperlink ref="BZ156" r:id="rId564" xr:uid="{5CE92F9D-6C95-4923-AF1B-E3B8C7542EEA}"/>
    <hyperlink ref="CD156" r:id="rId565" xr:uid="{E9FC090F-CA09-4088-BF09-D41EF78EFFC5}"/>
    <hyperlink ref="BW157" r:id="rId566" xr:uid="{820C031C-AE48-4753-9F7C-E743D9E6B3E5}"/>
    <hyperlink ref="CB157" r:id="rId567" xr:uid="{4A5F72CA-921A-4263-984C-D638BA8A322A}"/>
    <hyperlink ref="CD157" r:id="rId568" xr:uid="{3C2701E7-1BD6-4BB6-908B-D3FCBF543526}"/>
    <hyperlink ref="BW158" r:id="rId569" xr:uid="{B4295DEF-4197-4754-B7A4-022632A04092}"/>
    <hyperlink ref="CD158" r:id="rId570" xr:uid="{05B137BB-25D7-4C2C-B1A1-1AD7237058D2}"/>
    <hyperlink ref="BW159" r:id="rId571" xr:uid="{059EA653-D073-453D-A744-1076222FA63C}"/>
    <hyperlink ref="BZ159" r:id="rId572" xr:uid="{A39440A3-1326-4789-AEA3-0FFDC05AD594}"/>
    <hyperlink ref="CD159" r:id="rId573" xr:uid="{88D0F003-F8AA-46AD-950E-87395B1FF6C4}"/>
    <hyperlink ref="BW160" r:id="rId574" xr:uid="{903D656F-3AB8-460F-8667-FA9819247A9A}"/>
    <hyperlink ref="BZ160" r:id="rId575" xr:uid="{A3F52647-F631-4E2B-B345-956B07FE6C5F}"/>
    <hyperlink ref="CA160" r:id="rId576" xr:uid="{9D3335DA-3642-485F-ABC7-3DB1B677DD71}"/>
    <hyperlink ref="CB160" r:id="rId577" xr:uid="{02AE5AE1-A293-4309-98CD-A17BD1F63788}"/>
    <hyperlink ref="CD160" r:id="rId578" xr:uid="{EE6178AF-C97C-478A-BB58-F36A12D9E400}"/>
    <hyperlink ref="AV161" r:id="rId579" xr:uid="{6B92A6B3-C0F9-4F9D-969E-DCA6F0D9F43A}"/>
    <hyperlink ref="BW161" r:id="rId580" xr:uid="{77C864A3-3B47-4FF9-A462-DA575FC9575A}"/>
    <hyperlink ref="BZ161" r:id="rId581" xr:uid="{53CC4BBF-7EC6-4D0F-82EB-101BC91F19ED}"/>
    <hyperlink ref="CA161" r:id="rId582" xr:uid="{FE6C6189-9096-4810-8C71-24294F083232}"/>
    <hyperlink ref="CB161" r:id="rId583" xr:uid="{39082831-4CAA-449A-914D-FB8BC64B8E86}"/>
    <hyperlink ref="CD161" r:id="rId584" xr:uid="{55E074FD-1A13-4C0E-9A32-8CD119303F59}"/>
    <hyperlink ref="BW162" r:id="rId585" xr:uid="{09E799EE-00DB-4458-AED0-5BBFDB1D2F25}"/>
    <hyperlink ref="BZ162" r:id="rId586" xr:uid="{C34738AC-63B7-429A-9004-C3EECFC780C4}"/>
    <hyperlink ref="CA162" r:id="rId587" xr:uid="{78769B8E-2AD4-446E-9E0F-C17427285F24}"/>
    <hyperlink ref="CD162" r:id="rId588" xr:uid="{1B1CCD8F-A011-4CAA-A8AA-C260F80FAAD0}"/>
    <hyperlink ref="BW163" r:id="rId589" xr:uid="{48FDEEED-4673-4480-BF5A-153E33267EDC}"/>
    <hyperlink ref="BZ163" r:id="rId590" xr:uid="{6D111458-A249-4CE5-A541-8ECC273AFD2A}"/>
    <hyperlink ref="CA163" r:id="rId591" xr:uid="{F1EB5512-EC07-4AF7-89FC-BA66E76BF6EF}"/>
    <hyperlink ref="CB163" r:id="rId592" xr:uid="{FB3AD570-7198-46B3-872C-AFFD0C17C788}"/>
    <hyperlink ref="CC163" r:id="rId593" xr:uid="{0333F19A-23D9-4C75-A3F8-B85A5A28155D}"/>
    <hyperlink ref="CD163" r:id="rId594" xr:uid="{3C0DD285-D6E5-4274-82AE-E9644117C300}"/>
    <hyperlink ref="BW164" r:id="rId595" xr:uid="{088F42F6-D839-4A14-9FDB-E6AFA3BBC032}"/>
    <hyperlink ref="BZ164" r:id="rId596" xr:uid="{F921F95B-60A6-484F-85F9-033C069DC94F}"/>
    <hyperlink ref="CA164" r:id="rId597" xr:uid="{4FA3C474-CA34-420D-82AB-9BB5B01395E5}"/>
    <hyperlink ref="CD164" r:id="rId598" xr:uid="{C52C7CE5-F047-4363-8293-92F5AF0BAF42}"/>
    <hyperlink ref="BW165" r:id="rId599" xr:uid="{2ED1420C-5DBE-4149-B1E2-AC12DF34A5C2}"/>
    <hyperlink ref="CD165" r:id="rId600" xr:uid="{11CB50E6-EC5A-4ABD-8F73-A0F5A2E3DB8A}"/>
    <hyperlink ref="BW166" r:id="rId601" xr:uid="{26A67808-12AE-4742-B572-BBCEF8A65E15}"/>
    <hyperlink ref="BZ166" r:id="rId602" xr:uid="{A1268148-93B5-4457-AFB1-4E2C1F9D19BE}"/>
    <hyperlink ref="CA166" r:id="rId603" xr:uid="{9179C6C7-6692-4817-B22E-69C3116FAE27}"/>
    <hyperlink ref="CD166" r:id="rId604" xr:uid="{0A2F4BBE-F8FD-48F9-AD57-CC535C021A65}"/>
    <hyperlink ref="BW167" r:id="rId605" xr:uid="{456C4C29-4627-47A6-87F7-C99CD64FDA5D}"/>
    <hyperlink ref="CD167" r:id="rId606" xr:uid="{CF739978-63E9-4A82-A8EC-EFE7F7477C29}"/>
    <hyperlink ref="BW168" r:id="rId607" xr:uid="{811A3A08-651D-4825-8E41-2E5F36286B8D}"/>
    <hyperlink ref="BZ168" r:id="rId608" xr:uid="{E55676A8-C14A-4846-999C-05C0A94D4CFA}"/>
    <hyperlink ref="CD168" r:id="rId609" xr:uid="{80834F61-C492-416E-A773-6C27D7192466}"/>
    <hyperlink ref="BW169" r:id="rId610" xr:uid="{E2F2CEC1-D5B5-47DB-8210-CF81E1BA9124}"/>
    <hyperlink ref="BZ169" r:id="rId611" xr:uid="{24413A13-6DA9-4B8E-9E0F-BF2226D2760D}"/>
    <hyperlink ref="CD169" r:id="rId612" xr:uid="{C98FB0AF-15CA-492D-925E-944B5D9C63CD}"/>
    <hyperlink ref="BW170" r:id="rId613" xr:uid="{A87EE9B9-0F01-46F1-BB37-85FF6F61AF37}"/>
    <hyperlink ref="CA170" r:id="rId614" xr:uid="{8126BFD9-E78B-4F35-87B8-42D26E5FE658}"/>
    <hyperlink ref="CD170" r:id="rId615" xr:uid="{88371877-B126-499C-94F0-48097959A6BE}"/>
    <hyperlink ref="AV171" r:id="rId616" xr:uid="{9DD95590-8809-4D2E-BB9E-CD7DEEE90EB6}"/>
    <hyperlink ref="BW171" r:id="rId617" xr:uid="{01633ED1-C609-4C0E-BA95-52005774B085}"/>
    <hyperlink ref="BZ171" r:id="rId618" xr:uid="{FB1DE366-42A0-41ED-9EAD-CE86FD3DEA35}"/>
    <hyperlink ref="CA171" r:id="rId619" xr:uid="{7517C186-5DFD-4ACA-8959-49538C3335EA}"/>
    <hyperlink ref="CB171" r:id="rId620" xr:uid="{F591EC58-CF0A-4836-A08D-3C4DD5466D4A}"/>
    <hyperlink ref="CC171" r:id="rId621" xr:uid="{4B7ED7B0-AB38-4EE1-989E-BE024F5DE5F1}"/>
    <hyperlink ref="CD171" r:id="rId622" xr:uid="{2FA48C14-A0B6-4581-9607-7A3F0B4714E7}"/>
    <hyperlink ref="BW172" r:id="rId623" xr:uid="{3348DD1A-0D53-46F3-BE89-8B2726251BAD}"/>
    <hyperlink ref="BZ172" r:id="rId624" xr:uid="{13EFB181-8A55-4DD8-99FD-2B77248AEFB8}"/>
    <hyperlink ref="CA172" r:id="rId625" xr:uid="{FBC7F5AD-F8FB-43C7-A76B-F4C0ADC1EACE}"/>
    <hyperlink ref="CB172" r:id="rId626" xr:uid="{9F039B43-00D1-4900-BDD4-76EF86856DD2}"/>
    <hyperlink ref="CD172" r:id="rId627" xr:uid="{A460CDF7-9822-455B-B2F1-E2A245A6638A}"/>
    <hyperlink ref="BW173" r:id="rId628" xr:uid="{9A9E2D29-CA10-406A-9E19-098D4E375468}"/>
    <hyperlink ref="BZ173" r:id="rId629" xr:uid="{875A8C9A-2D12-4D60-A9ED-C49EEAFF8511}"/>
    <hyperlink ref="CA173" r:id="rId630" xr:uid="{E7A5CF61-0FB3-4473-A4DB-4744F61F202C}"/>
    <hyperlink ref="CD173" r:id="rId631" xr:uid="{3484DF60-0DED-4439-9BC5-2FDA69E10383}"/>
    <hyperlink ref="BW174" r:id="rId632" xr:uid="{4680AAA8-15E5-416E-AAF3-DCD1CA13CAAF}"/>
    <hyperlink ref="BZ174" r:id="rId633" xr:uid="{E2595E6E-4AD6-4F62-BEB4-303BCBA97D19}"/>
    <hyperlink ref="CB174" r:id="rId634" xr:uid="{63BFE3B9-F302-4F2A-A64A-6CDE7C6053B4}"/>
    <hyperlink ref="CD174" r:id="rId635" xr:uid="{06C995A7-2DFE-4F5C-A329-B3321451AEEE}"/>
    <hyperlink ref="BW175" r:id="rId636" xr:uid="{3A098F68-19B9-4770-8BE7-70C8404429B2}"/>
    <hyperlink ref="CD175" r:id="rId637" xr:uid="{DF6AB272-2F9D-4EBE-B5AF-4D5FA6A2381E}"/>
    <hyperlink ref="BW176" r:id="rId638" xr:uid="{413E89DB-13B4-4F01-80BD-BE583B086CD3}"/>
    <hyperlink ref="CD176" r:id="rId639" xr:uid="{EE082C7F-C486-4E8A-9876-146C69D5DC81}"/>
    <hyperlink ref="BW177" r:id="rId640" xr:uid="{E4E6A8A4-6518-4788-B4A1-F77D814578D5}"/>
    <hyperlink ref="BZ177" r:id="rId641" xr:uid="{C808B248-7C7B-447C-AD01-11F9BA1BF6B9}"/>
    <hyperlink ref="CA177" r:id="rId642" xr:uid="{23CE6E01-6FAB-4DFA-901D-047993B3930C}"/>
    <hyperlink ref="CB177" r:id="rId643" xr:uid="{26AA0C07-55B0-4CC6-A46D-197A114A6511}"/>
    <hyperlink ref="CD177" r:id="rId644" xr:uid="{FAF1428E-6368-453D-80E6-42DA34759E1E}"/>
    <hyperlink ref="BW178" r:id="rId645" xr:uid="{24267D4B-5AC1-4FA8-905E-9E541AC7BEEB}"/>
    <hyperlink ref="BZ178" r:id="rId646" xr:uid="{AEAE2971-B49D-42E3-A4D5-C39B1626E0FF}"/>
    <hyperlink ref="CA178" r:id="rId647" xr:uid="{0CC3FC26-9356-4210-A681-9503587AF81F}"/>
    <hyperlink ref="CD178" r:id="rId648" xr:uid="{48AD9A70-6FA1-4F39-B0CF-953B97E722D5}"/>
    <hyperlink ref="BW179" r:id="rId649" xr:uid="{9C608CD3-807F-446C-A5FF-EC065A35C0FC}"/>
    <hyperlink ref="BZ179" r:id="rId650" xr:uid="{2B8E6CBC-03FD-4867-A068-2F1A0BF8CD8C}"/>
    <hyperlink ref="CA179" r:id="rId651" xr:uid="{E07AB796-AB18-42D4-81D4-68CA433EAEBF}"/>
    <hyperlink ref="CB179" r:id="rId652" xr:uid="{F3B57DAB-1899-47DF-BDDE-4A26812490EC}"/>
    <hyperlink ref="CC179" r:id="rId653" xr:uid="{9D92DE13-374B-4C60-99D7-58B9590FC3E6}"/>
    <hyperlink ref="CD179" r:id="rId654" xr:uid="{45C3CAC3-93D1-46C1-B39B-4D39A8B8EF17}"/>
    <hyperlink ref="BW180" r:id="rId655" xr:uid="{8534E948-B510-4FA5-9554-1AF90D2FA8C2}"/>
    <hyperlink ref="CD180" r:id="rId656" xr:uid="{6EFC9414-A057-428A-B4C9-599472A80006}"/>
    <hyperlink ref="BW181" r:id="rId657" xr:uid="{4944CB0E-3E67-4AA7-9EAA-E90E1E32A33A}"/>
    <hyperlink ref="CD181" r:id="rId658" xr:uid="{4BB36F1B-25DB-4104-B6B9-52AD4416E7C8}"/>
    <hyperlink ref="BW182" r:id="rId659" xr:uid="{70361C47-7B90-43B5-9907-F1F458389E98}"/>
    <hyperlink ref="CB182" r:id="rId660" xr:uid="{92B2924B-1FF8-4B94-B4A7-B82690CB3161}"/>
    <hyperlink ref="CD182" r:id="rId661" xr:uid="{FEBD20C4-E28F-41F9-9E35-F726BC985F69}"/>
    <hyperlink ref="BW183" r:id="rId662" xr:uid="{3209835D-99E0-403C-B585-676FA3DD5B89}"/>
    <hyperlink ref="BZ183" r:id="rId663" xr:uid="{B3687068-D94A-4C97-96BC-D983147E14A0}"/>
    <hyperlink ref="CD183" r:id="rId664" xr:uid="{8F70506A-F7F5-48AF-B8E2-4FEF655834A2}"/>
    <hyperlink ref="BW184" r:id="rId665" xr:uid="{58064D15-7378-4640-B60F-A13D5FF8E044}"/>
    <hyperlink ref="BZ184" r:id="rId666" xr:uid="{244D0613-70CE-41DC-B5C1-0D79EB336986}"/>
    <hyperlink ref="CA184" r:id="rId667" xr:uid="{70EEC0AC-F920-4742-AACA-9A643BB9E5E9}"/>
    <hyperlink ref="CB184" r:id="rId668" xr:uid="{BACC038D-665C-4B87-9670-7FF090A0721C}"/>
    <hyperlink ref="CC184" r:id="rId669" xr:uid="{6E38E9C3-1EB2-4744-8211-DB38A83B2CF9}"/>
    <hyperlink ref="CD184" r:id="rId670" xr:uid="{7C8E5017-D8FE-4CA0-8438-3564918A1A41}"/>
    <hyperlink ref="BW185" r:id="rId671" xr:uid="{66E378C9-5797-41EF-8B5A-36B82353665D}"/>
    <hyperlink ref="BZ185" r:id="rId672" xr:uid="{89D37C10-2027-48A9-BA9D-7D8537C8AAA6}"/>
    <hyperlink ref="CA185" r:id="rId673" xr:uid="{45D81812-056D-49B9-9B44-14F3D54EE284}"/>
    <hyperlink ref="CB185" r:id="rId674" xr:uid="{231B716F-4451-4C3D-898A-88F28B5D3B0E}"/>
    <hyperlink ref="CD185" r:id="rId675" xr:uid="{5C939DC7-6185-45D4-AA74-B5C34EEB951E}"/>
    <hyperlink ref="BW186" r:id="rId676" xr:uid="{BEC23A29-A0DE-4BB5-B58C-2ED6FE44A166}"/>
    <hyperlink ref="CA186" r:id="rId677" xr:uid="{C7CDB537-E3C0-416C-A1FC-6381502AEF61}"/>
    <hyperlink ref="CB186" r:id="rId678" xr:uid="{FA95CB7F-83A1-421A-856C-E4BAF256327D}"/>
    <hyperlink ref="CD186" r:id="rId679" xr:uid="{9E27F729-E904-4272-9680-C42A6051B4E9}"/>
    <hyperlink ref="BW187" r:id="rId680" xr:uid="{987DDE2F-2E7B-4B69-AA38-7E2A605C2D81}"/>
    <hyperlink ref="CA187" r:id="rId681" xr:uid="{E8015FD0-C98A-4F43-8A64-ED8DB9BE9F60}"/>
    <hyperlink ref="CD187" r:id="rId682" xr:uid="{8B63CC8C-A7BF-4727-A430-5D83FE919980}"/>
    <hyperlink ref="AV188" r:id="rId683" xr:uid="{4BDFC8E8-F090-4AA5-BD0E-930468B3CA4D}"/>
    <hyperlink ref="BW188" r:id="rId684" xr:uid="{84B1DAB5-BB8C-4BE1-AA05-08DFD44961CB}"/>
    <hyperlink ref="BZ188" r:id="rId685" xr:uid="{E756529C-54DC-4C8D-8C45-BC92F8E43DC7}"/>
    <hyperlink ref="CA188" r:id="rId686" xr:uid="{C19E48A9-467B-49BC-9DFE-1884A96D2B22}"/>
    <hyperlink ref="CB188" r:id="rId687" xr:uid="{9728C3FB-86F4-4C41-AD38-7A907770D90A}"/>
    <hyperlink ref="CC188" r:id="rId688" xr:uid="{0D386AF0-4BDA-48CA-A66E-E5E008CC5D14}"/>
    <hyperlink ref="CD188" r:id="rId689" xr:uid="{BE63A6C2-E8DF-4C14-ADBE-7DB234B5545A}"/>
    <hyperlink ref="BW189" r:id="rId690" xr:uid="{9C9A690A-DEB7-4E76-8408-B548EB41BA7B}"/>
    <hyperlink ref="CA189" r:id="rId691" xr:uid="{FBA19108-76CB-4C14-823F-5B71D32940E5}"/>
    <hyperlink ref="CD189" r:id="rId692" xr:uid="{90C6BBE1-353C-4CD2-AB2B-9DB04C2D634C}"/>
    <hyperlink ref="AV190" r:id="rId693" xr:uid="{81914273-A305-424F-98B5-FDF8BD12E790}"/>
    <hyperlink ref="BW190" r:id="rId694" xr:uid="{892CBC90-B582-470D-B560-9DBE777BB28F}"/>
    <hyperlink ref="CD190" r:id="rId695" xr:uid="{DECF8BC5-BD04-4013-A30E-61237CD355B0}"/>
    <hyperlink ref="BW191" r:id="rId696" xr:uid="{0ED8A458-76D9-4811-9162-DD92F64421A9}"/>
    <hyperlink ref="CA191" r:id="rId697" xr:uid="{892253E6-D2C4-4D37-B72A-58F17F109E49}"/>
    <hyperlink ref="CB191" r:id="rId698" xr:uid="{B947649F-6CFE-41E7-987B-E9225AF25517}"/>
    <hyperlink ref="CD191" r:id="rId699" xr:uid="{7574C35D-B78A-424E-BF2A-6EBC9ACB2A18}"/>
    <hyperlink ref="BW192" r:id="rId700" xr:uid="{D6664EDD-F6A0-456F-B6B7-F37D1EE0710A}"/>
    <hyperlink ref="BZ192" r:id="rId701" xr:uid="{F4E03303-895B-43F9-B670-ADDFD65A6349}"/>
    <hyperlink ref="CA192" r:id="rId702" xr:uid="{F150669B-A103-4A68-8AAE-4CDDA6C55DD2}"/>
    <hyperlink ref="CB192" r:id="rId703" xr:uid="{36310DFE-F329-400C-8D2F-DDC16338489B}"/>
    <hyperlink ref="CC192" r:id="rId704" xr:uid="{CE7F9A3E-3BC8-4B9B-AE40-5238DA718A6F}"/>
    <hyperlink ref="CD192" r:id="rId705" xr:uid="{B001F1F9-52B1-42AB-AC5B-BCC9BF7DE445}"/>
    <hyperlink ref="AV193" r:id="rId706" xr:uid="{EA8E2572-B845-4F67-8E6C-26E9A13A288C}"/>
    <hyperlink ref="BW193" r:id="rId707" xr:uid="{A4C205E6-3F99-4CA1-9D6D-632F82512EC1}"/>
    <hyperlink ref="BZ193" r:id="rId708" xr:uid="{3717ABB0-BB9C-491C-8291-791FE34D3D35}"/>
    <hyperlink ref="CB193" r:id="rId709" xr:uid="{409DE4B2-0E30-4F8F-A2E4-6DD24370C648}"/>
    <hyperlink ref="CD193" r:id="rId710" xr:uid="{AE8B4841-DCB8-4111-BBBE-7EAF4CDFBAD7}"/>
    <hyperlink ref="AV194" r:id="rId711" xr:uid="{74A2BD4C-4595-4041-965B-EA9505088019}"/>
    <hyperlink ref="BW194" r:id="rId712" xr:uid="{E1970903-9FF2-45EB-A1D8-E865BDC712E2}"/>
    <hyperlink ref="BZ194" r:id="rId713" xr:uid="{BA6105CC-2811-4ACC-959F-851123B74078}"/>
    <hyperlink ref="CD194" r:id="rId714" xr:uid="{B5CBA399-86E3-47C1-9FEA-5CF9B803E8F6}"/>
    <hyperlink ref="AV195" r:id="rId715" xr:uid="{2400C327-1CEC-40E8-9C9A-9287A101E765}"/>
    <hyperlink ref="BW195" r:id="rId716" xr:uid="{44593A5D-475F-4DD4-92CB-B3EA99C07B0F}"/>
    <hyperlink ref="BZ195" r:id="rId717" xr:uid="{4DD70336-A1C2-4F7F-9029-9F844B4706D6}"/>
    <hyperlink ref="CA195" r:id="rId718" xr:uid="{A27EF377-FB6B-4D7A-ABFA-865F1962C1A0}"/>
    <hyperlink ref="CB195" r:id="rId719" xr:uid="{6D2C3128-1D7F-4BCE-B51B-390965EC55B0}"/>
    <hyperlink ref="CD195" r:id="rId720" xr:uid="{E3AECF10-65C4-45DB-8C88-C0DE1B81F1F4}"/>
    <hyperlink ref="AV196" r:id="rId721" xr:uid="{D904EC32-BF2E-4152-BA9F-962498100A60}"/>
    <hyperlink ref="BW196" r:id="rId722" xr:uid="{47076CC7-E674-4D52-A8DB-EA86E24D40E3}"/>
    <hyperlink ref="BZ196" r:id="rId723" xr:uid="{2D820E65-0B28-42CD-98CB-9A55F908C19F}"/>
    <hyperlink ref="CA196" r:id="rId724" xr:uid="{E634CA27-4B9B-4AA6-B8BF-679162FE61F2}"/>
    <hyperlink ref="CB196" r:id="rId725" xr:uid="{C510646F-03E3-4AAE-B1E2-D8393BC1DFB4}"/>
    <hyperlink ref="CD196" r:id="rId726" xr:uid="{F3F0D872-5EA4-4BC0-B093-4D267C30A968}"/>
    <hyperlink ref="BW197" r:id="rId727" xr:uid="{592D2B76-B828-46CA-9DBD-16E86236C54C}"/>
    <hyperlink ref="CA197" r:id="rId728" xr:uid="{51C021C2-539B-4CEB-A5EF-8DF8B7EF4ECD}"/>
    <hyperlink ref="CD197" r:id="rId729" xr:uid="{93335CD7-2376-45C1-9632-5EEA2FB68596}"/>
    <hyperlink ref="AV198" r:id="rId730" xr:uid="{62365748-593D-4E94-8463-A0F98AC84655}"/>
    <hyperlink ref="BW198" r:id="rId731" xr:uid="{73E99129-8FD7-4309-949D-2F063C37EE1A}"/>
    <hyperlink ref="BZ198" r:id="rId732" xr:uid="{70FF5191-699F-4BAB-B590-76249B3DCFA1}"/>
    <hyperlink ref="CA198" r:id="rId733" xr:uid="{D27AE499-DE1A-4A8E-9CD8-890F10F9C02F}"/>
    <hyperlink ref="CB198" r:id="rId734" xr:uid="{5D15CF6B-5051-4277-B4B5-E544C0E78AB9}"/>
    <hyperlink ref="CC198" r:id="rId735" xr:uid="{3CE18F68-7C3A-424C-AB9B-F2588C9CEA82}"/>
    <hyperlink ref="CD198" r:id="rId736" xr:uid="{EAB0A75D-F631-40D3-A390-853B2FCF0AA1}"/>
    <hyperlink ref="BW199" r:id="rId737" xr:uid="{A2F3E2AB-6763-4AF2-A961-C6618BF8102F}"/>
    <hyperlink ref="BZ199" r:id="rId738" xr:uid="{04ACF4B4-4A54-4DA7-AF7D-231109383974}"/>
    <hyperlink ref="CA199" r:id="rId739" xr:uid="{117FABAD-6824-4FEB-ABFD-86255D5B59AC}"/>
    <hyperlink ref="CB199" r:id="rId740" xr:uid="{84C48DB0-8C0D-4503-B653-593956817ABA}"/>
    <hyperlink ref="CD199" r:id="rId741" xr:uid="{51190160-21C2-43B7-8863-D94EF4B4F77A}"/>
    <hyperlink ref="BW200" r:id="rId742" xr:uid="{E11C4011-ADE4-481C-867B-C2CA4BEF75D8}"/>
    <hyperlink ref="CB200" r:id="rId743" xr:uid="{D661D4B5-E6E8-411D-812B-F836A69363C0}"/>
    <hyperlink ref="CD200" r:id="rId744" xr:uid="{A3FE9F78-058F-47F4-A27E-5C4E452D3597}"/>
    <hyperlink ref="BW201" r:id="rId745" xr:uid="{AA49D8A9-B3D1-49E4-A292-7B48BE98D25C}"/>
    <hyperlink ref="BZ201" r:id="rId746" xr:uid="{92041A86-1800-46DD-9249-CED8AAD925EB}"/>
    <hyperlink ref="CA201" r:id="rId747" xr:uid="{F97628BC-C9B2-4D0E-BAB4-92966337AF12}"/>
    <hyperlink ref="CB201" r:id="rId748" xr:uid="{B637117B-FF61-4C59-A800-7228AD548786}"/>
    <hyperlink ref="CD201" r:id="rId749" xr:uid="{9088DD5F-3B46-4F8B-8BF2-A4507D16C0A5}"/>
    <hyperlink ref="BW202" r:id="rId750" xr:uid="{05EF9B8F-AA29-4942-B4A4-C95F911EA5C5}"/>
    <hyperlink ref="BZ202" r:id="rId751" xr:uid="{2FDB6C8A-1893-4471-8304-56B61E937E47}"/>
    <hyperlink ref="CA202" r:id="rId752" xr:uid="{122685DF-8067-4E52-9363-4A83B1AB0DC7}"/>
    <hyperlink ref="CB202" r:id="rId753" xr:uid="{2E808D89-AA1B-4CC5-95B7-4FF147D81A2C}"/>
    <hyperlink ref="CC202" r:id="rId754" xr:uid="{ACD60D87-991A-4512-91A8-D9896B3B1D57}"/>
    <hyperlink ref="CD202" r:id="rId755" xr:uid="{905AC5B7-425B-4F31-8A8F-96058F94A52C}"/>
    <hyperlink ref="AV203" r:id="rId756" xr:uid="{010BD0B9-5E8E-4153-B6C7-285F7D50FA2E}"/>
    <hyperlink ref="BW203" r:id="rId757" xr:uid="{6F3FD0DD-1B13-427D-9662-D361F432D094}"/>
    <hyperlink ref="BZ203" r:id="rId758" xr:uid="{67AC1BD0-C1D1-4151-8B26-0ED54C991233}"/>
    <hyperlink ref="CA203" r:id="rId759" xr:uid="{380589F8-E95F-4179-9FB9-7483748AA45B}"/>
    <hyperlink ref="CD203" r:id="rId760" xr:uid="{86D9E3FA-7D4B-495B-88D4-BB41B3C4DC75}"/>
    <hyperlink ref="AV204" r:id="rId761" xr:uid="{1C11A4E0-5BAD-4C77-B886-71117E62E8F5}"/>
    <hyperlink ref="BW204" r:id="rId762" xr:uid="{E0D8221F-E349-4BBC-B889-589FA2D16F65}"/>
    <hyperlink ref="BZ204" r:id="rId763" xr:uid="{30239F1C-C959-4C89-8CBF-3CC15AE34EA4}"/>
    <hyperlink ref="CD204" r:id="rId764" xr:uid="{A1B55378-6108-4CCB-BBE8-7725A142611E}"/>
    <hyperlink ref="AV205" r:id="rId765" xr:uid="{B93695E8-93A4-4DB0-AFD5-24BC7889CC5E}"/>
    <hyperlink ref="BW205" r:id="rId766" xr:uid="{052E1D46-C7AA-4824-9CDA-DE40E0EE41FE}"/>
    <hyperlink ref="BZ205" r:id="rId767" xr:uid="{83DF4449-D6F2-4401-8793-33C4EC7C66F0}"/>
    <hyperlink ref="CA205" r:id="rId768" xr:uid="{F0B4478B-DF5D-4100-AA2A-5FD0AD0F30BC}"/>
    <hyperlink ref="CB205" r:id="rId769" xr:uid="{E5803141-557A-4853-81C4-87F730E91C27}"/>
    <hyperlink ref="CD205" r:id="rId770" xr:uid="{43AD30B8-4191-4178-9F5D-70EC88750EE7}"/>
    <hyperlink ref="AV206" r:id="rId771" xr:uid="{4241277A-F407-4FE8-8EB9-7BF147CF5137}"/>
    <hyperlink ref="BW206" r:id="rId772" xr:uid="{0CAA6C6E-4ADB-47A7-BA75-D9660506BEAE}"/>
    <hyperlink ref="BZ206" r:id="rId773" xr:uid="{30806365-352D-4C9C-9BDB-BC0192082C94}"/>
    <hyperlink ref="CA206" r:id="rId774" xr:uid="{97CD8A0A-981D-4961-A24F-552646B73D94}"/>
    <hyperlink ref="CB206" r:id="rId775" xr:uid="{4A27D136-F171-4EFF-B003-502787500EC6}"/>
    <hyperlink ref="CD206" r:id="rId776" xr:uid="{12DCD246-14E9-4F31-81A7-ABAC924C141F}"/>
    <hyperlink ref="BW207" r:id="rId777" xr:uid="{1B299E35-FB2C-4FED-A83B-90BDFA541D1D}"/>
    <hyperlink ref="BZ207" r:id="rId778" xr:uid="{88F6BDB4-8AD9-41B6-B866-5EB99D0952B9}"/>
    <hyperlink ref="CD207" r:id="rId779" xr:uid="{49B61E65-A9C4-4D0C-B452-A81F472EB62B}"/>
    <hyperlink ref="BW208" r:id="rId780" xr:uid="{09A4012C-A972-47FC-BA39-72C6B7DA0D90}"/>
    <hyperlink ref="BZ208" r:id="rId781" xr:uid="{09721C3B-B9DF-4C77-9CDD-BDFB90512FF0}"/>
    <hyperlink ref="CA208" r:id="rId782" xr:uid="{3FE942DB-E2EB-4BF0-B1BA-06BF4D5FF7A9}"/>
    <hyperlink ref="CB208" r:id="rId783" xr:uid="{7740151B-33D2-412B-B678-C8EA89D43978}"/>
    <hyperlink ref="CC208" r:id="rId784" xr:uid="{707A68D4-87E2-46B6-B042-533FE375C5B7}"/>
    <hyperlink ref="CD208" r:id="rId785" xr:uid="{E2D3D391-2CAF-4EE2-A9B3-84E61C59F8D6}"/>
    <hyperlink ref="AV209" r:id="rId786" xr:uid="{D74AAAFB-5C2E-452A-BFA8-B7A3CA82E793}"/>
    <hyperlink ref="BW209" r:id="rId787" xr:uid="{D3C2F8EB-A412-481B-BD84-7487CC17C264}"/>
    <hyperlink ref="BZ209" r:id="rId788" xr:uid="{6F614B5A-1694-4703-93FE-9766CDF3B55E}"/>
    <hyperlink ref="CA209" r:id="rId789" xr:uid="{2BC8F3C7-1A26-444B-A646-A249498282D9}"/>
    <hyperlink ref="CB209" r:id="rId790" xr:uid="{5FA4FD64-4283-43AF-8467-D86D426C7AB6}"/>
    <hyperlink ref="CC209" r:id="rId791" xr:uid="{C6EE4240-36DA-4A7B-B526-D1AA933B54EF}"/>
    <hyperlink ref="CD209" r:id="rId792" xr:uid="{412A3D7E-CFB7-4691-8EE1-D6FD03A9B83C}"/>
    <hyperlink ref="BW210" r:id="rId793" xr:uid="{151ADE05-C240-43B8-A7EC-6A34246B0B6B}"/>
    <hyperlink ref="BZ210" r:id="rId794" xr:uid="{B82F3F37-34DF-488C-991D-568BD0735EAB}"/>
    <hyperlink ref="CA210" r:id="rId795" xr:uid="{A1E08374-73E6-4C99-8A6C-457997CEFA6A}"/>
    <hyperlink ref="CB210" r:id="rId796" xr:uid="{C53C1FD1-069A-4BEF-9A73-1E9DE4DCAEF2}"/>
    <hyperlink ref="CD210" r:id="rId797" xr:uid="{8C064B98-BC27-4F9D-AD28-FBC315EFBEE2}"/>
    <hyperlink ref="BW211" r:id="rId798" xr:uid="{42E38DDD-3411-48A2-B1D7-638DC938319C}"/>
    <hyperlink ref="CA211" r:id="rId799" xr:uid="{05F047F8-8214-4125-A84C-E8744DCCD233}"/>
    <hyperlink ref="CB211" r:id="rId800" xr:uid="{FA63595D-6FF2-41C8-80C1-661D96FB9EEA}"/>
    <hyperlink ref="CD211" r:id="rId801" xr:uid="{A0E39A1F-021E-4889-BCF8-7BFCAED71124}"/>
    <hyperlink ref="BW212" r:id="rId802" xr:uid="{E65CA090-1022-49D4-B5FE-0A055D490BCE}"/>
    <hyperlink ref="CB212" r:id="rId803" xr:uid="{122A21B2-A73F-4CB6-85D7-801ABB4EE2BD}"/>
    <hyperlink ref="CD212" r:id="rId804" xr:uid="{4065AC8F-7F19-44D2-B984-937B083CF1B6}"/>
    <hyperlink ref="AV213" r:id="rId805" xr:uid="{7D3D739A-C721-4DF2-9DA9-973BD98A3655}"/>
    <hyperlink ref="BW213" r:id="rId806" xr:uid="{E46A0176-FF62-4232-AAC3-700C9FFD9884}"/>
    <hyperlink ref="BZ213" r:id="rId807" xr:uid="{8F2B8AA0-BE20-4F0C-9D36-CD921D31408D}"/>
    <hyperlink ref="CA213" r:id="rId808" xr:uid="{30F808BC-94CB-494C-A57A-4EFD11B528B5}"/>
    <hyperlink ref="CB213" r:id="rId809" xr:uid="{BCFABC95-3E9F-4C42-A658-E93170EF6546}"/>
    <hyperlink ref="CD213" r:id="rId810" xr:uid="{BA10B37E-66C7-46AC-9EE2-439DCB136D1E}"/>
    <hyperlink ref="AV214" r:id="rId811" xr:uid="{1C7667B4-B726-47E7-858F-40D5EAF6273D}"/>
    <hyperlink ref="BW214" r:id="rId812" xr:uid="{59B1B7F3-07FF-4943-965F-2510E39C53C9}"/>
    <hyperlink ref="BZ214" r:id="rId813" xr:uid="{AD1CFADF-1971-4222-9D0B-1A972C44ED59}"/>
    <hyperlink ref="CA214" r:id="rId814" xr:uid="{F9148859-ECB2-45BD-828D-6B1FBBDD7BB3}"/>
    <hyperlink ref="CB214" r:id="rId815" xr:uid="{F8BDB28F-3119-4E0C-9047-07738CD16DE4}"/>
    <hyperlink ref="CD214" r:id="rId816" xr:uid="{6EF63731-5CA3-4669-B2B3-20637591F40E}"/>
    <hyperlink ref="AV215" r:id="rId817" xr:uid="{8665B324-A57A-4E54-9F29-30EBE5CD095B}"/>
    <hyperlink ref="BW215" r:id="rId818" xr:uid="{E6EE92B4-D208-40C0-A5FC-4EE92232B8EA}"/>
    <hyperlink ref="BZ215" r:id="rId819" xr:uid="{3D8A9E4F-B7D6-4679-AD47-7D22A22DA321}"/>
    <hyperlink ref="CA215" r:id="rId820" xr:uid="{439A56B4-B7CD-4221-9598-BA7F8F4D0088}"/>
    <hyperlink ref="CB215" r:id="rId821" xr:uid="{1F28C6DF-2A61-446D-A2A3-A29A028AE5E6}"/>
    <hyperlink ref="CC215" r:id="rId822" xr:uid="{84DF0314-6D46-424D-AED5-15A5C20954AE}"/>
    <hyperlink ref="CD215" r:id="rId823" xr:uid="{CC039CCB-E9BD-476F-A85F-360CB9B035C7}"/>
    <hyperlink ref="BW216" r:id="rId824" xr:uid="{B3F791D8-7C81-4F3B-95C0-576828DF2342}"/>
    <hyperlink ref="CD216" r:id="rId825" xr:uid="{55A95609-0FA9-453E-9C5A-CB14B25623E4}"/>
    <hyperlink ref="AV217" r:id="rId826" xr:uid="{B587E9FE-DF9E-4389-B784-D3C44DF758F2}"/>
    <hyperlink ref="BW217" r:id="rId827" xr:uid="{329641CB-6D72-4A25-AD0A-C6EEE44171F6}"/>
    <hyperlink ref="BZ217" r:id="rId828" xr:uid="{19DB77B6-9A23-43B6-AD72-0CA425373E6C}"/>
    <hyperlink ref="CA217" r:id="rId829" xr:uid="{1D94C72A-DF6E-4EF9-993A-7DC39A19524E}"/>
    <hyperlink ref="CD217" r:id="rId830" xr:uid="{B5FAE8C1-77B0-4FB0-B152-FEE1B3ED5666}"/>
    <hyperlink ref="BW218" r:id="rId831" xr:uid="{86704A9D-918A-47A5-BAD0-016AD3089136}"/>
    <hyperlink ref="CA218" r:id="rId832" xr:uid="{736C5CFC-729E-481B-B703-D9B5C1B75554}"/>
    <hyperlink ref="CB218" r:id="rId833" xr:uid="{71BED633-92C6-4038-BE81-4A543499EE9D}"/>
    <hyperlink ref="CD218" r:id="rId834" xr:uid="{C20093D9-0803-45E8-A6B2-FC08DED6289B}"/>
    <hyperlink ref="AV219" r:id="rId835" xr:uid="{2FF29F30-55AD-4F93-B415-A206A950E5FC}"/>
    <hyperlink ref="BW219" r:id="rId836" xr:uid="{4AEE2E35-E624-4C8E-A3AC-8C2C4B7572FB}"/>
    <hyperlink ref="BZ219" r:id="rId837" xr:uid="{0F41D794-F2F5-47DC-9914-A7E2C0D857F4}"/>
    <hyperlink ref="CA219" r:id="rId838" xr:uid="{AEC87588-E426-4402-94BD-3F96B4F4C4F4}"/>
    <hyperlink ref="CB219" r:id="rId839" xr:uid="{F3D8AC63-C507-45A9-9FEC-F044445DBC0F}"/>
    <hyperlink ref="CC219" r:id="rId840" xr:uid="{36C95F57-B0C4-462F-8118-9417E8175B7C}"/>
    <hyperlink ref="CD219" r:id="rId841" xr:uid="{D8755AC1-5383-40A4-BDA0-77CFB1EFDD77}"/>
    <hyperlink ref="BW220" r:id="rId842" xr:uid="{0C53B232-348B-49A0-9F50-5E1981E2F48F}"/>
    <hyperlink ref="BZ220" r:id="rId843" xr:uid="{17A2F235-24EA-4E4E-8C08-05821845422C}"/>
    <hyperlink ref="CA220" r:id="rId844" xr:uid="{E26961DF-5074-48EF-970E-F67371CF1CE4}"/>
    <hyperlink ref="CD220" r:id="rId845" xr:uid="{80887932-B4E4-41FB-B737-C7EA8055862F}"/>
    <hyperlink ref="BW221" r:id="rId846" xr:uid="{1F42F929-1F1A-4278-9C10-7F0F03495754}"/>
    <hyperlink ref="BZ221" r:id="rId847" xr:uid="{0346D465-91C7-4E04-A500-3B9B9EA8FE81}"/>
    <hyperlink ref="CD221" r:id="rId848" xr:uid="{E434CB84-FAB4-4833-93FD-8B8D2B56653C}"/>
    <hyperlink ref="AV222" r:id="rId849" xr:uid="{0AB7156C-A48E-4DF8-840F-28C770C47B5B}"/>
    <hyperlink ref="BW222" r:id="rId850" xr:uid="{73AB0145-CBEA-42C5-933B-07995ADEE98D}"/>
    <hyperlink ref="BZ222" r:id="rId851" xr:uid="{921553B0-FC3B-482D-955F-E207A54C489B}"/>
    <hyperlink ref="CD222" r:id="rId852" xr:uid="{6CD7383E-3776-43C9-A7B2-E0ADD0288084}"/>
    <hyperlink ref="BW223" r:id="rId853" xr:uid="{C31F0EC3-BF6F-49E3-B7EF-8FCD03ACE542}"/>
    <hyperlink ref="BZ223" r:id="rId854" xr:uid="{10D53FF8-4B75-4EDC-8E91-9AD0334C5AE0}"/>
    <hyperlink ref="CA223" r:id="rId855" xr:uid="{C08FC70C-AF37-4010-9783-90530E807FC3}"/>
    <hyperlink ref="CB223" r:id="rId856" xr:uid="{F46207CE-BF88-4F45-ADBD-8D4AC9F2A4E2}"/>
    <hyperlink ref="CD223" r:id="rId857" xr:uid="{034FB1BB-44C6-4209-963A-CE25B1E33873}"/>
    <hyperlink ref="BW224" r:id="rId858" xr:uid="{BB9CA61A-F023-44E7-8968-A16E4202CDBF}"/>
    <hyperlink ref="BZ224" r:id="rId859" xr:uid="{5B2DD8A8-6DBE-4502-839B-648AC97551EA}"/>
    <hyperlink ref="CD224" r:id="rId860" xr:uid="{A0F812CD-86B1-4224-915D-1357166EFC73}"/>
    <hyperlink ref="AV225" r:id="rId861" xr:uid="{DA3DB25C-3D5F-4C42-8625-66411A9A4790}"/>
    <hyperlink ref="BW225" r:id="rId862" xr:uid="{869D592E-A781-4048-B96C-18AD8DF1E576}"/>
    <hyperlink ref="BZ225" r:id="rId863" xr:uid="{781985E7-8271-45D9-8122-FABE91B00A6E}"/>
    <hyperlink ref="CB225" r:id="rId864" xr:uid="{C05AFDAC-E239-4606-BC6A-A7E973433C2B}"/>
    <hyperlink ref="CC225" r:id="rId865" xr:uid="{4CBCC927-C6B1-4FCF-B96E-5A23609B93A4}"/>
    <hyperlink ref="CD225" r:id="rId866" xr:uid="{F11EA318-9ABF-4B23-A7BD-E91A5DA13E10}"/>
    <hyperlink ref="AV226" r:id="rId867" xr:uid="{D6B12AA5-033A-4FFB-8495-CCB3142A0496}"/>
    <hyperlink ref="BW226" r:id="rId868" xr:uid="{CF2A4544-78AF-4F5E-9A5A-99016D917996}"/>
    <hyperlink ref="BZ226" r:id="rId869" xr:uid="{8D2D29FD-A749-4862-B820-F2AB6CA1EE00}"/>
    <hyperlink ref="CD226" r:id="rId870" xr:uid="{2F350B60-9CFC-4493-907D-861488F99769}"/>
    <hyperlink ref="BW227" r:id="rId871" xr:uid="{FF5CB7CF-56B5-4451-A31D-E8C8A8E021D5}"/>
    <hyperlink ref="CA227" r:id="rId872" xr:uid="{0CFDA461-AA34-45D1-8F92-D2E2D6955D6E}"/>
    <hyperlink ref="CB227" r:id="rId873" xr:uid="{B899B1C8-C6D3-4102-AF50-64F424C3A13A}"/>
    <hyperlink ref="CD227" r:id="rId874" xr:uid="{AE34B554-C045-4C0A-9717-859BBADD128E}"/>
    <hyperlink ref="BW228" r:id="rId875" xr:uid="{738C55F6-9BBA-4607-804F-EEF120A95141}"/>
    <hyperlink ref="BZ228" r:id="rId876" xr:uid="{4EBFA6A7-CC4E-4956-A7C5-E64C314D7331}"/>
    <hyperlink ref="CA228" r:id="rId877" xr:uid="{6CD4A13E-1748-48D9-ADFA-08D22CD8348C}"/>
    <hyperlink ref="CB228" r:id="rId878" xr:uid="{44DC85B6-4A9A-484C-A14D-C3EF199934B5}"/>
    <hyperlink ref="CD228" r:id="rId879" xr:uid="{BCCBFFD3-91D4-4B61-9C2B-101DE1D03B40}"/>
    <hyperlink ref="BW229" r:id="rId880" xr:uid="{B57FE03B-93AF-4B07-90D0-2A795FAFC677}"/>
    <hyperlink ref="BZ229" r:id="rId881" xr:uid="{E9009FD8-92B0-493E-9C96-2B59F30AF51E}"/>
    <hyperlink ref="CA229" r:id="rId882" xr:uid="{347420CA-4C0B-4C42-9A5A-8F8B48A2EAC2}"/>
    <hyperlink ref="CC229" r:id="rId883" xr:uid="{C8D3D345-BDB4-41D3-AB36-C06CDFF1FE7F}"/>
    <hyperlink ref="CD229" r:id="rId884" xr:uid="{1EA22A60-A6D1-4F98-B418-E143E2E8BE6E}"/>
    <hyperlink ref="AV230" r:id="rId885" xr:uid="{7FD2C762-0ED3-44FA-9EBE-273386F5CEAD}"/>
    <hyperlink ref="BW230" r:id="rId886" xr:uid="{4A90FED7-E299-44B5-8E95-E586CDEDEC44}"/>
    <hyperlink ref="BZ230" r:id="rId887" xr:uid="{D23FB07E-6074-40B1-B9A8-44A6A7B2E8D1}"/>
    <hyperlink ref="CA230" r:id="rId888" xr:uid="{64753609-0E23-403B-919D-49C003B3511E}"/>
    <hyperlink ref="CB230" r:id="rId889" xr:uid="{81ECC013-A10E-4379-870A-E9BF226F4933}"/>
    <hyperlink ref="CD230" r:id="rId890" xr:uid="{3A4234DD-1E29-43EB-A30E-00F0550E7409}"/>
    <hyperlink ref="AV231" r:id="rId891" xr:uid="{C27C1164-A20C-4E98-B935-9DF600218F08}"/>
    <hyperlink ref="BW231" r:id="rId892" xr:uid="{1445E5C5-73D0-49B8-B3C2-AAAB7676BBA3}"/>
    <hyperlink ref="BZ231" r:id="rId893" xr:uid="{78CEB6CC-ADC2-47FC-910B-A4D52853D557}"/>
    <hyperlink ref="CA231" r:id="rId894" xr:uid="{09711D58-86BD-4D26-B0D1-313724BF483A}"/>
    <hyperlink ref="CB231" r:id="rId895" xr:uid="{AFF49FA5-E307-4254-9D98-E0B3637341FD}"/>
    <hyperlink ref="CD231" r:id="rId896" xr:uid="{76B61EB5-ADEC-4F76-B6E0-7BF8467737ED}"/>
    <hyperlink ref="AV232" r:id="rId897" xr:uid="{6AF09999-48CF-4993-9FF3-5DA3D74CD69E}"/>
    <hyperlink ref="BW232" r:id="rId898" xr:uid="{9F077AE6-8B71-40AC-82FD-1E504FD36A3F}"/>
    <hyperlink ref="BZ232" r:id="rId899" xr:uid="{0C034431-F92B-47DE-A2B7-5150ABD89C43}"/>
    <hyperlink ref="CA232" r:id="rId900" xr:uid="{BE9E10D1-237E-468D-8721-5844BBEA3AD9}"/>
    <hyperlink ref="CB232" r:id="rId901" xr:uid="{5AAF33C6-99A1-4955-AA70-238179894F06}"/>
    <hyperlink ref="CD232" r:id="rId902" xr:uid="{EB6445B2-1E2F-4CB5-83F3-E07065EEB8C0}"/>
    <hyperlink ref="AV233" r:id="rId903" xr:uid="{A0D00221-2727-4940-9597-089FEC1BC746}"/>
    <hyperlink ref="BW233" r:id="rId904" xr:uid="{0CB228C8-2236-4286-91C3-7870863BA421}"/>
    <hyperlink ref="BZ233" r:id="rId905" xr:uid="{CD5E5059-ED3B-44C5-BD95-CFF510B9020F}"/>
    <hyperlink ref="CA233" r:id="rId906" xr:uid="{B4737A1A-E07F-4FFC-A3BD-290AB0243180}"/>
    <hyperlink ref="CB233" r:id="rId907" xr:uid="{76464A0C-3517-4DF4-9C26-2D04981F6491}"/>
    <hyperlink ref="CD233" r:id="rId908" xr:uid="{CFDFDADE-ED91-4AED-820A-22721A963823}"/>
    <hyperlink ref="AV234" r:id="rId909" xr:uid="{CA1E5DAF-66B8-44C6-A737-3AC531633158}"/>
    <hyperlink ref="BW234" r:id="rId910" xr:uid="{E1888CFD-8CAB-4954-814A-DA78BE12F9F5}"/>
    <hyperlink ref="BZ234" r:id="rId911" xr:uid="{C343A225-9436-42A4-B606-E4EAA2CA67ED}"/>
    <hyperlink ref="CA234" r:id="rId912" xr:uid="{421E2B3B-20C3-4CAD-8991-E7C2C2D1BE32}"/>
    <hyperlink ref="CD234" r:id="rId913" xr:uid="{F744280C-A513-4A60-884E-4017EFC16BB7}"/>
    <hyperlink ref="AV235" r:id="rId914" xr:uid="{8C7ACC79-84C8-4F99-898F-F1BDCE069426}"/>
    <hyperlink ref="BW235" r:id="rId915" xr:uid="{8806AC24-4044-46B8-B2F9-83B57C5D476D}"/>
    <hyperlink ref="BZ235" r:id="rId916" xr:uid="{D8F10BC9-F654-425D-B36E-1D6D4CA57018}"/>
    <hyperlink ref="CA235" r:id="rId917" xr:uid="{809C7911-2E79-4464-8461-AA00DEB6DA94}"/>
    <hyperlink ref="CB235" r:id="rId918" xr:uid="{C0A42495-5E41-4120-BF12-99D32F420A02}"/>
    <hyperlink ref="CD235" r:id="rId919" xr:uid="{AAE322D7-D582-41DA-B36D-1CE666CB865E}"/>
    <hyperlink ref="AV236" r:id="rId920" xr:uid="{FCF8BCF1-5FC2-4963-8803-2D71E3B2718C}"/>
    <hyperlink ref="BW236" r:id="rId921" xr:uid="{6BE156C2-13D6-4D66-81B9-4C6515F3F8D9}"/>
    <hyperlink ref="BZ236" r:id="rId922" xr:uid="{58A9684F-8C88-4C7E-B3F7-97C92B3AAA9A}"/>
    <hyperlink ref="CA236" r:id="rId923" xr:uid="{F0A3C5A2-F5DC-4AD6-910D-3319C49E9729}"/>
    <hyperlink ref="CB236" r:id="rId924" xr:uid="{586BB07D-9C6E-4C2D-8BCC-577D6FCE22B2}"/>
    <hyperlink ref="CC236" r:id="rId925" xr:uid="{72857425-C776-44C3-B882-1BED5EFC9FF0}"/>
    <hyperlink ref="CD236" r:id="rId926" xr:uid="{2962C84F-17D3-4D76-BB82-78873F43FA12}"/>
    <hyperlink ref="AV237" r:id="rId927" xr:uid="{BB62E9F6-CE2D-4B2B-ABA6-A9CE243985F9}"/>
    <hyperlink ref="BW237" r:id="rId928" xr:uid="{CB6904BD-238F-4331-9301-AD36F1C8FABE}"/>
    <hyperlink ref="BZ237" r:id="rId929" xr:uid="{106FD412-AE4C-47FD-8AC9-5C298C0ED521}"/>
    <hyperlink ref="CA237" r:id="rId930" xr:uid="{384B209D-F417-4413-9753-63568E100282}"/>
    <hyperlink ref="CB237" r:id="rId931" xr:uid="{815CE006-AA11-4C46-8F53-A9D4C8A49C4E}"/>
    <hyperlink ref="CC237" r:id="rId932" xr:uid="{8E5E2FA9-1088-4C1B-B76E-646AEBA9C770}"/>
    <hyperlink ref="CD237" r:id="rId933" xr:uid="{F94B6E00-B117-424A-A502-6158D9915B6D}"/>
    <hyperlink ref="AV238" r:id="rId934" xr:uid="{814AD57C-78FB-4E96-8662-2F470E68B5A4}"/>
    <hyperlink ref="BW238" r:id="rId935" xr:uid="{604827DD-386B-4075-8005-455BCC39679F}"/>
    <hyperlink ref="BZ238" r:id="rId936" xr:uid="{6E407642-827B-4F56-98EB-6ABBD519880F}"/>
    <hyperlink ref="CA238" r:id="rId937" xr:uid="{E380D2E2-13C5-449F-A712-55A3D96BFD90}"/>
    <hyperlink ref="CB238" r:id="rId938" xr:uid="{2A26C3C8-4336-40FD-88E2-4AF34D4974F1}"/>
    <hyperlink ref="CD238" r:id="rId939" xr:uid="{E39822B7-729E-4D72-83FD-7010D4DCE9C8}"/>
    <hyperlink ref="AV239" r:id="rId940" xr:uid="{C7844E62-8C4F-4156-909C-FA180308D567}"/>
    <hyperlink ref="BW239" r:id="rId941" xr:uid="{DA152E3E-EF7B-42BA-B6EF-19324A425DE7}"/>
    <hyperlink ref="BZ239" r:id="rId942" xr:uid="{5398721C-FE7B-459A-B319-1B4F947EC842}"/>
    <hyperlink ref="CA239" r:id="rId943" xr:uid="{DD8CA8A7-C67B-4A54-90E2-75C480857F83}"/>
    <hyperlink ref="CB239" r:id="rId944" xr:uid="{DA3F88B8-8873-4D83-8959-5FDEB52B6446}"/>
    <hyperlink ref="CC239" r:id="rId945" xr:uid="{0C0DA672-3AEB-4D5A-AB56-E5C576113437}"/>
    <hyperlink ref="CD239" r:id="rId946" xr:uid="{B6366283-FCE1-4BBF-A2FD-6050F296BBCB}"/>
    <hyperlink ref="BW240" r:id="rId947" xr:uid="{61855A86-51B9-4C8D-A4EA-477EAD02F5A5}"/>
    <hyperlink ref="BZ240" r:id="rId948" xr:uid="{FEE7821B-4219-4640-BE36-9C34CB704FC0}"/>
    <hyperlink ref="CA240" r:id="rId949" xr:uid="{FFC0E862-EE7C-492C-9C82-31AFE23390C7}"/>
    <hyperlink ref="CB240" r:id="rId950" xr:uid="{B05E3395-A476-4832-B481-B5CAA5807EB5}"/>
    <hyperlink ref="CD240" r:id="rId951" xr:uid="{FA55277E-1C38-482F-B8D8-0C25EEF92C92}"/>
    <hyperlink ref="AV241" r:id="rId952" xr:uid="{533664C9-3CA1-4B91-9BB8-C63F730F17A8}"/>
    <hyperlink ref="BW241" r:id="rId953" xr:uid="{26DB7347-E2A4-4D8C-8960-C544ADE95971}"/>
    <hyperlink ref="BZ241" r:id="rId954" xr:uid="{4989FF81-F5C6-4011-B096-4E3A9CF49150}"/>
    <hyperlink ref="CA241" r:id="rId955" xr:uid="{E23FA0BF-059F-456E-9548-069B5C1EEAC8}"/>
    <hyperlink ref="CB241" r:id="rId956" xr:uid="{7C3EAF9D-52B4-49F4-85C2-F59F748429A5}"/>
    <hyperlink ref="CD241" r:id="rId957" xr:uid="{209C50E2-8A87-4169-882F-60388113C710}"/>
    <hyperlink ref="AV242" r:id="rId958" xr:uid="{255B8B80-2F20-46EF-978F-E84BD6067E53}"/>
    <hyperlink ref="BW242" r:id="rId959" xr:uid="{FA6681A1-7AC2-4F1A-9F6C-DF4C911D30A8}"/>
    <hyperlink ref="BZ242" r:id="rId960" xr:uid="{DBAEFF38-70B6-4012-96B5-731B0A8397A1}"/>
    <hyperlink ref="CA242" r:id="rId961" xr:uid="{28F15395-8DED-4BA7-BE70-8A4ED9FC3E79}"/>
    <hyperlink ref="CB242" r:id="rId962" xr:uid="{12C8E05E-7D2C-4015-A848-743B0115FF59}"/>
    <hyperlink ref="CD242" r:id="rId963" xr:uid="{62BD4C12-392B-4C7F-8D13-CDA74E97E545}"/>
    <hyperlink ref="AV243" r:id="rId964" xr:uid="{3D59DF3E-5445-4A42-818E-05075E7FD3CA}"/>
    <hyperlink ref="BW243" r:id="rId965" xr:uid="{BD5F9AC2-7E3C-40CB-A217-7EFF56A22AEA}"/>
    <hyperlink ref="BZ243" r:id="rId966" xr:uid="{A97FAEF1-251A-440D-AD05-CD40C3C61860}"/>
    <hyperlink ref="CA243" r:id="rId967" xr:uid="{D27D146B-C4AE-45EF-9782-B623E82AB6EC}"/>
    <hyperlink ref="CB243" r:id="rId968" xr:uid="{C039B055-1397-485E-B288-565B5DD93155}"/>
    <hyperlink ref="CC243" r:id="rId969" xr:uid="{CE222823-7658-4E5D-90E1-03190B38F650}"/>
    <hyperlink ref="CD243" r:id="rId970" xr:uid="{D19D26F5-9AFE-45DD-A46E-728F1C032274}"/>
    <hyperlink ref="AV244" r:id="rId971" xr:uid="{92C45446-C6AE-40ED-ACF8-ECE02DB9667E}"/>
    <hyperlink ref="BW244" r:id="rId972" xr:uid="{930E0378-0550-4811-AD12-2060CE2B5EEE}"/>
    <hyperlink ref="BZ244" r:id="rId973" xr:uid="{8289222F-E75E-4191-9E47-72A8B780F9DB}"/>
    <hyperlink ref="CA244" r:id="rId974" xr:uid="{A82795EC-ADB6-44B1-B4A9-E7D2AF4D43D6}"/>
    <hyperlink ref="CB244" r:id="rId975" xr:uid="{09E9DD74-0159-424B-9C4C-68DED6DF52BD}"/>
    <hyperlink ref="CD244" r:id="rId976" xr:uid="{60D8DB63-862E-4B68-9B11-35F6902795D2}"/>
    <hyperlink ref="BW245" r:id="rId977" xr:uid="{9F55B331-AE12-4CDC-8321-B5629949FCD1}"/>
    <hyperlink ref="BZ245" r:id="rId978" xr:uid="{8D41899D-55DA-4787-8335-F12AD3640EAB}"/>
    <hyperlink ref="CA245" r:id="rId979" xr:uid="{D091DB2B-EEA4-42FC-A269-60C627965FD5}"/>
    <hyperlink ref="CB245" r:id="rId980" xr:uid="{384F6A2D-28EF-4745-A90B-422B6F68F47C}"/>
    <hyperlink ref="CD245" r:id="rId981" xr:uid="{1F4C56A4-2C41-49B3-AFB3-67AA085A3B86}"/>
    <hyperlink ref="AV246" r:id="rId982" xr:uid="{03B2DA8D-D3BA-48DE-A114-2DE485D620B6}"/>
    <hyperlink ref="BW246" r:id="rId983" xr:uid="{11643990-7F48-496B-83DE-B17CA617171C}"/>
    <hyperlink ref="BZ246" r:id="rId984" xr:uid="{13148EC9-60BA-4BAD-B320-7C4FED04A030}"/>
    <hyperlink ref="CA246" r:id="rId985" xr:uid="{98FB19AA-A92C-4B83-B12B-5E606F7FD1B1}"/>
    <hyperlink ref="CB246" r:id="rId986" xr:uid="{FDCC8481-ED71-4257-A403-1EBE48C119B6}"/>
    <hyperlink ref="CD246" r:id="rId987" xr:uid="{7DA8C6A0-6672-40EE-A993-DDC988605A22}"/>
    <hyperlink ref="BW247" r:id="rId988" xr:uid="{52160E7F-97F7-4A4E-B9C0-5CACF3F82ABA}"/>
    <hyperlink ref="BZ247" r:id="rId989" xr:uid="{E2F4FEEA-D19D-47B0-8739-8DB085069CEB}"/>
    <hyperlink ref="CB247" r:id="rId990" xr:uid="{B09AB9F5-FB84-4437-B1AA-598770F21788}"/>
    <hyperlink ref="CD247" r:id="rId991" xr:uid="{28806D86-C3D0-41EB-998B-A048EBD26B3B}"/>
    <hyperlink ref="BW248" r:id="rId992" xr:uid="{EA132329-DA00-40CB-B998-171CAEC8492B}"/>
    <hyperlink ref="BZ248" r:id="rId993" xr:uid="{0F02C8FB-5B04-4678-A060-8582E42CDEE8}"/>
    <hyperlink ref="CB248" r:id="rId994" xr:uid="{A5000203-FFD4-4E83-9C67-F0753F861B16}"/>
    <hyperlink ref="CD248" r:id="rId995" xr:uid="{D201B19B-D494-4BA3-ADBE-032AA3060CA4}"/>
    <hyperlink ref="AV249" r:id="rId996" xr:uid="{FE694B75-D5BC-4D27-A308-F3FFE8499CC1}"/>
    <hyperlink ref="BW249" r:id="rId997" xr:uid="{02C87FC0-061E-45C3-ADB0-7DA07340D346}"/>
    <hyperlink ref="CD249" r:id="rId998" xr:uid="{F321978E-6636-4264-8A84-AE8E8F91A09F}"/>
    <hyperlink ref="BW250" r:id="rId999" xr:uid="{ED30B01B-E143-47D2-A4EE-F704F6DCCB03}"/>
    <hyperlink ref="CB250" r:id="rId1000" xr:uid="{FAD0B6E2-D157-49D0-90AB-305F9547BA6D}"/>
    <hyperlink ref="CD250" r:id="rId1001" xr:uid="{54999EDB-D0B5-4060-9454-69BEDA06686E}"/>
    <hyperlink ref="BW251" r:id="rId1002" xr:uid="{5C53D6F8-F498-4C2F-89C8-4A434C3330F9}"/>
    <hyperlink ref="BZ251" r:id="rId1003" xr:uid="{E7B15953-F02D-4B37-A5FD-12A5A4F399C2}"/>
    <hyperlink ref="CA251" r:id="rId1004" xr:uid="{1AA7CB57-2CD9-4E2E-9C4E-ACC4C4690A2B}"/>
    <hyperlink ref="CC251" r:id="rId1005" xr:uid="{B08EC28F-F138-4541-BF66-C1FE4CF1888A}"/>
    <hyperlink ref="CD251" r:id="rId1006" xr:uid="{28ED3EF0-159C-4F23-972A-FE02280E1A85}"/>
    <hyperlink ref="BW252" r:id="rId1007" xr:uid="{C42959FB-D0ED-4302-99F5-BFB44E80E129}"/>
    <hyperlink ref="CD252" r:id="rId1008" xr:uid="{C65A9D15-EB03-4364-8B4A-7B25052AF2CD}"/>
    <hyperlink ref="BW253" r:id="rId1009" xr:uid="{120E00CB-B622-486C-AC88-146DBCA1F2AB}"/>
    <hyperlink ref="CB253" r:id="rId1010" xr:uid="{C64C1111-AF28-45B0-A23E-1C8A94A299A4}"/>
    <hyperlink ref="CD253" r:id="rId1011" xr:uid="{FE4EB83B-3D1B-48C4-B988-32A049AAA67F}"/>
    <hyperlink ref="BW254" r:id="rId1012" xr:uid="{D33F3A6A-7858-411C-9BAD-DC7DF68BFC2D}"/>
    <hyperlink ref="BZ254" r:id="rId1013" xr:uid="{F1FF6428-FE33-47FE-A6AA-D5C8A0AD791B}"/>
    <hyperlink ref="CD254" r:id="rId1014" xr:uid="{7F8BE86D-F12F-48FC-87C7-83A7FDFE04AE}"/>
    <hyperlink ref="BW255" r:id="rId1015" xr:uid="{7D98CDEB-EFE0-42BB-922F-582ABEE4EA85}"/>
    <hyperlink ref="BZ255" r:id="rId1016" xr:uid="{D8DBF0E3-5670-4B77-B007-75EE15749FF3}"/>
    <hyperlink ref="CD255" r:id="rId1017" xr:uid="{DDD57E50-FB22-4F3B-908F-CAEC2F6F6DAD}"/>
    <hyperlink ref="BW256" r:id="rId1018" xr:uid="{2C893585-E3EB-4109-903B-CE418792AAA1}"/>
    <hyperlink ref="CA256" r:id="rId1019" xr:uid="{5F8B41CA-918D-488D-ACB0-0C097E5D613C}"/>
    <hyperlink ref="CD256" r:id="rId1020" xr:uid="{55E8724F-9D4B-45D9-BF82-917A3FFEFF76}"/>
    <hyperlink ref="BW257" r:id="rId1021" xr:uid="{1EED5960-C808-44CC-B4E9-0B83A6A40C53}"/>
    <hyperlink ref="BZ257" r:id="rId1022" xr:uid="{5F9B2A38-FB45-4C23-95B7-DE1BFB1DDB66}"/>
    <hyperlink ref="CA257" r:id="rId1023" xr:uid="{877A475B-8DD3-45F9-A4EE-EB1419591571}"/>
    <hyperlink ref="CB257" r:id="rId1024" xr:uid="{6F7B5767-72A6-422F-BBFD-F80E9D2861B7}"/>
    <hyperlink ref="CD257" r:id="rId1025" xr:uid="{B2AD0D89-F9C4-472F-9BCE-545267DA3B92}"/>
    <hyperlink ref="BW258" r:id="rId1026" xr:uid="{F36B8B62-6DC7-43DF-8B64-F535F090A3A8}"/>
    <hyperlink ref="CD258" r:id="rId1027" xr:uid="{482D2457-1287-4B11-BBBF-ACE4994E5E78}"/>
    <hyperlink ref="BW259" r:id="rId1028" xr:uid="{26C7CEC0-BAF5-49CB-AE79-CDB50B7BB82C}"/>
    <hyperlink ref="BZ259" r:id="rId1029" xr:uid="{DACBC9B2-F614-427D-9DD2-8401F89CB538}"/>
    <hyperlink ref="CA259" r:id="rId1030" xr:uid="{2BBB1468-CFF8-49B6-8A1E-DD0DBD243D8B}"/>
    <hyperlink ref="CB259" r:id="rId1031" xr:uid="{B40347DD-8B63-44B7-8276-B3E5D0D6356E}"/>
    <hyperlink ref="CD259" r:id="rId1032" xr:uid="{0E2A8CF3-DF42-41B1-8075-1340543DC3CB}"/>
    <hyperlink ref="BW260" r:id="rId1033" xr:uid="{C4B686EC-2FE2-478E-9BBF-7E1D19A89270}"/>
    <hyperlink ref="CB260" r:id="rId1034" xr:uid="{FD155BC2-0992-48BF-890A-F23F7934B814}"/>
    <hyperlink ref="CC260" r:id="rId1035" xr:uid="{5E3EDC43-F29E-42BD-8D51-36F5A78F7D4C}"/>
    <hyperlink ref="CD260" r:id="rId1036" xr:uid="{143AA351-A52B-4B94-A6CF-118D014986A7}"/>
    <hyperlink ref="BW261" r:id="rId1037" xr:uid="{93284672-6645-4C86-BCBA-7BCD966CCEDA}"/>
    <hyperlink ref="BZ261" r:id="rId1038" xr:uid="{4A95D860-515F-4DC1-A373-D54FD7ADF56B}"/>
    <hyperlink ref="CA261" r:id="rId1039" xr:uid="{E543B965-C019-49EC-9B55-C473CA25F606}"/>
    <hyperlink ref="CB261" r:id="rId1040" xr:uid="{E312E556-745D-41AF-A987-E4CD8D063216}"/>
    <hyperlink ref="CD261" r:id="rId1041" xr:uid="{88F37756-16B6-4524-8C3C-9AF7022A325B}"/>
    <hyperlink ref="BW262" r:id="rId1042" xr:uid="{A1F690EB-CB0E-4273-8030-BE08A1465F30}"/>
    <hyperlink ref="BZ262" r:id="rId1043" xr:uid="{5D6A663C-5BF3-4B13-9BF0-3F4DC5381764}"/>
    <hyperlink ref="CB262" r:id="rId1044" xr:uid="{B5C46318-9BEB-4DA3-814B-09F9AC2AB069}"/>
    <hyperlink ref="CD262" r:id="rId1045" xr:uid="{AF39303C-90C9-465F-B97A-0FB01CF8FCA3}"/>
    <hyperlink ref="BW263" r:id="rId1046" xr:uid="{AE9CC0DD-1DD8-4C7C-9627-6B2BFEF9AD98}"/>
    <hyperlink ref="BZ263" r:id="rId1047" xr:uid="{375896F7-3DF3-45DC-8042-24D5144BA4B1}"/>
    <hyperlink ref="CA263" r:id="rId1048" xr:uid="{68C1D377-BB6F-4660-9E77-89C628DE456A}"/>
    <hyperlink ref="CD263" r:id="rId1049" xr:uid="{4D441F12-EDEF-4AF5-9773-D38FE5E11D10}"/>
    <hyperlink ref="BW264" r:id="rId1050" xr:uid="{6C0C5563-DEFD-4DD7-9BB4-6B8B7E663254}"/>
    <hyperlink ref="BZ264" r:id="rId1051" xr:uid="{2489A27A-9F46-4965-970D-C4FB455F85AC}"/>
    <hyperlink ref="CA264" r:id="rId1052" xr:uid="{90B89F22-1ED7-40FF-83B6-3D49FA6EFE73}"/>
    <hyperlink ref="CD264" r:id="rId1053" xr:uid="{C1B42E8B-7C24-42B1-9556-4E4ED679A7E4}"/>
    <hyperlink ref="BW265" r:id="rId1054" xr:uid="{8D1D7A5A-B3BE-49ED-A343-FC1A32BE53AF}"/>
    <hyperlink ref="CD265" r:id="rId1055" xr:uid="{9EF7A2F1-CA6F-4547-BCB0-13F286E1E71F}"/>
    <hyperlink ref="BW266" r:id="rId1056" xr:uid="{E7F16132-A860-43CC-8D17-1A89A1B611E1}"/>
    <hyperlink ref="BZ266" r:id="rId1057" xr:uid="{D4ED635A-61C0-42C2-A236-6A7E3BD87F16}"/>
    <hyperlink ref="CA266" r:id="rId1058" xr:uid="{E799AE9D-B6CF-4D25-B15C-88CEB663168F}"/>
    <hyperlink ref="CB266" r:id="rId1059" xr:uid="{DF09B5A8-EB29-453E-A38B-E2D8A71E2D8F}"/>
    <hyperlink ref="CD266" r:id="rId1060" xr:uid="{F71616AB-81C1-4657-A32E-EE32E515CB21}"/>
    <hyperlink ref="BW267" r:id="rId1061" xr:uid="{1A01CAE4-6DE3-4A76-B5E4-14ADCF9D0F81}"/>
    <hyperlink ref="BZ267" r:id="rId1062" xr:uid="{31BDC788-D0B9-4846-847B-7EAB0A04A2A3}"/>
    <hyperlink ref="CA267" r:id="rId1063" xr:uid="{EA465E06-2505-4CA9-BD51-18BCBEDB7474}"/>
    <hyperlink ref="CB267" r:id="rId1064" xr:uid="{3ED310F9-D085-4AF8-A5E5-214E9BDF24E7}"/>
    <hyperlink ref="CD267" r:id="rId1065" xr:uid="{14BF1A70-41C0-4488-BF53-864523C25DBA}"/>
    <hyperlink ref="BW268" r:id="rId1066" xr:uid="{6271B055-3226-41FF-81BD-C7B2F66766CE}"/>
    <hyperlink ref="BZ268" r:id="rId1067" xr:uid="{67DB75AB-7DC6-4209-A388-07CBFF9E0453}"/>
    <hyperlink ref="CA268" r:id="rId1068" xr:uid="{95683AE2-EE4C-41CF-B60D-7C2883C39961}"/>
    <hyperlink ref="CB268" r:id="rId1069" xr:uid="{D4C5515B-9DFE-42F4-AC65-E0A3FB774974}"/>
    <hyperlink ref="CD268" r:id="rId1070" xr:uid="{15A89C2C-53DD-4571-83C4-9445385122C7}"/>
    <hyperlink ref="BW269" r:id="rId1071" xr:uid="{4BC808CF-D5EA-475F-92B7-2EEA13E8AFE6}"/>
    <hyperlink ref="CD269" r:id="rId1072" xr:uid="{73DD6FDE-9DD4-494C-9079-90135F73F3E3}"/>
    <hyperlink ref="BW270" r:id="rId1073" xr:uid="{6591ECB3-7057-48A7-900A-756C1F7EA609}"/>
    <hyperlink ref="BZ270" r:id="rId1074" xr:uid="{BC9962CD-4AFF-44B8-B236-0F8CF9CFFBEF}"/>
    <hyperlink ref="CA270" r:id="rId1075" xr:uid="{3C523359-DE62-47CF-8CE5-24F028ACD56D}"/>
    <hyperlink ref="CD270" r:id="rId1076" xr:uid="{EFD0C916-FE54-45F4-A84E-304B063063FE}"/>
    <hyperlink ref="BW271" r:id="rId1077" xr:uid="{6989E7B9-1947-4586-A58C-726E35C210B1}"/>
    <hyperlink ref="BZ271" r:id="rId1078" xr:uid="{B383A306-D1B2-4B16-A320-1207D76CF9D6}"/>
    <hyperlink ref="CD271" r:id="rId1079" xr:uid="{92BF6095-B9E2-4EBC-8AB7-CB8795AA5027}"/>
    <hyperlink ref="BW272" r:id="rId1080" xr:uid="{90C1C55C-A717-4A63-BEE4-1F34C10F3221}"/>
    <hyperlink ref="CD272" r:id="rId1081" xr:uid="{FF982B4E-3DD6-47E1-BA42-01EA6EF974A7}"/>
    <hyperlink ref="BW273" r:id="rId1082" xr:uid="{28B953C7-D8A7-4411-90DB-D937F42C3E4C}"/>
    <hyperlink ref="CD273" r:id="rId1083" xr:uid="{D2A9596C-8E47-4A21-8C0E-0EAB531340E9}"/>
    <hyperlink ref="BW274" r:id="rId1084" xr:uid="{839C9685-2426-4096-A35F-5D01EA2FC0AC}"/>
    <hyperlink ref="BZ274" r:id="rId1085" xr:uid="{2F1447B8-88C9-42FB-B901-43FEC1FB4A6E}"/>
    <hyperlink ref="CA274" r:id="rId1086" xr:uid="{5D15E1C1-705C-452E-9001-C281134727A2}"/>
    <hyperlink ref="CB274" r:id="rId1087" xr:uid="{8C907890-DFEF-4730-9C4D-4FF919696B69}"/>
    <hyperlink ref="CD274" r:id="rId1088" xr:uid="{DC578B7B-E29A-49A1-87C3-DED1CF991F88}"/>
    <hyperlink ref="BW275" r:id="rId1089" xr:uid="{F5CEE8C3-5C13-40DD-B9CD-F82E78968C4F}"/>
    <hyperlink ref="BZ275" r:id="rId1090" xr:uid="{AAC0CE3A-B30C-41E0-AE28-EC5A940C707D}"/>
    <hyperlink ref="CD275" r:id="rId1091" xr:uid="{DEDE3449-BD2B-43A9-9D39-4B73AB023409}"/>
    <hyperlink ref="BW276" r:id="rId1092" xr:uid="{E9CC62C1-8900-43E4-BE7F-2C554F8E1BDC}"/>
    <hyperlink ref="CD276" r:id="rId1093" xr:uid="{4539726C-FC34-444B-85B5-36393575A864}"/>
    <hyperlink ref="BW277" r:id="rId1094" xr:uid="{752901B2-BBB5-4829-8E2F-C43879370BC6}"/>
    <hyperlink ref="CD277" r:id="rId1095" xr:uid="{D73FBCB7-0FA1-4D9F-BDBE-292113A2CCFC}"/>
    <hyperlink ref="BW278" r:id="rId1096" xr:uid="{6AC8A506-422E-4790-BF9A-F373F7DF8AF5}"/>
    <hyperlink ref="CD278" r:id="rId1097" xr:uid="{2636F0E4-AEE9-4AF1-9F03-52522593DBDB}"/>
    <hyperlink ref="BW279" r:id="rId1098" xr:uid="{92C2D4A2-E76E-42E3-A8D1-E9AA46405182}"/>
    <hyperlink ref="CD279" r:id="rId1099" xr:uid="{40535020-6204-4E5B-9B87-53DB5D1ABF9A}"/>
    <hyperlink ref="BW280" r:id="rId1100" xr:uid="{DC95AE1F-269E-4C2E-A97B-134ED0205BF8}"/>
    <hyperlink ref="BZ280" r:id="rId1101" xr:uid="{A49A2B4D-2ACD-49EE-B86F-C6A688457640}"/>
    <hyperlink ref="CA280" r:id="rId1102" xr:uid="{24DF72B9-F5B7-4C11-8FF0-7F8C5B213016}"/>
    <hyperlink ref="CB280" r:id="rId1103" xr:uid="{7E133E44-F061-4F0C-866F-F63465E10615}"/>
    <hyperlink ref="CC280" r:id="rId1104" xr:uid="{ACE16EDD-C178-40FC-BD89-B30720518C24}"/>
    <hyperlink ref="CD280" r:id="rId1105" xr:uid="{053A34C1-D410-4A6E-87D2-D4F68583C833}"/>
    <hyperlink ref="BW281" r:id="rId1106" xr:uid="{447A4FCA-A008-4785-B2AD-4C0C48A8539D}"/>
    <hyperlink ref="BZ281" r:id="rId1107" xr:uid="{EFC5C27B-7756-4AA8-A7E1-C0CE7E13B959}"/>
    <hyperlink ref="CA281" r:id="rId1108" xr:uid="{9F465C1A-0A53-494B-8F7F-989CAB4C134A}"/>
    <hyperlink ref="CB281" r:id="rId1109" xr:uid="{45BE2C92-4D98-492F-8D19-CD0E98445AC2}"/>
    <hyperlink ref="CD281" r:id="rId1110" xr:uid="{D70B32D4-EDBB-4980-BBF1-94AD7FA5EB07}"/>
    <hyperlink ref="BW282" r:id="rId1111" xr:uid="{03B147C2-57EA-429B-BAC9-7A99E03A7052}"/>
    <hyperlink ref="CA282" r:id="rId1112" xr:uid="{17A0BE1C-66D3-4A35-B354-D816E7BF0238}"/>
    <hyperlink ref="CB282" r:id="rId1113" xr:uid="{3225C871-72AD-4442-B28A-CDB65220F7A7}"/>
    <hyperlink ref="CD282" r:id="rId1114" xr:uid="{7595DB03-1AED-4F5F-B753-6D7ABBD7D4E6}"/>
    <hyperlink ref="BW283" r:id="rId1115" xr:uid="{90C8EB3B-5ADE-494C-B96E-01825515DD91}"/>
    <hyperlink ref="BZ283" r:id="rId1116" xr:uid="{E16019BC-0B5D-4780-83D8-72DCCD6454D2}"/>
    <hyperlink ref="CA283" r:id="rId1117" xr:uid="{97092683-B28B-4B74-9BB2-1105DDA74BDF}"/>
    <hyperlink ref="CB283" r:id="rId1118" xr:uid="{B7E8EBFE-64D1-4C5A-A938-2F9125A22106}"/>
    <hyperlink ref="CC283" r:id="rId1119" xr:uid="{3EC303D6-3157-4350-85D1-E7B215B9E4A6}"/>
    <hyperlink ref="CD283" r:id="rId1120" xr:uid="{99C1201D-EF6B-4A32-A2BE-AAA862BC6F5A}"/>
    <hyperlink ref="BW284" r:id="rId1121" xr:uid="{D942E798-D046-4C0F-A1BD-220E74E74EBB}"/>
    <hyperlink ref="BZ284" r:id="rId1122" xr:uid="{A142F542-15B5-45B6-964F-D1D7313DCFC5}"/>
    <hyperlink ref="CD284" r:id="rId1123" xr:uid="{200E831F-3940-488B-A22E-0820A5A7CA12}"/>
    <hyperlink ref="BW285" r:id="rId1124" xr:uid="{5A9E4F9B-AE2B-44E8-99C3-D54B8019B062}"/>
    <hyperlink ref="CD285" r:id="rId1125" xr:uid="{87D34540-E63B-46D5-A59B-0C1624C9EFF6}"/>
    <hyperlink ref="BW286" r:id="rId1126" xr:uid="{8ECCDEBB-7D94-46E4-BF71-035A69870500}"/>
    <hyperlink ref="CD286" r:id="rId1127" xr:uid="{9F5C3281-379C-4A6E-9A73-AD65E05CAE54}"/>
    <hyperlink ref="BW287" r:id="rId1128" xr:uid="{21060854-849F-469B-9269-645DBE42987C}"/>
    <hyperlink ref="CD287" r:id="rId1129" xr:uid="{8DAA5CE6-3820-4987-BEEB-8740A001D50C}"/>
    <hyperlink ref="BW288" r:id="rId1130" xr:uid="{43151153-1504-47E7-827D-36FAC697CF19}"/>
    <hyperlink ref="CD288" r:id="rId1131" xr:uid="{BC004644-1507-4A8F-869C-6C0FC7C4AD6E}"/>
    <hyperlink ref="BW289" r:id="rId1132" xr:uid="{10CBE45C-AF29-4C94-B76A-5AA7805D5159}"/>
    <hyperlink ref="BZ289" r:id="rId1133" xr:uid="{7A323382-659B-4411-84CB-E7A56EBACECE}"/>
    <hyperlink ref="CB289" r:id="rId1134" xr:uid="{E4BE19D4-EF56-4D8B-A213-54057E9B5F75}"/>
    <hyperlink ref="CD289" r:id="rId1135" xr:uid="{E8B491F7-E642-4A4C-BFCB-5B22BD6EA9EA}"/>
    <hyperlink ref="BW290" r:id="rId1136" xr:uid="{E539C10D-81F9-4D54-9386-9ACC62A206C0}"/>
    <hyperlink ref="BZ290" r:id="rId1137" xr:uid="{E791DA29-13A7-4315-BB18-DC2B5C06479E}"/>
    <hyperlink ref="CA290" r:id="rId1138" xr:uid="{2D7263CD-F230-4562-95F0-6460E3DE24CC}"/>
    <hyperlink ref="CB290" r:id="rId1139" xr:uid="{46CE3EBD-5316-40F1-8C5E-2D389D4C161B}"/>
    <hyperlink ref="CD290" r:id="rId1140" xr:uid="{7D849269-A512-4F03-8CCB-D8D851E1C2EA}"/>
    <hyperlink ref="BW291" r:id="rId1141" xr:uid="{3BE307F5-F10B-4361-9224-EDE8F6DC6A12}"/>
    <hyperlink ref="CD291" r:id="rId1142" xr:uid="{E521E2FC-CA3D-419D-8D48-4913AE4FEDB3}"/>
    <hyperlink ref="BW292" r:id="rId1143" xr:uid="{CE04F7B7-FF49-411A-91F5-6A5FF6ADA020}"/>
    <hyperlink ref="CA292" r:id="rId1144" xr:uid="{2475678A-7A83-4104-BC19-6688EFC8331A}"/>
    <hyperlink ref="CB292" r:id="rId1145" xr:uid="{A4857FF7-F263-4A80-B135-8814446617AC}"/>
    <hyperlink ref="CD292" r:id="rId1146" xr:uid="{BCF028A4-D9DC-4F02-91DC-0964E22072F5}"/>
    <hyperlink ref="AV293" r:id="rId1147" xr:uid="{65693310-EBBA-4980-ACFF-B38762E96B51}"/>
    <hyperlink ref="BW293" r:id="rId1148" xr:uid="{6BEC4442-A421-427B-8E6F-3800BE656070}"/>
    <hyperlink ref="BZ293" r:id="rId1149" xr:uid="{18B84FCA-1B6D-4C8D-AC0A-1BC9155C241E}"/>
    <hyperlink ref="CA293" r:id="rId1150" xr:uid="{BC4EF4AE-8FCB-4BFA-B72D-98702CB9657A}"/>
    <hyperlink ref="CB293" r:id="rId1151" xr:uid="{ED871C8E-7A36-47AE-B919-05D951265DD0}"/>
    <hyperlink ref="CD293" r:id="rId1152" xr:uid="{A65DAEAF-52DA-4AA5-B27B-53BF9DA207B8}"/>
    <hyperlink ref="BW294" r:id="rId1153" xr:uid="{DBDDA344-2CEA-40D9-93C2-841907AE6619}"/>
    <hyperlink ref="BZ294" r:id="rId1154" xr:uid="{52AAB728-4AF0-4632-8D61-C66F6172602A}"/>
    <hyperlink ref="CA294" r:id="rId1155" xr:uid="{9DA3FFDA-8D76-42B5-833E-E7793304DA9E}"/>
    <hyperlink ref="CD294" r:id="rId1156" xr:uid="{01050A86-7BF5-4B6E-B5F7-03ABA28787DA}"/>
    <hyperlink ref="BW295" r:id="rId1157" xr:uid="{4B201508-D1A8-4359-963D-CCC6290B6AEB}"/>
    <hyperlink ref="BZ295" r:id="rId1158" xr:uid="{7C725E46-33CF-43CF-8BAE-7A48D4CAB152}"/>
    <hyperlink ref="CB295" r:id="rId1159" xr:uid="{A9539827-C80A-4AC1-90CB-8D999B108D57}"/>
    <hyperlink ref="CD295" r:id="rId1160" xr:uid="{8357C48C-4C35-453B-9135-2C031C2D93FA}"/>
    <hyperlink ref="BW296" r:id="rId1161" xr:uid="{19D717B8-5F55-46A5-A505-D3A5835177BF}"/>
    <hyperlink ref="CA296" r:id="rId1162" xr:uid="{73B2FFAB-C48C-40D7-A910-CE3CB910E414}"/>
    <hyperlink ref="CB296" r:id="rId1163" xr:uid="{B0BF5987-7EE1-459B-8140-2260EECE7340}"/>
    <hyperlink ref="CD296" r:id="rId1164" xr:uid="{76732D41-A77A-4607-ADAC-DA192DE298E2}"/>
    <hyperlink ref="BW297" r:id="rId1165" xr:uid="{6496867B-F256-4B69-8689-2903DA0625F2}"/>
    <hyperlink ref="CD297" r:id="rId1166" xr:uid="{E739BEBC-313A-4003-A3EC-6C0E910CF861}"/>
    <hyperlink ref="BW298" r:id="rId1167" xr:uid="{48D590AD-5D3E-47FF-91BD-9CD94626D303}"/>
    <hyperlink ref="BZ298" r:id="rId1168" xr:uid="{55E6C10B-CB9F-492D-9E20-7BAAFC75DFEF}"/>
    <hyperlink ref="CD298" r:id="rId1169" xr:uid="{30F0E942-7C56-471D-A5F4-42CAF0642B86}"/>
    <hyperlink ref="BW299" r:id="rId1170" xr:uid="{3F72A1A1-AC3A-46DC-83DE-E184E34057CF}"/>
    <hyperlink ref="CC299" r:id="rId1171" xr:uid="{824A210E-EAAB-4D99-B788-A53B31D3407F}"/>
    <hyperlink ref="CD299" r:id="rId1172" xr:uid="{FE8F27C2-C906-494C-9405-F8DF47B3E35E}"/>
    <hyperlink ref="BW300" r:id="rId1173" xr:uid="{5C197797-DA8E-4F68-AE53-599CD3C83997}"/>
    <hyperlink ref="CD300" r:id="rId1174" xr:uid="{D1DDA59D-CD21-43B0-9A5F-721830CFA4C8}"/>
    <hyperlink ref="BW301" r:id="rId1175" xr:uid="{B80ADB31-9661-44ED-A6FF-E76094593FCA}"/>
    <hyperlink ref="CD301" r:id="rId1176" xr:uid="{60B17DC6-B631-491E-9852-23A895DA5DAA}"/>
    <hyperlink ref="BW302" r:id="rId1177" xr:uid="{916A11FE-A4E5-4AC1-9A41-23DB55D8936E}"/>
    <hyperlink ref="BZ302" r:id="rId1178" xr:uid="{C477EA61-362E-4A7D-B6AB-CA078B134E6A}"/>
    <hyperlink ref="CA302" r:id="rId1179" xr:uid="{696116AA-ABE4-496B-88EE-B4F545DD9738}"/>
    <hyperlink ref="CD302" r:id="rId1180" xr:uid="{1FD9938B-BA19-4818-91BF-F7486649A23A}"/>
    <hyperlink ref="BW303" r:id="rId1181" xr:uid="{B857733A-26C1-4D9A-8E4F-C972971898BC}"/>
    <hyperlink ref="CD303" r:id="rId1182" xr:uid="{525F60E4-197C-406D-8E3F-0F2E2917360F}"/>
    <hyperlink ref="BW304" r:id="rId1183" xr:uid="{1F5D5F5B-AB89-4027-AA1A-334E349FD384}"/>
    <hyperlink ref="BZ304" r:id="rId1184" xr:uid="{08C09ED2-C2CD-49F5-ABA7-B6C6C121CEEA}"/>
    <hyperlink ref="CD304" r:id="rId1185" xr:uid="{DCA414C9-92E8-4E88-BA1F-5671CF8C4945}"/>
    <hyperlink ref="BW305" r:id="rId1186" xr:uid="{5D316A72-45B2-440A-B515-3A393DFB4722}"/>
    <hyperlink ref="CA305" r:id="rId1187" xr:uid="{E5416A59-9E76-4641-9F94-3AC67AEEF8BB}"/>
    <hyperlink ref="CD305" r:id="rId1188" xr:uid="{D6C180B6-A4A5-4EFD-B2AD-61459124193D}"/>
    <hyperlink ref="BW306" r:id="rId1189" xr:uid="{F6B971A8-E3F4-4CE8-AD5B-F9C5BEA267C3}"/>
    <hyperlink ref="CA306" r:id="rId1190" xr:uid="{096C6005-E8A0-4907-95B5-DF38AB2F0A86}"/>
    <hyperlink ref="CD306" r:id="rId1191" xr:uid="{479E6220-FA01-4E86-9004-ABA801F4558F}"/>
    <hyperlink ref="BW307" r:id="rId1192" xr:uid="{75F1F262-757A-46D5-ACC2-8948A1CDC69B}"/>
    <hyperlink ref="CD307" r:id="rId1193" xr:uid="{DAE81BC4-5B94-420C-8D4B-97E0A07FC401}"/>
    <hyperlink ref="BW308" r:id="rId1194" xr:uid="{6FB753F8-21CD-4D71-BFBA-5D797FE2EC28}"/>
    <hyperlink ref="CD308" r:id="rId1195" xr:uid="{CEB7AC1B-22B7-4745-A3A1-BE2977FDCC7A}"/>
    <hyperlink ref="BW309" r:id="rId1196" xr:uid="{D30FC17C-6EA6-4A78-994B-EBDB2C0DB5DB}"/>
    <hyperlink ref="BZ309" r:id="rId1197" xr:uid="{66AEEF1F-910E-42B6-9EF8-BDA214D01B0A}"/>
    <hyperlink ref="CA309" r:id="rId1198" xr:uid="{235FA4AE-1038-4DC1-9481-9FD99F58BF2F}"/>
    <hyperlink ref="CD309" r:id="rId1199" xr:uid="{8F6E82C1-2667-4549-80C3-C24AD95E4E2A}"/>
    <hyperlink ref="BW310" r:id="rId1200" xr:uid="{AF9E820B-C351-4B7C-B9F9-9456577E696C}"/>
    <hyperlink ref="BZ310" r:id="rId1201" xr:uid="{173EBEBA-2738-44BF-AC5A-9CE3193F532C}"/>
    <hyperlink ref="CA310" r:id="rId1202" xr:uid="{59FC96AE-744E-439F-8777-35DF9C9FF15F}"/>
    <hyperlink ref="CD310" r:id="rId1203" xr:uid="{BE4F7E53-CFCF-4D9D-B626-EF330F673097}"/>
    <hyperlink ref="BW311" r:id="rId1204" xr:uid="{B0C2DC3E-AF99-4F72-AEE6-C7133F42A289}"/>
    <hyperlink ref="CA311" r:id="rId1205" xr:uid="{362E8FDA-F415-44E7-B93C-4094CE2874C7}"/>
    <hyperlink ref="CD311" r:id="rId1206" xr:uid="{7DB5A7BD-4FC1-4F67-9C5C-15CA9EBBAE4F}"/>
    <hyperlink ref="BW312" r:id="rId1207" xr:uid="{F368CEB9-B93E-4152-8156-4E7FC411474A}"/>
    <hyperlink ref="BZ312" r:id="rId1208" xr:uid="{D5C15620-34B2-4C1B-A649-746E11DAFBA1}"/>
    <hyperlink ref="CA312" r:id="rId1209" xr:uid="{5FA1C1B1-E393-410F-872E-48D46EB507ED}"/>
    <hyperlink ref="CB312" r:id="rId1210" xr:uid="{EE233994-AD04-4952-A855-C540E0FD8BEC}"/>
    <hyperlink ref="CD312" r:id="rId1211" xr:uid="{B1D49682-B99E-4BC6-BBC8-205845E0F570}"/>
    <hyperlink ref="BW313" r:id="rId1212" xr:uid="{D5424E10-6378-41C1-BD74-2D0C240C9BE5}"/>
    <hyperlink ref="CD313" r:id="rId1213" xr:uid="{CE6BE6B5-FDBE-48DF-B50C-D37ED525340D}"/>
    <hyperlink ref="BW314" r:id="rId1214" xr:uid="{970112C1-BEBE-428E-92BE-9199293496E2}"/>
    <hyperlink ref="CD314" r:id="rId1215" xr:uid="{9B6D670E-AEC5-4765-82ED-4411EE69F44F}"/>
    <hyperlink ref="BW315" r:id="rId1216" xr:uid="{4B0BE2E1-4DD5-4A07-80D9-60411E9ABBD8}"/>
    <hyperlink ref="CD315" r:id="rId1217" xr:uid="{FDD87E53-F663-45A1-A763-47674260886A}"/>
    <hyperlink ref="BW316" r:id="rId1218" xr:uid="{446772DF-116F-487C-9944-D0AD6C1D051C}"/>
    <hyperlink ref="CD316" r:id="rId1219" xr:uid="{BE858E62-BEA0-4BFE-B7A9-1C351197B4D5}"/>
    <hyperlink ref="BW317" r:id="rId1220" xr:uid="{FB4C99F9-BAC4-457C-8D60-0295E1E69F7A}"/>
    <hyperlink ref="BZ317" r:id="rId1221" xr:uid="{230492EE-28C9-4312-8D82-FBBF0C62988B}"/>
    <hyperlink ref="CA317" r:id="rId1222" xr:uid="{A68EDB1B-2E43-4B4D-8077-B2E614CD8CA3}"/>
    <hyperlink ref="CB317" r:id="rId1223" xr:uid="{8FA0368E-767E-4F77-A12D-6CC1CD4241E3}"/>
    <hyperlink ref="CD317" r:id="rId1224" xr:uid="{FD41317E-0B6E-4856-8CF7-0175FC9E5C53}"/>
    <hyperlink ref="BW318" r:id="rId1225" xr:uid="{3AD33C13-127C-4E42-8BBE-836B7D91ABDA}"/>
    <hyperlink ref="CA318" r:id="rId1226" xr:uid="{B3B7B616-0BF7-4B9B-8265-658344E25861}"/>
    <hyperlink ref="CB318" r:id="rId1227" xr:uid="{75F2C93F-5E4E-4A79-BD21-D192D28BB9EF}"/>
    <hyperlink ref="CD318" r:id="rId1228" xr:uid="{725A9381-CBC1-4BA6-8204-EF378B4AB2AE}"/>
    <hyperlink ref="BW319" r:id="rId1229" xr:uid="{6A8E81E1-9C14-4A5F-A338-FF6BF3ED3990}"/>
    <hyperlink ref="BZ319" r:id="rId1230" xr:uid="{5EED6AA2-2DBB-42BE-BD63-753E047E0D36}"/>
    <hyperlink ref="CA319" r:id="rId1231" xr:uid="{AE531D3E-9306-4D9A-BF4F-3792F9D56467}"/>
    <hyperlink ref="CB319" r:id="rId1232" xr:uid="{A9AB3EC1-B7A8-4C21-AC2E-BBE05EFC5F14}"/>
    <hyperlink ref="CD319" r:id="rId1233" xr:uid="{6F818B9D-FDD8-4666-8482-1022E20AF653}"/>
    <hyperlink ref="BW320" r:id="rId1234" xr:uid="{F938BB81-E02A-4E7E-8165-07C8B9DF563B}"/>
    <hyperlink ref="BZ320" r:id="rId1235" xr:uid="{6299CA03-54CF-45B0-9E52-BDD7AC35C093}"/>
    <hyperlink ref="CD320" r:id="rId1236" xr:uid="{35130790-5EAE-4438-B06C-40E80B2C7F24}"/>
    <hyperlink ref="BW321" r:id="rId1237" xr:uid="{36947E9C-AFBC-4DD7-B85B-4B100FB0D01C}"/>
    <hyperlink ref="BZ321" r:id="rId1238" xr:uid="{78D271AC-2E10-4837-9533-6039ED0CDBA5}"/>
    <hyperlink ref="CD321" r:id="rId1239" xr:uid="{2763B12B-7139-40A1-8A76-8E6E33F3C47B}"/>
    <hyperlink ref="BW322" r:id="rId1240" xr:uid="{1019BC5E-5E11-4D69-99A7-3C85762116AF}"/>
    <hyperlink ref="BZ322" r:id="rId1241" xr:uid="{DFEBBA47-72F0-4ED4-B175-D88AA9B6266D}"/>
    <hyperlink ref="CA322" r:id="rId1242" xr:uid="{53EDAFDF-9C0E-4CF2-9D1F-2076A7E3ACC0}"/>
    <hyperlink ref="CB322" r:id="rId1243" xr:uid="{052A3B95-2E85-4483-BB77-47766F2BB736}"/>
    <hyperlink ref="CD322" r:id="rId1244" xr:uid="{6A9104F9-AA4E-448A-94C7-5B370243970D}"/>
    <hyperlink ref="BW323" r:id="rId1245" xr:uid="{5A10BCB4-9BC3-4BE6-9548-FCC9C47EB5CE}"/>
    <hyperlink ref="BZ323" r:id="rId1246" xr:uid="{7C98C7BB-6288-4381-A860-F86FDDED8C1D}"/>
    <hyperlink ref="CD323" r:id="rId1247" xr:uid="{CA0FF0B2-60C7-4808-8F34-294DD18A5C47}"/>
    <hyperlink ref="BW324" r:id="rId1248" xr:uid="{A1AE60CC-390E-4064-8596-28D59DEC47C3}"/>
    <hyperlink ref="BZ324" r:id="rId1249" xr:uid="{49CCCE72-0CBF-4152-8C72-C1B83F351A4A}"/>
    <hyperlink ref="CA324" r:id="rId1250" xr:uid="{3FC2F0D5-A356-4C48-B8AD-56F2B34BF80E}"/>
    <hyperlink ref="CB324" r:id="rId1251" xr:uid="{E6794D47-6D57-4B76-BDBA-B278B4767EEA}"/>
    <hyperlink ref="CC324" r:id="rId1252" xr:uid="{BB986A58-0650-44E8-9795-5D8F7FCB42FD}"/>
    <hyperlink ref="CD324" r:id="rId1253" xr:uid="{F2453E11-940C-47B8-995D-36537FEF55FD}"/>
    <hyperlink ref="BW325" r:id="rId1254" xr:uid="{6A2CFD4D-9136-475B-8FDD-2EAF8578CB52}"/>
    <hyperlink ref="BZ325" r:id="rId1255" xr:uid="{5AD2E034-3D82-43E2-891C-B724972977D5}"/>
    <hyperlink ref="CA325" r:id="rId1256" xr:uid="{2178B500-50EC-4732-8814-C3B7129924D2}"/>
    <hyperlink ref="CB325" r:id="rId1257" xr:uid="{4442B83C-61B5-40D0-80F6-9779C90B9D60}"/>
    <hyperlink ref="CC325" r:id="rId1258" xr:uid="{98E6904C-FE38-4C21-AEBC-64B1E82F7CD4}"/>
    <hyperlink ref="CD325" r:id="rId1259" xr:uid="{6FDF5CF1-6867-4101-AD7D-CA0F414BEA59}"/>
    <hyperlink ref="BW326" r:id="rId1260" xr:uid="{783B9AD6-6706-4B7C-9685-A4B412BE84AA}"/>
    <hyperlink ref="CD326" r:id="rId1261" xr:uid="{D902BEFD-9237-483D-9895-65B47DEF6E5F}"/>
    <hyperlink ref="BW327" r:id="rId1262" xr:uid="{EE24A00F-05C3-4E80-9624-1B6F4FE97A13}"/>
    <hyperlink ref="CD327" r:id="rId1263" xr:uid="{D5267A91-68AE-4C21-B443-A438C2E08816}"/>
    <hyperlink ref="BW328" r:id="rId1264" xr:uid="{E584A0E7-487D-429B-90B8-857F6F1C00C3}"/>
    <hyperlink ref="CD328" r:id="rId1265" xr:uid="{0BBD867D-4062-44E6-A9A2-6D68A6287A8B}"/>
    <hyperlink ref="BW329" r:id="rId1266" xr:uid="{0EBAED95-DFA0-448D-8C14-19F147C72741}"/>
    <hyperlink ref="CD329" r:id="rId1267" xr:uid="{980D98DB-8D6B-4613-9710-D6867022C4D1}"/>
    <hyperlink ref="BW330" r:id="rId1268" xr:uid="{6FD7056C-CAEB-4DDD-8DE8-11759C612B48}"/>
    <hyperlink ref="CD330" r:id="rId1269" xr:uid="{EF733E59-D580-4368-B36D-F563E7D6B0C2}"/>
    <hyperlink ref="BW331" r:id="rId1270" xr:uid="{DF2EC92C-E4EB-4116-9769-C305191A85FD}"/>
    <hyperlink ref="CD331" r:id="rId1271" xr:uid="{0BC10229-B5E1-4F11-8A33-DC6B4B552333}"/>
    <hyperlink ref="BW332" r:id="rId1272" xr:uid="{790B0C07-0864-4628-A9A4-7FD98D2D18AE}"/>
    <hyperlink ref="CD332" r:id="rId1273" xr:uid="{0937FDB5-BA34-4A81-A22F-DB3E8F0BDC53}"/>
    <hyperlink ref="BW333" r:id="rId1274" xr:uid="{9C02131C-CEC9-4F65-B890-ABFE959A8EB4}"/>
    <hyperlink ref="CD333" r:id="rId1275" xr:uid="{8D635A85-C22B-4119-95A2-8BE903D79DA4}"/>
    <hyperlink ref="BW334" r:id="rId1276" xr:uid="{7B579F5C-2A44-4533-A425-6D6CAE6BC244}"/>
    <hyperlink ref="CA334" r:id="rId1277" xr:uid="{B97839AF-2278-4826-ABCD-C797215EEC81}"/>
    <hyperlink ref="CD334" r:id="rId1278" xr:uid="{A5509C58-9CE2-43BC-BCB3-6A71400C9B4C}"/>
    <hyperlink ref="BW335" r:id="rId1279" xr:uid="{8F04ECC3-46B3-4FA6-A6BF-4695226A773B}"/>
    <hyperlink ref="BZ335" r:id="rId1280" xr:uid="{3B44EAF9-BFE6-4818-A31A-AAE28CDA98AF}"/>
    <hyperlink ref="CA335" r:id="rId1281" xr:uid="{0DCAC839-74BF-4536-9082-68282AA32C65}"/>
    <hyperlink ref="CB335" r:id="rId1282" xr:uid="{593F9700-42E6-42EB-8B8F-E8487468020A}"/>
    <hyperlink ref="CC335" r:id="rId1283" xr:uid="{9B79C48B-0FF6-49D3-A887-FA96929B3479}"/>
    <hyperlink ref="CD335" r:id="rId1284" xr:uid="{AA7CD805-B58E-432D-9A03-2BE2EA495211}"/>
    <hyperlink ref="BW336" r:id="rId1285" xr:uid="{28CB4BBA-F631-41A4-9E10-C335EE636A74}"/>
    <hyperlink ref="CD336" r:id="rId1286" xr:uid="{024A20A6-405F-4F3D-A323-E67813786256}"/>
    <hyperlink ref="BW337" r:id="rId1287" xr:uid="{86A5BC69-43A5-4267-8118-FC4A2A4A509F}"/>
    <hyperlink ref="BZ337" r:id="rId1288" xr:uid="{85CF1547-963D-4807-8B9B-0C64B8F7DBC6}"/>
    <hyperlink ref="CD337" r:id="rId1289" xr:uid="{56C3C504-C43B-4652-AF42-45745F000491}"/>
    <hyperlink ref="BW338" r:id="rId1290" xr:uid="{6A4F60F0-28C1-40A9-8453-7267EFE57B71}"/>
    <hyperlink ref="CD338" r:id="rId1291" xr:uid="{CD81ED9E-135C-4113-9F56-A2F3A586F644}"/>
    <hyperlink ref="BW339" r:id="rId1292" xr:uid="{A2CFE2AE-BBC3-46CA-8467-FDF552F23B6C}"/>
    <hyperlink ref="CA339" r:id="rId1293" xr:uid="{030F0152-BCE1-4CA8-A8F4-E9D830E36704}"/>
    <hyperlink ref="CB339" r:id="rId1294" xr:uid="{F8D69354-BA5B-47DE-BFE4-A9C050DDC510}"/>
    <hyperlink ref="CD339" r:id="rId1295" xr:uid="{B754CDA0-B5E4-4EA6-AF9F-1855B708FB52}"/>
    <hyperlink ref="BW340" r:id="rId1296" xr:uid="{267D3A2E-9EF8-44DE-9132-3D86BAF47FEF}"/>
    <hyperlink ref="CD340" r:id="rId1297" xr:uid="{38D1FF18-13BF-41BA-B8E0-2E9D5C548D28}"/>
    <hyperlink ref="BW341" r:id="rId1298" xr:uid="{C8A91C30-7CA0-48C2-B62A-18543E510513}"/>
    <hyperlink ref="CD341" r:id="rId1299" xr:uid="{C05FB3CF-C5F7-448D-AA2D-E58F1A433C06}"/>
    <hyperlink ref="BW342" r:id="rId1300" xr:uid="{B5EFEF3D-3C85-44F5-83AD-1D004CB2BA81}"/>
    <hyperlink ref="BZ342" r:id="rId1301" xr:uid="{3B97919D-2E82-41DE-A0FC-7090ECA4AF66}"/>
    <hyperlink ref="CA342" r:id="rId1302" xr:uid="{04C7C937-4BB4-4C67-A0A4-BDE3A0041014}"/>
    <hyperlink ref="CB342" r:id="rId1303" xr:uid="{36CA6347-909D-41A5-8652-6844DD6D5EFE}"/>
    <hyperlink ref="CC342" r:id="rId1304" xr:uid="{98DD1750-ED9F-4EF9-9245-D5FF4A90B160}"/>
    <hyperlink ref="CD342" r:id="rId1305" xr:uid="{7C7CA1C1-0804-4F63-A153-EC2CB57A4E51}"/>
    <hyperlink ref="BW343" r:id="rId1306" xr:uid="{E778D2DF-564F-46B5-A2DA-C841B830E0B3}"/>
    <hyperlink ref="CD343" r:id="rId1307" xr:uid="{6AC38ED5-B605-4ED3-8AF8-0FF1999DCFAD}"/>
    <hyperlink ref="BW344" r:id="rId1308" xr:uid="{2C1C8B89-EB72-4869-B7FE-08ADCD0861A1}"/>
    <hyperlink ref="CB344" r:id="rId1309" xr:uid="{D9EA4C24-3DEB-4E38-A9F7-5170D0EBD1C9}"/>
    <hyperlink ref="CD344" r:id="rId1310" xr:uid="{C4FD90E7-BFD5-4243-907B-1EA5D83633CF}"/>
    <hyperlink ref="BW345" r:id="rId1311" xr:uid="{AA52F4B7-1CF9-4F31-8348-988C77ADD992}"/>
    <hyperlink ref="BZ345" r:id="rId1312" xr:uid="{5F8B8702-218F-4971-B198-0639E415D9FC}"/>
    <hyperlink ref="CA345" r:id="rId1313" xr:uid="{89C9CF74-F630-4081-BDBC-BBE2731CE902}"/>
    <hyperlink ref="CB345" r:id="rId1314" xr:uid="{14442B53-8592-492D-98BD-D43593F0355C}"/>
    <hyperlink ref="CD345" r:id="rId1315" xr:uid="{5C12CA70-80FD-4CA6-9A6F-8561CB36EF30}"/>
    <hyperlink ref="BW346" r:id="rId1316" xr:uid="{ACDE9D2E-D5A9-425F-9261-E26AD73593BD}"/>
    <hyperlink ref="CB346" r:id="rId1317" xr:uid="{45841EE2-7064-4FD2-B445-4850E4534CB3}"/>
    <hyperlink ref="CD346" r:id="rId1318" xr:uid="{3A0E86E4-E2E7-4398-89E1-FE058E97B9A6}"/>
    <hyperlink ref="BW347" r:id="rId1319" xr:uid="{7FD276CC-B811-4E88-B3C7-A3EAD4F54091}"/>
    <hyperlink ref="CA347" r:id="rId1320" xr:uid="{0E2C8B01-0193-4305-B53B-BE308E33E359}"/>
    <hyperlink ref="CD347" r:id="rId1321" xr:uid="{204E425B-D28B-41DB-870F-CFD4E0AB5F2A}"/>
    <hyperlink ref="AV348" r:id="rId1322" xr:uid="{25F348D6-9964-4BBE-8C13-60E11FA98AD9}"/>
    <hyperlink ref="BW348" r:id="rId1323" xr:uid="{4E328763-16AB-4B16-ABF3-2F1DBF7FC6BC}"/>
    <hyperlink ref="BZ348" r:id="rId1324" xr:uid="{57697828-856D-4218-9B8C-349D7840C321}"/>
    <hyperlink ref="CA348" r:id="rId1325" xr:uid="{FF574145-E55E-49E2-A46C-8DBD39879658}"/>
    <hyperlink ref="CB348" r:id="rId1326" xr:uid="{C739ED38-965F-4CF6-A10B-2173802E8C04}"/>
    <hyperlink ref="CC348" r:id="rId1327" xr:uid="{C89D0660-659E-4F86-AE7B-630EE15FC1E1}"/>
    <hyperlink ref="CD348" r:id="rId1328" xr:uid="{B8E52AD6-B910-4A06-A802-E3880E0D76AE}"/>
    <hyperlink ref="AV349" r:id="rId1329" xr:uid="{5FBCEEF8-D3C1-4C19-B46A-7975B41138C0}"/>
    <hyperlink ref="BW349" r:id="rId1330" xr:uid="{7F4F9A30-B969-419C-9083-4D7E25995F5D}"/>
    <hyperlink ref="CA349" r:id="rId1331" xr:uid="{364E987D-7D18-4616-9C73-EB958A0CF836}"/>
    <hyperlink ref="CD349" r:id="rId1332" xr:uid="{76E572FB-7600-40AE-B942-0732A857F9BF}"/>
    <hyperlink ref="BW350" r:id="rId1333" xr:uid="{B207E854-F6BC-4302-9A1A-FC4194140233}"/>
    <hyperlink ref="CA350" r:id="rId1334" xr:uid="{F845DBD6-6218-429B-B912-6A8176BE4680}"/>
    <hyperlink ref="CD350" r:id="rId1335" xr:uid="{45D04DEB-99AA-4A21-BF5B-9AB7B518F079}"/>
    <hyperlink ref="AV351" r:id="rId1336" xr:uid="{360875E7-DFE0-49D5-98E5-8B4DF6496B08}"/>
    <hyperlink ref="BW351" r:id="rId1337" xr:uid="{F0BAE034-6839-4592-AB07-AF08970F5D2C}"/>
    <hyperlink ref="CD351" r:id="rId1338" xr:uid="{09A3D3C8-8BEB-4CA4-86AB-6D3C0858D3D8}"/>
    <hyperlink ref="BW352" r:id="rId1339" xr:uid="{6009B609-BD9B-485E-BEC5-07444ECCB96C}"/>
    <hyperlink ref="CA352" r:id="rId1340" xr:uid="{1A840464-E5ED-4A6F-9555-5F09A0509CB9}"/>
    <hyperlink ref="CD352" r:id="rId1341" xr:uid="{9CAF5F54-4482-4170-BD78-EFC9D5E7EFD0}"/>
    <hyperlink ref="BW353" r:id="rId1342" xr:uid="{87ED341E-3153-43BD-972F-59C634CFD91F}"/>
    <hyperlink ref="CA353" r:id="rId1343" xr:uid="{CCF12A65-919A-4AA1-8E8C-E8B9C5173B5D}"/>
    <hyperlink ref="CB353" r:id="rId1344" xr:uid="{E01EAFA1-3787-49B9-814B-11419D54BADA}"/>
    <hyperlink ref="CD353" r:id="rId1345" xr:uid="{D8A41E79-08E1-4E50-B372-BB3940FB3349}"/>
    <hyperlink ref="BW354" r:id="rId1346" xr:uid="{150F143F-65D0-4D52-84C2-0279029B2576}"/>
    <hyperlink ref="BZ354" r:id="rId1347" xr:uid="{ACEF4B35-1FB0-4056-8530-CFFCDB9F6853}"/>
    <hyperlink ref="CA354" r:id="rId1348" xr:uid="{9D1FC634-F0B5-4032-8D8F-7D0907885EED}"/>
    <hyperlink ref="CB354" r:id="rId1349" xr:uid="{1FCE84EF-732F-49DD-A4BD-B95965F31E45}"/>
    <hyperlink ref="CC354" r:id="rId1350" xr:uid="{4DE74F37-2D2C-462A-A5B5-4930D65F225A}"/>
    <hyperlink ref="CD354" r:id="rId1351" xr:uid="{7597500B-B54C-43EE-BB9F-5B9BD26078DA}"/>
    <hyperlink ref="AV355" r:id="rId1352" xr:uid="{9CEAAC87-E422-4A78-9F48-36621710FF09}"/>
    <hyperlink ref="BW355" r:id="rId1353" xr:uid="{39AB9D20-0138-4C53-AD66-DF87C973C781}"/>
    <hyperlink ref="BZ355" r:id="rId1354" xr:uid="{F9D1D63C-8B08-41BB-9C22-37764ABE9D7C}"/>
    <hyperlink ref="CB355" r:id="rId1355" xr:uid="{41BB0B64-AD91-4FB1-BFB0-1D6D46159052}"/>
    <hyperlink ref="CD355" r:id="rId1356" xr:uid="{CE9A1C8D-228C-4EF6-8EE8-4E6CB39CCEC7}"/>
    <hyperlink ref="AV356" r:id="rId1357" xr:uid="{1A647542-0F01-41FC-BD29-C028E7695B0F}"/>
    <hyperlink ref="BW356" r:id="rId1358" xr:uid="{E5489296-B789-4875-9E78-58065407F50C}"/>
    <hyperlink ref="BZ356" r:id="rId1359" xr:uid="{9E22D18B-5556-4182-9C26-F955B38C417C}"/>
    <hyperlink ref="CA356" r:id="rId1360" xr:uid="{662DAC1A-01BB-4841-87BB-38150BA3A35E}"/>
    <hyperlink ref="CB356" r:id="rId1361" xr:uid="{CF830BB6-6E24-4C22-A68D-C06AAEEACEB9}"/>
    <hyperlink ref="CD356" r:id="rId1362" xr:uid="{2685EAFE-1723-458E-8C24-4674C90C9531}"/>
    <hyperlink ref="BW357" r:id="rId1363" xr:uid="{888B56B0-50A7-48A2-8E33-D7093C379B9E}"/>
    <hyperlink ref="BZ357" r:id="rId1364" xr:uid="{475B9BA9-C406-45E0-BA93-8F8B45F3B796}"/>
    <hyperlink ref="CA357" r:id="rId1365" xr:uid="{69D27C56-EA3B-4F46-8B5A-CC8C0036CD12}"/>
    <hyperlink ref="CD357" r:id="rId1366" xr:uid="{23663089-CBE9-48AE-9228-334119E3B9E7}"/>
    <hyperlink ref="BW358" r:id="rId1367" xr:uid="{3DD10794-88A4-40B8-AA3C-8C6E7087213F}"/>
    <hyperlink ref="CA358" r:id="rId1368" xr:uid="{B8E64821-F801-4859-AFBC-EA0274CFAB75}"/>
    <hyperlink ref="CD358" r:id="rId1369" xr:uid="{339C822F-02BA-4A3C-8640-CD59536F3EEB}"/>
    <hyperlink ref="BW359" r:id="rId1370" xr:uid="{7D0CB645-EA85-446F-8A7C-E3652A6F648A}"/>
    <hyperlink ref="CA359" r:id="rId1371" xr:uid="{6B468416-A67B-43F2-98D2-F13A687AF624}"/>
    <hyperlink ref="CB359" r:id="rId1372" xr:uid="{2A277A6F-DB44-4A3F-94F3-56960DCA1CEA}"/>
    <hyperlink ref="CC359" r:id="rId1373" xr:uid="{FBFA2179-EBAF-49C4-A49C-D64A22AB18E8}"/>
    <hyperlink ref="CD359" r:id="rId1374" xr:uid="{AD6506F8-C0E2-4C0F-A1D4-3FF390EF3AA1}"/>
    <hyperlink ref="AV360" r:id="rId1375" xr:uid="{0666DBEE-1610-4122-9411-DF3FC40F7371}"/>
    <hyperlink ref="BW360" r:id="rId1376" xr:uid="{FF56BDC5-C168-4090-84A4-EC46652CB60B}"/>
    <hyperlink ref="BZ360" r:id="rId1377" xr:uid="{D926B1B4-88F7-4594-B1D4-C2C23102B1C0}"/>
    <hyperlink ref="CA360" r:id="rId1378" xr:uid="{374A5445-8549-475C-A432-17FCAD97E3A9}"/>
    <hyperlink ref="CB360" r:id="rId1379" xr:uid="{DD485017-7DCA-4275-B575-4608B5A385FB}"/>
    <hyperlink ref="CD360" r:id="rId1380" xr:uid="{3DCAD28A-BBA6-497F-B47B-38BDF50E58A3}"/>
    <hyperlink ref="AV361" r:id="rId1381" xr:uid="{B15D6806-F1B7-4139-A704-FF4985B2A850}"/>
    <hyperlink ref="BW361" r:id="rId1382" xr:uid="{31C4C8B6-0BE0-43C7-A6C3-37B48735FDB3}"/>
    <hyperlink ref="BZ361" r:id="rId1383" xr:uid="{3A829DAD-7DEF-4E5E-8952-0DB4741C4721}"/>
    <hyperlink ref="CA361" r:id="rId1384" xr:uid="{7C74050E-B6D6-4167-BCD0-1146E28EFB8D}"/>
    <hyperlink ref="CD361" r:id="rId1385" xr:uid="{2FB3E202-3725-446A-80DF-33374D7CA73A}"/>
    <hyperlink ref="AV362" r:id="rId1386" xr:uid="{A54F9CCC-F74D-4CE1-B94A-455D1ED42ACF}"/>
    <hyperlink ref="BW362" r:id="rId1387" xr:uid="{2207395F-6D81-40DC-A8DB-EA066C63481A}"/>
    <hyperlink ref="BZ362" r:id="rId1388" xr:uid="{9CA7C26F-2D1D-4191-A1B2-92F9D83B7F20}"/>
    <hyperlink ref="CD362" r:id="rId1389" xr:uid="{6E87B81F-85FF-4294-9516-1E589BC2067A}"/>
    <hyperlink ref="BW363" r:id="rId1390" xr:uid="{786E18C5-8D1E-4C54-862C-8A3554A0DF16}"/>
    <hyperlink ref="BZ363" r:id="rId1391" xr:uid="{8193E02B-EC6E-423B-9538-2536C338A14E}"/>
    <hyperlink ref="CA363" r:id="rId1392" xr:uid="{FF89EA82-2786-41B7-8A12-7968638E338B}"/>
    <hyperlink ref="CB363" r:id="rId1393" xr:uid="{4916F4BB-857B-4592-9819-453CA6FAA6A3}"/>
    <hyperlink ref="CD363" r:id="rId1394" xr:uid="{3DC24F7F-859B-4E02-A9D5-D9F6707AF86D}"/>
    <hyperlink ref="BW364" r:id="rId1395" xr:uid="{63E4A3AE-708F-4D4C-BE6C-9FD6037E1BF3}"/>
    <hyperlink ref="CB364" r:id="rId1396" xr:uid="{34B6690D-8BC7-40F0-ABE6-F8EDBFA4DFD6}"/>
    <hyperlink ref="CD364" r:id="rId1397" xr:uid="{3C6A333E-2907-4851-85F8-3148A1CD4AE6}"/>
    <hyperlink ref="BW365" r:id="rId1398" xr:uid="{093AC151-8053-4954-9D9B-6D21455E85BE}"/>
    <hyperlink ref="BZ365" r:id="rId1399" xr:uid="{1A8E56BC-C957-42ED-A2F7-D273EF645685}"/>
    <hyperlink ref="CA365" r:id="rId1400" xr:uid="{8D50172F-4B5D-4869-B93A-9D4B7D220F51}"/>
    <hyperlink ref="CD365" r:id="rId1401" xr:uid="{01FC3D3C-776B-453B-865D-2D83452C15D9}"/>
    <hyperlink ref="BW366" r:id="rId1402" xr:uid="{99C0CCCB-A587-42B9-9F17-375A4D939C0C}"/>
    <hyperlink ref="BZ366" r:id="rId1403" xr:uid="{2FAC3136-458B-4B30-A409-1782FD80B297}"/>
    <hyperlink ref="CA366" r:id="rId1404" xr:uid="{14B67182-6517-4A75-9701-13ABDE6A306F}"/>
    <hyperlink ref="CB366" r:id="rId1405" xr:uid="{84C96B46-EC88-4A92-863F-5E0EB38D4CE2}"/>
    <hyperlink ref="CC366" r:id="rId1406" xr:uid="{886DD03D-80E1-4582-B986-087F25577997}"/>
    <hyperlink ref="CD366" r:id="rId1407" xr:uid="{CB2A64C2-87F0-4EC8-9773-41901257C9F3}"/>
    <hyperlink ref="AV367" r:id="rId1408" xr:uid="{85E4AD0C-473A-4572-B9B0-553956A5DC8F}"/>
    <hyperlink ref="BW367" r:id="rId1409" xr:uid="{C27E7BAB-1D66-4D3F-A0DC-98A400500799}"/>
    <hyperlink ref="BZ367" r:id="rId1410" xr:uid="{0DD9C52D-D5D9-4311-B5A6-767A5EC308A8}"/>
    <hyperlink ref="CB367" r:id="rId1411" xr:uid="{94CC5D6E-EAE3-4C16-8036-F8678196D52A}"/>
    <hyperlink ref="CD367" r:id="rId1412" xr:uid="{E2F2FD09-DC61-405C-8C42-ACD3DD3E15FD}"/>
    <hyperlink ref="AV368" r:id="rId1413" xr:uid="{26E77401-BA66-4A2F-85AC-86BBD4EC91F6}"/>
    <hyperlink ref="BW368" r:id="rId1414" xr:uid="{9D7064CE-EF11-4477-A58C-7614BB77146A}"/>
    <hyperlink ref="BZ368" r:id="rId1415" xr:uid="{97379CFA-E8F7-42B3-8985-BB8E18B35934}"/>
    <hyperlink ref="CA368" r:id="rId1416" xr:uid="{3350A79A-FB96-42D3-975C-977618F0DC2F}"/>
    <hyperlink ref="CB368" r:id="rId1417" xr:uid="{12135E46-4D69-4ADF-B347-D5227B755C28}"/>
    <hyperlink ref="CD368" r:id="rId1418" xr:uid="{4615F77D-D2FB-4944-B90B-CE3F057D9050}"/>
    <hyperlink ref="AV369" r:id="rId1419" xr:uid="{A102B002-A296-4F65-AD09-DDE718EED814}"/>
    <hyperlink ref="BW369" r:id="rId1420" xr:uid="{2371A2A8-9A54-4797-88F9-A3B6ECEF2F4A}"/>
    <hyperlink ref="BZ369" r:id="rId1421" xr:uid="{D32A79A8-8B9A-4D57-BD3E-CB5D9C047F63}"/>
    <hyperlink ref="CA369" r:id="rId1422" xr:uid="{4BFF2082-8360-49C1-8E53-6624EB12A1E4}"/>
    <hyperlink ref="CB369" r:id="rId1423" xr:uid="{266FE20F-D2EE-412E-8295-7919D2132FCD}"/>
    <hyperlink ref="CD369" r:id="rId1424" xr:uid="{1E63329F-9B3F-4673-B62C-AAF2B34BE985}"/>
    <hyperlink ref="AV370" r:id="rId1425" xr:uid="{EBE34BA1-4D66-41B3-A59E-4E9808487986}"/>
    <hyperlink ref="BW370" r:id="rId1426" xr:uid="{91052458-3BC7-40E0-B459-20F499592609}"/>
    <hyperlink ref="BZ370" r:id="rId1427" xr:uid="{94952E32-BD37-4EA5-B51F-F2334DFFEEBF}"/>
    <hyperlink ref="CA370" r:id="rId1428" xr:uid="{28DB4AB5-506A-4682-8626-47705166DF47}"/>
    <hyperlink ref="CD370" r:id="rId1429" xr:uid="{F79A3392-A093-41E5-AE78-4114095D4E2A}"/>
    <hyperlink ref="BW371" r:id="rId1430" xr:uid="{4A8F63BB-0927-4589-B6A5-37EA4CF8F0B7}"/>
    <hyperlink ref="BZ371" r:id="rId1431" xr:uid="{7F6D21EE-7509-4094-9175-EDB0307A19C3}"/>
    <hyperlink ref="CA371" r:id="rId1432" xr:uid="{9CC87E91-11B1-4ACE-BABF-DA58302A26E7}"/>
    <hyperlink ref="CB371" r:id="rId1433" xr:uid="{2640785A-1E1F-4CBF-AFFF-62326E172A86}"/>
    <hyperlink ref="CD371" r:id="rId1434" xr:uid="{CBDAF5D7-8D8B-4640-A82B-A16BA6EB5401}"/>
    <hyperlink ref="AV372" r:id="rId1435" xr:uid="{AC1422A7-3941-4B70-97C6-CE6B7C346734}"/>
    <hyperlink ref="BW372" r:id="rId1436" xr:uid="{D0284885-AF7C-4DD4-A0F8-332C6D81B6FC}"/>
    <hyperlink ref="BZ372" r:id="rId1437" xr:uid="{B7BBEC40-1591-41FD-9C0F-145E21C43980}"/>
    <hyperlink ref="CB372" r:id="rId1438" xr:uid="{DAF20201-73B6-4672-AB8B-A94996B44153}"/>
    <hyperlink ref="CD372" r:id="rId1439" xr:uid="{ABB61C32-B2C6-4BA2-8C64-82B65FBF8838}"/>
    <hyperlink ref="BW373" r:id="rId1440" xr:uid="{0AE5311F-9AC7-4000-B67A-091C629CD283}"/>
    <hyperlink ref="CD373" r:id="rId1441" xr:uid="{DA63AC1C-10A2-44A2-ADD0-016F5A9BC2D7}"/>
    <hyperlink ref="BW374" r:id="rId1442" xr:uid="{73246DA0-FB8F-46AD-99DE-7DDFEBD9C0F0}"/>
    <hyperlink ref="CD374" r:id="rId1443" xr:uid="{CE98E541-4B13-4C32-BEA3-9DD9CE60929D}"/>
    <hyperlink ref="BW375" r:id="rId1444" xr:uid="{EDAB06D9-6A9B-4561-99A0-D9598AC34625}"/>
    <hyperlink ref="BZ375" r:id="rId1445" xr:uid="{771FAA0C-5816-4498-A00F-440C19AAC771}"/>
    <hyperlink ref="CD375" r:id="rId1446" xr:uid="{A0524FF3-FBF0-4DB6-ADAD-9C2035FD15DE}"/>
    <hyperlink ref="BW376" r:id="rId1447" xr:uid="{90EDF4BF-5DC8-4F26-99DE-BCB10762E7E7}"/>
    <hyperlink ref="BZ376" r:id="rId1448" xr:uid="{812125C6-29D5-4FA5-9B73-633B3F5CDB99}"/>
    <hyperlink ref="CD376" r:id="rId1449" xr:uid="{0C066A1D-4837-44EF-A77E-B32CD08815E8}"/>
    <hyperlink ref="BW377" r:id="rId1450" xr:uid="{4FD54D38-7B94-4D8B-9845-E8FE7852444C}"/>
    <hyperlink ref="BZ377" r:id="rId1451" xr:uid="{21FE8CE5-137D-4063-87B1-78496C2EAD6F}"/>
    <hyperlink ref="CD377" r:id="rId1452" xr:uid="{10F76833-0D4B-4B1A-BCC9-D7C19B95EA2C}"/>
    <hyperlink ref="BW378" r:id="rId1453" xr:uid="{589667EC-3EBA-49C3-9144-F4D93759F5FC}"/>
    <hyperlink ref="BZ378" r:id="rId1454" xr:uid="{9E606895-C944-4FAD-9E3F-58590C715773}"/>
    <hyperlink ref="CA378" r:id="rId1455" xr:uid="{E708CF1B-D6B0-4145-8520-1BCC594BA31A}"/>
    <hyperlink ref="CB378" r:id="rId1456" xr:uid="{54F97933-B692-49E7-BA5B-B6F3065DA83C}"/>
    <hyperlink ref="CD378" r:id="rId1457" xr:uid="{F5FD1E2D-3112-4A61-9C22-34AA7D4E208F}"/>
    <hyperlink ref="BW379" r:id="rId1458" xr:uid="{F5727265-B355-403A-BBAA-B8BEA9F24483}"/>
    <hyperlink ref="BZ379" r:id="rId1459" xr:uid="{77C81569-C57F-4AC7-AC66-81C298F46382}"/>
    <hyperlink ref="CA379" r:id="rId1460" xr:uid="{6240F8B5-12C0-49EA-8451-EE7A376628A7}"/>
    <hyperlink ref="CB379" r:id="rId1461" xr:uid="{5BEC5C1A-8754-4E59-9441-D03DA073BFD9}"/>
    <hyperlink ref="CC379" r:id="rId1462" xr:uid="{0C4AFD61-D672-45F7-A4AD-7425578B3810}"/>
    <hyperlink ref="CD379" r:id="rId1463" xr:uid="{324F3C29-CBBC-4E54-98CB-89C7613BDFEC}"/>
    <hyperlink ref="AV380" r:id="rId1464" xr:uid="{4DB10C83-2186-40B2-8FEA-315AB1FC19CE}"/>
    <hyperlink ref="BW380" r:id="rId1465" xr:uid="{9F3B053E-1D1C-4022-8369-086C51BC9CCB}"/>
    <hyperlink ref="BZ380" r:id="rId1466" xr:uid="{7822BD8F-DA04-4AA1-BB2C-F2DF9C658117}"/>
    <hyperlink ref="CA380" r:id="rId1467" xr:uid="{C4874D51-CC35-449B-9204-45E407193688}"/>
    <hyperlink ref="CB380" r:id="rId1468" xr:uid="{FEECBAB8-51C7-4A05-B956-28FB4832F00B}"/>
    <hyperlink ref="CC380" r:id="rId1469" xr:uid="{EAB7D031-FB7E-456D-A149-AB6A267D13BA}"/>
    <hyperlink ref="CD380" r:id="rId1470" xr:uid="{9BE80552-13E9-44ED-A8E9-A36776352922}"/>
    <hyperlink ref="BW381" r:id="rId1471" xr:uid="{1F4F8834-5470-4B8B-93F3-28A86311E24F}"/>
    <hyperlink ref="CD381" r:id="rId1472" xr:uid="{57D68866-0E24-4D63-8012-6BEAC9764505}"/>
    <hyperlink ref="BW383" r:id="rId1473" xr:uid="{C4976D4E-14DF-4776-B876-7E9D615B8B20}"/>
    <hyperlink ref="CD383" r:id="rId1474" xr:uid="{EB40E63E-8BDB-461B-924D-0C253871B0F2}"/>
    <hyperlink ref="BW384" r:id="rId1475" xr:uid="{8329CC7F-81DC-422D-A1CB-E9F50BF5288D}"/>
    <hyperlink ref="BZ384" r:id="rId1476" xr:uid="{1E0DA59B-6989-4AAF-B499-833BAE056B53}"/>
    <hyperlink ref="CD384" r:id="rId1477" xr:uid="{58790EC6-AD36-4F4B-A75F-43483BB82327}"/>
    <hyperlink ref="BW385" r:id="rId1478" xr:uid="{8121126A-7418-4424-A7F8-B0B6B33DE8C8}"/>
    <hyperlink ref="BZ385" r:id="rId1479" xr:uid="{C9CB30A3-2547-47A2-8B92-CCBA88E1A8F3}"/>
    <hyperlink ref="CB385" r:id="rId1480" xr:uid="{8E5E5BBD-6287-4134-875E-87E766FBB15A}"/>
    <hyperlink ref="CD385" r:id="rId1481" xr:uid="{DAEE450D-7181-4A94-9C3A-7E878D8A7E76}"/>
    <hyperlink ref="BW386" r:id="rId1482" xr:uid="{2149872B-C116-492B-9FD2-C43BAC6C3622}"/>
    <hyperlink ref="BZ386" r:id="rId1483" xr:uid="{77C7BD14-D30E-4004-8AB2-FBE72EE75DDF}"/>
    <hyperlink ref="CD386" r:id="rId1484" xr:uid="{9CBC057B-6B15-4D6E-87A4-2D1132EC5563}"/>
    <hyperlink ref="BW387" r:id="rId1485" xr:uid="{E657E97D-4286-4B12-923D-3EA486062C8E}"/>
    <hyperlink ref="BZ387" r:id="rId1486" xr:uid="{07DB7A53-6E5D-4DB6-BF7A-F30146D36D4C}"/>
    <hyperlink ref="CA387" r:id="rId1487" xr:uid="{34DDC192-AAE3-410D-A563-29B0392DCBFF}"/>
    <hyperlink ref="CB387" r:id="rId1488" xr:uid="{31BD3FBF-048F-40C7-8736-1CF3D67679B0}"/>
    <hyperlink ref="CD387" r:id="rId1489" xr:uid="{D779F87D-FD59-4D71-8FA1-A1B3DA0F79F8}"/>
    <hyperlink ref="BW388" r:id="rId1490" xr:uid="{AC692136-01B0-4FA8-A51A-44EC3104F6C0}"/>
    <hyperlink ref="CA388" r:id="rId1491" xr:uid="{16B72805-FC83-472C-888F-B6C75BF96A6F}"/>
    <hyperlink ref="CD388" r:id="rId1492" xr:uid="{7F753237-2A73-459C-B2CD-8C3C6BADC267}"/>
    <hyperlink ref="BW389" r:id="rId1493" xr:uid="{F5DB3A99-E0B9-471C-9C55-0C5ABF0DA660}"/>
    <hyperlink ref="CA389" r:id="rId1494" xr:uid="{07E8A3FD-D779-4D5B-8C7B-C3E3C413070A}"/>
    <hyperlink ref="CB389" r:id="rId1495" xr:uid="{F76951F3-C517-40F6-9920-D3A0DDB096C0}"/>
    <hyperlink ref="CD389" r:id="rId1496" xr:uid="{EB05C13C-8A70-4299-BFB4-327498ADCB11}"/>
    <hyperlink ref="BW390" r:id="rId1497" xr:uid="{BB1B7126-C285-4E80-8DA9-AE9890A415BA}"/>
    <hyperlink ref="CB390" r:id="rId1498" xr:uid="{59C8BF4A-4684-4C88-9666-6F72A62919C7}"/>
    <hyperlink ref="CD390" r:id="rId1499" xr:uid="{8FE842FE-5B8B-4DBF-B5E4-064FCCBE1D75}"/>
    <hyperlink ref="AV391" r:id="rId1500" xr:uid="{379FEBB4-1D02-4C1F-AB32-7993782DB737}"/>
    <hyperlink ref="BW391" r:id="rId1501" xr:uid="{BE3ACA26-C504-4867-82B0-55422FEC4DBF}"/>
    <hyperlink ref="BZ391" r:id="rId1502" xr:uid="{CD48B66B-4E95-4115-A28E-E9FDEE99883B}"/>
    <hyperlink ref="CA391" r:id="rId1503" xr:uid="{1927BA67-C59C-4D50-954F-0837F1416791}"/>
    <hyperlink ref="CB391" r:id="rId1504" xr:uid="{BE3247B3-3A08-4691-A809-FE4E1BC73DDE}"/>
    <hyperlink ref="CD391" r:id="rId1505" xr:uid="{6C266698-98A1-41B7-9E1E-324EA15355F8}"/>
    <hyperlink ref="BW392" r:id="rId1506" xr:uid="{D835C8DA-DB39-4788-A18F-6C20C881604F}"/>
    <hyperlink ref="BZ392" r:id="rId1507" xr:uid="{8FDDE32D-9E79-4EEE-9B47-8C99A62C855E}"/>
    <hyperlink ref="CA392" r:id="rId1508" xr:uid="{5056C5C5-FE0B-4040-BB87-527E19A1D5A1}"/>
    <hyperlink ref="CB392" r:id="rId1509" xr:uid="{13B0ACC3-4559-4AAE-9C79-AA9E214445E9}"/>
    <hyperlink ref="CD392" r:id="rId1510" xr:uid="{B773B54B-264F-43F9-A6D6-17F94B086D83}"/>
    <hyperlink ref="AV393" r:id="rId1511" xr:uid="{E88E1BCC-AA50-40A0-8C7E-40B424BDFFF6}"/>
    <hyperlink ref="BW393" r:id="rId1512" xr:uid="{1BA8B99D-479A-4C06-9F36-3131755B9C70}"/>
    <hyperlink ref="BZ393" r:id="rId1513" xr:uid="{1E58CECF-EFD3-427A-B3C0-567B033BA9C4}"/>
    <hyperlink ref="CA393" r:id="rId1514" xr:uid="{1687C9CC-DD5D-41C1-95C7-A6DDFBF7EC49}"/>
    <hyperlink ref="CB393" r:id="rId1515" xr:uid="{E3F7C0E9-1F4C-403E-8A77-ABFFBF47874C}"/>
    <hyperlink ref="CD393" r:id="rId1516" xr:uid="{AF792322-2740-4A5A-B322-6CD5CCDD29DF}"/>
    <hyperlink ref="AV394" r:id="rId1517" xr:uid="{6256612D-9C87-4B9F-B194-6EFDC6F903DA}"/>
    <hyperlink ref="BW394" r:id="rId1518" xr:uid="{4EAA70A7-4021-46DA-A1AC-04E6B6A52A23}"/>
    <hyperlink ref="BZ394" r:id="rId1519" xr:uid="{0884BFE1-A100-4519-97F4-851556888E97}"/>
    <hyperlink ref="CD394" r:id="rId1520" xr:uid="{97D1EA36-BD6C-496A-A6F1-BEBE4157A36C}"/>
    <hyperlink ref="AV395" r:id="rId1521" xr:uid="{AC9EC31A-EC10-4965-991B-BC3E9FE55538}"/>
    <hyperlink ref="BW395" r:id="rId1522" xr:uid="{2442C44B-9D98-4C0A-8CF7-3CBDE48D741A}"/>
    <hyperlink ref="BZ395" r:id="rId1523" xr:uid="{2FF43D5C-3F0E-417D-B629-22E3EC09B28F}"/>
    <hyperlink ref="CA395" r:id="rId1524" xr:uid="{5DDE3179-6120-4A6A-A7F4-AA12BC96CEC4}"/>
    <hyperlink ref="CB395" r:id="rId1525" xr:uid="{0A288C99-29A5-4AE3-9259-2EB5098193FD}"/>
    <hyperlink ref="CC395" r:id="rId1526" xr:uid="{AF3C4118-B184-4CC9-9C4F-F19EBDD9FCA9}"/>
    <hyperlink ref="CD395" r:id="rId1527" xr:uid="{22933115-31AD-46DE-9671-556A0739D227}"/>
    <hyperlink ref="BW396" r:id="rId1528" xr:uid="{0A692B2B-B04E-4E7E-8F56-4152A1F1F222}"/>
    <hyperlink ref="CD396" r:id="rId1529" xr:uid="{ADAC549A-C16D-4E98-BE0E-FFA875411F93}"/>
    <hyperlink ref="BW397" r:id="rId1530" xr:uid="{F819F997-A918-4D9C-986E-29321ADBA49D}"/>
    <hyperlink ref="CA397" r:id="rId1531" xr:uid="{BC3B44E6-9D52-46E2-9153-5AC946E1CF5B}"/>
    <hyperlink ref="CD397" r:id="rId1532" xr:uid="{66D0BF5E-2D21-4DAC-B5C6-DF0F880DCAB2}"/>
    <hyperlink ref="BW398" r:id="rId1533" xr:uid="{062E31DF-26F1-431E-8ADC-A7E47D7882E1}"/>
    <hyperlink ref="BZ398" r:id="rId1534" xr:uid="{B778FB52-41A0-4EDD-8E61-20C75C3983A3}"/>
    <hyperlink ref="CA398" r:id="rId1535" xr:uid="{7782396A-6DDB-4235-9269-0A27C360357A}"/>
    <hyperlink ref="CB398" r:id="rId1536" xr:uid="{873928AA-46FA-49CA-B4A7-0EEA16D8284D}"/>
    <hyperlink ref="CC398" r:id="rId1537" xr:uid="{ADEE9520-6A8E-4248-B8B1-3199719B1650}"/>
    <hyperlink ref="CD398" r:id="rId1538" xr:uid="{D927C307-2DF5-4848-80C2-561DEE8DF939}"/>
    <hyperlink ref="BW399" r:id="rId1539" xr:uid="{0B679B2A-53ED-4350-A513-4B04FBCD8E35}"/>
    <hyperlink ref="BZ399" r:id="rId1540" xr:uid="{EE3EFBCF-6BB3-4E82-9C04-7ECCC53E14AA}"/>
    <hyperlink ref="CA399" r:id="rId1541" xr:uid="{2C17179D-CFC0-4204-A8C3-E24197B29800}"/>
    <hyperlink ref="CC399" r:id="rId1542" xr:uid="{43478F42-46E3-485B-853D-947F4B58BC6D}"/>
    <hyperlink ref="CD399" r:id="rId1543" xr:uid="{0F46C0E2-DD59-4FA2-9CC4-AC6BEADFE7FB}"/>
    <hyperlink ref="AV400" r:id="rId1544" xr:uid="{10FD27A5-30CB-4421-91DD-D5814B23CD03}"/>
    <hyperlink ref="BW400" r:id="rId1545" xr:uid="{B6740AD3-0FD4-4FA6-8E1B-64BB06C452C0}"/>
    <hyperlink ref="BZ400" r:id="rId1546" xr:uid="{95F959C9-BD68-4509-BCF6-390D7ABC5DC2}"/>
    <hyperlink ref="CA400" r:id="rId1547" xr:uid="{A3677C1D-22F2-4C5D-8519-23CC59A7696A}"/>
    <hyperlink ref="CB400" r:id="rId1548" xr:uid="{E8EAC6CD-D46A-4BF0-9B92-EE398C39B3E4}"/>
    <hyperlink ref="CD400" r:id="rId1549" xr:uid="{79FB6ACE-18A5-46D5-8D15-1DC9B1995D7B}"/>
    <hyperlink ref="AV401" r:id="rId1550" xr:uid="{D2C18473-4A3B-4B36-814C-E132C4730449}"/>
    <hyperlink ref="BW401" r:id="rId1551" xr:uid="{C094B241-AE44-4129-AB18-56737EE39A60}"/>
    <hyperlink ref="BZ401" r:id="rId1552" xr:uid="{C93D4BA2-9487-4B08-9106-731B298667B6}"/>
    <hyperlink ref="CD401" r:id="rId1553" xr:uid="{1BE181C1-F3E6-437E-BEDC-A56617F9E247}"/>
    <hyperlink ref="BW402" r:id="rId1554" xr:uid="{2FE9D25C-84C9-4E78-B508-F43B1FB67CF5}"/>
    <hyperlink ref="BZ402" r:id="rId1555" xr:uid="{4598C9B0-995C-4682-9FD2-AC233BEF5245}"/>
    <hyperlink ref="CA402" r:id="rId1556" xr:uid="{267810FB-8289-4A31-B866-ECA123A37901}"/>
    <hyperlink ref="CB402" r:id="rId1557" xr:uid="{6C295859-EFCC-4D49-8F4F-5E33C5B687BC}"/>
    <hyperlink ref="CD402" r:id="rId1558" xr:uid="{6950A214-DA36-4F92-BA8E-D41FB7327831}"/>
    <hyperlink ref="AV403" r:id="rId1559" xr:uid="{53EDF0BB-B5AA-43DB-830C-91BBB7C8FEEF}"/>
    <hyperlink ref="BW403" r:id="rId1560" xr:uid="{5F82E4F1-C367-47B0-B8AF-FDD7D2EEECBC}"/>
    <hyperlink ref="BZ403" r:id="rId1561" xr:uid="{6476F733-9C51-4CAB-B8A4-6CA2247927CB}"/>
    <hyperlink ref="CA403" r:id="rId1562" xr:uid="{FEA11E82-D0D0-47EA-A76B-4AECD4A893B8}"/>
    <hyperlink ref="CB403" r:id="rId1563" xr:uid="{8B0EB901-BFC5-4A48-84B8-484988FAF984}"/>
    <hyperlink ref="CD403" r:id="rId1564" xr:uid="{B14EDCE5-7DA6-41E1-ABDA-FE13AC9755FC}"/>
    <hyperlink ref="BW404" r:id="rId1565" xr:uid="{92A246D3-FFAA-407F-9342-850717ABE824}"/>
    <hyperlink ref="CD404" r:id="rId1566" xr:uid="{61D5E86B-6651-44D3-BAF5-C18363CFFA20}"/>
    <hyperlink ref="AV405" r:id="rId1567" xr:uid="{49BC1F07-0C01-4232-A9D0-A47CBCE4AF36}"/>
    <hyperlink ref="BW405" r:id="rId1568" xr:uid="{26CBB7FB-35EB-4E29-8CA8-8FC531B9931B}"/>
    <hyperlink ref="BZ405" r:id="rId1569" xr:uid="{0476F1CC-0B72-48A0-8A3D-C0C8B9EC390C}"/>
    <hyperlink ref="CB405" r:id="rId1570" xr:uid="{33F4AFD2-CD81-4683-AEBA-C5DEF9B3A3B6}"/>
    <hyperlink ref="CD405" r:id="rId1571" xr:uid="{0D23AA50-45A0-4D51-996F-CC015F26CFA7}"/>
    <hyperlink ref="AV406" r:id="rId1572" xr:uid="{8102BED9-5C3C-4580-888F-9BB0DE80B52D}"/>
    <hyperlink ref="BW406" r:id="rId1573" xr:uid="{A5E2D974-90A8-4926-892F-589A66D6ABDD}"/>
    <hyperlink ref="BZ406" r:id="rId1574" xr:uid="{34B506D8-4EE0-4696-B4B5-6D30D98BE7AF}"/>
    <hyperlink ref="CB406" r:id="rId1575" xr:uid="{009FCCDE-D2D8-4549-993C-AF12DDDEC8F4}"/>
    <hyperlink ref="CD406" r:id="rId1576" xr:uid="{8CFB9835-6C6B-4043-A41E-484E26726356}"/>
    <hyperlink ref="BW407" r:id="rId1577" xr:uid="{CA35B587-7F60-4256-B3E1-FE22FD6149A8}"/>
    <hyperlink ref="CA407" r:id="rId1578" xr:uid="{08EC1551-AB11-4870-A135-80E8D7809D92}"/>
    <hyperlink ref="CB407" r:id="rId1579" xr:uid="{867D85EF-4E20-4DF5-AC2A-E7BCA8DD6886}"/>
    <hyperlink ref="CD407" r:id="rId1580" xr:uid="{3E8FB7FE-2877-440F-9B30-855997FB565E}"/>
    <hyperlink ref="AV408" r:id="rId1581" xr:uid="{E3D26C02-72B3-4800-B3C3-C75B42C6053B}"/>
    <hyperlink ref="BW408" r:id="rId1582" xr:uid="{26E57C16-B92C-4E2C-A450-E00E15F6BB00}"/>
    <hyperlink ref="BZ408" r:id="rId1583" xr:uid="{733FE6FD-6A03-4550-BC8D-36EE3149D929}"/>
    <hyperlink ref="CA408" r:id="rId1584" xr:uid="{B326BFE8-394A-4182-BB5A-5029D1B354AC}"/>
    <hyperlink ref="CB408" r:id="rId1585" xr:uid="{B92C83DE-BB43-43BA-942E-F45A6749B12D}"/>
    <hyperlink ref="CD408" r:id="rId1586" xr:uid="{8F0F37BA-BC30-4055-9533-D23A8D98AF8A}"/>
    <hyperlink ref="AV409" r:id="rId1587" xr:uid="{50E42AC7-B853-4735-8D67-D2C3729C86F2}"/>
    <hyperlink ref="BW409" r:id="rId1588" xr:uid="{B58EC4FE-F637-49E6-A330-1423AEB18678}"/>
    <hyperlink ref="BZ409" r:id="rId1589" xr:uid="{0FC4640B-1F2B-4D89-897F-738646379937}"/>
    <hyperlink ref="CA409" r:id="rId1590" xr:uid="{49B2D3F6-C7C2-4987-845F-EBFF5186E157}"/>
    <hyperlink ref="CB409" r:id="rId1591" xr:uid="{2D195BE5-3401-4495-AEA3-4B832FA6D75D}"/>
    <hyperlink ref="CC409" r:id="rId1592" xr:uid="{88E35553-7F64-46DE-9D4F-50B9998AFF71}"/>
    <hyperlink ref="CD409" r:id="rId1593" xr:uid="{188F0196-B432-469E-A54C-CFF4A79A3BE1}"/>
    <hyperlink ref="AV410" r:id="rId1594" xr:uid="{34D38DB5-6E92-406D-BA5D-5F5E14BC8F6D}"/>
    <hyperlink ref="BW410" r:id="rId1595" xr:uid="{19F6CBD2-8895-44E0-BD65-5B48B2675D6B}"/>
    <hyperlink ref="BZ410" r:id="rId1596" xr:uid="{D8428270-D7F2-4697-B294-0FCFBFC0EC50}"/>
    <hyperlink ref="CA410" r:id="rId1597" xr:uid="{A75AAA11-15B2-46B1-B2AC-847605E56432}"/>
    <hyperlink ref="CB410" r:id="rId1598" xr:uid="{A62BB026-5510-446A-B206-621C8C5FAE9E}"/>
    <hyperlink ref="CC410" r:id="rId1599" xr:uid="{FE240FC2-D5CE-4C55-B9E8-B902AD36AEF6}"/>
    <hyperlink ref="CD410" r:id="rId1600" xr:uid="{26514086-55A8-40F9-88CF-A9BE40B1508D}"/>
    <hyperlink ref="BW411" r:id="rId1601" xr:uid="{F793075D-A693-48E2-8CD2-0F61DAF61AC5}"/>
    <hyperlink ref="BZ411" r:id="rId1602" xr:uid="{D20CFBA5-3102-4767-B703-C2C43CCB4C0A}"/>
    <hyperlink ref="CA411" r:id="rId1603" xr:uid="{BCCCEF6A-4C6F-4DAF-8359-8F6480B0B656}"/>
    <hyperlink ref="CD411" r:id="rId1604" xr:uid="{85C11C3C-31AD-45F9-9B5C-6A825BA42335}"/>
    <hyperlink ref="BW412" r:id="rId1605" xr:uid="{C4DD1B3E-7A44-46A0-92BA-3AA65250B827}"/>
    <hyperlink ref="BZ412" r:id="rId1606" xr:uid="{6D1F8CEA-722F-49A4-8517-2FE3EFC94B87}"/>
    <hyperlink ref="CD412" r:id="rId1607" xr:uid="{29A61C6B-A057-4A29-AB53-54B8C288BFE5}"/>
    <hyperlink ref="AV413" r:id="rId1608" xr:uid="{B9820D46-7057-47F0-9D44-E48BEB598C31}"/>
    <hyperlink ref="BW413" r:id="rId1609" xr:uid="{EF157CD1-D22E-42EE-B00A-EAEED69706BA}"/>
    <hyperlink ref="BZ413" r:id="rId1610" xr:uid="{96CF7A4E-AE05-4191-AA4B-798892EA5E41}"/>
    <hyperlink ref="CD413" r:id="rId1611" xr:uid="{83B6558D-94F5-4AB7-9938-418A3BDFA82A}"/>
    <hyperlink ref="BW414" r:id="rId1612" xr:uid="{7A3F272D-03AF-484D-A3AD-91869B38C596}"/>
    <hyperlink ref="BZ414" r:id="rId1613" xr:uid="{6BBE6EAC-E036-4215-B117-5D70188FA42F}"/>
    <hyperlink ref="CA414" r:id="rId1614" xr:uid="{C2A9E7D8-2062-4235-BF2D-386DE90AB20F}"/>
    <hyperlink ref="CB414" r:id="rId1615" xr:uid="{A09D8C8A-45DA-44E6-A615-FA86B9FC9DB2}"/>
    <hyperlink ref="CD414" r:id="rId1616" xr:uid="{A09F2994-661B-424B-88BE-683EE882ECC9}"/>
    <hyperlink ref="BW415" r:id="rId1617" xr:uid="{B429A67E-55A4-4312-8430-2A4AE6F174F0}"/>
    <hyperlink ref="CD415" r:id="rId1618" xr:uid="{2FA09C7C-69D9-411D-8275-34005F24F805}"/>
    <hyperlink ref="BW416" r:id="rId1619" xr:uid="{38341E58-1BE6-44F3-AB54-C561EADF9673}"/>
    <hyperlink ref="CA416" r:id="rId1620" xr:uid="{9FC5C86F-41B7-46D3-85AC-398445AC10D7}"/>
    <hyperlink ref="CD416" r:id="rId1621" xr:uid="{78AA9D13-8289-4EA8-9549-BD57F646FA8A}"/>
    <hyperlink ref="BW417" r:id="rId1622" xr:uid="{547183C0-8654-446B-8276-A6B86411A970}"/>
    <hyperlink ref="BZ417" r:id="rId1623" xr:uid="{CB0AEA8C-2A2F-4ACC-8689-E4E3AAF2266E}"/>
    <hyperlink ref="CA417" r:id="rId1624" xr:uid="{1E8EDFC8-B593-4904-A745-BE0C2D279C58}"/>
    <hyperlink ref="CD417" r:id="rId1625" xr:uid="{31DCD6B6-CF05-4025-BF95-524BE0AF459F}"/>
    <hyperlink ref="AV418" r:id="rId1626" xr:uid="{0E1994B0-A8C0-4619-92D1-956B78319AC5}"/>
    <hyperlink ref="BW418" r:id="rId1627" xr:uid="{934581BA-187C-497D-9817-2F34E8DA75F2}"/>
    <hyperlink ref="BZ418" r:id="rId1628" xr:uid="{564BD748-B353-4E84-A83A-EF23849ED95F}"/>
    <hyperlink ref="CA418" r:id="rId1629" xr:uid="{651F191A-F95F-4F53-A770-A4AD107D0754}"/>
    <hyperlink ref="CB418" r:id="rId1630" xr:uid="{945C8C27-4165-4B80-929B-CF4BF55EE4F2}"/>
    <hyperlink ref="CD418" r:id="rId1631" xr:uid="{E8DF086D-DD12-434E-8CDA-40C39D71751C}"/>
    <hyperlink ref="BW419" r:id="rId1632" xr:uid="{13FBCFD8-ECAD-4B73-AA2C-D9B0603D0129}"/>
    <hyperlink ref="BZ419" r:id="rId1633" xr:uid="{6FFFDB05-0F70-4F72-BDBA-EBB9405BB787}"/>
    <hyperlink ref="CB419" r:id="rId1634" xr:uid="{568EB346-BAFC-4E7A-96DB-FCA3BEA07F79}"/>
    <hyperlink ref="CD419" r:id="rId1635" xr:uid="{5F89655B-5F38-4509-8F25-46F748FDDF79}"/>
    <hyperlink ref="BW420" r:id="rId1636" xr:uid="{40930533-C36B-4C3C-8A1E-4BA7BD4FEAE2}"/>
    <hyperlink ref="CD420" r:id="rId1637" xr:uid="{43DA10CD-42F9-458A-BA56-082870BB5392}"/>
    <hyperlink ref="AV421" r:id="rId1638" xr:uid="{6460FAD6-244A-4CA7-858A-516A5BD163DC}"/>
    <hyperlink ref="BW421" r:id="rId1639" xr:uid="{A179A770-51F7-420A-9C2B-65DCA6D692D8}"/>
    <hyperlink ref="BZ421" r:id="rId1640" xr:uid="{21120983-44FD-4442-9C13-EA1522293872}"/>
    <hyperlink ref="CB421" r:id="rId1641" xr:uid="{C70EBF07-B560-4BE5-9BF1-7D9DE0ED3310}"/>
    <hyperlink ref="CC421" r:id="rId1642" xr:uid="{5A563A93-7792-48F3-932E-76F152E22C43}"/>
    <hyperlink ref="CD421" r:id="rId1643" xr:uid="{35C6FBA9-8766-4BC0-856D-4F9C5B6BD88C}"/>
    <hyperlink ref="AV422" r:id="rId1644" xr:uid="{148B812A-FB1E-4E8F-B715-22B590627AB8}"/>
    <hyperlink ref="BW422" r:id="rId1645" xr:uid="{3A37883B-9A2D-4FD7-9D96-8094FBE93D6A}"/>
    <hyperlink ref="BZ422" r:id="rId1646" xr:uid="{C4F1DD54-1651-4D60-98CB-31A518E11705}"/>
    <hyperlink ref="CA422" r:id="rId1647" xr:uid="{3623B277-21B9-4A71-826A-2703839A5C09}"/>
    <hyperlink ref="CB422" r:id="rId1648" xr:uid="{77BAA28F-AA70-4021-8D53-BD33B276D9ED}"/>
    <hyperlink ref="CD422" r:id="rId1649" xr:uid="{A6F8BF78-4E24-4A80-8265-2FFC52FFBBE2}"/>
    <hyperlink ref="AV423" r:id="rId1650" xr:uid="{F83DCCA1-942F-4222-A685-DEF162DD434B}"/>
    <hyperlink ref="BW423" r:id="rId1651" xr:uid="{FB4549EE-4744-4C7A-84A5-3DA0A54A6AE1}"/>
    <hyperlink ref="BZ423" r:id="rId1652" xr:uid="{C4E6F9FE-CB12-482F-8997-CC98807D36A5}"/>
    <hyperlink ref="CA423" r:id="rId1653" xr:uid="{24B8E573-3202-44DB-A613-5487E0D65C70}"/>
    <hyperlink ref="CB423" r:id="rId1654" xr:uid="{D0CB4361-096F-4156-A06A-B2B7094B9423}"/>
    <hyperlink ref="CD423" r:id="rId1655" xr:uid="{0BD73EA3-1479-441E-A7A0-12CDA894D1AD}"/>
    <hyperlink ref="AV424" r:id="rId1656" xr:uid="{C2C11794-7AFC-45EF-9663-F00476593FA2}"/>
    <hyperlink ref="BW424" r:id="rId1657" xr:uid="{31FFB240-BA77-4495-9CAE-ED78C6F211CB}"/>
    <hyperlink ref="BZ424" r:id="rId1658" xr:uid="{24C0DD35-0484-4BEB-999D-0D497CF87C40}"/>
    <hyperlink ref="CA424" r:id="rId1659" xr:uid="{9D70AA46-54F8-4C26-958C-027C9A93EC6D}"/>
    <hyperlink ref="CC424" r:id="rId1660" xr:uid="{880CF292-9D4C-4A7F-A2AD-4929F5D6ADEB}"/>
    <hyperlink ref="CD424" r:id="rId1661" xr:uid="{67444D39-766E-4224-86FC-E18212A25EDC}"/>
    <hyperlink ref="BW425" r:id="rId1662" xr:uid="{CD802D9F-430A-4E45-B258-91442F60944D}"/>
    <hyperlink ref="BZ425" r:id="rId1663" xr:uid="{DC2B987F-0B9E-421D-8F44-F84C22480E5F}"/>
    <hyperlink ref="CA425" r:id="rId1664" xr:uid="{948CD3CC-56E0-4335-9A0C-7355696A2018}"/>
    <hyperlink ref="CB425" r:id="rId1665" xr:uid="{1A7D5360-550D-4445-B42D-401FF5F5B65C}"/>
    <hyperlink ref="CD425" r:id="rId1666" xr:uid="{2544561C-DF02-41E9-A4FB-058B1A1D3140}"/>
    <hyperlink ref="BW426" r:id="rId1667" xr:uid="{6AE84E2C-57C4-4A09-984C-F7D9A08C53B4}"/>
    <hyperlink ref="BZ426" r:id="rId1668" xr:uid="{F46AC04E-D3DC-4614-978A-C6D197399792}"/>
    <hyperlink ref="CA426" r:id="rId1669" xr:uid="{A11FF8DD-2263-4E0F-AFBB-95F2F20FCCB7}"/>
    <hyperlink ref="CC426" r:id="rId1670" xr:uid="{44E61D6D-7E65-4672-8D4F-183FEDF44ADD}"/>
    <hyperlink ref="CD426" r:id="rId1671" xr:uid="{F5073E05-DB9A-4927-8E6F-30F880D26C3F}"/>
    <hyperlink ref="AV427" r:id="rId1672" xr:uid="{C13E3581-A735-414D-940A-4F0247C82ABE}"/>
    <hyperlink ref="BW427" r:id="rId1673" xr:uid="{02C36874-BD38-422A-BE9F-3079B5E1F99A}"/>
    <hyperlink ref="BZ427" r:id="rId1674" xr:uid="{EC7459FE-5963-4A22-A573-939F0326EB36}"/>
    <hyperlink ref="CD427" r:id="rId1675" xr:uid="{A0517408-FA16-4C33-93CB-C28C504B6DA1}"/>
    <hyperlink ref="AV428" r:id="rId1676" xr:uid="{FF7BDC9D-CB55-40A8-90C0-056AA700ECB7}"/>
    <hyperlink ref="BW428" r:id="rId1677" xr:uid="{4A40A1FD-4D16-4EE1-9E76-FB0B9A628AA4}"/>
    <hyperlink ref="BZ428" r:id="rId1678" xr:uid="{18077EFF-466B-4993-BC2C-80D0B150E204}"/>
    <hyperlink ref="CA428" r:id="rId1679" xr:uid="{A5AFCF13-EE97-470E-972D-6152C860316F}"/>
    <hyperlink ref="CB428" r:id="rId1680" xr:uid="{7F50C918-4696-445A-B326-FF24232282AD}"/>
    <hyperlink ref="CD428" r:id="rId1681" xr:uid="{986EC67D-4E2D-4DDF-898D-27602A48C844}"/>
    <hyperlink ref="AV429" r:id="rId1682" xr:uid="{29D1EB4E-C489-49D2-9A67-7FEDC4C97BBF}"/>
    <hyperlink ref="BW429" r:id="rId1683" xr:uid="{35546300-0612-42A8-B9A2-A39B8BF02130}"/>
    <hyperlink ref="BZ429" r:id="rId1684" xr:uid="{E6483007-EFF7-472A-8EFE-A0361B4D55A2}"/>
    <hyperlink ref="CA429" r:id="rId1685" xr:uid="{39F988B1-3C59-4850-B359-B9DDF0962EE6}"/>
    <hyperlink ref="CD429" r:id="rId1686" xr:uid="{D50C7DB9-1497-4D32-B2B3-DE247E8CFFE8}"/>
    <hyperlink ref="AV430" r:id="rId1687" xr:uid="{E286DAEA-F97E-422F-92F4-132CD441B7F2}"/>
    <hyperlink ref="BW430" r:id="rId1688" xr:uid="{6D344335-1820-4397-B15D-FD76B474B086}"/>
    <hyperlink ref="BZ430" r:id="rId1689" xr:uid="{55E65722-232A-46C6-A4C4-F08A2A54F0E9}"/>
    <hyperlink ref="CA430" r:id="rId1690" xr:uid="{FC489880-396A-4C7A-8647-20246A8A645F}"/>
    <hyperlink ref="CB430" r:id="rId1691" xr:uid="{0EA624E7-4A04-4B64-BA73-31EF52C8096D}"/>
    <hyperlink ref="CD430" r:id="rId1692" xr:uid="{58232E8A-310A-4115-94E7-90BA16310F0A}"/>
    <hyperlink ref="AV431" r:id="rId1693" xr:uid="{0837BCC2-41FA-4BF2-8E4E-A0940BF07CDA}"/>
    <hyperlink ref="BW431" r:id="rId1694" xr:uid="{614A9774-C0FB-447E-A272-71DB72B2CD8A}"/>
    <hyperlink ref="BZ431" r:id="rId1695" xr:uid="{F74C68CB-7587-444C-8072-EDADA4D6092B}"/>
    <hyperlink ref="CD431" r:id="rId1696" xr:uid="{1D029B98-8D3D-4877-9B3F-17921FAC3D5B}"/>
    <hyperlink ref="AV432" r:id="rId1697" xr:uid="{5BE3B1C9-5762-48D2-8134-FB813B5F33DF}"/>
    <hyperlink ref="BW432" r:id="rId1698" xr:uid="{E8A8CCF5-B107-483E-8C5F-9D88FD6E05CB}"/>
    <hyperlink ref="BZ432" r:id="rId1699" xr:uid="{444D6CDB-7FEA-4ABC-9475-95B73C620F29}"/>
    <hyperlink ref="CA432" r:id="rId1700" xr:uid="{5155FC2E-DF58-4639-9456-A4DE61B15619}"/>
    <hyperlink ref="CB432" r:id="rId1701" xr:uid="{4E186A41-021A-4A32-87D2-F7C31D325F7B}"/>
    <hyperlink ref="CC432" r:id="rId1702" xr:uid="{4C76A5A4-1AF5-4F43-B443-A980DDD3A685}"/>
    <hyperlink ref="CD432" r:id="rId1703" xr:uid="{FCF33BE3-B645-4871-8B5D-89BB62E795D7}"/>
    <hyperlink ref="AV433" r:id="rId1704" xr:uid="{11A80A4F-64D6-4D35-AE12-0CD5A59E2720}"/>
    <hyperlink ref="BW433" r:id="rId1705" xr:uid="{5B9B21CE-0B1C-4146-B213-F2112DA987FE}"/>
    <hyperlink ref="BZ433" r:id="rId1706" xr:uid="{97C2528A-48A0-43F5-AF4C-E3D2D9D98953}"/>
    <hyperlink ref="CB433" r:id="rId1707" xr:uid="{6BB992C2-5A74-4DD6-9C19-0110733A5395}"/>
    <hyperlink ref="CD433" r:id="rId1708" xr:uid="{14EA9814-3693-4E9C-B871-B4E4BD09B4A5}"/>
    <hyperlink ref="AV434" r:id="rId1709" xr:uid="{BC4C467D-502C-45B2-8D8D-103B4F10932C}"/>
    <hyperlink ref="BW434" r:id="rId1710" xr:uid="{2166DAD7-85DF-46EC-85E3-98FFD7A6A052}"/>
    <hyperlink ref="BZ434" r:id="rId1711" xr:uid="{88D09EAE-A6C0-4D77-81D9-78963EEF0C5F}"/>
    <hyperlink ref="CA434" r:id="rId1712" xr:uid="{61BE39EC-16BC-4497-BD94-229AF05E9057}"/>
    <hyperlink ref="CB434" r:id="rId1713" xr:uid="{053ED4DB-8A01-4532-A7D4-2A1E078821EC}"/>
    <hyperlink ref="CD434" r:id="rId1714" xr:uid="{DA972D77-8EF2-4B22-8515-BF238F022BF7}"/>
    <hyperlink ref="AV435" r:id="rId1715" xr:uid="{A489D45F-74DA-4FCE-8E91-A16CEF9CA56F}"/>
    <hyperlink ref="BW435" r:id="rId1716" xr:uid="{7C056722-F841-49E3-AEE3-B79664BF95DD}"/>
    <hyperlink ref="BZ435" r:id="rId1717" xr:uid="{B139E6D8-EC41-429D-87D3-566E494413C4}"/>
    <hyperlink ref="CA435" r:id="rId1718" xr:uid="{EF3633B0-7FCD-40E3-8474-DC699F3865D5}"/>
    <hyperlink ref="CD435" r:id="rId1719" xr:uid="{405C8534-40FA-480F-AEB5-92EC950AC4B3}"/>
    <hyperlink ref="AV436" r:id="rId1720" xr:uid="{78F4D20D-24B4-4769-B26B-7DC3A47BC37D}"/>
    <hyperlink ref="BW436" r:id="rId1721" xr:uid="{657FB734-7BCA-4D1D-BF62-E82612AB897C}"/>
    <hyperlink ref="BZ436" r:id="rId1722" xr:uid="{600312E7-DBEC-4F3B-BAE5-70E40E8A79FC}"/>
    <hyperlink ref="CD436" r:id="rId1723" xr:uid="{CF8CCB9B-6F25-47B9-8EE0-AE091BB4364B}"/>
    <hyperlink ref="AV437" r:id="rId1724" xr:uid="{718CC236-8699-4B22-9EB4-5E79A1A05A3E}"/>
    <hyperlink ref="BW437" r:id="rId1725" xr:uid="{B3FE92C4-F996-491B-9F97-CE95FEDEF3EF}"/>
    <hyperlink ref="BZ437" r:id="rId1726" xr:uid="{6083DB03-CCB7-45CB-86FF-1C23792B0191}"/>
    <hyperlink ref="CA437" r:id="rId1727" xr:uid="{E8952BCC-AEC5-4259-BC22-574EB70DD34E}"/>
    <hyperlink ref="CB437" r:id="rId1728" xr:uid="{97EB3569-E398-4CFB-9925-D5B18DD880FA}"/>
    <hyperlink ref="CD437" r:id="rId1729" xr:uid="{45F74099-294D-4184-B161-CE5870EBB1E4}"/>
    <hyperlink ref="AV438" r:id="rId1730" xr:uid="{C8781CD7-EC24-4E9B-868D-78360264CE7C}"/>
    <hyperlink ref="BW438" r:id="rId1731" xr:uid="{718DB2F0-75D1-41A5-8D35-8C19234AD004}"/>
    <hyperlink ref="BZ438" r:id="rId1732" xr:uid="{E9CFDD5F-8BBD-4247-A2B8-9DB57FD1817E}"/>
    <hyperlink ref="CA438" r:id="rId1733" xr:uid="{F58858F7-87C3-40CA-BBF9-1A5C0F169EFA}"/>
    <hyperlink ref="CB438" r:id="rId1734" xr:uid="{F8AB98DF-CCEA-41CD-9FEA-BB2530BF829D}"/>
    <hyperlink ref="CD438" r:id="rId1735" xr:uid="{D4D0C3E0-6E9A-42EB-9D5C-9E7A0569B9B1}"/>
    <hyperlink ref="AV439" r:id="rId1736" xr:uid="{DAFFFA92-802A-434D-A976-384685E9F373}"/>
    <hyperlink ref="BW439" r:id="rId1737" xr:uid="{7ED763E5-5C31-4858-AF4B-5E151B78DE77}"/>
    <hyperlink ref="BZ439" r:id="rId1738" xr:uid="{12AAE90C-2D81-4E18-BA67-968C2CE001D8}"/>
    <hyperlink ref="CA439" r:id="rId1739" xr:uid="{EFDE9A31-62D9-4528-826D-F7DE09189399}"/>
    <hyperlink ref="CB439" r:id="rId1740" xr:uid="{A21711A1-1F50-466D-9588-3D70567D4220}"/>
    <hyperlink ref="CC439" r:id="rId1741" xr:uid="{9E2ADC32-1A2E-4310-BCFF-3F415D4D5F42}"/>
    <hyperlink ref="CD439" r:id="rId1742" xr:uid="{AF2D52FD-5366-41EE-887E-EB1359F9DF7C}"/>
    <hyperlink ref="AV440" r:id="rId1743" xr:uid="{97972682-1302-49F4-8A67-C0102F0B6D79}"/>
    <hyperlink ref="BW440" r:id="rId1744" xr:uid="{5D161E26-9B1F-430F-8B4B-FB33A5251477}"/>
    <hyperlink ref="BZ440" r:id="rId1745" xr:uid="{9AD426AB-F007-4338-909D-12B89A8B13F3}"/>
    <hyperlink ref="CA440" r:id="rId1746" xr:uid="{653B77C0-399B-4E6B-940F-0CD07F583DA0}"/>
    <hyperlink ref="CB440" r:id="rId1747" xr:uid="{D0E1EB4B-1318-490D-A5A5-FCE3EDCAC752}"/>
    <hyperlink ref="CC440" r:id="rId1748" xr:uid="{4B1DB9AF-9D4B-43AA-AF68-65DB42B44149}"/>
    <hyperlink ref="CD440" r:id="rId1749" xr:uid="{928AE8A0-7FD0-4F56-AACD-FCCD5FF54E0F}"/>
    <hyperlink ref="AV441" r:id="rId1750" xr:uid="{2E06BF2F-5AE3-4E48-880C-C7F27D62C395}"/>
    <hyperlink ref="BW441" r:id="rId1751" xr:uid="{0CEAFC24-A5AA-4A13-995F-7C893C9CD460}"/>
    <hyperlink ref="BZ441" r:id="rId1752" xr:uid="{8934CCDB-EEBE-4A8F-9E96-33C28362EAD9}"/>
    <hyperlink ref="CA441" r:id="rId1753" xr:uid="{79456C98-3CFD-4078-B02A-6A3615BB7097}"/>
    <hyperlink ref="CD441" r:id="rId1754" xr:uid="{AAE18372-D763-4086-9916-EF3FE2FE2A51}"/>
    <hyperlink ref="AV442" r:id="rId1755" xr:uid="{BA84D410-5BF0-493C-B79D-F4E127A7F1CF}"/>
    <hyperlink ref="BW442" r:id="rId1756" xr:uid="{8D6594ED-A55F-43F2-83AC-7733834825DD}"/>
    <hyperlink ref="BZ442" r:id="rId1757" xr:uid="{106A4816-AB5B-4647-9393-5ACD73532E70}"/>
    <hyperlink ref="CA442" r:id="rId1758" xr:uid="{5DFE610C-7FE1-45D1-8383-FF43ADCEAE20}"/>
    <hyperlink ref="CD442" r:id="rId1759" xr:uid="{333EEC0C-C6A7-494B-A3A2-2AE2BDF07A7C}"/>
    <hyperlink ref="AV443" r:id="rId1760" xr:uid="{F04E49E6-CE1F-410A-B772-AD1D2A7A1722}"/>
    <hyperlink ref="BW443" r:id="rId1761" xr:uid="{E3C6C8CE-AEDA-4C07-A4B5-04BCD6A74EE7}"/>
    <hyperlink ref="BZ443" r:id="rId1762" xr:uid="{A0CBA709-781B-427E-A2DE-C9394375B744}"/>
    <hyperlink ref="CA443" r:id="rId1763" xr:uid="{EB27F64D-26E5-4333-9412-BC91E4163743}"/>
    <hyperlink ref="CD443" r:id="rId1764" xr:uid="{C76328EF-630F-4397-8AB5-BB4EE25A1491}"/>
    <hyperlink ref="AV444" r:id="rId1765" xr:uid="{2C1CDAAE-1BC0-410D-B7D8-BEBE4EEFBC29}"/>
    <hyperlink ref="BW444" r:id="rId1766" xr:uid="{78375FE1-8039-4446-AD7B-7653C752B914}"/>
    <hyperlink ref="BZ444" r:id="rId1767" xr:uid="{EDC7B2C1-53DE-4A2D-9E8C-B237701F10AE}"/>
    <hyperlink ref="CD444" r:id="rId1768" xr:uid="{7390F7F7-8C3C-41E7-98F4-20CB79328494}"/>
    <hyperlink ref="BW445" r:id="rId1769" xr:uid="{E4BF84F5-E9A0-4ACA-B851-740995E10B89}"/>
    <hyperlink ref="BZ445" r:id="rId1770" xr:uid="{E9AB0C55-173B-4F37-9EA2-E53DE896B9CC}"/>
    <hyperlink ref="CA445" r:id="rId1771" xr:uid="{1E2965E5-E5C6-4B41-A48F-BEA19102228A}"/>
    <hyperlink ref="CB445" r:id="rId1772" xr:uid="{6EF77289-B143-4235-9586-7E3E99B4660A}"/>
    <hyperlink ref="CD445" r:id="rId1773" xr:uid="{9B73B905-4D16-47C5-8216-D675ADEF7A56}"/>
    <hyperlink ref="AV446" r:id="rId1774" xr:uid="{90BAB482-426B-4847-9630-EFFF210F56B4}"/>
    <hyperlink ref="BW446" r:id="rId1775" xr:uid="{994AF0C8-41A4-437F-A3F0-86A1B431543B}"/>
    <hyperlink ref="BZ446" r:id="rId1776" xr:uid="{63E71031-5A4D-406A-AA49-F1D312780679}"/>
    <hyperlink ref="CA446" r:id="rId1777" xr:uid="{06519966-2496-4B0D-9B74-C85694F6A0F5}"/>
    <hyperlink ref="CD446" r:id="rId1778" xr:uid="{DA32F0DF-5947-4B33-B60A-256D0030FD33}"/>
    <hyperlink ref="AV447" r:id="rId1779" xr:uid="{386DFA87-60E8-4BEC-B5E1-16373EBA470B}"/>
    <hyperlink ref="BW447" r:id="rId1780" xr:uid="{47CAAE85-9BD9-4632-866C-881F442B496A}"/>
    <hyperlink ref="BZ447" r:id="rId1781" xr:uid="{27F3E023-0698-4EE0-8D37-A7AB23AE96F5}"/>
    <hyperlink ref="CD447" r:id="rId1782" xr:uid="{DCB9C0B4-E6C9-428B-8E7B-D68BB0141D68}"/>
    <hyperlink ref="AV448" r:id="rId1783" xr:uid="{CC078FE8-2D81-475A-B99C-147FBF6B9346}"/>
    <hyperlink ref="BW448" r:id="rId1784" xr:uid="{03DEB81B-90B5-455C-BEAC-1BAFB453606E}"/>
    <hyperlink ref="BZ448" r:id="rId1785" xr:uid="{E35B7C3E-22D6-4EF7-9CF3-D30B58E1D206}"/>
    <hyperlink ref="CC448" r:id="rId1786" xr:uid="{5D31EE45-7709-49FE-AC5B-A9B3E10932A2}"/>
    <hyperlink ref="CD448" r:id="rId1787" xr:uid="{78476C3D-902D-4706-A5E6-793A2BA0A03B}"/>
    <hyperlink ref="AV449" r:id="rId1788" xr:uid="{50B4B101-047E-4382-8C2D-C784F60E715D}"/>
    <hyperlink ref="BW449" r:id="rId1789" xr:uid="{5286F5B5-4356-4B2B-800A-1FDE9DFF3FA5}"/>
    <hyperlink ref="BZ449" r:id="rId1790" xr:uid="{42EB3A36-DEDD-4478-93B8-B72A10F1D0C9}"/>
    <hyperlink ref="CA449" r:id="rId1791" xr:uid="{87342E3E-F63E-46F5-88A8-3846A20BC5EE}"/>
    <hyperlink ref="CB449" r:id="rId1792" xr:uid="{33405744-1A5F-4378-A560-F21374B477BA}"/>
    <hyperlink ref="CD449" r:id="rId1793" xr:uid="{A471B20F-C1AF-48A3-AF69-47CFAFADDE9B}"/>
    <hyperlink ref="BW450" r:id="rId1794" xr:uid="{C3CCBB5B-62BA-4931-9411-A60490B1C280}"/>
    <hyperlink ref="CD450" r:id="rId1795" xr:uid="{8425DA2D-A973-4F16-A36B-D0CA3159DF74}"/>
    <hyperlink ref="AV451" r:id="rId1796" xr:uid="{4D8A49F6-D20D-4EEF-8A2A-49A81EDA4CFA}"/>
    <hyperlink ref="BW451" r:id="rId1797" xr:uid="{A616FADF-0428-4C03-9C2C-E5260C7B176D}"/>
    <hyperlink ref="BZ451" r:id="rId1798" xr:uid="{B82071A3-EC4B-4750-8A18-A80CF827A839}"/>
    <hyperlink ref="CA451" r:id="rId1799" xr:uid="{BDC2BCE0-1B6B-4181-A38E-F10A2D57710C}"/>
    <hyperlink ref="CB451" r:id="rId1800" xr:uid="{1FC5BA93-A0D2-4884-8C3C-819366845164}"/>
    <hyperlink ref="CD451" r:id="rId1801" xr:uid="{9764F340-1A98-4AFF-AEFA-6255B68F04EF}"/>
    <hyperlink ref="AV452" r:id="rId1802" xr:uid="{7A2762FD-F508-4C73-B791-80E046D4850B}"/>
    <hyperlink ref="BW452" r:id="rId1803" xr:uid="{A66BC2E1-0161-4DD2-890E-E75A52C0D5A4}"/>
    <hyperlink ref="BZ452" r:id="rId1804" xr:uid="{9A78968E-3AEB-4DFA-9D68-40972BA824EA}"/>
    <hyperlink ref="CA452" r:id="rId1805" xr:uid="{41DDC084-1B34-4EE7-BC60-0B49630912EA}"/>
    <hyperlink ref="CD452" r:id="rId1806" xr:uid="{0B4A691F-8311-41DD-9FDF-E0E15280CC50}"/>
    <hyperlink ref="BW453" r:id="rId1807" xr:uid="{777C83A0-9AD1-45B3-A344-0401378000D5}"/>
    <hyperlink ref="CD453" r:id="rId1808" xr:uid="{D5ACCB49-EDBA-49F9-802E-04048A8F2D98}"/>
    <hyperlink ref="AV454" r:id="rId1809" xr:uid="{24CFE868-E307-45D3-87EB-6B8A41028495}"/>
    <hyperlink ref="BW454" r:id="rId1810" xr:uid="{FFE02FC5-DD3D-4FFA-9A92-C922355D3075}"/>
    <hyperlink ref="BZ454" r:id="rId1811" xr:uid="{F9D9964D-8A5B-47D7-BC40-AE985B888AB5}"/>
    <hyperlink ref="CA454" r:id="rId1812" xr:uid="{5CED2F91-8C5A-4372-A26D-1BB6786FC8D9}"/>
    <hyperlink ref="CB454" r:id="rId1813" xr:uid="{5DCCC9BD-EB17-4BE1-A2AB-83C309CD0CE8}"/>
    <hyperlink ref="CD454" r:id="rId1814" xr:uid="{F4418BE3-526D-441A-8F1E-1D9074BBBE29}"/>
    <hyperlink ref="AV455" r:id="rId1815" xr:uid="{5A537258-673F-4A11-838E-216F1E1A77F6}"/>
    <hyperlink ref="BW455" r:id="rId1816" xr:uid="{C7D08413-82FC-4AD7-92EE-ED943B83848C}"/>
    <hyperlink ref="BZ455" r:id="rId1817" xr:uid="{60C7A846-8EBC-4F6B-84C0-81BB86B498A9}"/>
    <hyperlink ref="CA455" r:id="rId1818" xr:uid="{A95DE7CE-E0EC-4A02-BDCB-46C240914CF4}"/>
    <hyperlink ref="CB455" r:id="rId1819" xr:uid="{AB1BDD65-249F-4A0B-98F7-713855785DCC}"/>
    <hyperlink ref="CD455" r:id="rId1820" xr:uid="{844287FF-F2E3-416D-B698-90A74D75C7F6}"/>
    <hyperlink ref="BW456" r:id="rId1821" xr:uid="{760F0CEE-E391-4164-90A6-3274E0F35884}"/>
    <hyperlink ref="BZ456" r:id="rId1822" xr:uid="{E7D39581-EF3C-4A11-B61C-30F2EFBF2C49}"/>
    <hyperlink ref="CA456" r:id="rId1823" xr:uid="{FBF7D311-17A2-4D98-BC24-C87A31D516CB}"/>
    <hyperlink ref="CD456" r:id="rId1824" xr:uid="{D2348CCC-0510-407C-A047-5E36F9BDC253}"/>
    <hyperlink ref="AV457" r:id="rId1825" xr:uid="{2F560575-7BA1-4473-AB62-2C557AFE5467}"/>
    <hyperlink ref="BW457" r:id="rId1826" xr:uid="{C7E898F5-36F1-4B74-816C-29FB980415B5}"/>
    <hyperlink ref="BZ457" r:id="rId1827" xr:uid="{C12D93CF-C10C-4A71-80B0-003CFE15ACE9}"/>
    <hyperlink ref="CA457" r:id="rId1828" xr:uid="{3B4EA113-6B36-43FD-BE2B-C7612F4793B3}"/>
    <hyperlink ref="CB457" r:id="rId1829" xr:uid="{9973CB48-28A0-49BC-B501-7320A33D3E78}"/>
    <hyperlink ref="CD457" r:id="rId1830" xr:uid="{878507A2-F4F0-4596-9C9B-38FDCE1F9D29}"/>
    <hyperlink ref="AV458" r:id="rId1831" xr:uid="{F9AC672D-6992-4733-9A28-6044AE290E4A}"/>
    <hyperlink ref="BW458" r:id="rId1832" xr:uid="{3424D0AD-A4D5-4873-8BEF-8639BC48DB46}"/>
    <hyperlink ref="BZ458" r:id="rId1833" xr:uid="{4F093F95-15D0-4DEE-8955-EB1C7E9A7365}"/>
    <hyperlink ref="CD458" r:id="rId1834" xr:uid="{538BD3AE-44A9-46F9-BB52-0459751379EB}"/>
    <hyperlink ref="AV459" r:id="rId1835" xr:uid="{9DD2A918-F6BA-4AB0-B60B-1B46E7C5D9F9}"/>
    <hyperlink ref="BW459" r:id="rId1836" xr:uid="{DC7639A1-5B19-4087-9B0E-D39319EDE7F7}"/>
    <hyperlink ref="BZ459" r:id="rId1837" xr:uid="{B67016F8-7708-4950-A954-E36281AF1A05}"/>
    <hyperlink ref="CD459" r:id="rId1838" xr:uid="{6D86F3F3-646D-420A-B1A4-3F0245F22D63}"/>
    <hyperlink ref="AV460" r:id="rId1839" xr:uid="{DF6324A3-1210-4047-9842-93696F788486}"/>
    <hyperlink ref="BW460" r:id="rId1840" xr:uid="{55E5C7A4-35A9-44D3-B9FB-3D7D4E47B8FE}"/>
    <hyperlink ref="BZ460" r:id="rId1841" xr:uid="{A83FE84D-EC6A-4F2B-BF39-0B92453DE9F6}"/>
    <hyperlink ref="CA460" r:id="rId1842" xr:uid="{23490E80-B3FF-48DD-8196-7D41BE62B5FC}"/>
    <hyperlink ref="CB460" r:id="rId1843" xr:uid="{793FEC77-DB55-4A39-BB26-9359B9119F40}"/>
    <hyperlink ref="CD460" r:id="rId1844" xr:uid="{3DC09421-D13A-46B0-8BDC-73CAB56E0839}"/>
    <hyperlink ref="AV461" r:id="rId1845" xr:uid="{9CE8044B-5A48-4A30-B7D9-EDA08A4035B4}"/>
    <hyperlink ref="BW461" r:id="rId1846" xr:uid="{F1677C1B-0AA7-4181-99A3-AD00D55DE5B5}"/>
    <hyperlink ref="BZ461" r:id="rId1847" xr:uid="{E1000785-4D9C-4793-8763-FC0810C35283}"/>
    <hyperlink ref="CD461" r:id="rId1848" xr:uid="{0734527C-1BEB-4F15-A02B-02B6F7A9B08C}"/>
    <hyperlink ref="AV462" r:id="rId1849" xr:uid="{23C95BCF-8800-47F7-8349-31C00D8057EE}"/>
    <hyperlink ref="BW462" r:id="rId1850" xr:uid="{F813C16A-9962-4B33-9FA5-D9C4F36A5F9E}"/>
    <hyperlink ref="BZ462" r:id="rId1851" xr:uid="{8F4FFC82-D924-4298-BDB4-33B43DC12FB1}"/>
    <hyperlink ref="CA462" r:id="rId1852" xr:uid="{4F745115-8811-4A3D-B123-43EFAAD712DA}"/>
    <hyperlink ref="CB462" r:id="rId1853" xr:uid="{6C61D322-DD8D-4B87-8F23-42C706913D22}"/>
    <hyperlink ref="CC462" r:id="rId1854" xr:uid="{0E2AEDD9-4231-425C-9DFD-65B999638CB4}"/>
    <hyperlink ref="CD462" r:id="rId1855" xr:uid="{8F11D896-7A46-4301-86EA-7743F9D67BC8}"/>
    <hyperlink ref="AV463" r:id="rId1856" xr:uid="{B1B6582F-98B5-4EB7-90AC-38237045161C}"/>
    <hyperlink ref="BW463" r:id="rId1857" xr:uid="{9BF37B28-C811-445C-B4E9-82622827EBCE}"/>
    <hyperlink ref="BZ463" r:id="rId1858" xr:uid="{021074B9-0031-4528-B66C-CC3A30C33C74}"/>
    <hyperlink ref="CA463" r:id="rId1859" xr:uid="{AB15226A-88B6-43E7-A64D-4CC9B9419D0A}"/>
    <hyperlink ref="CB463" r:id="rId1860" xr:uid="{1B879509-356D-4A7D-B232-34DEBCECF4A0}"/>
    <hyperlink ref="CD463" r:id="rId1861" xr:uid="{530CA5F8-E7A9-4C39-909F-C6628D58BD78}"/>
    <hyperlink ref="AV464" r:id="rId1862" xr:uid="{087CB6A3-F254-4A5A-AAFA-92769C8B1571}"/>
    <hyperlink ref="BW464" r:id="rId1863" xr:uid="{40CDA93E-0B8B-4FDB-8C36-67DEF65E74C7}"/>
    <hyperlink ref="BZ464" r:id="rId1864" xr:uid="{E6E8999B-3845-4C57-92E9-34D175E0B57E}"/>
    <hyperlink ref="CA464" r:id="rId1865" xr:uid="{73502A6E-65C8-4315-916E-D6749A9CCC4C}"/>
    <hyperlink ref="CB464" r:id="rId1866" xr:uid="{E555A0A7-42ED-493F-95DC-FB6250B46FA8}"/>
    <hyperlink ref="CC464" r:id="rId1867" xr:uid="{EC5D53D9-0E6A-449A-93B9-7322B3D6BFDF}"/>
    <hyperlink ref="CD464" r:id="rId1868" xr:uid="{33E9C680-EEC9-4BBC-B2F1-7EE47223DF15}"/>
    <hyperlink ref="BW465" r:id="rId1869" xr:uid="{4887703E-95CF-4CB6-AE43-FDDE66AE6709}"/>
    <hyperlink ref="BZ465" r:id="rId1870" xr:uid="{40B50C7D-6D03-478B-8812-3B93E5BE2A24}"/>
    <hyperlink ref="CA465" r:id="rId1871" xr:uid="{56551221-5B38-4EF3-A3C8-53257C02D6E6}"/>
    <hyperlink ref="CB465" r:id="rId1872" xr:uid="{231AE02B-15E9-4CDF-843D-2D3178E79999}"/>
    <hyperlink ref="CD465" r:id="rId1873" xr:uid="{E5922487-F5DA-47E8-8129-A008617986BE}"/>
    <hyperlink ref="AV466" r:id="rId1874" xr:uid="{9C551B4E-2435-4A5C-826A-926B63670D6E}"/>
    <hyperlink ref="BW466" r:id="rId1875" xr:uid="{AA6DD32C-F46B-4933-BEFB-E28A998E77C8}"/>
    <hyperlink ref="BZ466" r:id="rId1876" xr:uid="{003BF4CD-9275-4A90-A13E-1B521B3C9203}"/>
    <hyperlink ref="CA466" r:id="rId1877" xr:uid="{2D007664-CEBF-47E3-BC25-8B844F5D41BA}"/>
    <hyperlink ref="CB466" r:id="rId1878" xr:uid="{4B3DD631-24B6-4A85-8D38-D516F02EC4C6}"/>
    <hyperlink ref="CD466" r:id="rId1879" xr:uid="{C84E9848-EFA6-44BF-AF42-53363980445C}"/>
    <hyperlink ref="AV467" r:id="rId1880" xr:uid="{1329936E-C348-4757-A326-4A4EBD526E72}"/>
    <hyperlink ref="BW467" r:id="rId1881" xr:uid="{7D202B5C-2648-46E6-B1C0-A881ED731F96}"/>
    <hyperlink ref="BZ467" r:id="rId1882" xr:uid="{A06F17CF-4A64-4E08-8711-AE360C99AB81}"/>
    <hyperlink ref="CA467" r:id="rId1883" xr:uid="{4A06514B-CE41-454C-ACB8-D81038407928}"/>
    <hyperlink ref="CB467" r:id="rId1884" xr:uid="{1F856334-FA6E-40F5-B606-FC87A2E104AD}"/>
    <hyperlink ref="CC467" r:id="rId1885" xr:uid="{C3929918-B4A6-4274-8B6E-17DADF72643C}"/>
    <hyperlink ref="CD467" r:id="rId1886" xr:uid="{076616AC-0FEE-4BC2-9F63-683F61E46989}"/>
    <hyperlink ref="AV468" r:id="rId1887" xr:uid="{623D18ED-595A-4637-8C56-D492B1DA126C}"/>
    <hyperlink ref="BW468" r:id="rId1888" xr:uid="{0B9C2648-A748-4494-9DFD-53B563168DF3}"/>
    <hyperlink ref="BZ468" r:id="rId1889" xr:uid="{9EFB5FB4-938F-4F89-A94D-2C70773CD3F8}"/>
    <hyperlink ref="CA468" r:id="rId1890" xr:uid="{6AE8759C-459F-428F-B551-366AD358B96E}"/>
    <hyperlink ref="CB468" r:id="rId1891" xr:uid="{3BDFA609-C215-4BE2-B765-8AC2FB0991F2}"/>
    <hyperlink ref="CD468" r:id="rId1892" xr:uid="{31C74D50-F0CC-4CAA-8262-5AB346BC59FC}"/>
    <hyperlink ref="AV469" r:id="rId1893" xr:uid="{67738D18-8EAA-422E-8095-F5A18573E76B}"/>
    <hyperlink ref="BW469" r:id="rId1894" xr:uid="{FBC6D793-C1F6-4433-B6C4-6DFD907B9FFF}"/>
    <hyperlink ref="BZ469" r:id="rId1895" xr:uid="{88EAC848-F5D1-4452-AFCE-06A6FA85C9C3}"/>
    <hyperlink ref="CB469" r:id="rId1896" xr:uid="{040C2B3C-C64C-4C34-B9DC-DBA9D97D9AF6}"/>
    <hyperlink ref="CD469" r:id="rId1897" xr:uid="{A4798026-0C03-4792-A842-74E03DBF6A36}"/>
    <hyperlink ref="AV470" r:id="rId1898" xr:uid="{E09769F8-89A8-4CA3-8228-5FE6ED520618}"/>
    <hyperlink ref="BW470" r:id="rId1899" xr:uid="{639651E4-0DDA-419F-A2AA-48DBA2724A09}"/>
    <hyperlink ref="BZ470" r:id="rId1900" xr:uid="{CE347F31-202E-41CE-92BF-26C7A4C26E0D}"/>
    <hyperlink ref="CA470" r:id="rId1901" xr:uid="{8324416D-F662-4FAA-A716-58BF07A4C715}"/>
    <hyperlink ref="CB470" r:id="rId1902" xr:uid="{D073F153-8CA4-4076-90D4-EA0EA700CB0F}"/>
    <hyperlink ref="CC470" r:id="rId1903" xr:uid="{C142AC77-9BC1-494D-9EDD-0AC0CBE94AEC}"/>
    <hyperlink ref="CD470" r:id="rId1904" xr:uid="{8EC5E1FD-33BA-4AD2-9003-3E6A09912046}"/>
    <hyperlink ref="CD57" r:id="rId1905" xr:uid="{B90DE19C-6882-43E2-A479-9CAF1A6D5376}"/>
    <hyperlink ref="CB57" r:id="rId1906" xr:uid="{A09053F3-6593-4668-A438-CE6E22D351ED}"/>
    <hyperlink ref="BZ57" r:id="rId1907" xr:uid="{6E8A59A5-C5CF-447D-9EF0-8C056798854E}"/>
    <hyperlink ref="BW57" r:id="rId1908" xr:uid="{B8091DC8-4AFF-464B-8612-768C9FEFA214}"/>
    <hyperlink ref="CD382" r:id="rId1909" xr:uid="{C1701A99-8286-46E7-BF67-310FFEF66EE4}"/>
    <hyperlink ref="BZ382" r:id="rId1910" xr:uid="{47AEFC67-14A9-460C-8A13-50DD2926276B}"/>
    <hyperlink ref="BW382" r:id="rId1911" xr:uid="{2AA1217D-0EB1-4E40-A619-788A2D649284}"/>
  </hyperlinks>
  <pageMargins left="0.7" right="0.7" top="0.75" bottom="0.75" header="0.3" footer="0.3"/>
  <pageSetup paperSize="9" orientation="portrait" r:id="rId1912"/>
  <drawing r:id="rId1913"/>
  <extLst>
    <ext xmlns:x14="http://schemas.microsoft.com/office/spreadsheetml/2009/9/main" uri="{CCE6A557-97BC-4b89-ADB6-D9C93CAAB3DF}">
      <x14:dataValidations xmlns:xm="http://schemas.microsoft.com/office/excel/2006/main" count="1">
        <x14:dataValidation type="list" allowBlank="1" showInputMessage="1" showErrorMessage="1" xr:uid="{CFAEE916-DB66-41C6-8FC0-0503858106EA}">
          <x14:formula1>
            <xm:f>Lists!$F$6:$F$137</xm:f>
          </x14:formula1>
          <xm:sqref>J7 J9:J13 J15:J16 J18 J20:J21 J23:J25 J27 J29:J30 J32:J36 J41:J43 J45:J46 J48:J49 J51:J55 J57 J59:J61 J63 J65:J67 J69:J76 J79:J82 J86:J87 J92:J96 J98 J101 J103:J104 J107:J111 J113:J120 J125:J128 J130:J133 J137 J142:J145 J147:J149 J151:J152 J154 J156 J165 J167 J169:J174 J177 J180 J182:J184 J188 J190:J191 J193 J196:J198 J200 J206 J210:J211 J215:J217 J219 J221:J224 J226:J229 J231:J232 J234:J235 J241 J243:J245 J248:J249 J252 J255:J257 J259 J263 J265 J267 J269 J271:J272 J274 J276 J278 J280 J469:J470 J293:J295 J297:J300 J302:J303 J305:J306 J308 J310 J312:J313 J317 J321 J325 J334:J338 J341 J345 J347:J348 J350 J352 J354 J356 J359:J360 J362:J363 J367 J370 J372:J374 J377:J379 J382 J384:J387 J389:J390 J392:J394 J396:J397 J399 J409 J412 J414 J418:J428 J430:J432 J435:J436 J440:J441 J444:J445 J448 J452:J453 J455 J460:J461 J463 J283:J286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0B717-BBC0-47E3-BBAE-904CB20AC90B}">
  <dimension ref="A1:B77"/>
  <sheetViews>
    <sheetView workbookViewId="0">
      <selection activeCell="I161" sqref="I161"/>
    </sheetView>
  </sheetViews>
  <sheetFormatPr defaultRowHeight="14.5"/>
  <cols>
    <col min="1" max="1" width="36.81640625" customWidth="1"/>
    <col min="6" max="6" width="9.1796875" customWidth="1"/>
  </cols>
  <sheetData>
    <row r="1" spans="1:2">
      <c r="A1" s="55" t="s">
        <v>2478</v>
      </c>
      <c r="B1" t="s">
        <v>3117</v>
      </c>
    </row>
    <row r="2" spans="1:2">
      <c r="A2" s="4" t="s">
        <v>1411</v>
      </c>
      <c r="B2" s="22" t="s">
        <v>3117</v>
      </c>
    </row>
    <row r="3" spans="1:2">
      <c r="A3" s="55" t="s">
        <v>1407</v>
      </c>
      <c r="B3" s="22" t="s">
        <v>3117</v>
      </c>
    </row>
    <row r="4" spans="1:2">
      <c r="A4" s="4" t="s">
        <v>2309</v>
      </c>
      <c r="B4" s="22" t="s">
        <v>3117</v>
      </c>
    </row>
    <row r="5" spans="1:2">
      <c r="A5" s="4" t="s">
        <v>96</v>
      </c>
      <c r="B5" s="22" t="s">
        <v>3117</v>
      </c>
    </row>
    <row r="6" spans="1:2">
      <c r="A6" s="4" t="s">
        <v>3059</v>
      </c>
      <c r="B6" s="22" t="s">
        <v>3117</v>
      </c>
    </row>
    <row r="7" spans="1:2">
      <c r="A7" s="4" t="s">
        <v>3029</v>
      </c>
      <c r="B7" s="22" t="s">
        <v>3117</v>
      </c>
    </row>
    <row r="8" spans="1:2">
      <c r="A8" s="4" t="s">
        <v>290</v>
      </c>
      <c r="B8" s="22" t="s">
        <v>3117</v>
      </c>
    </row>
    <row r="9" spans="1:2">
      <c r="A9" s="4" t="s">
        <v>1120</v>
      </c>
      <c r="B9" s="22" t="s">
        <v>3117</v>
      </c>
    </row>
    <row r="10" spans="1:2">
      <c r="A10" s="4" t="s">
        <v>519</v>
      </c>
      <c r="B10" s="22" t="s">
        <v>3117</v>
      </c>
    </row>
    <row r="11" spans="1:2">
      <c r="A11" s="4" t="s">
        <v>544</v>
      </c>
      <c r="B11" s="22" t="s">
        <v>3117</v>
      </c>
    </row>
    <row r="12" spans="1:2">
      <c r="A12" s="4" t="s">
        <v>1544</v>
      </c>
      <c r="B12" s="22" t="s">
        <v>3117</v>
      </c>
    </row>
    <row r="13" spans="1:2">
      <c r="A13" s="4" t="s">
        <v>185</v>
      </c>
      <c r="B13" s="22" t="s">
        <v>3117</v>
      </c>
    </row>
    <row r="14" spans="1:2">
      <c r="A14" s="4" t="s">
        <v>1652</v>
      </c>
      <c r="B14" s="22" t="s">
        <v>3117</v>
      </c>
    </row>
    <row r="15" spans="1:2">
      <c r="A15" s="4" t="s">
        <v>1171</v>
      </c>
      <c r="B15" s="22" t="s">
        <v>3117</v>
      </c>
    </row>
    <row r="16" spans="1:2">
      <c r="A16" s="4" t="s">
        <v>228</v>
      </c>
      <c r="B16" s="22" t="s">
        <v>3117</v>
      </c>
    </row>
    <row r="17" spans="1:2">
      <c r="A17" s="4" t="s">
        <v>628</v>
      </c>
      <c r="B17" s="22" t="s">
        <v>3117</v>
      </c>
    </row>
    <row r="18" spans="1:2">
      <c r="A18" s="4" t="s">
        <v>473</v>
      </c>
      <c r="B18" s="22" t="s">
        <v>3117</v>
      </c>
    </row>
    <row r="19" spans="1:2">
      <c r="A19" s="4" t="s">
        <v>3095</v>
      </c>
      <c r="B19" s="22" t="s">
        <v>3117</v>
      </c>
    </row>
    <row r="20" spans="1:2">
      <c r="A20" s="4" t="s">
        <v>2849</v>
      </c>
      <c r="B20" s="22" t="s">
        <v>3117</v>
      </c>
    </row>
    <row r="21" spans="1:2">
      <c r="A21" s="4" t="s">
        <v>251</v>
      </c>
      <c r="B21" s="22" t="s">
        <v>3117</v>
      </c>
    </row>
    <row r="22" spans="1:2">
      <c r="A22" s="4" t="s">
        <v>770</v>
      </c>
      <c r="B22" s="22" t="s">
        <v>3117</v>
      </c>
    </row>
    <row r="23" spans="1:2">
      <c r="A23" s="4" t="s">
        <v>26</v>
      </c>
      <c r="B23" s="22" t="s">
        <v>3117</v>
      </c>
    </row>
    <row r="24" spans="1:2">
      <c r="A24" s="4" t="s">
        <v>2359</v>
      </c>
      <c r="B24" s="22" t="s">
        <v>3117</v>
      </c>
    </row>
    <row r="25" spans="1:2">
      <c r="A25" s="4" t="s">
        <v>452</v>
      </c>
      <c r="B25" s="22" t="s">
        <v>3117</v>
      </c>
    </row>
    <row r="26" spans="1:2">
      <c r="A26" s="4" t="s">
        <v>2185</v>
      </c>
      <c r="B26" s="22" t="s">
        <v>3117</v>
      </c>
    </row>
    <row r="27" spans="1:2">
      <c r="A27" s="4" t="s">
        <v>2246</v>
      </c>
      <c r="B27" s="22" t="s">
        <v>3117</v>
      </c>
    </row>
    <row r="28" spans="1:2">
      <c r="A28" s="4" t="s">
        <v>1265</v>
      </c>
      <c r="B28" s="22" t="s">
        <v>3117</v>
      </c>
    </row>
    <row r="29" spans="1:2">
      <c r="A29" s="4" t="s">
        <v>432</v>
      </c>
      <c r="B29" s="22" t="s">
        <v>3117</v>
      </c>
    </row>
    <row r="30" spans="1:2">
      <c r="A30" s="4" t="s">
        <v>485</v>
      </c>
      <c r="B30" s="22" t="s">
        <v>3117</v>
      </c>
    </row>
    <row r="31" spans="1:2">
      <c r="A31" s="4" t="s">
        <v>2668</v>
      </c>
      <c r="B31" s="22" t="s">
        <v>3117</v>
      </c>
    </row>
    <row r="32" spans="1:2">
      <c r="A32" s="4" t="s">
        <v>2758</v>
      </c>
      <c r="B32" s="22" t="s">
        <v>3117</v>
      </c>
    </row>
    <row r="33" spans="1:2">
      <c r="A33" s="4" t="s">
        <v>1137</v>
      </c>
      <c r="B33" s="22" t="s">
        <v>3117</v>
      </c>
    </row>
    <row r="34" spans="1:2">
      <c r="A34" s="4" t="s">
        <v>1748</v>
      </c>
      <c r="B34" s="22" t="s">
        <v>3117</v>
      </c>
    </row>
    <row r="35" spans="1:2">
      <c r="A35" s="4" t="s">
        <v>411</v>
      </c>
      <c r="B35" s="22" t="s">
        <v>3117</v>
      </c>
    </row>
    <row r="36" spans="1:2">
      <c r="A36" s="4" t="s">
        <v>266</v>
      </c>
      <c r="B36" s="22" t="s">
        <v>3117</v>
      </c>
    </row>
    <row r="37" spans="1:2">
      <c r="A37" s="4" t="s">
        <v>303</v>
      </c>
      <c r="B37" s="22" t="s">
        <v>3117</v>
      </c>
    </row>
    <row r="38" spans="1:2">
      <c r="A38" s="4" t="s">
        <v>74</v>
      </c>
      <c r="B38" s="22" t="s">
        <v>3117</v>
      </c>
    </row>
    <row r="39" spans="1:2">
      <c r="A39" s="4" t="s">
        <v>419</v>
      </c>
      <c r="B39" s="22" t="s">
        <v>3117</v>
      </c>
    </row>
    <row r="40" spans="1:2">
      <c r="A40" s="4" t="s">
        <v>458</v>
      </c>
      <c r="B40" s="22" t="s">
        <v>3117</v>
      </c>
    </row>
    <row r="41" spans="1:2">
      <c r="A41" s="4" t="s">
        <v>493</v>
      </c>
      <c r="B41" s="22" t="s">
        <v>3117</v>
      </c>
    </row>
    <row r="42" spans="1:2">
      <c r="A42" s="4" t="s">
        <v>1895</v>
      </c>
      <c r="B42" s="22" t="s">
        <v>3117</v>
      </c>
    </row>
    <row r="43" spans="1:2">
      <c r="A43" s="4" t="s">
        <v>743</v>
      </c>
      <c r="B43" s="22" t="s">
        <v>3117</v>
      </c>
    </row>
    <row r="44" spans="1:2">
      <c r="A44" s="4" t="s">
        <v>2040</v>
      </c>
      <c r="B44" s="22" t="s">
        <v>3117</v>
      </c>
    </row>
    <row r="45" spans="1:2">
      <c r="A45" s="4" t="s">
        <v>2612</v>
      </c>
      <c r="B45" s="22" t="s">
        <v>3117</v>
      </c>
    </row>
    <row r="46" spans="1:2">
      <c r="A46" s="4" t="s">
        <v>2686</v>
      </c>
      <c r="B46" s="22" t="s">
        <v>3117</v>
      </c>
    </row>
    <row r="47" spans="1:2">
      <c r="A47" s="4" t="s">
        <v>2966</v>
      </c>
      <c r="B47" s="22" t="s">
        <v>3117</v>
      </c>
    </row>
    <row r="48" spans="1:2">
      <c r="A48" s="4" t="s">
        <v>2226</v>
      </c>
      <c r="B48" s="22" t="s">
        <v>3117</v>
      </c>
    </row>
    <row r="49" spans="1:2">
      <c r="A49" s="4" t="s">
        <v>1939</v>
      </c>
      <c r="B49" s="22" t="s">
        <v>3117</v>
      </c>
    </row>
    <row r="50" spans="1:2">
      <c r="A50" s="4" t="s">
        <v>2135</v>
      </c>
      <c r="B50" s="22" t="s">
        <v>3117</v>
      </c>
    </row>
    <row r="51" spans="1:2">
      <c r="A51" s="4" t="s">
        <v>345</v>
      </c>
      <c r="B51" s="22" t="s">
        <v>3117</v>
      </c>
    </row>
    <row r="52" spans="1:2">
      <c r="A52" s="4" t="s">
        <v>1330</v>
      </c>
      <c r="B52" s="22" t="s">
        <v>3117</v>
      </c>
    </row>
    <row r="53" spans="1:2">
      <c r="A53" s="4" t="s">
        <v>1946</v>
      </c>
      <c r="B53" s="22" t="s">
        <v>3117</v>
      </c>
    </row>
    <row r="54" spans="1:2">
      <c r="A54" s="4" t="s">
        <v>385</v>
      </c>
      <c r="B54" s="22" t="s">
        <v>3117</v>
      </c>
    </row>
    <row r="55" spans="1:2">
      <c r="A55" s="4" t="s">
        <v>1470</v>
      </c>
      <c r="B55" s="22" t="s">
        <v>3117</v>
      </c>
    </row>
    <row r="56" spans="1:2">
      <c r="A56" s="4" t="s">
        <v>1424</v>
      </c>
      <c r="B56" s="22" t="s">
        <v>3117</v>
      </c>
    </row>
    <row r="57" spans="1:2">
      <c r="A57" s="4" t="s">
        <v>2625</v>
      </c>
      <c r="B57" s="22" t="s">
        <v>3117</v>
      </c>
    </row>
    <row r="58" spans="1:2">
      <c r="A58" s="4" t="s">
        <v>2723</v>
      </c>
      <c r="B58" s="22" t="s">
        <v>3117</v>
      </c>
    </row>
    <row r="59" spans="1:2">
      <c r="A59" s="4" t="s">
        <v>2651</v>
      </c>
      <c r="B59" s="22" t="s">
        <v>3117</v>
      </c>
    </row>
    <row r="60" spans="1:2">
      <c r="A60" s="4" t="s">
        <v>1115</v>
      </c>
      <c r="B60" s="22" t="s">
        <v>3117</v>
      </c>
    </row>
    <row r="61" spans="1:2">
      <c r="A61" s="4" t="s">
        <v>1868</v>
      </c>
      <c r="B61" s="22" t="s">
        <v>3117</v>
      </c>
    </row>
    <row r="62" spans="1:2">
      <c r="A62" s="4" t="s">
        <v>2936</v>
      </c>
      <c r="B62" s="22" t="s">
        <v>3117</v>
      </c>
    </row>
    <row r="63" spans="1:2">
      <c r="A63" s="4" t="s">
        <v>615</v>
      </c>
      <c r="B63" s="22" t="s">
        <v>3117</v>
      </c>
    </row>
    <row r="64" spans="1:2">
      <c r="A64" s="4" t="s">
        <v>641</v>
      </c>
      <c r="B64" s="22" t="s">
        <v>3117</v>
      </c>
    </row>
    <row r="65" spans="1:2">
      <c r="A65" s="4" t="s">
        <v>2341</v>
      </c>
      <c r="B65" s="22" t="s">
        <v>3117</v>
      </c>
    </row>
    <row r="66" spans="1:2">
      <c r="A66" s="4" t="s">
        <v>404</v>
      </c>
      <c r="B66" s="22" t="s">
        <v>3117</v>
      </c>
    </row>
    <row r="67" spans="1:2">
      <c r="A67" s="4" t="s">
        <v>856</v>
      </c>
      <c r="B67" s="22" t="s">
        <v>3117</v>
      </c>
    </row>
    <row r="68" spans="1:2">
      <c r="A68" s="4" t="s">
        <v>203</v>
      </c>
      <c r="B68" s="22" t="s">
        <v>3117</v>
      </c>
    </row>
    <row r="69" spans="1:2">
      <c r="A69" s="4" t="s">
        <v>398</v>
      </c>
      <c r="B69" s="22" t="s">
        <v>3117</v>
      </c>
    </row>
    <row r="70" spans="1:2">
      <c r="A70" s="4" t="s">
        <v>378</v>
      </c>
      <c r="B70" s="22" t="s">
        <v>3117</v>
      </c>
    </row>
    <row r="71" spans="1:2">
      <c r="A71" s="4" t="s">
        <v>1705</v>
      </c>
      <c r="B71" s="22" t="s">
        <v>3117</v>
      </c>
    </row>
    <row r="72" spans="1:2">
      <c r="A72" s="4" t="s">
        <v>110</v>
      </c>
      <c r="B72" s="22" t="s">
        <v>3117</v>
      </c>
    </row>
    <row r="73" spans="1:2">
      <c r="A73" s="4" t="s">
        <v>1672</v>
      </c>
      <c r="B73" s="22" t="s">
        <v>3117</v>
      </c>
    </row>
    <row r="74" spans="1:2">
      <c r="A74" s="4" t="s">
        <v>2377</v>
      </c>
      <c r="B74" s="22" t="s">
        <v>3117</v>
      </c>
    </row>
    <row r="75" spans="1:2">
      <c r="A75" s="4" t="s">
        <v>1476</v>
      </c>
      <c r="B75" s="22" t="s">
        <v>3117</v>
      </c>
    </row>
    <row r="76" spans="1:2">
      <c r="A76" s="4" t="s">
        <v>2472</v>
      </c>
      <c r="B76" s="22" t="s">
        <v>3117</v>
      </c>
    </row>
    <row r="77" spans="1:2">
      <c r="A77" s="4" t="s">
        <v>2597</v>
      </c>
      <c r="B77" s="22" t="s">
        <v>3117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CE556"/>
  <sheetViews>
    <sheetView showGridLines="0" topLeftCell="V1" workbookViewId="0">
      <selection activeCell="I161" sqref="I161"/>
    </sheetView>
  </sheetViews>
  <sheetFormatPr defaultRowHeight="14.5"/>
  <cols>
    <col min="1" max="1" width="9.1796875" style="20"/>
    <col min="2" max="2" width="23.7265625" style="20" customWidth="1"/>
    <col min="3" max="3" width="13.54296875" style="20" customWidth="1"/>
    <col min="4" max="4" width="34.81640625" style="20" customWidth="1"/>
    <col min="5" max="5" width="12.1796875" style="20" customWidth="1"/>
    <col min="6" max="6" width="21.26953125" customWidth="1"/>
    <col min="7" max="7" width="29.54296875" customWidth="1"/>
    <col min="8" max="8" width="20.26953125" customWidth="1"/>
    <col min="9" max="9" width="9.1796875" customWidth="1"/>
    <col min="10" max="10" width="19.453125" customWidth="1"/>
    <col min="11" max="11" width="18.26953125" customWidth="1"/>
    <col min="12" max="12" width="20.26953125" customWidth="1"/>
    <col min="13" max="13" width="26.54296875" customWidth="1"/>
    <col min="14" max="14" width="13.1796875" customWidth="1"/>
    <col min="15" max="15" width="15.1796875" customWidth="1"/>
    <col min="16" max="16" width="19.26953125" customWidth="1"/>
    <col min="17" max="17" width="21.26953125" customWidth="1"/>
    <col min="18" max="18" width="26.453125" customWidth="1"/>
    <col min="19" max="19" width="25.453125" customWidth="1"/>
    <col min="20" max="21" width="36.453125" customWidth="1"/>
    <col min="22" max="23" width="55" customWidth="1"/>
    <col min="24" max="24" width="51.54296875" customWidth="1"/>
    <col min="25" max="25" width="31.26953125" customWidth="1"/>
    <col min="26" max="26" width="55" customWidth="1"/>
    <col min="27" max="27" width="55" style="20" customWidth="1"/>
    <col min="28" max="28" width="44.7265625" customWidth="1"/>
    <col min="29" max="29" width="34" customWidth="1"/>
    <col min="30" max="30" width="21.26953125" customWidth="1"/>
    <col min="31" max="31" width="55" customWidth="1"/>
    <col min="32" max="32" width="37" customWidth="1"/>
    <col min="33" max="33" width="55" customWidth="1"/>
    <col min="34" max="34" width="47.1796875" customWidth="1"/>
    <col min="35" max="35" width="20.453125" customWidth="1"/>
    <col min="36" max="36" width="20.1796875" customWidth="1"/>
    <col min="37" max="37" width="15.1796875" customWidth="1"/>
    <col min="38" max="38" width="18.1796875" customWidth="1"/>
    <col min="39" max="39" width="38.54296875" customWidth="1"/>
    <col min="40" max="40" width="32.453125" customWidth="1"/>
    <col min="41" max="41" width="21" customWidth="1"/>
    <col min="42" max="42" width="11.1796875" customWidth="1"/>
    <col min="43" max="43" width="24" customWidth="1"/>
    <col min="44" max="44" width="13.1796875" customWidth="1"/>
    <col min="45" max="45" width="21.453125" customWidth="1"/>
    <col min="46" max="46" width="20.1796875" customWidth="1"/>
    <col min="48" max="49" width="12.1796875" customWidth="1"/>
    <col min="50" max="50" width="16.7265625" customWidth="1"/>
    <col min="51" max="51" width="20.7265625" customWidth="1"/>
    <col min="52" max="52" width="27.81640625" customWidth="1"/>
    <col min="53" max="53" width="24.81640625" customWidth="1"/>
    <col min="54" max="54" width="13.1796875" customWidth="1"/>
    <col min="55" max="55" width="15.1796875" customWidth="1"/>
    <col min="56" max="56" width="17" customWidth="1"/>
    <col min="61" max="61" width="55" customWidth="1"/>
    <col min="62" max="62" width="14.1796875" customWidth="1"/>
    <col min="63" max="63" width="27.453125" customWidth="1"/>
    <col min="64" max="64" width="55" customWidth="1"/>
    <col min="65" max="65" width="35" customWidth="1"/>
    <col min="66" max="68" width="55" customWidth="1"/>
    <col min="69" max="69" width="12.1796875" customWidth="1"/>
    <col min="70" max="70" width="23.54296875" customWidth="1"/>
    <col min="71" max="71" width="23.26953125" customWidth="1"/>
    <col min="72" max="72" width="20" customWidth="1"/>
    <col min="73" max="73" width="19.7265625" customWidth="1"/>
    <col min="74" max="74" width="22.453125" customWidth="1"/>
    <col min="75" max="75" width="22.1796875" customWidth="1"/>
    <col min="76" max="76" width="20.26953125" customWidth="1"/>
    <col min="77" max="77" width="26.26953125" customWidth="1"/>
    <col min="78" max="78" width="18" customWidth="1"/>
    <col min="79" max="79" width="16.1796875" customWidth="1"/>
    <col min="80" max="80" width="22.1796875" customWidth="1"/>
    <col min="81" max="82" width="23.1796875" customWidth="1"/>
    <col min="83" max="83" width="23.26953125" customWidth="1"/>
  </cols>
  <sheetData>
    <row r="1" spans="1:83" ht="20.149999999999999" customHeight="1">
      <c r="A1" s="257" t="s">
        <v>3</v>
      </c>
      <c r="B1" s="257"/>
      <c r="C1" s="257"/>
      <c r="D1" s="257"/>
      <c r="E1" s="257"/>
    </row>
    <row r="2" spans="1:83">
      <c r="A2" s="258" t="s">
        <v>4925</v>
      </c>
      <c r="B2" s="258"/>
      <c r="C2" s="258"/>
      <c r="D2" s="258"/>
      <c r="E2" s="258"/>
    </row>
    <row r="3" spans="1:83">
      <c r="A3" s="259" t="s">
        <v>5</v>
      </c>
      <c r="B3" s="259"/>
      <c r="C3" s="259"/>
      <c r="D3" s="259"/>
      <c r="E3" s="259"/>
    </row>
    <row r="4" spans="1:83">
      <c r="A4" s="259" t="s">
        <v>4</v>
      </c>
      <c r="B4" s="259"/>
      <c r="C4" s="259"/>
      <c r="D4" s="259"/>
      <c r="E4" s="259"/>
    </row>
    <row r="6" spans="1:83" ht="26.15" customHeight="1">
      <c r="A6" s="12" t="s">
        <v>6</v>
      </c>
      <c r="B6" s="12" t="s">
        <v>10</v>
      </c>
      <c r="C6" s="12" t="s">
        <v>11</v>
      </c>
      <c r="D6" s="12" t="s">
        <v>18</v>
      </c>
      <c r="E6" s="12" t="s">
        <v>15</v>
      </c>
      <c r="F6" s="12" t="s">
        <v>4926</v>
      </c>
      <c r="G6" s="12" t="s">
        <v>4927</v>
      </c>
      <c r="H6" s="12" t="s">
        <v>2</v>
      </c>
      <c r="I6" s="12" t="s">
        <v>4928</v>
      </c>
      <c r="J6" s="12" t="s">
        <v>17</v>
      </c>
      <c r="K6" s="12" t="s">
        <v>4929</v>
      </c>
      <c r="L6" s="12" t="s">
        <v>4930</v>
      </c>
      <c r="M6" s="12" t="s">
        <v>4931</v>
      </c>
      <c r="N6" s="12" t="s">
        <v>4932</v>
      </c>
      <c r="O6" s="12" t="s">
        <v>4933</v>
      </c>
      <c r="P6" s="12" t="s">
        <v>4934</v>
      </c>
      <c r="Q6" s="12" t="s">
        <v>4935</v>
      </c>
      <c r="R6" s="12" t="s">
        <v>4936</v>
      </c>
      <c r="S6" s="12" t="s">
        <v>4937</v>
      </c>
      <c r="T6" s="12" t="s">
        <v>4938</v>
      </c>
      <c r="U6" s="12" t="s">
        <v>4939</v>
      </c>
      <c r="V6" s="12" t="s">
        <v>19</v>
      </c>
      <c r="W6" s="12"/>
      <c r="X6" s="12" t="s">
        <v>12</v>
      </c>
      <c r="Y6" s="12" t="s">
        <v>13</v>
      </c>
      <c r="Z6" s="12" t="s">
        <v>4940</v>
      </c>
      <c r="AA6" s="12"/>
      <c r="AB6" s="12" t="s">
        <v>4941</v>
      </c>
      <c r="AC6" s="12" t="s">
        <v>4942</v>
      </c>
      <c r="AD6" s="12" t="s">
        <v>4943</v>
      </c>
      <c r="AE6" s="12" t="s">
        <v>4944</v>
      </c>
      <c r="AF6" s="12" t="s">
        <v>4945</v>
      </c>
      <c r="AG6" s="12" t="s">
        <v>4946</v>
      </c>
      <c r="AH6" s="12" t="s">
        <v>4947</v>
      </c>
      <c r="AI6" s="12" t="s">
        <v>4948</v>
      </c>
      <c r="AJ6" s="12" t="s">
        <v>4949</v>
      </c>
      <c r="AK6" s="12" t="s">
        <v>4950</v>
      </c>
      <c r="AL6" s="12" t="s">
        <v>4951</v>
      </c>
      <c r="AM6" s="12" t="s">
        <v>4952</v>
      </c>
      <c r="AN6" s="12" t="s">
        <v>4953</v>
      </c>
      <c r="AO6" s="12" t="s">
        <v>4954</v>
      </c>
      <c r="AP6" s="12" t="s">
        <v>4955</v>
      </c>
      <c r="AQ6" s="12" t="s">
        <v>4956</v>
      </c>
      <c r="AR6" s="12" t="s">
        <v>4957</v>
      </c>
      <c r="AS6" s="12" t="s">
        <v>4958</v>
      </c>
      <c r="AT6" s="12" t="s">
        <v>4959</v>
      </c>
      <c r="AU6" s="12" t="s">
        <v>4960</v>
      </c>
      <c r="AV6" s="12" t="s">
        <v>4961</v>
      </c>
      <c r="AW6" s="12" t="s">
        <v>4962</v>
      </c>
      <c r="AX6" s="12" t="s">
        <v>4963</v>
      </c>
      <c r="AY6" s="12" t="s">
        <v>4964</v>
      </c>
      <c r="AZ6" s="12" t="s">
        <v>4965</v>
      </c>
      <c r="BA6" s="12" t="s">
        <v>4966</v>
      </c>
      <c r="BB6" s="12" t="s">
        <v>4967</v>
      </c>
      <c r="BC6" s="12" t="s">
        <v>4968</v>
      </c>
      <c r="BD6" s="12" t="s">
        <v>4969</v>
      </c>
      <c r="BE6" s="12" t="s">
        <v>4970</v>
      </c>
      <c r="BF6" s="12"/>
      <c r="BG6" s="12"/>
      <c r="BH6" s="12"/>
      <c r="BI6" s="12" t="s">
        <v>4971</v>
      </c>
      <c r="BJ6" s="12" t="s">
        <v>4972</v>
      </c>
      <c r="BK6" s="12" t="s">
        <v>4973</v>
      </c>
      <c r="BL6" s="12" t="s">
        <v>4974</v>
      </c>
      <c r="BM6" s="12" t="s">
        <v>4975</v>
      </c>
      <c r="BN6" s="12" t="s">
        <v>4337</v>
      </c>
      <c r="BO6" s="12" t="s">
        <v>4976</v>
      </c>
      <c r="BP6" s="12" t="s">
        <v>4977</v>
      </c>
      <c r="BQ6" s="12" t="s">
        <v>4978</v>
      </c>
      <c r="BR6" s="12" t="s">
        <v>4979</v>
      </c>
      <c r="BS6" s="12" t="s">
        <v>4980</v>
      </c>
      <c r="BT6" s="12" t="s">
        <v>4981</v>
      </c>
      <c r="BU6" s="12" t="s">
        <v>4982</v>
      </c>
      <c r="BV6" s="12" t="s">
        <v>4983</v>
      </c>
      <c r="BW6" s="12" t="s">
        <v>4984</v>
      </c>
      <c r="BX6" s="12" t="s">
        <v>4985</v>
      </c>
      <c r="BY6" s="12" t="s">
        <v>4986</v>
      </c>
      <c r="BZ6" s="12" t="s">
        <v>4987</v>
      </c>
      <c r="CA6" s="12" t="s">
        <v>4988</v>
      </c>
      <c r="CB6" s="12" t="s">
        <v>4989</v>
      </c>
      <c r="CC6" s="12" t="s">
        <v>4990</v>
      </c>
      <c r="CD6" s="12" t="s">
        <v>4991</v>
      </c>
      <c r="CE6" s="12" t="s">
        <v>4992</v>
      </c>
    </row>
    <row r="7" spans="1:83" ht="26.15" customHeight="1">
      <c r="A7" s="13">
        <v>1</v>
      </c>
      <c r="B7" s="14" t="s">
        <v>273</v>
      </c>
      <c r="C7" s="14" t="s">
        <v>274</v>
      </c>
      <c r="D7" s="14" t="s">
        <v>279</v>
      </c>
      <c r="E7" s="13">
        <v>2019</v>
      </c>
      <c r="F7" s="14" t="s">
        <v>4993</v>
      </c>
      <c r="G7" s="14" t="s">
        <v>4994</v>
      </c>
      <c r="H7" s="14" t="s">
        <v>2057</v>
      </c>
      <c r="I7" s="15" t="s">
        <v>3117</v>
      </c>
      <c r="J7" s="16"/>
      <c r="K7" s="17">
        <v>44018</v>
      </c>
      <c r="L7" s="16"/>
      <c r="M7" s="16" t="s">
        <v>50</v>
      </c>
      <c r="N7" s="14" t="s">
        <v>34</v>
      </c>
      <c r="O7" s="13">
        <v>3</v>
      </c>
      <c r="P7" s="17">
        <v>44021</v>
      </c>
      <c r="Q7" s="14"/>
      <c r="R7" s="17"/>
      <c r="S7" s="17"/>
      <c r="T7" s="14" t="s">
        <v>4995</v>
      </c>
      <c r="U7" s="14" t="s">
        <v>4996</v>
      </c>
      <c r="V7" s="14" t="s">
        <v>4997</v>
      </c>
      <c r="W7" s="14"/>
      <c r="X7" s="14" t="s">
        <v>277</v>
      </c>
      <c r="Y7" s="14" t="s">
        <v>276</v>
      </c>
      <c r="Z7" s="14" t="s">
        <v>4998</v>
      </c>
      <c r="AA7" s="14"/>
      <c r="AB7" s="14" t="s">
        <v>2057</v>
      </c>
      <c r="AC7" s="14"/>
      <c r="AD7" s="14" t="s">
        <v>4999</v>
      </c>
      <c r="AE7" s="14"/>
      <c r="AF7" s="14"/>
      <c r="AG7" s="14"/>
      <c r="AH7" s="18"/>
      <c r="AI7" s="16"/>
      <c r="AJ7" s="17"/>
      <c r="AK7" s="15" t="s">
        <v>3123</v>
      </c>
      <c r="AL7" s="17"/>
      <c r="AM7" s="16"/>
      <c r="AN7" s="14"/>
      <c r="AO7" s="14"/>
      <c r="AP7" s="15" t="s">
        <v>3123</v>
      </c>
      <c r="AQ7" s="14"/>
      <c r="AR7" s="17"/>
      <c r="AS7" s="16"/>
      <c r="AT7" s="14"/>
      <c r="AU7" s="15" t="s">
        <v>3123</v>
      </c>
      <c r="AV7" s="14"/>
      <c r="AW7" s="17"/>
      <c r="AX7" s="16"/>
      <c r="AY7" s="16"/>
      <c r="AZ7" s="16"/>
      <c r="BA7" s="16"/>
      <c r="BB7" s="15" t="s">
        <v>3123</v>
      </c>
      <c r="BC7" s="17"/>
      <c r="BD7" s="14"/>
      <c r="BE7" s="14"/>
      <c r="BF7" s="16"/>
      <c r="BG7" s="16"/>
      <c r="BH7" s="13"/>
      <c r="BI7" s="18" t="s">
        <v>5000</v>
      </c>
      <c r="BJ7" s="13">
        <v>200</v>
      </c>
      <c r="BK7" s="17">
        <v>44131</v>
      </c>
      <c r="BL7" s="18"/>
      <c r="BM7" s="18"/>
      <c r="BN7" s="18"/>
      <c r="BO7" s="18"/>
      <c r="BP7" s="14" t="s">
        <v>5001</v>
      </c>
      <c r="BQ7" s="17">
        <v>44019</v>
      </c>
      <c r="BR7" s="16"/>
      <c r="BS7" s="17"/>
      <c r="BT7" s="16"/>
      <c r="BU7" s="17"/>
      <c r="BV7" s="16"/>
      <c r="BW7" s="17"/>
      <c r="BX7" s="16"/>
      <c r="BY7" s="17"/>
      <c r="BZ7" s="19">
        <v>13.535913613756087</v>
      </c>
      <c r="CA7" s="19"/>
      <c r="CB7" s="17"/>
      <c r="CC7" s="14" t="s">
        <v>5002</v>
      </c>
      <c r="CD7" s="14" t="s">
        <v>5003</v>
      </c>
      <c r="CE7" s="14" t="s">
        <v>5004</v>
      </c>
    </row>
    <row r="8" spans="1:83" ht="26.15" customHeight="1">
      <c r="A8" s="13">
        <v>2</v>
      </c>
      <c r="B8" s="14" t="s">
        <v>51</v>
      </c>
      <c r="C8" s="14" t="s">
        <v>52</v>
      </c>
      <c r="D8" s="14" t="s">
        <v>57</v>
      </c>
      <c r="E8" s="13">
        <v>2019</v>
      </c>
      <c r="F8" s="14" t="s">
        <v>5005</v>
      </c>
      <c r="G8" s="14" t="s">
        <v>5006</v>
      </c>
      <c r="H8" s="14" t="s">
        <v>3994</v>
      </c>
      <c r="I8" s="15" t="s">
        <v>3117</v>
      </c>
      <c r="J8" s="16"/>
      <c r="K8" s="17">
        <v>44132</v>
      </c>
      <c r="L8" s="16"/>
      <c r="M8" s="16" t="s">
        <v>50</v>
      </c>
      <c r="N8" s="14" t="s">
        <v>34</v>
      </c>
      <c r="O8" s="13">
        <v>4</v>
      </c>
      <c r="P8" s="17">
        <v>44139</v>
      </c>
      <c r="Q8" s="14"/>
      <c r="R8" s="17"/>
      <c r="S8" s="17"/>
      <c r="T8" s="14" t="s">
        <v>1</v>
      </c>
      <c r="U8" s="14" t="s">
        <v>5007</v>
      </c>
      <c r="V8" s="14" t="s">
        <v>257</v>
      </c>
      <c r="W8" s="14"/>
      <c r="X8" s="14" t="s">
        <v>55</v>
      </c>
      <c r="Y8" s="14" t="s">
        <v>54</v>
      </c>
      <c r="Z8" s="14" t="s">
        <v>5008</v>
      </c>
      <c r="AA8" s="14"/>
      <c r="AB8" s="14" t="s">
        <v>3994</v>
      </c>
      <c r="AC8" s="14" t="s">
        <v>5009</v>
      </c>
      <c r="AD8" s="14" t="s">
        <v>5010</v>
      </c>
      <c r="AE8" s="14" t="s">
        <v>5011</v>
      </c>
      <c r="AF8" s="14"/>
      <c r="AG8" s="14" t="s">
        <v>5012</v>
      </c>
      <c r="AH8" s="18"/>
      <c r="AI8" s="16"/>
      <c r="AJ8" s="17"/>
      <c r="AK8" s="15" t="s">
        <v>3123</v>
      </c>
      <c r="AL8" s="17"/>
      <c r="AM8" s="16"/>
      <c r="AN8" s="14"/>
      <c r="AO8" s="14"/>
      <c r="AP8" s="15" t="s">
        <v>3123</v>
      </c>
      <c r="AQ8" s="14"/>
      <c r="AR8" s="17"/>
      <c r="AS8" s="16"/>
      <c r="AT8" s="14"/>
      <c r="AU8" s="15" t="s">
        <v>3123</v>
      </c>
      <c r="AV8" s="14"/>
      <c r="AW8" s="17"/>
      <c r="AX8" s="16"/>
      <c r="AY8" s="16"/>
      <c r="AZ8" s="16"/>
      <c r="BA8" s="16"/>
      <c r="BB8" s="15" t="s">
        <v>3123</v>
      </c>
      <c r="BC8" s="17"/>
      <c r="BD8" s="14"/>
      <c r="BE8" s="14"/>
      <c r="BF8" s="16"/>
      <c r="BG8" s="16"/>
      <c r="BH8" s="13"/>
      <c r="BI8" s="18" t="s">
        <v>5013</v>
      </c>
      <c r="BJ8" s="13">
        <v>200</v>
      </c>
      <c r="BK8" s="17">
        <v>44129</v>
      </c>
      <c r="BL8" s="18" t="s">
        <v>5014</v>
      </c>
      <c r="BM8" s="18" t="s">
        <v>5015</v>
      </c>
      <c r="BN8" s="18" t="s">
        <v>5016</v>
      </c>
      <c r="BO8" s="18"/>
      <c r="BP8" s="14" t="s">
        <v>5017</v>
      </c>
      <c r="BQ8" s="17">
        <v>44134</v>
      </c>
      <c r="BR8" s="16"/>
      <c r="BS8" s="17"/>
      <c r="BT8" s="16"/>
      <c r="BU8" s="17"/>
      <c r="BV8" s="16"/>
      <c r="BW8" s="17"/>
      <c r="BX8" s="16"/>
      <c r="BY8" s="17"/>
      <c r="BZ8" s="19">
        <v>15.639632964964601</v>
      </c>
      <c r="CA8" s="19"/>
      <c r="CB8" s="17"/>
      <c r="CC8" s="14" t="s">
        <v>5018</v>
      </c>
      <c r="CD8" s="14" t="s">
        <v>5019</v>
      </c>
      <c r="CE8" s="14" t="s">
        <v>5004</v>
      </c>
    </row>
    <row r="9" spans="1:83" ht="26.15" customHeight="1">
      <c r="A9" s="13">
        <v>3</v>
      </c>
      <c r="B9" s="14" t="s">
        <v>116</v>
      </c>
      <c r="C9" s="14" t="s">
        <v>117</v>
      </c>
      <c r="D9" s="14" t="s">
        <v>122</v>
      </c>
      <c r="E9" s="13">
        <v>2017</v>
      </c>
      <c r="F9" s="14" t="s">
        <v>5020</v>
      </c>
      <c r="G9" s="14" t="s">
        <v>5021</v>
      </c>
      <c r="H9" s="14" t="s">
        <v>3994</v>
      </c>
      <c r="I9" s="15" t="s">
        <v>3117</v>
      </c>
      <c r="J9" s="16">
        <v>1700000</v>
      </c>
      <c r="K9" s="17">
        <v>44109</v>
      </c>
      <c r="L9" s="16" t="s">
        <v>5022</v>
      </c>
      <c r="M9" s="16">
        <v>1700000</v>
      </c>
      <c r="N9" s="14" t="s">
        <v>34</v>
      </c>
      <c r="O9" s="13">
        <v>4</v>
      </c>
      <c r="P9" s="17">
        <v>44113</v>
      </c>
      <c r="Q9" s="14"/>
      <c r="R9" s="17"/>
      <c r="S9" s="17"/>
      <c r="T9" s="14" t="s">
        <v>1</v>
      </c>
      <c r="U9" s="14" t="s">
        <v>5007</v>
      </c>
      <c r="V9" s="14" t="s">
        <v>257</v>
      </c>
      <c r="W9" s="14"/>
      <c r="X9" s="14" t="s">
        <v>5023</v>
      </c>
      <c r="Y9" s="14" t="s">
        <v>5024</v>
      </c>
      <c r="Z9" s="14" t="s">
        <v>5025</v>
      </c>
      <c r="AA9" s="14"/>
      <c r="AB9" s="14" t="s">
        <v>3994</v>
      </c>
      <c r="AC9" s="14" t="s">
        <v>5026</v>
      </c>
      <c r="AD9" s="14" t="s">
        <v>5027</v>
      </c>
      <c r="AE9" s="14" t="s">
        <v>5028</v>
      </c>
      <c r="AF9" s="14" t="s">
        <v>5029</v>
      </c>
      <c r="AG9" s="14" t="s">
        <v>5030</v>
      </c>
      <c r="AH9" s="18"/>
      <c r="AI9" s="16">
        <v>10128604.543019988</v>
      </c>
      <c r="AJ9" s="17">
        <v>43465</v>
      </c>
      <c r="AK9" s="15" t="s">
        <v>3123</v>
      </c>
      <c r="AL9" s="17"/>
      <c r="AM9" s="16"/>
      <c r="AN9" s="14"/>
      <c r="AO9" s="14"/>
      <c r="AP9" s="15" t="s">
        <v>3123</v>
      </c>
      <c r="AQ9" s="14"/>
      <c r="AR9" s="17"/>
      <c r="AS9" s="16"/>
      <c r="AT9" s="14"/>
      <c r="AU9" s="15" t="s">
        <v>3123</v>
      </c>
      <c r="AV9" s="14"/>
      <c r="AW9" s="17"/>
      <c r="AX9" s="16"/>
      <c r="AY9" s="16"/>
      <c r="AZ9" s="16"/>
      <c r="BA9" s="16"/>
      <c r="BB9" s="15" t="s">
        <v>3123</v>
      </c>
      <c r="BC9" s="17"/>
      <c r="BD9" s="14"/>
      <c r="BE9" s="14"/>
      <c r="BF9" s="16"/>
      <c r="BG9" s="16"/>
      <c r="BH9" s="13"/>
      <c r="BI9" s="18" t="s">
        <v>5031</v>
      </c>
      <c r="BJ9" s="13">
        <v>301</v>
      </c>
      <c r="BK9" s="17">
        <v>44128</v>
      </c>
      <c r="BL9" s="18" t="s">
        <v>5032</v>
      </c>
      <c r="BM9" s="18" t="s">
        <v>5033</v>
      </c>
      <c r="BN9" s="18" t="s">
        <v>5034</v>
      </c>
      <c r="BO9" s="18"/>
      <c r="BP9" s="14" t="s">
        <v>5035</v>
      </c>
      <c r="BQ9" s="17">
        <v>44110</v>
      </c>
      <c r="BR9" s="16">
        <v>61060.563157783865</v>
      </c>
      <c r="BS9" s="17">
        <v>43465</v>
      </c>
      <c r="BT9" s="16">
        <v>96084.501873939676</v>
      </c>
      <c r="BU9" s="17">
        <v>43465</v>
      </c>
      <c r="BV9" s="16"/>
      <c r="BW9" s="17"/>
      <c r="BX9" s="16"/>
      <c r="BY9" s="17"/>
      <c r="BZ9" s="19">
        <v>46.946641320252063</v>
      </c>
      <c r="CA9" s="19"/>
      <c r="CB9" s="17"/>
      <c r="CC9" s="14" t="s">
        <v>5036</v>
      </c>
      <c r="CD9" s="14" t="s">
        <v>5037</v>
      </c>
      <c r="CE9" s="14" t="s">
        <v>5004</v>
      </c>
    </row>
    <row r="10" spans="1:83" ht="26.15" customHeight="1">
      <c r="A10" s="13">
        <v>4</v>
      </c>
      <c r="B10" s="14" t="s">
        <v>1453</v>
      </c>
      <c r="C10" s="14" t="s">
        <v>1454</v>
      </c>
      <c r="D10" s="14" t="s">
        <v>1455</v>
      </c>
      <c r="E10" s="13">
        <v>2017</v>
      </c>
      <c r="F10" s="14" t="s">
        <v>5038</v>
      </c>
      <c r="G10" s="14" t="s">
        <v>5039</v>
      </c>
      <c r="H10" s="14" t="s">
        <v>3994</v>
      </c>
      <c r="I10" s="15" t="s">
        <v>3117</v>
      </c>
      <c r="J10" s="16"/>
      <c r="K10" s="17">
        <v>43354</v>
      </c>
      <c r="L10" s="16"/>
      <c r="M10" s="16" t="s">
        <v>50</v>
      </c>
      <c r="N10" s="14" t="s">
        <v>5040</v>
      </c>
      <c r="O10" s="13">
        <v>3</v>
      </c>
      <c r="P10" s="17">
        <v>44057</v>
      </c>
      <c r="Q10" s="14"/>
      <c r="R10" s="17"/>
      <c r="S10" s="17"/>
      <c r="T10" s="14" t="s">
        <v>5041</v>
      </c>
      <c r="U10" s="14" t="s">
        <v>5042</v>
      </c>
      <c r="V10" s="14" t="s">
        <v>5043</v>
      </c>
      <c r="W10" s="14"/>
      <c r="X10" s="14" t="s">
        <v>3639</v>
      </c>
      <c r="Y10" s="14"/>
      <c r="Z10" s="14" t="s">
        <v>5044</v>
      </c>
      <c r="AA10" s="14"/>
      <c r="AB10" s="14" t="s">
        <v>3994</v>
      </c>
      <c r="AC10" s="14" t="s">
        <v>5045</v>
      </c>
      <c r="AD10" s="14"/>
      <c r="AE10" s="14"/>
      <c r="AF10" s="14"/>
      <c r="AG10" s="14"/>
      <c r="AH10" s="18"/>
      <c r="AI10" s="16"/>
      <c r="AJ10" s="17"/>
      <c r="AK10" s="15" t="s">
        <v>3123</v>
      </c>
      <c r="AL10" s="17"/>
      <c r="AM10" s="16"/>
      <c r="AN10" s="14"/>
      <c r="AO10" s="14"/>
      <c r="AP10" s="15" t="s">
        <v>3123</v>
      </c>
      <c r="AQ10" s="14"/>
      <c r="AR10" s="17"/>
      <c r="AS10" s="16"/>
      <c r="AT10" s="14"/>
      <c r="AU10" s="15" t="s">
        <v>3123</v>
      </c>
      <c r="AV10" s="14"/>
      <c r="AW10" s="17"/>
      <c r="AX10" s="16"/>
      <c r="AY10" s="16"/>
      <c r="AZ10" s="16"/>
      <c r="BA10" s="16"/>
      <c r="BB10" s="15" t="s">
        <v>3123</v>
      </c>
      <c r="BC10" s="17"/>
      <c r="BD10" s="14"/>
      <c r="BE10" s="14"/>
      <c r="BF10" s="16"/>
      <c r="BG10" s="16"/>
      <c r="BH10" s="13"/>
      <c r="BI10" s="18" t="s">
        <v>5046</v>
      </c>
      <c r="BJ10" s="13">
        <v>200</v>
      </c>
      <c r="BK10" s="17">
        <v>44114</v>
      </c>
      <c r="BL10" s="18"/>
      <c r="BM10" s="18"/>
      <c r="BN10" s="18"/>
      <c r="BO10" s="18"/>
      <c r="BP10" s="14" t="s">
        <v>5047</v>
      </c>
      <c r="BQ10" s="17">
        <v>43987</v>
      </c>
      <c r="BR10" s="16"/>
      <c r="BS10" s="17"/>
      <c r="BT10" s="16"/>
      <c r="BU10" s="17"/>
      <c r="BV10" s="16"/>
      <c r="BW10" s="17"/>
      <c r="BX10" s="16"/>
      <c r="BY10" s="17"/>
      <c r="BZ10" s="19">
        <v>11.412527045455226</v>
      </c>
      <c r="CA10" s="19"/>
      <c r="CB10" s="17"/>
      <c r="CC10" s="14" t="s">
        <v>5048</v>
      </c>
      <c r="CD10" s="14" t="s">
        <v>5049</v>
      </c>
      <c r="CE10" s="14" t="s">
        <v>5004</v>
      </c>
    </row>
    <row r="11" spans="1:83" ht="26.15" hidden="1" customHeight="1">
      <c r="A11" s="13">
        <v>5</v>
      </c>
      <c r="B11" s="14" t="s">
        <v>365</v>
      </c>
      <c r="C11" s="14" t="s">
        <v>366</v>
      </c>
      <c r="D11" s="14" t="s">
        <v>370</v>
      </c>
      <c r="E11" s="13">
        <v>2017</v>
      </c>
      <c r="F11" s="14" t="s">
        <v>5050</v>
      </c>
      <c r="G11" s="14" t="s">
        <v>5050</v>
      </c>
      <c r="H11" s="14" t="s">
        <v>4343</v>
      </c>
      <c r="I11" s="15" t="s">
        <v>3117</v>
      </c>
      <c r="J11" s="16">
        <v>7000000</v>
      </c>
      <c r="K11" s="17">
        <v>43977</v>
      </c>
      <c r="L11" s="16" t="s">
        <v>5051</v>
      </c>
      <c r="M11" s="16">
        <v>7000000</v>
      </c>
      <c r="N11" s="14" t="s">
        <v>34</v>
      </c>
      <c r="O11" s="13">
        <v>4</v>
      </c>
      <c r="P11" s="17">
        <v>43983</v>
      </c>
      <c r="Q11" s="14" t="s">
        <v>5052</v>
      </c>
      <c r="R11" s="17">
        <v>43983</v>
      </c>
      <c r="S11" s="17">
        <v>43977</v>
      </c>
      <c r="T11" s="14" t="s">
        <v>1</v>
      </c>
      <c r="U11" s="14" t="s">
        <v>5007</v>
      </c>
      <c r="V11" s="14" t="s">
        <v>5053</v>
      </c>
      <c r="W11" s="14"/>
      <c r="X11" s="14" t="s">
        <v>5054</v>
      </c>
      <c r="Y11" s="14"/>
      <c r="Z11" s="14" t="s">
        <v>5055</v>
      </c>
      <c r="AA11" s="14"/>
      <c r="AB11" s="14" t="s">
        <v>4343</v>
      </c>
      <c r="AC11" s="14" t="s">
        <v>5056</v>
      </c>
      <c r="AD11" s="14"/>
      <c r="AE11" s="14" t="s">
        <v>5057</v>
      </c>
      <c r="AF11" s="14" t="s">
        <v>5058</v>
      </c>
      <c r="AG11" s="14" t="s">
        <v>5059</v>
      </c>
      <c r="AH11" s="18"/>
      <c r="AI11" s="16"/>
      <c r="AJ11" s="17"/>
      <c r="AK11" s="15" t="s">
        <v>3123</v>
      </c>
      <c r="AL11" s="17"/>
      <c r="AM11" s="16"/>
      <c r="AN11" s="14"/>
      <c r="AO11" s="14"/>
      <c r="AP11" s="15" t="s">
        <v>3123</v>
      </c>
      <c r="AQ11" s="14"/>
      <c r="AR11" s="17"/>
      <c r="AS11" s="16"/>
      <c r="AT11" s="14"/>
      <c r="AU11" s="15" t="s">
        <v>3123</v>
      </c>
      <c r="AV11" s="14"/>
      <c r="AW11" s="17"/>
      <c r="AX11" s="16"/>
      <c r="AY11" s="16"/>
      <c r="AZ11" s="16"/>
      <c r="BA11" s="16"/>
      <c r="BB11" s="15" t="s">
        <v>3123</v>
      </c>
      <c r="BC11" s="17"/>
      <c r="BD11" s="14"/>
      <c r="BE11" s="14"/>
      <c r="BF11" s="16"/>
      <c r="BG11" s="16"/>
      <c r="BH11" s="13"/>
      <c r="BI11" s="18" t="s">
        <v>5060</v>
      </c>
      <c r="BJ11" s="13">
        <v>200</v>
      </c>
      <c r="BK11" s="17">
        <v>44128</v>
      </c>
      <c r="BL11" s="18" t="s">
        <v>5061</v>
      </c>
      <c r="BM11" s="18" t="s">
        <v>5062</v>
      </c>
      <c r="BN11" s="18" t="s">
        <v>5063</v>
      </c>
      <c r="BO11" s="18" t="s">
        <v>5064</v>
      </c>
      <c r="BP11" s="14" t="s">
        <v>5065</v>
      </c>
      <c r="BQ11" s="17">
        <v>43978</v>
      </c>
      <c r="BR11" s="16"/>
      <c r="BS11" s="17"/>
      <c r="BT11" s="16"/>
      <c r="BU11" s="17"/>
      <c r="BV11" s="16"/>
      <c r="BW11" s="17"/>
      <c r="BX11" s="16"/>
      <c r="BY11" s="17"/>
      <c r="BZ11" s="19">
        <v>46.324872367412482</v>
      </c>
      <c r="CA11" s="19"/>
      <c r="CB11" s="17"/>
      <c r="CC11" s="14" t="s">
        <v>5066</v>
      </c>
      <c r="CD11" s="14" t="s">
        <v>5019</v>
      </c>
      <c r="CE11" s="14" t="s">
        <v>5004</v>
      </c>
    </row>
    <row r="12" spans="1:83" ht="26.15" customHeight="1">
      <c r="A12" s="13">
        <v>6</v>
      </c>
      <c r="B12" s="14" t="s">
        <v>236</v>
      </c>
      <c r="C12" s="14" t="s">
        <v>237</v>
      </c>
      <c r="D12" s="14" t="s">
        <v>241</v>
      </c>
      <c r="E12" s="13">
        <v>2020</v>
      </c>
      <c r="F12" s="14" t="s">
        <v>5067</v>
      </c>
      <c r="G12" s="14" t="s">
        <v>5068</v>
      </c>
      <c r="H12" s="14" t="s">
        <v>3994</v>
      </c>
      <c r="I12" s="15" t="s">
        <v>3117</v>
      </c>
      <c r="J12" s="16">
        <v>2500000</v>
      </c>
      <c r="K12" s="17">
        <v>44033</v>
      </c>
      <c r="L12" s="16" t="s">
        <v>5069</v>
      </c>
      <c r="M12" s="16">
        <v>2500000</v>
      </c>
      <c r="N12" s="14" t="s">
        <v>34</v>
      </c>
      <c r="O12" s="13">
        <v>3</v>
      </c>
      <c r="P12" s="17">
        <v>44021</v>
      </c>
      <c r="Q12" s="14"/>
      <c r="R12" s="17"/>
      <c r="S12" s="17"/>
      <c r="T12" s="14" t="s">
        <v>1</v>
      </c>
      <c r="U12" s="14" t="s">
        <v>5007</v>
      </c>
      <c r="V12" s="14" t="s">
        <v>257</v>
      </c>
      <c r="W12" s="14"/>
      <c r="X12" s="14" t="s">
        <v>5070</v>
      </c>
      <c r="Y12" s="14" t="s">
        <v>5071</v>
      </c>
      <c r="Z12" s="14" t="s">
        <v>5072</v>
      </c>
      <c r="AA12" s="14"/>
      <c r="AB12" s="14" t="s">
        <v>3994</v>
      </c>
      <c r="AC12" s="14" t="s">
        <v>5073</v>
      </c>
      <c r="AD12" s="14" t="s">
        <v>5074</v>
      </c>
      <c r="AE12" s="14" t="s">
        <v>5075</v>
      </c>
      <c r="AF12" s="14" t="s">
        <v>5076</v>
      </c>
      <c r="AG12" s="14" t="s">
        <v>5077</v>
      </c>
      <c r="AH12" s="18"/>
      <c r="AI12" s="16"/>
      <c r="AJ12" s="17"/>
      <c r="AK12" s="15" t="s">
        <v>3123</v>
      </c>
      <c r="AL12" s="17"/>
      <c r="AM12" s="16"/>
      <c r="AN12" s="14"/>
      <c r="AO12" s="14"/>
      <c r="AP12" s="15" t="s">
        <v>3123</v>
      </c>
      <c r="AQ12" s="14"/>
      <c r="AR12" s="17"/>
      <c r="AS12" s="16"/>
      <c r="AT12" s="14"/>
      <c r="AU12" s="15" t="s">
        <v>3123</v>
      </c>
      <c r="AV12" s="14"/>
      <c r="AW12" s="17"/>
      <c r="AX12" s="16"/>
      <c r="AY12" s="16"/>
      <c r="AZ12" s="16"/>
      <c r="BA12" s="16"/>
      <c r="BB12" s="15" t="s">
        <v>3123</v>
      </c>
      <c r="BC12" s="17"/>
      <c r="BD12" s="14"/>
      <c r="BE12" s="14"/>
      <c r="BF12" s="16"/>
      <c r="BG12" s="16"/>
      <c r="BH12" s="13"/>
      <c r="BI12" s="18" t="s">
        <v>5078</v>
      </c>
      <c r="BJ12" s="13">
        <v>200</v>
      </c>
      <c r="BK12" s="17">
        <v>44127</v>
      </c>
      <c r="BL12" s="18" t="s">
        <v>5079</v>
      </c>
      <c r="BM12" s="18"/>
      <c r="BN12" s="18" t="s">
        <v>5080</v>
      </c>
      <c r="BO12" s="18"/>
      <c r="BP12" s="14" t="s">
        <v>5081</v>
      </c>
      <c r="BQ12" s="17">
        <v>44018</v>
      </c>
      <c r="BR12" s="16"/>
      <c r="BS12" s="17"/>
      <c r="BT12" s="16"/>
      <c r="BU12" s="17"/>
      <c r="BV12" s="16">
        <v>8000000</v>
      </c>
      <c r="BW12" s="17">
        <v>43966</v>
      </c>
      <c r="BX12" s="16"/>
      <c r="BY12" s="17"/>
      <c r="BZ12" s="19">
        <v>35.181501104625895</v>
      </c>
      <c r="CA12" s="19"/>
      <c r="CB12" s="17"/>
      <c r="CC12" s="14" t="s">
        <v>5082</v>
      </c>
      <c r="CD12" s="14" t="s">
        <v>5083</v>
      </c>
      <c r="CE12" s="14" t="s">
        <v>5004</v>
      </c>
    </row>
    <row r="13" spans="1:83" ht="26.15" customHeight="1">
      <c r="A13" s="13">
        <v>7</v>
      </c>
      <c r="B13" s="14" t="s">
        <v>976</v>
      </c>
      <c r="C13" s="14" t="s">
        <v>977</v>
      </c>
      <c r="D13" s="14" t="s">
        <v>978</v>
      </c>
      <c r="E13" s="13">
        <v>2019</v>
      </c>
      <c r="F13" s="14" t="s">
        <v>5038</v>
      </c>
      <c r="G13" s="14" t="s">
        <v>5039</v>
      </c>
      <c r="H13" s="14" t="s">
        <v>3994</v>
      </c>
      <c r="I13" s="15" t="s">
        <v>3117</v>
      </c>
      <c r="J13" s="16"/>
      <c r="K13" s="17">
        <v>43617</v>
      </c>
      <c r="L13" s="16"/>
      <c r="M13" s="16" t="s">
        <v>50</v>
      </c>
      <c r="N13" s="14" t="s">
        <v>5040</v>
      </c>
      <c r="O13" s="13">
        <v>3</v>
      </c>
      <c r="P13" s="17">
        <v>44000</v>
      </c>
      <c r="Q13" s="14"/>
      <c r="R13" s="17"/>
      <c r="S13" s="17"/>
      <c r="T13" s="14" t="s">
        <v>1</v>
      </c>
      <c r="U13" s="14" t="s">
        <v>5084</v>
      </c>
      <c r="V13" s="14" t="s">
        <v>5085</v>
      </c>
      <c r="W13" s="14"/>
      <c r="X13" s="14" t="s">
        <v>3639</v>
      </c>
      <c r="Y13" s="14"/>
      <c r="Z13" s="14"/>
      <c r="AA13" s="14"/>
      <c r="AB13" s="14" t="s">
        <v>3994</v>
      </c>
      <c r="AC13" s="14"/>
      <c r="AD13" s="14" t="s">
        <v>5086</v>
      </c>
      <c r="AE13" s="14"/>
      <c r="AF13" s="14"/>
      <c r="AG13" s="14"/>
      <c r="AH13" s="18"/>
      <c r="AI13" s="16"/>
      <c r="AJ13" s="17"/>
      <c r="AK13" s="15" t="s">
        <v>3123</v>
      </c>
      <c r="AL13" s="17"/>
      <c r="AM13" s="16"/>
      <c r="AN13" s="14"/>
      <c r="AO13" s="14"/>
      <c r="AP13" s="15" t="s">
        <v>3123</v>
      </c>
      <c r="AQ13" s="14"/>
      <c r="AR13" s="17"/>
      <c r="AS13" s="16"/>
      <c r="AT13" s="14"/>
      <c r="AU13" s="15" t="s">
        <v>3123</v>
      </c>
      <c r="AV13" s="14"/>
      <c r="AW13" s="17"/>
      <c r="AX13" s="16"/>
      <c r="AY13" s="16"/>
      <c r="AZ13" s="16"/>
      <c r="BA13" s="16"/>
      <c r="BB13" s="15" t="s">
        <v>3123</v>
      </c>
      <c r="BC13" s="17"/>
      <c r="BD13" s="14"/>
      <c r="BE13" s="14"/>
      <c r="BF13" s="16"/>
      <c r="BG13" s="16"/>
      <c r="BH13" s="13"/>
      <c r="BI13" s="18" t="s">
        <v>5087</v>
      </c>
      <c r="BJ13" s="13">
        <v>200</v>
      </c>
      <c r="BK13" s="17">
        <v>44114</v>
      </c>
      <c r="BL13" s="18"/>
      <c r="BM13" s="18"/>
      <c r="BN13" s="18"/>
      <c r="BO13" s="18" t="s">
        <v>5088</v>
      </c>
      <c r="BP13" s="14" t="s">
        <v>5089</v>
      </c>
      <c r="BQ13" s="17">
        <v>43914</v>
      </c>
      <c r="BR13" s="16"/>
      <c r="BS13" s="17"/>
      <c r="BT13" s="16"/>
      <c r="BU13" s="17"/>
      <c r="BV13" s="16"/>
      <c r="BW13" s="17"/>
      <c r="BX13" s="16"/>
      <c r="BY13" s="17"/>
      <c r="BZ13" s="19">
        <v>11.412527045455226</v>
      </c>
      <c r="CA13" s="19"/>
      <c r="CB13" s="17"/>
      <c r="CC13" s="14" t="s">
        <v>5090</v>
      </c>
      <c r="CD13" s="14" t="s">
        <v>5091</v>
      </c>
      <c r="CE13" s="14" t="s">
        <v>5004</v>
      </c>
    </row>
    <row r="14" spans="1:83" ht="26.15" customHeight="1">
      <c r="A14" s="13">
        <v>8</v>
      </c>
      <c r="B14" s="14" t="s">
        <v>398</v>
      </c>
      <c r="C14" s="14" t="s">
        <v>399</v>
      </c>
      <c r="D14" s="14" t="s">
        <v>402</v>
      </c>
      <c r="E14" s="13">
        <v>2017</v>
      </c>
      <c r="F14" s="14" t="s">
        <v>5038</v>
      </c>
      <c r="G14" s="14" t="s">
        <v>5039</v>
      </c>
      <c r="H14" s="14" t="s">
        <v>3994</v>
      </c>
      <c r="I14" s="15" t="s">
        <v>3117</v>
      </c>
      <c r="J14" s="16">
        <v>6930813</v>
      </c>
      <c r="K14" s="17">
        <v>43964</v>
      </c>
      <c r="L14" s="16" t="s">
        <v>5092</v>
      </c>
      <c r="M14" s="16">
        <v>112096</v>
      </c>
      <c r="N14" s="14" t="s">
        <v>109</v>
      </c>
      <c r="O14" s="13">
        <v>4</v>
      </c>
      <c r="P14" s="17">
        <v>44022</v>
      </c>
      <c r="Q14" s="14" t="s">
        <v>5052</v>
      </c>
      <c r="R14" s="17">
        <v>43880</v>
      </c>
      <c r="S14" s="17">
        <v>43874</v>
      </c>
      <c r="T14" s="14" t="s">
        <v>1</v>
      </c>
      <c r="U14" s="14" t="s">
        <v>5007</v>
      </c>
      <c r="V14" s="14" t="s">
        <v>5093</v>
      </c>
      <c r="W14" s="14"/>
      <c r="X14" s="14" t="s">
        <v>5094</v>
      </c>
      <c r="Y14" s="14" t="s">
        <v>1307</v>
      </c>
      <c r="Z14" s="14" t="s">
        <v>5095</v>
      </c>
      <c r="AA14" s="14"/>
      <c r="AB14" s="14" t="s">
        <v>3994</v>
      </c>
      <c r="AC14" s="14" t="s">
        <v>5096</v>
      </c>
      <c r="AD14" s="14" t="s">
        <v>5097</v>
      </c>
      <c r="AE14" s="14" t="s">
        <v>5098</v>
      </c>
      <c r="AF14" s="14" t="s">
        <v>5099</v>
      </c>
      <c r="AG14" s="14" t="s">
        <v>5100</v>
      </c>
      <c r="AH14" s="18"/>
      <c r="AI14" s="16">
        <v>148400</v>
      </c>
      <c r="AJ14" s="17">
        <v>43465</v>
      </c>
      <c r="AK14" s="15" t="s">
        <v>3123</v>
      </c>
      <c r="AL14" s="17"/>
      <c r="AM14" s="16"/>
      <c r="AN14" s="14"/>
      <c r="AO14" s="14"/>
      <c r="AP14" s="15" t="s">
        <v>3123</v>
      </c>
      <c r="AQ14" s="14"/>
      <c r="AR14" s="17"/>
      <c r="AS14" s="16"/>
      <c r="AT14" s="14"/>
      <c r="AU14" s="15" t="s">
        <v>3123</v>
      </c>
      <c r="AV14" s="14"/>
      <c r="AW14" s="17"/>
      <c r="AX14" s="16"/>
      <c r="AY14" s="16"/>
      <c r="AZ14" s="16"/>
      <c r="BA14" s="16"/>
      <c r="BB14" s="15" t="s">
        <v>3123</v>
      </c>
      <c r="BC14" s="17"/>
      <c r="BD14" s="14"/>
      <c r="BE14" s="14"/>
      <c r="BF14" s="16"/>
      <c r="BG14" s="16"/>
      <c r="BH14" s="13"/>
      <c r="BI14" s="18" t="s">
        <v>5101</v>
      </c>
      <c r="BJ14" s="13">
        <v>200</v>
      </c>
      <c r="BK14" s="17">
        <v>44114</v>
      </c>
      <c r="BL14" s="18"/>
      <c r="BM14" s="18" t="s">
        <v>5102</v>
      </c>
      <c r="BN14" s="18"/>
      <c r="BO14" s="18"/>
      <c r="BP14" s="14" t="s">
        <v>5103</v>
      </c>
      <c r="BQ14" s="17">
        <v>43875</v>
      </c>
      <c r="BR14" s="16">
        <v>-165600</v>
      </c>
      <c r="BS14" s="17">
        <v>43465</v>
      </c>
      <c r="BT14" s="16">
        <v>-154200</v>
      </c>
      <c r="BU14" s="17">
        <v>43465</v>
      </c>
      <c r="BV14" s="16">
        <v>16386943.365121784</v>
      </c>
      <c r="BW14" s="17">
        <v>43964</v>
      </c>
      <c r="BX14" s="16">
        <v>47</v>
      </c>
      <c r="BY14" s="17">
        <v>44012</v>
      </c>
      <c r="BZ14" s="19">
        <v>55.982084491216462</v>
      </c>
      <c r="CA14" s="19"/>
      <c r="CB14" s="17"/>
      <c r="CC14" s="14" t="s">
        <v>5104</v>
      </c>
      <c r="CD14" s="14" t="s">
        <v>5037</v>
      </c>
      <c r="CE14" s="14" t="s">
        <v>5004</v>
      </c>
    </row>
    <row r="15" spans="1:83" ht="26.15" customHeight="1">
      <c r="A15" s="13">
        <v>9</v>
      </c>
      <c r="B15" s="14" t="s">
        <v>477</v>
      </c>
      <c r="C15" s="14" t="s">
        <v>478</v>
      </c>
      <c r="D15" s="14" t="s">
        <v>481</v>
      </c>
      <c r="E15" s="13">
        <v>2020</v>
      </c>
      <c r="F15" s="14" t="s">
        <v>5038</v>
      </c>
      <c r="G15" s="14" t="s">
        <v>5039</v>
      </c>
      <c r="H15" s="14" t="s">
        <v>3994</v>
      </c>
      <c r="I15" s="15" t="s">
        <v>3117</v>
      </c>
      <c r="J15" s="16">
        <v>150000</v>
      </c>
      <c r="K15" s="17">
        <v>43922</v>
      </c>
      <c r="L15" s="16" t="s">
        <v>5105</v>
      </c>
      <c r="M15" s="16">
        <v>150000</v>
      </c>
      <c r="N15" s="14" t="s">
        <v>34</v>
      </c>
      <c r="O15" s="13">
        <v>4</v>
      </c>
      <c r="P15" s="17">
        <v>43991</v>
      </c>
      <c r="Q15" s="14"/>
      <c r="R15" s="17"/>
      <c r="S15" s="17"/>
      <c r="T15" s="14" t="s">
        <v>5106</v>
      </c>
      <c r="U15" s="14" t="s">
        <v>5107</v>
      </c>
      <c r="V15" s="14" t="s">
        <v>5108</v>
      </c>
      <c r="W15" s="14"/>
      <c r="X15" s="14" t="s">
        <v>480</v>
      </c>
      <c r="Y15" s="14"/>
      <c r="Z15" s="14" t="s">
        <v>5109</v>
      </c>
      <c r="AA15" s="14"/>
      <c r="AB15" s="14" t="s">
        <v>3994</v>
      </c>
      <c r="AC15" s="14" t="s">
        <v>5110</v>
      </c>
      <c r="AD15" s="14" t="s">
        <v>5111</v>
      </c>
      <c r="AE15" s="14" t="s">
        <v>5112</v>
      </c>
      <c r="AF15" s="14" t="s">
        <v>5113</v>
      </c>
      <c r="AG15" s="14" t="s">
        <v>5114</v>
      </c>
      <c r="AH15" s="18"/>
      <c r="AI15" s="16"/>
      <c r="AJ15" s="17"/>
      <c r="AK15" s="15" t="s">
        <v>3123</v>
      </c>
      <c r="AL15" s="17"/>
      <c r="AM15" s="16"/>
      <c r="AN15" s="14"/>
      <c r="AO15" s="14"/>
      <c r="AP15" s="15" t="s">
        <v>3123</v>
      </c>
      <c r="AQ15" s="14"/>
      <c r="AR15" s="17"/>
      <c r="AS15" s="16"/>
      <c r="AT15" s="14"/>
      <c r="AU15" s="15" t="s">
        <v>3123</v>
      </c>
      <c r="AV15" s="14"/>
      <c r="AW15" s="17"/>
      <c r="AX15" s="16"/>
      <c r="AY15" s="16"/>
      <c r="AZ15" s="16"/>
      <c r="BA15" s="16"/>
      <c r="BB15" s="15" t="s">
        <v>3123</v>
      </c>
      <c r="BC15" s="17"/>
      <c r="BD15" s="14"/>
      <c r="BE15" s="14"/>
      <c r="BF15" s="16"/>
      <c r="BG15" s="16"/>
      <c r="BH15" s="13"/>
      <c r="BI15" s="18" t="s">
        <v>5115</v>
      </c>
      <c r="BJ15" s="13">
        <v>200</v>
      </c>
      <c r="BK15" s="17">
        <v>44114</v>
      </c>
      <c r="BL15" s="18"/>
      <c r="BM15" s="18"/>
      <c r="BN15" s="18"/>
      <c r="BO15" s="18"/>
      <c r="BP15" s="14" t="s">
        <v>5116</v>
      </c>
      <c r="BQ15" s="17">
        <v>43986</v>
      </c>
      <c r="BR15" s="16"/>
      <c r="BS15" s="17"/>
      <c r="BT15" s="16"/>
      <c r="BU15" s="17"/>
      <c r="BV15" s="16"/>
      <c r="BW15" s="17"/>
      <c r="BX15" s="16"/>
      <c r="BY15" s="17"/>
      <c r="BZ15" s="19">
        <v>25.942398561115258</v>
      </c>
      <c r="CA15" s="19"/>
      <c r="CB15" s="17"/>
      <c r="CC15" s="14" t="s">
        <v>5104</v>
      </c>
      <c r="CD15" s="14" t="s">
        <v>5117</v>
      </c>
      <c r="CE15" s="14" t="s">
        <v>5004</v>
      </c>
    </row>
    <row r="16" spans="1:83" ht="26.15" customHeight="1">
      <c r="A16" s="13">
        <v>10</v>
      </c>
      <c r="B16" s="14" t="s">
        <v>1699</v>
      </c>
      <c r="C16" s="14" t="s">
        <v>1700</v>
      </c>
      <c r="D16" s="14" t="s">
        <v>1703</v>
      </c>
      <c r="E16" s="13">
        <v>2019</v>
      </c>
      <c r="F16" s="14" t="s">
        <v>5118</v>
      </c>
      <c r="G16" s="14" t="s">
        <v>5119</v>
      </c>
      <c r="H16" s="14" t="s">
        <v>3994</v>
      </c>
      <c r="I16" s="15" t="s">
        <v>3117</v>
      </c>
      <c r="J16" s="16"/>
      <c r="K16" s="17">
        <v>43221</v>
      </c>
      <c r="L16" s="16" t="s">
        <v>5120</v>
      </c>
      <c r="M16" s="16">
        <v>8143</v>
      </c>
      <c r="N16" s="14" t="s">
        <v>5040</v>
      </c>
      <c r="O16" s="13">
        <v>4</v>
      </c>
      <c r="P16" s="17">
        <v>44057</v>
      </c>
      <c r="Q16" s="14"/>
      <c r="R16" s="17"/>
      <c r="S16" s="17"/>
      <c r="T16" s="14" t="s">
        <v>5121</v>
      </c>
      <c r="U16" s="14" t="s">
        <v>5122</v>
      </c>
      <c r="V16" s="14" t="s">
        <v>5123</v>
      </c>
      <c r="W16" s="14"/>
      <c r="X16" s="14" t="s">
        <v>4114</v>
      </c>
      <c r="Y16" s="14"/>
      <c r="Z16" s="14" t="s">
        <v>5124</v>
      </c>
      <c r="AA16" s="14"/>
      <c r="AB16" s="14" t="s">
        <v>3994</v>
      </c>
      <c r="AC16" s="14"/>
      <c r="AD16" s="14" t="s">
        <v>5125</v>
      </c>
      <c r="AE16" s="14" t="s">
        <v>5126</v>
      </c>
      <c r="AF16" s="14"/>
      <c r="AG16" s="14" t="s">
        <v>5127</v>
      </c>
      <c r="AH16" s="18"/>
      <c r="AI16" s="16"/>
      <c r="AJ16" s="17"/>
      <c r="AK16" s="15" t="s">
        <v>3123</v>
      </c>
      <c r="AL16" s="17"/>
      <c r="AM16" s="16"/>
      <c r="AN16" s="14"/>
      <c r="AO16" s="14"/>
      <c r="AP16" s="15" t="s">
        <v>3123</v>
      </c>
      <c r="AQ16" s="14"/>
      <c r="AR16" s="17"/>
      <c r="AS16" s="16"/>
      <c r="AT16" s="14"/>
      <c r="AU16" s="15" t="s">
        <v>3123</v>
      </c>
      <c r="AV16" s="14"/>
      <c r="AW16" s="17"/>
      <c r="AX16" s="16"/>
      <c r="AY16" s="16"/>
      <c r="AZ16" s="16"/>
      <c r="BA16" s="16"/>
      <c r="BB16" s="15" t="s">
        <v>3123</v>
      </c>
      <c r="BC16" s="17"/>
      <c r="BD16" s="14"/>
      <c r="BE16" s="14"/>
      <c r="BF16" s="16"/>
      <c r="BG16" s="16"/>
      <c r="BH16" s="13"/>
      <c r="BI16" s="18" t="s">
        <v>5128</v>
      </c>
      <c r="BJ16" s="13">
        <v>200</v>
      </c>
      <c r="BK16" s="17">
        <v>44114</v>
      </c>
      <c r="BL16" s="18" t="s">
        <v>5129</v>
      </c>
      <c r="BM16" s="18"/>
      <c r="BN16" s="18" t="s">
        <v>5130</v>
      </c>
      <c r="BO16" s="18"/>
      <c r="BP16" s="14" t="s">
        <v>5131</v>
      </c>
      <c r="BQ16" s="17">
        <v>43894</v>
      </c>
      <c r="BR16" s="16"/>
      <c r="BS16" s="17"/>
      <c r="BT16" s="16"/>
      <c r="BU16" s="17"/>
      <c r="BV16" s="16"/>
      <c r="BW16" s="17"/>
      <c r="BX16" s="16"/>
      <c r="BY16" s="17"/>
      <c r="BZ16" s="19">
        <v>13.569633780044954</v>
      </c>
      <c r="CA16" s="19"/>
      <c r="CB16" s="17"/>
      <c r="CC16" s="14" t="s">
        <v>5048</v>
      </c>
      <c r="CD16" s="14" t="s">
        <v>5049</v>
      </c>
      <c r="CE16" s="14" t="s">
        <v>5004</v>
      </c>
    </row>
    <row r="17" spans="1:83" ht="26.15" customHeight="1">
      <c r="A17" s="13">
        <v>11</v>
      </c>
      <c r="B17" s="14" t="s">
        <v>835</v>
      </c>
      <c r="C17" s="14" t="s">
        <v>836</v>
      </c>
      <c r="D17" s="14" t="s">
        <v>839</v>
      </c>
      <c r="E17" s="13">
        <v>2017</v>
      </c>
      <c r="F17" s="14" t="s">
        <v>5132</v>
      </c>
      <c r="G17" s="14" t="s">
        <v>5133</v>
      </c>
      <c r="H17" s="14" t="s">
        <v>3994</v>
      </c>
      <c r="I17" s="15" t="s">
        <v>3117</v>
      </c>
      <c r="J17" s="16">
        <v>1101687</v>
      </c>
      <c r="K17" s="17">
        <v>43726</v>
      </c>
      <c r="L17" s="16" t="s">
        <v>5134</v>
      </c>
      <c r="M17" s="16">
        <v>1073840</v>
      </c>
      <c r="N17" s="14" t="s">
        <v>34</v>
      </c>
      <c r="O17" s="13">
        <v>4</v>
      </c>
      <c r="P17" s="17">
        <v>44022</v>
      </c>
      <c r="Q17" s="14"/>
      <c r="R17" s="17"/>
      <c r="S17" s="17"/>
      <c r="T17" s="14" t="s">
        <v>1</v>
      </c>
      <c r="U17" s="14" t="s">
        <v>5135</v>
      </c>
      <c r="V17" s="14" t="s">
        <v>5136</v>
      </c>
      <c r="W17" s="14"/>
      <c r="X17" s="14" t="s">
        <v>5137</v>
      </c>
      <c r="Y17" s="14"/>
      <c r="Z17" s="14" t="s">
        <v>5138</v>
      </c>
      <c r="AA17" s="14"/>
      <c r="AB17" s="14" t="s">
        <v>3994</v>
      </c>
      <c r="AC17" s="14" t="s">
        <v>5139</v>
      </c>
      <c r="AD17" s="14" t="s">
        <v>5140</v>
      </c>
      <c r="AE17" s="14" t="s">
        <v>5141</v>
      </c>
      <c r="AF17" s="14" t="s">
        <v>5142</v>
      </c>
      <c r="AG17" s="14" t="s">
        <v>5143</v>
      </c>
      <c r="AH17" s="18"/>
      <c r="AI17" s="16">
        <v>204300</v>
      </c>
      <c r="AJ17" s="17">
        <v>43465</v>
      </c>
      <c r="AK17" s="15" t="s">
        <v>3123</v>
      </c>
      <c r="AL17" s="17"/>
      <c r="AM17" s="16"/>
      <c r="AN17" s="14"/>
      <c r="AO17" s="14"/>
      <c r="AP17" s="15" t="s">
        <v>3123</v>
      </c>
      <c r="AQ17" s="14"/>
      <c r="AR17" s="17"/>
      <c r="AS17" s="16"/>
      <c r="AT17" s="14"/>
      <c r="AU17" s="15" t="s">
        <v>3123</v>
      </c>
      <c r="AV17" s="14"/>
      <c r="AW17" s="17"/>
      <c r="AX17" s="16"/>
      <c r="AY17" s="16"/>
      <c r="AZ17" s="16"/>
      <c r="BA17" s="16"/>
      <c r="BB17" s="15" t="s">
        <v>3123</v>
      </c>
      <c r="BC17" s="17"/>
      <c r="BD17" s="14" t="s">
        <v>808</v>
      </c>
      <c r="BE17" s="14"/>
      <c r="BF17" s="16"/>
      <c r="BG17" s="16"/>
      <c r="BH17" s="13"/>
      <c r="BI17" s="18" t="s">
        <v>5144</v>
      </c>
      <c r="BJ17" s="13">
        <v>200</v>
      </c>
      <c r="BK17" s="17">
        <v>44113</v>
      </c>
      <c r="BL17" s="18" t="s">
        <v>5145</v>
      </c>
      <c r="BM17" s="18" t="s">
        <v>5146</v>
      </c>
      <c r="BN17" s="18" t="s">
        <v>5147</v>
      </c>
      <c r="BO17" s="18"/>
      <c r="BP17" s="14" t="s">
        <v>5148</v>
      </c>
      <c r="BQ17" s="17">
        <v>43860</v>
      </c>
      <c r="BR17" s="16">
        <v>-23400</v>
      </c>
      <c r="BS17" s="17">
        <v>43465</v>
      </c>
      <c r="BT17" s="16">
        <v>-29200</v>
      </c>
      <c r="BU17" s="17">
        <v>43465</v>
      </c>
      <c r="BV17" s="16">
        <v>6000000</v>
      </c>
      <c r="BW17" s="17">
        <v>43726</v>
      </c>
      <c r="BX17" s="16">
        <v>40</v>
      </c>
      <c r="BY17" s="17">
        <v>44012</v>
      </c>
      <c r="BZ17" s="19">
        <v>46.719727620376027</v>
      </c>
      <c r="CA17" s="19"/>
      <c r="CB17" s="17"/>
      <c r="CC17" s="14" t="s">
        <v>5149</v>
      </c>
      <c r="CD17" s="14" t="s">
        <v>5150</v>
      </c>
      <c r="CE17" s="14" t="s">
        <v>5004</v>
      </c>
    </row>
    <row r="18" spans="1:83" ht="26.15" customHeight="1">
      <c r="A18" s="13">
        <v>12</v>
      </c>
      <c r="B18" s="14" t="s">
        <v>536</v>
      </c>
      <c r="C18" s="14" t="s">
        <v>537</v>
      </c>
      <c r="D18" s="14" t="s">
        <v>539</v>
      </c>
      <c r="E18" s="13">
        <v>2016</v>
      </c>
      <c r="F18" s="14" t="s">
        <v>5151</v>
      </c>
      <c r="G18" s="14" t="s">
        <v>5152</v>
      </c>
      <c r="H18" s="14" t="s">
        <v>2057</v>
      </c>
      <c r="I18" s="15" t="s">
        <v>3117</v>
      </c>
      <c r="J18" s="16"/>
      <c r="K18" s="17">
        <v>43872</v>
      </c>
      <c r="L18" s="16"/>
      <c r="M18" s="16" t="s">
        <v>50</v>
      </c>
      <c r="N18" s="14" t="s">
        <v>34</v>
      </c>
      <c r="O18" s="13">
        <v>3</v>
      </c>
      <c r="P18" s="17">
        <v>43900</v>
      </c>
      <c r="Q18" s="14"/>
      <c r="R18" s="17"/>
      <c r="S18" s="17"/>
      <c r="T18" s="14" t="s">
        <v>5153</v>
      </c>
      <c r="U18" s="14" t="s">
        <v>5154</v>
      </c>
      <c r="V18" s="14" t="s">
        <v>5155</v>
      </c>
      <c r="W18" s="14"/>
      <c r="X18" s="14"/>
      <c r="Y18" s="14"/>
      <c r="Z18" s="14" t="s">
        <v>5156</v>
      </c>
      <c r="AA18" s="14"/>
      <c r="AB18" s="14" t="s">
        <v>2057</v>
      </c>
      <c r="AC18" s="14" t="s">
        <v>5157</v>
      </c>
      <c r="AD18" s="14" t="s">
        <v>5158</v>
      </c>
      <c r="AE18" s="14"/>
      <c r="AF18" s="14"/>
      <c r="AG18" s="14"/>
      <c r="AH18" s="18"/>
      <c r="AI18" s="16"/>
      <c r="AJ18" s="17"/>
      <c r="AK18" s="15" t="s">
        <v>3123</v>
      </c>
      <c r="AL18" s="17"/>
      <c r="AM18" s="16"/>
      <c r="AN18" s="14"/>
      <c r="AO18" s="14"/>
      <c r="AP18" s="15" t="s">
        <v>3123</v>
      </c>
      <c r="AQ18" s="14"/>
      <c r="AR18" s="17"/>
      <c r="AS18" s="16"/>
      <c r="AT18" s="14"/>
      <c r="AU18" s="15" t="s">
        <v>3123</v>
      </c>
      <c r="AV18" s="14"/>
      <c r="AW18" s="17"/>
      <c r="AX18" s="16"/>
      <c r="AY18" s="16"/>
      <c r="AZ18" s="16"/>
      <c r="BA18" s="16"/>
      <c r="BB18" s="15" t="s">
        <v>3123</v>
      </c>
      <c r="BC18" s="17"/>
      <c r="BD18" s="14"/>
      <c r="BE18" s="14"/>
      <c r="BF18" s="16"/>
      <c r="BG18" s="16"/>
      <c r="BH18" s="13"/>
      <c r="BI18" s="18" t="s">
        <v>5159</v>
      </c>
      <c r="BJ18" s="13">
        <v>200</v>
      </c>
      <c r="BK18" s="17">
        <v>44114</v>
      </c>
      <c r="BL18" s="18"/>
      <c r="BM18" s="18"/>
      <c r="BN18" s="18"/>
      <c r="BO18" s="18"/>
      <c r="BP18" s="14" t="s">
        <v>5160</v>
      </c>
      <c r="BQ18" s="17">
        <v>43895</v>
      </c>
      <c r="BR18" s="16"/>
      <c r="BS18" s="17"/>
      <c r="BT18" s="16"/>
      <c r="BU18" s="17"/>
      <c r="BV18" s="16"/>
      <c r="BW18" s="17"/>
      <c r="BX18" s="16"/>
      <c r="BY18" s="17"/>
      <c r="BZ18" s="19">
        <v>10.73524412983347</v>
      </c>
      <c r="CA18" s="19"/>
      <c r="CB18" s="17"/>
      <c r="CC18" s="14" t="s">
        <v>5161</v>
      </c>
      <c r="CD18" s="14" t="s">
        <v>5162</v>
      </c>
      <c r="CE18" s="14" t="s">
        <v>5004</v>
      </c>
    </row>
    <row r="19" spans="1:83" ht="26.15" hidden="1" customHeight="1">
      <c r="A19" s="13">
        <v>13</v>
      </c>
      <c r="B19" s="14" t="s">
        <v>243</v>
      </c>
      <c r="C19" s="14" t="s">
        <v>244</v>
      </c>
      <c r="D19" s="14" t="s">
        <v>249</v>
      </c>
      <c r="E19" s="13">
        <v>2018</v>
      </c>
      <c r="F19" s="14" t="s">
        <v>5163</v>
      </c>
      <c r="G19" s="14" t="s">
        <v>5164</v>
      </c>
      <c r="H19" s="14" t="s">
        <v>4343</v>
      </c>
      <c r="I19" s="15" t="s">
        <v>3117</v>
      </c>
      <c r="J19" s="16">
        <v>10000000</v>
      </c>
      <c r="K19" s="17">
        <v>44026</v>
      </c>
      <c r="L19" s="16" t="s">
        <v>5165</v>
      </c>
      <c r="M19" s="16">
        <v>10000000</v>
      </c>
      <c r="N19" s="14" t="s">
        <v>109</v>
      </c>
      <c r="O19" s="13">
        <v>4</v>
      </c>
      <c r="P19" s="17">
        <v>44032</v>
      </c>
      <c r="Q19" s="14" t="s">
        <v>5052</v>
      </c>
      <c r="R19" s="17">
        <v>44032</v>
      </c>
      <c r="S19" s="17">
        <v>44026</v>
      </c>
      <c r="T19" s="14" t="s">
        <v>5166</v>
      </c>
      <c r="U19" s="14" t="s">
        <v>5167</v>
      </c>
      <c r="V19" s="14" t="s">
        <v>5168</v>
      </c>
      <c r="W19" s="14"/>
      <c r="X19" s="14" t="s">
        <v>5169</v>
      </c>
      <c r="Y19" s="14" t="s">
        <v>246</v>
      </c>
      <c r="Z19" s="14" t="s">
        <v>5170</v>
      </c>
      <c r="AA19" s="14"/>
      <c r="AB19" s="14" t="s">
        <v>4343</v>
      </c>
      <c r="AC19" s="14" t="s">
        <v>5171</v>
      </c>
      <c r="AD19" s="14"/>
      <c r="AE19" s="14" t="s">
        <v>5172</v>
      </c>
      <c r="AF19" s="14" t="s">
        <v>5173</v>
      </c>
      <c r="AG19" s="14" t="s">
        <v>5174</v>
      </c>
      <c r="AH19" s="18"/>
      <c r="AI19" s="16"/>
      <c r="AJ19" s="17"/>
      <c r="AK19" s="15" t="s">
        <v>3123</v>
      </c>
      <c r="AL19" s="17"/>
      <c r="AM19" s="16"/>
      <c r="AN19" s="14"/>
      <c r="AO19" s="14"/>
      <c r="AP19" s="15" t="s">
        <v>3123</v>
      </c>
      <c r="AQ19" s="14"/>
      <c r="AR19" s="17"/>
      <c r="AS19" s="16"/>
      <c r="AT19" s="14"/>
      <c r="AU19" s="15" t="s">
        <v>3123</v>
      </c>
      <c r="AV19" s="14"/>
      <c r="AW19" s="17"/>
      <c r="AX19" s="16"/>
      <c r="AY19" s="16"/>
      <c r="AZ19" s="16"/>
      <c r="BA19" s="16"/>
      <c r="BB19" s="15" t="s">
        <v>3123</v>
      </c>
      <c r="BC19" s="17"/>
      <c r="BD19" s="14"/>
      <c r="BE19" s="14"/>
      <c r="BF19" s="16"/>
      <c r="BG19" s="16"/>
      <c r="BH19" s="13"/>
      <c r="BI19" s="18" t="s">
        <v>5175</v>
      </c>
      <c r="BJ19" s="13">
        <v>200</v>
      </c>
      <c r="BK19" s="17">
        <v>44114</v>
      </c>
      <c r="BL19" s="18" t="s">
        <v>5176</v>
      </c>
      <c r="BM19" s="18" t="s">
        <v>5177</v>
      </c>
      <c r="BN19" s="18" t="s">
        <v>5178</v>
      </c>
      <c r="BO19" s="18" t="s">
        <v>5179</v>
      </c>
      <c r="BP19" s="14" t="s">
        <v>5180</v>
      </c>
      <c r="BQ19" s="17">
        <v>43895</v>
      </c>
      <c r="BR19" s="16"/>
      <c r="BS19" s="17"/>
      <c r="BT19" s="16"/>
      <c r="BU19" s="17"/>
      <c r="BV19" s="16"/>
      <c r="BW19" s="17"/>
      <c r="BX19" s="16"/>
      <c r="BY19" s="17"/>
      <c r="BZ19" s="19">
        <v>56.961306293848992</v>
      </c>
      <c r="CA19" s="19"/>
      <c r="CB19" s="17"/>
      <c r="CC19" s="14" t="s">
        <v>5149</v>
      </c>
      <c r="CD19" s="14" t="s">
        <v>5150</v>
      </c>
      <c r="CE19" s="14" t="s">
        <v>5004</v>
      </c>
    </row>
    <row r="20" spans="1:83" ht="26.15" customHeight="1">
      <c r="A20" s="13">
        <v>14</v>
      </c>
      <c r="B20" s="14" t="s">
        <v>223</v>
      </c>
      <c r="C20" s="14" t="s">
        <v>224</v>
      </c>
      <c r="D20" s="14" t="s">
        <v>226</v>
      </c>
      <c r="E20" s="13">
        <v>2016</v>
      </c>
      <c r="F20" s="14" t="s">
        <v>5181</v>
      </c>
      <c r="G20" s="14" t="s">
        <v>5182</v>
      </c>
      <c r="H20" s="14" t="s">
        <v>2057</v>
      </c>
      <c r="I20" s="15" t="s">
        <v>3117</v>
      </c>
      <c r="J20" s="16">
        <v>2854850</v>
      </c>
      <c r="K20" s="17">
        <v>44043</v>
      </c>
      <c r="L20" s="16" t="s">
        <v>5069</v>
      </c>
      <c r="M20" s="16">
        <v>2854850</v>
      </c>
      <c r="N20" s="14" t="s">
        <v>34</v>
      </c>
      <c r="O20" s="13">
        <v>4</v>
      </c>
      <c r="P20" s="17">
        <v>44054</v>
      </c>
      <c r="Q20" s="14"/>
      <c r="R20" s="17"/>
      <c r="S20" s="17"/>
      <c r="T20" s="14" t="s">
        <v>1</v>
      </c>
      <c r="U20" s="14" t="s">
        <v>5007</v>
      </c>
      <c r="V20" s="14" t="s">
        <v>5183</v>
      </c>
      <c r="W20" s="14"/>
      <c r="X20" s="14"/>
      <c r="Y20" s="14"/>
      <c r="Z20" s="14" t="s">
        <v>5184</v>
      </c>
      <c r="AA20" s="14"/>
      <c r="AB20" s="14" t="s">
        <v>2057</v>
      </c>
      <c r="AC20" s="14" t="s">
        <v>5185</v>
      </c>
      <c r="AD20" s="14" t="s">
        <v>5186</v>
      </c>
      <c r="AE20" s="14"/>
      <c r="AF20" s="14"/>
      <c r="AG20" s="14"/>
      <c r="AH20" s="18"/>
      <c r="AI20" s="16"/>
      <c r="AJ20" s="17"/>
      <c r="AK20" s="15" t="s">
        <v>3123</v>
      </c>
      <c r="AL20" s="17"/>
      <c r="AM20" s="16"/>
      <c r="AN20" s="14"/>
      <c r="AO20" s="14"/>
      <c r="AP20" s="15" t="s">
        <v>3123</v>
      </c>
      <c r="AQ20" s="14"/>
      <c r="AR20" s="17"/>
      <c r="AS20" s="16"/>
      <c r="AT20" s="14"/>
      <c r="AU20" s="15" t="s">
        <v>3123</v>
      </c>
      <c r="AV20" s="14"/>
      <c r="AW20" s="17"/>
      <c r="AX20" s="16"/>
      <c r="AY20" s="16"/>
      <c r="AZ20" s="16"/>
      <c r="BA20" s="16"/>
      <c r="BB20" s="15" t="s">
        <v>3123</v>
      </c>
      <c r="BC20" s="17"/>
      <c r="BD20" s="14"/>
      <c r="BE20" s="14"/>
      <c r="BF20" s="16"/>
      <c r="BG20" s="16"/>
      <c r="BH20" s="13"/>
      <c r="BI20" s="18" t="s">
        <v>5187</v>
      </c>
      <c r="BJ20" s="13">
        <v>-1</v>
      </c>
      <c r="BK20" s="17">
        <v>44114</v>
      </c>
      <c r="BL20" s="18"/>
      <c r="BM20" s="18"/>
      <c r="BN20" s="18"/>
      <c r="BO20" s="18"/>
      <c r="BP20" s="14" t="s">
        <v>5188</v>
      </c>
      <c r="BQ20" s="17">
        <v>44048</v>
      </c>
      <c r="BR20" s="16"/>
      <c r="BS20" s="17"/>
      <c r="BT20" s="16"/>
      <c r="BU20" s="17"/>
      <c r="BV20" s="16"/>
      <c r="BW20" s="17"/>
      <c r="BX20" s="16"/>
      <c r="BY20" s="17"/>
      <c r="BZ20" s="19">
        <v>23.401487615978247</v>
      </c>
      <c r="CA20" s="19"/>
      <c r="CB20" s="17"/>
      <c r="CC20" s="14" t="s">
        <v>5082</v>
      </c>
      <c r="CD20" s="14" t="s">
        <v>5083</v>
      </c>
      <c r="CE20" s="14" t="s">
        <v>5004</v>
      </c>
    </row>
    <row r="21" spans="1:83" ht="26.15" customHeight="1">
      <c r="A21" s="13">
        <v>15</v>
      </c>
      <c r="B21" s="14" t="s">
        <v>1873</v>
      </c>
      <c r="C21" s="14" t="s">
        <v>1874</v>
      </c>
      <c r="D21" s="14" t="s">
        <v>376</v>
      </c>
      <c r="E21" s="13">
        <v>2016</v>
      </c>
      <c r="F21" s="14" t="s">
        <v>5189</v>
      </c>
      <c r="G21" s="14" t="s">
        <v>5190</v>
      </c>
      <c r="H21" s="14" t="s">
        <v>1258</v>
      </c>
      <c r="I21" s="15" t="s">
        <v>3117</v>
      </c>
      <c r="J21" s="16"/>
      <c r="K21" s="17">
        <v>43081</v>
      </c>
      <c r="L21" s="16" t="s">
        <v>5191</v>
      </c>
      <c r="M21" s="16">
        <v>30000</v>
      </c>
      <c r="N21" s="14" t="s">
        <v>5040</v>
      </c>
      <c r="O21" s="13">
        <v>3</v>
      </c>
      <c r="P21" s="17">
        <v>44055</v>
      </c>
      <c r="Q21" s="14"/>
      <c r="R21" s="17"/>
      <c r="S21" s="17"/>
      <c r="T21" s="14" t="s">
        <v>1</v>
      </c>
      <c r="U21" s="14" t="s">
        <v>5007</v>
      </c>
      <c r="V21" s="14" t="s">
        <v>5192</v>
      </c>
      <c r="W21" s="14"/>
      <c r="X21" s="14" t="s">
        <v>5193</v>
      </c>
      <c r="Y21" s="14"/>
      <c r="Z21" s="14" t="s">
        <v>5194</v>
      </c>
      <c r="AA21" s="14"/>
      <c r="AB21" s="14" t="s">
        <v>1258</v>
      </c>
      <c r="AC21" s="14" t="s">
        <v>5195</v>
      </c>
      <c r="AD21" s="14" t="s">
        <v>5196</v>
      </c>
      <c r="AE21" s="14" t="s">
        <v>5197</v>
      </c>
      <c r="AF21" s="14" t="s">
        <v>5198</v>
      </c>
      <c r="AG21" s="14" t="s">
        <v>5199</v>
      </c>
      <c r="AH21" s="18"/>
      <c r="AI21" s="16"/>
      <c r="AJ21" s="17"/>
      <c r="AK21" s="15" t="s">
        <v>3123</v>
      </c>
      <c r="AL21" s="17"/>
      <c r="AM21" s="16"/>
      <c r="AN21" s="14"/>
      <c r="AO21" s="14"/>
      <c r="AP21" s="15" t="s">
        <v>3123</v>
      </c>
      <c r="AQ21" s="14"/>
      <c r="AR21" s="17"/>
      <c r="AS21" s="16"/>
      <c r="AT21" s="14"/>
      <c r="AU21" s="15" t="s">
        <v>3123</v>
      </c>
      <c r="AV21" s="14"/>
      <c r="AW21" s="17"/>
      <c r="AX21" s="16"/>
      <c r="AY21" s="16"/>
      <c r="AZ21" s="16"/>
      <c r="BA21" s="16"/>
      <c r="BB21" s="15" t="s">
        <v>3123</v>
      </c>
      <c r="BC21" s="17"/>
      <c r="BD21" s="14"/>
      <c r="BE21" s="14"/>
      <c r="BF21" s="16"/>
      <c r="BG21" s="16"/>
      <c r="BH21" s="13"/>
      <c r="BI21" s="18" t="s">
        <v>5200</v>
      </c>
      <c r="BJ21" s="13">
        <v>200</v>
      </c>
      <c r="BK21" s="17">
        <v>44114</v>
      </c>
      <c r="BL21" s="18" t="s">
        <v>5201</v>
      </c>
      <c r="BM21" s="18"/>
      <c r="BN21" s="18" t="s">
        <v>5202</v>
      </c>
      <c r="BO21" s="18"/>
      <c r="BP21" s="14" t="s">
        <v>5203</v>
      </c>
      <c r="BQ21" s="17">
        <v>44055</v>
      </c>
      <c r="BR21" s="16"/>
      <c r="BS21" s="17"/>
      <c r="BT21" s="16"/>
      <c r="BU21" s="17"/>
      <c r="BV21" s="16"/>
      <c r="BW21" s="17"/>
      <c r="BX21" s="16"/>
      <c r="BY21" s="17"/>
      <c r="BZ21" s="19">
        <v>29.325495011518882</v>
      </c>
      <c r="CA21" s="19"/>
      <c r="CB21" s="17"/>
      <c r="CC21" s="14" t="s">
        <v>5204</v>
      </c>
      <c r="CD21" s="14" t="s">
        <v>5205</v>
      </c>
      <c r="CE21" s="14" t="s">
        <v>5004</v>
      </c>
    </row>
    <row r="22" spans="1:83" ht="26.15" customHeight="1">
      <c r="A22" s="13">
        <v>16</v>
      </c>
      <c r="B22" s="14" t="s">
        <v>580</v>
      </c>
      <c r="C22" s="14" t="s">
        <v>581</v>
      </c>
      <c r="D22" s="14" t="s">
        <v>585</v>
      </c>
      <c r="E22" s="13">
        <v>2017</v>
      </c>
      <c r="F22" s="14" t="s">
        <v>5206</v>
      </c>
      <c r="G22" s="14" t="s">
        <v>5207</v>
      </c>
      <c r="H22" s="14" t="s">
        <v>5208</v>
      </c>
      <c r="I22" s="15" t="s">
        <v>3117</v>
      </c>
      <c r="J22" s="16">
        <v>714179</v>
      </c>
      <c r="K22" s="17">
        <v>43853</v>
      </c>
      <c r="L22" s="16" t="s">
        <v>5209</v>
      </c>
      <c r="M22" s="16">
        <v>714179</v>
      </c>
      <c r="N22" s="14" t="s">
        <v>34</v>
      </c>
      <c r="O22" s="13">
        <v>3</v>
      </c>
      <c r="P22" s="17">
        <v>44025</v>
      </c>
      <c r="Q22" s="14"/>
      <c r="R22" s="17"/>
      <c r="S22" s="17"/>
      <c r="T22" s="14" t="s">
        <v>1</v>
      </c>
      <c r="U22" s="14" t="s">
        <v>5007</v>
      </c>
      <c r="V22" s="14" t="s">
        <v>5210</v>
      </c>
      <c r="W22" s="14"/>
      <c r="X22" s="14" t="s">
        <v>583</v>
      </c>
      <c r="Y22" s="14"/>
      <c r="Z22" s="14" t="s">
        <v>5211</v>
      </c>
      <c r="AA22" s="14"/>
      <c r="AB22" s="14" t="s">
        <v>5208</v>
      </c>
      <c r="AC22" s="14" t="s">
        <v>5212</v>
      </c>
      <c r="AD22" s="14" t="s">
        <v>5213</v>
      </c>
      <c r="AE22" s="14" t="s">
        <v>5214</v>
      </c>
      <c r="AF22" s="14" t="s">
        <v>5215</v>
      </c>
      <c r="AG22" s="14" t="s">
        <v>5216</v>
      </c>
      <c r="AH22" s="18"/>
      <c r="AI22" s="16"/>
      <c r="AJ22" s="17"/>
      <c r="AK22" s="15" t="s">
        <v>3123</v>
      </c>
      <c r="AL22" s="17"/>
      <c r="AM22" s="16"/>
      <c r="AN22" s="14"/>
      <c r="AO22" s="14"/>
      <c r="AP22" s="15" t="s">
        <v>3123</v>
      </c>
      <c r="AQ22" s="14"/>
      <c r="AR22" s="17"/>
      <c r="AS22" s="16"/>
      <c r="AT22" s="14"/>
      <c r="AU22" s="15" t="s">
        <v>3123</v>
      </c>
      <c r="AV22" s="14"/>
      <c r="AW22" s="17"/>
      <c r="AX22" s="16"/>
      <c r="AY22" s="16"/>
      <c r="AZ22" s="16"/>
      <c r="BA22" s="16"/>
      <c r="BB22" s="15" t="s">
        <v>3123</v>
      </c>
      <c r="BC22" s="17"/>
      <c r="BD22" s="14"/>
      <c r="BE22" s="14"/>
      <c r="BF22" s="16"/>
      <c r="BG22" s="16"/>
      <c r="BH22" s="13"/>
      <c r="BI22" s="18" t="s">
        <v>5217</v>
      </c>
      <c r="BJ22" s="13">
        <v>200</v>
      </c>
      <c r="BK22" s="17">
        <v>44137</v>
      </c>
      <c r="BL22" s="18" t="s">
        <v>5218</v>
      </c>
      <c r="BM22" s="18"/>
      <c r="BN22" s="18" t="s">
        <v>5219</v>
      </c>
      <c r="BO22" s="18" t="s">
        <v>5220</v>
      </c>
      <c r="BP22" s="14" t="s">
        <v>5221</v>
      </c>
      <c r="BQ22" s="17">
        <v>43798</v>
      </c>
      <c r="BR22" s="16"/>
      <c r="BS22" s="17"/>
      <c r="BT22" s="16"/>
      <c r="BU22" s="17"/>
      <c r="BV22" s="16"/>
      <c r="BW22" s="17"/>
      <c r="BX22" s="16"/>
      <c r="BY22" s="17"/>
      <c r="BZ22" s="19">
        <v>31.580177396318611</v>
      </c>
      <c r="CA22" s="19"/>
      <c r="CB22" s="17"/>
      <c r="CC22" s="14" t="s">
        <v>5082</v>
      </c>
      <c r="CD22" s="14" t="s">
        <v>5083</v>
      </c>
      <c r="CE22" s="14" t="s">
        <v>5004</v>
      </c>
    </row>
    <row r="23" spans="1:83" ht="26.15" customHeight="1">
      <c r="A23" s="13">
        <v>17</v>
      </c>
      <c r="B23" s="14" t="s">
        <v>419</v>
      </c>
      <c r="C23" s="14" t="s">
        <v>420</v>
      </c>
      <c r="D23" s="14" t="s">
        <v>423</v>
      </c>
      <c r="E23" s="13">
        <v>2019</v>
      </c>
      <c r="F23" s="14" t="s">
        <v>5222</v>
      </c>
      <c r="G23" s="14" t="s">
        <v>5223</v>
      </c>
      <c r="H23" s="14" t="s">
        <v>3994</v>
      </c>
      <c r="I23" s="15" t="s">
        <v>3117</v>
      </c>
      <c r="J23" s="16">
        <v>14591780</v>
      </c>
      <c r="K23" s="17">
        <v>43941</v>
      </c>
      <c r="L23" s="16" t="s">
        <v>5224</v>
      </c>
      <c r="M23" s="16">
        <v>12000000</v>
      </c>
      <c r="N23" s="14" t="s">
        <v>109</v>
      </c>
      <c r="O23" s="13">
        <v>4</v>
      </c>
      <c r="P23" s="17">
        <v>44014</v>
      </c>
      <c r="Q23" s="14" t="s">
        <v>5052</v>
      </c>
      <c r="R23" s="17">
        <v>44027</v>
      </c>
      <c r="S23" s="17">
        <v>43941</v>
      </c>
      <c r="T23" s="14" t="s">
        <v>5225</v>
      </c>
      <c r="U23" s="14" t="s">
        <v>5226</v>
      </c>
      <c r="V23" s="14" t="s">
        <v>5227</v>
      </c>
      <c r="W23" s="14"/>
      <c r="X23" s="14" t="s">
        <v>5228</v>
      </c>
      <c r="Y23" s="14" t="s">
        <v>768</v>
      </c>
      <c r="Z23" s="14" t="s">
        <v>5229</v>
      </c>
      <c r="AA23" s="14"/>
      <c r="AB23" s="14" t="s">
        <v>3994</v>
      </c>
      <c r="AC23" s="14" t="s">
        <v>5230</v>
      </c>
      <c r="AD23" s="14" t="s">
        <v>5231</v>
      </c>
      <c r="AE23" s="14" t="s">
        <v>5232</v>
      </c>
      <c r="AF23" s="14" t="s">
        <v>5233</v>
      </c>
      <c r="AG23" s="14" t="s">
        <v>5234</v>
      </c>
      <c r="AH23" s="18"/>
      <c r="AI23" s="16"/>
      <c r="AJ23" s="17"/>
      <c r="AK23" s="15" t="s">
        <v>3123</v>
      </c>
      <c r="AL23" s="17"/>
      <c r="AM23" s="16"/>
      <c r="AN23" s="14"/>
      <c r="AO23" s="14"/>
      <c r="AP23" s="15" t="s">
        <v>3123</v>
      </c>
      <c r="AQ23" s="14"/>
      <c r="AR23" s="17"/>
      <c r="AS23" s="16"/>
      <c r="AT23" s="14"/>
      <c r="AU23" s="15" t="s">
        <v>3123</v>
      </c>
      <c r="AV23" s="14"/>
      <c r="AW23" s="17"/>
      <c r="AX23" s="16"/>
      <c r="AY23" s="16"/>
      <c r="AZ23" s="16"/>
      <c r="BA23" s="16"/>
      <c r="BB23" s="15" t="s">
        <v>3123</v>
      </c>
      <c r="BC23" s="17"/>
      <c r="BD23" s="14"/>
      <c r="BE23" s="14"/>
      <c r="BF23" s="16"/>
      <c r="BG23" s="16"/>
      <c r="BH23" s="13"/>
      <c r="BI23" s="18" t="s">
        <v>5235</v>
      </c>
      <c r="BJ23" s="13">
        <v>200</v>
      </c>
      <c r="BK23" s="17">
        <v>44135</v>
      </c>
      <c r="BL23" s="18" t="s">
        <v>5236</v>
      </c>
      <c r="BM23" s="18"/>
      <c r="BN23" s="18"/>
      <c r="BO23" s="18"/>
      <c r="BP23" s="14" t="s">
        <v>5237</v>
      </c>
      <c r="BQ23" s="17">
        <v>43748</v>
      </c>
      <c r="BR23" s="16"/>
      <c r="BS23" s="17"/>
      <c r="BT23" s="16"/>
      <c r="BU23" s="17"/>
      <c r="BV23" s="16">
        <v>81000000</v>
      </c>
      <c r="BW23" s="17">
        <v>43949</v>
      </c>
      <c r="BX23" s="16">
        <v>32</v>
      </c>
      <c r="BY23" s="17">
        <v>44012</v>
      </c>
      <c r="BZ23" s="19">
        <v>52.177411754480069</v>
      </c>
      <c r="CA23" s="19"/>
      <c r="CB23" s="17"/>
      <c r="CC23" s="14" t="s">
        <v>5002</v>
      </c>
      <c r="CD23" s="14" t="s">
        <v>5003</v>
      </c>
      <c r="CE23" s="14" t="s">
        <v>5004</v>
      </c>
    </row>
    <row r="24" spans="1:83" ht="26.15" customHeight="1">
      <c r="A24" s="13">
        <v>18</v>
      </c>
      <c r="B24" s="14" t="s">
        <v>296</v>
      </c>
      <c r="C24" s="14" t="s">
        <v>297</v>
      </c>
      <c r="D24" s="14" t="s">
        <v>300</v>
      </c>
      <c r="E24" s="13">
        <v>2018</v>
      </c>
      <c r="F24" s="14" t="s">
        <v>5189</v>
      </c>
      <c r="G24" s="14" t="s">
        <v>5190</v>
      </c>
      <c r="H24" s="14" t="s">
        <v>1258</v>
      </c>
      <c r="I24" s="15" t="s">
        <v>3117</v>
      </c>
      <c r="J24" s="16">
        <v>1500000</v>
      </c>
      <c r="K24" s="17">
        <v>44004</v>
      </c>
      <c r="L24" s="16" t="s">
        <v>5134</v>
      </c>
      <c r="M24" s="16">
        <v>1000000</v>
      </c>
      <c r="N24" s="14" t="s">
        <v>34</v>
      </c>
      <c r="O24" s="13">
        <v>4</v>
      </c>
      <c r="P24" s="17">
        <v>44008</v>
      </c>
      <c r="Q24" s="14"/>
      <c r="R24" s="17"/>
      <c r="S24" s="17"/>
      <c r="T24" s="14" t="s">
        <v>1</v>
      </c>
      <c r="U24" s="14" t="s">
        <v>5007</v>
      </c>
      <c r="V24" s="14" t="s">
        <v>5238</v>
      </c>
      <c r="W24" s="14"/>
      <c r="X24" s="14" t="s">
        <v>5239</v>
      </c>
      <c r="Y24" s="14"/>
      <c r="Z24" s="14" t="s">
        <v>5240</v>
      </c>
      <c r="AA24" s="14"/>
      <c r="AB24" s="14" t="s">
        <v>1258</v>
      </c>
      <c r="AC24" s="14"/>
      <c r="AD24" s="14"/>
      <c r="AE24" s="14" t="s">
        <v>5241</v>
      </c>
      <c r="AF24" s="14" t="s">
        <v>5242</v>
      </c>
      <c r="AG24" s="14" t="s">
        <v>5243</v>
      </c>
      <c r="AH24" s="18"/>
      <c r="AI24" s="16"/>
      <c r="AJ24" s="17"/>
      <c r="AK24" s="15" t="s">
        <v>3123</v>
      </c>
      <c r="AL24" s="17"/>
      <c r="AM24" s="16"/>
      <c r="AN24" s="14"/>
      <c r="AO24" s="14"/>
      <c r="AP24" s="15" t="s">
        <v>3123</v>
      </c>
      <c r="AQ24" s="14"/>
      <c r="AR24" s="17"/>
      <c r="AS24" s="16"/>
      <c r="AT24" s="14"/>
      <c r="AU24" s="15" t="s">
        <v>3123</v>
      </c>
      <c r="AV24" s="14"/>
      <c r="AW24" s="17"/>
      <c r="AX24" s="16"/>
      <c r="AY24" s="16"/>
      <c r="AZ24" s="16"/>
      <c r="BA24" s="16"/>
      <c r="BB24" s="15" t="s">
        <v>3123</v>
      </c>
      <c r="BC24" s="17"/>
      <c r="BD24" s="14"/>
      <c r="BE24" s="14"/>
      <c r="BF24" s="16"/>
      <c r="BG24" s="16"/>
      <c r="BH24" s="13"/>
      <c r="BI24" s="18" t="s">
        <v>5244</v>
      </c>
      <c r="BJ24" s="13">
        <v>200</v>
      </c>
      <c r="BK24" s="17">
        <v>44136</v>
      </c>
      <c r="BL24" s="18" t="s">
        <v>5245</v>
      </c>
      <c r="BM24" s="18"/>
      <c r="BN24" s="18"/>
      <c r="BO24" s="18"/>
      <c r="BP24" s="14" t="s">
        <v>5246</v>
      </c>
      <c r="BQ24" s="17">
        <v>44006</v>
      </c>
      <c r="BR24" s="16"/>
      <c r="BS24" s="17"/>
      <c r="BT24" s="16"/>
      <c r="BU24" s="17"/>
      <c r="BV24" s="16"/>
      <c r="BW24" s="17"/>
      <c r="BX24" s="16"/>
      <c r="BY24" s="17"/>
      <c r="BZ24" s="19">
        <v>27.039710857817703</v>
      </c>
      <c r="CA24" s="19"/>
      <c r="CB24" s="17"/>
      <c r="CC24" s="14" t="s">
        <v>5247</v>
      </c>
      <c r="CD24" s="14" t="s">
        <v>5248</v>
      </c>
      <c r="CE24" s="14" t="s">
        <v>5249</v>
      </c>
    </row>
    <row r="25" spans="1:83" ht="26.15" customHeight="1">
      <c r="A25" s="13">
        <v>19</v>
      </c>
      <c r="B25" s="14" t="s">
        <v>596</v>
      </c>
      <c r="C25" s="14" t="s">
        <v>597</v>
      </c>
      <c r="D25" s="14" t="s">
        <v>600</v>
      </c>
      <c r="E25" s="13">
        <v>2019</v>
      </c>
      <c r="F25" s="14" t="s">
        <v>5250</v>
      </c>
      <c r="G25" s="14" t="s">
        <v>5251</v>
      </c>
      <c r="H25" s="14" t="s">
        <v>3994</v>
      </c>
      <c r="I25" s="15" t="s">
        <v>3117</v>
      </c>
      <c r="J25" s="16">
        <v>100085</v>
      </c>
      <c r="K25" s="17">
        <v>43835</v>
      </c>
      <c r="L25" s="16" t="s">
        <v>5252</v>
      </c>
      <c r="M25" s="16">
        <v>100085</v>
      </c>
      <c r="N25" s="14" t="s">
        <v>34</v>
      </c>
      <c r="O25" s="13">
        <v>4</v>
      </c>
      <c r="P25" s="17">
        <v>44067</v>
      </c>
      <c r="Q25" s="14"/>
      <c r="R25" s="17"/>
      <c r="S25" s="17"/>
      <c r="T25" s="14" t="s">
        <v>5253</v>
      </c>
      <c r="U25" s="14" t="s">
        <v>5254</v>
      </c>
      <c r="V25" s="14" t="s">
        <v>5255</v>
      </c>
      <c r="W25" s="14"/>
      <c r="X25" s="14" t="s">
        <v>5256</v>
      </c>
      <c r="Y25" s="14" t="s">
        <v>598</v>
      </c>
      <c r="Z25" s="14" t="s">
        <v>5257</v>
      </c>
      <c r="AA25" s="14"/>
      <c r="AB25" s="14" t="s">
        <v>3994</v>
      </c>
      <c r="AC25" s="14" t="s">
        <v>5258</v>
      </c>
      <c r="AD25" s="14" t="s">
        <v>5259</v>
      </c>
      <c r="AE25" s="14" t="s">
        <v>5260</v>
      </c>
      <c r="AF25" s="14" t="s">
        <v>5261</v>
      </c>
      <c r="AG25" s="14" t="s">
        <v>5262</v>
      </c>
      <c r="AH25" s="18"/>
      <c r="AI25" s="16"/>
      <c r="AJ25" s="17"/>
      <c r="AK25" s="15" t="s">
        <v>3123</v>
      </c>
      <c r="AL25" s="17"/>
      <c r="AM25" s="16"/>
      <c r="AN25" s="14"/>
      <c r="AO25" s="14"/>
      <c r="AP25" s="15" t="s">
        <v>3123</v>
      </c>
      <c r="AQ25" s="14"/>
      <c r="AR25" s="17"/>
      <c r="AS25" s="16"/>
      <c r="AT25" s="14"/>
      <c r="AU25" s="15" t="s">
        <v>3123</v>
      </c>
      <c r="AV25" s="14"/>
      <c r="AW25" s="17"/>
      <c r="AX25" s="16"/>
      <c r="AY25" s="16"/>
      <c r="AZ25" s="16"/>
      <c r="BA25" s="16"/>
      <c r="BB25" s="15" t="s">
        <v>3123</v>
      </c>
      <c r="BC25" s="17"/>
      <c r="BD25" s="14"/>
      <c r="BE25" s="14"/>
      <c r="BF25" s="16"/>
      <c r="BG25" s="16"/>
      <c r="BH25" s="13"/>
      <c r="BI25" s="18" t="s">
        <v>5263</v>
      </c>
      <c r="BJ25" s="13">
        <v>200</v>
      </c>
      <c r="BK25" s="17">
        <v>44136</v>
      </c>
      <c r="BL25" s="18"/>
      <c r="BM25" s="18"/>
      <c r="BN25" s="18"/>
      <c r="BO25" s="18"/>
      <c r="BP25" s="14" t="s">
        <v>5264</v>
      </c>
      <c r="BQ25" s="17">
        <v>43776</v>
      </c>
      <c r="BR25" s="16"/>
      <c r="BS25" s="17"/>
      <c r="BT25" s="16"/>
      <c r="BU25" s="17"/>
      <c r="BV25" s="16"/>
      <c r="BW25" s="17"/>
      <c r="BX25" s="16"/>
      <c r="BY25" s="17"/>
      <c r="BZ25" s="19">
        <v>22.897146754480914</v>
      </c>
      <c r="CA25" s="19"/>
      <c r="CB25" s="17"/>
      <c r="CC25" s="14" t="s">
        <v>5265</v>
      </c>
      <c r="CD25" s="14" t="s">
        <v>5091</v>
      </c>
      <c r="CE25" s="14" t="s">
        <v>5004</v>
      </c>
    </row>
    <row r="26" spans="1:83" ht="26.15" customHeight="1">
      <c r="A26" s="13">
        <v>20</v>
      </c>
      <c r="B26" s="14" t="s">
        <v>673</v>
      </c>
      <c r="C26" s="14" t="s">
        <v>674</v>
      </c>
      <c r="D26" s="14" t="s">
        <v>678</v>
      </c>
      <c r="E26" s="13">
        <v>2019</v>
      </c>
      <c r="F26" s="14" t="s">
        <v>5266</v>
      </c>
      <c r="G26" s="14" t="s">
        <v>5267</v>
      </c>
      <c r="H26" s="14" t="s">
        <v>2057</v>
      </c>
      <c r="I26" s="15" t="s">
        <v>3117</v>
      </c>
      <c r="J26" s="16">
        <v>1424460</v>
      </c>
      <c r="K26" s="17">
        <v>43783</v>
      </c>
      <c r="L26" s="16" t="s">
        <v>5134</v>
      </c>
      <c r="M26" s="16">
        <v>1424460</v>
      </c>
      <c r="N26" s="14" t="s">
        <v>34</v>
      </c>
      <c r="O26" s="13">
        <v>4</v>
      </c>
      <c r="P26" s="17">
        <v>43873</v>
      </c>
      <c r="Q26" s="14"/>
      <c r="R26" s="17"/>
      <c r="S26" s="17"/>
      <c r="T26" s="14" t="s">
        <v>4995</v>
      </c>
      <c r="U26" s="14" t="s">
        <v>4996</v>
      </c>
      <c r="V26" s="14" t="s">
        <v>5268</v>
      </c>
      <c r="W26" s="14"/>
      <c r="X26" s="14" t="s">
        <v>676</v>
      </c>
      <c r="Y26" s="14"/>
      <c r="Z26" s="14" t="s">
        <v>5269</v>
      </c>
      <c r="AA26" s="14"/>
      <c r="AB26" s="14" t="s">
        <v>2057</v>
      </c>
      <c r="AC26" s="14" t="s">
        <v>5270</v>
      </c>
      <c r="AD26" s="14" t="s">
        <v>5271</v>
      </c>
      <c r="AE26" s="14" t="s">
        <v>5272</v>
      </c>
      <c r="AF26" s="14"/>
      <c r="AG26" s="14"/>
      <c r="AH26" s="18"/>
      <c r="AI26" s="16"/>
      <c r="AJ26" s="17"/>
      <c r="AK26" s="15" t="s">
        <v>3123</v>
      </c>
      <c r="AL26" s="17"/>
      <c r="AM26" s="16"/>
      <c r="AN26" s="14"/>
      <c r="AO26" s="14"/>
      <c r="AP26" s="15" t="s">
        <v>3123</v>
      </c>
      <c r="AQ26" s="14"/>
      <c r="AR26" s="17"/>
      <c r="AS26" s="16"/>
      <c r="AT26" s="14"/>
      <c r="AU26" s="15" t="s">
        <v>3123</v>
      </c>
      <c r="AV26" s="14"/>
      <c r="AW26" s="17"/>
      <c r="AX26" s="16"/>
      <c r="AY26" s="16"/>
      <c r="AZ26" s="16"/>
      <c r="BA26" s="16"/>
      <c r="BB26" s="15" t="s">
        <v>3123</v>
      </c>
      <c r="BC26" s="17"/>
      <c r="BD26" s="14"/>
      <c r="BE26" s="14"/>
      <c r="BF26" s="16"/>
      <c r="BG26" s="16"/>
      <c r="BH26" s="13"/>
      <c r="BI26" s="18" t="s">
        <v>5273</v>
      </c>
      <c r="BJ26" s="13">
        <v>200</v>
      </c>
      <c r="BK26" s="17">
        <v>44136</v>
      </c>
      <c r="BL26" s="18"/>
      <c r="BM26" s="18"/>
      <c r="BN26" s="18"/>
      <c r="BO26" s="18"/>
      <c r="BP26" s="14" t="s">
        <v>5274</v>
      </c>
      <c r="BQ26" s="17">
        <v>43802</v>
      </c>
      <c r="BR26" s="16"/>
      <c r="BS26" s="17"/>
      <c r="BT26" s="16"/>
      <c r="BU26" s="17"/>
      <c r="BV26" s="16"/>
      <c r="BW26" s="17"/>
      <c r="BX26" s="16"/>
      <c r="BY26" s="17"/>
      <c r="BZ26" s="19">
        <v>17.426802676878328</v>
      </c>
      <c r="CA26" s="19"/>
      <c r="CB26" s="17"/>
      <c r="CC26" s="14" t="s">
        <v>5204</v>
      </c>
      <c r="CD26" s="14" t="s">
        <v>5205</v>
      </c>
      <c r="CE26" s="14" t="s">
        <v>5004</v>
      </c>
    </row>
    <row r="27" spans="1:83" ht="26.15" customHeight="1">
      <c r="A27" s="13">
        <v>21</v>
      </c>
      <c r="B27" s="14" t="s">
        <v>493</v>
      </c>
      <c r="C27" s="14" t="s">
        <v>494</v>
      </c>
      <c r="D27" s="14" t="s">
        <v>498</v>
      </c>
      <c r="E27" s="13">
        <v>2019</v>
      </c>
      <c r="F27" s="14" t="s">
        <v>5275</v>
      </c>
      <c r="G27" s="14" t="s">
        <v>5276</v>
      </c>
      <c r="H27" s="14" t="s">
        <v>5277</v>
      </c>
      <c r="I27" s="15" t="s">
        <v>3117</v>
      </c>
      <c r="J27" s="16">
        <v>10000000</v>
      </c>
      <c r="K27" s="17">
        <v>43909</v>
      </c>
      <c r="L27" s="16" t="s">
        <v>5165</v>
      </c>
      <c r="M27" s="16">
        <v>10000000</v>
      </c>
      <c r="N27" s="14" t="s">
        <v>109</v>
      </c>
      <c r="O27" s="13">
        <v>5</v>
      </c>
      <c r="P27" s="17">
        <v>44032</v>
      </c>
      <c r="Q27" s="14" t="s">
        <v>5052</v>
      </c>
      <c r="R27" s="17">
        <v>43917</v>
      </c>
      <c r="S27" s="17">
        <v>43910</v>
      </c>
      <c r="T27" s="14" t="s">
        <v>5278</v>
      </c>
      <c r="U27" s="14" t="s">
        <v>5279</v>
      </c>
      <c r="V27" s="14" t="s">
        <v>5280</v>
      </c>
      <c r="W27" s="14"/>
      <c r="X27" s="14" t="s">
        <v>5281</v>
      </c>
      <c r="Y27" s="14"/>
      <c r="Z27" s="14" t="s">
        <v>5282</v>
      </c>
      <c r="AA27" s="14"/>
      <c r="AB27" s="14" t="s">
        <v>5277</v>
      </c>
      <c r="AC27" s="14" t="s">
        <v>5283</v>
      </c>
      <c r="AD27" s="14" t="s">
        <v>5284</v>
      </c>
      <c r="AE27" s="14" t="s">
        <v>5285</v>
      </c>
      <c r="AF27" s="14" t="s">
        <v>5286</v>
      </c>
      <c r="AG27" s="14" t="s">
        <v>5287</v>
      </c>
      <c r="AH27" s="18"/>
      <c r="AI27" s="16"/>
      <c r="AJ27" s="17"/>
      <c r="AK27" s="15" t="s">
        <v>3123</v>
      </c>
      <c r="AL27" s="17"/>
      <c r="AM27" s="16"/>
      <c r="AN27" s="14"/>
      <c r="AO27" s="14"/>
      <c r="AP27" s="15" t="s">
        <v>3123</v>
      </c>
      <c r="AQ27" s="14"/>
      <c r="AR27" s="17"/>
      <c r="AS27" s="16"/>
      <c r="AT27" s="14"/>
      <c r="AU27" s="15" t="s">
        <v>3123</v>
      </c>
      <c r="AV27" s="14"/>
      <c r="AW27" s="17"/>
      <c r="AX27" s="16"/>
      <c r="AY27" s="16"/>
      <c r="AZ27" s="16"/>
      <c r="BA27" s="16"/>
      <c r="BB27" s="15" t="s">
        <v>3123</v>
      </c>
      <c r="BC27" s="17"/>
      <c r="BD27" s="14"/>
      <c r="BE27" s="14"/>
      <c r="BF27" s="16"/>
      <c r="BG27" s="16"/>
      <c r="BH27" s="13"/>
      <c r="BI27" s="18" t="s">
        <v>5288</v>
      </c>
      <c r="BJ27" s="13">
        <v>200</v>
      </c>
      <c r="BK27" s="17">
        <v>44136</v>
      </c>
      <c r="BL27" s="18" t="s">
        <v>5289</v>
      </c>
      <c r="BM27" s="18"/>
      <c r="BN27" s="18" t="s">
        <v>5290</v>
      </c>
      <c r="BO27" s="18" t="s">
        <v>5291</v>
      </c>
      <c r="BP27" s="14" t="s">
        <v>5292</v>
      </c>
      <c r="BQ27" s="17">
        <v>43747</v>
      </c>
      <c r="BR27" s="16"/>
      <c r="BS27" s="17"/>
      <c r="BT27" s="16"/>
      <c r="BU27" s="17"/>
      <c r="BV27" s="16"/>
      <c r="BW27" s="17"/>
      <c r="BX27" s="16"/>
      <c r="BY27" s="17"/>
      <c r="BZ27" s="19">
        <v>54.158641176005936</v>
      </c>
      <c r="CA27" s="19"/>
      <c r="CB27" s="17"/>
      <c r="CC27" s="14" t="s">
        <v>5293</v>
      </c>
      <c r="CD27" s="14" t="s">
        <v>5294</v>
      </c>
      <c r="CE27" s="14" t="s">
        <v>5004</v>
      </c>
    </row>
    <row r="28" spans="1:83" ht="26.15" customHeight="1">
      <c r="A28" s="13">
        <v>22</v>
      </c>
      <c r="B28" s="14" t="s">
        <v>281</v>
      </c>
      <c r="C28" s="14" t="s">
        <v>282</v>
      </c>
      <c r="D28" s="14" t="s">
        <v>287</v>
      </c>
      <c r="E28" s="13">
        <v>2018</v>
      </c>
      <c r="F28" s="14" t="s">
        <v>5295</v>
      </c>
      <c r="G28" s="14" t="s">
        <v>5296</v>
      </c>
      <c r="H28" s="14" t="s">
        <v>3994</v>
      </c>
      <c r="I28" s="15" t="s">
        <v>3117</v>
      </c>
      <c r="J28" s="16"/>
      <c r="K28" s="17">
        <v>44018</v>
      </c>
      <c r="L28" s="16"/>
      <c r="M28" s="16" t="s">
        <v>50</v>
      </c>
      <c r="N28" s="14" t="s">
        <v>34</v>
      </c>
      <c r="O28" s="13">
        <v>4</v>
      </c>
      <c r="P28" s="17">
        <v>44131</v>
      </c>
      <c r="Q28" s="14"/>
      <c r="R28" s="17"/>
      <c r="S28" s="17"/>
      <c r="T28" s="14" t="s">
        <v>1</v>
      </c>
      <c r="U28" s="14" t="s">
        <v>5084</v>
      </c>
      <c r="V28" s="14" t="s">
        <v>5297</v>
      </c>
      <c r="W28" s="14"/>
      <c r="X28" s="14" t="s">
        <v>5298</v>
      </c>
      <c r="Y28" s="14" t="s">
        <v>284</v>
      </c>
      <c r="Z28" s="14" t="s">
        <v>5299</v>
      </c>
      <c r="AA28" s="14"/>
      <c r="AB28" s="14" t="s">
        <v>3994</v>
      </c>
      <c r="AC28" s="14" t="s">
        <v>5300</v>
      </c>
      <c r="AD28" s="14" t="s">
        <v>5301</v>
      </c>
      <c r="AE28" s="14" t="s">
        <v>5302</v>
      </c>
      <c r="AF28" s="14" t="s">
        <v>5303</v>
      </c>
      <c r="AG28" s="14" t="s">
        <v>5304</v>
      </c>
      <c r="AH28" s="18"/>
      <c r="AI28" s="16"/>
      <c r="AJ28" s="17"/>
      <c r="AK28" s="15" t="s">
        <v>3123</v>
      </c>
      <c r="AL28" s="17"/>
      <c r="AM28" s="16"/>
      <c r="AN28" s="14"/>
      <c r="AO28" s="14"/>
      <c r="AP28" s="15" t="s">
        <v>3123</v>
      </c>
      <c r="AQ28" s="14"/>
      <c r="AR28" s="17"/>
      <c r="AS28" s="16"/>
      <c r="AT28" s="14"/>
      <c r="AU28" s="15" t="s">
        <v>3123</v>
      </c>
      <c r="AV28" s="14"/>
      <c r="AW28" s="17"/>
      <c r="AX28" s="16"/>
      <c r="AY28" s="16"/>
      <c r="AZ28" s="16"/>
      <c r="BA28" s="16"/>
      <c r="BB28" s="15" t="s">
        <v>3123</v>
      </c>
      <c r="BC28" s="17"/>
      <c r="BD28" s="14"/>
      <c r="BE28" s="14"/>
      <c r="BF28" s="16"/>
      <c r="BG28" s="16"/>
      <c r="BH28" s="13"/>
      <c r="BI28" s="18" t="s">
        <v>5305</v>
      </c>
      <c r="BJ28" s="13">
        <v>200</v>
      </c>
      <c r="BK28" s="17">
        <v>44136</v>
      </c>
      <c r="BL28" s="18" t="s">
        <v>5306</v>
      </c>
      <c r="BM28" s="18"/>
      <c r="BN28" s="18" t="s">
        <v>5307</v>
      </c>
      <c r="BO28" s="18"/>
      <c r="BP28" s="14" t="s">
        <v>5308</v>
      </c>
      <c r="BQ28" s="17">
        <v>43560</v>
      </c>
      <c r="BR28" s="16"/>
      <c r="BS28" s="17"/>
      <c r="BT28" s="16"/>
      <c r="BU28" s="17"/>
      <c r="BV28" s="16"/>
      <c r="BW28" s="17"/>
      <c r="BX28" s="16"/>
      <c r="BY28" s="17"/>
      <c r="BZ28" s="19">
        <v>30.243512439847393</v>
      </c>
      <c r="CA28" s="19"/>
      <c r="CB28" s="17"/>
      <c r="CC28" s="14" t="s">
        <v>5309</v>
      </c>
      <c r="CD28" s="14" t="s">
        <v>5310</v>
      </c>
      <c r="CE28" s="14" t="s">
        <v>5311</v>
      </c>
    </row>
    <row r="29" spans="1:83" ht="26.15" customHeight="1">
      <c r="A29" s="13">
        <v>23</v>
      </c>
      <c r="B29" s="14" t="s">
        <v>1407</v>
      </c>
      <c r="C29" s="14" t="s">
        <v>1408</v>
      </c>
      <c r="D29" s="14" t="s">
        <v>1409</v>
      </c>
      <c r="E29" s="13">
        <v>1969</v>
      </c>
      <c r="F29" s="14" t="s">
        <v>5312</v>
      </c>
      <c r="G29" s="14" t="s">
        <v>5313</v>
      </c>
      <c r="H29" s="14" t="s">
        <v>3994</v>
      </c>
      <c r="I29" s="15" t="s">
        <v>3117</v>
      </c>
      <c r="J29" s="16"/>
      <c r="K29" s="17">
        <v>43382</v>
      </c>
      <c r="L29" s="16"/>
      <c r="M29" s="16" t="s">
        <v>50</v>
      </c>
      <c r="N29" s="14" t="s">
        <v>5314</v>
      </c>
      <c r="O29" s="13">
        <v>4</v>
      </c>
      <c r="P29" s="17">
        <v>43971</v>
      </c>
      <c r="Q29" s="14"/>
      <c r="R29" s="17"/>
      <c r="S29" s="17"/>
      <c r="T29" s="14" t="s">
        <v>5315</v>
      </c>
      <c r="U29" s="14" t="s">
        <v>5316</v>
      </c>
      <c r="V29" s="14" t="s">
        <v>5317</v>
      </c>
      <c r="W29" s="14"/>
      <c r="X29" s="14"/>
      <c r="Y29" s="14"/>
      <c r="Z29" s="14" t="s">
        <v>5318</v>
      </c>
      <c r="AA29" s="14"/>
      <c r="AB29" s="14" t="s">
        <v>5319</v>
      </c>
      <c r="AC29" s="14" t="s">
        <v>5320</v>
      </c>
      <c r="AD29" s="14" t="s">
        <v>5321</v>
      </c>
      <c r="AE29" s="14" t="s">
        <v>5322</v>
      </c>
      <c r="AF29" s="14"/>
      <c r="AG29" s="14" t="s">
        <v>5323</v>
      </c>
      <c r="AH29" s="18"/>
      <c r="AI29" s="16"/>
      <c r="AJ29" s="17"/>
      <c r="AK29" s="15" t="s">
        <v>3123</v>
      </c>
      <c r="AL29" s="17"/>
      <c r="AM29" s="16"/>
      <c r="AN29" s="14"/>
      <c r="AO29" s="14" t="s">
        <v>5324</v>
      </c>
      <c r="AP29" s="15" t="s">
        <v>3123</v>
      </c>
      <c r="AQ29" s="14"/>
      <c r="AR29" s="17"/>
      <c r="AS29" s="16"/>
      <c r="AT29" s="14"/>
      <c r="AU29" s="15" t="s">
        <v>3117</v>
      </c>
      <c r="AV29" s="14" t="s">
        <v>5325</v>
      </c>
      <c r="AW29" s="17">
        <v>37442</v>
      </c>
      <c r="AX29" s="16"/>
      <c r="AY29" s="16"/>
      <c r="AZ29" s="16"/>
      <c r="BA29" s="16"/>
      <c r="BB29" s="15" t="s">
        <v>3123</v>
      </c>
      <c r="BC29" s="17"/>
      <c r="BD29" s="14"/>
      <c r="BE29" s="14"/>
      <c r="BF29" s="16"/>
      <c r="BG29" s="16"/>
      <c r="BH29" s="13"/>
      <c r="BI29" s="18" t="s">
        <v>5326</v>
      </c>
      <c r="BJ29" s="13">
        <v>200</v>
      </c>
      <c r="BK29" s="17">
        <v>44134</v>
      </c>
      <c r="BL29" s="18" t="s">
        <v>5327</v>
      </c>
      <c r="BM29" s="18" t="s">
        <v>5328</v>
      </c>
      <c r="BN29" s="18" t="s">
        <v>5329</v>
      </c>
      <c r="BO29" s="18"/>
      <c r="BP29" s="14" t="s">
        <v>5330</v>
      </c>
      <c r="BQ29" s="17">
        <v>43686</v>
      </c>
      <c r="BR29" s="16"/>
      <c r="BS29" s="17"/>
      <c r="BT29" s="16"/>
      <c r="BU29" s="17"/>
      <c r="BV29" s="16"/>
      <c r="BW29" s="17"/>
      <c r="BX29" s="16"/>
      <c r="BY29" s="17"/>
      <c r="BZ29" s="19">
        <v>63.625062939826556</v>
      </c>
      <c r="CA29" s="19"/>
      <c r="CB29" s="17"/>
      <c r="CC29" s="14" t="s">
        <v>5104</v>
      </c>
      <c r="CD29" s="14" t="s">
        <v>5037</v>
      </c>
      <c r="CE29" s="14" t="s">
        <v>5004</v>
      </c>
    </row>
    <row r="30" spans="1:83" ht="26.15" customHeight="1">
      <c r="A30" s="13">
        <v>24</v>
      </c>
      <c r="B30" s="14" t="s">
        <v>519</v>
      </c>
      <c r="C30" s="14" t="s">
        <v>520</v>
      </c>
      <c r="D30" s="14" t="s">
        <v>522</v>
      </c>
      <c r="E30" s="13">
        <v>2019</v>
      </c>
      <c r="F30" s="14" t="s">
        <v>5331</v>
      </c>
      <c r="G30" s="14" t="s">
        <v>5332</v>
      </c>
      <c r="H30" s="14" t="s">
        <v>5333</v>
      </c>
      <c r="I30" s="15" t="s">
        <v>3117</v>
      </c>
      <c r="J30" s="16"/>
      <c r="K30" s="17">
        <v>43899</v>
      </c>
      <c r="L30" s="16" t="s">
        <v>5334</v>
      </c>
      <c r="M30" s="16">
        <v>42500000</v>
      </c>
      <c r="N30" s="14" t="s">
        <v>5335</v>
      </c>
      <c r="O30" s="13">
        <v>4</v>
      </c>
      <c r="P30" s="17">
        <v>43966</v>
      </c>
      <c r="Q30" s="14"/>
      <c r="R30" s="17"/>
      <c r="S30" s="17"/>
      <c r="T30" s="14" t="s">
        <v>1</v>
      </c>
      <c r="U30" s="14" t="s">
        <v>5007</v>
      </c>
      <c r="V30" s="14" t="s">
        <v>5336</v>
      </c>
      <c r="W30" s="14"/>
      <c r="X30" s="14" t="s">
        <v>521</v>
      </c>
      <c r="Y30" s="14"/>
      <c r="Z30" s="14" t="s">
        <v>5337</v>
      </c>
      <c r="AA30" s="14"/>
      <c r="AB30" s="14" t="s">
        <v>5333</v>
      </c>
      <c r="AC30" s="14"/>
      <c r="AD30" s="14" t="s">
        <v>5338</v>
      </c>
      <c r="AE30" s="14" t="s">
        <v>5339</v>
      </c>
      <c r="AF30" s="14"/>
      <c r="AG30" s="14" t="s">
        <v>5340</v>
      </c>
      <c r="AH30" s="18"/>
      <c r="AI30" s="16"/>
      <c r="AJ30" s="17"/>
      <c r="AK30" s="15" t="s">
        <v>3123</v>
      </c>
      <c r="AL30" s="17"/>
      <c r="AM30" s="16"/>
      <c r="AN30" s="14"/>
      <c r="AO30" s="14"/>
      <c r="AP30" s="15" t="s">
        <v>3117</v>
      </c>
      <c r="AQ30" s="14" t="s">
        <v>5341</v>
      </c>
      <c r="AR30" s="17">
        <v>43412</v>
      </c>
      <c r="AS30" s="16"/>
      <c r="AT30" s="14" t="s">
        <v>5342</v>
      </c>
      <c r="AU30" s="15" t="s">
        <v>3123</v>
      </c>
      <c r="AV30" s="14"/>
      <c r="AW30" s="17"/>
      <c r="AX30" s="16"/>
      <c r="AY30" s="16"/>
      <c r="AZ30" s="16"/>
      <c r="BA30" s="16"/>
      <c r="BB30" s="15" t="s">
        <v>3123</v>
      </c>
      <c r="BC30" s="17"/>
      <c r="BD30" s="14"/>
      <c r="BE30" s="14"/>
      <c r="BF30" s="16"/>
      <c r="BG30" s="16"/>
      <c r="BH30" s="13"/>
      <c r="BI30" s="18" t="s">
        <v>5343</v>
      </c>
      <c r="BJ30" s="13">
        <v>200</v>
      </c>
      <c r="BK30" s="17">
        <v>44133</v>
      </c>
      <c r="BL30" s="18"/>
      <c r="BM30" s="18"/>
      <c r="BN30" s="18"/>
      <c r="BO30" s="18"/>
      <c r="BP30" s="14" t="s">
        <v>5344</v>
      </c>
      <c r="BQ30" s="17">
        <v>43900</v>
      </c>
      <c r="BR30" s="16"/>
      <c r="BS30" s="17"/>
      <c r="BT30" s="16"/>
      <c r="BU30" s="17"/>
      <c r="BV30" s="16"/>
      <c r="BW30" s="17"/>
      <c r="BX30" s="16"/>
      <c r="BY30" s="17"/>
      <c r="BZ30" s="19">
        <v>31.250217402851675</v>
      </c>
      <c r="CA30" s="19"/>
      <c r="CB30" s="17"/>
      <c r="CC30" s="14" t="s">
        <v>5345</v>
      </c>
      <c r="CD30" s="14" t="s">
        <v>5346</v>
      </c>
      <c r="CE30" s="14" t="s">
        <v>5311</v>
      </c>
    </row>
    <row r="31" spans="1:83" ht="26.15" customHeight="1">
      <c r="A31" s="13">
        <v>25</v>
      </c>
      <c r="B31" s="14" t="s">
        <v>930</v>
      </c>
      <c r="C31" s="14" t="s">
        <v>931</v>
      </c>
      <c r="D31" s="14" t="s">
        <v>935</v>
      </c>
      <c r="E31" s="13">
        <v>2016</v>
      </c>
      <c r="F31" s="14" t="s">
        <v>5347</v>
      </c>
      <c r="G31" s="14" t="s">
        <v>5348</v>
      </c>
      <c r="H31" s="14" t="s">
        <v>5208</v>
      </c>
      <c r="I31" s="15" t="s">
        <v>3117</v>
      </c>
      <c r="J31" s="16">
        <v>534750</v>
      </c>
      <c r="K31" s="17">
        <v>43661</v>
      </c>
      <c r="L31" s="16" t="s">
        <v>5349</v>
      </c>
      <c r="M31" s="16">
        <v>534750</v>
      </c>
      <c r="N31" s="14" t="s">
        <v>34</v>
      </c>
      <c r="O31" s="13">
        <v>3</v>
      </c>
      <c r="P31" s="17">
        <v>44055</v>
      </c>
      <c r="Q31" s="14"/>
      <c r="R31" s="17"/>
      <c r="S31" s="17"/>
      <c r="T31" s="14" t="s">
        <v>1</v>
      </c>
      <c r="U31" s="14" t="s">
        <v>5007</v>
      </c>
      <c r="V31" s="14" t="s">
        <v>5238</v>
      </c>
      <c r="W31" s="14"/>
      <c r="X31" s="14" t="s">
        <v>5350</v>
      </c>
      <c r="Y31" s="14"/>
      <c r="Z31" s="14" t="s">
        <v>5351</v>
      </c>
      <c r="AA31" s="14"/>
      <c r="AB31" s="14" t="s">
        <v>5208</v>
      </c>
      <c r="AC31" s="14" t="s">
        <v>5352</v>
      </c>
      <c r="AD31" s="14" t="s">
        <v>5353</v>
      </c>
      <c r="AE31" s="14" t="s">
        <v>5354</v>
      </c>
      <c r="AF31" s="14" t="s">
        <v>5355</v>
      </c>
      <c r="AG31" s="14" t="s">
        <v>5356</v>
      </c>
      <c r="AH31" s="18"/>
      <c r="AI31" s="16"/>
      <c r="AJ31" s="17"/>
      <c r="AK31" s="15" t="s">
        <v>3123</v>
      </c>
      <c r="AL31" s="17"/>
      <c r="AM31" s="16"/>
      <c r="AN31" s="14"/>
      <c r="AO31" s="14"/>
      <c r="AP31" s="15" t="s">
        <v>3123</v>
      </c>
      <c r="AQ31" s="14"/>
      <c r="AR31" s="17"/>
      <c r="AS31" s="16"/>
      <c r="AT31" s="14"/>
      <c r="AU31" s="15" t="s">
        <v>3123</v>
      </c>
      <c r="AV31" s="14"/>
      <c r="AW31" s="17"/>
      <c r="AX31" s="16"/>
      <c r="AY31" s="16"/>
      <c r="AZ31" s="16"/>
      <c r="BA31" s="16"/>
      <c r="BB31" s="15" t="s">
        <v>3123</v>
      </c>
      <c r="BC31" s="17"/>
      <c r="BD31" s="14"/>
      <c r="BE31" s="14"/>
      <c r="BF31" s="16"/>
      <c r="BG31" s="16"/>
      <c r="BH31" s="13"/>
      <c r="BI31" s="18" t="s">
        <v>5357</v>
      </c>
      <c r="BJ31" s="13">
        <v>200</v>
      </c>
      <c r="BK31" s="17">
        <v>44135</v>
      </c>
      <c r="BL31" s="18" t="s">
        <v>5358</v>
      </c>
      <c r="BM31" s="18"/>
      <c r="BN31" s="18" t="s">
        <v>5359</v>
      </c>
      <c r="BO31" s="18"/>
      <c r="BP31" s="14" t="s">
        <v>5360</v>
      </c>
      <c r="BQ31" s="17">
        <v>43542</v>
      </c>
      <c r="BR31" s="16"/>
      <c r="BS31" s="17"/>
      <c r="BT31" s="16"/>
      <c r="BU31" s="17"/>
      <c r="BV31" s="16"/>
      <c r="BW31" s="17"/>
      <c r="BX31" s="16"/>
      <c r="BY31" s="17"/>
      <c r="BZ31" s="19">
        <v>24.006133054811755</v>
      </c>
      <c r="CA31" s="19"/>
      <c r="CB31" s="17"/>
      <c r="CC31" s="14" t="s">
        <v>5345</v>
      </c>
      <c r="CD31" s="14" t="s">
        <v>5361</v>
      </c>
      <c r="CE31" s="14" t="s">
        <v>5311</v>
      </c>
    </row>
    <row r="32" spans="1:83" ht="26.15" customHeight="1">
      <c r="A32" s="13">
        <v>26</v>
      </c>
      <c r="B32" s="14" t="s">
        <v>88</v>
      </c>
      <c r="C32" s="14" t="s">
        <v>89</v>
      </c>
      <c r="D32" s="14" t="s">
        <v>93</v>
      </c>
      <c r="E32" s="13">
        <v>2019</v>
      </c>
      <c r="F32" s="14"/>
      <c r="G32" s="14" t="s">
        <v>5039</v>
      </c>
      <c r="H32" s="14" t="s">
        <v>3994</v>
      </c>
      <c r="I32" s="15" t="s">
        <v>3117</v>
      </c>
      <c r="J32" s="16"/>
      <c r="K32" s="17">
        <v>44117</v>
      </c>
      <c r="L32" s="16"/>
      <c r="M32" s="16" t="s">
        <v>50</v>
      </c>
      <c r="N32" s="14" t="s">
        <v>34</v>
      </c>
      <c r="O32" s="13">
        <v>4</v>
      </c>
      <c r="P32" s="17">
        <v>44123</v>
      </c>
      <c r="Q32" s="14"/>
      <c r="R32" s="17"/>
      <c r="S32" s="17"/>
      <c r="T32" s="14" t="s">
        <v>5362</v>
      </c>
      <c r="U32" s="14" t="s">
        <v>5363</v>
      </c>
      <c r="V32" s="14" t="s">
        <v>5364</v>
      </c>
      <c r="W32" s="14"/>
      <c r="X32" s="14" t="s">
        <v>91</v>
      </c>
      <c r="Y32" s="14"/>
      <c r="Z32" s="14" t="s">
        <v>5365</v>
      </c>
      <c r="AA32" s="14"/>
      <c r="AB32" s="14" t="s">
        <v>3994</v>
      </c>
      <c r="AC32" s="14" t="s">
        <v>5366</v>
      </c>
      <c r="AD32" s="14" t="s">
        <v>5367</v>
      </c>
      <c r="AE32" s="14"/>
      <c r="AF32" s="14"/>
      <c r="AG32" s="14"/>
      <c r="AH32" s="18"/>
      <c r="AI32" s="16"/>
      <c r="AJ32" s="17"/>
      <c r="AK32" s="15" t="s">
        <v>3123</v>
      </c>
      <c r="AL32" s="17"/>
      <c r="AM32" s="16"/>
      <c r="AN32" s="14"/>
      <c r="AO32" s="14"/>
      <c r="AP32" s="15" t="s">
        <v>3123</v>
      </c>
      <c r="AQ32" s="14"/>
      <c r="AR32" s="17"/>
      <c r="AS32" s="16"/>
      <c r="AT32" s="14"/>
      <c r="AU32" s="15" t="s">
        <v>3123</v>
      </c>
      <c r="AV32" s="14"/>
      <c r="AW32" s="17"/>
      <c r="AX32" s="16"/>
      <c r="AY32" s="16"/>
      <c r="AZ32" s="16"/>
      <c r="BA32" s="16"/>
      <c r="BB32" s="15" t="s">
        <v>3123</v>
      </c>
      <c r="BC32" s="17"/>
      <c r="BD32" s="14"/>
      <c r="BE32" s="14"/>
      <c r="BF32" s="16"/>
      <c r="BG32" s="16"/>
      <c r="BH32" s="13"/>
      <c r="BI32" s="18" t="s">
        <v>5368</v>
      </c>
      <c r="BJ32" s="13">
        <v>200</v>
      </c>
      <c r="BK32" s="17">
        <v>44114</v>
      </c>
      <c r="BL32" s="18"/>
      <c r="BM32" s="18"/>
      <c r="BN32" s="18"/>
      <c r="BO32" s="18"/>
      <c r="BP32" s="14" t="s">
        <v>5369</v>
      </c>
      <c r="BQ32" s="17">
        <v>43920</v>
      </c>
      <c r="BR32" s="16"/>
      <c r="BS32" s="17"/>
      <c r="BT32" s="16"/>
      <c r="BU32" s="17"/>
      <c r="BV32" s="16"/>
      <c r="BW32" s="17"/>
      <c r="BX32" s="16"/>
      <c r="BY32" s="17"/>
      <c r="BZ32" s="19">
        <v>32.021302735066918</v>
      </c>
      <c r="CA32" s="19"/>
      <c r="CB32" s="17"/>
      <c r="CC32" s="14" t="s">
        <v>5082</v>
      </c>
      <c r="CD32" s="14" t="s">
        <v>5083</v>
      </c>
      <c r="CE32" s="14" t="s">
        <v>5004</v>
      </c>
    </row>
    <row r="33" spans="1:83" ht="26.15" customHeight="1">
      <c r="A33" s="13">
        <v>27</v>
      </c>
      <c r="B33" s="14" t="s">
        <v>360</v>
      </c>
      <c r="C33" s="14" t="s">
        <v>361</v>
      </c>
      <c r="D33" s="14" t="s">
        <v>363</v>
      </c>
      <c r="E33" s="13">
        <v>2019</v>
      </c>
      <c r="F33" s="14"/>
      <c r="G33" s="14" t="s">
        <v>5370</v>
      </c>
      <c r="H33" s="14" t="s">
        <v>2057</v>
      </c>
      <c r="I33" s="15" t="s">
        <v>3117</v>
      </c>
      <c r="J33" s="16">
        <v>280183</v>
      </c>
      <c r="K33" s="17">
        <v>43977</v>
      </c>
      <c r="L33" s="16" t="s">
        <v>5371</v>
      </c>
      <c r="M33" s="16">
        <v>280183</v>
      </c>
      <c r="N33" s="14" t="s">
        <v>34</v>
      </c>
      <c r="O33" s="13">
        <v>4</v>
      </c>
      <c r="P33" s="17">
        <v>43990</v>
      </c>
      <c r="Q33" s="14"/>
      <c r="R33" s="17"/>
      <c r="S33" s="17"/>
      <c r="T33" s="14" t="s">
        <v>4995</v>
      </c>
      <c r="U33" s="14" t="s">
        <v>4996</v>
      </c>
      <c r="V33" s="14" t="s">
        <v>5268</v>
      </c>
      <c r="W33" s="14"/>
      <c r="X33" s="14"/>
      <c r="Y33" s="14"/>
      <c r="Z33" s="14" t="s">
        <v>5372</v>
      </c>
      <c r="AA33" s="14"/>
      <c r="AB33" s="14" t="s">
        <v>2057</v>
      </c>
      <c r="AC33" s="14"/>
      <c r="AD33" s="14" t="s">
        <v>5373</v>
      </c>
      <c r="AE33" s="14"/>
      <c r="AF33" s="14"/>
      <c r="AG33" s="14"/>
      <c r="AH33" s="18"/>
      <c r="AI33" s="16"/>
      <c r="AJ33" s="17"/>
      <c r="AK33" s="15" t="s">
        <v>3123</v>
      </c>
      <c r="AL33" s="17"/>
      <c r="AM33" s="16"/>
      <c r="AN33" s="14"/>
      <c r="AO33" s="14"/>
      <c r="AP33" s="15" t="s">
        <v>3123</v>
      </c>
      <c r="AQ33" s="14"/>
      <c r="AR33" s="17"/>
      <c r="AS33" s="16"/>
      <c r="AT33" s="14"/>
      <c r="AU33" s="15" t="s">
        <v>3123</v>
      </c>
      <c r="AV33" s="14"/>
      <c r="AW33" s="17"/>
      <c r="AX33" s="16"/>
      <c r="AY33" s="16"/>
      <c r="AZ33" s="16"/>
      <c r="BA33" s="16"/>
      <c r="BB33" s="15" t="s">
        <v>3123</v>
      </c>
      <c r="BC33" s="17"/>
      <c r="BD33" s="14"/>
      <c r="BE33" s="14"/>
      <c r="BF33" s="16"/>
      <c r="BG33" s="16"/>
      <c r="BH33" s="13"/>
      <c r="BI33" s="18" t="s">
        <v>5374</v>
      </c>
      <c r="BJ33" s="13">
        <v>200</v>
      </c>
      <c r="BK33" s="17">
        <v>44133</v>
      </c>
      <c r="BL33" s="18"/>
      <c r="BM33" s="18"/>
      <c r="BN33" s="18"/>
      <c r="BO33" s="18"/>
      <c r="BP33" s="14" t="s">
        <v>5375</v>
      </c>
      <c r="BQ33" s="17">
        <v>43985</v>
      </c>
      <c r="BR33" s="16"/>
      <c r="BS33" s="17"/>
      <c r="BT33" s="16"/>
      <c r="BU33" s="17"/>
      <c r="BV33" s="16"/>
      <c r="BW33" s="17"/>
      <c r="BX33" s="16"/>
      <c r="BY33" s="17"/>
      <c r="BZ33" s="19">
        <v>20.918293306059638</v>
      </c>
      <c r="CA33" s="19"/>
      <c r="CB33" s="17"/>
      <c r="CC33" s="14" t="s">
        <v>5082</v>
      </c>
      <c r="CD33" s="14" t="s">
        <v>5083</v>
      </c>
      <c r="CE33" s="14" t="s">
        <v>5004</v>
      </c>
    </row>
    <row r="34" spans="1:83" ht="26.15" customHeight="1">
      <c r="A34" s="13">
        <v>28</v>
      </c>
      <c r="B34" s="14" t="s">
        <v>1052</v>
      </c>
      <c r="C34" s="14" t="s">
        <v>1053</v>
      </c>
      <c r="D34" s="14" t="s">
        <v>1056</v>
      </c>
      <c r="E34" s="13">
        <v>2015</v>
      </c>
      <c r="F34" s="14" t="s">
        <v>5189</v>
      </c>
      <c r="G34" s="14" t="s">
        <v>5190</v>
      </c>
      <c r="H34" s="14" t="s">
        <v>1258</v>
      </c>
      <c r="I34" s="15" t="s">
        <v>3117</v>
      </c>
      <c r="J34" s="16">
        <v>100000</v>
      </c>
      <c r="K34" s="17">
        <v>43591</v>
      </c>
      <c r="L34" s="16" t="s">
        <v>5252</v>
      </c>
      <c r="M34" s="16">
        <v>100000</v>
      </c>
      <c r="N34" s="14" t="s">
        <v>34</v>
      </c>
      <c r="O34" s="13">
        <v>4</v>
      </c>
      <c r="P34" s="17">
        <v>44077</v>
      </c>
      <c r="Q34" s="14"/>
      <c r="R34" s="17"/>
      <c r="S34" s="17"/>
      <c r="T34" s="14" t="s">
        <v>1</v>
      </c>
      <c r="U34" s="14" t="s">
        <v>5135</v>
      </c>
      <c r="V34" s="14" t="s">
        <v>5376</v>
      </c>
      <c r="W34" s="14"/>
      <c r="X34" s="14" t="s">
        <v>5377</v>
      </c>
      <c r="Y34" s="14"/>
      <c r="Z34" s="14" t="s">
        <v>5378</v>
      </c>
      <c r="AA34" s="14"/>
      <c r="AB34" s="14" t="s">
        <v>1258</v>
      </c>
      <c r="AC34" s="14" t="s">
        <v>5379</v>
      </c>
      <c r="AD34" s="14" t="s">
        <v>5380</v>
      </c>
      <c r="AE34" s="14" t="s">
        <v>5381</v>
      </c>
      <c r="AF34" s="14" t="s">
        <v>5382</v>
      </c>
      <c r="AG34" s="14" t="s">
        <v>5383</v>
      </c>
      <c r="AH34" s="18"/>
      <c r="AI34" s="16"/>
      <c r="AJ34" s="17"/>
      <c r="AK34" s="15" t="s">
        <v>3123</v>
      </c>
      <c r="AL34" s="17"/>
      <c r="AM34" s="16"/>
      <c r="AN34" s="14"/>
      <c r="AO34" s="14"/>
      <c r="AP34" s="15" t="s">
        <v>3123</v>
      </c>
      <c r="AQ34" s="14"/>
      <c r="AR34" s="17"/>
      <c r="AS34" s="16"/>
      <c r="AT34" s="14"/>
      <c r="AU34" s="15" t="s">
        <v>3123</v>
      </c>
      <c r="AV34" s="14"/>
      <c r="AW34" s="17"/>
      <c r="AX34" s="16"/>
      <c r="AY34" s="16"/>
      <c r="AZ34" s="16"/>
      <c r="BA34" s="16"/>
      <c r="BB34" s="15" t="s">
        <v>3123</v>
      </c>
      <c r="BC34" s="17"/>
      <c r="BD34" s="14"/>
      <c r="BE34" s="14"/>
      <c r="BF34" s="16"/>
      <c r="BG34" s="16"/>
      <c r="BH34" s="13"/>
      <c r="BI34" s="18" t="s">
        <v>5384</v>
      </c>
      <c r="BJ34" s="13">
        <v>200</v>
      </c>
      <c r="BK34" s="17">
        <v>44134</v>
      </c>
      <c r="BL34" s="18" t="s">
        <v>5385</v>
      </c>
      <c r="BM34" s="18"/>
      <c r="BN34" s="18"/>
      <c r="BO34" s="18"/>
      <c r="BP34" s="14" t="s">
        <v>5386</v>
      </c>
      <c r="BQ34" s="17">
        <v>43497</v>
      </c>
      <c r="BR34" s="16"/>
      <c r="BS34" s="17"/>
      <c r="BT34" s="16"/>
      <c r="BU34" s="17"/>
      <c r="BV34" s="16"/>
      <c r="BW34" s="17"/>
      <c r="BX34" s="16"/>
      <c r="BY34" s="17"/>
      <c r="BZ34" s="19">
        <v>21.498619822738245</v>
      </c>
      <c r="CA34" s="19"/>
      <c r="CB34" s="17"/>
      <c r="CC34" s="14" t="s">
        <v>5387</v>
      </c>
      <c r="CD34" s="14" t="s">
        <v>5388</v>
      </c>
      <c r="CE34" s="14" t="s">
        <v>5311</v>
      </c>
    </row>
    <row r="35" spans="1:83" ht="26.15" customHeight="1">
      <c r="A35" s="13">
        <v>29</v>
      </c>
      <c r="B35" s="14" t="s">
        <v>656</v>
      </c>
      <c r="C35" s="14" t="s">
        <v>657</v>
      </c>
      <c r="D35" s="14" t="s">
        <v>660</v>
      </c>
      <c r="E35" s="13">
        <v>2017</v>
      </c>
      <c r="F35" s="14" t="s">
        <v>5389</v>
      </c>
      <c r="G35" s="14" t="s">
        <v>5390</v>
      </c>
      <c r="H35" s="14" t="s">
        <v>5391</v>
      </c>
      <c r="I35" s="15" t="s">
        <v>3117</v>
      </c>
      <c r="J35" s="16">
        <v>250000</v>
      </c>
      <c r="K35" s="17">
        <v>43804</v>
      </c>
      <c r="L35" s="16" t="s">
        <v>5392</v>
      </c>
      <c r="M35" s="16">
        <v>250000</v>
      </c>
      <c r="N35" s="14" t="s">
        <v>34</v>
      </c>
      <c r="O35" s="13">
        <v>3</v>
      </c>
      <c r="P35" s="17">
        <v>44033</v>
      </c>
      <c r="Q35" s="14"/>
      <c r="R35" s="17"/>
      <c r="S35" s="17"/>
      <c r="T35" s="14" t="s">
        <v>1</v>
      </c>
      <c r="U35" s="14" t="s">
        <v>5007</v>
      </c>
      <c r="V35" s="14" t="s">
        <v>5393</v>
      </c>
      <c r="W35" s="14"/>
      <c r="X35" s="14" t="s">
        <v>659</v>
      </c>
      <c r="Y35" s="14"/>
      <c r="Z35" s="14" t="s">
        <v>5394</v>
      </c>
      <c r="AA35" s="14"/>
      <c r="AB35" s="14" t="s">
        <v>5391</v>
      </c>
      <c r="AC35" s="14" t="s">
        <v>5395</v>
      </c>
      <c r="AD35" s="14"/>
      <c r="AE35" s="14" t="s">
        <v>5396</v>
      </c>
      <c r="AF35" s="14" t="s">
        <v>5397</v>
      </c>
      <c r="AG35" s="14" t="s">
        <v>5398</v>
      </c>
      <c r="AH35" s="18"/>
      <c r="AI35" s="16"/>
      <c r="AJ35" s="17"/>
      <c r="AK35" s="15" t="s">
        <v>3123</v>
      </c>
      <c r="AL35" s="17"/>
      <c r="AM35" s="16"/>
      <c r="AN35" s="14"/>
      <c r="AO35" s="14"/>
      <c r="AP35" s="15" t="s">
        <v>3123</v>
      </c>
      <c r="AQ35" s="14"/>
      <c r="AR35" s="17"/>
      <c r="AS35" s="16"/>
      <c r="AT35" s="14"/>
      <c r="AU35" s="15" t="s">
        <v>3123</v>
      </c>
      <c r="AV35" s="14"/>
      <c r="AW35" s="17"/>
      <c r="AX35" s="16"/>
      <c r="AY35" s="16"/>
      <c r="AZ35" s="16"/>
      <c r="BA35" s="16"/>
      <c r="BB35" s="15" t="s">
        <v>3123</v>
      </c>
      <c r="BC35" s="17"/>
      <c r="BD35" s="14"/>
      <c r="BE35" s="14"/>
      <c r="BF35" s="16"/>
      <c r="BG35" s="16"/>
      <c r="BH35" s="13"/>
      <c r="BI35" s="18" t="s">
        <v>5399</v>
      </c>
      <c r="BJ35" s="13">
        <v>-1</v>
      </c>
      <c r="BK35" s="17">
        <v>44113</v>
      </c>
      <c r="BL35" s="18"/>
      <c r="BM35" s="18"/>
      <c r="BN35" s="18"/>
      <c r="BO35" s="18"/>
      <c r="BP35" s="14" t="s">
        <v>5400</v>
      </c>
      <c r="BQ35" s="17">
        <v>44033</v>
      </c>
      <c r="BR35" s="16"/>
      <c r="BS35" s="17"/>
      <c r="BT35" s="16"/>
      <c r="BU35" s="17"/>
      <c r="BV35" s="16"/>
      <c r="BW35" s="17"/>
      <c r="BX35" s="16"/>
      <c r="BY35" s="17"/>
      <c r="BZ35" s="19">
        <v>13.479899169694928</v>
      </c>
      <c r="CA35" s="19"/>
      <c r="CB35" s="17"/>
      <c r="CC35" s="14" t="s">
        <v>5401</v>
      </c>
      <c r="CD35" s="14" t="s">
        <v>5402</v>
      </c>
      <c r="CE35" s="14" t="s">
        <v>5004</v>
      </c>
    </row>
    <row r="36" spans="1:83" ht="26.15" customHeight="1">
      <c r="A36" s="13">
        <v>30</v>
      </c>
      <c r="B36" s="14" t="s">
        <v>820</v>
      </c>
      <c r="C36" s="14" t="s">
        <v>821</v>
      </c>
      <c r="D36" s="14" t="s">
        <v>823</v>
      </c>
      <c r="E36" s="13">
        <v>2016</v>
      </c>
      <c r="F36" s="14" t="s">
        <v>5005</v>
      </c>
      <c r="G36" s="14" t="s">
        <v>5006</v>
      </c>
      <c r="H36" s="14" t="s">
        <v>3994</v>
      </c>
      <c r="I36" s="15" t="s">
        <v>3117</v>
      </c>
      <c r="J36" s="16">
        <v>663059</v>
      </c>
      <c r="K36" s="17">
        <v>43732</v>
      </c>
      <c r="L36" s="16" t="s">
        <v>5403</v>
      </c>
      <c r="M36" s="16">
        <v>649111</v>
      </c>
      <c r="N36" s="14" t="s">
        <v>34</v>
      </c>
      <c r="O36" s="13">
        <v>3</v>
      </c>
      <c r="P36" s="17">
        <v>44098</v>
      </c>
      <c r="Q36" s="14"/>
      <c r="R36" s="17"/>
      <c r="S36" s="17"/>
      <c r="T36" s="14" t="s">
        <v>1</v>
      </c>
      <c r="U36" s="14" t="s">
        <v>5007</v>
      </c>
      <c r="V36" s="14" t="s">
        <v>5238</v>
      </c>
      <c r="W36" s="14"/>
      <c r="X36" s="14" t="s">
        <v>870</v>
      </c>
      <c r="Y36" s="14" t="s">
        <v>822</v>
      </c>
      <c r="Z36" s="14" t="s">
        <v>5404</v>
      </c>
      <c r="AA36" s="14"/>
      <c r="AB36" s="14" t="s">
        <v>3994</v>
      </c>
      <c r="AC36" s="14"/>
      <c r="AD36" s="14" t="s">
        <v>5405</v>
      </c>
      <c r="AE36" s="14" t="s">
        <v>5406</v>
      </c>
      <c r="AF36" s="14" t="s">
        <v>5407</v>
      </c>
      <c r="AG36" s="14" t="s">
        <v>5408</v>
      </c>
      <c r="AH36" s="18"/>
      <c r="AI36" s="16">
        <v>63800</v>
      </c>
      <c r="AJ36" s="17">
        <v>43465</v>
      </c>
      <c r="AK36" s="15" t="s">
        <v>3123</v>
      </c>
      <c r="AL36" s="17"/>
      <c r="AM36" s="16"/>
      <c r="AN36" s="14"/>
      <c r="AO36" s="14"/>
      <c r="AP36" s="15" t="s">
        <v>3123</v>
      </c>
      <c r="AQ36" s="14"/>
      <c r="AR36" s="17"/>
      <c r="AS36" s="16"/>
      <c r="AT36" s="14"/>
      <c r="AU36" s="15" t="s">
        <v>3123</v>
      </c>
      <c r="AV36" s="14"/>
      <c r="AW36" s="17"/>
      <c r="AX36" s="16"/>
      <c r="AY36" s="16"/>
      <c r="AZ36" s="16"/>
      <c r="BA36" s="16"/>
      <c r="BB36" s="15" t="s">
        <v>3123</v>
      </c>
      <c r="BC36" s="17"/>
      <c r="BD36" s="14"/>
      <c r="BE36" s="14"/>
      <c r="BF36" s="16"/>
      <c r="BG36" s="16"/>
      <c r="BH36" s="13"/>
      <c r="BI36" s="18" t="s">
        <v>5409</v>
      </c>
      <c r="BJ36" s="13">
        <v>200</v>
      </c>
      <c r="BK36" s="17">
        <v>44134</v>
      </c>
      <c r="BL36" s="18" t="s">
        <v>5410</v>
      </c>
      <c r="BM36" s="18"/>
      <c r="BN36" s="18" t="s">
        <v>5411</v>
      </c>
      <c r="BO36" s="18" t="s">
        <v>5412</v>
      </c>
      <c r="BP36" s="14" t="s">
        <v>5413</v>
      </c>
      <c r="BQ36" s="17">
        <v>43472</v>
      </c>
      <c r="BR36" s="16">
        <v>-39900</v>
      </c>
      <c r="BS36" s="17">
        <v>43465</v>
      </c>
      <c r="BT36" s="16">
        <v>-38100</v>
      </c>
      <c r="BU36" s="17">
        <v>43465</v>
      </c>
      <c r="BV36" s="16">
        <v>9000000</v>
      </c>
      <c r="BW36" s="17">
        <v>43732</v>
      </c>
      <c r="BX36" s="16"/>
      <c r="BY36" s="17"/>
      <c r="BZ36" s="19">
        <v>15.05249889407367</v>
      </c>
      <c r="CA36" s="19"/>
      <c r="CB36" s="17"/>
      <c r="CC36" s="14" t="s">
        <v>5036</v>
      </c>
      <c r="CD36" s="14" t="s">
        <v>5037</v>
      </c>
      <c r="CE36" s="14" t="s">
        <v>5004</v>
      </c>
    </row>
    <row r="37" spans="1:83" ht="26.15" customHeight="1">
      <c r="A37" s="13">
        <v>31</v>
      </c>
      <c r="B37" s="14" t="s">
        <v>1276</v>
      </c>
      <c r="C37" s="14" t="s">
        <v>1277</v>
      </c>
      <c r="D37" s="14" t="s">
        <v>1279</v>
      </c>
      <c r="E37" s="13">
        <v>2018</v>
      </c>
      <c r="F37" s="14" t="s">
        <v>5414</v>
      </c>
      <c r="G37" s="14" t="s">
        <v>5415</v>
      </c>
      <c r="H37" s="14" t="s">
        <v>5416</v>
      </c>
      <c r="I37" s="15" t="s">
        <v>3117</v>
      </c>
      <c r="J37" s="16">
        <v>274805</v>
      </c>
      <c r="K37" s="17">
        <v>43458</v>
      </c>
      <c r="L37" s="16" t="s">
        <v>5417</v>
      </c>
      <c r="M37" s="16">
        <v>274805</v>
      </c>
      <c r="N37" s="14" t="s">
        <v>34</v>
      </c>
      <c r="O37" s="13">
        <v>4</v>
      </c>
      <c r="P37" s="17">
        <v>44032</v>
      </c>
      <c r="Q37" s="14"/>
      <c r="R37" s="17"/>
      <c r="S37" s="17"/>
      <c r="T37" s="14" t="s">
        <v>4995</v>
      </c>
      <c r="U37" s="14" t="s">
        <v>4996</v>
      </c>
      <c r="V37" s="14" t="s">
        <v>5418</v>
      </c>
      <c r="W37" s="14"/>
      <c r="X37" s="14"/>
      <c r="Y37" s="14"/>
      <c r="Z37" s="14" t="s">
        <v>5419</v>
      </c>
      <c r="AA37" s="14"/>
      <c r="AB37" s="14" t="s">
        <v>5416</v>
      </c>
      <c r="AC37" s="14" t="s">
        <v>5420</v>
      </c>
      <c r="AD37" s="14"/>
      <c r="AE37" s="14"/>
      <c r="AF37" s="14"/>
      <c r="AG37" s="14"/>
      <c r="AH37" s="18"/>
      <c r="AI37" s="16"/>
      <c r="AJ37" s="17"/>
      <c r="AK37" s="15" t="s">
        <v>3123</v>
      </c>
      <c r="AL37" s="17"/>
      <c r="AM37" s="16"/>
      <c r="AN37" s="14"/>
      <c r="AO37" s="14"/>
      <c r="AP37" s="15" t="s">
        <v>3123</v>
      </c>
      <c r="AQ37" s="14"/>
      <c r="AR37" s="17"/>
      <c r="AS37" s="16"/>
      <c r="AT37" s="14"/>
      <c r="AU37" s="15" t="s">
        <v>3123</v>
      </c>
      <c r="AV37" s="14"/>
      <c r="AW37" s="17"/>
      <c r="AX37" s="16"/>
      <c r="AY37" s="16"/>
      <c r="AZ37" s="16"/>
      <c r="BA37" s="16"/>
      <c r="BB37" s="15" t="s">
        <v>3123</v>
      </c>
      <c r="BC37" s="17"/>
      <c r="BD37" s="14" t="s">
        <v>5421</v>
      </c>
      <c r="BE37" s="14"/>
      <c r="BF37" s="16"/>
      <c r="BG37" s="16"/>
      <c r="BH37" s="13"/>
      <c r="BI37" s="18" t="s">
        <v>5422</v>
      </c>
      <c r="BJ37" s="13">
        <v>521</v>
      </c>
      <c r="BK37" s="17">
        <v>44113</v>
      </c>
      <c r="BL37" s="18"/>
      <c r="BM37" s="18"/>
      <c r="BN37" s="18"/>
      <c r="BO37" s="18"/>
      <c r="BP37" s="14" t="s">
        <v>5423</v>
      </c>
      <c r="BQ37" s="17">
        <v>43634</v>
      </c>
      <c r="BR37" s="16"/>
      <c r="BS37" s="17"/>
      <c r="BT37" s="16"/>
      <c r="BU37" s="17"/>
      <c r="BV37" s="16"/>
      <c r="BW37" s="17"/>
      <c r="BX37" s="16"/>
      <c r="BY37" s="17"/>
      <c r="BZ37" s="19">
        <v>21.058891877863324</v>
      </c>
      <c r="CA37" s="19"/>
      <c r="CB37" s="17"/>
      <c r="CC37" s="14" t="s">
        <v>5082</v>
      </c>
      <c r="CD37" s="14" t="s">
        <v>5424</v>
      </c>
      <c r="CE37" s="14" t="s">
        <v>5311</v>
      </c>
    </row>
    <row r="38" spans="1:83" ht="26.15" customHeight="1">
      <c r="A38" s="13">
        <v>32</v>
      </c>
      <c r="B38" s="14" t="s">
        <v>2083</v>
      </c>
      <c r="C38" s="14" t="s">
        <v>2084</v>
      </c>
      <c r="D38" s="14" t="s">
        <v>2087</v>
      </c>
      <c r="E38" s="13">
        <v>2016</v>
      </c>
      <c r="F38" s="14" t="s">
        <v>5389</v>
      </c>
      <c r="G38" s="14" t="s">
        <v>5390</v>
      </c>
      <c r="H38" s="14" t="s">
        <v>5391</v>
      </c>
      <c r="I38" s="15" t="s">
        <v>3117</v>
      </c>
      <c r="J38" s="16">
        <v>50000</v>
      </c>
      <c r="K38" s="17">
        <v>42887</v>
      </c>
      <c r="L38" s="16" t="s">
        <v>5425</v>
      </c>
      <c r="M38" s="16">
        <v>50000</v>
      </c>
      <c r="N38" s="14" t="s">
        <v>34</v>
      </c>
      <c r="O38" s="13">
        <v>4</v>
      </c>
      <c r="P38" s="17">
        <v>44012</v>
      </c>
      <c r="Q38" s="14"/>
      <c r="R38" s="17"/>
      <c r="S38" s="17"/>
      <c r="T38" s="14" t="s">
        <v>5426</v>
      </c>
      <c r="U38" s="14" t="s">
        <v>5427</v>
      </c>
      <c r="V38" s="14" t="s">
        <v>5428</v>
      </c>
      <c r="W38" s="14"/>
      <c r="X38" s="14" t="s">
        <v>2086</v>
      </c>
      <c r="Y38" s="14"/>
      <c r="Z38" s="14" t="s">
        <v>5429</v>
      </c>
      <c r="AA38" s="14"/>
      <c r="AB38" s="14" t="s">
        <v>5391</v>
      </c>
      <c r="AC38" s="14" t="s">
        <v>5430</v>
      </c>
      <c r="AD38" s="14"/>
      <c r="AE38" s="14" t="s">
        <v>5431</v>
      </c>
      <c r="AF38" s="14" t="s">
        <v>5432</v>
      </c>
      <c r="AG38" s="14" t="s">
        <v>5433</v>
      </c>
      <c r="AH38" s="18"/>
      <c r="AI38" s="16"/>
      <c r="AJ38" s="17"/>
      <c r="AK38" s="15" t="s">
        <v>3123</v>
      </c>
      <c r="AL38" s="17"/>
      <c r="AM38" s="16"/>
      <c r="AN38" s="14"/>
      <c r="AO38" s="14"/>
      <c r="AP38" s="15" t="s">
        <v>3123</v>
      </c>
      <c r="AQ38" s="14"/>
      <c r="AR38" s="17"/>
      <c r="AS38" s="16"/>
      <c r="AT38" s="14"/>
      <c r="AU38" s="15" t="s">
        <v>3123</v>
      </c>
      <c r="AV38" s="14"/>
      <c r="AW38" s="17"/>
      <c r="AX38" s="16"/>
      <c r="AY38" s="16"/>
      <c r="AZ38" s="16"/>
      <c r="BA38" s="16"/>
      <c r="BB38" s="15" t="s">
        <v>3123</v>
      </c>
      <c r="BC38" s="17"/>
      <c r="BD38" s="14"/>
      <c r="BE38" s="14"/>
      <c r="BF38" s="16"/>
      <c r="BG38" s="16"/>
      <c r="BH38" s="13"/>
      <c r="BI38" s="18" t="s">
        <v>5434</v>
      </c>
      <c r="BJ38" s="13">
        <v>503</v>
      </c>
      <c r="BK38" s="17">
        <v>44132</v>
      </c>
      <c r="BL38" s="18" t="s">
        <v>5435</v>
      </c>
      <c r="BM38" s="18" t="s">
        <v>5436</v>
      </c>
      <c r="BN38" s="18" t="s">
        <v>5437</v>
      </c>
      <c r="BO38" s="18"/>
      <c r="BP38" s="14" t="s">
        <v>5438</v>
      </c>
      <c r="BQ38" s="17">
        <v>43508</v>
      </c>
      <c r="BR38" s="16"/>
      <c r="BS38" s="17"/>
      <c r="BT38" s="16"/>
      <c r="BU38" s="17"/>
      <c r="BV38" s="16"/>
      <c r="BW38" s="17"/>
      <c r="BX38" s="16"/>
      <c r="BY38" s="17"/>
      <c r="BZ38" s="19">
        <v>29.409156041498591</v>
      </c>
      <c r="CA38" s="19"/>
      <c r="CB38" s="17"/>
      <c r="CC38" s="14" t="s">
        <v>5104</v>
      </c>
      <c r="CD38" s="14" t="s">
        <v>5439</v>
      </c>
      <c r="CE38" s="14" t="s">
        <v>5311</v>
      </c>
    </row>
    <row r="39" spans="1:83" ht="26.15" customHeight="1">
      <c r="A39" s="13">
        <v>33</v>
      </c>
      <c r="B39" s="14" t="s">
        <v>1353</v>
      </c>
      <c r="C39" s="14" t="s">
        <v>1354</v>
      </c>
      <c r="D39" s="14" t="s">
        <v>1356</v>
      </c>
      <c r="E39" s="13">
        <v>2013</v>
      </c>
      <c r="F39" s="14" t="s">
        <v>5440</v>
      </c>
      <c r="G39" s="14" t="s">
        <v>5441</v>
      </c>
      <c r="H39" s="14" t="s">
        <v>1740</v>
      </c>
      <c r="I39" s="15" t="s">
        <v>3117</v>
      </c>
      <c r="J39" s="16"/>
      <c r="K39" s="17">
        <v>43411</v>
      </c>
      <c r="L39" s="16"/>
      <c r="M39" s="16" t="s">
        <v>50</v>
      </c>
      <c r="N39" s="14" t="s">
        <v>5040</v>
      </c>
      <c r="O39" s="13">
        <v>3</v>
      </c>
      <c r="P39" s="17">
        <v>44018</v>
      </c>
      <c r="Q39" s="14"/>
      <c r="R39" s="17"/>
      <c r="S39" s="17"/>
      <c r="T39" s="14" t="s">
        <v>5442</v>
      </c>
      <c r="U39" s="14" t="s">
        <v>5443</v>
      </c>
      <c r="V39" s="14" t="s">
        <v>5444</v>
      </c>
      <c r="W39" s="14"/>
      <c r="X39" s="14" t="s">
        <v>1609</v>
      </c>
      <c r="Y39" s="14"/>
      <c r="Z39" s="14" t="s">
        <v>5445</v>
      </c>
      <c r="AA39" s="14"/>
      <c r="AB39" s="14" t="s">
        <v>1740</v>
      </c>
      <c r="AC39" s="14" t="s">
        <v>5446</v>
      </c>
      <c r="AD39" s="14" t="s">
        <v>5447</v>
      </c>
      <c r="AE39" s="14" t="s">
        <v>5448</v>
      </c>
      <c r="AF39" s="14" t="s">
        <v>5449</v>
      </c>
      <c r="AG39" s="14" t="s">
        <v>5450</v>
      </c>
      <c r="AH39" s="18" t="s">
        <v>5451</v>
      </c>
      <c r="AI39" s="16"/>
      <c r="AJ39" s="17"/>
      <c r="AK39" s="15" t="s">
        <v>3123</v>
      </c>
      <c r="AL39" s="17"/>
      <c r="AM39" s="16"/>
      <c r="AN39" s="14"/>
      <c r="AO39" s="14"/>
      <c r="AP39" s="15" t="s">
        <v>3123</v>
      </c>
      <c r="AQ39" s="14"/>
      <c r="AR39" s="17"/>
      <c r="AS39" s="16"/>
      <c r="AT39" s="14"/>
      <c r="AU39" s="15" t="s">
        <v>3123</v>
      </c>
      <c r="AV39" s="14"/>
      <c r="AW39" s="17"/>
      <c r="AX39" s="16"/>
      <c r="AY39" s="16"/>
      <c r="AZ39" s="16"/>
      <c r="BA39" s="16"/>
      <c r="BB39" s="15" t="s">
        <v>3123</v>
      </c>
      <c r="BC39" s="17"/>
      <c r="BD39" s="14"/>
      <c r="BE39" s="14"/>
      <c r="BF39" s="16"/>
      <c r="BG39" s="16"/>
      <c r="BH39" s="13"/>
      <c r="BI39" s="18" t="s">
        <v>5452</v>
      </c>
      <c r="BJ39" s="13">
        <v>200</v>
      </c>
      <c r="BK39" s="17">
        <v>44132</v>
      </c>
      <c r="BL39" s="18" t="s">
        <v>5453</v>
      </c>
      <c r="BM39" s="18" t="s">
        <v>5454</v>
      </c>
      <c r="BN39" s="18"/>
      <c r="BO39" s="18"/>
      <c r="BP39" s="14" t="s">
        <v>5455</v>
      </c>
      <c r="BQ39" s="17">
        <v>43438</v>
      </c>
      <c r="BR39" s="16"/>
      <c r="BS39" s="17"/>
      <c r="BT39" s="16"/>
      <c r="BU39" s="17"/>
      <c r="BV39" s="16"/>
      <c r="BW39" s="17"/>
      <c r="BX39" s="16"/>
      <c r="BY39" s="17"/>
      <c r="BZ39" s="19">
        <v>36.853504062036158</v>
      </c>
      <c r="CA39" s="19"/>
      <c r="CB39" s="17"/>
      <c r="CC39" s="14" t="s">
        <v>5036</v>
      </c>
      <c r="CD39" s="14" t="s">
        <v>5439</v>
      </c>
      <c r="CE39" s="14" t="s">
        <v>5311</v>
      </c>
    </row>
    <row r="40" spans="1:83" ht="26.15" customHeight="1">
      <c r="A40" s="13">
        <v>34</v>
      </c>
      <c r="B40" s="14" t="s">
        <v>443</v>
      </c>
      <c r="C40" s="14" t="s">
        <v>444</v>
      </c>
      <c r="D40" s="14" t="s">
        <v>447</v>
      </c>
      <c r="E40" s="13">
        <v>2018</v>
      </c>
      <c r="F40" s="14" t="s">
        <v>5005</v>
      </c>
      <c r="G40" s="14" t="s">
        <v>5006</v>
      </c>
      <c r="H40" s="14" t="s">
        <v>3994</v>
      </c>
      <c r="I40" s="15" t="s">
        <v>3117</v>
      </c>
      <c r="J40" s="16">
        <v>4804090</v>
      </c>
      <c r="K40" s="17">
        <v>43934</v>
      </c>
      <c r="L40" s="16" t="s">
        <v>5456</v>
      </c>
      <c r="M40" s="16">
        <v>3783830</v>
      </c>
      <c r="N40" s="14" t="s">
        <v>109</v>
      </c>
      <c r="O40" s="13">
        <v>4</v>
      </c>
      <c r="P40" s="17">
        <v>44031</v>
      </c>
      <c r="Q40" s="14"/>
      <c r="R40" s="17"/>
      <c r="S40" s="17"/>
      <c r="T40" s="14" t="s">
        <v>1</v>
      </c>
      <c r="U40" s="14" t="s">
        <v>5007</v>
      </c>
      <c r="V40" s="14" t="s">
        <v>527</v>
      </c>
      <c r="W40" s="14"/>
      <c r="X40" s="14" t="s">
        <v>5457</v>
      </c>
      <c r="Y40" s="14"/>
      <c r="Z40" s="14" t="s">
        <v>5458</v>
      </c>
      <c r="AA40" s="14"/>
      <c r="AB40" s="14" t="s">
        <v>3994</v>
      </c>
      <c r="AC40" s="14" t="s">
        <v>5459</v>
      </c>
      <c r="AD40" s="14" t="s">
        <v>5460</v>
      </c>
      <c r="AE40" s="14" t="s">
        <v>5461</v>
      </c>
      <c r="AF40" s="14" t="s">
        <v>5462</v>
      </c>
      <c r="AG40" s="14" t="s">
        <v>5463</v>
      </c>
      <c r="AH40" s="18"/>
      <c r="AI40" s="16">
        <v>49822</v>
      </c>
      <c r="AJ40" s="17">
        <v>43465</v>
      </c>
      <c r="AK40" s="15" t="s">
        <v>3123</v>
      </c>
      <c r="AL40" s="17"/>
      <c r="AM40" s="16"/>
      <c r="AN40" s="14"/>
      <c r="AO40" s="14"/>
      <c r="AP40" s="15" t="s">
        <v>3123</v>
      </c>
      <c r="AQ40" s="14"/>
      <c r="AR40" s="17"/>
      <c r="AS40" s="16"/>
      <c r="AT40" s="14"/>
      <c r="AU40" s="15" t="s">
        <v>3123</v>
      </c>
      <c r="AV40" s="14"/>
      <c r="AW40" s="17"/>
      <c r="AX40" s="16"/>
      <c r="AY40" s="16"/>
      <c r="AZ40" s="16"/>
      <c r="BA40" s="16"/>
      <c r="BB40" s="15" t="s">
        <v>3123</v>
      </c>
      <c r="BC40" s="17"/>
      <c r="BD40" s="14"/>
      <c r="BE40" s="14"/>
      <c r="BF40" s="16"/>
      <c r="BG40" s="16"/>
      <c r="BH40" s="13"/>
      <c r="BI40" s="18" t="s">
        <v>5464</v>
      </c>
      <c r="BJ40" s="13">
        <v>200</v>
      </c>
      <c r="BK40" s="17">
        <v>44131</v>
      </c>
      <c r="BL40" s="18" t="s">
        <v>5465</v>
      </c>
      <c r="BM40" s="18" t="s">
        <v>5466</v>
      </c>
      <c r="BN40" s="18" t="s">
        <v>5467</v>
      </c>
      <c r="BO40" s="18" t="s">
        <v>5468</v>
      </c>
      <c r="BP40" s="14" t="s">
        <v>5469</v>
      </c>
      <c r="BQ40" s="17">
        <v>44026</v>
      </c>
      <c r="BR40" s="16">
        <v>12195</v>
      </c>
      <c r="BS40" s="17">
        <v>43465</v>
      </c>
      <c r="BT40" s="16">
        <v>16646</v>
      </c>
      <c r="BU40" s="17">
        <v>43465</v>
      </c>
      <c r="BV40" s="16">
        <v>4000000</v>
      </c>
      <c r="BW40" s="17">
        <v>43657</v>
      </c>
      <c r="BX40" s="16">
        <v>28</v>
      </c>
      <c r="BY40" s="17">
        <v>44012</v>
      </c>
      <c r="BZ40" s="19">
        <v>51.758531339179541</v>
      </c>
      <c r="CA40" s="19"/>
      <c r="CB40" s="17"/>
      <c r="CC40" s="14" t="s">
        <v>5470</v>
      </c>
      <c r="CD40" s="14" t="s">
        <v>5471</v>
      </c>
      <c r="CE40" s="14" t="s">
        <v>5004</v>
      </c>
    </row>
    <row r="41" spans="1:83" ht="26.15" customHeight="1">
      <c r="A41" s="13">
        <v>35</v>
      </c>
      <c r="B41" s="14" t="s">
        <v>1613</v>
      </c>
      <c r="C41" s="14" t="s">
        <v>1614</v>
      </c>
      <c r="D41" s="14" t="s">
        <v>1616</v>
      </c>
      <c r="E41" s="13">
        <v>2016</v>
      </c>
      <c r="F41" s="14" t="s">
        <v>5472</v>
      </c>
      <c r="G41" s="14" t="s">
        <v>5473</v>
      </c>
      <c r="H41" s="14" t="s">
        <v>1740</v>
      </c>
      <c r="I41" s="15" t="s">
        <v>3117</v>
      </c>
      <c r="J41" s="16"/>
      <c r="K41" s="17">
        <v>43252</v>
      </c>
      <c r="L41" s="16"/>
      <c r="M41" s="16" t="s">
        <v>50</v>
      </c>
      <c r="N41" s="14" t="s">
        <v>34</v>
      </c>
      <c r="O41" s="13">
        <v>3</v>
      </c>
      <c r="P41" s="17">
        <v>43997</v>
      </c>
      <c r="Q41" s="14"/>
      <c r="R41" s="17"/>
      <c r="S41" s="17"/>
      <c r="T41" s="14" t="s">
        <v>5315</v>
      </c>
      <c r="U41" s="14" t="s">
        <v>5316</v>
      </c>
      <c r="V41" s="14" t="s">
        <v>5474</v>
      </c>
      <c r="W41" s="14"/>
      <c r="X41" s="14" t="s">
        <v>1609</v>
      </c>
      <c r="Y41" s="14"/>
      <c r="Z41" s="14" t="s">
        <v>5475</v>
      </c>
      <c r="AA41" s="14"/>
      <c r="AB41" s="14" t="s">
        <v>1740</v>
      </c>
      <c r="AC41" s="14"/>
      <c r="AD41" s="14" t="s">
        <v>5476</v>
      </c>
      <c r="AE41" s="14" t="s">
        <v>5477</v>
      </c>
      <c r="AF41" s="14" t="s">
        <v>5478</v>
      </c>
      <c r="AG41" s="14" t="s">
        <v>5479</v>
      </c>
      <c r="AH41" s="18"/>
      <c r="AI41" s="16"/>
      <c r="AJ41" s="17"/>
      <c r="AK41" s="15" t="s">
        <v>3123</v>
      </c>
      <c r="AL41" s="17"/>
      <c r="AM41" s="16"/>
      <c r="AN41" s="14"/>
      <c r="AO41" s="14"/>
      <c r="AP41" s="15" t="s">
        <v>3123</v>
      </c>
      <c r="AQ41" s="14"/>
      <c r="AR41" s="17"/>
      <c r="AS41" s="16"/>
      <c r="AT41" s="14"/>
      <c r="AU41" s="15" t="s">
        <v>3123</v>
      </c>
      <c r="AV41" s="14"/>
      <c r="AW41" s="17"/>
      <c r="AX41" s="16"/>
      <c r="AY41" s="16"/>
      <c r="AZ41" s="16"/>
      <c r="BA41" s="16"/>
      <c r="BB41" s="15" t="s">
        <v>3123</v>
      </c>
      <c r="BC41" s="17"/>
      <c r="BD41" s="14"/>
      <c r="BE41" s="14"/>
      <c r="BF41" s="16"/>
      <c r="BG41" s="16"/>
      <c r="BH41" s="13"/>
      <c r="BI41" s="18" t="s">
        <v>5480</v>
      </c>
      <c r="BJ41" s="13">
        <v>-1</v>
      </c>
      <c r="BK41" s="17">
        <v>44113</v>
      </c>
      <c r="BL41" s="18" t="s">
        <v>5481</v>
      </c>
      <c r="BM41" s="18"/>
      <c r="BN41" s="18" t="s">
        <v>5482</v>
      </c>
      <c r="BO41" s="18" t="s">
        <v>5483</v>
      </c>
      <c r="BP41" s="14" t="s">
        <v>5484</v>
      </c>
      <c r="BQ41" s="17">
        <v>43474</v>
      </c>
      <c r="BR41" s="16"/>
      <c r="BS41" s="17"/>
      <c r="BT41" s="16"/>
      <c r="BU41" s="17"/>
      <c r="BV41" s="16"/>
      <c r="BW41" s="17"/>
      <c r="BX41" s="16"/>
      <c r="BY41" s="17"/>
      <c r="BZ41" s="19">
        <v>18.506331644805481</v>
      </c>
      <c r="CA41" s="19"/>
      <c r="CB41" s="17"/>
      <c r="CC41" s="14" t="s">
        <v>5345</v>
      </c>
      <c r="CD41" s="14" t="s">
        <v>5361</v>
      </c>
      <c r="CE41" s="14" t="s">
        <v>5311</v>
      </c>
    </row>
    <row r="42" spans="1:83" ht="26.15" customHeight="1">
      <c r="A42" s="13">
        <v>36</v>
      </c>
      <c r="B42" s="14" t="s">
        <v>1738</v>
      </c>
      <c r="C42" s="14" t="s">
        <v>1739</v>
      </c>
      <c r="D42" s="14" t="s">
        <v>763</v>
      </c>
      <c r="E42" s="13">
        <v>2018</v>
      </c>
      <c r="F42" s="14"/>
      <c r="G42" s="14"/>
      <c r="H42" s="14" t="s">
        <v>1740</v>
      </c>
      <c r="I42" s="15" t="s">
        <v>3117</v>
      </c>
      <c r="J42" s="16"/>
      <c r="K42" s="17">
        <v>43203</v>
      </c>
      <c r="L42" s="16" t="s">
        <v>5485</v>
      </c>
      <c r="M42" s="16">
        <v>15000</v>
      </c>
      <c r="N42" s="14" t="s">
        <v>5040</v>
      </c>
      <c r="O42" s="13">
        <v>3</v>
      </c>
      <c r="P42" s="17">
        <v>44082</v>
      </c>
      <c r="Q42" s="14"/>
      <c r="R42" s="17"/>
      <c r="S42" s="17"/>
      <c r="T42" s="14" t="s">
        <v>5041</v>
      </c>
      <c r="U42" s="14" t="s">
        <v>5042</v>
      </c>
      <c r="V42" s="14" t="s">
        <v>5486</v>
      </c>
      <c r="W42" s="14"/>
      <c r="X42" s="14" t="s">
        <v>3689</v>
      </c>
      <c r="Y42" s="14"/>
      <c r="Z42" s="14" t="s">
        <v>5487</v>
      </c>
      <c r="AA42" s="14"/>
      <c r="AB42" s="14" t="s">
        <v>1740</v>
      </c>
      <c r="AC42" s="14"/>
      <c r="AD42" s="14"/>
      <c r="AE42" s="14" t="s">
        <v>5488</v>
      </c>
      <c r="AF42" s="14" t="s">
        <v>5489</v>
      </c>
      <c r="AG42" s="14"/>
      <c r="AH42" s="18"/>
      <c r="AI42" s="16"/>
      <c r="AJ42" s="17"/>
      <c r="AK42" s="15" t="s">
        <v>3123</v>
      </c>
      <c r="AL42" s="17"/>
      <c r="AM42" s="16"/>
      <c r="AN42" s="14"/>
      <c r="AO42" s="14"/>
      <c r="AP42" s="15" t="s">
        <v>3123</v>
      </c>
      <c r="AQ42" s="14"/>
      <c r="AR42" s="17"/>
      <c r="AS42" s="16"/>
      <c r="AT42" s="14"/>
      <c r="AU42" s="15" t="s">
        <v>3123</v>
      </c>
      <c r="AV42" s="14"/>
      <c r="AW42" s="17"/>
      <c r="AX42" s="16"/>
      <c r="AY42" s="16"/>
      <c r="AZ42" s="16"/>
      <c r="BA42" s="16"/>
      <c r="BB42" s="15" t="s">
        <v>3123</v>
      </c>
      <c r="BC42" s="17"/>
      <c r="BD42" s="14"/>
      <c r="BE42" s="14"/>
      <c r="BF42" s="16"/>
      <c r="BG42" s="16"/>
      <c r="BH42" s="13"/>
      <c r="BI42" s="18" t="s">
        <v>5490</v>
      </c>
      <c r="BJ42" s="13">
        <v>302</v>
      </c>
      <c r="BK42" s="17">
        <v>44112</v>
      </c>
      <c r="BL42" s="18"/>
      <c r="BM42" s="18"/>
      <c r="BN42" s="18" t="s">
        <v>5491</v>
      </c>
      <c r="BO42" s="18"/>
      <c r="BP42" s="14" t="s">
        <v>5492</v>
      </c>
      <c r="BQ42" s="17">
        <v>43980</v>
      </c>
      <c r="BR42" s="16"/>
      <c r="BS42" s="17"/>
      <c r="BT42" s="16"/>
      <c r="BU42" s="17"/>
      <c r="BV42" s="16"/>
      <c r="BW42" s="17"/>
      <c r="BX42" s="16"/>
      <c r="BY42" s="17"/>
      <c r="BZ42" s="19">
        <v>15.175784588026591</v>
      </c>
      <c r="CA42" s="19"/>
      <c r="CB42" s="17"/>
      <c r="CC42" s="14" t="s">
        <v>5104</v>
      </c>
      <c r="CD42" s="14" t="s">
        <v>5037</v>
      </c>
      <c r="CE42" s="14" t="s">
        <v>5004</v>
      </c>
    </row>
    <row r="43" spans="1:83" ht="26.15" customHeight="1">
      <c r="A43" s="13">
        <v>37</v>
      </c>
      <c r="B43" s="14" t="s">
        <v>825</v>
      </c>
      <c r="C43" s="14" t="s">
        <v>826</v>
      </c>
      <c r="D43" s="14" t="s">
        <v>827</v>
      </c>
      <c r="E43" s="13">
        <v>2019</v>
      </c>
      <c r="F43" s="14" t="s">
        <v>5222</v>
      </c>
      <c r="G43" s="14" t="s">
        <v>5223</v>
      </c>
      <c r="H43" s="14" t="s">
        <v>3994</v>
      </c>
      <c r="I43" s="15" t="s">
        <v>3117</v>
      </c>
      <c r="J43" s="16"/>
      <c r="K43" s="17">
        <v>43729</v>
      </c>
      <c r="L43" s="16"/>
      <c r="M43" s="16" t="s">
        <v>50</v>
      </c>
      <c r="N43" s="14" t="s">
        <v>34</v>
      </c>
      <c r="O43" s="13">
        <v>4</v>
      </c>
      <c r="P43" s="17">
        <v>44081</v>
      </c>
      <c r="Q43" s="14"/>
      <c r="R43" s="17"/>
      <c r="S43" s="17"/>
      <c r="T43" s="14" t="s">
        <v>5493</v>
      </c>
      <c r="U43" s="14" t="s">
        <v>5494</v>
      </c>
      <c r="V43" s="14" t="s">
        <v>5495</v>
      </c>
      <c r="W43" s="14"/>
      <c r="X43" s="14" t="s">
        <v>3395</v>
      </c>
      <c r="Y43" s="14"/>
      <c r="Z43" s="14" t="s">
        <v>5496</v>
      </c>
      <c r="AA43" s="14"/>
      <c r="AB43" s="14" t="s">
        <v>3994</v>
      </c>
      <c r="AC43" s="14" t="s">
        <v>5497</v>
      </c>
      <c r="AD43" s="14" t="s">
        <v>5498</v>
      </c>
      <c r="AE43" s="14" t="s">
        <v>5499</v>
      </c>
      <c r="AF43" s="14" t="s">
        <v>5500</v>
      </c>
      <c r="AG43" s="14" t="s">
        <v>5501</v>
      </c>
      <c r="AH43" s="18"/>
      <c r="AI43" s="16"/>
      <c r="AJ43" s="17"/>
      <c r="AK43" s="15" t="s">
        <v>3123</v>
      </c>
      <c r="AL43" s="17"/>
      <c r="AM43" s="16"/>
      <c r="AN43" s="14"/>
      <c r="AO43" s="14"/>
      <c r="AP43" s="15" t="s">
        <v>3123</v>
      </c>
      <c r="AQ43" s="14"/>
      <c r="AR43" s="17"/>
      <c r="AS43" s="16"/>
      <c r="AT43" s="14"/>
      <c r="AU43" s="15" t="s">
        <v>3123</v>
      </c>
      <c r="AV43" s="14"/>
      <c r="AW43" s="17"/>
      <c r="AX43" s="16"/>
      <c r="AY43" s="16"/>
      <c r="AZ43" s="16"/>
      <c r="BA43" s="16"/>
      <c r="BB43" s="15" t="s">
        <v>3123</v>
      </c>
      <c r="BC43" s="17"/>
      <c r="BD43" s="14"/>
      <c r="BE43" s="14"/>
      <c r="BF43" s="16"/>
      <c r="BG43" s="16"/>
      <c r="BH43" s="13"/>
      <c r="BI43" s="18" t="s">
        <v>5502</v>
      </c>
      <c r="BJ43" s="13">
        <v>200</v>
      </c>
      <c r="BK43" s="17">
        <v>44112</v>
      </c>
      <c r="BL43" s="18" t="s">
        <v>5503</v>
      </c>
      <c r="BM43" s="18" t="s">
        <v>5504</v>
      </c>
      <c r="BN43" s="18"/>
      <c r="BO43" s="18" t="s">
        <v>5505</v>
      </c>
      <c r="BP43" s="14" t="s">
        <v>5506</v>
      </c>
      <c r="BQ43" s="17">
        <v>44026</v>
      </c>
      <c r="BR43" s="16"/>
      <c r="BS43" s="17"/>
      <c r="BT43" s="16"/>
      <c r="BU43" s="17"/>
      <c r="BV43" s="16"/>
      <c r="BW43" s="17"/>
      <c r="BX43" s="16"/>
      <c r="BY43" s="17"/>
      <c r="BZ43" s="19">
        <v>32.605884572380567</v>
      </c>
      <c r="CA43" s="19"/>
      <c r="CB43" s="17"/>
      <c r="CC43" s="14" t="s">
        <v>5104</v>
      </c>
      <c r="CD43" s="14" t="s">
        <v>5037</v>
      </c>
      <c r="CE43" s="14" t="s">
        <v>5004</v>
      </c>
    </row>
    <row r="44" spans="1:83" ht="26.15" customHeight="1">
      <c r="A44" s="13">
        <v>38</v>
      </c>
      <c r="B44" s="14" t="s">
        <v>1457</v>
      </c>
      <c r="C44" s="14" t="s">
        <v>1458</v>
      </c>
      <c r="D44" s="14" t="s">
        <v>1460</v>
      </c>
      <c r="E44" s="13">
        <v>2018</v>
      </c>
      <c r="F44" s="14" t="s">
        <v>5507</v>
      </c>
      <c r="G44" s="14" t="s">
        <v>5507</v>
      </c>
      <c r="H44" s="14" t="s">
        <v>5508</v>
      </c>
      <c r="I44" s="15" t="s">
        <v>3117</v>
      </c>
      <c r="J44" s="16"/>
      <c r="K44" s="17">
        <v>43353</v>
      </c>
      <c r="L44" s="16"/>
      <c r="M44" s="16" t="s">
        <v>50</v>
      </c>
      <c r="N44" s="14" t="s">
        <v>34</v>
      </c>
      <c r="O44" s="13">
        <v>2</v>
      </c>
      <c r="P44" s="17">
        <v>44019</v>
      </c>
      <c r="Q44" s="14"/>
      <c r="R44" s="17"/>
      <c r="S44" s="17"/>
      <c r="T44" s="14" t="s">
        <v>5509</v>
      </c>
      <c r="U44" s="14" t="s">
        <v>5510</v>
      </c>
      <c r="V44" s="14" t="s">
        <v>5511</v>
      </c>
      <c r="W44" s="14"/>
      <c r="X44" s="14" t="s">
        <v>3981</v>
      </c>
      <c r="Y44" s="14"/>
      <c r="Z44" s="14" t="s">
        <v>5512</v>
      </c>
      <c r="AA44" s="14"/>
      <c r="AB44" s="14" t="s">
        <v>5508</v>
      </c>
      <c r="AC44" s="14"/>
      <c r="AD44" s="14"/>
      <c r="AE44" s="14" t="s">
        <v>5513</v>
      </c>
      <c r="AF44" s="14" t="s">
        <v>5514</v>
      </c>
      <c r="AG44" s="14" t="s">
        <v>5515</v>
      </c>
      <c r="AH44" s="18"/>
      <c r="AI44" s="16"/>
      <c r="AJ44" s="17"/>
      <c r="AK44" s="15" t="s">
        <v>3123</v>
      </c>
      <c r="AL44" s="17"/>
      <c r="AM44" s="16"/>
      <c r="AN44" s="14"/>
      <c r="AO44" s="14"/>
      <c r="AP44" s="15" t="s">
        <v>3123</v>
      </c>
      <c r="AQ44" s="14"/>
      <c r="AR44" s="17"/>
      <c r="AS44" s="16"/>
      <c r="AT44" s="14"/>
      <c r="AU44" s="15" t="s">
        <v>3123</v>
      </c>
      <c r="AV44" s="14"/>
      <c r="AW44" s="17"/>
      <c r="AX44" s="16"/>
      <c r="AY44" s="16"/>
      <c r="AZ44" s="16"/>
      <c r="BA44" s="16"/>
      <c r="BB44" s="15" t="s">
        <v>3123</v>
      </c>
      <c r="BC44" s="17"/>
      <c r="BD44" s="14"/>
      <c r="BE44" s="14"/>
      <c r="BF44" s="16"/>
      <c r="BG44" s="16"/>
      <c r="BH44" s="13"/>
      <c r="BI44" s="18" t="s">
        <v>5516</v>
      </c>
      <c r="BJ44" s="13">
        <v>301</v>
      </c>
      <c r="BK44" s="17">
        <v>44112</v>
      </c>
      <c r="BL44" s="18" t="s">
        <v>5517</v>
      </c>
      <c r="BM44" s="18"/>
      <c r="BN44" s="18"/>
      <c r="BO44" s="18" t="s">
        <v>5518</v>
      </c>
      <c r="BP44" s="14" t="s">
        <v>5519</v>
      </c>
      <c r="BQ44" s="17">
        <v>43370</v>
      </c>
      <c r="BR44" s="16"/>
      <c r="BS44" s="17"/>
      <c r="BT44" s="16"/>
      <c r="BU44" s="17"/>
      <c r="BV44" s="16"/>
      <c r="BW44" s="17"/>
      <c r="BX44" s="16"/>
      <c r="BY44" s="17"/>
      <c r="BZ44" s="19">
        <v>16.877520400066626</v>
      </c>
      <c r="CA44" s="19"/>
      <c r="CB44" s="17"/>
      <c r="CC44" s="14" t="s">
        <v>5002</v>
      </c>
      <c r="CD44" s="14" t="s">
        <v>5520</v>
      </c>
      <c r="CE44" s="14" t="s">
        <v>5521</v>
      </c>
    </row>
    <row r="45" spans="1:83" ht="26.15" customHeight="1">
      <c r="A45" s="13">
        <v>39</v>
      </c>
      <c r="B45" s="14" t="s">
        <v>1361</v>
      </c>
      <c r="C45" s="14" t="s">
        <v>1362</v>
      </c>
      <c r="D45" s="14" t="s">
        <v>1365</v>
      </c>
      <c r="E45" s="13">
        <v>2018</v>
      </c>
      <c r="F45" s="14" t="s">
        <v>5522</v>
      </c>
      <c r="G45" s="14" t="s">
        <v>5523</v>
      </c>
      <c r="H45" s="14" t="s">
        <v>5524</v>
      </c>
      <c r="I45" s="15" t="s">
        <v>3117</v>
      </c>
      <c r="J45" s="16">
        <v>100000</v>
      </c>
      <c r="K45" s="17">
        <v>43406</v>
      </c>
      <c r="L45" s="16" t="s">
        <v>5252</v>
      </c>
      <c r="M45" s="16">
        <v>100000</v>
      </c>
      <c r="N45" s="14" t="s">
        <v>34</v>
      </c>
      <c r="O45" s="13">
        <v>3</v>
      </c>
      <c r="P45" s="17">
        <v>44012</v>
      </c>
      <c r="Q45" s="14"/>
      <c r="R45" s="17"/>
      <c r="S45" s="17"/>
      <c r="T45" s="14" t="s">
        <v>5426</v>
      </c>
      <c r="U45" s="14" t="s">
        <v>5427</v>
      </c>
      <c r="V45" s="14" t="s">
        <v>5428</v>
      </c>
      <c r="W45" s="14"/>
      <c r="X45" s="14" t="s">
        <v>1364</v>
      </c>
      <c r="Y45" s="14"/>
      <c r="Z45" s="14" t="s">
        <v>5525</v>
      </c>
      <c r="AA45" s="14"/>
      <c r="AB45" s="14" t="s">
        <v>5524</v>
      </c>
      <c r="AC45" s="14" t="s">
        <v>5526</v>
      </c>
      <c r="AD45" s="14" t="s">
        <v>5527</v>
      </c>
      <c r="AE45" s="14" t="s">
        <v>5528</v>
      </c>
      <c r="AF45" s="14"/>
      <c r="AG45" s="14" t="s">
        <v>5529</v>
      </c>
      <c r="AH45" s="18"/>
      <c r="AI45" s="16"/>
      <c r="AJ45" s="17"/>
      <c r="AK45" s="15" t="s">
        <v>3123</v>
      </c>
      <c r="AL45" s="17"/>
      <c r="AM45" s="16"/>
      <c r="AN45" s="14"/>
      <c r="AO45" s="14"/>
      <c r="AP45" s="15" t="s">
        <v>3123</v>
      </c>
      <c r="AQ45" s="14"/>
      <c r="AR45" s="17"/>
      <c r="AS45" s="16"/>
      <c r="AT45" s="14"/>
      <c r="AU45" s="15" t="s">
        <v>3123</v>
      </c>
      <c r="AV45" s="14"/>
      <c r="AW45" s="17"/>
      <c r="AX45" s="16"/>
      <c r="AY45" s="16"/>
      <c r="AZ45" s="16"/>
      <c r="BA45" s="16"/>
      <c r="BB45" s="15" t="s">
        <v>3123</v>
      </c>
      <c r="BC45" s="17"/>
      <c r="BD45" s="14"/>
      <c r="BE45" s="14"/>
      <c r="BF45" s="16"/>
      <c r="BG45" s="16"/>
      <c r="BH45" s="13"/>
      <c r="BI45" s="18" t="s">
        <v>5530</v>
      </c>
      <c r="BJ45" s="13">
        <v>200</v>
      </c>
      <c r="BK45" s="17">
        <v>44129</v>
      </c>
      <c r="BL45" s="18"/>
      <c r="BM45" s="18" t="s">
        <v>5531</v>
      </c>
      <c r="BN45" s="18" t="s">
        <v>5532</v>
      </c>
      <c r="BO45" s="18"/>
      <c r="BP45" s="14" t="s">
        <v>5533</v>
      </c>
      <c r="BQ45" s="17">
        <v>43550</v>
      </c>
      <c r="BR45" s="16"/>
      <c r="BS45" s="17"/>
      <c r="BT45" s="16"/>
      <c r="BU45" s="17"/>
      <c r="BV45" s="16"/>
      <c r="BW45" s="17"/>
      <c r="BX45" s="16"/>
      <c r="BY45" s="17"/>
      <c r="BZ45" s="19">
        <v>37.746162665476561</v>
      </c>
      <c r="CA45" s="19"/>
      <c r="CB45" s="17"/>
      <c r="CC45" s="14" t="s">
        <v>5104</v>
      </c>
      <c r="CD45" s="14" t="s">
        <v>5439</v>
      </c>
      <c r="CE45" s="14" t="s">
        <v>5311</v>
      </c>
    </row>
    <row r="46" spans="1:83" ht="26.15" customHeight="1">
      <c r="A46" s="13">
        <v>40</v>
      </c>
      <c r="B46" s="14" t="s">
        <v>1622</v>
      </c>
      <c r="C46" s="14" t="s">
        <v>1623</v>
      </c>
      <c r="D46" s="14" t="s">
        <v>1626</v>
      </c>
      <c r="E46" s="13">
        <v>2018</v>
      </c>
      <c r="F46" s="14" t="s">
        <v>5522</v>
      </c>
      <c r="G46" s="14" t="s">
        <v>5523</v>
      </c>
      <c r="H46" s="14" t="s">
        <v>5524</v>
      </c>
      <c r="I46" s="15" t="s">
        <v>3117</v>
      </c>
      <c r="J46" s="16">
        <v>50000</v>
      </c>
      <c r="K46" s="17">
        <v>43252</v>
      </c>
      <c r="L46" s="16" t="s">
        <v>5425</v>
      </c>
      <c r="M46" s="16">
        <v>50000</v>
      </c>
      <c r="N46" s="14" t="s">
        <v>34</v>
      </c>
      <c r="O46" s="13">
        <v>3</v>
      </c>
      <c r="P46" s="17">
        <v>44028</v>
      </c>
      <c r="Q46" s="14"/>
      <c r="R46" s="17"/>
      <c r="S46" s="17"/>
      <c r="T46" s="14" t="s">
        <v>5442</v>
      </c>
      <c r="U46" s="14" t="s">
        <v>5534</v>
      </c>
      <c r="V46" s="14" t="s">
        <v>1627</v>
      </c>
      <c r="W46" s="14"/>
      <c r="X46" s="14" t="s">
        <v>5535</v>
      </c>
      <c r="Y46" s="14"/>
      <c r="Z46" s="14"/>
      <c r="AA46" s="14"/>
      <c r="AB46" s="14" t="s">
        <v>5524</v>
      </c>
      <c r="AC46" s="14"/>
      <c r="AD46" s="14"/>
      <c r="AE46" s="14" t="s">
        <v>5536</v>
      </c>
      <c r="AF46" s="14" t="s">
        <v>5537</v>
      </c>
      <c r="AG46" s="14" t="s">
        <v>5538</v>
      </c>
      <c r="AH46" s="18"/>
      <c r="AI46" s="16"/>
      <c r="AJ46" s="17"/>
      <c r="AK46" s="15" t="s">
        <v>3123</v>
      </c>
      <c r="AL46" s="17"/>
      <c r="AM46" s="16"/>
      <c r="AN46" s="14"/>
      <c r="AO46" s="14"/>
      <c r="AP46" s="15" t="s">
        <v>3123</v>
      </c>
      <c r="AQ46" s="14"/>
      <c r="AR46" s="17"/>
      <c r="AS46" s="16"/>
      <c r="AT46" s="14"/>
      <c r="AU46" s="15" t="s">
        <v>3123</v>
      </c>
      <c r="AV46" s="14"/>
      <c r="AW46" s="17"/>
      <c r="AX46" s="16"/>
      <c r="AY46" s="16"/>
      <c r="AZ46" s="16"/>
      <c r="BA46" s="16"/>
      <c r="BB46" s="15" t="s">
        <v>3123</v>
      </c>
      <c r="BC46" s="17"/>
      <c r="BD46" s="14"/>
      <c r="BE46" s="14"/>
      <c r="BF46" s="16"/>
      <c r="BG46" s="16"/>
      <c r="BH46" s="13"/>
      <c r="BI46" s="18" t="s">
        <v>5539</v>
      </c>
      <c r="BJ46" s="13">
        <v>200</v>
      </c>
      <c r="BK46" s="17">
        <v>44128</v>
      </c>
      <c r="BL46" s="18"/>
      <c r="BM46" s="18"/>
      <c r="BN46" s="18"/>
      <c r="BO46" s="18"/>
      <c r="BP46" s="14" t="s">
        <v>5540</v>
      </c>
      <c r="BQ46" s="17">
        <v>43549</v>
      </c>
      <c r="BR46" s="16"/>
      <c r="BS46" s="17"/>
      <c r="BT46" s="16"/>
      <c r="BU46" s="17"/>
      <c r="BV46" s="16"/>
      <c r="BW46" s="17"/>
      <c r="BX46" s="16"/>
      <c r="BY46" s="17"/>
      <c r="BZ46" s="19">
        <v>22.377389036586766</v>
      </c>
      <c r="CA46" s="19"/>
      <c r="CB46" s="17"/>
      <c r="CC46" s="14" t="s">
        <v>5541</v>
      </c>
      <c r="CD46" s="14" t="s">
        <v>5104</v>
      </c>
      <c r="CE46" s="14" t="s">
        <v>5542</v>
      </c>
    </row>
    <row r="47" spans="1:83" ht="26.15" customHeight="1">
      <c r="A47" s="13">
        <v>41</v>
      </c>
      <c r="B47" s="14" t="s">
        <v>473</v>
      </c>
      <c r="C47" s="14" t="s">
        <v>474</v>
      </c>
      <c r="D47" s="14" t="s">
        <v>475</v>
      </c>
      <c r="E47" s="13">
        <v>2014</v>
      </c>
      <c r="F47" s="14" t="s">
        <v>5389</v>
      </c>
      <c r="G47" s="14" t="s">
        <v>5390</v>
      </c>
      <c r="H47" s="14" t="s">
        <v>5391</v>
      </c>
      <c r="I47" s="15" t="s">
        <v>3117</v>
      </c>
      <c r="J47" s="16">
        <v>46450000</v>
      </c>
      <c r="K47" s="17">
        <v>43923</v>
      </c>
      <c r="L47" s="16" t="s">
        <v>5543</v>
      </c>
      <c r="M47" s="16">
        <v>5000000</v>
      </c>
      <c r="N47" s="14" t="s">
        <v>95</v>
      </c>
      <c r="O47" s="13">
        <v>4</v>
      </c>
      <c r="P47" s="17">
        <v>44013</v>
      </c>
      <c r="Q47" s="14" t="s">
        <v>5544</v>
      </c>
      <c r="R47" s="17">
        <v>43880</v>
      </c>
      <c r="S47" s="17">
        <v>43766</v>
      </c>
      <c r="T47" s="14" t="s">
        <v>5509</v>
      </c>
      <c r="U47" s="14" t="s">
        <v>5510</v>
      </c>
      <c r="V47" s="14" t="s">
        <v>5545</v>
      </c>
      <c r="W47" s="14"/>
      <c r="X47" s="14" t="s">
        <v>5546</v>
      </c>
      <c r="Y47" s="14" t="s">
        <v>1337</v>
      </c>
      <c r="Z47" s="14" t="s">
        <v>5547</v>
      </c>
      <c r="AA47" s="14"/>
      <c r="AB47" s="14" t="s">
        <v>5391</v>
      </c>
      <c r="AC47" s="14" t="s">
        <v>5548</v>
      </c>
      <c r="AD47" s="14" t="s">
        <v>5549</v>
      </c>
      <c r="AE47" s="14" t="s">
        <v>5550</v>
      </c>
      <c r="AF47" s="14" t="s">
        <v>5551</v>
      </c>
      <c r="AG47" s="14" t="s">
        <v>5552</v>
      </c>
      <c r="AH47" s="18" t="s">
        <v>5553</v>
      </c>
      <c r="AI47" s="16"/>
      <c r="AJ47" s="17"/>
      <c r="AK47" s="15" t="s">
        <v>3123</v>
      </c>
      <c r="AL47" s="17"/>
      <c r="AM47" s="16"/>
      <c r="AN47" s="14"/>
      <c r="AO47" s="14"/>
      <c r="AP47" s="15" t="s">
        <v>3123</v>
      </c>
      <c r="AQ47" s="14"/>
      <c r="AR47" s="17"/>
      <c r="AS47" s="16"/>
      <c r="AT47" s="14"/>
      <c r="AU47" s="15" t="s">
        <v>3123</v>
      </c>
      <c r="AV47" s="14"/>
      <c r="AW47" s="17"/>
      <c r="AX47" s="16"/>
      <c r="AY47" s="16"/>
      <c r="AZ47" s="16"/>
      <c r="BA47" s="16"/>
      <c r="BB47" s="15" t="s">
        <v>3123</v>
      </c>
      <c r="BC47" s="17"/>
      <c r="BD47" s="14"/>
      <c r="BE47" s="14"/>
      <c r="BF47" s="16"/>
      <c r="BG47" s="16"/>
      <c r="BH47" s="13"/>
      <c r="BI47" s="18" t="s">
        <v>5554</v>
      </c>
      <c r="BJ47" s="13">
        <v>301</v>
      </c>
      <c r="BK47" s="17">
        <v>44112</v>
      </c>
      <c r="BL47" s="18" t="s">
        <v>5555</v>
      </c>
      <c r="BM47" s="18" t="s">
        <v>5556</v>
      </c>
      <c r="BN47" s="18" t="s">
        <v>5557</v>
      </c>
      <c r="BO47" s="18"/>
      <c r="BP47" s="14" t="s">
        <v>5558</v>
      </c>
      <c r="BQ47" s="17">
        <v>43342</v>
      </c>
      <c r="BR47" s="16"/>
      <c r="BS47" s="17"/>
      <c r="BT47" s="16"/>
      <c r="BU47" s="17"/>
      <c r="BV47" s="16"/>
      <c r="BW47" s="17"/>
      <c r="BX47" s="16"/>
      <c r="BY47" s="17"/>
      <c r="BZ47" s="19">
        <v>55.138363644326446</v>
      </c>
      <c r="CA47" s="19"/>
      <c r="CB47" s="17"/>
      <c r="CC47" s="14" t="s">
        <v>5002</v>
      </c>
      <c r="CD47" s="14" t="s">
        <v>5559</v>
      </c>
      <c r="CE47" s="14" t="s">
        <v>5004</v>
      </c>
    </row>
    <row r="48" spans="1:83" ht="26.15" hidden="1" customHeight="1">
      <c r="A48" s="13">
        <v>42</v>
      </c>
      <c r="B48" s="14" t="s">
        <v>338</v>
      </c>
      <c r="C48" s="14" t="s">
        <v>339</v>
      </c>
      <c r="D48" s="14" t="s">
        <v>343</v>
      </c>
      <c r="E48" s="13">
        <v>2017</v>
      </c>
      <c r="F48" s="14" t="s">
        <v>5560</v>
      </c>
      <c r="G48" s="14" t="s">
        <v>5561</v>
      </c>
      <c r="H48" s="14" t="s">
        <v>5562</v>
      </c>
      <c r="I48" s="15" t="s">
        <v>3117</v>
      </c>
      <c r="J48" s="16">
        <v>4000000</v>
      </c>
      <c r="K48" s="17">
        <v>43979</v>
      </c>
      <c r="L48" s="16" t="s">
        <v>5456</v>
      </c>
      <c r="M48" s="16">
        <v>4000000</v>
      </c>
      <c r="N48" s="14" t="s">
        <v>34</v>
      </c>
      <c r="O48" s="13">
        <v>4</v>
      </c>
      <c r="P48" s="17">
        <v>44081</v>
      </c>
      <c r="Q48" s="14" t="s">
        <v>5052</v>
      </c>
      <c r="R48" s="17">
        <v>43991</v>
      </c>
      <c r="S48" s="17">
        <v>43979</v>
      </c>
      <c r="T48" s="14" t="s">
        <v>5041</v>
      </c>
      <c r="U48" s="14" t="s">
        <v>5563</v>
      </c>
      <c r="V48" s="14" t="s">
        <v>5564</v>
      </c>
      <c r="W48" s="14"/>
      <c r="X48" s="14" t="s">
        <v>5565</v>
      </c>
      <c r="Y48" s="14"/>
      <c r="Z48" s="14" t="s">
        <v>5566</v>
      </c>
      <c r="AA48" s="14"/>
      <c r="AB48" s="14" t="s">
        <v>5562</v>
      </c>
      <c r="AC48" s="14" t="s">
        <v>5567</v>
      </c>
      <c r="AD48" s="14" t="s">
        <v>5568</v>
      </c>
      <c r="AE48" s="14" t="s">
        <v>5569</v>
      </c>
      <c r="AF48" s="14" t="s">
        <v>5570</v>
      </c>
      <c r="AG48" s="14" t="s">
        <v>5571</v>
      </c>
      <c r="AH48" s="18"/>
      <c r="AI48" s="16"/>
      <c r="AJ48" s="17"/>
      <c r="AK48" s="15" t="s">
        <v>3123</v>
      </c>
      <c r="AL48" s="17"/>
      <c r="AM48" s="16"/>
      <c r="AN48" s="14"/>
      <c r="AO48" s="14"/>
      <c r="AP48" s="15" t="s">
        <v>3123</v>
      </c>
      <c r="AQ48" s="14"/>
      <c r="AR48" s="17"/>
      <c r="AS48" s="16"/>
      <c r="AT48" s="14"/>
      <c r="AU48" s="15" t="s">
        <v>3123</v>
      </c>
      <c r="AV48" s="14"/>
      <c r="AW48" s="17"/>
      <c r="AX48" s="16"/>
      <c r="AY48" s="16"/>
      <c r="AZ48" s="16"/>
      <c r="BA48" s="16"/>
      <c r="BB48" s="15" t="s">
        <v>3123</v>
      </c>
      <c r="BC48" s="17"/>
      <c r="BD48" s="14"/>
      <c r="BE48" s="14"/>
      <c r="BF48" s="16"/>
      <c r="BG48" s="16"/>
      <c r="BH48" s="13"/>
      <c r="BI48" s="18" t="s">
        <v>5572</v>
      </c>
      <c r="BJ48" s="13">
        <v>200</v>
      </c>
      <c r="BK48" s="17">
        <v>44129</v>
      </c>
      <c r="BL48" s="18" t="s">
        <v>5573</v>
      </c>
      <c r="BM48" s="18" t="s">
        <v>5574</v>
      </c>
      <c r="BN48" s="18"/>
      <c r="BO48" s="18"/>
      <c r="BP48" s="14" t="s">
        <v>5575</v>
      </c>
      <c r="BQ48" s="17">
        <v>43839</v>
      </c>
      <c r="BR48" s="16"/>
      <c r="BS48" s="17"/>
      <c r="BT48" s="16"/>
      <c r="BU48" s="17"/>
      <c r="BV48" s="16"/>
      <c r="BW48" s="17"/>
      <c r="BX48" s="16"/>
      <c r="BY48" s="17"/>
      <c r="BZ48" s="19">
        <v>50.768740274171641</v>
      </c>
      <c r="CA48" s="19"/>
      <c r="CB48" s="17"/>
      <c r="CC48" s="14" t="s">
        <v>5576</v>
      </c>
      <c r="CD48" s="14" t="s">
        <v>5577</v>
      </c>
      <c r="CE48" s="14" t="s">
        <v>5004</v>
      </c>
    </row>
    <row r="49" spans="1:83" ht="26.15" customHeight="1">
      <c r="A49" s="13">
        <v>43</v>
      </c>
      <c r="B49" s="14" t="s">
        <v>166</v>
      </c>
      <c r="C49" s="14" t="s">
        <v>167</v>
      </c>
      <c r="D49" s="14" t="s">
        <v>168</v>
      </c>
      <c r="E49" s="13">
        <v>2019</v>
      </c>
      <c r="F49" s="14" t="s">
        <v>5222</v>
      </c>
      <c r="G49" s="14" t="s">
        <v>5223</v>
      </c>
      <c r="H49" s="14" t="s">
        <v>3994</v>
      </c>
      <c r="I49" s="15" t="s">
        <v>3117</v>
      </c>
      <c r="J49" s="16">
        <v>2500000</v>
      </c>
      <c r="K49" s="17">
        <v>44067</v>
      </c>
      <c r="L49" s="16" t="s">
        <v>5134</v>
      </c>
      <c r="M49" s="16">
        <v>1000000</v>
      </c>
      <c r="N49" s="14" t="s">
        <v>34</v>
      </c>
      <c r="O49" s="13">
        <v>4</v>
      </c>
      <c r="P49" s="17">
        <v>43991</v>
      </c>
      <c r="Q49" s="14" t="s">
        <v>5052</v>
      </c>
      <c r="R49" s="17">
        <v>44070</v>
      </c>
      <c r="S49" s="17">
        <v>44067</v>
      </c>
      <c r="T49" s="14" t="s">
        <v>4995</v>
      </c>
      <c r="U49" s="14" t="s">
        <v>5578</v>
      </c>
      <c r="V49" s="14" t="s">
        <v>5579</v>
      </c>
      <c r="W49" s="14"/>
      <c r="X49" s="14" t="s">
        <v>5580</v>
      </c>
      <c r="Y49" s="14"/>
      <c r="Z49" s="14" t="s">
        <v>5581</v>
      </c>
      <c r="AA49" s="14"/>
      <c r="AB49" s="14" t="s">
        <v>3994</v>
      </c>
      <c r="AC49" s="14" t="s">
        <v>5582</v>
      </c>
      <c r="AD49" s="14" t="s">
        <v>5583</v>
      </c>
      <c r="AE49" s="14" t="s">
        <v>5584</v>
      </c>
      <c r="AF49" s="14" t="s">
        <v>5585</v>
      </c>
      <c r="AG49" s="14" t="s">
        <v>5586</v>
      </c>
      <c r="AH49" s="18"/>
      <c r="AI49" s="16">
        <v>1467884.1449135165</v>
      </c>
      <c r="AJ49" s="17">
        <v>43465</v>
      </c>
      <c r="AK49" s="15" t="s">
        <v>3123</v>
      </c>
      <c r="AL49" s="17"/>
      <c r="AM49" s="16"/>
      <c r="AN49" s="14"/>
      <c r="AO49" s="14"/>
      <c r="AP49" s="15" t="s">
        <v>3123</v>
      </c>
      <c r="AQ49" s="14"/>
      <c r="AR49" s="17"/>
      <c r="AS49" s="16"/>
      <c r="AT49" s="14"/>
      <c r="AU49" s="15" t="s">
        <v>3123</v>
      </c>
      <c r="AV49" s="14"/>
      <c r="AW49" s="17"/>
      <c r="AX49" s="16"/>
      <c r="AY49" s="16"/>
      <c r="AZ49" s="16"/>
      <c r="BA49" s="16"/>
      <c r="BB49" s="15" t="s">
        <v>3123</v>
      </c>
      <c r="BC49" s="17"/>
      <c r="BD49" s="14" t="s">
        <v>161</v>
      </c>
      <c r="BE49" s="14"/>
      <c r="BF49" s="16"/>
      <c r="BG49" s="16"/>
      <c r="BH49" s="13"/>
      <c r="BI49" s="18" t="s">
        <v>5587</v>
      </c>
      <c r="BJ49" s="13">
        <v>200</v>
      </c>
      <c r="BK49" s="17">
        <v>44131</v>
      </c>
      <c r="BL49" s="18" t="s">
        <v>5588</v>
      </c>
      <c r="BM49" s="18" t="s">
        <v>5589</v>
      </c>
      <c r="BN49" s="18" t="s">
        <v>5590</v>
      </c>
      <c r="BO49" s="18"/>
      <c r="BP49" s="14" t="s">
        <v>5591</v>
      </c>
      <c r="BQ49" s="17">
        <v>43986</v>
      </c>
      <c r="BR49" s="16">
        <v>-635346.29653899639</v>
      </c>
      <c r="BS49" s="17">
        <v>43465</v>
      </c>
      <c r="BT49" s="16">
        <v>-613365.4576932413</v>
      </c>
      <c r="BU49" s="17">
        <v>43465</v>
      </c>
      <c r="BV49" s="16"/>
      <c r="BW49" s="17"/>
      <c r="BX49" s="16">
        <v>68</v>
      </c>
      <c r="BY49" s="17">
        <v>43921</v>
      </c>
      <c r="BZ49" s="19">
        <v>53.301316001981938</v>
      </c>
      <c r="CA49" s="19"/>
      <c r="CB49" s="17"/>
      <c r="CC49" s="14" t="s">
        <v>5082</v>
      </c>
      <c r="CD49" s="14" t="s">
        <v>5083</v>
      </c>
      <c r="CE49" s="14" t="s">
        <v>5004</v>
      </c>
    </row>
    <row r="50" spans="1:83" ht="26.15" customHeight="1">
      <c r="A50" s="13">
        <v>44</v>
      </c>
      <c r="B50" s="14" t="s">
        <v>1763</v>
      </c>
      <c r="C50" s="14" t="s">
        <v>1764</v>
      </c>
      <c r="D50" s="14" t="s">
        <v>1767</v>
      </c>
      <c r="E50" s="13">
        <v>2006</v>
      </c>
      <c r="F50" s="14" t="s">
        <v>5592</v>
      </c>
      <c r="G50" s="14" t="s">
        <v>5313</v>
      </c>
      <c r="H50" s="14" t="s">
        <v>3994</v>
      </c>
      <c r="I50" s="15" t="s">
        <v>3117</v>
      </c>
      <c r="J50" s="16">
        <v>9099055</v>
      </c>
      <c r="K50" s="17">
        <v>43190</v>
      </c>
      <c r="L50" s="16" t="s">
        <v>5593</v>
      </c>
      <c r="M50" s="16">
        <v>215216</v>
      </c>
      <c r="N50" s="14" t="s">
        <v>34</v>
      </c>
      <c r="O50" s="13">
        <v>5</v>
      </c>
      <c r="P50" s="17">
        <v>44022</v>
      </c>
      <c r="Q50" s="14"/>
      <c r="R50" s="17"/>
      <c r="S50" s="17"/>
      <c r="T50" s="14" t="s">
        <v>1</v>
      </c>
      <c r="U50" s="14" t="s">
        <v>5007</v>
      </c>
      <c r="V50" s="14" t="s">
        <v>5594</v>
      </c>
      <c r="W50" s="14"/>
      <c r="X50" s="14" t="s">
        <v>2223</v>
      </c>
      <c r="Y50" s="14" t="s">
        <v>5595</v>
      </c>
      <c r="Z50" s="14" t="s">
        <v>5596</v>
      </c>
      <c r="AA50" s="14"/>
      <c r="AB50" s="14" t="s">
        <v>3994</v>
      </c>
      <c r="AC50" s="14"/>
      <c r="AD50" s="14"/>
      <c r="AE50" s="14" t="s">
        <v>5597</v>
      </c>
      <c r="AF50" s="14" t="s">
        <v>5598</v>
      </c>
      <c r="AG50" s="14" t="s">
        <v>5599</v>
      </c>
      <c r="AH50" s="18"/>
      <c r="AI50" s="16">
        <v>760200</v>
      </c>
      <c r="AJ50" s="17">
        <v>43465</v>
      </c>
      <c r="AK50" s="15" t="s">
        <v>3117</v>
      </c>
      <c r="AL50" s="17">
        <v>39498</v>
      </c>
      <c r="AM50" s="16">
        <v>2505</v>
      </c>
      <c r="AN50" s="14"/>
      <c r="AO50" s="14"/>
      <c r="AP50" s="15" t="s">
        <v>3123</v>
      </c>
      <c r="AQ50" s="14"/>
      <c r="AR50" s="17"/>
      <c r="AS50" s="16"/>
      <c r="AT50" s="14"/>
      <c r="AU50" s="15" t="s">
        <v>3123</v>
      </c>
      <c r="AV50" s="14"/>
      <c r="AW50" s="17"/>
      <c r="AX50" s="16"/>
      <c r="AY50" s="16"/>
      <c r="AZ50" s="16"/>
      <c r="BA50" s="16"/>
      <c r="BB50" s="15" t="s">
        <v>3123</v>
      </c>
      <c r="BC50" s="17"/>
      <c r="BD50" s="14" t="s">
        <v>2221</v>
      </c>
      <c r="BE50" s="14"/>
      <c r="BF50" s="16"/>
      <c r="BG50" s="16"/>
      <c r="BH50" s="13"/>
      <c r="BI50" s="18" t="s">
        <v>5600</v>
      </c>
      <c r="BJ50" s="13">
        <v>200</v>
      </c>
      <c r="BK50" s="17">
        <v>44129</v>
      </c>
      <c r="BL50" s="18" t="s">
        <v>5601</v>
      </c>
      <c r="BM50" s="18"/>
      <c r="BN50" s="18"/>
      <c r="BO50" s="18"/>
      <c r="BP50" s="14" t="s">
        <v>5602</v>
      </c>
      <c r="BQ50" s="17">
        <v>43313</v>
      </c>
      <c r="BR50" s="16">
        <v>17600</v>
      </c>
      <c r="BS50" s="17">
        <v>43465</v>
      </c>
      <c r="BT50" s="16">
        <v>280700</v>
      </c>
      <c r="BU50" s="17">
        <v>43465</v>
      </c>
      <c r="BV50" s="16">
        <v>7000000</v>
      </c>
      <c r="BW50" s="17">
        <v>43190</v>
      </c>
      <c r="BX50" s="16">
        <v>20</v>
      </c>
      <c r="BY50" s="17">
        <v>43738</v>
      </c>
      <c r="BZ50" s="19">
        <v>40.659164380190575</v>
      </c>
      <c r="CA50" s="19"/>
      <c r="CB50" s="17"/>
      <c r="CC50" s="14" t="s">
        <v>5082</v>
      </c>
      <c r="CD50" s="14" t="s">
        <v>5603</v>
      </c>
      <c r="CE50" s="14" t="s">
        <v>5004</v>
      </c>
    </row>
    <row r="51" spans="1:83" ht="26.15" customHeight="1">
      <c r="A51" s="13">
        <v>45</v>
      </c>
      <c r="B51" s="14" t="s">
        <v>391</v>
      </c>
      <c r="C51" s="14" t="s">
        <v>392</v>
      </c>
      <c r="D51" s="14" t="s">
        <v>396</v>
      </c>
      <c r="E51" s="13">
        <v>2017</v>
      </c>
      <c r="F51" s="14" t="s">
        <v>5604</v>
      </c>
      <c r="G51" s="14" t="s">
        <v>5605</v>
      </c>
      <c r="H51" s="14" t="s">
        <v>3994</v>
      </c>
      <c r="I51" s="15" t="s">
        <v>3117</v>
      </c>
      <c r="J51" s="16">
        <v>751549</v>
      </c>
      <c r="K51" s="17">
        <v>43969</v>
      </c>
      <c r="L51" s="16" t="s">
        <v>5606</v>
      </c>
      <c r="M51" s="16">
        <v>331715</v>
      </c>
      <c r="N51" s="14" t="s">
        <v>34</v>
      </c>
      <c r="O51" s="13">
        <v>4</v>
      </c>
      <c r="P51" s="17">
        <v>43671</v>
      </c>
      <c r="Q51" s="14"/>
      <c r="R51" s="17"/>
      <c r="S51" s="17"/>
      <c r="T51" s="14" t="s">
        <v>1</v>
      </c>
      <c r="U51" s="14" t="s">
        <v>5084</v>
      </c>
      <c r="V51" s="14" t="s">
        <v>5607</v>
      </c>
      <c r="W51" s="14"/>
      <c r="X51" s="14" t="s">
        <v>5608</v>
      </c>
      <c r="Y51" s="14" t="s">
        <v>5609</v>
      </c>
      <c r="Z51" s="14" t="s">
        <v>5610</v>
      </c>
      <c r="AA51" s="14"/>
      <c r="AB51" s="14" t="s">
        <v>3994</v>
      </c>
      <c r="AC51" s="14"/>
      <c r="AD51" s="14" t="s">
        <v>5611</v>
      </c>
      <c r="AE51" s="14" t="s">
        <v>5612</v>
      </c>
      <c r="AF51" s="14" t="s">
        <v>5613</v>
      </c>
      <c r="AG51" s="14" t="s">
        <v>5614</v>
      </c>
      <c r="AH51" s="18"/>
      <c r="AI51" s="16">
        <v>362900</v>
      </c>
      <c r="AJ51" s="17">
        <v>43465</v>
      </c>
      <c r="AK51" s="15" t="s">
        <v>3117</v>
      </c>
      <c r="AL51" s="17">
        <v>43069</v>
      </c>
      <c r="AM51" s="16">
        <v>1552</v>
      </c>
      <c r="AN51" s="14" t="s">
        <v>5615</v>
      </c>
      <c r="AO51" s="14"/>
      <c r="AP51" s="15" t="s">
        <v>3123</v>
      </c>
      <c r="AQ51" s="14"/>
      <c r="AR51" s="17"/>
      <c r="AS51" s="16"/>
      <c r="AT51" s="14"/>
      <c r="AU51" s="15" t="s">
        <v>3123</v>
      </c>
      <c r="AV51" s="14"/>
      <c r="AW51" s="17"/>
      <c r="AX51" s="16"/>
      <c r="AY51" s="16"/>
      <c r="AZ51" s="16"/>
      <c r="BA51" s="16"/>
      <c r="BB51" s="15" t="s">
        <v>3123</v>
      </c>
      <c r="BC51" s="17"/>
      <c r="BD51" s="14"/>
      <c r="BE51" s="14"/>
      <c r="BF51" s="16"/>
      <c r="BG51" s="16"/>
      <c r="BH51" s="13"/>
      <c r="BI51" s="18" t="s">
        <v>5616</v>
      </c>
      <c r="BJ51" s="13">
        <v>200</v>
      </c>
      <c r="BK51" s="17">
        <v>44131</v>
      </c>
      <c r="BL51" s="18" t="s">
        <v>5617</v>
      </c>
      <c r="BM51" s="18"/>
      <c r="BN51" s="18"/>
      <c r="BO51" s="18"/>
      <c r="BP51" s="14" t="s">
        <v>5618</v>
      </c>
      <c r="BQ51" s="17">
        <v>43300</v>
      </c>
      <c r="BR51" s="16">
        <v>-141100</v>
      </c>
      <c r="BS51" s="17">
        <v>43465</v>
      </c>
      <c r="BT51" s="16">
        <v>-138300</v>
      </c>
      <c r="BU51" s="17">
        <v>43465</v>
      </c>
      <c r="BV51" s="16">
        <v>3708206.2039155862</v>
      </c>
      <c r="BW51" s="17">
        <v>43983</v>
      </c>
      <c r="BX51" s="16"/>
      <c r="BY51" s="17"/>
      <c r="BZ51" s="19">
        <v>44.652189822842978</v>
      </c>
      <c r="CA51" s="19"/>
      <c r="CB51" s="17"/>
      <c r="CC51" s="14" t="s">
        <v>5345</v>
      </c>
      <c r="CD51" s="14" t="s">
        <v>5619</v>
      </c>
      <c r="CE51" s="14" t="s">
        <v>5620</v>
      </c>
    </row>
    <row r="52" spans="1:83" ht="26.15" customHeight="1">
      <c r="A52" s="13">
        <v>46</v>
      </c>
      <c r="B52" s="14" t="s">
        <v>1024</v>
      </c>
      <c r="C52" s="14" t="s">
        <v>1025</v>
      </c>
      <c r="D52" s="14" t="s">
        <v>1029</v>
      </c>
      <c r="E52" s="13">
        <v>2013</v>
      </c>
      <c r="F52" s="14"/>
      <c r="G52" s="14"/>
      <c r="H52" s="14" t="s">
        <v>1028</v>
      </c>
      <c r="I52" s="15" t="s">
        <v>3117</v>
      </c>
      <c r="J52" s="16">
        <v>1900000</v>
      </c>
      <c r="K52" s="17">
        <v>43600</v>
      </c>
      <c r="L52" s="16" t="s">
        <v>5022</v>
      </c>
      <c r="M52" s="16">
        <v>1900000</v>
      </c>
      <c r="N52" s="14" t="s">
        <v>34</v>
      </c>
      <c r="O52" s="13">
        <v>4</v>
      </c>
      <c r="P52" s="17">
        <v>44041</v>
      </c>
      <c r="Q52" s="14"/>
      <c r="R52" s="17"/>
      <c r="S52" s="17"/>
      <c r="T52" s="14" t="s">
        <v>1</v>
      </c>
      <c r="U52" s="14" t="s">
        <v>5007</v>
      </c>
      <c r="V52" s="14" t="s">
        <v>2678</v>
      </c>
      <c r="W52" s="14"/>
      <c r="X52" s="14" t="s">
        <v>5621</v>
      </c>
      <c r="Y52" s="14"/>
      <c r="Z52" s="14" t="s">
        <v>5622</v>
      </c>
      <c r="AA52" s="14"/>
      <c r="AB52" s="14" t="s">
        <v>1028</v>
      </c>
      <c r="AC52" s="14" t="s">
        <v>5623</v>
      </c>
      <c r="AD52" s="14" t="s">
        <v>5624</v>
      </c>
      <c r="AE52" s="14" t="s">
        <v>5625</v>
      </c>
      <c r="AF52" s="14"/>
      <c r="AG52" s="14"/>
      <c r="AH52" s="18"/>
      <c r="AI52" s="16"/>
      <c r="AJ52" s="17"/>
      <c r="AK52" s="15" t="s">
        <v>3123</v>
      </c>
      <c r="AL52" s="17"/>
      <c r="AM52" s="16"/>
      <c r="AN52" s="14"/>
      <c r="AO52" s="14"/>
      <c r="AP52" s="15" t="s">
        <v>3123</v>
      </c>
      <c r="AQ52" s="14"/>
      <c r="AR52" s="17"/>
      <c r="AS52" s="16"/>
      <c r="AT52" s="14"/>
      <c r="AU52" s="15" t="s">
        <v>3123</v>
      </c>
      <c r="AV52" s="14"/>
      <c r="AW52" s="17"/>
      <c r="AX52" s="16"/>
      <c r="AY52" s="16"/>
      <c r="AZ52" s="16"/>
      <c r="BA52" s="16"/>
      <c r="BB52" s="15" t="s">
        <v>3123</v>
      </c>
      <c r="BC52" s="17"/>
      <c r="BD52" s="14"/>
      <c r="BE52" s="14"/>
      <c r="BF52" s="16"/>
      <c r="BG52" s="16"/>
      <c r="BH52" s="13"/>
      <c r="BI52" s="18" t="s">
        <v>5626</v>
      </c>
      <c r="BJ52" s="13">
        <v>200</v>
      </c>
      <c r="BK52" s="17">
        <v>44126</v>
      </c>
      <c r="BL52" s="18"/>
      <c r="BM52" s="18"/>
      <c r="BN52" s="18"/>
      <c r="BO52" s="18"/>
      <c r="BP52" s="14" t="s">
        <v>5627</v>
      </c>
      <c r="BQ52" s="17">
        <v>44041</v>
      </c>
      <c r="BR52" s="16"/>
      <c r="BS52" s="17"/>
      <c r="BT52" s="16"/>
      <c r="BU52" s="17"/>
      <c r="BV52" s="16"/>
      <c r="BW52" s="17"/>
      <c r="BX52" s="16"/>
      <c r="BY52" s="17"/>
      <c r="BZ52" s="19">
        <v>28.186383173911054</v>
      </c>
      <c r="CA52" s="19"/>
      <c r="CB52" s="17"/>
      <c r="CC52" s="14" t="s">
        <v>5247</v>
      </c>
      <c r="CD52" s="14" t="s">
        <v>5628</v>
      </c>
      <c r="CE52" s="14" t="s">
        <v>5311</v>
      </c>
    </row>
    <row r="53" spans="1:83" ht="26.15" customHeight="1">
      <c r="A53" s="13">
        <v>47</v>
      </c>
      <c r="B53" s="14" t="s">
        <v>914</v>
      </c>
      <c r="C53" s="14" t="s">
        <v>915</v>
      </c>
      <c r="D53" s="14" t="s">
        <v>917</v>
      </c>
      <c r="E53" s="13">
        <v>2018</v>
      </c>
      <c r="F53" s="14" t="s">
        <v>5629</v>
      </c>
      <c r="G53" s="14" t="s">
        <v>5039</v>
      </c>
      <c r="H53" s="14" t="s">
        <v>3994</v>
      </c>
      <c r="I53" s="15" t="s">
        <v>3117</v>
      </c>
      <c r="J53" s="16"/>
      <c r="K53" s="17">
        <v>43678</v>
      </c>
      <c r="L53" s="16"/>
      <c r="M53" s="16" t="s">
        <v>50</v>
      </c>
      <c r="N53" s="14" t="s">
        <v>5630</v>
      </c>
      <c r="O53" s="13"/>
      <c r="P53" s="17">
        <v>44057</v>
      </c>
      <c r="Q53" s="14"/>
      <c r="R53" s="17"/>
      <c r="S53" s="17"/>
      <c r="T53" s="14" t="s">
        <v>5631</v>
      </c>
      <c r="U53" s="14" t="s">
        <v>5632</v>
      </c>
      <c r="V53" s="14" t="s">
        <v>5633</v>
      </c>
      <c r="W53" s="14"/>
      <c r="X53" s="14" t="s">
        <v>5634</v>
      </c>
      <c r="Y53" s="14"/>
      <c r="Z53" s="14" t="s">
        <v>5635</v>
      </c>
      <c r="AA53" s="14"/>
      <c r="AB53" s="14" t="s">
        <v>3994</v>
      </c>
      <c r="AC53" s="14"/>
      <c r="AD53" s="14"/>
      <c r="AE53" s="14" t="s">
        <v>5636</v>
      </c>
      <c r="AF53" s="14" t="s">
        <v>5637</v>
      </c>
      <c r="AG53" s="14" t="s">
        <v>5638</v>
      </c>
      <c r="AH53" s="18"/>
      <c r="AI53" s="16"/>
      <c r="AJ53" s="17"/>
      <c r="AK53" s="15" t="s">
        <v>3123</v>
      </c>
      <c r="AL53" s="17"/>
      <c r="AM53" s="16"/>
      <c r="AN53" s="14"/>
      <c r="AO53" s="14"/>
      <c r="AP53" s="15" t="s">
        <v>3123</v>
      </c>
      <c r="AQ53" s="14"/>
      <c r="AR53" s="17"/>
      <c r="AS53" s="16"/>
      <c r="AT53" s="14"/>
      <c r="AU53" s="15" t="s">
        <v>3123</v>
      </c>
      <c r="AV53" s="14"/>
      <c r="AW53" s="17"/>
      <c r="AX53" s="16"/>
      <c r="AY53" s="16"/>
      <c r="AZ53" s="16"/>
      <c r="BA53" s="16"/>
      <c r="BB53" s="15" t="s">
        <v>3117</v>
      </c>
      <c r="BC53" s="17"/>
      <c r="BD53" s="14"/>
      <c r="BE53" s="14"/>
      <c r="BF53" s="16"/>
      <c r="BG53" s="16"/>
      <c r="BH53" s="13"/>
      <c r="BI53" s="18" t="s">
        <v>5639</v>
      </c>
      <c r="BJ53" s="13">
        <v>-1</v>
      </c>
      <c r="BK53" s="17">
        <v>44112</v>
      </c>
      <c r="BL53" s="18" t="s">
        <v>5640</v>
      </c>
      <c r="BM53" s="18"/>
      <c r="BN53" s="18"/>
      <c r="BO53" s="18"/>
      <c r="BP53" s="14" t="s">
        <v>5641</v>
      </c>
      <c r="BQ53" s="17">
        <v>43875</v>
      </c>
      <c r="BR53" s="16"/>
      <c r="BS53" s="17"/>
      <c r="BT53" s="16"/>
      <c r="BU53" s="17"/>
      <c r="BV53" s="16"/>
      <c r="BW53" s="17"/>
      <c r="BX53" s="16"/>
      <c r="BY53" s="17"/>
      <c r="BZ53" s="19">
        <v>12.155607243778794</v>
      </c>
      <c r="CA53" s="19"/>
      <c r="CB53" s="17"/>
      <c r="CC53" s="14" t="s">
        <v>5161</v>
      </c>
      <c r="CD53" s="14" t="s">
        <v>5642</v>
      </c>
      <c r="CE53" s="14" t="s">
        <v>5311</v>
      </c>
    </row>
    <row r="54" spans="1:83" ht="26.15" customHeight="1">
      <c r="A54" s="13">
        <v>48</v>
      </c>
      <c r="B54" s="14" t="s">
        <v>795</v>
      </c>
      <c r="C54" s="14" t="s">
        <v>796</v>
      </c>
      <c r="D54" s="14" t="s">
        <v>799</v>
      </c>
      <c r="E54" s="13">
        <v>2018</v>
      </c>
      <c r="F54" s="14" t="s">
        <v>5222</v>
      </c>
      <c r="G54" s="14" t="s">
        <v>5223</v>
      </c>
      <c r="H54" s="14" t="s">
        <v>3994</v>
      </c>
      <c r="I54" s="15" t="s">
        <v>3117</v>
      </c>
      <c r="J54" s="16"/>
      <c r="K54" s="17">
        <v>43739</v>
      </c>
      <c r="L54" s="16"/>
      <c r="M54" s="16" t="s">
        <v>50</v>
      </c>
      <c r="N54" s="14" t="s">
        <v>34</v>
      </c>
      <c r="O54" s="13">
        <v>4</v>
      </c>
      <c r="P54" s="17">
        <v>44098</v>
      </c>
      <c r="Q54" s="14"/>
      <c r="R54" s="17"/>
      <c r="S54" s="17"/>
      <c r="T54" s="14" t="s">
        <v>5442</v>
      </c>
      <c r="U54" s="14" t="s">
        <v>5443</v>
      </c>
      <c r="V54" s="14" t="s">
        <v>5643</v>
      </c>
      <c r="W54" s="14"/>
      <c r="X54" s="14" t="s">
        <v>5644</v>
      </c>
      <c r="Y54" s="14"/>
      <c r="Z54" s="14" t="s">
        <v>5645</v>
      </c>
      <c r="AA54" s="14"/>
      <c r="AB54" s="14" t="s">
        <v>3994</v>
      </c>
      <c r="AC54" s="14"/>
      <c r="AD54" s="14" t="s">
        <v>5646</v>
      </c>
      <c r="AE54" s="14" t="s">
        <v>5647</v>
      </c>
      <c r="AF54" s="14" t="s">
        <v>5648</v>
      </c>
      <c r="AG54" s="14" t="s">
        <v>5649</v>
      </c>
      <c r="AH54" s="18"/>
      <c r="AI54" s="16">
        <v>27500</v>
      </c>
      <c r="AJ54" s="17">
        <v>43465</v>
      </c>
      <c r="AK54" s="15" t="s">
        <v>3123</v>
      </c>
      <c r="AL54" s="17"/>
      <c r="AM54" s="16"/>
      <c r="AN54" s="14"/>
      <c r="AO54" s="14"/>
      <c r="AP54" s="15" t="s">
        <v>3123</v>
      </c>
      <c r="AQ54" s="14"/>
      <c r="AR54" s="17"/>
      <c r="AS54" s="16"/>
      <c r="AT54" s="14"/>
      <c r="AU54" s="15" t="s">
        <v>3123</v>
      </c>
      <c r="AV54" s="14"/>
      <c r="AW54" s="17"/>
      <c r="AX54" s="16"/>
      <c r="AY54" s="16"/>
      <c r="AZ54" s="16"/>
      <c r="BA54" s="16"/>
      <c r="BB54" s="15" t="s">
        <v>3123</v>
      </c>
      <c r="BC54" s="17"/>
      <c r="BD54" s="14"/>
      <c r="BE54" s="14"/>
      <c r="BF54" s="16"/>
      <c r="BG54" s="16"/>
      <c r="BH54" s="13"/>
      <c r="BI54" s="18" t="s">
        <v>5650</v>
      </c>
      <c r="BJ54" s="13">
        <v>200</v>
      </c>
      <c r="BK54" s="17">
        <v>44131</v>
      </c>
      <c r="BL54" s="18" t="s">
        <v>5651</v>
      </c>
      <c r="BM54" s="18"/>
      <c r="BN54" s="18"/>
      <c r="BO54" s="18"/>
      <c r="BP54" s="14" t="s">
        <v>5652</v>
      </c>
      <c r="BQ54" s="17">
        <v>43559</v>
      </c>
      <c r="BR54" s="16">
        <v>232</v>
      </c>
      <c r="BS54" s="17">
        <v>43465</v>
      </c>
      <c r="BT54" s="16">
        <v>374</v>
      </c>
      <c r="BU54" s="17">
        <v>43465</v>
      </c>
      <c r="BV54" s="16"/>
      <c r="BW54" s="17"/>
      <c r="BX54" s="16"/>
      <c r="BY54" s="17"/>
      <c r="BZ54" s="19">
        <v>34.520729716121878</v>
      </c>
      <c r="CA54" s="19"/>
      <c r="CB54" s="17"/>
      <c r="CC54" s="14" t="s">
        <v>5653</v>
      </c>
      <c r="CD54" s="14" t="s">
        <v>5654</v>
      </c>
      <c r="CE54" s="14" t="s">
        <v>5655</v>
      </c>
    </row>
    <row r="55" spans="1:83" ht="26.15" customHeight="1">
      <c r="A55" s="13">
        <v>49</v>
      </c>
      <c r="B55" s="14" t="s">
        <v>125</v>
      </c>
      <c r="C55" s="14" t="s">
        <v>126</v>
      </c>
      <c r="D55" s="14" t="s">
        <v>129</v>
      </c>
      <c r="E55" s="13">
        <v>2017</v>
      </c>
      <c r="F55" s="14" t="s">
        <v>5222</v>
      </c>
      <c r="G55" s="14" t="s">
        <v>5223</v>
      </c>
      <c r="H55" s="14" t="s">
        <v>3994</v>
      </c>
      <c r="I55" s="15" t="s">
        <v>3117</v>
      </c>
      <c r="J55" s="16">
        <v>532546</v>
      </c>
      <c r="K55" s="17">
        <v>44102</v>
      </c>
      <c r="L55" s="16" t="s">
        <v>5656</v>
      </c>
      <c r="M55" s="16">
        <v>500000</v>
      </c>
      <c r="N55" s="14" t="s">
        <v>34</v>
      </c>
      <c r="O55" s="13">
        <v>4</v>
      </c>
      <c r="P55" s="17">
        <v>44110</v>
      </c>
      <c r="Q55" s="14"/>
      <c r="R55" s="17"/>
      <c r="S55" s="17"/>
      <c r="T55" s="14" t="s">
        <v>5278</v>
      </c>
      <c r="U55" s="14" t="s">
        <v>5657</v>
      </c>
      <c r="V55" s="14" t="s">
        <v>5658</v>
      </c>
      <c r="W55" s="14"/>
      <c r="X55" s="14" t="s">
        <v>5659</v>
      </c>
      <c r="Y55" s="14" t="s">
        <v>127</v>
      </c>
      <c r="Z55" s="14" t="s">
        <v>5660</v>
      </c>
      <c r="AA55" s="14"/>
      <c r="AB55" s="14" t="s">
        <v>3994</v>
      </c>
      <c r="AC55" s="14" t="s">
        <v>5661</v>
      </c>
      <c r="AD55" s="14" t="s">
        <v>5662</v>
      </c>
      <c r="AE55" s="14" t="s">
        <v>5663</v>
      </c>
      <c r="AF55" s="14" t="s">
        <v>5664</v>
      </c>
      <c r="AG55" s="14" t="s">
        <v>5665</v>
      </c>
      <c r="AH55" s="18"/>
      <c r="AI55" s="16">
        <v>1726703</v>
      </c>
      <c r="AJ55" s="17">
        <v>43465</v>
      </c>
      <c r="AK55" s="15" t="s">
        <v>3117</v>
      </c>
      <c r="AL55" s="17">
        <v>42906</v>
      </c>
      <c r="AM55" s="16">
        <v>77</v>
      </c>
      <c r="AN55" s="14" t="s">
        <v>5666</v>
      </c>
      <c r="AO55" s="14"/>
      <c r="AP55" s="15" t="s">
        <v>3123</v>
      </c>
      <c r="AQ55" s="14"/>
      <c r="AR55" s="17"/>
      <c r="AS55" s="16"/>
      <c r="AT55" s="14"/>
      <c r="AU55" s="15" t="s">
        <v>3123</v>
      </c>
      <c r="AV55" s="14"/>
      <c r="AW55" s="17"/>
      <c r="AX55" s="16"/>
      <c r="AY55" s="16"/>
      <c r="AZ55" s="16"/>
      <c r="BA55" s="16"/>
      <c r="BB55" s="15" t="s">
        <v>3123</v>
      </c>
      <c r="BC55" s="17"/>
      <c r="BD55" s="14"/>
      <c r="BE55" s="14"/>
      <c r="BF55" s="16"/>
      <c r="BG55" s="16"/>
      <c r="BH55" s="13"/>
      <c r="BI55" s="18" t="s">
        <v>5667</v>
      </c>
      <c r="BJ55" s="13">
        <v>200</v>
      </c>
      <c r="BK55" s="17">
        <v>44124</v>
      </c>
      <c r="BL55" s="18" t="s">
        <v>5668</v>
      </c>
      <c r="BM55" s="18" t="s">
        <v>5669</v>
      </c>
      <c r="BN55" s="18" t="s">
        <v>5670</v>
      </c>
      <c r="BO55" s="18" t="s">
        <v>5671</v>
      </c>
      <c r="BP55" s="14" t="s">
        <v>5672</v>
      </c>
      <c r="BQ55" s="17">
        <v>43213</v>
      </c>
      <c r="BR55" s="16">
        <v>-21838</v>
      </c>
      <c r="BS55" s="17">
        <v>43465</v>
      </c>
      <c r="BT55" s="16">
        <v>-21384</v>
      </c>
      <c r="BU55" s="17">
        <v>43465</v>
      </c>
      <c r="BV55" s="16">
        <v>80000</v>
      </c>
      <c r="BW55" s="17">
        <v>43018</v>
      </c>
      <c r="BX55" s="16"/>
      <c r="BY55" s="17"/>
      <c r="BZ55" s="19">
        <v>52.228820207956502</v>
      </c>
      <c r="CA55" s="19"/>
      <c r="CB55" s="17"/>
      <c r="CC55" s="14" t="s">
        <v>5104</v>
      </c>
      <c r="CD55" s="14" t="s">
        <v>5037</v>
      </c>
      <c r="CE55" s="14" t="s">
        <v>5004</v>
      </c>
    </row>
    <row r="56" spans="1:83" ht="26.15" customHeight="1">
      <c r="A56" s="13">
        <v>50</v>
      </c>
      <c r="B56" s="14" t="s">
        <v>411</v>
      </c>
      <c r="C56" s="14" t="s">
        <v>412</v>
      </c>
      <c r="D56" s="14" t="s">
        <v>416</v>
      </c>
      <c r="E56" s="13">
        <v>2017</v>
      </c>
      <c r="F56" s="14" t="s">
        <v>5673</v>
      </c>
      <c r="G56" s="14" t="s">
        <v>5674</v>
      </c>
      <c r="H56" s="14" t="s">
        <v>2057</v>
      </c>
      <c r="I56" s="15" t="s">
        <v>3117</v>
      </c>
      <c r="J56" s="16">
        <v>14100500</v>
      </c>
      <c r="K56" s="17">
        <v>43959</v>
      </c>
      <c r="L56" s="16" t="s">
        <v>5675</v>
      </c>
      <c r="M56" s="16">
        <v>14100500</v>
      </c>
      <c r="N56" s="14" t="s">
        <v>109</v>
      </c>
      <c r="O56" s="13">
        <v>4</v>
      </c>
      <c r="P56" s="17">
        <v>43969</v>
      </c>
      <c r="Q56" s="14" t="s">
        <v>5052</v>
      </c>
      <c r="R56" s="17">
        <v>44027</v>
      </c>
      <c r="S56" s="17">
        <v>43959</v>
      </c>
      <c r="T56" s="14" t="s">
        <v>5676</v>
      </c>
      <c r="U56" s="14" t="s">
        <v>5677</v>
      </c>
      <c r="V56" s="14" t="s">
        <v>5678</v>
      </c>
      <c r="W56" s="14"/>
      <c r="X56" s="14" t="s">
        <v>5679</v>
      </c>
      <c r="Y56" s="14"/>
      <c r="Z56" s="14" t="s">
        <v>5680</v>
      </c>
      <c r="AA56" s="14"/>
      <c r="AB56" s="14" t="s">
        <v>2057</v>
      </c>
      <c r="AC56" s="14" t="s">
        <v>5681</v>
      </c>
      <c r="AD56" s="14" t="s">
        <v>5682</v>
      </c>
      <c r="AE56" s="14" t="s">
        <v>5683</v>
      </c>
      <c r="AF56" s="14"/>
      <c r="AG56" s="14"/>
      <c r="AH56" s="18"/>
      <c r="AI56" s="16"/>
      <c r="AJ56" s="17"/>
      <c r="AK56" s="15" t="s">
        <v>3123</v>
      </c>
      <c r="AL56" s="17"/>
      <c r="AM56" s="16"/>
      <c r="AN56" s="14"/>
      <c r="AO56" s="14"/>
      <c r="AP56" s="15" t="s">
        <v>3123</v>
      </c>
      <c r="AQ56" s="14"/>
      <c r="AR56" s="17"/>
      <c r="AS56" s="16"/>
      <c r="AT56" s="14"/>
      <c r="AU56" s="15" t="s">
        <v>3123</v>
      </c>
      <c r="AV56" s="14"/>
      <c r="AW56" s="17"/>
      <c r="AX56" s="16"/>
      <c r="AY56" s="16"/>
      <c r="AZ56" s="16"/>
      <c r="BA56" s="16"/>
      <c r="BB56" s="15" t="s">
        <v>3123</v>
      </c>
      <c r="BC56" s="17"/>
      <c r="BD56" s="14"/>
      <c r="BE56" s="14"/>
      <c r="BF56" s="16"/>
      <c r="BG56" s="16"/>
      <c r="BH56" s="13"/>
      <c r="BI56" s="18" t="s">
        <v>5684</v>
      </c>
      <c r="BJ56" s="13">
        <v>200</v>
      </c>
      <c r="BK56" s="17">
        <v>44131</v>
      </c>
      <c r="BL56" s="18" t="s">
        <v>5685</v>
      </c>
      <c r="BM56" s="18" t="s">
        <v>5686</v>
      </c>
      <c r="BN56" s="18" t="s">
        <v>5687</v>
      </c>
      <c r="BO56" s="18"/>
      <c r="BP56" s="14" t="s">
        <v>5688</v>
      </c>
      <c r="BQ56" s="17">
        <v>43963</v>
      </c>
      <c r="BR56" s="16"/>
      <c r="BS56" s="17"/>
      <c r="BT56" s="16"/>
      <c r="BU56" s="17"/>
      <c r="BV56" s="16"/>
      <c r="BW56" s="17"/>
      <c r="BX56" s="16"/>
      <c r="BY56" s="17"/>
      <c r="BZ56" s="19">
        <v>38.930619054529494</v>
      </c>
      <c r="CA56" s="19"/>
      <c r="CB56" s="17"/>
      <c r="CC56" s="14" t="s">
        <v>5090</v>
      </c>
      <c r="CD56" s="14" t="s">
        <v>5091</v>
      </c>
      <c r="CE56" s="14" t="s">
        <v>5004</v>
      </c>
    </row>
    <row r="57" spans="1:83" ht="26.15" customHeight="1">
      <c r="A57" s="13">
        <v>51</v>
      </c>
      <c r="B57" s="14" t="s">
        <v>1387</v>
      </c>
      <c r="C57" s="14" t="s">
        <v>1388</v>
      </c>
      <c r="D57" s="14" t="s">
        <v>1389</v>
      </c>
      <c r="E57" s="13">
        <v>2018</v>
      </c>
      <c r="F57" s="14" t="s">
        <v>5689</v>
      </c>
      <c r="G57" s="14" t="s">
        <v>5674</v>
      </c>
      <c r="H57" s="14" t="s">
        <v>2057</v>
      </c>
      <c r="I57" s="15" t="s">
        <v>3117</v>
      </c>
      <c r="J57" s="16">
        <v>720349</v>
      </c>
      <c r="K57" s="17">
        <v>43396</v>
      </c>
      <c r="L57" s="16" t="s">
        <v>5690</v>
      </c>
      <c r="M57" s="16">
        <v>720349</v>
      </c>
      <c r="N57" s="14" t="s">
        <v>34</v>
      </c>
      <c r="O57" s="13">
        <v>3</v>
      </c>
      <c r="P57" s="17">
        <v>44055</v>
      </c>
      <c r="Q57" s="14"/>
      <c r="R57" s="17"/>
      <c r="S57" s="17"/>
      <c r="T57" s="14" t="s">
        <v>1</v>
      </c>
      <c r="U57" s="14" t="s">
        <v>5007</v>
      </c>
      <c r="V57" s="14" t="s">
        <v>5192</v>
      </c>
      <c r="W57" s="14"/>
      <c r="X57" s="14"/>
      <c r="Y57" s="14"/>
      <c r="Z57" s="14" t="s">
        <v>5691</v>
      </c>
      <c r="AA57" s="14"/>
      <c r="AB57" s="14" t="s">
        <v>2057</v>
      </c>
      <c r="AC57" s="14"/>
      <c r="AD57" s="14" t="s">
        <v>5692</v>
      </c>
      <c r="AE57" s="14"/>
      <c r="AF57" s="14"/>
      <c r="AG57" s="14"/>
      <c r="AH57" s="18"/>
      <c r="AI57" s="16"/>
      <c r="AJ57" s="17"/>
      <c r="AK57" s="15" t="s">
        <v>3123</v>
      </c>
      <c r="AL57" s="17"/>
      <c r="AM57" s="16"/>
      <c r="AN57" s="14"/>
      <c r="AO57" s="14"/>
      <c r="AP57" s="15" t="s">
        <v>3123</v>
      </c>
      <c r="AQ57" s="14"/>
      <c r="AR57" s="17"/>
      <c r="AS57" s="16"/>
      <c r="AT57" s="14"/>
      <c r="AU57" s="15" t="s">
        <v>3123</v>
      </c>
      <c r="AV57" s="14"/>
      <c r="AW57" s="17"/>
      <c r="AX57" s="16"/>
      <c r="AY57" s="16"/>
      <c r="AZ57" s="16"/>
      <c r="BA57" s="16"/>
      <c r="BB57" s="15" t="s">
        <v>3123</v>
      </c>
      <c r="BC57" s="17"/>
      <c r="BD57" s="14"/>
      <c r="BE57" s="14"/>
      <c r="BF57" s="16"/>
      <c r="BG57" s="16"/>
      <c r="BH57" s="13"/>
      <c r="BI57" s="18" t="s">
        <v>5693</v>
      </c>
      <c r="BJ57" s="13">
        <v>200</v>
      </c>
      <c r="BK57" s="17">
        <v>44124</v>
      </c>
      <c r="BL57" s="18"/>
      <c r="BM57" s="18"/>
      <c r="BN57" s="18"/>
      <c r="BO57" s="18"/>
      <c r="BP57" s="14" t="s">
        <v>5694</v>
      </c>
      <c r="BQ57" s="17">
        <v>43473</v>
      </c>
      <c r="BR57" s="16"/>
      <c r="BS57" s="17"/>
      <c r="BT57" s="16"/>
      <c r="BU57" s="17"/>
      <c r="BV57" s="16"/>
      <c r="BW57" s="17"/>
      <c r="BX57" s="16"/>
      <c r="BY57" s="17"/>
      <c r="BZ57" s="19">
        <v>13.029064213777593</v>
      </c>
      <c r="CA57" s="19"/>
      <c r="CB57" s="17"/>
      <c r="CC57" s="14" t="s">
        <v>5309</v>
      </c>
      <c r="CD57" s="14" t="s">
        <v>5695</v>
      </c>
      <c r="CE57" s="14" t="s">
        <v>5311</v>
      </c>
    </row>
    <row r="58" spans="1:83" ht="26.15" customHeight="1">
      <c r="A58" s="13">
        <v>52</v>
      </c>
      <c r="B58" s="14" t="s">
        <v>996</v>
      </c>
      <c r="C58" s="14" t="s">
        <v>997</v>
      </c>
      <c r="D58" s="14" t="s">
        <v>1001</v>
      </c>
      <c r="E58" s="13">
        <v>2018</v>
      </c>
      <c r="F58" s="14" t="s">
        <v>5312</v>
      </c>
      <c r="G58" s="14" t="s">
        <v>5313</v>
      </c>
      <c r="H58" s="14" t="s">
        <v>3994</v>
      </c>
      <c r="I58" s="15" t="s">
        <v>3117</v>
      </c>
      <c r="J58" s="16">
        <v>2000000</v>
      </c>
      <c r="K58" s="17">
        <v>43613</v>
      </c>
      <c r="L58" s="16" t="s">
        <v>5022</v>
      </c>
      <c r="M58" s="16">
        <v>2000000</v>
      </c>
      <c r="N58" s="14" t="s">
        <v>34</v>
      </c>
      <c r="O58" s="13">
        <v>4</v>
      </c>
      <c r="P58" s="17">
        <v>44013</v>
      </c>
      <c r="Q58" s="14"/>
      <c r="R58" s="17"/>
      <c r="S58" s="17"/>
      <c r="T58" s="14" t="s">
        <v>5509</v>
      </c>
      <c r="U58" s="14" t="s">
        <v>5510</v>
      </c>
      <c r="V58" s="14" t="s">
        <v>5696</v>
      </c>
      <c r="W58" s="14"/>
      <c r="X58" s="14" t="s">
        <v>5697</v>
      </c>
      <c r="Y58" s="14" t="s">
        <v>5698</v>
      </c>
      <c r="Z58" s="14" t="s">
        <v>5699</v>
      </c>
      <c r="AA58" s="14"/>
      <c r="AB58" s="14" t="s">
        <v>3994</v>
      </c>
      <c r="AC58" s="14"/>
      <c r="AD58" s="14" t="s">
        <v>5700</v>
      </c>
      <c r="AE58" s="14" t="s">
        <v>5701</v>
      </c>
      <c r="AF58" s="14" t="s">
        <v>5702</v>
      </c>
      <c r="AG58" s="14" t="s">
        <v>5703</v>
      </c>
      <c r="AH58" s="18"/>
      <c r="AI58" s="16">
        <v>422900</v>
      </c>
      <c r="AJ58" s="17">
        <v>43465</v>
      </c>
      <c r="AK58" s="15" t="s">
        <v>3117</v>
      </c>
      <c r="AL58" s="17">
        <v>43188</v>
      </c>
      <c r="AM58" s="16">
        <v>1538</v>
      </c>
      <c r="AN58" s="14" t="s">
        <v>5704</v>
      </c>
      <c r="AO58" s="14"/>
      <c r="AP58" s="15" t="s">
        <v>3123</v>
      </c>
      <c r="AQ58" s="14"/>
      <c r="AR58" s="17"/>
      <c r="AS58" s="16"/>
      <c r="AT58" s="14"/>
      <c r="AU58" s="15" t="s">
        <v>3123</v>
      </c>
      <c r="AV58" s="14"/>
      <c r="AW58" s="17"/>
      <c r="AX58" s="16"/>
      <c r="AY58" s="16"/>
      <c r="AZ58" s="16"/>
      <c r="BA58" s="16"/>
      <c r="BB58" s="15" t="s">
        <v>3123</v>
      </c>
      <c r="BC58" s="17"/>
      <c r="BD58" s="14"/>
      <c r="BE58" s="14"/>
      <c r="BF58" s="16"/>
      <c r="BG58" s="16"/>
      <c r="BH58" s="13"/>
      <c r="BI58" s="18" t="s">
        <v>5705</v>
      </c>
      <c r="BJ58" s="13">
        <v>200</v>
      </c>
      <c r="BK58" s="17">
        <v>44123</v>
      </c>
      <c r="BL58" s="18" t="s">
        <v>5706</v>
      </c>
      <c r="BM58" s="18" t="s">
        <v>5707</v>
      </c>
      <c r="BN58" s="18"/>
      <c r="BO58" s="18"/>
      <c r="BP58" s="14" t="s">
        <v>5708</v>
      </c>
      <c r="BQ58" s="17">
        <v>43518</v>
      </c>
      <c r="BR58" s="16">
        <v>-184600</v>
      </c>
      <c r="BS58" s="17">
        <v>43465</v>
      </c>
      <c r="BT58" s="16">
        <v>-173600</v>
      </c>
      <c r="BU58" s="17">
        <v>43465</v>
      </c>
      <c r="BV58" s="16">
        <v>6000000</v>
      </c>
      <c r="BW58" s="17">
        <v>43591</v>
      </c>
      <c r="BX58" s="16">
        <v>55</v>
      </c>
      <c r="BY58" s="17">
        <v>43830</v>
      </c>
      <c r="BZ58" s="19">
        <v>46.573086768038358</v>
      </c>
      <c r="CA58" s="19"/>
      <c r="CB58" s="17"/>
      <c r="CC58" s="14" t="s">
        <v>5104</v>
      </c>
      <c r="CD58" s="14" t="s">
        <v>5439</v>
      </c>
      <c r="CE58" s="14" t="s">
        <v>5311</v>
      </c>
    </row>
    <row r="59" spans="1:83" ht="26.15" customHeight="1">
      <c r="A59" s="13">
        <v>53</v>
      </c>
      <c r="B59" s="14" t="s">
        <v>1367</v>
      </c>
      <c r="C59" s="14" t="s">
        <v>1368</v>
      </c>
      <c r="D59" s="14" t="s">
        <v>1371</v>
      </c>
      <c r="E59" s="13">
        <v>2018</v>
      </c>
      <c r="F59" s="14" t="s">
        <v>5522</v>
      </c>
      <c r="G59" s="14" t="s">
        <v>5523</v>
      </c>
      <c r="H59" s="14" t="s">
        <v>5524</v>
      </c>
      <c r="I59" s="15" t="s">
        <v>3117</v>
      </c>
      <c r="J59" s="16">
        <v>100000</v>
      </c>
      <c r="K59" s="17">
        <v>43405</v>
      </c>
      <c r="L59" s="16" t="s">
        <v>5252</v>
      </c>
      <c r="M59" s="16">
        <v>100000</v>
      </c>
      <c r="N59" s="14" t="s">
        <v>34</v>
      </c>
      <c r="O59" s="13">
        <v>4</v>
      </c>
      <c r="P59" s="17">
        <v>44018</v>
      </c>
      <c r="Q59" s="14"/>
      <c r="R59" s="17"/>
      <c r="S59" s="17"/>
      <c r="T59" s="14" t="s">
        <v>1</v>
      </c>
      <c r="U59" s="14" t="s">
        <v>5007</v>
      </c>
      <c r="V59" s="14" t="s">
        <v>5594</v>
      </c>
      <c r="W59" s="14"/>
      <c r="X59" s="14" t="s">
        <v>1370</v>
      </c>
      <c r="Y59" s="14"/>
      <c r="Z59" s="14" t="s">
        <v>5709</v>
      </c>
      <c r="AA59" s="14"/>
      <c r="AB59" s="14" t="s">
        <v>5524</v>
      </c>
      <c r="AC59" s="14" t="s">
        <v>5710</v>
      </c>
      <c r="AD59" s="14" t="s">
        <v>5711</v>
      </c>
      <c r="AE59" s="14" t="s">
        <v>5712</v>
      </c>
      <c r="AF59" s="14"/>
      <c r="AG59" s="14" t="s">
        <v>5713</v>
      </c>
      <c r="AH59" s="18"/>
      <c r="AI59" s="16"/>
      <c r="AJ59" s="17"/>
      <c r="AK59" s="15" t="s">
        <v>3123</v>
      </c>
      <c r="AL59" s="17"/>
      <c r="AM59" s="16"/>
      <c r="AN59" s="14"/>
      <c r="AO59" s="14"/>
      <c r="AP59" s="15" t="s">
        <v>3123</v>
      </c>
      <c r="AQ59" s="14"/>
      <c r="AR59" s="17"/>
      <c r="AS59" s="16"/>
      <c r="AT59" s="14"/>
      <c r="AU59" s="15" t="s">
        <v>3123</v>
      </c>
      <c r="AV59" s="14"/>
      <c r="AW59" s="17"/>
      <c r="AX59" s="16"/>
      <c r="AY59" s="16"/>
      <c r="AZ59" s="16"/>
      <c r="BA59" s="16"/>
      <c r="BB59" s="15" t="s">
        <v>3123</v>
      </c>
      <c r="BC59" s="17"/>
      <c r="BD59" s="14"/>
      <c r="BE59" s="14"/>
      <c r="BF59" s="16"/>
      <c r="BG59" s="16"/>
      <c r="BH59" s="13"/>
      <c r="BI59" s="18" t="s">
        <v>5714</v>
      </c>
      <c r="BJ59" s="13">
        <v>200</v>
      </c>
      <c r="BK59" s="17">
        <v>44123</v>
      </c>
      <c r="BL59" s="18" t="s">
        <v>5715</v>
      </c>
      <c r="BM59" s="18"/>
      <c r="BN59" s="18" t="s">
        <v>5716</v>
      </c>
      <c r="BO59" s="18" t="s">
        <v>5717</v>
      </c>
      <c r="BP59" s="14" t="s">
        <v>5718</v>
      </c>
      <c r="BQ59" s="17">
        <v>43545</v>
      </c>
      <c r="BR59" s="16"/>
      <c r="BS59" s="17"/>
      <c r="BT59" s="16"/>
      <c r="BU59" s="17"/>
      <c r="BV59" s="16"/>
      <c r="BW59" s="17"/>
      <c r="BX59" s="16"/>
      <c r="BY59" s="17"/>
      <c r="BZ59" s="19">
        <v>15.119656589671724</v>
      </c>
      <c r="CA59" s="19"/>
      <c r="CB59" s="17"/>
      <c r="CC59" s="14" t="s">
        <v>5104</v>
      </c>
      <c r="CD59" s="14" t="s">
        <v>5439</v>
      </c>
      <c r="CE59" s="14" t="s">
        <v>5311</v>
      </c>
    </row>
    <row r="60" spans="1:83" ht="26.15" customHeight="1">
      <c r="A60" s="13">
        <v>54</v>
      </c>
      <c r="B60" s="14" t="s">
        <v>1218</v>
      </c>
      <c r="C60" s="14" t="s">
        <v>1219</v>
      </c>
      <c r="D60" s="14" t="s">
        <v>1223</v>
      </c>
      <c r="E60" s="13">
        <v>2018</v>
      </c>
      <c r="F60" s="14" t="s">
        <v>5719</v>
      </c>
      <c r="G60" s="14" t="s">
        <v>5720</v>
      </c>
      <c r="H60" s="14" t="s">
        <v>2057</v>
      </c>
      <c r="I60" s="15" t="s">
        <v>3117</v>
      </c>
      <c r="J60" s="16">
        <v>3000000</v>
      </c>
      <c r="K60" s="17">
        <v>43491</v>
      </c>
      <c r="L60" s="16" t="s">
        <v>5069</v>
      </c>
      <c r="M60" s="16">
        <v>3000000</v>
      </c>
      <c r="N60" s="14" t="s">
        <v>109</v>
      </c>
      <c r="O60" s="13">
        <v>3</v>
      </c>
      <c r="P60" s="17">
        <v>43991</v>
      </c>
      <c r="Q60" s="14"/>
      <c r="R60" s="17"/>
      <c r="S60" s="17"/>
      <c r="T60" s="14" t="s">
        <v>1</v>
      </c>
      <c r="U60" s="14" t="s">
        <v>5007</v>
      </c>
      <c r="V60" s="14" t="s">
        <v>5594</v>
      </c>
      <c r="W60" s="14"/>
      <c r="X60" s="14" t="s">
        <v>1221</v>
      </c>
      <c r="Y60" s="14"/>
      <c r="Z60" s="14" t="s">
        <v>5721</v>
      </c>
      <c r="AA60" s="14"/>
      <c r="AB60" s="14" t="s">
        <v>2057</v>
      </c>
      <c r="AC60" s="14" t="s">
        <v>5722</v>
      </c>
      <c r="AD60" s="14"/>
      <c r="AE60" s="14" t="s">
        <v>5723</v>
      </c>
      <c r="AF60" s="14"/>
      <c r="AG60" s="14"/>
      <c r="AH60" s="18"/>
      <c r="AI60" s="16"/>
      <c r="AJ60" s="17"/>
      <c r="AK60" s="15" t="s">
        <v>3123</v>
      </c>
      <c r="AL60" s="17"/>
      <c r="AM60" s="16"/>
      <c r="AN60" s="14"/>
      <c r="AO60" s="14"/>
      <c r="AP60" s="15" t="s">
        <v>3123</v>
      </c>
      <c r="AQ60" s="14"/>
      <c r="AR60" s="17"/>
      <c r="AS60" s="16"/>
      <c r="AT60" s="14"/>
      <c r="AU60" s="15" t="s">
        <v>3123</v>
      </c>
      <c r="AV60" s="14"/>
      <c r="AW60" s="17"/>
      <c r="AX60" s="16"/>
      <c r="AY60" s="16"/>
      <c r="AZ60" s="16"/>
      <c r="BA60" s="16"/>
      <c r="BB60" s="15" t="s">
        <v>3123</v>
      </c>
      <c r="BC60" s="17"/>
      <c r="BD60" s="14"/>
      <c r="BE60" s="14"/>
      <c r="BF60" s="16"/>
      <c r="BG60" s="16"/>
      <c r="BH60" s="13"/>
      <c r="BI60" s="18" t="s">
        <v>5724</v>
      </c>
      <c r="BJ60" s="13">
        <v>200</v>
      </c>
      <c r="BK60" s="17">
        <v>44131</v>
      </c>
      <c r="BL60" s="18"/>
      <c r="BM60" s="18"/>
      <c r="BN60" s="18"/>
      <c r="BO60" s="18"/>
      <c r="BP60" s="14" t="s">
        <v>5725</v>
      </c>
      <c r="BQ60" s="17">
        <v>43627</v>
      </c>
      <c r="BR60" s="16"/>
      <c r="BS60" s="17"/>
      <c r="BT60" s="16"/>
      <c r="BU60" s="17"/>
      <c r="BV60" s="16"/>
      <c r="BW60" s="17"/>
      <c r="BX60" s="16"/>
      <c r="BY60" s="17"/>
      <c r="BZ60" s="19">
        <v>13.160119799310674</v>
      </c>
      <c r="CA60" s="19"/>
      <c r="CB60" s="17"/>
      <c r="CC60" s="14" t="s">
        <v>5018</v>
      </c>
      <c r="CD60" s="14" t="s">
        <v>5726</v>
      </c>
      <c r="CE60" s="14" t="s">
        <v>5004</v>
      </c>
    </row>
    <row r="61" spans="1:83" ht="26.15" customHeight="1">
      <c r="A61" s="13">
        <v>55</v>
      </c>
      <c r="B61" s="14" t="s">
        <v>985</v>
      </c>
      <c r="C61" s="14" t="s">
        <v>986</v>
      </c>
      <c r="D61" s="14" t="s">
        <v>989</v>
      </c>
      <c r="E61" s="13">
        <v>2017</v>
      </c>
      <c r="F61" s="14" t="s">
        <v>5592</v>
      </c>
      <c r="G61" s="14" t="s">
        <v>5313</v>
      </c>
      <c r="H61" s="14" t="s">
        <v>3994</v>
      </c>
      <c r="I61" s="15" t="s">
        <v>3117</v>
      </c>
      <c r="J61" s="16">
        <v>136390</v>
      </c>
      <c r="K61" s="17">
        <v>43615</v>
      </c>
      <c r="L61" s="16" t="s">
        <v>5727</v>
      </c>
      <c r="M61" s="16">
        <v>136390</v>
      </c>
      <c r="N61" s="14" t="s">
        <v>34</v>
      </c>
      <c r="O61" s="13">
        <v>3</v>
      </c>
      <c r="P61" s="17">
        <v>44042</v>
      </c>
      <c r="Q61" s="14"/>
      <c r="R61" s="17"/>
      <c r="S61" s="17"/>
      <c r="T61" s="14" t="s">
        <v>5493</v>
      </c>
      <c r="U61" s="14" t="s">
        <v>5494</v>
      </c>
      <c r="V61" s="14" t="s">
        <v>5728</v>
      </c>
      <c r="W61" s="14"/>
      <c r="X61" s="14"/>
      <c r="Y61" s="14" t="s">
        <v>5729</v>
      </c>
      <c r="Z61" s="14" t="s">
        <v>5730</v>
      </c>
      <c r="AA61" s="14"/>
      <c r="AB61" s="14" t="s">
        <v>3994</v>
      </c>
      <c r="AC61" s="14" t="s">
        <v>5731</v>
      </c>
      <c r="AD61" s="14" t="s">
        <v>5732</v>
      </c>
      <c r="AE61" s="14" t="s">
        <v>5733</v>
      </c>
      <c r="AF61" s="14" t="s">
        <v>5734</v>
      </c>
      <c r="AG61" s="14" t="s">
        <v>5735</v>
      </c>
      <c r="AH61" s="18"/>
      <c r="AI61" s="16">
        <v>819464.55105331633</v>
      </c>
      <c r="AJ61" s="17">
        <v>43465</v>
      </c>
      <c r="AK61" s="15" t="s">
        <v>3123</v>
      </c>
      <c r="AL61" s="17"/>
      <c r="AM61" s="16"/>
      <c r="AN61" s="14"/>
      <c r="AO61" s="14"/>
      <c r="AP61" s="15" t="s">
        <v>3123</v>
      </c>
      <c r="AQ61" s="14"/>
      <c r="AR61" s="17"/>
      <c r="AS61" s="16"/>
      <c r="AT61" s="14"/>
      <c r="AU61" s="15" t="s">
        <v>3123</v>
      </c>
      <c r="AV61" s="14"/>
      <c r="AW61" s="17"/>
      <c r="AX61" s="16"/>
      <c r="AY61" s="16"/>
      <c r="AZ61" s="16"/>
      <c r="BA61" s="16"/>
      <c r="BB61" s="15" t="s">
        <v>3123</v>
      </c>
      <c r="BC61" s="17"/>
      <c r="BD61" s="14"/>
      <c r="BE61" s="14"/>
      <c r="BF61" s="16"/>
      <c r="BG61" s="16"/>
      <c r="BH61" s="13"/>
      <c r="BI61" s="18" t="s">
        <v>5736</v>
      </c>
      <c r="BJ61" s="13">
        <v>200</v>
      </c>
      <c r="BK61" s="17">
        <v>44123</v>
      </c>
      <c r="BL61" s="18" t="s">
        <v>5737</v>
      </c>
      <c r="BM61" s="18"/>
      <c r="BN61" s="18" t="s">
        <v>5738</v>
      </c>
      <c r="BO61" s="18"/>
      <c r="BP61" s="14" t="s">
        <v>5739</v>
      </c>
      <c r="BQ61" s="17">
        <v>43928</v>
      </c>
      <c r="BR61" s="16">
        <v>93333.546626318508</v>
      </c>
      <c r="BS61" s="17">
        <v>43465</v>
      </c>
      <c r="BT61" s="16">
        <v>123209.4074212806</v>
      </c>
      <c r="BU61" s="17">
        <v>43465</v>
      </c>
      <c r="BV61" s="16">
        <v>2000000</v>
      </c>
      <c r="BW61" s="17">
        <v>43615</v>
      </c>
      <c r="BX61" s="16"/>
      <c r="BY61" s="17"/>
      <c r="BZ61" s="19">
        <v>20.994858941310174</v>
      </c>
      <c r="CA61" s="19"/>
      <c r="CB61" s="17"/>
      <c r="CC61" s="14" t="s">
        <v>5104</v>
      </c>
      <c r="CD61" s="14" t="s">
        <v>5037</v>
      </c>
      <c r="CE61" s="14" t="s">
        <v>5004</v>
      </c>
    </row>
    <row r="62" spans="1:83" ht="26.15" customHeight="1">
      <c r="A62" s="13">
        <v>56</v>
      </c>
      <c r="B62" s="14" t="s">
        <v>1858</v>
      </c>
      <c r="C62" s="14" t="s">
        <v>1859</v>
      </c>
      <c r="D62" s="14" t="s">
        <v>1860</v>
      </c>
      <c r="E62" s="13">
        <v>2016</v>
      </c>
      <c r="F62" s="14" t="s">
        <v>5038</v>
      </c>
      <c r="G62" s="14" t="s">
        <v>5039</v>
      </c>
      <c r="H62" s="14" t="s">
        <v>3994</v>
      </c>
      <c r="I62" s="15" t="s">
        <v>3117</v>
      </c>
      <c r="J62" s="16"/>
      <c r="K62" s="17">
        <v>43099</v>
      </c>
      <c r="L62" s="16"/>
      <c r="M62" s="16" t="s">
        <v>50</v>
      </c>
      <c r="N62" s="14" t="s">
        <v>5040</v>
      </c>
      <c r="O62" s="13">
        <v>3</v>
      </c>
      <c r="P62" s="17">
        <v>44098</v>
      </c>
      <c r="Q62" s="14"/>
      <c r="R62" s="17"/>
      <c r="S62" s="17"/>
      <c r="T62" s="14" t="s">
        <v>1</v>
      </c>
      <c r="U62" s="14" t="s">
        <v>5007</v>
      </c>
      <c r="V62" s="14" t="s">
        <v>5238</v>
      </c>
      <c r="W62" s="14"/>
      <c r="X62" s="14" t="s">
        <v>5740</v>
      </c>
      <c r="Y62" s="14"/>
      <c r="Z62" s="14" t="s">
        <v>5741</v>
      </c>
      <c r="AA62" s="14"/>
      <c r="AB62" s="14" t="s">
        <v>3994</v>
      </c>
      <c r="AC62" s="14" t="s">
        <v>5742</v>
      </c>
      <c r="AD62" s="14" t="s">
        <v>5743</v>
      </c>
      <c r="AE62" s="14" t="s">
        <v>5744</v>
      </c>
      <c r="AF62" s="14" t="s">
        <v>5745</v>
      </c>
      <c r="AG62" s="14" t="s">
        <v>5746</v>
      </c>
      <c r="AH62" s="18"/>
      <c r="AI62" s="16"/>
      <c r="AJ62" s="17"/>
      <c r="AK62" s="15" t="s">
        <v>3123</v>
      </c>
      <c r="AL62" s="17"/>
      <c r="AM62" s="16"/>
      <c r="AN62" s="14"/>
      <c r="AO62" s="14"/>
      <c r="AP62" s="15" t="s">
        <v>3123</v>
      </c>
      <c r="AQ62" s="14"/>
      <c r="AR62" s="17"/>
      <c r="AS62" s="16"/>
      <c r="AT62" s="14"/>
      <c r="AU62" s="15" t="s">
        <v>3123</v>
      </c>
      <c r="AV62" s="14"/>
      <c r="AW62" s="17"/>
      <c r="AX62" s="16"/>
      <c r="AY62" s="16"/>
      <c r="AZ62" s="16"/>
      <c r="BA62" s="16"/>
      <c r="BB62" s="15" t="s">
        <v>3123</v>
      </c>
      <c r="BC62" s="17"/>
      <c r="BD62" s="14"/>
      <c r="BE62" s="14"/>
      <c r="BF62" s="16"/>
      <c r="BG62" s="16"/>
      <c r="BH62" s="13"/>
      <c r="BI62" s="18" t="s">
        <v>5747</v>
      </c>
      <c r="BJ62" s="13">
        <v>200</v>
      </c>
      <c r="BK62" s="17">
        <v>44123</v>
      </c>
      <c r="BL62" s="18" t="s">
        <v>5748</v>
      </c>
      <c r="BM62" s="18" t="s">
        <v>5749</v>
      </c>
      <c r="BN62" s="18" t="s">
        <v>5750</v>
      </c>
      <c r="BO62" s="18" t="s">
        <v>5751</v>
      </c>
      <c r="BP62" s="14" t="s">
        <v>5752</v>
      </c>
      <c r="BQ62" s="17">
        <v>44053</v>
      </c>
      <c r="BR62" s="16"/>
      <c r="BS62" s="17"/>
      <c r="BT62" s="16"/>
      <c r="BU62" s="17"/>
      <c r="BV62" s="16"/>
      <c r="BW62" s="17"/>
      <c r="BX62" s="16"/>
      <c r="BY62" s="17"/>
      <c r="BZ62" s="19">
        <v>30.768608653664707</v>
      </c>
      <c r="CA62" s="19"/>
      <c r="CB62" s="17"/>
      <c r="CC62" s="14" t="s">
        <v>5247</v>
      </c>
      <c r="CD62" s="14" t="s">
        <v>5753</v>
      </c>
      <c r="CE62" s="14" t="s">
        <v>5004</v>
      </c>
    </row>
    <row r="63" spans="1:83" ht="26.15" customHeight="1">
      <c r="A63" s="13">
        <v>57</v>
      </c>
      <c r="B63" s="14" t="s">
        <v>1137</v>
      </c>
      <c r="C63" s="14" t="s">
        <v>1138</v>
      </c>
      <c r="D63" s="14" t="s">
        <v>1142</v>
      </c>
      <c r="E63" s="13">
        <v>2016</v>
      </c>
      <c r="F63" s="14" t="s">
        <v>5754</v>
      </c>
      <c r="G63" s="14" t="s">
        <v>4994</v>
      </c>
      <c r="H63" s="14" t="s">
        <v>2057</v>
      </c>
      <c r="I63" s="15" t="s">
        <v>3117</v>
      </c>
      <c r="J63" s="16">
        <v>14893400</v>
      </c>
      <c r="K63" s="17">
        <v>43551</v>
      </c>
      <c r="L63" s="16" t="s">
        <v>5755</v>
      </c>
      <c r="M63" s="16">
        <v>14893400</v>
      </c>
      <c r="N63" s="14" t="s">
        <v>109</v>
      </c>
      <c r="O63" s="13">
        <v>4</v>
      </c>
      <c r="P63" s="17">
        <v>43993</v>
      </c>
      <c r="Q63" s="14"/>
      <c r="R63" s="17"/>
      <c r="S63" s="17"/>
      <c r="T63" s="14" t="s">
        <v>5253</v>
      </c>
      <c r="U63" s="14" t="s">
        <v>5254</v>
      </c>
      <c r="V63" s="14" t="s">
        <v>5756</v>
      </c>
      <c r="W63" s="14"/>
      <c r="X63" s="14" t="s">
        <v>5757</v>
      </c>
      <c r="Y63" s="14"/>
      <c r="Z63" s="14" t="s">
        <v>5758</v>
      </c>
      <c r="AA63" s="14"/>
      <c r="AB63" s="14" t="s">
        <v>2057</v>
      </c>
      <c r="AC63" s="14" t="s">
        <v>5759</v>
      </c>
      <c r="AD63" s="14" t="s">
        <v>5760</v>
      </c>
      <c r="AE63" s="14" t="s">
        <v>5761</v>
      </c>
      <c r="AF63" s="14"/>
      <c r="AG63" s="14"/>
      <c r="AH63" s="18"/>
      <c r="AI63" s="16"/>
      <c r="AJ63" s="17"/>
      <c r="AK63" s="15" t="s">
        <v>3123</v>
      </c>
      <c r="AL63" s="17"/>
      <c r="AM63" s="16"/>
      <c r="AN63" s="14"/>
      <c r="AO63" s="14"/>
      <c r="AP63" s="15" t="s">
        <v>3123</v>
      </c>
      <c r="AQ63" s="14"/>
      <c r="AR63" s="17"/>
      <c r="AS63" s="16"/>
      <c r="AT63" s="14"/>
      <c r="AU63" s="15" t="s">
        <v>3123</v>
      </c>
      <c r="AV63" s="14"/>
      <c r="AW63" s="17"/>
      <c r="AX63" s="16"/>
      <c r="AY63" s="16"/>
      <c r="AZ63" s="16"/>
      <c r="BA63" s="16"/>
      <c r="BB63" s="15" t="s">
        <v>3123</v>
      </c>
      <c r="BC63" s="17"/>
      <c r="BD63" s="14"/>
      <c r="BE63" s="14"/>
      <c r="BF63" s="16"/>
      <c r="BG63" s="16"/>
      <c r="BH63" s="13"/>
      <c r="BI63" s="18" t="s">
        <v>5762</v>
      </c>
      <c r="BJ63" s="13">
        <v>200</v>
      </c>
      <c r="BK63" s="17">
        <v>44131</v>
      </c>
      <c r="BL63" s="18"/>
      <c r="BM63" s="18"/>
      <c r="BN63" s="18"/>
      <c r="BO63" s="18"/>
      <c r="BP63" s="14" t="s">
        <v>5763</v>
      </c>
      <c r="BQ63" s="17">
        <v>43623</v>
      </c>
      <c r="BR63" s="16"/>
      <c r="BS63" s="17"/>
      <c r="BT63" s="16"/>
      <c r="BU63" s="17"/>
      <c r="BV63" s="16"/>
      <c r="BW63" s="17"/>
      <c r="BX63" s="16"/>
      <c r="BY63" s="17"/>
      <c r="BZ63" s="19">
        <v>32.016342071074682</v>
      </c>
      <c r="CA63" s="19"/>
      <c r="CB63" s="17"/>
      <c r="CC63" s="14" t="s">
        <v>5764</v>
      </c>
      <c r="CD63" s="14" t="s">
        <v>5765</v>
      </c>
      <c r="CE63" s="14" t="s">
        <v>5311</v>
      </c>
    </row>
    <row r="64" spans="1:83" ht="26.15" customHeight="1">
      <c r="A64" s="13">
        <v>58</v>
      </c>
      <c r="B64" s="14" t="s">
        <v>1784</v>
      </c>
      <c r="C64" s="14" t="s">
        <v>1785</v>
      </c>
      <c r="D64" s="14" t="s">
        <v>935</v>
      </c>
      <c r="E64" s="13">
        <v>2016</v>
      </c>
      <c r="F64" s="14" t="s">
        <v>5689</v>
      </c>
      <c r="G64" s="14" t="s">
        <v>5674</v>
      </c>
      <c r="H64" s="14" t="s">
        <v>2057</v>
      </c>
      <c r="I64" s="15" t="s">
        <v>3117</v>
      </c>
      <c r="J64" s="16">
        <v>789189</v>
      </c>
      <c r="K64" s="17">
        <v>43168</v>
      </c>
      <c r="L64" s="16" t="s">
        <v>5766</v>
      </c>
      <c r="M64" s="16">
        <v>789189</v>
      </c>
      <c r="N64" s="14" t="s">
        <v>34</v>
      </c>
      <c r="O64" s="13">
        <v>3</v>
      </c>
      <c r="P64" s="17">
        <v>44055</v>
      </c>
      <c r="Q64" s="14"/>
      <c r="R64" s="17"/>
      <c r="S64" s="17"/>
      <c r="T64" s="14" t="s">
        <v>1</v>
      </c>
      <c r="U64" s="14" t="s">
        <v>5007</v>
      </c>
      <c r="V64" s="14" t="s">
        <v>5238</v>
      </c>
      <c r="W64" s="14"/>
      <c r="X64" s="14"/>
      <c r="Y64" s="14"/>
      <c r="Z64" s="14" t="s">
        <v>5767</v>
      </c>
      <c r="AA64" s="14"/>
      <c r="AB64" s="14" t="s">
        <v>2057</v>
      </c>
      <c r="AC64" s="14"/>
      <c r="AD64" s="14"/>
      <c r="AE64" s="14" t="s">
        <v>5768</v>
      </c>
      <c r="AF64" s="14"/>
      <c r="AG64" s="14" t="s">
        <v>5769</v>
      </c>
      <c r="AH64" s="18"/>
      <c r="AI64" s="16"/>
      <c r="AJ64" s="17"/>
      <c r="AK64" s="15" t="s">
        <v>3123</v>
      </c>
      <c r="AL64" s="17"/>
      <c r="AM64" s="16"/>
      <c r="AN64" s="14"/>
      <c r="AO64" s="14"/>
      <c r="AP64" s="15" t="s">
        <v>3123</v>
      </c>
      <c r="AQ64" s="14"/>
      <c r="AR64" s="17"/>
      <c r="AS64" s="16"/>
      <c r="AT64" s="14"/>
      <c r="AU64" s="15" t="s">
        <v>3123</v>
      </c>
      <c r="AV64" s="14"/>
      <c r="AW64" s="17"/>
      <c r="AX64" s="16"/>
      <c r="AY64" s="16"/>
      <c r="AZ64" s="16"/>
      <c r="BA64" s="16"/>
      <c r="BB64" s="15" t="s">
        <v>3123</v>
      </c>
      <c r="BC64" s="17"/>
      <c r="BD64" s="14"/>
      <c r="BE64" s="14"/>
      <c r="BF64" s="16"/>
      <c r="BG64" s="16"/>
      <c r="BH64" s="13"/>
      <c r="BI64" s="18" t="s">
        <v>5770</v>
      </c>
      <c r="BJ64" s="13">
        <v>200</v>
      </c>
      <c r="BK64" s="17">
        <v>44122</v>
      </c>
      <c r="BL64" s="18"/>
      <c r="BM64" s="18"/>
      <c r="BN64" s="18"/>
      <c r="BO64" s="18"/>
      <c r="BP64" s="14" t="s">
        <v>5771</v>
      </c>
      <c r="BQ64" s="17">
        <v>43472</v>
      </c>
      <c r="BR64" s="16"/>
      <c r="BS64" s="17"/>
      <c r="BT64" s="16"/>
      <c r="BU64" s="17"/>
      <c r="BV64" s="16"/>
      <c r="BW64" s="17"/>
      <c r="BX64" s="16"/>
      <c r="BY64" s="17"/>
      <c r="BZ64" s="19">
        <v>14.124503160483156</v>
      </c>
      <c r="CA64" s="19"/>
      <c r="CB64" s="17"/>
      <c r="CC64" s="14" t="s">
        <v>5345</v>
      </c>
      <c r="CD64" s="14" t="s">
        <v>5361</v>
      </c>
      <c r="CE64" s="14" t="s">
        <v>5311</v>
      </c>
    </row>
    <row r="65" spans="1:83" ht="26.15" customHeight="1">
      <c r="A65" s="13">
        <v>59</v>
      </c>
      <c r="B65" s="14" t="s">
        <v>2053</v>
      </c>
      <c r="C65" s="14" t="s">
        <v>2054</v>
      </c>
      <c r="D65" s="14" t="s">
        <v>2058</v>
      </c>
      <c r="E65" s="13">
        <v>2018</v>
      </c>
      <c r="F65" s="14"/>
      <c r="G65" s="14"/>
      <c r="H65" s="14" t="s">
        <v>2057</v>
      </c>
      <c r="I65" s="15" t="s">
        <v>3117</v>
      </c>
      <c r="J65" s="16">
        <v>743193</v>
      </c>
      <c r="K65" s="17">
        <v>42917</v>
      </c>
      <c r="L65" s="16" t="s">
        <v>5772</v>
      </c>
      <c r="M65" s="16">
        <v>743193</v>
      </c>
      <c r="N65" s="14" t="s">
        <v>34</v>
      </c>
      <c r="O65" s="13">
        <v>4</v>
      </c>
      <c r="P65" s="17">
        <v>44078</v>
      </c>
      <c r="Q65" s="14"/>
      <c r="R65" s="17"/>
      <c r="S65" s="17"/>
      <c r="T65" s="14" t="s">
        <v>1</v>
      </c>
      <c r="U65" s="14" t="s">
        <v>5007</v>
      </c>
      <c r="V65" s="14" t="s">
        <v>5192</v>
      </c>
      <c r="W65" s="14"/>
      <c r="X65" s="14" t="s">
        <v>2056</v>
      </c>
      <c r="Y65" s="14"/>
      <c r="Z65" s="14" t="s">
        <v>5773</v>
      </c>
      <c r="AA65" s="14"/>
      <c r="AB65" s="14" t="s">
        <v>2057</v>
      </c>
      <c r="AC65" s="14"/>
      <c r="AD65" s="14"/>
      <c r="AE65" s="14"/>
      <c r="AF65" s="14"/>
      <c r="AG65" s="14"/>
      <c r="AH65" s="18"/>
      <c r="AI65" s="16"/>
      <c r="AJ65" s="17"/>
      <c r="AK65" s="15" t="s">
        <v>3123</v>
      </c>
      <c r="AL65" s="17"/>
      <c r="AM65" s="16"/>
      <c r="AN65" s="14"/>
      <c r="AO65" s="14"/>
      <c r="AP65" s="15" t="s">
        <v>3123</v>
      </c>
      <c r="AQ65" s="14"/>
      <c r="AR65" s="17"/>
      <c r="AS65" s="16"/>
      <c r="AT65" s="14"/>
      <c r="AU65" s="15" t="s">
        <v>3123</v>
      </c>
      <c r="AV65" s="14"/>
      <c r="AW65" s="17"/>
      <c r="AX65" s="16"/>
      <c r="AY65" s="16"/>
      <c r="AZ65" s="16"/>
      <c r="BA65" s="16"/>
      <c r="BB65" s="15" t="s">
        <v>3123</v>
      </c>
      <c r="BC65" s="17"/>
      <c r="BD65" s="14"/>
      <c r="BE65" s="14"/>
      <c r="BF65" s="16"/>
      <c r="BG65" s="16"/>
      <c r="BH65" s="13"/>
      <c r="BI65" s="18" t="s">
        <v>5774</v>
      </c>
      <c r="BJ65" s="13">
        <v>200</v>
      </c>
      <c r="BK65" s="17">
        <v>44122</v>
      </c>
      <c r="BL65" s="18"/>
      <c r="BM65" s="18"/>
      <c r="BN65" s="18"/>
      <c r="BO65" s="18"/>
      <c r="BP65" s="14" t="s">
        <v>5775</v>
      </c>
      <c r="BQ65" s="17">
        <v>43504</v>
      </c>
      <c r="BR65" s="16"/>
      <c r="BS65" s="17"/>
      <c r="BT65" s="16"/>
      <c r="BU65" s="17"/>
      <c r="BV65" s="16"/>
      <c r="BW65" s="17"/>
      <c r="BX65" s="16"/>
      <c r="BY65" s="17"/>
      <c r="BZ65" s="19">
        <v>17.394830517951696</v>
      </c>
      <c r="CA65" s="19"/>
      <c r="CB65" s="17"/>
      <c r="CC65" s="14" t="s">
        <v>5018</v>
      </c>
      <c r="CD65" s="14" t="s">
        <v>5776</v>
      </c>
      <c r="CE65" s="14" t="s">
        <v>5311</v>
      </c>
    </row>
    <row r="66" spans="1:83" ht="26.15" hidden="1" customHeight="1">
      <c r="A66" s="13">
        <v>60</v>
      </c>
      <c r="B66" s="14" t="s">
        <v>1246</v>
      </c>
      <c r="C66" s="14" t="s">
        <v>1247</v>
      </c>
      <c r="D66" s="14" t="s">
        <v>1252</v>
      </c>
      <c r="E66" s="13">
        <v>2017</v>
      </c>
      <c r="F66" s="14" t="s">
        <v>5777</v>
      </c>
      <c r="G66" s="14" t="s">
        <v>5050</v>
      </c>
      <c r="H66" s="14" t="s">
        <v>4343</v>
      </c>
      <c r="I66" s="15" t="s">
        <v>3117</v>
      </c>
      <c r="J66" s="16">
        <v>15000000</v>
      </c>
      <c r="K66" s="17">
        <v>43481</v>
      </c>
      <c r="L66" s="16" t="s">
        <v>5224</v>
      </c>
      <c r="M66" s="16">
        <v>11500000</v>
      </c>
      <c r="N66" s="14" t="s">
        <v>109</v>
      </c>
      <c r="O66" s="13">
        <v>4</v>
      </c>
      <c r="P66" s="17">
        <v>44003</v>
      </c>
      <c r="Q66" s="14" t="s">
        <v>5052</v>
      </c>
      <c r="R66" s="17">
        <v>44027</v>
      </c>
      <c r="S66" s="17">
        <v>43481</v>
      </c>
      <c r="T66" s="14" t="s">
        <v>1</v>
      </c>
      <c r="U66" s="14" t="s">
        <v>5007</v>
      </c>
      <c r="V66" s="14" t="s">
        <v>5778</v>
      </c>
      <c r="W66" s="14"/>
      <c r="X66" s="14" t="s">
        <v>5779</v>
      </c>
      <c r="Y66" s="14" t="s">
        <v>1249</v>
      </c>
      <c r="Z66" s="14" t="s">
        <v>5780</v>
      </c>
      <c r="AA66" s="14"/>
      <c r="AB66" s="14" t="s">
        <v>4343</v>
      </c>
      <c r="AC66" s="14"/>
      <c r="AD66" s="14"/>
      <c r="AE66" s="14" t="s">
        <v>5781</v>
      </c>
      <c r="AF66" s="14" t="s">
        <v>5782</v>
      </c>
      <c r="AG66" s="14" t="s">
        <v>5783</v>
      </c>
      <c r="AH66" s="18"/>
      <c r="AI66" s="16"/>
      <c r="AJ66" s="17"/>
      <c r="AK66" s="15" t="s">
        <v>3123</v>
      </c>
      <c r="AL66" s="17"/>
      <c r="AM66" s="16"/>
      <c r="AN66" s="14"/>
      <c r="AO66" s="14"/>
      <c r="AP66" s="15" t="s">
        <v>3123</v>
      </c>
      <c r="AQ66" s="14"/>
      <c r="AR66" s="17"/>
      <c r="AS66" s="16"/>
      <c r="AT66" s="14"/>
      <c r="AU66" s="15" t="s">
        <v>3123</v>
      </c>
      <c r="AV66" s="14"/>
      <c r="AW66" s="17"/>
      <c r="AX66" s="16"/>
      <c r="AY66" s="16"/>
      <c r="AZ66" s="16"/>
      <c r="BA66" s="16"/>
      <c r="BB66" s="15" t="s">
        <v>3123</v>
      </c>
      <c r="BC66" s="17"/>
      <c r="BD66" s="14"/>
      <c r="BE66" s="14"/>
      <c r="BF66" s="16"/>
      <c r="BG66" s="16"/>
      <c r="BH66" s="13"/>
      <c r="BI66" s="18" t="s">
        <v>5784</v>
      </c>
      <c r="BJ66" s="13">
        <v>200</v>
      </c>
      <c r="BK66" s="17">
        <v>44121</v>
      </c>
      <c r="BL66" s="18" t="s">
        <v>5785</v>
      </c>
      <c r="BM66" s="18" t="s">
        <v>5786</v>
      </c>
      <c r="BN66" s="18"/>
      <c r="BO66" s="18"/>
      <c r="BP66" s="14" t="s">
        <v>5787</v>
      </c>
      <c r="BQ66" s="17">
        <v>43374</v>
      </c>
      <c r="BR66" s="16"/>
      <c r="BS66" s="17"/>
      <c r="BT66" s="16"/>
      <c r="BU66" s="17"/>
      <c r="BV66" s="16"/>
      <c r="BW66" s="17"/>
      <c r="BX66" s="16"/>
      <c r="BY66" s="17"/>
      <c r="BZ66" s="19">
        <v>51.469007442632048</v>
      </c>
      <c r="CA66" s="19"/>
      <c r="CB66" s="17"/>
      <c r="CC66" s="14" t="s">
        <v>5090</v>
      </c>
      <c r="CD66" s="14" t="s">
        <v>5788</v>
      </c>
      <c r="CE66" s="14" t="s">
        <v>5521</v>
      </c>
    </row>
    <row r="67" spans="1:83" ht="26.15" customHeight="1">
      <c r="A67" s="13">
        <v>61</v>
      </c>
      <c r="B67" s="14" t="s">
        <v>1011</v>
      </c>
      <c r="C67" s="14" t="s">
        <v>1012</v>
      </c>
      <c r="D67" s="14" t="s">
        <v>1016</v>
      </c>
      <c r="E67" s="13">
        <v>2017</v>
      </c>
      <c r="F67" s="14" t="s">
        <v>5789</v>
      </c>
      <c r="G67" s="14" t="s">
        <v>5790</v>
      </c>
      <c r="H67" s="14" t="s">
        <v>1028</v>
      </c>
      <c r="I67" s="15" t="s">
        <v>3117</v>
      </c>
      <c r="J67" s="16">
        <v>100000</v>
      </c>
      <c r="K67" s="17">
        <v>43605</v>
      </c>
      <c r="L67" s="16" t="s">
        <v>5252</v>
      </c>
      <c r="M67" s="16">
        <v>100000</v>
      </c>
      <c r="N67" s="14" t="s">
        <v>34</v>
      </c>
      <c r="O67" s="13">
        <v>4</v>
      </c>
      <c r="P67" s="17">
        <v>44041</v>
      </c>
      <c r="Q67" s="14"/>
      <c r="R67" s="17"/>
      <c r="S67" s="17"/>
      <c r="T67" s="14" t="s">
        <v>5791</v>
      </c>
      <c r="U67" s="14" t="s">
        <v>5792</v>
      </c>
      <c r="V67" s="14" t="s">
        <v>5793</v>
      </c>
      <c r="W67" s="14"/>
      <c r="X67" s="14" t="s">
        <v>5794</v>
      </c>
      <c r="Y67" s="14"/>
      <c r="Z67" s="14" t="s">
        <v>5795</v>
      </c>
      <c r="AA67" s="14"/>
      <c r="AB67" s="14" t="s">
        <v>1028</v>
      </c>
      <c r="AC67" s="14" t="s">
        <v>5796</v>
      </c>
      <c r="AD67" s="14" t="s">
        <v>5797</v>
      </c>
      <c r="AE67" s="14"/>
      <c r="AF67" s="14"/>
      <c r="AG67" s="14"/>
      <c r="AH67" s="18"/>
      <c r="AI67" s="16"/>
      <c r="AJ67" s="17"/>
      <c r="AK67" s="15" t="s">
        <v>3123</v>
      </c>
      <c r="AL67" s="17"/>
      <c r="AM67" s="16"/>
      <c r="AN67" s="14"/>
      <c r="AO67" s="14"/>
      <c r="AP67" s="15" t="s">
        <v>3123</v>
      </c>
      <c r="AQ67" s="14"/>
      <c r="AR67" s="17"/>
      <c r="AS67" s="16"/>
      <c r="AT67" s="14"/>
      <c r="AU67" s="15" t="s">
        <v>3123</v>
      </c>
      <c r="AV67" s="14"/>
      <c r="AW67" s="17"/>
      <c r="AX67" s="16"/>
      <c r="AY67" s="16"/>
      <c r="AZ67" s="16"/>
      <c r="BA67" s="16"/>
      <c r="BB67" s="15" t="s">
        <v>3123</v>
      </c>
      <c r="BC67" s="17"/>
      <c r="BD67" s="14"/>
      <c r="BE67" s="14"/>
      <c r="BF67" s="16"/>
      <c r="BG67" s="16"/>
      <c r="BH67" s="13"/>
      <c r="BI67" s="18" t="s">
        <v>5798</v>
      </c>
      <c r="BJ67" s="13">
        <v>200</v>
      </c>
      <c r="BK67" s="17">
        <v>44131</v>
      </c>
      <c r="BL67" s="18" t="s">
        <v>5799</v>
      </c>
      <c r="BM67" s="18" t="s">
        <v>5800</v>
      </c>
      <c r="BN67" s="18" t="s">
        <v>5801</v>
      </c>
      <c r="BO67" s="18"/>
      <c r="BP67" s="14" t="s">
        <v>5802</v>
      </c>
      <c r="BQ67" s="17">
        <v>43768</v>
      </c>
      <c r="BR67" s="16"/>
      <c r="BS67" s="17"/>
      <c r="BT67" s="16"/>
      <c r="BU67" s="17"/>
      <c r="BV67" s="16"/>
      <c r="BW67" s="17"/>
      <c r="BX67" s="16"/>
      <c r="BY67" s="17"/>
      <c r="BZ67" s="19">
        <v>20.487231182303614</v>
      </c>
      <c r="CA67" s="19"/>
      <c r="CB67" s="17"/>
      <c r="CC67" s="14" t="s">
        <v>5161</v>
      </c>
      <c r="CD67" s="14" t="s">
        <v>5642</v>
      </c>
      <c r="CE67" s="14" t="s">
        <v>5311</v>
      </c>
    </row>
    <row r="68" spans="1:83" ht="26.15" customHeight="1">
      <c r="A68" s="13">
        <v>62</v>
      </c>
      <c r="B68" s="14" t="s">
        <v>1834</v>
      </c>
      <c r="C68" s="14" t="s">
        <v>1835</v>
      </c>
      <c r="D68" s="14" t="s">
        <v>1616</v>
      </c>
      <c r="E68" s="13">
        <v>2015</v>
      </c>
      <c r="F68" s="14" t="s">
        <v>5803</v>
      </c>
      <c r="G68" s="14" t="s">
        <v>5804</v>
      </c>
      <c r="H68" s="14" t="s">
        <v>5208</v>
      </c>
      <c r="I68" s="15" t="s">
        <v>3117</v>
      </c>
      <c r="J68" s="16">
        <v>1875400</v>
      </c>
      <c r="K68" s="17">
        <v>43122</v>
      </c>
      <c r="L68" s="16" t="s">
        <v>5022</v>
      </c>
      <c r="M68" s="16">
        <v>1876540</v>
      </c>
      <c r="N68" s="14" t="s">
        <v>34</v>
      </c>
      <c r="O68" s="13">
        <v>2</v>
      </c>
      <c r="P68" s="17">
        <v>43966</v>
      </c>
      <c r="Q68" s="14"/>
      <c r="R68" s="17"/>
      <c r="S68" s="17"/>
      <c r="T68" s="14" t="s">
        <v>1</v>
      </c>
      <c r="U68" s="14" t="s">
        <v>5007</v>
      </c>
      <c r="V68" s="14" t="s">
        <v>5336</v>
      </c>
      <c r="W68" s="14"/>
      <c r="X68" s="14" t="s">
        <v>588</v>
      </c>
      <c r="Y68" s="14"/>
      <c r="Z68" s="14" t="s">
        <v>5805</v>
      </c>
      <c r="AA68" s="14"/>
      <c r="AB68" s="14" t="s">
        <v>5208</v>
      </c>
      <c r="AC68" s="14" t="s">
        <v>5806</v>
      </c>
      <c r="AD68" s="14" t="s">
        <v>5807</v>
      </c>
      <c r="AE68" s="14" t="s">
        <v>5808</v>
      </c>
      <c r="AF68" s="14" t="s">
        <v>5809</v>
      </c>
      <c r="AG68" s="14" t="s">
        <v>5810</v>
      </c>
      <c r="AH68" s="18"/>
      <c r="AI68" s="16"/>
      <c r="AJ68" s="17"/>
      <c r="AK68" s="15" t="s">
        <v>3123</v>
      </c>
      <c r="AL68" s="17"/>
      <c r="AM68" s="16"/>
      <c r="AN68" s="14"/>
      <c r="AO68" s="14"/>
      <c r="AP68" s="15" t="s">
        <v>3123</v>
      </c>
      <c r="AQ68" s="14"/>
      <c r="AR68" s="17"/>
      <c r="AS68" s="16"/>
      <c r="AT68" s="14"/>
      <c r="AU68" s="15" t="s">
        <v>3123</v>
      </c>
      <c r="AV68" s="14"/>
      <c r="AW68" s="17"/>
      <c r="AX68" s="16"/>
      <c r="AY68" s="16"/>
      <c r="AZ68" s="16"/>
      <c r="BA68" s="16"/>
      <c r="BB68" s="15" t="s">
        <v>3123</v>
      </c>
      <c r="BC68" s="17"/>
      <c r="BD68" s="14"/>
      <c r="BE68" s="14"/>
      <c r="BF68" s="16"/>
      <c r="BG68" s="16"/>
      <c r="BH68" s="13"/>
      <c r="BI68" s="18" t="s">
        <v>5811</v>
      </c>
      <c r="BJ68" s="13">
        <v>200</v>
      </c>
      <c r="BK68" s="17">
        <v>44121</v>
      </c>
      <c r="BL68" s="18" t="s">
        <v>5812</v>
      </c>
      <c r="BM68" s="18" t="s">
        <v>5813</v>
      </c>
      <c r="BN68" s="18" t="s">
        <v>5814</v>
      </c>
      <c r="BO68" s="18"/>
      <c r="BP68" s="14" t="s">
        <v>5815</v>
      </c>
      <c r="BQ68" s="17">
        <v>43490</v>
      </c>
      <c r="BR68" s="16"/>
      <c r="BS68" s="17"/>
      <c r="BT68" s="16"/>
      <c r="BU68" s="17"/>
      <c r="BV68" s="16"/>
      <c r="BW68" s="17"/>
      <c r="BX68" s="16"/>
      <c r="BY68" s="17"/>
      <c r="BZ68" s="19">
        <v>28.958944302907177</v>
      </c>
      <c r="CA68" s="19"/>
      <c r="CB68" s="17"/>
      <c r="CC68" s="14" t="s">
        <v>5345</v>
      </c>
      <c r="CD68" s="14" t="s">
        <v>5361</v>
      </c>
      <c r="CE68" s="14" t="s">
        <v>5311</v>
      </c>
    </row>
    <row r="69" spans="1:83" ht="26.15" customHeight="1">
      <c r="A69" s="13">
        <v>63</v>
      </c>
      <c r="B69" s="14" t="s">
        <v>1520</v>
      </c>
      <c r="C69" s="14" t="s">
        <v>1521</v>
      </c>
      <c r="D69" s="14" t="s">
        <v>1523</v>
      </c>
      <c r="E69" s="13">
        <v>2018</v>
      </c>
      <c r="F69" s="14" t="s">
        <v>5816</v>
      </c>
      <c r="G69" s="14" t="s">
        <v>5817</v>
      </c>
      <c r="H69" s="14" t="s">
        <v>5818</v>
      </c>
      <c r="I69" s="15" t="s">
        <v>3117</v>
      </c>
      <c r="J69" s="16">
        <v>1000000</v>
      </c>
      <c r="K69" s="17">
        <v>43310</v>
      </c>
      <c r="L69" s="16" t="s">
        <v>5134</v>
      </c>
      <c r="M69" s="16">
        <v>1000000</v>
      </c>
      <c r="N69" s="14" t="s">
        <v>34</v>
      </c>
      <c r="O69" s="13"/>
      <c r="P69" s="17"/>
      <c r="Q69" s="14"/>
      <c r="R69" s="17"/>
      <c r="S69" s="17"/>
      <c r="T69" s="14" t="s">
        <v>1</v>
      </c>
      <c r="U69" s="14" t="s">
        <v>5007</v>
      </c>
      <c r="V69" s="14" t="s">
        <v>1524</v>
      </c>
      <c r="W69" s="14"/>
      <c r="X69" s="14"/>
      <c r="Y69" s="14"/>
      <c r="Z69" s="14" t="s">
        <v>5819</v>
      </c>
      <c r="AA69" s="14"/>
      <c r="AB69" s="14" t="s">
        <v>5818</v>
      </c>
      <c r="AC69" s="14" t="s">
        <v>5820</v>
      </c>
      <c r="AD69" s="14" t="s">
        <v>5821</v>
      </c>
      <c r="AE69" s="14" t="s">
        <v>5822</v>
      </c>
      <c r="AF69" s="14"/>
      <c r="AG69" s="14" t="s">
        <v>5823</v>
      </c>
      <c r="AH69" s="18" t="s">
        <v>5824</v>
      </c>
      <c r="AI69" s="16"/>
      <c r="AJ69" s="17"/>
      <c r="AK69" s="15" t="s">
        <v>3123</v>
      </c>
      <c r="AL69" s="17"/>
      <c r="AM69" s="16"/>
      <c r="AN69" s="14"/>
      <c r="AO69" s="14" t="s">
        <v>5825</v>
      </c>
      <c r="AP69" s="15" t="s">
        <v>3123</v>
      </c>
      <c r="AQ69" s="14"/>
      <c r="AR69" s="17"/>
      <c r="AS69" s="16"/>
      <c r="AT69" s="14"/>
      <c r="AU69" s="15" t="s">
        <v>3123</v>
      </c>
      <c r="AV69" s="14"/>
      <c r="AW69" s="17"/>
      <c r="AX69" s="16"/>
      <c r="AY69" s="16"/>
      <c r="AZ69" s="16"/>
      <c r="BA69" s="16"/>
      <c r="BB69" s="15" t="s">
        <v>3123</v>
      </c>
      <c r="BC69" s="17"/>
      <c r="BD69" s="14"/>
      <c r="BE69" s="14"/>
      <c r="BF69" s="16"/>
      <c r="BG69" s="16"/>
      <c r="BH69" s="13"/>
      <c r="BI69" s="18" t="s">
        <v>5826</v>
      </c>
      <c r="BJ69" s="13">
        <v>200</v>
      </c>
      <c r="BK69" s="17">
        <v>44131</v>
      </c>
      <c r="BL69" s="18" t="s">
        <v>5827</v>
      </c>
      <c r="BM69" s="18"/>
      <c r="BN69" s="18"/>
      <c r="BO69" s="18"/>
      <c r="BP69" s="14" t="s">
        <v>5828</v>
      </c>
      <c r="BQ69" s="17">
        <v>43578</v>
      </c>
      <c r="BR69" s="16"/>
      <c r="BS69" s="17"/>
      <c r="BT69" s="16"/>
      <c r="BU69" s="17"/>
      <c r="BV69" s="16"/>
      <c r="BW69" s="17"/>
      <c r="BX69" s="16"/>
      <c r="BY69" s="17"/>
      <c r="BZ69" s="19">
        <v>20.741600564283946</v>
      </c>
      <c r="CA69" s="19"/>
      <c r="CB69" s="17"/>
      <c r="CC69" s="14" t="s">
        <v>5104</v>
      </c>
      <c r="CD69" s="14" t="s">
        <v>5037</v>
      </c>
      <c r="CE69" s="14" t="s">
        <v>5004</v>
      </c>
    </row>
    <row r="70" spans="1:83" ht="26.15" hidden="1" customHeight="1">
      <c r="A70" s="13">
        <v>64</v>
      </c>
      <c r="B70" s="14" t="s">
        <v>466</v>
      </c>
      <c r="C70" s="14" t="s">
        <v>467</v>
      </c>
      <c r="D70" s="14" t="s">
        <v>469</v>
      </c>
      <c r="E70" s="13">
        <v>2017</v>
      </c>
      <c r="F70" s="14" t="s">
        <v>5829</v>
      </c>
      <c r="G70" s="14" t="s">
        <v>5164</v>
      </c>
      <c r="H70" s="14" t="s">
        <v>4343</v>
      </c>
      <c r="I70" s="15" t="s">
        <v>3117</v>
      </c>
      <c r="J70" s="16">
        <v>3000000</v>
      </c>
      <c r="K70" s="17">
        <v>43927</v>
      </c>
      <c r="L70" s="16"/>
      <c r="M70" s="16" t="s">
        <v>50</v>
      </c>
      <c r="N70" s="14" t="s">
        <v>109</v>
      </c>
      <c r="O70" s="13">
        <v>4</v>
      </c>
      <c r="P70" s="17">
        <v>43985</v>
      </c>
      <c r="Q70" s="14"/>
      <c r="R70" s="17"/>
      <c r="S70" s="17"/>
      <c r="T70" s="14" t="s">
        <v>5253</v>
      </c>
      <c r="U70" s="14" t="s">
        <v>5254</v>
      </c>
      <c r="V70" s="14" t="s">
        <v>5830</v>
      </c>
      <c r="W70" s="14"/>
      <c r="X70" s="14" t="s">
        <v>5831</v>
      </c>
      <c r="Y70" s="14"/>
      <c r="Z70" s="14" t="s">
        <v>5832</v>
      </c>
      <c r="AA70" s="14"/>
      <c r="AB70" s="14" t="s">
        <v>4343</v>
      </c>
      <c r="AC70" s="14" t="s">
        <v>5833</v>
      </c>
      <c r="AD70" s="14" t="s">
        <v>5834</v>
      </c>
      <c r="AE70" s="14" t="s">
        <v>5835</v>
      </c>
      <c r="AF70" s="14" t="s">
        <v>5836</v>
      </c>
      <c r="AG70" s="14" t="s">
        <v>5837</v>
      </c>
      <c r="AH70" s="18"/>
      <c r="AI70" s="16"/>
      <c r="AJ70" s="17"/>
      <c r="AK70" s="15" t="s">
        <v>3123</v>
      </c>
      <c r="AL70" s="17"/>
      <c r="AM70" s="16"/>
      <c r="AN70" s="14"/>
      <c r="AO70" s="14"/>
      <c r="AP70" s="15" t="s">
        <v>3123</v>
      </c>
      <c r="AQ70" s="14"/>
      <c r="AR70" s="17"/>
      <c r="AS70" s="16"/>
      <c r="AT70" s="14"/>
      <c r="AU70" s="15" t="s">
        <v>3123</v>
      </c>
      <c r="AV70" s="14"/>
      <c r="AW70" s="17"/>
      <c r="AX70" s="16"/>
      <c r="AY70" s="16"/>
      <c r="AZ70" s="16"/>
      <c r="BA70" s="16"/>
      <c r="BB70" s="15" t="s">
        <v>3123</v>
      </c>
      <c r="BC70" s="17"/>
      <c r="BD70" s="14"/>
      <c r="BE70" s="14"/>
      <c r="BF70" s="16"/>
      <c r="BG70" s="16"/>
      <c r="BH70" s="13"/>
      <c r="BI70" s="18" t="s">
        <v>5838</v>
      </c>
      <c r="BJ70" s="13">
        <v>200</v>
      </c>
      <c r="BK70" s="17">
        <v>44131</v>
      </c>
      <c r="BL70" s="18" t="s">
        <v>5839</v>
      </c>
      <c r="BM70" s="18"/>
      <c r="BN70" s="18"/>
      <c r="BO70" s="18" t="s">
        <v>5840</v>
      </c>
      <c r="BP70" s="14" t="s">
        <v>5841</v>
      </c>
      <c r="BQ70" s="17">
        <v>43704</v>
      </c>
      <c r="BR70" s="16"/>
      <c r="BS70" s="17"/>
      <c r="BT70" s="16"/>
      <c r="BU70" s="17"/>
      <c r="BV70" s="16"/>
      <c r="BW70" s="17"/>
      <c r="BX70" s="16"/>
      <c r="BY70" s="17"/>
      <c r="BZ70" s="19">
        <v>33.798658885095357</v>
      </c>
      <c r="CA70" s="19"/>
      <c r="CB70" s="17"/>
      <c r="CC70" s="14" t="s">
        <v>5018</v>
      </c>
      <c r="CD70" s="14" t="s">
        <v>5019</v>
      </c>
      <c r="CE70" s="14" t="s">
        <v>5004</v>
      </c>
    </row>
    <row r="71" spans="1:83" ht="26.15" customHeight="1">
      <c r="A71" s="13">
        <v>65</v>
      </c>
      <c r="B71" s="14" t="s">
        <v>737</v>
      </c>
      <c r="C71" s="14" t="s">
        <v>738</v>
      </c>
      <c r="D71" s="14" t="s">
        <v>741</v>
      </c>
      <c r="E71" s="13">
        <v>2016</v>
      </c>
      <c r="F71" s="14" t="s">
        <v>5842</v>
      </c>
      <c r="G71" s="14" t="s">
        <v>5843</v>
      </c>
      <c r="H71" s="14" t="s">
        <v>5844</v>
      </c>
      <c r="I71" s="15" t="s">
        <v>3117</v>
      </c>
      <c r="J71" s="16">
        <v>17990</v>
      </c>
      <c r="K71" s="17">
        <v>43751</v>
      </c>
      <c r="L71" s="16"/>
      <c r="M71" s="16" t="s">
        <v>50</v>
      </c>
      <c r="N71" s="14" t="s">
        <v>34</v>
      </c>
      <c r="O71" s="13">
        <v>4</v>
      </c>
      <c r="P71" s="17">
        <v>44081</v>
      </c>
      <c r="Q71" s="14"/>
      <c r="R71" s="17"/>
      <c r="S71" s="17"/>
      <c r="T71" s="14" t="s">
        <v>1</v>
      </c>
      <c r="U71" s="14" t="s">
        <v>5845</v>
      </c>
      <c r="V71" s="14" t="s">
        <v>5846</v>
      </c>
      <c r="W71" s="14"/>
      <c r="X71" s="14" t="s">
        <v>5847</v>
      </c>
      <c r="Y71" s="14"/>
      <c r="Z71" s="14" t="s">
        <v>5848</v>
      </c>
      <c r="AA71" s="14"/>
      <c r="AB71" s="14" t="s">
        <v>5844</v>
      </c>
      <c r="AC71" s="14" t="s">
        <v>5849</v>
      </c>
      <c r="AD71" s="14" t="s">
        <v>5850</v>
      </c>
      <c r="AE71" s="14" t="s">
        <v>5851</v>
      </c>
      <c r="AF71" s="14"/>
      <c r="AG71" s="14" t="s">
        <v>5852</v>
      </c>
      <c r="AH71" s="18"/>
      <c r="AI71" s="16"/>
      <c r="AJ71" s="17"/>
      <c r="AK71" s="15" t="s">
        <v>3123</v>
      </c>
      <c r="AL71" s="17"/>
      <c r="AM71" s="16"/>
      <c r="AN71" s="14"/>
      <c r="AO71" s="14"/>
      <c r="AP71" s="15" t="s">
        <v>3123</v>
      </c>
      <c r="AQ71" s="14"/>
      <c r="AR71" s="17"/>
      <c r="AS71" s="16"/>
      <c r="AT71" s="14"/>
      <c r="AU71" s="15" t="s">
        <v>3123</v>
      </c>
      <c r="AV71" s="14"/>
      <c r="AW71" s="17"/>
      <c r="AX71" s="16"/>
      <c r="AY71" s="16"/>
      <c r="AZ71" s="16"/>
      <c r="BA71" s="16"/>
      <c r="BB71" s="15" t="s">
        <v>3123</v>
      </c>
      <c r="BC71" s="17"/>
      <c r="BD71" s="14"/>
      <c r="BE71" s="14"/>
      <c r="BF71" s="16"/>
      <c r="BG71" s="16"/>
      <c r="BH71" s="13"/>
      <c r="BI71" s="18" t="s">
        <v>5853</v>
      </c>
      <c r="BJ71" s="13">
        <v>200</v>
      </c>
      <c r="BK71" s="17">
        <v>44131</v>
      </c>
      <c r="BL71" s="18"/>
      <c r="BM71" s="18" t="s">
        <v>5854</v>
      </c>
      <c r="BN71" s="18"/>
      <c r="BO71" s="18"/>
      <c r="BP71" s="14" t="s">
        <v>5855</v>
      </c>
      <c r="BQ71" s="17">
        <v>43311</v>
      </c>
      <c r="BR71" s="16"/>
      <c r="BS71" s="17"/>
      <c r="BT71" s="16"/>
      <c r="BU71" s="17"/>
      <c r="BV71" s="16"/>
      <c r="BW71" s="17"/>
      <c r="BX71" s="16"/>
      <c r="BY71" s="17"/>
      <c r="BZ71" s="19">
        <v>43.766186521345269</v>
      </c>
      <c r="CA71" s="19"/>
      <c r="CB71" s="17"/>
      <c r="CC71" s="14" t="s">
        <v>5345</v>
      </c>
      <c r="CD71" s="14" t="s">
        <v>5619</v>
      </c>
      <c r="CE71" s="14" t="s">
        <v>5620</v>
      </c>
    </row>
    <row r="72" spans="1:83" ht="26.15" customHeight="1">
      <c r="A72" s="13">
        <v>66</v>
      </c>
      <c r="B72" s="14" t="s">
        <v>316</v>
      </c>
      <c r="C72" s="14" t="s">
        <v>317</v>
      </c>
      <c r="D72" s="14" t="s">
        <v>318</v>
      </c>
      <c r="E72" s="13">
        <v>2017</v>
      </c>
      <c r="F72" s="14" t="s">
        <v>5005</v>
      </c>
      <c r="G72" s="14" t="s">
        <v>5006</v>
      </c>
      <c r="H72" s="14" t="s">
        <v>3994</v>
      </c>
      <c r="I72" s="15" t="s">
        <v>3117</v>
      </c>
      <c r="J72" s="16"/>
      <c r="K72" s="17">
        <v>43998</v>
      </c>
      <c r="L72" s="16"/>
      <c r="M72" s="16" t="s">
        <v>50</v>
      </c>
      <c r="N72" s="14" t="s">
        <v>34</v>
      </c>
      <c r="O72" s="13">
        <v>4</v>
      </c>
      <c r="P72" s="17">
        <v>44036</v>
      </c>
      <c r="Q72" s="14"/>
      <c r="R72" s="17"/>
      <c r="S72" s="17"/>
      <c r="T72" s="14" t="s">
        <v>1</v>
      </c>
      <c r="U72" s="14" t="s">
        <v>5007</v>
      </c>
      <c r="V72" s="14" t="s">
        <v>5238</v>
      </c>
      <c r="W72" s="14"/>
      <c r="X72" s="14" t="s">
        <v>285</v>
      </c>
      <c r="Y72" s="14"/>
      <c r="Z72" s="14" t="s">
        <v>5856</v>
      </c>
      <c r="AA72" s="14"/>
      <c r="AB72" s="14" t="s">
        <v>3994</v>
      </c>
      <c r="AC72" s="14" t="s">
        <v>5857</v>
      </c>
      <c r="AD72" s="14" t="s">
        <v>5858</v>
      </c>
      <c r="AE72" s="14" t="s">
        <v>5859</v>
      </c>
      <c r="AF72" s="14" t="s">
        <v>5860</v>
      </c>
      <c r="AG72" s="14" t="s">
        <v>5861</v>
      </c>
      <c r="AH72" s="18"/>
      <c r="AI72" s="16"/>
      <c r="AJ72" s="17"/>
      <c r="AK72" s="15" t="s">
        <v>3123</v>
      </c>
      <c r="AL72" s="17"/>
      <c r="AM72" s="16"/>
      <c r="AN72" s="14"/>
      <c r="AO72" s="14"/>
      <c r="AP72" s="15" t="s">
        <v>3123</v>
      </c>
      <c r="AQ72" s="14"/>
      <c r="AR72" s="17"/>
      <c r="AS72" s="16"/>
      <c r="AT72" s="14"/>
      <c r="AU72" s="15" t="s">
        <v>3123</v>
      </c>
      <c r="AV72" s="14"/>
      <c r="AW72" s="17"/>
      <c r="AX72" s="16"/>
      <c r="AY72" s="16"/>
      <c r="AZ72" s="16"/>
      <c r="BA72" s="16"/>
      <c r="BB72" s="15" t="s">
        <v>3123</v>
      </c>
      <c r="BC72" s="17"/>
      <c r="BD72" s="14"/>
      <c r="BE72" s="14"/>
      <c r="BF72" s="16"/>
      <c r="BG72" s="16"/>
      <c r="BH72" s="13"/>
      <c r="BI72" s="18" t="s">
        <v>5862</v>
      </c>
      <c r="BJ72" s="13">
        <v>200</v>
      </c>
      <c r="BK72" s="17">
        <v>44131</v>
      </c>
      <c r="BL72" s="18" t="s">
        <v>5863</v>
      </c>
      <c r="BM72" s="18" t="s">
        <v>5864</v>
      </c>
      <c r="BN72" s="18" t="s">
        <v>5865</v>
      </c>
      <c r="BO72" s="18" t="s">
        <v>5866</v>
      </c>
      <c r="BP72" s="14" t="s">
        <v>5867</v>
      </c>
      <c r="BQ72" s="17">
        <v>43503</v>
      </c>
      <c r="BR72" s="16"/>
      <c r="BS72" s="17"/>
      <c r="BT72" s="16"/>
      <c r="BU72" s="17"/>
      <c r="BV72" s="16"/>
      <c r="BW72" s="17"/>
      <c r="BX72" s="16"/>
      <c r="BY72" s="17"/>
      <c r="BZ72" s="19">
        <v>37.302304763699098</v>
      </c>
      <c r="CA72" s="19"/>
      <c r="CB72" s="17"/>
      <c r="CC72" s="14" t="s">
        <v>5082</v>
      </c>
      <c r="CD72" s="14" t="s">
        <v>5424</v>
      </c>
      <c r="CE72" s="14" t="s">
        <v>5311</v>
      </c>
    </row>
    <row r="73" spans="1:83" ht="26.15" customHeight="1">
      <c r="A73" s="13">
        <v>67</v>
      </c>
      <c r="B73" s="14" t="s">
        <v>712</v>
      </c>
      <c r="C73" s="14" t="s">
        <v>713</v>
      </c>
      <c r="D73" s="14" t="s">
        <v>710</v>
      </c>
      <c r="E73" s="13">
        <v>2018</v>
      </c>
      <c r="F73" s="14" t="s">
        <v>5038</v>
      </c>
      <c r="G73" s="14" t="s">
        <v>5039</v>
      </c>
      <c r="H73" s="14" t="s">
        <v>3994</v>
      </c>
      <c r="I73" s="15" t="s">
        <v>3117</v>
      </c>
      <c r="J73" s="16">
        <v>1720000</v>
      </c>
      <c r="K73" s="17">
        <v>43768</v>
      </c>
      <c r="L73" s="16" t="s">
        <v>5022</v>
      </c>
      <c r="M73" s="16">
        <v>1600000</v>
      </c>
      <c r="N73" s="14" t="s">
        <v>34</v>
      </c>
      <c r="O73" s="13">
        <v>4</v>
      </c>
      <c r="P73" s="17">
        <v>43984</v>
      </c>
      <c r="Q73" s="14"/>
      <c r="R73" s="17"/>
      <c r="S73" s="17"/>
      <c r="T73" s="14" t="s">
        <v>1</v>
      </c>
      <c r="U73" s="14" t="s">
        <v>5007</v>
      </c>
      <c r="V73" s="14" t="s">
        <v>5192</v>
      </c>
      <c r="W73" s="14"/>
      <c r="X73" s="14" t="s">
        <v>5868</v>
      </c>
      <c r="Y73" s="14"/>
      <c r="Z73" s="14" t="s">
        <v>5869</v>
      </c>
      <c r="AA73" s="14"/>
      <c r="AB73" s="14" t="s">
        <v>3994</v>
      </c>
      <c r="AC73" s="14"/>
      <c r="AD73" s="14"/>
      <c r="AE73" s="14" t="s">
        <v>5870</v>
      </c>
      <c r="AF73" s="14" t="s">
        <v>5871</v>
      </c>
      <c r="AG73" s="14" t="s">
        <v>5872</v>
      </c>
      <c r="AH73" s="18"/>
      <c r="AI73" s="16"/>
      <c r="AJ73" s="17"/>
      <c r="AK73" s="15" t="s">
        <v>3123</v>
      </c>
      <c r="AL73" s="17"/>
      <c r="AM73" s="16"/>
      <c r="AN73" s="14"/>
      <c r="AO73" s="14"/>
      <c r="AP73" s="15" t="s">
        <v>3123</v>
      </c>
      <c r="AQ73" s="14"/>
      <c r="AR73" s="17"/>
      <c r="AS73" s="16"/>
      <c r="AT73" s="14"/>
      <c r="AU73" s="15" t="s">
        <v>3123</v>
      </c>
      <c r="AV73" s="14"/>
      <c r="AW73" s="17"/>
      <c r="AX73" s="16"/>
      <c r="AY73" s="16"/>
      <c r="AZ73" s="16"/>
      <c r="BA73" s="16"/>
      <c r="BB73" s="15" t="s">
        <v>3123</v>
      </c>
      <c r="BC73" s="17"/>
      <c r="BD73" s="14"/>
      <c r="BE73" s="14"/>
      <c r="BF73" s="16"/>
      <c r="BG73" s="16"/>
      <c r="BH73" s="13"/>
      <c r="BI73" s="18" t="s">
        <v>5873</v>
      </c>
      <c r="BJ73" s="13">
        <v>200</v>
      </c>
      <c r="BK73" s="17">
        <v>44131</v>
      </c>
      <c r="BL73" s="18" t="s">
        <v>5874</v>
      </c>
      <c r="BM73" s="18" t="s">
        <v>5875</v>
      </c>
      <c r="BN73" s="18" t="s">
        <v>5876</v>
      </c>
      <c r="BO73" s="18"/>
      <c r="BP73" s="14" t="s">
        <v>5877</v>
      </c>
      <c r="BQ73" s="17">
        <v>43335</v>
      </c>
      <c r="BR73" s="16"/>
      <c r="BS73" s="17"/>
      <c r="BT73" s="16"/>
      <c r="BU73" s="17"/>
      <c r="BV73" s="16"/>
      <c r="BW73" s="17"/>
      <c r="BX73" s="16">
        <v>24</v>
      </c>
      <c r="BY73" s="17">
        <v>44012</v>
      </c>
      <c r="BZ73" s="19">
        <v>47.4340927950118</v>
      </c>
      <c r="CA73" s="19"/>
      <c r="CB73" s="17"/>
      <c r="CC73" s="14" t="s">
        <v>5878</v>
      </c>
      <c r="CD73" s="14" t="s">
        <v>5879</v>
      </c>
      <c r="CE73" s="14" t="s">
        <v>5004</v>
      </c>
    </row>
    <row r="74" spans="1:83" ht="26.15" hidden="1" customHeight="1">
      <c r="A74" s="13">
        <v>68</v>
      </c>
      <c r="B74" s="14" t="s">
        <v>1635</v>
      </c>
      <c r="C74" s="14" t="s">
        <v>1636</v>
      </c>
      <c r="D74" s="14" t="s">
        <v>1637</v>
      </c>
      <c r="E74" s="13">
        <v>2017</v>
      </c>
      <c r="F74" s="14" t="s">
        <v>5050</v>
      </c>
      <c r="G74" s="14" t="s">
        <v>5050</v>
      </c>
      <c r="H74" s="14" t="s">
        <v>4343</v>
      </c>
      <c r="I74" s="15" t="s">
        <v>3117</v>
      </c>
      <c r="J74" s="16"/>
      <c r="K74" s="17">
        <v>43247</v>
      </c>
      <c r="L74" s="16"/>
      <c r="M74" s="16" t="s">
        <v>50</v>
      </c>
      <c r="N74" s="14" t="s">
        <v>34</v>
      </c>
      <c r="O74" s="13">
        <v>2</v>
      </c>
      <c r="P74" s="17">
        <v>43671</v>
      </c>
      <c r="Q74" s="14"/>
      <c r="R74" s="17"/>
      <c r="S74" s="17"/>
      <c r="T74" s="14" t="s">
        <v>5880</v>
      </c>
      <c r="U74" s="14" t="s">
        <v>5881</v>
      </c>
      <c r="V74" s="14" t="s">
        <v>5882</v>
      </c>
      <c r="W74" s="14"/>
      <c r="X74" s="14" t="s">
        <v>5883</v>
      </c>
      <c r="Y74" s="14"/>
      <c r="Z74" s="14" t="s">
        <v>5884</v>
      </c>
      <c r="AA74" s="14"/>
      <c r="AB74" s="14" t="s">
        <v>4343</v>
      </c>
      <c r="AC74" s="14" t="s">
        <v>5885</v>
      </c>
      <c r="AD74" s="14" t="s">
        <v>5886</v>
      </c>
      <c r="AE74" s="14" t="s">
        <v>5887</v>
      </c>
      <c r="AF74" s="14" t="s">
        <v>5888</v>
      </c>
      <c r="AG74" s="14" t="s">
        <v>5889</v>
      </c>
      <c r="AH74" s="18"/>
      <c r="AI74" s="16"/>
      <c r="AJ74" s="17"/>
      <c r="AK74" s="15" t="s">
        <v>3123</v>
      </c>
      <c r="AL74" s="17"/>
      <c r="AM74" s="16"/>
      <c r="AN74" s="14"/>
      <c r="AO74" s="14"/>
      <c r="AP74" s="15" t="s">
        <v>3123</v>
      </c>
      <c r="AQ74" s="14"/>
      <c r="AR74" s="17"/>
      <c r="AS74" s="16"/>
      <c r="AT74" s="14"/>
      <c r="AU74" s="15" t="s">
        <v>3123</v>
      </c>
      <c r="AV74" s="14"/>
      <c r="AW74" s="17"/>
      <c r="AX74" s="16"/>
      <c r="AY74" s="16"/>
      <c r="AZ74" s="16"/>
      <c r="BA74" s="16"/>
      <c r="BB74" s="15" t="s">
        <v>3123</v>
      </c>
      <c r="BC74" s="17"/>
      <c r="BD74" s="14"/>
      <c r="BE74" s="14"/>
      <c r="BF74" s="16"/>
      <c r="BG74" s="16"/>
      <c r="BH74" s="13"/>
      <c r="BI74" s="18" t="s">
        <v>5890</v>
      </c>
      <c r="BJ74" s="13">
        <v>200</v>
      </c>
      <c r="BK74" s="17">
        <v>44115</v>
      </c>
      <c r="BL74" s="18" t="s">
        <v>5891</v>
      </c>
      <c r="BM74" s="18" t="s">
        <v>5892</v>
      </c>
      <c r="BN74" s="18" t="s">
        <v>5893</v>
      </c>
      <c r="BO74" s="18" t="s">
        <v>5894</v>
      </c>
      <c r="BP74" s="14" t="s">
        <v>5895</v>
      </c>
      <c r="BQ74" s="17">
        <v>43418</v>
      </c>
      <c r="BR74" s="16"/>
      <c r="BS74" s="17"/>
      <c r="BT74" s="16"/>
      <c r="BU74" s="17"/>
      <c r="BV74" s="16"/>
      <c r="BW74" s="17"/>
      <c r="BX74" s="16"/>
      <c r="BY74" s="17"/>
      <c r="BZ74" s="19">
        <v>44.890735174076156</v>
      </c>
      <c r="CA74" s="19"/>
      <c r="CB74" s="17"/>
      <c r="CC74" s="14" t="s">
        <v>5104</v>
      </c>
      <c r="CD74" s="14" t="s">
        <v>5310</v>
      </c>
      <c r="CE74" s="14" t="s">
        <v>5521</v>
      </c>
    </row>
    <row r="75" spans="1:83" ht="26.15" customHeight="1">
      <c r="A75" s="13">
        <v>69</v>
      </c>
      <c r="B75" s="14" t="s">
        <v>1692</v>
      </c>
      <c r="C75" s="14" t="s">
        <v>1693</v>
      </c>
      <c r="D75" s="14" t="s">
        <v>1365</v>
      </c>
      <c r="E75" s="13">
        <v>2017</v>
      </c>
      <c r="F75" s="14" t="s">
        <v>5522</v>
      </c>
      <c r="G75" s="14" t="s">
        <v>5523</v>
      </c>
      <c r="H75" s="14" t="s">
        <v>5524</v>
      </c>
      <c r="I75" s="15" t="s">
        <v>3117</v>
      </c>
      <c r="J75" s="16"/>
      <c r="K75" s="17">
        <v>43224</v>
      </c>
      <c r="L75" s="16" t="s">
        <v>5896</v>
      </c>
      <c r="M75" s="16">
        <v>40000</v>
      </c>
      <c r="N75" s="14" t="s">
        <v>5040</v>
      </c>
      <c r="O75" s="13">
        <v>3</v>
      </c>
      <c r="P75" s="17">
        <v>44011</v>
      </c>
      <c r="Q75" s="14"/>
      <c r="R75" s="17"/>
      <c r="S75" s="17"/>
      <c r="T75" s="14" t="s">
        <v>5426</v>
      </c>
      <c r="U75" s="14" t="s">
        <v>5427</v>
      </c>
      <c r="V75" s="14" t="s">
        <v>5428</v>
      </c>
      <c r="W75" s="14"/>
      <c r="X75" s="14" t="s">
        <v>5897</v>
      </c>
      <c r="Y75" s="14"/>
      <c r="Z75" s="14" t="s">
        <v>5898</v>
      </c>
      <c r="AA75" s="14"/>
      <c r="AB75" s="14" t="s">
        <v>5524</v>
      </c>
      <c r="AC75" s="14" t="s">
        <v>5899</v>
      </c>
      <c r="AD75" s="14" t="s">
        <v>5900</v>
      </c>
      <c r="AE75" s="14"/>
      <c r="AF75" s="14"/>
      <c r="AG75" s="14"/>
      <c r="AH75" s="18"/>
      <c r="AI75" s="16"/>
      <c r="AJ75" s="17"/>
      <c r="AK75" s="15" t="s">
        <v>3123</v>
      </c>
      <c r="AL75" s="17"/>
      <c r="AM75" s="16"/>
      <c r="AN75" s="14"/>
      <c r="AO75" s="14"/>
      <c r="AP75" s="15" t="s">
        <v>3123</v>
      </c>
      <c r="AQ75" s="14"/>
      <c r="AR75" s="17"/>
      <c r="AS75" s="16"/>
      <c r="AT75" s="14"/>
      <c r="AU75" s="15" t="s">
        <v>3123</v>
      </c>
      <c r="AV75" s="14"/>
      <c r="AW75" s="17"/>
      <c r="AX75" s="16"/>
      <c r="AY75" s="16"/>
      <c r="AZ75" s="16"/>
      <c r="BA75" s="16"/>
      <c r="BB75" s="15" t="s">
        <v>3123</v>
      </c>
      <c r="BC75" s="17"/>
      <c r="BD75" s="14"/>
      <c r="BE75" s="14"/>
      <c r="BF75" s="16"/>
      <c r="BG75" s="16"/>
      <c r="BH75" s="13"/>
      <c r="BI75" s="18" t="s">
        <v>5901</v>
      </c>
      <c r="BJ75" s="13">
        <v>200</v>
      </c>
      <c r="BK75" s="17">
        <v>44114</v>
      </c>
      <c r="BL75" s="18" t="s">
        <v>5902</v>
      </c>
      <c r="BM75" s="18" t="s">
        <v>5903</v>
      </c>
      <c r="BN75" s="18" t="s">
        <v>5904</v>
      </c>
      <c r="BO75" s="18" t="s">
        <v>5905</v>
      </c>
      <c r="BP75" s="14" t="s">
        <v>5906</v>
      </c>
      <c r="BQ75" s="17">
        <v>43607</v>
      </c>
      <c r="BR75" s="16"/>
      <c r="BS75" s="17"/>
      <c r="BT75" s="16"/>
      <c r="BU75" s="17"/>
      <c r="BV75" s="16"/>
      <c r="BW75" s="17"/>
      <c r="BX75" s="16"/>
      <c r="BY75" s="17"/>
      <c r="BZ75" s="19">
        <v>30.114573217163034</v>
      </c>
      <c r="CA75" s="19"/>
      <c r="CB75" s="17"/>
      <c r="CC75" s="14" t="s">
        <v>5104</v>
      </c>
      <c r="CD75" s="14" t="s">
        <v>5439</v>
      </c>
      <c r="CE75" s="14" t="s">
        <v>5311</v>
      </c>
    </row>
    <row r="76" spans="1:83" ht="26.15" customHeight="1">
      <c r="A76" s="13">
        <v>70</v>
      </c>
      <c r="B76" s="14" t="s">
        <v>1154</v>
      </c>
      <c r="C76" s="14" t="s">
        <v>1155</v>
      </c>
      <c r="D76" s="14" t="s">
        <v>1159</v>
      </c>
      <c r="E76" s="13">
        <v>2017</v>
      </c>
      <c r="F76" s="14" t="s">
        <v>5038</v>
      </c>
      <c r="G76" s="14" t="s">
        <v>5039</v>
      </c>
      <c r="H76" s="14" t="s">
        <v>3994</v>
      </c>
      <c r="I76" s="15" t="s">
        <v>3117</v>
      </c>
      <c r="J76" s="16">
        <v>108836</v>
      </c>
      <c r="K76" s="17">
        <v>43544</v>
      </c>
      <c r="L76" s="16" t="s">
        <v>5907</v>
      </c>
      <c r="M76" s="16">
        <v>108836</v>
      </c>
      <c r="N76" s="14" t="s">
        <v>34</v>
      </c>
      <c r="O76" s="13">
        <v>3</v>
      </c>
      <c r="P76" s="17">
        <v>44098</v>
      </c>
      <c r="Q76" s="14"/>
      <c r="R76" s="17"/>
      <c r="S76" s="17"/>
      <c r="T76" s="14" t="s">
        <v>1</v>
      </c>
      <c r="U76" s="14" t="s">
        <v>5007</v>
      </c>
      <c r="V76" s="14" t="s">
        <v>5908</v>
      </c>
      <c r="W76" s="14"/>
      <c r="X76" s="14" t="s">
        <v>5909</v>
      </c>
      <c r="Y76" s="14" t="s">
        <v>5910</v>
      </c>
      <c r="Z76" s="14" t="s">
        <v>5911</v>
      </c>
      <c r="AA76" s="14"/>
      <c r="AB76" s="14" t="s">
        <v>3994</v>
      </c>
      <c r="AC76" s="14"/>
      <c r="AD76" s="14"/>
      <c r="AE76" s="14" t="s">
        <v>5912</v>
      </c>
      <c r="AF76" s="14" t="s">
        <v>5913</v>
      </c>
      <c r="AG76" s="14" t="s">
        <v>5914</v>
      </c>
      <c r="AH76" s="18"/>
      <c r="AI76" s="16">
        <v>207500</v>
      </c>
      <c r="AJ76" s="17">
        <v>43465</v>
      </c>
      <c r="AK76" s="15" t="s">
        <v>3123</v>
      </c>
      <c r="AL76" s="17"/>
      <c r="AM76" s="16"/>
      <c r="AN76" s="14"/>
      <c r="AO76" s="14"/>
      <c r="AP76" s="15" t="s">
        <v>3123</v>
      </c>
      <c r="AQ76" s="14"/>
      <c r="AR76" s="17"/>
      <c r="AS76" s="16"/>
      <c r="AT76" s="14"/>
      <c r="AU76" s="15" t="s">
        <v>3123</v>
      </c>
      <c r="AV76" s="14"/>
      <c r="AW76" s="17"/>
      <c r="AX76" s="16"/>
      <c r="AY76" s="16"/>
      <c r="AZ76" s="16"/>
      <c r="BA76" s="16"/>
      <c r="BB76" s="15" t="s">
        <v>3123</v>
      </c>
      <c r="BC76" s="17"/>
      <c r="BD76" s="14"/>
      <c r="BE76" s="14"/>
      <c r="BF76" s="16"/>
      <c r="BG76" s="16"/>
      <c r="BH76" s="13"/>
      <c r="BI76" s="18" t="s">
        <v>5915</v>
      </c>
      <c r="BJ76" s="13">
        <v>200</v>
      </c>
      <c r="BK76" s="17">
        <v>44131</v>
      </c>
      <c r="BL76" s="18" t="s">
        <v>5916</v>
      </c>
      <c r="BM76" s="18"/>
      <c r="BN76" s="18" t="s">
        <v>5917</v>
      </c>
      <c r="BO76" s="18"/>
      <c r="BP76" s="14" t="s">
        <v>5918</v>
      </c>
      <c r="BQ76" s="17">
        <v>43469</v>
      </c>
      <c r="BR76" s="16">
        <v>-28600</v>
      </c>
      <c r="BS76" s="17">
        <v>43465</v>
      </c>
      <c r="BT76" s="16">
        <v>-24100</v>
      </c>
      <c r="BU76" s="17">
        <v>43465</v>
      </c>
      <c r="BV76" s="16">
        <v>1416321.3161908917</v>
      </c>
      <c r="BW76" s="17">
        <v>43544</v>
      </c>
      <c r="BX76" s="16"/>
      <c r="BY76" s="17"/>
      <c r="BZ76" s="19">
        <v>34.198870783476799</v>
      </c>
      <c r="CA76" s="19"/>
      <c r="CB76" s="17"/>
      <c r="CC76" s="14" t="s">
        <v>5104</v>
      </c>
      <c r="CD76" s="14" t="s">
        <v>5037</v>
      </c>
      <c r="CE76" s="14" t="s">
        <v>5004</v>
      </c>
    </row>
    <row r="77" spans="1:83" ht="26.15" customHeight="1">
      <c r="A77" s="13">
        <v>71</v>
      </c>
      <c r="B77" s="14" t="s">
        <v>573</v>
      </c>
      <c r="C77" s="14" t="s">
        <v>574</v>
      </c>
      <c r="D77" s="14" t="s">
        <v>578</v>
      </c>
      <c r="E77" s="13">
        <v>2017</v>
      </c>
      <c r="F77" s="14" t="s">
        <v>5222</v>
      </c>
      <c r="G77" s="14" t="s">
        <v>5223</v>
      </c>
      <c r="H77" s="14" t="s">
        <v>3994</v>
      </c>
      <c r="I77" s="15" t="s">
        <v>3117</v>
      </c>
      <c r="J77" s="16">
        <v>365851</v>
      </c>
      <c r="K77" s="17">
        <v>43853</v>
      </c>
      <c r="L77" s="16" t="s">
        <v>5919</v>
      </c>
      <c r="M77" s="16">
        <v>309159</v>
      </c>
      <c r="N77" s="14" t="s">
        <v>34</v>
      </c>
      <c r="O77" s="13">
        <v>5</v>
      </c>
      <c r="P77" s="17">
        <v>43879</v>
      </c>
      <c r="Q77" s="14"/>
      <c r="R77" s="17"/>
      <c r="S77" s="17"/>
      <c r="T77" s="14" t="s">
        <v>5920</v>
      </c>
      <c r="U77" s="14" t="s">
        <v>5921</v>
      </c>
      <c r="V77" s="14" t="s">
        <v>5922</v>
      </c>
      <c r="W77" s="14"/>
      <c r="X77" s="14" t="s">
        <v>5923</v>
      </c>
      <c r="Y77" s="14" t="s">
        <v>5924</v>
      </c>
      <c r="Z77" s="14" t="s">
        <v>5925</v>
      </c>
      <c r="AA77" s="14"/>
      <c r="AB77" s="14" t="s">
        <v>3994</v>
      </c>
      <c r="AC77" s="14" t="s">
        <v>5926</v>
      </c>
      <c r="AD77" s="14"/>
      <c r="AE77" s="14" t="s">
        <v>5927</v>
      </c>
      <c r="AF77" s="14" t="s">
        <v>5928</v>
      </c>
      <c r="AG77" s="14" t="s">
        <v>5929</v>
      </c>
      <c r="AH77" s="18"/>
      <c r="AI77" s="16"/>
      <c r="AJ77" s="17"/>
      <c r="AK77" s="15" t="s">
        <v>3123</v>
      </c>
      <c r="AL77" s="17"/>
      <c r="AM77" s="16"/>
      <c r="AN77" s="14"/>
      <c r="AO77" s="14"/>
      <c r="AP77" s="15" t="s">
        <v>3123</v>
      </c>
      <c r="AQ77" s="14"/>
      <c r="AR77" s="17"/>
      <c r="AS77" s="16"/>
      <c r="AT77" s="14"/>
      <c r="AU77" s="15" t="s">
        <v>3123</v>
      </c>
      <c r="AV77" s="14"/>
      <c r="AW77" s="17"/>
      <c r="AX77" s="16"/>
      <c r="AY77" s="16"/>
      <c r="AZ77" s="16"/>
      <c r="BA77" s="16"/>
      <c r="BB77" s="15" t="s">
        <v>3123</v>
      </c>
      <c r="BC77" s="17"/>
      <c r="BD77" s="14"/>
      <c r="BE77" s="14"/>
      <c r="BF77" s="16"/>
      <c r="BG77" s="16"/>
      <c r="BH77" s="13"/>
      <c r="BI77" s="18" t="s">
        <v>5930</v>
      </c>
      <c r="BJ77" s="13">
        <v>200</v>
      </c>
      <c r="BK77" s="17">
        <v>44131</v>
      </c>
      <c r="BL77" s="18" t="s">
        <v>5931</v>
      </c>
      <c r="BM77" s="18"/>
      <c r="BN77" s="18"/>
      <c r="BO77" s="18"/>
      <c r="BP77" s="14" t="s">
        <v>5932</v>
      </c>
      <c r="BQ77" s="17">
        <v>43689</v>
      </c>
      <c r="BR77" s="16"/>
      <c r="BS77" s="17"/>
      <c r="BT77" s="16"/>
      <c r="BU77" s="17"/>
      <c r="BV77" s="16">
        <v>3468181.9816556145</v>
      </c>
      <c r="BW77" s="17">
        <v>43948</v>
      </c>
      <c r="BX77" s="16"/>
      <c r="BY77" s="17"/>
      <c r="BZ77" s="19">
        <v>45.412926769096089</v>
      </c>
      <c r="CA77" s="19"/>
      <c r="CB77" s="17"/>
      <c r="CC77" s="14" t="s">
        <v>5082</v>
      </c>
      <c r="CD77" s="14" t="s">
        <v>5083</v>
      </c>
      <c r="CE77" s="14" t="s">
        <v>5004</v>
      </c>
    </row>
    <row r="78" spans="1:83" ht="26.15" hidden="1" customHeight="1">
      <c r="A78" s="13">
        <v>72</v>
      </c>
      <c r="B78" s="14" t="s">
        <v>753</v>
      </c>
      <c r="C78" s="14" t="s">
        <v>754</v>
      </c>
      <c r="D78" s="14" t="s">
        <v>757</v>
      </c>
      <c r="E78" s="13">
        <v>2017</v>
      </c>
      <c r="F78" s="14" t="s">
        <v>5050</v>
      </c>
      <c r="G78" s="14" t="s">
        <v>5050</v>
      </c>
      <c r="H78" s="14" t="s">
        <v>4343</v>
      </c>
      <c r="I78" s="15" t="s">
        <v>3117</v>
      </c>
      <c r="J78" s="16">
        <v>2200000</v>
      </c>
      <c r="K78" s="17">
        <v>43747</v>
      </c>
      <c r="L78" s="16" t="s">
        <v>5022</v>
      </c>
      <c r="M78" s="16">
        <v>1500000</v>
      </c>
      <c r="N78" s="14" t="s">
        <v>34</v>
      </c>
      <c r="O78" s="13">
        <v>4</v>
      </c>
      <c r="P78" s="17">
        <v>44090</v>
      </c>
      <c r="Q78" s="14"/>
      <c r="R78" s="17"/>
      <c r="S78" s="17"/>
      <c r="T78" s="14" t="s">
        <v>5933</v>
      </c>
      <c r="U78" s="14" t="s">
        <v>5934</v>
      </c>
      <c r="V78" s="14" t="s">
        <v>5935</v>
      </c>
      <c r="W78" s="14"/>
      <c r="X78" s="14" t="s">
        <v>5936</v>
      </c>
      <c r="Y78" s="14"/>
      <c r="Z78" s="14" t="s">
        <v>5937</v>
      </c>
      <c r="AA78" s="14"/>
      <c r="AB78" s="14" t="s">
        <v>4343</v>
      </c>
      <c r="AC78" s="14"/>
      <c r="AD78" s="14"/>
      <c r="AE78" s="14" t="s">
        <v>5938</v>
      </c>
      <c r="AF78" s="14"/>
      <c r="AG78" s="14" t="s">
        <v>5939</v>
      </c>
      <c r="AH78" s="18"/>
      <c r="AI78" s="16"/>
      <c r="AJ78" s="17"/>
      <c r="AK78" s="15" t="s">
        <v>3123</v>
      </c>
      <c r="AL78" s="17"/>
      <c r="AM78" s="16"/>
      <c r="AN78" s="14"/>
      <c r="AO78" s="14"/>
      <c r="AP78" s="15" t="s">
        <v>3123</v>
      </c>
      <c r="AQ78" s="14"/>
      <c r="AR78" s="17"/>
      <c r="AS78" s="16"/>
      <c r="AT78" s="14"/>
      <c r="AU78" s="15" t="s">
        <v>3123</v>
      </c>
      <c r="AV78" s="14"/>
      <c r="AW78" s="17"/>
      <c r="AX78" s="16"/>
      <c r="AY78" s="16"/>
      <c r="AZ78" s="16"/>
      <c r="BA78" s="16"/>
      <c r="BB78" s="15" t="s">
        <v>3123</v>
      </c>
      <c r="BC78" s="17"/>
      <c r="BD78" s="14"/>
      <c r="BE78" s="14"/>
      <c r="BF78" s="16"/>
      <c r="BG78" s="16"/>
      <c r="BH78" s="13"/>
      <c r="BI78" s="18" t="s">
        <v>5940</v>
      </c>
      <c r="BJ78" s="13">
        <v>200</v>
      </c>
      <c r="BK78" s="17">
        <v>44113</v>
      </c>
      <c r="BL78" s="18" t="s">
        <v>5941</v>
      </c>
      <c r="BM78" s="18"/>
      <c r="BN78" s="18" t="s">
        <v>5942</v>
      </c>
      <c r="BO78" s="18"/>
      <c r="BP78" s="14" t="s">
        <v>5943</v>
      </c>
      <c r="BQ78" s="17">
        <v>43209</v>
      </c>
      <c r="BR78" s="16"/>
      <c r="BS78" s="17"/>
      <c r="BT78" s="16"/>
      <c r="BU78" s="17"/>
      <c r="BV78" s="16"/>
      <c r="BW78" s="17"/>
      <c r="BX78" s="16"/>
      <c r="BY78" s="17"/>
      <c r="BZ78" s="19">
        <v>28.173313165104066</v>
      </c>
      <c r="CA78" s="19"/>
      <c r="CB78" s="17"/>
      <c r="CC78" s="14" t="s">
        <v>5082</v>
      </c>
      <c r="CD78" s="14" t="s">
        <v>5944</v>
      </c>
      <c r="CE78" s="14" t="s">
        <v>5945</v>
      </c>
    </row>
    <row r="79" spans="1:83" ht="26.15" customHeight="1">
      <c r="A79" s="13">
        <v>73</v>
      </c>
      <c r="B79" s="14" t="s">
        <v>1999</v>
      </c>
      <c r="C79" s="14" t="s">
        <v>2000</v>
      </c>
      <c r="D79" s="14" t="s">
        <v>2003</v>
      </c>
      <c r="E79" s="13">
        <v>2007</v>
      </c>
      <c r="F79" s="14" t="s">
        <v>5312</v>
      </c>
      <c r="G79" s="14" t="s">
        <v>5313</v>
      </c>
      <c r="H79" s="14" t="s">
        <v>3994</v>
      </c>
      <c r="I79" s="15" t="s">
        <v>3117</v>
      </c>
      <c r="J79" s="16">
        <v>205825</v>
      </c>
      <c r="K79" s="17">
        <v>42972</v>
      </c>
      <c r="L79" s="16" t="s">
        <v>5946</v>
      </c>
      <c r="M79" s="16">
        <v>156019</v>
      </c>
      <c r="N79" s="14" t="s">
        <v>34</v>
      </c>
      <c r="O79" s="13">
        <v>3</v>
      </c>
      <c r="P79" s="17">
        <v>44081</v>
      </c>
      <c r="Q79" s="14"/>
      <c r="R79" s="17"/>
      <c r="S79" s="17"/>
      <c r="T79" s="14" t="s">
        <v>5947</v>
      </c>
      <c r="U79" s="14" t="s">
        <v>5948</v>
      </c>
      <c r="V79" s="14" t="s">
        <v>5949</v>
      </c>
      <c r="W79" s="14"/>
      <c r="X79" s="14" t="s">
        <v>5950</v>
      </c>
      <c r="Y79" s="14" t="s">
        <v>5951</v>
      </c>
      <c r="Z79" s="14" t="s">
        <v>5952</v>
      </c>
      <c r="AA79" s="14"/>
      <c r="AB79" s="14" t="s">
        <v>3994</v>
      </c>
      <c r="AC79" s="14" t="s">
        <v>5953</v>
      </c>
      <c r="AD79" s="14"/>
      <c r="AE79" s="14" t="s">
        <v>5954</v>
      </c>
      <c r="AF79" s="14" t="s">
        <v>5955</v>
      </c>
      <c r="AG79" s="14" t="s">
        <v>5956</v>
      </c>
      <c r="AH79" s="18" t="s">
        <v>5957</v>
      </c>
      <c r="AI79" s="16">
        <v>60400</v>
      </c>
      <c r="AJ79" s="17">
        <v>43465</v>
      </c>
      <c r="AK79" s="15" t="s">
        <v>3117</v>
      </c>
      <c r="AL79" s="17">
        <v>42516</v>
      </c>
      <c r="AM79" s="16">
        <v>1480</v>
      </c>
      <c r="AN79" s="14" t="s">
        <v>5958</v>
      </c>
      <c r="AO79" s="14"/>
      <c r="AP79" s="15" t="s">
        <v>3123</v>
      </c>
      <c r="AQ79" s="14"/>
      <c r="AR79" s="17"/>
      <c r="AS79" s="16"/>
      <c r="AT79" s="14"/>
      <c r="AU79" s="15" t="s">
        <v>3123</v>
      </c>
      <c r="AV79" s="14"/>
      <c r="AW79" s="17"/>
      <c r="AX79" s="16"/>
      <c r="AY79" s="16"/>
      <c r="AZ79" s="16"/>
      <c r="BA79" s="16"/>
      <c r="BB79" s="15" t="s">
        <v>3123</v>
      </c>
      <c r="BC79" s="17"/>
      <c r="BD79" s="14" t="s">
        <v>5959</v>
      </c>
      <c r="BE79" s="14"/>
      <c r="BF79" s="16"/>
      <c r="BG79" s="16"/>
      <c r="BH79" s="13"/>
      <c r="BI79" s="18" t="s">
        <v>5960</v>
      </c>
      <c r="BJ79" s="13">
        <v>200</v>
      </c>
      <c r="BK79" s="17">
        <v>44113</v>
      </c>
      <c r="BL79" s="18"/>
      <c r="BM79" s="18"/>
      <c r="BN79" s="18"/>
      <c r="BO79" s="18"/>
      <c r="BP79" s="14" t="s">
        <v>5961</v>
      </c>
      <c r="BQ79" s="17">
        <v>43077</v>
      </c>
      <c r="BR79" s="16">
        <v>-52300</v>
      </c>
      <c r="BS79" s="17">
        <v>43465</v>
      </c>
      <c r="BT79" s="16">
        <v>-50100</v>
      </c>
      <c r="BU79" s="17">
        <v>43465</v>
      </c>
      <c r="BV79" s="16"/>
      <c r="BW79" s="17"/>
      <c r="BX79" s="16"/>
      <c r="BY79" s="17"/>
      <c r="BZ79" s="19">
        <v>24.10843019481424</v>
      </c>
      <c r="CA79" s="19"/>
      <c r="CB79" s="17"/>
      <c r="CC79" s="14" t="s">
        <v>5036</v>
      </c>
      <c r="CD79" s="14" t="s">
        <v>5962</v>
      </c>
      <c r="CE79" s="14" t="s">
        <v>5945</v>
      </c>
    </row>
    <row r="80" spans="1:83" ht="26.15" customHeight="1">
      <c r="A80" s="13">
        <v>74</v>
      </c>
      <c r="B80" s="14" t="s">
        <v>707</v>
      </c>
      <c r="C80" s="14" t="s">
        <v>708</v>
      </c>
      <c r="D80" s="14" t="s">
        <v>710</v>
      </c>
      <c r="E80" s="13">
        <v>2018</v>
      </c>
      <c r="F80" s="14" t="s">
        <v>5038</v>
      </c>
      <c r="G80" s="14" t="s">
        <v>5039</v>
      </c>
      <c r="H80" s="14" t="s">
        <v>3994</v>
      </c>
      <c r="I80" s="15" t="s">
        <v>3117</v>
      </c>
      <c r="J80" s="16">
        <v>1819105</v>
      </c>
      <c r="K80" s="17">
        <v>43768</v>
      </c>
      <c r="L80" s="16" t="s">
        <v>5022</v>
      </c>
      <c r="M80" s="16">
        <v>1726330</v>
      </c>
      <c r="N80" s="14" t="s">
        <v>34</v>
      </c>
      <c r="O80" s="13">
        <v>4</v>
      </c>
      <c r="P80" s="17">
        <v>44022</v>
      </c>
      <c r="Q80" s="14"/>
      <c r="R80" s="17"/>
      <c r="S80" s="17"/>
      <c r="T80" s="14" t="s">
        <v>1</v>
      </c>
      <c r="U80" s="14" t="s">
        <v>5007</v>
      </c>
      <c r="V80" s="14" t="s">
        <v>5963</v>
      </c>
      <c r="W80" s="14"/>
      <c r="X80" s="14" t="s">
        <v>5964</v>
      </c>
      <c r="Y80" s="14"/>
      <c r="Z80" s="14" t="s">
        <v>5869</v>
      </c>
      <c r="AA80" s="14"/>
      <c r="AB80" s="14" t="s">
        <v>3994</v>
      </c>
      <c r="AC80" s="14" t="s">
        <v>5965</v>
      </c>
      <c r="AD80" s="14" t="s">
        <v>5966</v>
      </c>
      <c r="AE80" s="14" t="s">
        <v>5967</v>
      </c>
      <c r="AF80" s="14" t="s">
        <v>5968</v>
      </c>
      <c r="AG80" s="14" t="s">
        <v>5872</v>
      </c>
      <c r="AH80" s="18"/>
      <c r="AI80" s="16">
        <v>21500</v>
      </c>
      <c r="AJ80" s="17">
        <v>43465</v>
      </c>
      <c r="AK80" s="15" t="s">
        <v>3123</v>
      </c>
      <c r="AL80" s="17"/>
      <c r="AM80" s="16"/>
      <c r="AN80" s="14"/>
      <c r="AO80" s="14"/>
      <c r="AP80" s="15" t="s">
        <v>3123</v>
      </c>
      <c r="AQ80" s="14"/>
      <c r="AR80" s="17"/>
      <c r="AS80" s="16"/>
      <c r="AT80" s="14"/>
      <c r="AU80" s="15" t="s">
        <v>3123</v>
      </c>
      <c r="AV80" s="14"/>
      <c r="AW80" s="17"/>
      <c r="AX80" s="16"/>
      <c r="AY80" s="16"/>
      <c r="AZ80" s="16"/>
      <c r="BA80" s="16"/>
      <c r="BB80" s="15" t="s">
        <v>3123</v>
      </c>
      <c r="BC80" s="17"/>
      <c r="BD80" s="14" t="s">
        <v>713</v>
      </c>
      <c r="BE80" s="14"/>
      <c r="BF80" s="16"/>
      <c r="BG80" s="16"/>
      <c r="BH80" s="13"/>
      <c r="BI80" s="18" t="s">
        <v>5969</v>
      </c>
      <c r="BJ80" s="13">
        <v>200</v>
      </c>
      <c r="BK80" s="17">
        <v>44112</v>
      </c>
      <c r="BL80" s="18" t="s">
        <v>5970</v>
      </c>
      <c r="BM80" s="18" t="s">
        <v>5971</v>
      </c>
      <c r="BN80" s="18" t="s">
        <v>5972</v>
      </c>
      <c r="BO80" s="18" t="s">
        <v>5973</v>
      </c>
      <c r="BP80" s="14" t="s">
        <v>5974</v>
      </c>
      <c r="BQ80" s="17">
        <v>43410</v>
      </c>
      <c r="BR80" s="16">
        <v>-65600</v>
      </c>
      <c r="BS80" s="17">
        <v>43465</v>
      </c>
      <c r="BT80" s="16">
        <v>-65300</v>
      </c>
      <c r="BU80" s="17">
        <v>43465</v>
      </c>
      <c r="BV80" s="16">
        <v>6556726.1740195118</v>
      </c>
      <c r="BW80" s="17">
        <v>43995</v>
      </c>
      <c r="BX80" s="16"/>
      <c r="BY80" s="17"/>
      <c r="BZ80" s="19">
        <v>35.303656386763919</v>
      </c>
      <c r="CA80" s="19"/>
      <c r="CB80" s="17"/>
      <c r="CC80" s="14" t="s">
        <v>5975</v>
      </c>
      <c r="CD80" s="14" t="s">
        <v>5788</v>
      </c>
      <c r="CE80" s="14" t="s">
        <v>5311</v>
      </c>
    </row>
    <row r="81" spans="1:83" ht="26.15" customHeight="1">
      <c r="A81" s="13">
        <v>75</v>
      </c>
      <c r="B81" s="14" t="s">
        <v>1795</v>
      </c>
      <c r="C81" s="14" t="s">
        <v>1796</v>
      </c>
      <c r="D81" s="14" t="s">
        <v>1797</v>
      </c>
      <c r="E81" s="13">
        <v>2015</v>
      </c>
      <c r="F81" s="14" t="s">
        <v>5389</v>
      </c>
      <c r="G81" s="14" t="s">
        <v>5390</v>
      </c>
      <c r="H81" s="14" t="s">
        <v>5391</v>
      </c>
      <c r="I81" s="15" t="s">
        <v>3117</v>
      </c>
      <c r="J81" s="16"/>
      <c r="K81" s="17">
        <v>43165</v>
      </c>
      <c r="L81" s="16"/>
      <c r="M81" s="16" t="s">
        <v>50</v>
      </c>
      <c r="N81" s="14" t="s">
        <v>5630</v>
      </c>
      <c r="O81" s="13"/>
      <c r="P81" s="17">
        <v>44063</v>
      </c>
      <c r="Q81" s="14"/>
      <c r="R81" s="17"/>
      <c r="S81" s="17"/>
      <c r="T81" s="14" t="s">
        <v>5976</v>
      </c>
      <c r="U81" s="14" t="s">
        <v>5977</v>
      </c>
      <c r="V81" s="14" t="s">
        <v>5978</v>
      </c>
      <c r="W81" s="14"/>
      <c r="X81" s="14" t="s">
        <v>5979</v>
      </c>
      <c r="Y81" s="14"/>
      <c r="Z81" s="14" t="s">
        <v>5980</v>
      </c>
      <c r="AA81" s="14"/>
      <c r="AB81" s="14" t="s">
        <v>5391</v>
      </c>
      <c r="AC81" s="14" t="s">
        <v>5981</v>
      </c>
      <c r="AD81" s="14" t="s">
        <v>5982</v>
      </c>
      <c r="AE81" s="14" t="s">
        <v>5983</v>
      </c>
      <c r="AF81" s="14" t="s">
        <v>5984</v>
      </c>
      <c r="AG81" s="14" t="s">
        <v>5985</v>
      </c>
      <c r="AH81" s="18" t="s">
        <v>5986</v>
      </c>
      <c r="AI81" s="16"/>
      <c r="AJ81" s="17"/>
      <c r="AK81" s="15" t="s">
        <v>3123</v>
      </c>
      <c r="AL81" s="17"/>
      <c r="AM81" s="16"/>
      <c r="AN81" s="14"/>
      <c r="AO81" s="14"/>
      <c r="AP81" s="15" t="s">
        <v>3123</v>
      </c>
      <c r="AQ81" s="14"/>
      <c r="AR81" s="17"/>
      <c r="AS81" s="16"/>
      <c r="AT81" s="14"/>
      <c r="AU81" s="15" t="s">
        <v>3123</v>
      </c>
      <c r="AV81" s="14"/>
      <c r="AW81" s="17"/>
      <c r="AX81" s="16"/>
      <c r="AY81" s="16"/>
      <c r="AZ81" s="16"/>
      <c r="BA81" s="16"/>
      <c r="BB81" s="15" t="s">
        <v>3117</v>
      </c>
      <c r="BC81" s="17">
        <v>43252</v>
      </c>
      <c r="BD81" s="14"/>
      <c r="BE81" s="14"/>
      <c r="BF81" s="16"/>
      <c r="BG81" s="16"/>
      <c r="BH81" s="13"/>
      <c r="BI81" s="18" t="s">
        <v>5987</v>
      </c>
      <c r="BJ81" s="13">
        <v>503</v>
      </c>
      <c r="BK81" s="17">
        <v>44131</v>
      </c>
      <c r="BL81" s="18" t="s">
        <v>5988</v>
      </c>
      <c r="BM81" s="18" t="s">
        <v>5989</v>
      </c>
      <c r="BN81" s="18" t="s">
        <v>5990</v>
      </c>
      <c r="BO81" s="18" t="s">
        <v>5991</v>
      </c>
      <c r="BP81" s="14" t="s">
        <v>5992</v>
      </c>
      <c r="BQ81" s="17">
        <v>43335</v>
      </c>
      <c r="BR81" s="16"/>
      <c r="BS81" s="17"/>
      <c r="BT81" s="16"/>
      <c r="BU81" s="17"/>
      <c r="BV81" s="16"/>
      <c r="BW81" s="17"/>
      <c r="BX81" s="16"/>
      <c r="BY81" s="17"/>
      <c r="BZ81" s="19">
        <v>30.24938953057843</v>
      </c>
      <c r="CA81" s="19"/>
      <c r="CB81" s="17"/>
      <c r="CC81" s="14" t="s">
        <v>5993</v>
      </c>
      <c r="CD81" s="14" t="s">
        <v>5310</v>
      </c>
      <c r="CE81" s="14" t="s">
        <v>5994</v>
      </c>
    </row>
    <row r="82" spans="1:83" ht="26.15" customHeight="1">
      <c r="A82" s="13">
        <v>76</v>
      </c>
      <c r="B82" s="14" t="s">
        <v>1382</v>
      </c>
      <c r="C82" s="14" t="s">
        <v>1383</v>
      </c>
      <c r="D82" s="14" t="s">
        <v>1385</v>
      </c>
      <c r="E82" s="13">
        <v>2016</v>
      </c>
      <c r="F82" s="14" t="s">
        <v>5995</v>
      </c>
      <c r="G82" s="14" t="s">
        <v>5674</v>
      </c>
      <c r="H82" s="14" t="s">
        <v>2057</v>
      </c>
      <c r="I82" s="15" t="s">
        <v>3117</v>
      </c>
      <c r="J82" s="16"/>
      <c r="K82" s="17">
        <v>43397</v>
      </c>
      <c r="L82" s="16"/>
      <c r="M82" s="16" t="s">
        <v>50</v>
      </c>
      <c r="N82" s="14" t="s">
        <v>34</v>
      </c>
      <c r="O82" s="13">
        <v>2</v>
      </c>
      <c r="P82" s="17">
        <v>43983</v>
      </c>
      <c r="Q82" s="14"/>
      <c r="R82" s="17"/>
      <c r="S82" s="17"/>
      <c r="T82" s="14" t="s">
        <v>1</v>
      </c>
      <c r="U82" s="14" t="s">
        <v>5007</v>
      </c>
      <c r="V82" s="14" t="s">
        <v>5192</v>
      </c>
      <c r="W82" s="14"/>
      <c r="X82" s="14"/>
      <c r="Y82" s="14"/>
      <c r="Z82" s="14" t="s">
        <v>5996</v>
      </c>
      <c r="AA82" s="14"/>
      <c r="AB82" s="14" t="s">
        <v>2057</v>
      </c>
      <c r="AC82" s="14" t="s">
        <v>5997</v>
      </c>
      <c r="AD82" s="14" t="s">
        <v>5998</v>
      </c>
      <c r="AE82" s="14"/>
      <c r="AF82" s="14"/>
      <c r="AG82" s="14"/>
      <c r="AH82" s="18"/>
      <c r="AI82" s="16"/>
      <c r="AJ82" s="17"/>
      <c r="AK82" s="15" t="s">
        <v>3123</v>
      </c>
      <c r="AL82" s="17"/>
      <c r="AM82" s="16"/>
      <c r="AN82" s="14"/>
      <c r="AO82" s="14"/>
      <c r="AP82" s="15" t="s">
        <v>3123</v>
      </c>
      <c r="AQ82" s="14"/>
      <c r="AR82" s="17"/>
      <c r="AS82" s="16"/>
      <c r="AT82" s="14"/>
      <c r="AU82" s="15" t="s">
        <v>3123</v>
      </c>
      <c r="AV82" s="14"/>
      <c r="AW82" s="17"/>
      <c r="AX82" s="16"/>
      <c r="AY82" s="16"/>
      <c r="AZ82" s="16"/>
      <c r="BA82" s="16"/>
      <c r="BB82" s="15" t="s">
        <v>3123</v>
      </c>
      <c r="BC82" s="17"/>
      <c r="BD82" s="14"/>
      <c r="BE82" s="14"/>
      <c r="BF82" s="16"/>
      <c r="BG82" s="16"/>
      <c r="BH82" s="13"/>
      <c r="BI82" s="18" t="s">
        <v>5999</v>
      </c>
      <c r="BJ82" s="13">
        <v>200</v>
      </c>
      <c r="BK82" s="17">
        <v>44130</v>
      </c>
      <c r="BL82" s="18"/>
      <c r="BM82" s="18"/>
      <c r="BN82" s="18"/>
      <c r="BO82" s="18"/>
      <c r="BP82" s="14" t="s">
        <v>6000</v>
      </c>
      <c r="BQ82" s="17">
        <v>43230</v>
      </c>
      <c r="BR82" s="16"/>
      <c r="BS82" s="17"/>
      <c r="BT82" s="16"/>
      <c r="BU82" s="17"/>
      <c r="BV82" s="16"/>
      <c r="BW82" s="17"/>
      <c r="BX82" s="16"/>
      <c r="BY82" s="17"/>
      <c r="BZ82" s="19">
        <v>10.73524412983347</v>
      </c>
      <c r="CA82" s="19"/>
      <c r="CB82" s="17"/>
      <c r="CC82" s="14" t="s">
        <v>6001</v>
      </c>
      <c r="CD82" s="14" t="s">
        <v>6002</v>
      </c>
      <c r="CE82" s="14" t="s">
        <v>5945</v>
      </c>
    </row>
    <row r="83" spans="1:83" ht="26.15" hidden="1" customHeight="1">
      <c r="A83" s="13">
        <v>77</v>
      </c>
      <c r="B83" s="14" t="s">
        <v>694</v>
      </c>
      <c r="C83" s="14" t="s">
        <v>695</v>
      </c>
      <c r="D83" s="14" t="s">
        <v>699</v>
      </c>
      <c r="E83" s="13">
        <v>2017</v>
      </c>
      <c r="F83" s="14" t="s">
        <v>6003</v>
      </c>
      <c r="G83" s="14" t="s">
        <v>6004</v>
      </c>
      <c r="H83" s="14" t="s">
        <v>4343</v>
      </c>
      <c r="I83" s="15" t="s">
        <v>3117</v>
      </c>
      <c r="J83" s="16">
        <v>3104590</v>
      </c>
      <c r="K83" s="17">
        <v>43769</v>
      </c>
      <c r="L83" s="16" t="s">
        <v>5069</v>
      </c>
      <c r="M83" s="16">
        <v>3104590</v>
      </c>
      <c r="N83" s="14" t="s">
        <v>109</v>
      </c>
      <c r="O83" s="13">
        <v>4</v>
      </c>
      <c r="P83" s="17">
        <v>44057</v>
      </c>
      <c r="Q83" s="14" t="s">
        <v>5052</v>
      </c>
      <c r="R83" s="17">
        <v>43776</v>
      </c>
      <c r="S83" s="17">
        <v>43770</v>
      </c>
      <c r="T83" s="14" t="s">
        <v>5121</v>
      </c>
      <c r="U83" s="14" t="s">
        <v>5122</v>
      </c>
      <c r="V83" s="14" t="s">
        <v>6005</v>
      </c>
      <c r="W83" s="14"/>
      <c r="X83" s="14" t="s">
        <v>6006</v>
      </c>
      <c r="Y83" s="14"/>
      <c r="Z83" s="14" t="s">
        <v>6007</v>
      </c>
      <c r="AA83" s="14"/>
      <c r="AB83" s="14" t="s">
        <v>4343</v>
      </c>
      <c r="AC83" s="14" t="s">
        <v>6008</v>
      </c>
      <c r="AD83" s="14"/>
      <c r="AE83" s="14" t="s">
        <v>6009</v>
      </c>
      <c r="AF83" s="14" t="s">
        <v>6010</v>
      </c>
      <c r="AG83" s="14" t="s">
        <v>6011</v>
      </c>
      <c r="AH83" s="18"/>
      <c r="AI83" s="16"/>
      <c r="AJ83" s="17"/>
      <c r="AK83" s="15" t="s">
        <v>3123</v>
      </c>
      <c r="AL83" s="17"/>
      <c r="AM83" s="16"/>
      <c r="AN83" s="14"/>
      <c r="AO83" s="14"/>
      <c r="AP83" s="15" t="s">
        <v>3123</v>
      </c>
      <c r="AQ83" s="14"/>
      <c r="AR83" s="17"/>
      <c r="AS83" s="16"/>
      <c r="AT83" s="14"/>
      <c r="AU83" s="15" t="s">
        <v>3123</v>
      </c>
      <c r="AV83" s="14"/>
      <c r="AW83" s="17"/>
      <c r="AX83" s="16"/>
      <c r="AY83" s="16"/>
      <c r="AZ83" s="16"/>
      <c r="BA83" s="16"/>
      <c r="BB83" s="15" t="s">
        <v>3123</v>
      </c>
      <c r="BC83" s="17"/>
      <c r="BD83" s="14"/>
      <c r="BE83" s="14"/>
      <c r="BF83" s="16"/>
      <c r="BG83" s="16"/>
      <c r="BH83" s="13"/>
      <c r="BI83" s="18" t="s">
        <v>6012</v>
      </c>
      <c r="BJ83" s="13">
        <v>200</v>
      </c>
      <c r="BK83" s="17">
        <v>44130</v>
      </c>
      <c r="BL83" s="18" t="s">
        <v>6013</v>
      </c>
      <c r="BM83" s="18"/>
      <c r="BN83" s="18" t="s">
        <v>6014</v>
      </c>
      <c r="BO83" s="18"/>
      <c r="BP83" s="14" t="s">
        <v>6015</v>
      </c>
      <c r="BQ83" s="17">
        <v>43088</v>
      </c>
      <c r="BR83" s="16"/>
      <c r="BS83" s="17"/>
      <c r="BT83" s="16"/>
      <c r="BU83" s="17"/>
      <c r="BV83" s="16"/>
      <c r="BW83" s="17"/>
      <c r="BX83" s="16"/>
      <c r="BY83" s="17"/>
      <c r="BZ83" s="19">
        <v>28.214797573623805</v>
      </c>
      <c r="CA83" s="19"/>
      <c r="CB83" s="17"/>
      <c r="CC83" s="14" t="s">
        <v>5161</v>
      </c>
      <c r="CD83" s="14" t="s">
        <v>6016</v>
      </c>
      <c r="CE83" s="14" t="s">
        <v>5004</v>
      </c>
    </row>
    <row r="84" spans="1:83" ht="26.15" customHeight="1">
      <c r="A84" s="13">
        <v>78</v>
      </c>
      <c r="B84" s="14" t="s">
        <v>1196</v>
      </c>
      <c r="C84" s="14" t="s">
        <v>1197</v>
      </c>
      <c r="D84" s="14" t="s">
        <v>389</v>
      </c>
      <c r="E84" s="13">
        <v>2016</v>
      </c>
      <c r="F84" s="14" t="s">
        <v>5389</v>
      </c>
      <c r="G84" s="14" t="s">
        <v>5390</v>
      </c>
      <c r="H84" s="14" t="s">
        <v>5391</v>
      </c>
      <c r="I84" s="15" t="s">
        <v>3117</v>
      </c>
      <c r="J84" s="16">
        <v>652000</v>
      </c>
      <c r="K84" s="17">
        <v>43529</v>
      </c>
      <c r="L84" s="16" t="s">
        <v>6017</v>
      </c>
      <c r="M84" s="16">
        <v>25000</v>
      </c>
      <c r="N84" s="14" t="s">
        <v>34</v>
      </c>
      <c r="O84" s="13">
        <v>4</v>
      </c>
      <c r="P84" s="17">
        <v>44013</v>
      </c>
      <c r="Q84" s="14"/>
      <c r="R84" s="17"/>
      <c r="S84" s="17"/>
      <c r="T84" s="14" t="s">
        <v>5426</v>
      </c>
      <c r="U84" s="14" t="s">
        <v>6018</v>
      </c>
      <c r="V84" s="14" t="s">
        <v>6019</v>
      </c>
      <c r="W84" s="14"/>
      <c r="X84" s="14" t="s">
        <v>6020</v>
      </c>
      <c r="Y84" s="14"/>
      <c r="Z84" s="14" t="s">
        <v>6021</v>
      </c>
      <c r="AA84" s="14"/>
      <c r="AB84" s="14" t="s">
        <v>5391</v>
      </c>
      <c r="AC84" s="14" t="s">
        <v>6022</v>
      </c>
      <c r="AD84" s="14" t="s">
        <v>6023</v>
      </c>
      <c r="AE84" s="14" t="s">
        <v>6024</v>
      </c>
      <c r="AF84" s="14" t="s">
        <v>6025</v>
      </c>
      <c r="AG84" s="14" t="s">
        <v>6026</v>
      </c>
      <c r="AH84" s="18"/>
      <c r="AI84" s="16"/>
      <c r="AJ84" s="17"/>
      <c r="AK84" s="15" t="s">
        <v>3123</v>
      </c>
      <c r="AL84" s="17"/>
      <c r="AM84" s="16"/>
      <c r="AN84" s="14"/>
      <c r="AO84" s="14"/>
      <c r="AP84" s="15" t="s">
        <v>3123</v>
      </c>
      <c r="AQ84" s="14"/>
      <c r="AR84" s="17"/>
      <c r="AS84" s="16"/>
      <c r="AT84" s="14"/>
      <c r="AU84" s="15" t="s">
        <v>3123</v>
      </c>
      <c r="AV84" s="14"/>
      <c r="AW84" s="17"/>
      <c r="AX84" s="16"/>
      <c r="AY84" s="16"/>
      <c r="AZ84" s="16"/>
      <c r="BA84" s="16"/>
      <c r="BB84" s="15" t="s">
        <v>3123</v>
      </c>
      <c r="BC84" s="17"/>
      <c r="BD84" s="14" t="s">
        <v>2320</v>
      </c>
      <c r="BE84" s="14"/>
      <c r="BF84" s="16"/>
      <c r="BG84" s="16"/>
      <c r="BH84" s="13"/>
      <c r="BI84" s="18" t="s">
        <v>6027</v>
      </c>
      <c r="BJ84" s="13">
        <v>-1</v>
      </c>
      <c r="BK84" s="17">
        <v>44130</v>
      </c>
      <c r="BL84" s="18" t="s">
        <v>6028</v>
      </c>
      <c r="BM84" s="18" t="s">
        <v>6029</v>
      </c>
      <c r="BN84" s="18" t="s">
        <v>6030</v>
      </c>
      <c r="BO84" s="18" t="s">
        <v>6031</v>
      </c>
      <c r="BP84" s="14" t="s">
        <v>6032</v>
      </c>
      <c r="BQ84" s="17">
        <v>43131</v>
      </c>
      <c r="BR84" s="16"/>
      <c r="BS84" s="17"/>
      <c r="BT84" s="16"/>
      <c r="BU84" s="17"/>
      <c r="BV84" s="16"/>
      <c r="BW84" s="17"/>
      <c r="BX84" s="16"/>
      <c r="BY84" s="17"/>
      <c r="BZ84" s="19">
        <v>53.527898219516672</v>
      </c>
      <c r="CA84" s="19"/>
      <c r="CB84" s="17"/>
      <c r="CC84" s="14" t="s">
        <v>6033</v>
      </c>
      <c r="CD84" s="14" t="s">
        <v>6034</v>
      </c>
      <c r="CE84" s="14" t="s">
        <v>5004</v>
      </c>
    </row>
    <row r="85" spans="1:83" ht="26.15" customHeight="1">
      <c r="A85" s="13">
        <v>79</v>
      </c>
      <c r="B85" s="14" t="s">
        <v>1031</v>
      </c>
      <c r="C85" s="14" t="s">
        <v>1032</v>
      </c>
      <c r="D85" s="14" t="s">
        <v>1036</v>
      </c>
      <c r="E85" s="13">
        <v>2017</v>
      </c>
      <c r="F85" s="14" t="s">
        <v>6035</v>
      </c>
      <c r="G85" s="14" t="s">
        <v>6036</v>
      </c>
      <c r="H85" s="14" t="s">
        <v>5208</v>
      </c>
      <c r="I85" s="15" t="s">
        <v>3117</v>
      </c>
      <c r="J85" s="16"/>
      <c r="K85" s="17">
        <v>43598</v>
      </c>
      <c r="L85" s="16"/>
      <c r="M85" s="16" t="s">
        <v>50</v>
      </c>
      <c r="N85" s="14" t="s">
        <v>34</v>
      </c>
      <c r="O85" s="13">
        <v>4</v>
      </c>
      <c r="P85" s="17">
        <v>43851</v>
      </c>
      <c r="Q85" s="14"/>
      <c r="R85" s="17"/>
      <c r="S85" s="17"/>
      <c r="T85" s="14" t="s">
        <v>1</v>
      </c>
      <c r="U85" s="14" t="s">
        <v>5007</v>
      </c>
      <c r="V85" s="14" t="s">
        <v>6037</v>
      </c>
      <c r="W85" s="14"/>
      <c r="X85" s="14" t="s">
        <v>1034</v>
      </c>
      <c r="Y85" s="14"/>
      <c r="Z85" s="14" t="s">
        <v>6038</v>
      </c>
      <c r="AA85" s="14"/>
      <c r="AB85" s="14" t="s">
        <v>5208</v>
      </c>
      <c r="AC85" s="14" t="s">
        <v>6039</v>
      </c>
      <c r="AD85" s="14" t="s">
        <v>6040</v>
      </c>
      <c r="AE85" s="14" t="s">
        <v>6041</v>
      </c>
      <c r="AF85" s="14" t="s">
        <v>6042</v>
      </c>
      <c r="AG85" s="14" t="s">
        <v>6043</v>
      </c>
      <c r="AH85" s="18"/>
      <c r="AI85" s="16"/>
      <c r="AJ85" s="17"/>
      <c r="AK85" s="15" t="s">
        <v>3123</v>
      </c>
      <c r="AL85" s="17"/>
      <c r="AM85" s="16"/>
      <c r="AN85" s="14"/>
      <c r="AO85" s="14"/>
      <c r="AP85" s="15" t="s">
        <v>3123</v>
      </c>
      <c r="AQ85" s="14"/>
      <c r="AR85" s="17"/>
      <c r="AS85" s="16"/>
      <c r="AT85" s="14"/>
      <c r="AU85" s="15" t="s">
        <v>3123</v>
      </c>
      <c r="AV85" s="14"/>
      <c r="AW85" s="17"/>
      <c r="AX85" s="16"/>
      <c r="AY85" s="16"/>
      <c r="AZ85" s="16"/>
      <c r="BA85" s="16"/>
      <c r="BB85" s="15" t="s">
        <v>3123</v>
      </c>
      <c r="BC85" s="17"/>
      <c r="BD85" s="14"/>
      <c r="BE85" s="14"/>
      <c r="BF85" s="16"/>
      <c r="BG85" s="16"/>
      <c r="BH85" s="13"/>
      <c r="BI85" s="18" t="s">
        <v>6044</v>
      </c>
      <c r="BJ85" s="13">
        <v>200</v>
      </c>
      <c r="BK85" s="17">
        <v>44130</v>
      </c>
      <c r="BL85" s="18" t="s">
        <v>6045</v>
      </c>
      <c r="BM85" s="18" t="s">
        <v>6046</v>
      </c>
      <c r="BN85" s="18" t="s">
        <v>6047</v>
      </c>
      <c r="BO85" s="18" t="s">
        <v>6048</v>
      </c>
      <c r="BP85" s="14" t="s">
        <v>6049</v>
      </c>
      <c r="BQ85" s="17">
        <v>43851</v>
      </c>
      <c r="BR85" s="16"/>
      <c r="BS85" s="17"/>
      <c r="BT85" s="16"/>
      <c r="BU85" s="17"/>
      <c r="BV85" s="16"/>
      <c r="BW85" s="17"/>
      <c r="BX85" s="16"/>
      <c r="BY85" s="17"/>
      <c r="BZ85" s="19">
        <v>38.341391527322934</v>
      </c>
      <c r="CA85" s="19"/>
      <c r="CB85" s="17"/>
      <c r="CC85" s="14" t="s">
        <v>5309</v>
      </c>
      <c r="CD85" s="14" t="s">
        <v>6050</v>
      </c>
      <c r="CE85" s="14" t="s">
        <v>5004</v>
      </c>
    </row>
    <row r="86" spans="1:83" ht="26.15" customHeight="1">
      <c r="A86" s="13">
        <v>80</v>
      </c>
      <c r="B86" s="14" t="s">
        <v>807</v>
      </c>
      <c r="C86" s="14" t="s">
        <v>808</v>
      </c>
      <c r="D86" s="14" t="s">
        <v>810</v>
      </c>
      <c r="E86" s="13">
        <v>2017</v>
      </c>
      <c r="F86" s="14" t="s">
        <v>5132</v>
      </c>
      <c r="G86" s="14" t="s">
        <v>5133</v>
      </c>
      <c r="H86" s="14" t="s">
        <v>3994</v>
      </c>
      <c r="I86" s="15" t="s">
        <v>3117</v>
      </c>
      <c r="J86" s="16">
        <v>1127847</v>
      </c>
      <c r="K86" s="17">
        <v>43733</v>
      </c>
      <c r="L86" s="16" t="s">
        <v>5134</v>
      </c>
      <c r="M86" s="16">
        <v>1100000</v>
      </c>
      <c r="N86" s="14" t="s">
        <v>34</v>
      </c>
      <c r="O86" s="13">
        <v>4</v>
      </c>
      <c r="P86" s="17">
        <v>44081</v>
      </c>
      <c r="Q86" s="14"/>
      <c r="R86" s="17"/>
      <c r="S86" s="17"/>
      <c r="T86" s="14" t="s">
        <v>1</v>
      </c>
      <c r="U86" s="14" t="s">
        <v>5135</v>
      </c>
      <c r="V86" s="14" t="s">
        <v>6051</v>
      </c>
      <c r="W86" s="14"/>
      <c r="X86" s="14" t="s">
        <v>6052</v>
      </c>
      <c r="Y86" s="14"/>
      <c r="Z86" s="14" t="s">
        <v>6053</v>
      </c>
      <c r="AA86" s="14"/>
      <c r="AB86" s="14" t="s">
        <v>3994</v>
      </c>
      <c r="AC86" s="14" t="s">
        <v>6054</v>
      </c>
      <c r="AD86" s="14" t="s">
        <v>6055</v>
      </c>
      <c r="AE86" s="14" t="s">
        <v>6056</v>
      </c>
      <c r="AF86" s="14" t="s">
        <v>6057</v>
      </c>
      <c r="AG86" s="14" t="s">
        <v>6058</v>
      </c>
      <c r="AH86" s="18"/>
      <c r="AI86" s="16">
        <v>204300</v>
      </c>
      <c r="AJ86" s="17">
        <v>43465</v>
      </c>
      <c r="AK86" s="15" t="s">
        <v>3123</v>
      </c>
      <c r="AL86" s="17"/>
      <c r="AM86" s="16"/>
      <c r="AN86" s="14"/>
      <c r="AO86" s="14"/>
      <c r="AP86" s="15" t="s">
        <v>3123</v>
      </c>
      <c r="AQ86" s="14"/>
      <c r="AR86" s="17"/>
      <c r="AS86" s="16"/>
      <c r="AT86" s="14"/>
      <c r="AU86" s="15" t="s">
        <v>3123</v>
      </c>
      <c r="AV86" s="14"/>
      <c r="AW86" s="17"/>
      <c r="AX86" s="16"/>
      <c r="AY86" s="16"/>
      <c r="AZ86" s="16"/>
      <c r="BA86" s="16"/>
      <c r="BB86" s="15" t="s">
        <v>3123</v>
      </c>
      <c r="BC86" s="17"/>
      <c r="BD86" s="14"/>
      <c r="BE86" s="14"/>
      <c r="BF86" s="16"/>
      <c r="BG86" s="16"/>
      <c r="BH86" s="13"/>
      <c r="BI86" s="18" t="s">
        <v>6059</v>
      </c>
      <c r="BJ86" s="13">
        <v>200</v>
      </c>
      <c r="BK86" s="17">
        <v>44130</v>
      </c>
      <c r="BL86" s="18" t="s">
        <v>6060</v>
      </c>
      <c r="BM86" s="18"/>
      <c r="BN86" s="18"/>
      <c r="BO86" s="18"/>
      <c r="BP86" s="14" t="s">
        <v>6061</v>
      </c>
      <c r="BQ86" s="17">
        <v>43369</v>
      </c>
      <c r="BR86" s="16">
        <v>-23400</v>
      </c>
      <c r="BS86" s="17">
        <v>43465</v>
      </c>
      <c r="BT86" s="16">
        <v>-29200</v>
      </c>
      <c r="BU86" s="17">
        <v>43465</v>
      </c>
      <c r="BV86" s="16">
        <v>6000000</v>
      </c>
      <c r="BW86" s="17">
        <v>43726</v>
      </c>
      <c r="BX86" s="16">
        <v>40</v>
      </c>
      <c r="BY86" s="17">
        <v>44012</v>
      </c>
      <c r="BZ86" s="19">
        <v>42.608789553348082</v>
      </c>
      <c r="CA86" s="19"/>
      <c r="CB86" s="17"/>
      <c r="CC86" s="14" t="s">
        <v>6062</v>
      </c>
      <c r="CD86" s="14" t="s">
        <v>6063</v>
      </c>
      <c r="CE86" s="14" t="s">
        <v>5521</v>
      </c>
    </row>
    <row r="87" spans="1:83" ht="26.15" customHeight="1">
      <c r="A87" s="13">
        <v>81</v>
      </c>
      <c r="B87" s="14" t="s">
        <v>1932</v>
      </c>
      <c r="C87" s="14" t="s">
        <v>1933</v>
      </c>
      <c r="D87" s="14" t="s">
        <v>1934</v>
      </c>
      <c r="E87" s="13">
        <v>2017</v>
      </c>
      <c r="F87" s="14" t="s">
        <v>6064</v>
      </c>
      <c r="G87" s="14" t="s">
        <v>6065</v>
      </c>
      <c r="H87" s="14" t="s">
        <v>2057</v>
      </c>
      <c r="I87" s="15" t="s">
        <v>3117</v>
      </c>
      <c r="J87" s="16">
        <v>755029</v>
      </c>
      <c r="K87" s="17">
        <v>43040</v>
      </c>
      <c r="L87" s="16" t="s">
        <v>6066</v>
      </c>
      <c r="M87" s="16">
        <v>755029</v>
      </c>
      <c r="N87" s="14" t="s">
        <v>34</v>
      </c>
      <c r="O87" s="13">
        <v>2</v>
      </c>
      <c r="P87" s="17">
        <v>43980</v>
      </c>
      <c r="Q87" s="14"/>
      <c r="R87" s="17"/>
      <c r="S87" s="17"/>
      <c r="T87" s="14" t="s">
        <v>1</v>
      </c>
      <c r="U87" s="14" t="s">
        <v>5007</v>
      </c>
      <c r="V87" s="14" t="s">
        <v>6067</v>
      </c>
      <c r="W87" s="14"/>
      <c r="X87" s="14"/>
      <c r="Y87" s="14"/>
      <c r="Z87" s="14" t="s">
        <v>6068</v>
      </c>
      <c r="AA87" s="14"/>
      <c r="AB87" s="14" t="s">
        <v>2057</v>
      </c>
      <c r="AC87" s="14" t="s">
        <v>6069</v>
      </c>
      <c r="AD87" s="14" t="s">
        <v>6070</v>
      </c>
      <c r="AE87" s="14"/>
      <c r="AF87" s="14"/>
      <c r="AG87" s="14"/>
      <c r="AH87" s="18"/>
      <c r="AI87" s="16"/>
      <c r="AJ87" s="17"/>
      <c r="AK87" s="15" t="s">
        <v>3123</v>
      </c>
      <c r="AL87" s="17"/>
      <c r="AM87" s="16"/>
      <c r="AN87" s="14"/>
      <c r="AO87" s="14"/>
      <c r="AP87" s="15" t="s">
        <v>3123</v>
      </c>
      <c r="AQ87" s="14"/>
      <c r="AR87" s="17"/>
      <c r="AS87" s="16"/>
      <c r="AT87" s="14"/>
      <c r="AU87" s="15" t="s">
        <v>3123</v>
      </c>
      <c r="AV87" s="14"/>
      <c r="AW87" s="17"/>
      <c r="AX87" s="16"/>
      <c r="AY87" s="16"/>
      <c r="AZ87" s="16"/>
      <c r="BA87" s="16"/>
      <c r="BB87" s="15" t="s">
        <v>3123</v>
      </c>
      <c r="BC87" s="17"/>
      <c r="BD87" s="14"/>
      <c r="BE87" s="14"/>
      <c r="BF87" s="16"/>
      <c r="BG87" s="16"/>
      <c r="BH87" s="13"/>
      <c r="BI87" s="18" t="s">
        <v>6071</v>
      </c>
      <c r="BJ87" s="13">
        <v>200</v>
      </c>
      <c r="BK87" s="17">
        <v>44112</v>
      </c>
      <c r="BL87" s="18"/>
      <c r="BM87" s="18"/>
      <c r="BN87" s="18"/>
      <c r="BO87" s="18"/>
      <c r="BP87" s="14" t="s">
        <v>6072</v>
      </c>
      <c r="BQ87" s="17">
        <v>43265</v>
      </c>
      <c r="BR87" s="16"/>
      <c r="BS87" s="17"/>
      <c r="BT87" s="16"/>
      <c r="BU87" s="17"/>
      <c r="BV87" s="16"/>
      <c r="BW87" s="17"/>
      <c r="BX87" s="16"/>
      <c r="BY87" s="17"/>
      <c r="BZ87" s="19">
        <v>12.057970290662558</v>
      </c>
      <c r="CA87" s="19"/>
      <c r="CB87" s="17"/>
      <c r="CC87" s="14" t="s">
        <v>5345</v>
      </c>
      <c r="CD87" s="14" t="s">
        <v>6073</v>
      </c>
      <c r="CE87" s="14" t="s">
        <v>6074</v>
      </c>
    </row>
    <row r="88" spans="1:83" ht="26.15" customHeight="1">
      <c r="A88" s="13">
        <v>82</v>
      </c>
      <c r="B88" s="14" t="s">
        <v>1231</v>
      </c>
      <c r="C88" s="14" t="s">
        <v>1232</v>
      </c>
      <c r="D88" s="14" t="s">
        <v>1233</v>
      </c>
      <c r="E88" s="13">
        <v>2017</v>
      </c>
      <c r="F88" s="14" t="s">
        <v>5312</v>
      </c>
      <c r="G88" s="14" t="s">
        <v>5313</v>
      </c>
      <c r="H88" s="14" t="s">
        <v>3994</v>
      </c>
      <c r="I88" s="15" t="s">
        <v>3117</v>
      </c>
      <c r="J88" s="16"/>
      <c r="K88" s="17">
        <v>43487</v>
      </c>
      <c r="L88" s="16"/>
      <c r="M88" s="16" t="s">
        <v>50</v>
      </c>
      <c r="N88" s="14" t="s">
        <v>34</v>
      </c>
      <c r="O88" s="13">
        <v>4</v>
      </c>
      <c r="P88" s="17">
        <v>44098</v>
      </c>
      <c r="Q88" s="14"/>
      <c r="R88" s="17"/>
      <c r="S88" s="17"/>
      <c r="T88" s="14" t="s">
        <v>6075</v>
      </c>
      <c r="U88" s="14" t="s">
        <v>6076</v>
      </c>
      <c r="V88" s="14" t="s">
        <v>6077</v>
      </c>
      <c r="W88" s="14"/>
      <c r="X88" s="14" t="s">
        <v>6078</v>
      </c>
      <c r="Y88" s="14"/>
      <c r="Z88" s="14" t="s">
        <v>6079</v>
      </c>
      <c r="AA88" s="14"/>
      <c r="AB88" s="14" t="s">
        <v>3994</v>
      </c>
      <c r="AC88" s="14" t="s">
        <v>6080</v>
      </c>
      <c r="AD88" s="14"/>
      <c r="AE88" s="14" t="s">
        <v>6081</v>
      </c>
      <c r="AF88" s="14" t="s">
        <v>6082</v>
      </c>
      <c r="AG88" s="14" t="s">
        <v>6083</v>
      </c>
      <c r="AH88" s="18"/>
      <c r="AI88" s="16"/>
      <c r="AJ88" s="17"/>
      <c r="AK88" s="15" t="s">
        <v>3123</v>
      </c>
      <c r="AL88" s="17"/>
      <c r="AM88" s="16"/>
      <c r="AN88" s="14"/>
      <c r="AO88" s="14"/>
      <c r="AP88" s="15" t="s">
        <v>3123</v>
      </c>
      <c r="AQ88" s="14"/>
      <c r="AR88" s="17"/>
      <c r="AS88" s="16"/>
      <c r="AT88" s="14"/>
      <c r="AU88" s="15" t="s">
        <v>3123</v>
      </c>
      <c r="AV88" s="14"/>
      <c r="AW88" s="17"/>
      <c r="AX88" s="16"/>
      <c r="AY88" s="16"/>
      <c r="AZ88" s="16"/>
      <c r="BA88" s="16"/>
      <c r="BB88" s="15" t="s">
        <v>3123</v>
      </c>
      <c r="BC88" s="17"/>
      <c r="BD88" s="14"/>
      <c r="BE88" s="14"/>
      <c r="BF88" s="16"/>
      <c r="BG88" s="16"/>
      <c r="BH88" s="13"/>
      <c r="BI88" s="18" t="s">
        <v>6084</v>
      </c>
      <c r="BJ88" s="13">
        <v>200</v>
      </c>
      <c r="BK88" s="17">
        <v>44130</v>
      </c>
      <c r="BL88" s="18" t="s">
        <v>6085</v>
      </c>
      <c r="BM88" s="18" t="s">
        <v>6086</v>
      </c>
      <c r="BN88" s="18"/>
      <c r="BO88" s="18" t="s">
        <v>6087</v>
      </c>
      <c r="BP88" s="14" t="s">
        <v>6088</v>
      </c>
      <c r="BQ88" s="17">
        <v>43853</v>
      </c>
      <c r="BR88" s="16"/>
      <c r="BS88" s="17"/>
      <c r="BT88" s="16"/>
      <c r="BU88" s="17"/>
      <c r="BV88" s="16"/>
      <c r="BW88" s="17"/>
      <c r="BX88" s="16"/>
      <c r="BY88" s="17"/>
      <c r="BZ88" s="19">
        <v>42.707113751399568</v>
      </c>
      <c r="CA88" s="19"/>
      <c r="CB88" s="17"/>
      <c r="CC88" s="14" t="s">
        <v>6089</v>
      </c>
      <c r="CD88" s="14" t="s">
        <v>6090</v>
      </c>
      <c r="CE88" s="14" t="s">
        <v>5004</v>
      </c>
    </row>
    <row r="89" spans="1:83" ht="26.15" customHeight="1">
      <c r="A89" s="13">
        <v>83</v>
      </c>
      <c r="B89" s="14" t="s">
        <v>308</v>
      </c>
      <c r="C89" s="14" t="s">
        <v>309</v>
      </c>
      <c r="D89" s="14" t="s">
        <v>314</v>
      </c>
      <c r="E89" s="13">
        <v>2017</v>
      </c>
      <c r="F89" s="14" t="s">
        <v>5312</v>
      </c>
      <c r="G89" s="14" t="s">
        <v>5313</v>
      </c>
      <c r="H89" s="14" t="s">
        <v>3994</v>
      </c>
      <c r="I89" s="15" t="s">
        <v>3117</v>
      </c>
      <c r="J89" s="16">
        <v>6014060</v>
      </c>
      <c r="K89" s="17">
        <v>43998</v>
      </c>
      <c r="L89" s="16" t="s">
        <v>5456</v>
      </c>
      <c r="M89" s="16">
        <v>3958160</v>
      </c>
      <c r="N89" s="14" t="s">
        <v>34</v>
      </c>
      <c r="O89" s="13">
        <v>4</v>
      </c>
      <c r="P89" s="17">
        <v>44098</v>
      </c>
      <c r="Q89" s="14" t="s">
        <v>5052</v>
      </c>
      <c r="R89" s="17">
        <v>44004</v>
      </c>
      <c r="S89" s="17">
        <v>43998</v>
      </c>
      <c r="T89" s="14" t="s">
        <v>5426</v>
      </c>
      <c r="U89" s="14" t="s">
        <v>6018</v>
      </c>
      <c r="V89" s="14" t="s">
        <v>6091</v>
      </c>
      <c r="W89" s="14"/>
      <c r="X89" s="14" t="s">
        <v>6092</v>
      </c>
      <c r="Y89" s="14" t="s">
        <v>6093</v>
      </c>
      <c r="Z89" s="14" t="s">
        <v>6094</v>
      </c>
      <c r="AA89" s="14"/>
      <c r="AB89" s="14" t="s">
        <v>3994</v>
      </c>
      <c r="AC89" s="14" t="s">
        <v>6095</v>
      </c>
      <c r="AD89" s="14" t="s">
        <v>6096</v>
      </c>
      <c r="AE89" s="14" t="s">
        <v>6097</v>
      </c>
      <c r="AF89" s="14" t="s">
        <v>6098</v>
      </c>
      <c r="AG89" s="14" t="s">
        <v>6099</v>
      </c>
      <c r="AH89" s="18"/>
      <c r="AI89" s="16">
        <v>97900</v>
      </c>
      <c r="AJ89" s="17">
        <v>43465</v>
      </c>
      <c r="AK89" s="15" t="s">
        <v>3117</v>
      </c>
      <c r="AL89" s="17">
        <v>42989</v>
      </c>
      <c r="AM89" s="16">
        <v>1561</v>
      </c>
      <c r="AN89" s="14" t="s">
        <v>6100</v>
      </c>
      <c r="AO89" s="14"/>
      <c r="AP89" s="15" t="s">
        <v>3123</v>
      </c>
      <c r="AQ89" s="14"/>
      <c r="AR89" s="17"/>
      <c r="AS89" s="16"/>
      <c r="AT89" s="14"/>
      <c r="AU89" s="15" t="s">
        <v>3123</v>
      </c>
      <c r="AV89" s="14"/>
      <c r="AW89" s="17"/>
      <c r="AX89" s="16"/>
      <c r="AY89" s="16"/>
      <c r="AZ89" s="16"/>
      <c r="BA89" s="16"/>
      <c r="BB89" s="15" t="s">
        <v>3123</v>
      </c>
      <c r="BC89" s="17"/>
      <c r="BD89" s="14"/>
      <c r="BE89" s="14"/>
      <c r="BF89" s="16"/>
      <c r="BG89" s="16"/>
      <c r="BH89" s="13"/>
      <c r="BI89" s="18" t="s">
        <v>6101</v>
      </c>
      <c r="BJ89" s="13">
        <v>200</v>
      </c>
      <c r="BK89" s="17">
        <v>44130</v>
      </c>
      <c r="BL89" s="18" t="s">
        <v>6102</v>
      </c>
      <c r="BM89" s="18"/>
      <c r="BN89" s="18"/>
      <c r="BO89" s="18"/>
      <c r="BP89" s="14" t="s">
        <v>6103</v>
      </c>
      <c r="BQ89" s="17">
        <v>43388</v>
      </c>
      <c r="BR89" s="16">
        <v>-39800</v>
      </c>
      <c r="BS89" s="17">
        <v>43465</v>
      </c>
      <c r="BT89" s="16">
        <v>-29000</v>
      </c>
      <c r="BU89" s="17">
        <v>43465</v>
      </c>
      <c r="BV89" s="16">
        <v>20000000</v>
      </c>
      <c r="BW89" s="17">
        <v>44049</v>
      </c>
      <c r="BX89" s="16">
        <v>64</v>
      </c>
      <c r="BY89" s="17">
        <v>44012</v>
      </c>
      <c r="BZ89" s="19">
        <v>46.141938674910989</v>
      </c>
      <c r="CA89" s="19"/>
      <c r="CB89" s="17"/>
      <c r="CC89" s="14" t="s">
        <v>6033</v>
      </c>
      <c r="CD89" s="14" t="s">
        <v>6104</v>
      </c>
      <c r="CE89" s="14" t="s">
        <v>5004</v>
      </c>
    </row>
    <row r="90" spans="1:83" ht="26.15" customHeight="1">
      <c r="A90" s="13">
        <v>84</v>
      </c>
      <c r="B90" s="14" t="s">
        <v>783</v>
      </c>
      <c r="C90" s="14" t="s">
        <v>784</v>
      </c>
      <c r="D90" s="14" t="s">
        <v>788</v>
      </c>
      <c r="E90" s="13">
        <v>2016</v>
      </c>
      <c r="F90" s="14" t="s">
        <v>6105</v>
      </c>
      <c r="G90" s="14" t="s">
        <v>5804</v>
      </c>
      <c r="H90" s="14" t="s">
        <v>5208</v>
      </c>
      <c r="I90" s="15" t="s">
        <v>3117</v>
      </c>
      <c r="J90" s="16">
        <v>736306</v>
      </c>
      <c r="K90" s="17">
        <v>43740</v>
      </c>
      <c r="L90" s="16" t="s">
        <v>6106</v>
      </c>
      <c r="M90" s="16">
        <v>480306</v>
      </c>
      <c r="N90" s="14" t="s">
        <v>34</v>
      </c>
      <c r="O90" s="13">
        <v>3</v>
      </c>
      <c r="P90" s="17">
        <v>43986</v>
      </c>
      <c r="Q90" s="14"/>
      <c r="R90" s="17"/>
      <c r="S90" s="17"/>
      <c r="T90" s="14" t="s">
        <v>5253</v>
      </c>
      <c r="U90" s="14" t="s">
        <v>6107</v>
      </c>
      <c r="V90" s="14" t="s">
        <v>6108</v>
      </c>
      <c r="W90" s="14"/>
      <c r="X90" s="14" t="s">
        <v>6109</v>
      </c>
      <c r="Y90" s="14"/>
      <c r="Z90" s="14" t="s">
        <v>6110</v>
      </c>
      <c r="AA90" s="14"/>
      <c r="AB90" s="14" t="s">
        <v>5208</v>
      </c>
      <c r="AC90" s="14" t="s">
        <v>6111</v>
      </c>
      <c r="AD90" s="14" t="s">
        <v>6112</v>
      </c>
      <c r="AE90" s="14" t="s">
        <v>6113</v>
      </c>
      <c r="AF90" s="14" t="s">
        <v>6114</v>
      </c>
      <c r="AG90" s="14" t="s">
        <v>6115</v>
      </c>
      <c r="AH90" s="18"/>
      <c r="AI90" s="16"/>
      <c r="AJ90" s="17"/>
      <c r="AK90" s="15" t="s">
        <v>3123</v>
      </c>
      <c r="AL90" s="17"/>
      <c r="AM90" s="16"/>
      <c r="AN90" s="14"/>
      <c r="AO90" s="14"/>
      <c r="AP90" s="15" t="s">
        <v>3123</v>
      </c>
      <c r="AQ90" s="14"/>
      <c r="AR90" s="17"/>
      <c r="AS90" s="16"/>
      <c r="AT90" s="14"/>
      <c r="AU90" s="15" t="s">
        <v>3123</v>
      </c>
      <c r="AV90" s="14"/>
      <c r="AW90" s="17"/>
      <c r="AX90" s="16"/>
      <c r="AY90" s="16"/>
      <c r="AZ90" s="16"/>
      <c r="BA90" s="16"/>
      <c r="BB90" s="15" t="s">
        <v>3123</v>
      </c>
      <c r="BC90" s="17"/>
      <c r="BD90" s="14"/>
      <c r="BE90" s="14"/>
      <c r="BF90" s="16"/>
      <c r="BG90" s="16"/>
      <c r="BH90" s="13"/>
      <c r="BI90" s="18" t="s">
        <v>6116</v>
      </c>
      <c r="BJ90" s="13">
        <v>200</v>
      </c>
      <c r="BK90" s="17">
        <v>44130</v>
      </c>
      <c r="BL90" s="18" t="s">
        <v>6117</v>
      </c>
      <c r="BM90" s="18"/>
      <c r="BN90" s="18"/>
      <c r="BO90" s="18"/>
      <c r="BP90" s="14" t="s">
        <v>6118</v>
      </c>
      <c r="BQ90" s="17">
        <v>43251</v>
      </c>
      <c r="BR90" s="16"/>
      <c r="BS90" s="17"/>
      <c r="BT90" s="16"/>
      <c r="BU90" s="17"/>
      <c r="BV90" s="16"/>
      <c r="BW90" s="17"/>
      <c r="BX90" s="16"/>
      <c r="BY90" s="17"/>
      <c r="BZ90" s="19">
        <v>26.074065839071839</v>
      </c>
      <c r="CA90" s="19"/>
      <c r="CB90" s="17"/>
      <c r="CC90" s="14" t="s">
        <v>6119</v>
      </c>
      <c r="CD90" s="14" t="s">
        <v>6120</v>
      </c>
      <c r="CE90" s="14" t="s">
        <v>5311</v>
      </c>
    </row>
    <row r="91" spans="1:83" ht="26.15" customHeight="1">
      <c r="A91" s="13">
        <v>85</v>
      </c>
      <c r="B91" s="14" t="s">
        <v>910</v>
      </c>
      <c r="C91" s="14" t="s">
        <v>911</v>
      </c>
      <c r="D91" s="14" t="s">
        <v>912</v>
      </c>
      <c r="E91" s="13">
        <v>2017</v>
      </c>
      <c r="F91" s="14" t="s">
        <v>5038</v>
      </c>
      <c r="G91" s="14" t="s">
        <v>5039</v>
      </c>
      <c r="H91" s="14" t="s">
        <v>3994</v>
      </c>
      <c r="I91" s="15" t="s">
        <v>3117</v>
      </c>
      <c r="J91" s="16"/>
      <c r="K91" s="17">
        <v>43678</v>
      </c>
      <c r="L91" s="16"/>
      <c r="M91" s="16" t="s">
        <v>50</v>
      </c>
      <c r="N91" s="14" t="s">
        <v>5040</v>
      </c>
      <c r="O91" s="13">
        <v>3</v>
      </c>
      <c r="P91" s="17">
        <v>44001</v>
      </c>
      <c r="Q91" s="14"/>
      <c r="R91" s="17"/>
      <c r="S91" s="17"/>
      <c r="T91" s="14" t="s">
        <v>1</v>
      </c>
      <c r="U91" s="14" t="s">
        <v>5007</v>
      </c>
      <c r="V91" s="14" t="s">
        <v>5336</v>
      </c>
      <c r="W91" s="14"/>
      <c r="X91" s="14" t="s">
        <v>3639</v>
      </c>
      <c r="Y91" s="14"/>
      <c r="Z91" s="14" t="s">
        <v>6121</v>
      </c>
      <c r="AA91" s="14"/>
      <c r="AB91" s="14" t="s">
        <v>3994</v>
      </c>
      <c r="AC91" s="14" t="s">
        <v>6122</v>
      </c>
      <c r="AD91" s="14" t="s">
        <v>6123</v>
      </c>
      <c r="AE91" s="14" t="s">
        <v>6124</v>
      </c>
      <c r="AF91" s="14" t="s">
        <v>6125</v>
      </c>
      <c r="AG91" s="14" t="s">
        <v>6126</v>
      </c>
      <c r="AH91" s="18"/>
      <c r="AI91" s="16"/>
      <c r="AJ91" s="17"/>
      <c r="AK91" s="15" t="s">
        <v>3123</v>
      </c>
      <c r="AL91" s="17"/>
      <c r="AM91" s="16"/>
      <c r="AN91" s="14"/>
      <c r="AO91" s="14"/>
      <c r="AP91" s="15" t="s">
        <v>3123</v>
      </c>
      <c r="AQ91" s="14"/>
      <c r="AR91" s="17"/>
      <c r="AS91" s="16"/>
      <c r="AT91" s="14"/>
      <c r="AU91" s="15" t="s">
        <v>3123</v>
      </c>
      <c r="AV91" s="14"/>
      <c r="AW91" s="17"/>
      <c r="AX91" s="16"/>
      <c r="AY91" s="16"/>
      <c r="AZ91" s="16"/>
      <c r="BA91" s="16"/>
      <c r="BB91" s="15" t="s">
        <v>3123</v>
      </c>
      <c r="BC91" s="17"/>
      <c r="BD91" s="14"/>
      <c r="BE91" s="14"/>
      <c r="BF91" s="16"/>
      <c r="BG91" s="16"/>
      <c r="BH91" s="13"/>
      <c r="BI91" s="18" t="s">
        <v>6127</v>
      </c>
      <c r="BJ91" s="13">
        <v>200</v>
      </c>
      <c r="BK91" s="17">
        <v>44130</v>
      </c>
      <c r="BL91" s="18"/>
      <c r="BM91" s="18"/>
      <c r="BN91" s="18"/>
      <c r="BO91" s="18"/>
      <c r="BP91" s="14" t="s">
        <v>6128</v>
      </c>
      <c r="BQ91" s="17">
        <v>43998</v>
      </c>
      <c r="BR91" s="16"/>
      <c r="BS91" s="17"/>
      <c r="BT91" s="16"/>
      <c r="BU91" s="17"/>
      <c r="BV91" s="16"/>
      <c r="BW91" s="17"/>
      <c r="BX91" s="16"/>
      <c r="BY91" s="17"/>
      <c r="BZ91" s="19">
        <v>15.189423959906966</v>
      </c>
      <c r="CA91" s="19"/>
      <c r="CB91" s="17"/>
      <c r="CC91" s="14" t="s">
        <v>5247</v>
      </c>
      <c r="CD91" s="14" t="s">
        <v>5753</v>
      </c>
      <c r="CE91" s="14" t="s">
        <v>5004</v>
      </c>
    </row>
    <row r="92" spans="1:83" ht="26.15" customHeight="1">
      <c r="A92" s="13">
        <v>86</v>
      </c>
      <c r="B92" s="14" t="s">
        <v>345</v>
      </c>
      <c r="C92" s="14" t="s">
        <v>346</v>
      </c>
      <c r="D92" s="14" t="s">
        <v>350</v>
      </c>
      <c r="E92" s="13">
        <v>2016</v>
      </c>
      <c r="F92" s="14" t="s">
        <v>6129</v>
      </c>
      <c r="G92" s="14" t="s">
        <v>6130</v>
      </c>
      <c r="H92" s="14" t="s">
        <v>5416</v>
      </c>
      <c r="I92" s="15" t="s">
        <v>3117</v>
      </c>
      <c r="J92" s="16">
        <v>8500000</v>
      </c>
      <c r="K92" s="17">
        <v>43978</v>
      </c>
      <c r="L92" s="16"/>
      <c r="M92" s="16" t="s">
        <v>50</v>
      </c>
      <c r="N92" s="14" t="s">
        <v>109</v>
      </c>
      <c r="O92" s="13">
        <v>4</v>
      </c>
      <c r="P92" s="17">
        <v>44029</v>
      </c>
      <c r="Q92" s="14"/>
      <c r="R92" s="17"/>
      <c r="S92" s="17"/>
      <c r="T92" s="14" t="s">
        <v>6131</v>
      </c>
      <c r="U92" s="14" t="s">
        <v>6132</v>
      </c>
      <c r="V92" s="14" t="s">
        <v>6133</v>
      </c>
      <c r="W92" s="14"/>
      <c r="X92" s="14" t="s">
        <v>6134</v>
      </c>
      <c r="Y92" s="14"/>
      <c r="Z92" s="14" t="s">
        <v>6135</v>
      </c>
      <c r="AA92" s="14"/>
      <c r="AB92" s="14" t="s">
        <v>5416</v>
      </c>
      <c r="AC92" s="14" t="s">
        <v>6136</v>
      </c>
      <c r="AD92" s="14" t="s">
        <v>6137</v>
      </c>
      <c r="AE92" s="14" t="s">
        <v>6138</v>
      </c>
      <c r="AF92" s="14" t="s">
        <v>6139</v>
      </c>
      <c r="AG92" s="14" t="s">
        <v>6140</v>
      </c>
      <c r="AH92" s="18"/>
      <c r="AI92" s="16"/>
      <c r="AJ92" s="17"/>
      <c r="AK92" s="15" t="s">
        <v>3123</v>
      </c>
      <c r="AL92" s="17"/>
      <c r="AM92" s="16"/>
      <c r="AN92" s="14"/>
      <c r="AO92" s="14"/>
      <c r="AP92" s="15" t="s">
        <v>3123</v>
      </c>
      <c r="AQ92" s="14"/>
      <c r="AR92" s="17"/>
      <c r="AS92" s="16"/>
      <c r="AT92" s="14"/>
      <c r="AU92" s="15" t="s">
        <v>3123</v>
      </c>
      <c r="AV92" s="14"/>
      <c r="AW92" s="17"/>
      <c r="AX92" s="16"/>
      <c r="AY92" s="16"/>
      <c r="AZ92" s="16"/>
      <c r="BA92" s="16"/>
      <c r="BB92" s="15" t="s">
        <v>3123</v>
      </c>
      <c r="BC92" s="17"/>
      <c r="BD92" s="14"/>
      <c r="BE92" s="14"/>
      <c r="BF92" s="16"/>
      <c r="BG92" s="16"/>
      <c r="BH92" s="13"/>
      <c r="BI92" s="18" t="s">
        <v>6141</v>
      </c>
      <c r="BJ92" s="13">
        <v>200</v>
      </c>
      <c r="BK92" s="17">
        <v>44130</v>
      </c>
      <c r="BL92" s="18" t="s">
        <v>6142</v>
      </c>
      <c r="BM92" s="18"/>
      <c r="BN92" s="18" t="s">
        <v>6143</v>
      </c>
      <c r="BO92" s="18"/>
      <c r="BP92" s="14" t="s">
        <v>6144</v>
      </c>
      <c r="BQ92" s="17">
        <v>43458</v>
      </c>
      <c r="BR92" s="16"/>
      <c r="BS92" s="17"/>
      <c r="BT92" s="16"/>
      <c r="BU92" s="17"/>
      <c r="BV92" s="16"/>
      <c r="BW92" s="17"/>
      <c r="BX92" s="16"/>
      <c r="BY92" s="17"/>
      <c r="BZ92" s="19">
        <v>36.887188507755347</v>
      </c>
      <c r="CA92" s="19"/>
      <c r="CB92" s="17"/>
      <c r="CC92" s="14" t="s">
        <v>5345</v>
      </c>
      <c r="CD92" s="14" t="s">
        <v>6145</v>
      </c>
      <c r="CE92" s="14" t="s">
        <v>5311</v>
      </c>
    </row>
    <row r="93" spans="1:83" ht="26.15" customHeight="1">
      <c r="A93" s="13">
        <v>87</v>
      </c>
      <c r="B93" s="14" t="s">
        <v>1225</v>
      </c>
      <c r="C93" s="14" t="s">
        <v>1226</v>
      </c>
      <c r="D93" s="14" t="s">
        <v>1229</v>
      </c>
      <c r="E93" s="13">
        <v>2017</v>
      </c>
      <c r="F93" s="14" t="s">
        <v>5312</v>
      </c>
      <c r="G93" s="14" t="s">
        <v>5313</v>
      </c>
      <c r="H93" s="14" t="s">
        <v>3994</v>
      </c>
      <c r="I93" s="15" t="s">
        <v>3117</v>
      </c>
      <c r="J93" s="16"/>
      <c r="K93" s="17">
        <v>43487</v>
      </c>
      <c r="L93" s="16"/>
      <c r="M93" s="16" t="s">
        <v>50</v>
      </c>
      <c r="N93" s="14" t="s">
        <v>34</v>
      </c>
      <c r="O93" s="13">
        <v>3</v>
      </c>
      <c r="P93" s="17">
        <v>43992</v>
      </c>
      <c r="Q93" s="14"/>
      <c r="R93" s="17"/>
      <c r="S93" s="17"/>
      <c r="T93" s="14" t="s">
        <v>1</v>
      </c>
      <c r="U93" s="14" t="s">
        <v>5007</v>
      </c>
      <c r="V93" s="14" t="s">
        <v>6146</v>
      </c>
      <c r="W93" s="14"/>
      <c r="X93" s="14" t="s">
        <v>1228</v>
      </c>
      <c r="Y93" s="14"/>
      <c r="Z93" s="14" t="s">
        <v>6147</v>
      </c>
      <c r="AA93" s="14"/>
      <c r="AB93" s="14" t="s">
        <v>3994</v>
      </c>
      <c r="AC93" s="14"/>
      <c r="AD93" s="14"/>
      <c r="AE93" s="14" t="s">
        <v>6148</v>
      </c>
      <c r="AF93" s="14" t="s">
        <v>6149</v>
      </c>
      <c r="AG93" s="14" t="s">
        <v>6150</v>
      </c>
      <c r="AH93" s="18"/>
      <c r="AI93" s="16"/>
      <c r="AJ93" s="17"/>
      <c r="AK93" s="15" t="s">
        <v>3123</v>
      </c>
      <c r="AL93" s="17"/>
      <c r="AM93" s="16"/>
      <c r="AN93" s="14"/>
      <c r="AO93" s="14"/>
      <c r="AP93" s="15" t="s">
        <v>3123</v>
      </c>
      <c r="AQ93" s="14"/>
      <c r="AR93" s="17"/>
      <c r="AS93" s="16"/>
      <c r="AT93" s="14"/>
      <c r="AU93" s="15" t="s">
        <v>3123</v>
      </c>
      <c r="AV93" s="14"/>
      <c r="AW93" s="17"/>
      <c r="AX93" s="16"/>
      <c r="AY93" s="16"/>
      <c r="AZ93" s="16"/>
      <c r="BA93" s="16"/>
      <c r="BB93" s="15" t="s">
        <v>3123</v>
      </c>
      <c r="BC93" s="17"/>
      <c r="BD93" s="14"/>
      <c r="BE93" s="14"/>
      <c r="BF93" s="16"/>
      <c r="BG93" s="16"/>
      <c r="BH93" s="13"/>
      <c r="BI93" s="18" t="s">
        <v>6151</v>
      </c>
      <c r="BJ93" s="13">
        <v>200</v>
      </c>
      <c r="BK93" s="17">
        <v>44130</v>
      </c>
      <c r="BL93" s="18" t="s">
        <v>6152</v>
      </c>
      <c r="BM93" s="18" t="s">
        <v>6153</v>
      </c>
      <c r="BN93" s="18"/>
      <c r="BO93" s="18"/>
      <c r="BP93" s="14" t="s">
        <v>6154</v>
      </c>
      <c r="BQ93" s="17">
        <v>43843</v>
      </c>
      <c r="BR93" s="16"/>
      <c r="BS93" s="17"/>
      <c r="BT93" s="16"/>
      <c r="BU93" s="17"/>
      <c r="BV93" s="16"/>
      <c r="BW93" s="17"/>
      <c r="BX93" s="16"/>
      <c r="BY93" s="17"/>
      <c r="BZ93" s="19">
        <v>24.310683819956139</v>
      </c>
      <c r="CA93" s="19"/>
      <c r="CB93" s="17"/>
      <c r="CC93" s="14" t="s">
        <v>6155</v>
      </c>
      <c r="CD93" s="14" t="s">
        <v>6156</v>
      </c>
      <c r="CE93" s="14" t="s">
        <v>5004</v>
      </c>
    </row>
    <row r="94" spans="1:83" ht="26.15" customHeight="1">
      <c r="A94" s="13">
        <v>88</v>
      </c>
      <c r="B94" s="14" t="s">
        <v>1891</v>
      </c>
      <c r="C94" s="14" t="s">
        <v>1892</v>
      </c>
      <c r="D94" s="14" t="s">
        <v>1893</v>
      </c>
      <c r="E94" s="13">
        <v>2016</v>
      </c>
      <c r="F94" s="14" t="s">
        <v>5038</v>
      </c>
      <c r="G94" s="14" t="s">
        <v>5039</v>
      </c>
      <c r="H94" s="14" t="s">
        <v>3994</v>
      </c>
      <c r="I94" s="15" t="s">
        <v>3117</v>
      </c>
      <c r="J94" s="16"/>
      <c r="K94" s="17">
        <v>43070</v>
      </c>
      <c r="L94" s="16"/>
      <c r="M94" s="16" t="s">
        <v>50</v>
      </c>
      <c r="N94" s="14" t="s">
        <v>5040</v>
      </c>
      <c r="O94" s="13">
        <v>4</v>
      </c>
      <c r="P94" s="17">
        <v>44098</v>
      </c>
      <c r="Q94" s="14"/>
      <c r="R94" s="17"/>
      <c r="S94" s="17"/>
      <c r="T94" s="14" t="s">
        <v>1</v>
      </c>
      <c r="U94" s="14" t="s">
        <v>5007</v>
      </c>
      <c r="V94" s="14" t="s">
        <v>6157</v>
      </c>
      <c r="W94" s="14"/>
      <c r="X94" s="14" t="s">
        <v>3639</v>
      </c>
      <c r="Y94" s="14"/>
      <c r="Z94" s="14" t="s">
        <v>6158</v>
      </c>
      <c r="AA94" s="14"/>
      <c r="AB94" s="14" t="s">
        <v>3994</v>
      </c>
      <c r="AC94" s="14" t="s">
        <v>6159</v>
      </c>
      <c r="AD94" s="14" t="s">
        <v>6160</v>
      </c>
      <c r="AE94" s="14" t="s">
        <v>6161</v>
      </c>
      <c r="AF94" s="14" t="s">
        <v>6162</v>
      </c>
      <c r="AG94" s="14" t="s">
        <v>6163</v>
      </c>
      <c r="AH94" s="18"/>
      <c r="AI94" s="16"/>
      <c r="AJ94" s="17"/>
      <c r="AK94" s="15" t="s">
        <v>3123</v>
      </c>
      <c r="AL94" s="17"/>
      <c r="AM94" s="16"/>
      <c r="AN94" s="14"/>
      <c r="AO94" s="14"/>
      <c r="AP94" s="15" t="s">
        <v>3123</v>
      </c>
      <c r="AQ94" s="14"/>
      <c r="AR94" s="17"/>
      <c r="AS94" s="16"/>
      <c r="AT94" s="14"/>
      <c r="AU94" s="15" t="s">
        <v>3123</v>
      </c>
      <c r="AV94" s="14"/>
      <c r="AW94" s="17"/>
      <c r="AX94" s="16"/>
      <c r="AY94" s="16"/>
      <c r="AZ94" s="16"/>
      <c r="BA94" s="16"/>
      <c r="BB94" s="15" t="s">
        <v>3123</v>
      </c>
      <c r="BC94" s="17"/>
      <c r="BD94" s="14"/>
      <c r="BE94" s="14"/>
      <c r="BF94" s="16"/>
      <c r="BG94" s="16"/>
      <c r="BH94" s="13"/>
      <c r="BI94" s="18" t="s">
        <v>6164</v>
      </c>
      <c r="BJ94" s="13">
        <v>200</v>
      </c>
      <c r="BK94" s="17">
        <v>44130</v>
      </c>
      <c r="BL94" s="18"/>
      <c r="BM94" s="18" t="s">
        <v>6165</v>
      </c>
      <c r="BN94" s="18" t="s">
        <v>6166</v>
      </c>
      <c r="BO94" s="18"/>
      <c r="BP94" s="14" t="s">
        <v>6167</v>
      </c>
      <c r="BQ94" s="17">
        <v>43335</v>
      </c>
      <c r="BR94" s="16"/>
      <c r="BS94" s="17"/>
      <c r="BT94" s="16"/>
      <c r="BU94" s="17"/>
      <c r="BV94" s="16"/>
      <c r="BW94" s="17"/>
      <c r="BX94" s="16"/>
      <c r="BY94" s="17"/>
      <c r="BZ94" s="19">
        <v>43.409970033362704</v>
      </c>
      <c r="CA94" s="19"/>
      <c r="CB94" s="17"/>
      <c r="CC94" s="14" t="s">
        <v>5002</v>
      </c>
      <c r="CD94" s="14" t="s">
        <v>6168</v>
      </c>
      <c r="CE94" s="14" t="s">
        <v>5521</v>
      </c>
    </row>
    <row r="95" spans="1:83" ht="26.15" customHeight="1">
      <c r="A95" s="13">
        <v>89</v>
      </c>
      <c r="B95" s="14" t="s">
        <v>1038</v>
      </c>
      <c r="C95" s="14" t="s">
        <v>1039</v>
      </c>
      <c r="D95" s="14" t="s">
        <v>1043</v>
      </c>
      <c r="E95" s="13">
        <v>2017</v>
      </c>
      <c r="F95" s="14" t="s">
        <v>6169</v>
      </c>
      <c r="G95" s="14" t="s">
        <v>6170</v>
      </c>
      <c r="H95" s="14" t="s">
        <v>6171</v>
      </c>
      <c r="I95" s="15" t="s">
        <v>3117</v>
      </c>
      <c r="J95" s="16"/>
      <c r="K95" s="17">
        <v>43591</v>
      </c>
      <c r="L95" s="16"/>
      <c r="M95" s="16" t="s">
        <v>50</v>
      </c>
      <c r="N95" s="14" t="s">
        <v>34</v>
      </c>
      <c r="O95" s="13">
        <v>4</v>
      </c>
      <c r="P95" s="17">
        <v>44057</v>
      </c>
      <c r="Q95" s="14"/>
      <c r="R95" s="17"/>
      <c r="S95" s="17"/>
      <c r="T95" s="14" t="s">
        <v>5041</v>
      </c>
      <c r="U95" s="14" t="s">
        <v>5042</v>
      </c>
      <c r="V95" s="14" t="s">
        <v>6172</v>
      </c>
      <c r="W95" s="14"/>
      <c r="X95" s="14" t="s">
        <v>1041</v>
      </c>
      <c r="Y95" s="14"/>
      <c r="Z95" s="14" t="s">
        <v>6173</v>
      </c>
      <c r="AA95" s="14"/>
      <c r="AB95" s="14" t="s">
        <v>6171</v>
      </c>
      <c r="AC95" s="14" t="s">
        <v>6174</v>
      </c>
      <c r="AD95" s="14"/>
      <c r="AE95" s="14" t="s">
        <v>6175</v>
      </c>
      <c r="AF95" s="14" t="s">
        <v>6176</v>
      </c>
      <c r="AG95" s="14" t="s">
        <v>6177</v>
      </c>
      <c r="AH95" s="18"/>
      <c r="AI95" s="16"/>
      <c r="AJ95" s="17"/>
      <c r="AK95" s="15" t="s">
        <v>3123</v>
      </c>
      <c r="AL95" s="17"/>
      <c r="AM95" s="16"/>
      <c r="AN95" s="14"/>
      <c r="AO95" s="14"/>
      <c r="AP95" s="15" t="s">
        <v>3123</v>
      </c>
      <c r="AQ95" s="14"/>
      <c r="AR95" s="17"/>
      <c r="AS95" s="16"/>
      <c r="AT95" s="14"/>
      <c r="AU95" s="15" t="s">
        <v>3123</v>
      </c>
      <c r="AV95" s="14"/>
      <c r="AW95" s="17"/>
      <c r="AX95" s="16"/>
      <c r="AY95" s="16"/>
      <c r="AZ95" s="16"/>
      <c r="BA95" s="16"/>
      <c r="BB95" s="15" t="s">
        <v>3123</v>
      </c>
      <c r="BC95" s="17"/>
      <c r="BD95" s="14"/>
      <c r="BE95" s="14"/>
      <c r="BF95" s="16"/>
      <c r="BG95" s="16"/>
      <c r="BH95" s="13"/>
      <c r="BI95" s="18" t="s">
        <v>6178</v>
      </c>
      <c r="BJ95" s="13">
        <v>200</v>
      </c>
      <c r="BK95" s="17">
        <v>44130</v>
      </c>
      <c r="BL95" s="18" t="s">
        <v>6179</v>
      </c>
      <c r="BM95" s="18"/>
      <c r="BN95" s="18"/>
      <c r="BO95" s="18"/>
      <c r="BP95" s="14" t="s">
        <v>6180</v>
      </c>
      <c r="BQ95" s="17">
        <v>43019</v>
      </c>
      <c r="BR95" s="16"/>
      <c r="BS95" s="17"/>
      <c r="BT95" s="16"/>
      <c r="BU95" s="17"/>
      <c r="BV95" s="16"/>
      <c r="BW95" s="17"/>
      <c r="BX95" s="16"/>
      <c r="BY95" s="17"/>
      <c r="BZ95" s="19">
        <v>25.614265267690701</v>
      </c>
      <c r="CA95" s="19"/>
      <c r="CB95" s="17"/>
      <c r="CC95" s="14" t="s">
        <v>6181</v>
      </c>
      <c r="CD95" s="14" t="s">
        <v>6182</v>
      </c>
      <c r="CE95" s="14" t="s">
        <v>5945</v>
      </c>
    </row>
    <row r="96" spans="1:83" ht="26.15" customHeight="1">
      <c r="A96" s="13">
        <v>90</v>
      </c>
      <c r="B96" s="14" t="s">
        <v>436</v>
      </c>
      <c r="C96" s="14" t="s">
        <v>437</v>
      </c>
      <c r="D96" s="14" t="s">
        <v>441</v>
      </c>
      <c r="E96" s="13">
        <v>2016</v>
      </c>
      <c r="F96" s="14" t="s">
        <v>6183</v>
      </c>
      <c r="G96" s="14" t="s">
        <v>6184</v>
      </c>
      <c r="H96" s="14" t="s">
        <v>5208</v>
      </c>
      <c r="I96" s="15" t="s">
        <v>3117</v>
      </c>
      <c r="J96" s="16">
        <v>194267</v>
      </c>
      <c r="K96" s="17">
        <v>43935</v>
      </c>
      <c r="L96" s="16" t="s">
        <v>6185</v>
      </c>
      <c r="M96" s="16">
        <v>194267</v>
      </c>
      <c r="N96" s="14" t="s">
        <v>34</v>
      </c>
      <c r="O96" s="13">
        <v>4</v>
      </c>
      <c r="P96" s="17">
        <v>43942</v>
      </c>
      <c r="Q96" s="14"/>
      <c r="R96" s="17"/>
      <c r="S96" s="17"/>
      <c r="T96" s="14" t="s">
        <v>1</v>
      </c>
      <c r="U96" s="14" t="s">
        <v>5007</v>
      </c>
      <c r="V96" s="14" t="s">
        <v>5053</v>
      </c>
      <c r="W96" s="14"/>
      <c r="X96" s="14" t="s">
        <v>439</v>
      </c>
      <c r="Y96" s="14"/>
      <c r="Z96" s="14"/>
      <c r="AA96" s="14"/>
      <c r="AB96" s="14" t="s">
        <v>5208</v>
      </c>
      <c r="AC96" s="14" t="s">
        <v>6186</v>
      </c>
      <c r="AD96" s="14"/>
      <c r="AE96" s="14" t="s">
        <v>6187</v>
      </c>
      <c r="AF96" s="14"/>
      <c r="AG96" s="14" t="s">
        <v>6188</v>
      </c>
      <c r="AH96" s="18"/>
      <c r="AI96" s="16"/>
      <c r="AJ96" s="17"/>
      <c r="AK96" s="15" t="s">
        <v>3123</v>
      </c>
      <c r="AL96" s="17"/>
      <c r="AM96" s="16"/>
      <c r="AN96" s="14"/>
      <c r="AO96" s="14"/>
      <c r="AP96" s="15" t="s">
        <v>3123</v>
      </c>
      <c r="AQ96" s="14"/>
      <c r="AR96" s="17"/>
      <c r="AS96" s="16"/>
      <c r="AT96" s="14"/>
      <c r="AU96" s="15" t="s">
        <v>3123</v>
      </c>
      <c r="AV96" s="14"/>
      <c r="AW96" s="17"/>
      <c r="AX96" s="16"/>
      <c r="AY96" s="16"/>
      <c r="AZ96" s="16"/>
      <c r="BA96" s="16"/>
      <c r="BB96" s="15" t="s">
        <v>3123</v>
      </c>
      <c r="BC96" s="17"/>
      <c r="BD96" s="14"/>
      <c r="BE96" s="14"/>
      <c r="BF96" s="16"/>
      <c r="BG96" s="16"/>
      <c r="BH96" s="13"/>
      <c r="BI96" s="18" t="s">
        <v>6189</v>
      </c>
      <c r="BJ96" s="13">
        <v>200</v>
      </c>
      <c r="BK96" s="17">
        <v>44130</v>
      </c>
      <c r="BL96" s="18" t="s">
        <v>6190</v>
      </c>
      <c r="BM96" s="18"/>
      <c r="BN96" s="18" t="s">
        <v>6191</v>
      </c>
      <c r="BO96" s="18" t="s">
        <v>6192</v>
      </c>
      <c r="BP96" s="14" t="s">
        <v>6193</v>
      </c>
      <c r="BQ96" s="17">
        <v>43937</v>
      </c>
      <c r="BR96" s="16"/>
      <c r="BS96" s="17"/>
      <c r="BT96" s="16"/>
      <c r="BU96" s="17"/>
      <c r="BV96" s="16"/>
      <c r="BW96" s="17"/>
      <c r="BX96" s="16"/>
      <c r="BY96" s="17"/>
      <c r="BZ96" s="19">
        <v>16.005506644443269</v>
      </c>
      <c r="CA96" s="19"/>
      <c r="CB96" s="17"/>
      <c r="CC96" s="14" t="s">
        <v>6194</v>
      </c>
      <c r="CD96" s="14" t="s">
        <v>6195</v>
      </c>
      <c r="CE96" s="14" t="s">
        <v>5004</v>
      </c>
    </row>
    <row r="97" spans="1:83" ht="26.15" customHeight="1">
      <c r="A97" s="13">
        <v>91</v>
      </c>
      <c r="B97" s="14" t="s">
        <v>1018</v>
      </c>
      <c r="C97" s="14" t="s">
        <v>1019</v>
      </c>
      <c r="D97" s="14" t="s">
        <v>1021</v>
      </c>
      <c r="E97" s="13">
        <v>2017</v>
      </c>
      <c r="F97" s="14" t="s">
        <v>5005</v>
      </c>
      <c r="G97" s="14" t="s">
        <v>5006</v>
      </c>
      <c r="H97" s="14" t="s">
        <v>3994</v>
      </c>
      <c r="I97" s="15" t="s">
        <v>3117</v>
      </c>
      <c r="J97" s="16"/>
      <c r="K97" s="17">
        <v>43602</v>
      </c>
      <c r="L97" s="16" t="s">
        <v>5896</v>
      </c>
      <c r="M97" s="16">
        <v>40000</v>
      </c>
      <c r="N97" s="14" t="s">
        <v>5040</v>
      </c>
      <c r="O97" s="13">
        <v>3</v>
      </c>
      <c r="P97" s="17">
        <v>44099</v>
      </c>
      <c r="Q97" s="14"/>
      <c r="R97" s="17"/>
      <c r="S97" s="17"/>
      <c r="T97" s="14" t="s">
        <v>6196</v>
      </c>
      <c r="U97" s="14" t="s">
        <v>6197</v>
      </c>
      <c r="V97" s="14" t="s">
        <v>6198</v>
      </c>
      <c r="W97" s="14"/>
      <c r="X97" s="14" t="s">
        <v>6199</v>
      </c>
      <c r="Y97" s="14"/>
      <c r="Z97" s="14" t="s">
        <v>6200</v>
      </c>
      <c r="AA97" s="14"/>
      <c r="AB97" s="14" t="s">
        <v>3994</v>
      </c>
      <c r="AC97" s="14" t="s">
        <v>6201</v>
      </c>
      <c r="AD97" s="14" t="s">
        <v>6202</v>
      </c>
      <c r="AE97" s="14" t="s">
        <v>6203</v>
      </c>
      <c r="AF97" s="14" t="s">
        <v>6204</v>
      </c>
      <c r="AG97" s="14" t="s">
        <v>6205</v>
      </c>
      <c r="AH97" s="18"/>
      <c r="AI97" s="16"/>
      <c r="AJ97" s="17"/>
      <c r="AK97" s="15" t="s">
        <v>3123</v>
      </c>
      <c r="AL97" s="17"/>
      <c r="AM97" s="16"/>
      <c r="AN97" s="14"/>
      <c r="AO97" s="14"/>
      <c r="AP97" s="15" t="s">
        <v>3123</v>
      </c>
      <c r="AQ97" s="14"/>
      <c r="AR97" s="17"/>
      <c r="AS97" s="16"/>
      <c r="AT97" s="14"/>
      <c r="AU97" s="15" t="s">
        <v>3123</v>
      </c>
      <c r="AV97" s="14"/>
      <c r="AW97" s="17"/>
      <c r="AX97" s="16"/>
      <c r="AY97" s="16"/>
      <c r="AZ97" s="16"/>
      <c r="BA97" s="16"/>
      <c r="BB97" s="15" t="s">
        <v>3123</v>
      </c>
      <c r="BC97" s="17"/>
      <c r="BD97" s="14"/>
      <c r="BE97" s="14"/>
      <c r="BF97" s="16"/>
      <c r="BG97" s="16"/>
      <c r="BH97" s="13"/>
      <c r="BI97" s="18" t="s">
        <v>6206</v>
      </c>
      <c r="BJ97" s="13">
        <v>200</v>
      </c>
      <c r="BK97" s="17">
        <v>44129</v>
      </c>
      <c r="BL97" s="18" t="s">
        <v>6207</v>
      </c>
      <c r="BM97" s="18" t="s">
        <v>6208</v>
      </c>
      <c r="BN97" s="18" t="s">
        <v>6209</v>
      </c>
      <c r="BO97" s="18"/>
      <c r="BP97" s="14" t="s">
        <v>6210</v>
      </c>
      <c r="BQ97" s="17">
        <v>43468</v>
      </c>
      <c r="BR97" s="16"/>
      <c r="BS97" s="17"/>
      <c r="BT97" s="16"/>
      <c r="BU97" s="17"/>
      <c r="BV97" s="16"/>
      <c r="BW97" s="17"/>
      <c r="BX97" s="16"/>
      <c r="BY97" s="17"/>
      <c r="BZ97" s="19">
        <v>38.968298324733979</v>
      </c>
      <c r="CA97" s="19"/>
      <c r="CB97" s="17"/>
      <c r="CC97" s="14" t="s">
        <v>5975</v>
      </c>
      <c r="CD97" s="14" t="s">
        <v>6090</v>
      </c>
      <c r="CE97" s="14" t="s">
        <v>5004</v>
      </c>
    </row>
    <row r="98" spans="1:83" ht="26.15" customHeight="1">
      <c r="A98" s="13">
        <v>92</v>
      </c>
      <c r="B98" s="14" t="s">
        <v>1161</v>
      </c>
      <c r="C98" s="14" t="s">
        <v>1162</v>
      </c>
      <c r="D98" s="14" t="s">
        <v>1166</v>
      </c>
      <c r="E98" s="13">
        <v>2017</v>
      </c>
      <c r="F98" s="14" t="s">
        <v>6211</v>
      </c>
      <c r="G98" s="14" t="s">
        <v>6212</v>
      </c>
      <c r="H98" s="14" t="s">
        <v>6213</v>
      </c>
      <c r="I98" s="15" t="s">
        <v>3117</v>
      </c>
      <c r="J98" s="16">
        <v>25000</v>
      </c>
      <c r="K98" s="17">
        <v>43544</v>
      </c>
      <c r="L98" s="16" t="s">
        <v>6017</v>
      </c>
      <c r="M98" s="16">
        <v>25000</v>
      </c>
      <c r="N98" s="14" t="s">
        <v>34</v>
      </c>
      <c r="O98" s="13">
        <v>4</v>
      </c>
      <c r="P98" s="17">
        <v>43977</v>
      </c>
      <c r="Q98" s="14"/>
      <c r="R98" s="17"/>
      <c r="S98" s="17"/>
      <c r="T98" s="14" t="s">
        <v>1</v>
      </c>
      <c r="U98" s="14" t="s">
        <v>5007</v>
      </c>
      <c r="V98" s="14" t="s">
        <v>5192</v>
      </c>
      <c r="W98" s="14"/>
      <c r="X98" s="14" t="s">
        <v>6214</v>
      </c>
      <c r="Y98" s="14"/>
      <c r="Z98" s="14" t="s">
        <v>6215</v>
      </c>
      <c r="AA98" s="14"/>
      <c r="AB98" s="14" t="s">
        <v>6213</v>
      </c>
      <c r="AC98" s="14" t="s">
        <v>6216</v>
      </c>
      <c r="AD98" s="14" t="s">
        <v>6217</v>
      </c>
      <c r="AE98" s="14" t="s">
        <v>6218</v>
      </c>
      <c r="AF98" s="14"/>
      <c r="AG98" s="14" t="s">
        <v>6219</v>
      </c>
      <c r="AH98" s="18"/>
      <c r="AI98" s="16"/>
      <c r="AJ98" s="17"/>
      <c r="AK98" s="15" t="s">
        <v>3123</v>
      </c>
      <c r="AL98" s="17"/>
      <c r="AM98" s="16"/>
      <c r="AN98" s="14"/>
      <c r="AO98" s="14"/>
      <c r="AP98" s="15" t="s">
        <v>3123</v>
      </c>
      <c r="AQ98" s="14"/>
      <c r="AR98" s="17"/>
      <c r="AS98" s="16"/>
      <c r="AT98" s="14"/>
      <c r="AU98" s="15" t="s">
        <v>3123</v>
      </c>
      <c r="AV98" s="14"/>
      <c r="AW98" s="17"/>
      <c r="AX98" s="16"/>
      <c r="AY98" s="16"/>
      <c r="AZ98" s="16"/>
      <c r="BA98" s="16"/>
      <c r="BB98" s="15" t="s">
        <v>3123</v>
      </c>
      <c r="BC98" s="17"/>
      <c r="BD98" s="14"/>
      <c r="BE98" s="14"/>
      <c r="BF98" s="16"/>
      <c r="BG98" s="16"/>
      <c r="BH98" s="13"/>
      <c r="BI98" s="18" t="s">
        <v>6220</v>
      </c>
      <c r="BJ98" s="13">
        <v>200</v>
      </c>
      <c r="BK98" s="17">
        <v>44129</v>
      </c>
      <c r="BL98" s="18" t="s">
        <v>6221</v>
      </c>
      <c r="BM98" s="18" t="s">
        <v>6222</v>
      </c>
      <c r="BN98" s="18" t="s">
        <v>6223</v>
      </c>
      <c r="BO98" s="18"/>
      <c r="BP98" s="14" t="s">
        <v>6224</v>
      </c>
      <c r="BQ98" s="17">
        <v>43965</v>
      </c>
      <c r="BR98" s="16"/>
      <c r="BS98" s="17"/>
      <c r="BT98" s="16"/>
      <c r="BU98" s="17"/>
      <c r="BV98" s="16"/>
      <c r="BW98" s="17"/>
      <c r="BX98" s="16"/>
      <c r="BY98" s="17"/>
      <c r="BZ98" s="19">
        <v>31.84707104481252</v>
      </c>
      <c r="CA98" s="19"/>
      <c r="CB98" s="17"/>
      <c r="CC98" s="14" t="s">
        <v>6225</v>
      </c>
      <c r="CD98" s="14" t="s">
        <v>6226</v>
      </c>
      <c r="CE98" s="14" t="s">
        <v>5004</v>
      </c>
    </row>
    <row r="99" spans="1:83" ht="26.15" customHeight="1">
      <c r="A99" s="13">
        <v>93</v>
      </c>
      <c r="B99" s="14" t="s">
        <v>1631</v>
      </c>
      <c r="C99" s="14" t="s">
        <v>1632</v>
      </c>
      <c r="D99" s="14" t="s">
        <v>1633</v>
      </c>
      <c r="E99" s="13">
        <v>2016</v>
      </c>
      <c r="F99" s="14" t="s">
        <v>6227</v>
      </c>
      <c r="G99" s="14" t="s">
        <v>6228</v>
      </c>
      <c r="H99" s="14" t="s">
        <v>3994</v>
      </c>
      <c r="I99" s="15" t="s">
        <v>3117</v>
      </c>
      <c r="J99" s="16">
        <v>294730</v>
      </c>
      <c r="K99" s="17">
        <v>43250</v>
      </c>
      <c r="L99" s="16" t="s">
        <v>6229</v>
      </c>
      <c r="M99" s="16">
        <v>294730</v>
      </c>
      <c r="N99" s="14" t="s">
        <v>34</v>
      </c>
      <c r="O99" s="13">
        <v>4</v>
      </c>
      <c r="P99" s="17">
        <v>44098</v>
      </c>
      <c r="Q99" s="14"/>
      <c r="R99" s="17"/>
      <c r="S99" s="17"/>
      <c r="T99" s="14" t="s">
        <v>1</v>
      </c>
      <c r="U99" s="14" t="s">
        <v>5007</v>
      </c>
      <c r="V99" s="14" t="s">
        <v>6230</v>
      </c>
      <c r="W99" s="14"/>
      <c r="X99" s="14"/>
      <c r="Y99" s="14"/>
      <c r="Z99" s="14" t="s">
        <v>6231</v>
      </c>
      <c r="AA99" s="14"/>
      <c r="AB99" s="14" t="s">
        <v>3994</v>
      </c>
      <c r="AC99" s="14" t="s">
        <v>6232</v>
      </c>
      <c r="AD99" s="14" t="s">
        <v>6233</v>
      </c>
      <c r="AE99" s="14" t="s">
        <v>6234</v>
      </c>
      <c r="AF99" s="14" t="s">
        <v>6235</v>
      </c>
      <c r="AG99" s="14" t="s">
        <v>6236</v>
      </c>
      <c r="AH99" s="18"/>
      <c r="AI99" s="16">
        <v>141400</v>
      </c>
      <c r="AJ99" s="17">
        <v>43465</v>
      </c>
      <c r="AK99" s="15" t="s">
        <v>3117</v>
      </c>
      <c r="AL99" s="17">
        <v>42608</v>
      </c>
      <c r="AM99" s="16">
        <v>893</v>
      </c>
      <c r="AN99" s="14" t="s">
        <v>6237</v>
      </c>
      <c r="AO99" s="14"/>
      <c r="AP99" s="15" t="s">
        <v>3123</v>
      </c>
      <c r="AQ99" s="14"/>
      <c r="AR99" s="17"/>
      <c r="AS99" s="16"/>
      <c r="AT99" s="14"/>
      <c r="AU99" s="15" t="s">
        <v>3123</v>
      </c>
      <c r="AV99" s="14"/>
      <c r="AW99" s="17"/>
      <c r="AX99" s="16"/>
      <c r="AY99" s="16"/>
      <c r="AZ99" s="16"/>
      <c r="BA99" s="16"/>
      <c r="BB99" s="15" t="s">
        <v>3123</v>
      </c>
      <c r="BC99" s="17"/>
      <c r="BD99" s="14"/>
      <c r="BE99" s="14"/>
      <c r="BF99" s="16"/>
      <c r="BG99" s="16"/>
      <c r="BH99" s="13"/>
      <c r="BI99" s="18" t="s">
        <v>6238</v>
      </c>
      <c r="BJ99" s="13">
        <v>200</v>
      </c>
      <c r="BK99" s="17">
        <v>44129</v>
      </c>
      <c r="BL99" s="18" t="s">
        <v>6239</v>
      </c>
      <c r="BM99" s="18"/>
      <c r="BN99" s="18"/>
      <c r="BO99" s="18"/>
      <c r="BP99" s="14" t="s">
        <v>6240</v>
      </c>
      <c r="BQ99" s="17">
        <v>43959</v>
      </c>
      <c r="BR99" s="16">
        <v>-60000</v>
      </c>
      <c r="BS99" s="17">
        <v>43465</v>
      </c>
      <c r="BT99" s="16">
        <v>-56300</v>
      </c>
      <c r="BU99" s="17">
        <v>43465</v>
      </c>
      <c r="BV99" s="16">
        <v>1000000</v>
      </c>
      <c r="BW99" s="17">
        <v>43250</v>
      </c>
      <c r="BX99" s="16"/>
      <c r="BY99" s="17"/>
      <c r="BZ99" s="19">
        <v>25.076625026773389</v>
      </c>
      <c r="CA99" s="19"/>
      <c r="CB99" s="17"/>
      <c r="CC99" s="14" t="s">
        <v>6241</v>
      </c>
      <c r="CD99" s="14" t="s">
        <v>5019</v>
      </c>
      <c r="CE99" s="14" t="s">
        <v>5004</v>
      </c>
    </row>
    <row r="100" spans="1:83" ht="26.15" customHeight="1">
      <c r="A100" s="13">
        <v>94</v>
      </c>
      <c r="B100" s="14" t="s">
        <v>843</v>
      </c>
      <c r="C100" s="14" t="s">
        <v>844</v>
      </c>
      <c r="D100" s="14" t="s">
        <v>847</v>
      </c>
      <c r="E100" s="13">
        <v>2015</v>
      </c>
      <c r="F100" s="14" t="s">
        <v>6242</v>
      </c>
      <c r="G100" s="14"/>
      <c r="H100" s="14" t="s">
        <v>5277</v>
      </c>
      <c r="I100" s="15" t="s">
        <v>3117</v>
      </c>
      <c r="J100" s="16"/>
      <c r="K100" s="17">
        <v>43718</v>
      </c>
      <c r="L100" s="16"/>
      <c r="M100" s="16" t="s">
        <v>50</v>
      </c>
      <c r="N100" s="14" t="s">
        <v>34</v>
      </c>
      <c r="O100" s="13">
        <v>3</v>
      </c>
      <c r="P100" s="17">
        <v>44081</v>
      </c>
      <c r="Q100" s="14"/>
      <c r="R100" s="17"/>
      <c r="S100" s="17"/>
      <c r="T100" s="14" t="s">
        <v>5041</v>
      </c>
      <c r="U100" s="14" t="s">
        <v>6243</v>
      </c>
      <c r="V100" s="14" t="s">
        <v>6244</v>
      </c>
      <c r="W100" s="14"/>
      <c r="X100" s="14" t="s">
        <v>6245</v>
      </c>
      <c r="Y100" s="14"/>
      <c r="Z100" s="14" t="s">
        <v>6246</v>
      </c>
      <c r="AA100" s="14"/>
      <c r="AB100" s="14" t="s">
        <v>5277</v>
      </c>
      <c r="AC100" s="14" t="s">
        <v>6247</v>
      </c>
      <c r="AD100" s="14" t="s">
        <v>6248</v>
      </c>
      <c r="AE100" s="14" t="s">
        <v>6249</v>
      </c>
      <c r="AF100" s="14"/>
      <c r="AG100" s="14" t="s">
        <v>6250</v>
      </c>
      <c r="AH100" s="18"/>
      <c r="AI100" s="16"/>
      <c r="AJ100" s="17"/>
      <c r="AK100" s="15" t="s">
        <v>3123</v>
      </c>
      <c r="AL100" s="17"/>
      <c r="AM100" s="16"/>
      <c r="AN100" s="14"/>
      <c r="AO100" s="14"/>
      <c r="AP100" s="15" t="s">
        <v>3123</v>
      </c>
      <c r="AQ100" s="14"/>
      <c r="AR100" s="17"/>
      <c r="AS100" s="16"/>
      <c r="AT100" s="14"/>
      <c r="AU100" s="15" t="s">
        <v>3123</v>
      </c>
      <c r="AV100" s="14"/>
      <c r="AW100" s="17"/>
      <c r="AX100" s="16"/>
      <c r="AY100" s="16"/>
      <c r="AZ100" s="16"/>
      <c r="BA100" s="16"/>
      <c r="BB100" s="15" t="s">
        <v>3123</v>
      </c>
      <c r="BC100" s="17"/>
      <c r="BD100" s="14"/>
      <c r="BE100" s="14"/>
      <c r="BF100" s="16"/>
      <c r="BG100" s="16"/>
      <c r="BH100" s="13"/>
      <c r="BI100" s="18" t="s">
        <v>6251</v>
      </c>
      <c r="BJ100" s="13">
        <v>200</v>
      </c>
      <c r="BK100" s="17">
        <v>44129</v>
      </c>
      <c r="BL100" s="18" t="s">
        <v>6252</v>
      </c>
      <c r="BM100" s="18" t="s">
        <v>6253</v>
      </c>
      <c r="BN100" s="18" t="s">
        <v>6254</v>
      </c>
      <c r="BO100" s="18" t="s">
        <v>6255</v>
      </c>
      <c r="BP100" s="14" t="s">
        <v>6256</v>
      </c>
      <c r="BQ100" s="17">
        <v>43201</v>
      </c>
      <c r="BR100" s="16"/>
      <c r="BS100" s="17"/>
      <c r="BT100" s="16"/>
      <c r="BU100" s="17"/>
      <c r="BV100" s="16"/>
      <c r="BW100" s="17"/>
      <c r="BX100" s="16"/>
      <c r="BY100" s="17"/>
      <c r="BZ100" s="19">
        <v>50.343245710564723</v>
      </c>
      <c r="CA100" s="19"/>
      <c r="CB100" s="17"/>
      <c r="CC100" s="14" t="s">
        <v>5104</v>
      </c>
      <c r="CD100" s="14" t="s">
        <v>5962</v>
      </c>
      <c r="CE100" s="14" t="s">
        <v>5945</v>
      </c>
    </row>
    <row r="101" spans="1:83" ht="26.15" customHeight="1">
      <c r="A101" s="13">
        <v>95</v>
      </c>
      <c r="B101" s="14" t="s">
        <v>1256</v>
      </c>
      <c r="C101" s="14" t="s">
        <v>1257</v>
      </c>
      <c r="D101" s="14" t="s">
        <v>1259</v>
      </c>
      <c r="E101" s="13">
        <v>2016</v>
      </c>
      <c r="F101" s="14"/>
      <c r="G101" s="14"/>
      <c r="H101" s="14" t="s">
        <v>1258</v>
      </c>
      <c r="I101" s="15" t="s">
        <v>3117</v>
      </c>
      <c r="J101" s="16"/>
      <c r="K101" s="17">
        <v>43480</v>
      </c>
      <c r="L101" s="16" t="s">
        <v>6257</v>
      </c>
      <c r="M101" s="16">
        <v>80000</v>
      </c>
      <c r="N101" s="14" t="s">
        <v>5040</v>
      </c>
      <c r="O101" s="13">
        <v>4</v>
      </c>
      <c r="P101" s="17">
        <v>43994</v>
      </c>
      <c r="Q101" s="14"/>
      <c r="R101" s="17"/>
      <c r="S101" s="17"/>
      <c r="T101" s="14" t="s">
        <v>5976</v>
      </c>
      <c r="U101" s="14" t="s">
        <v>6258</v>
      </c>
      <c r="V101" s="14" t="s">
        <v>6259</v>
      </c>
      <c r="W101" s="14"/>
      <c r="X101" s="14" t="s">
        <v>6260</v>
      </c>
      <c r="Y101" s="14"/>
      <c r="Z101" s="14" t="s">
        <v>6261</v>
      </c>
      <c r="AA101" s="14"/>
      <c r="AB101" s="14" t="s">
        <v>1258</v>
      </c>
      <c r="AC101" s="14" t="s">
        <v>6262</v>
      </c>
      <c r="AD101" s="14" t="s">
        <v>6263</v>
      </c>
      <c r="AE101" s="14"/>
      <c r="AF101" s="14"/>
      <c r="AG101" s="14"/>
      <c r="AH101" s="18"/>
      <c r="AI101" s="16"/>
      <c r="AJ101" s="17"/>
      <c r="AK101" s="15" t="s">
        <v>3123</v>
      </c>
      <c r="AL101" s="17"/>
      <c r="AM101" s="16"/>
      <c r="AN101" s="14"/>
      <c r="AO101" s="14"/>
      <c r="AP101" s="15" t="s">
        <v>3123</v>
      </c>
      <c r="AQ101" s="14"/>
      <c r="AR101" s="17"/>
      <c r="AS101" s="16"/>
      <c r="AT101" s="14"/>
      <c r="AU101" s="15" t="s">
        <v>3123</v>
      </c>
      <c r="AV101" s="14"/>
      <c r="AW101" s="17"/>
      <c r="AX101" s="16"/>
      <c r="AY101" s="16"/>
      <c r="AZ101" s="16"/>
      <c r="BA101" s="16"/>
      <c r="BB101" s="15" t="s">
        <v>3123</v>
      </c>
      <c r="BC101" s="17"/>
      <c r="BD101" s="14"/>
      <c r="BE101" s="14"/>
      <c r="BF101" s="16"/>
      <c r="BG101" s="16"/>
      <c r="BH101" s="13"/>
      <c r="BI101" s="18" t="s">
        <v>6264</v>
      </c>
      <c r="BJ101" s="13">
        <v>200</v>
      </c>
      <c r="BK101" s="17">
        <v>44129</v>
      </c>
      <c r="BL101" s="18"/>
      <c r="BM101" s="18"/>
      <c r="BN101" s="18"/>
      <c r="BO101" s="18"/>
      <c r="BP101" s="14" t="s">
        <v>6265</v>
      </c>
      <c r="BQ101" s="17">
        <v>43629</v>
      </c>
      <c r="BR101" s="16"/>
      <c r="BS101" s="17"/>
      <c r="BT101" s="16"/>
      <c r="BU101" s="17"/>
      <c r="BV101" s="16"/>
      <c r="BW101" s="17"/>
      <c r="BX101" s="16"/>
      <c r="BY101" s="17"/>
      <c r="BZ101" s="19">
        <v>25.566433571913851</v>
      </c>
      <c r="CA101" s="19"/>
      <c r="CB101" s="17"/>
      <c r="CC101" s="14" t="s">
        <v>5048</v>
      </c>
      <c r="CD101" s="14" t="s">
        <v>6266</v>
      </c>
      <c r="CE101" s="14" t="s">
        <v>5311</v>
      </c>
    </row>
    <row r="102" spans="1:83" ht="26.15" customHeight="1">
      <c r="A102" s="13">
        <v>96</v>
      </c>
      <c r="B102" s="14" t="s">
        <v>1913</v>
      </c>
      <c r="C102" s="14" t="s">
        <v>1914</v>
      </c>
      <c r="D102" s="14" t="s">
        <v>1917</v>
      </c>
      <c r="E102" s="13">
        <v>2017</v>
      </c>
      <c r="F102" s="14" t="s">
        <v>6267</v>
      </c>
      <c r="G102" s="14" t="s">
        <v>5207</v>
      </c>
      <c r="H102" s="14" t="s">
        <v>5208</v>
      </c>
      <c r="I102" s="15" t="s">
        <v>3117</v>
      </c>
      <c r="J102" s="16"/>
      <c r="K102" s="17">
        <v>43048</v>
      </c>
      <c r="L102" s="16"/>
      <c r="M102" s="16"/>
      <c r="N102" s="14" t="s">
        <v>34</v>
      </c>
      <c r="O102" s="13">
        <v>3</v>
      </c>
      <c r="P102" s="17">
        <v>44078</v>
      </c>
      <c r="Q102" s="14"/>
      <c r="R102" s="17"/>
      <c r="S102" s="17"/>
      <c r="T102" s="14" t="s">
        <v>1</v>
      </c>
      <c r="U102" s="14" t="s">
        <v>5084</v>
      </c>
      <c r="V102" s="14" t="s">
        <v>6268</v>
      </c>
      <c r="W102" s="14"/>
      <c r="X102" s="14" t="s">
        <v>4255</v>
      </c>
      <c r="Y102" s="14"/>
      <c r="Z102" s="14" t="s">
        <v>6269</v>
      </c>
      <c r="AA102" s="14"/>
      <c r="AB102" s="14" t="s">
        <v>5208</v>
      </c>
      <c r="AC102" s="14"/>
      <c r="AD102" s="14"/>
      <c r="AE102" s="14" t="s">
        <v>6270</v>
      </c>
      <c r="AF102" s="14" t="s">
        <v>6271</v>
      </c>
      <c r="AG102" s="14" t="s">
        <v>6272</v>
      </c>
      <c r="AH102" s="18"/>
      <c r="AI102" s="16"/>
      <c r="AJ102" s="17"/>
      <c r="AK102" s="15" t="s">
        <v>3123</v>
      </c>
      <c r="AL102" s="17"/>
      <c r="AM102" s="16"/>
      <c r="AN102" s="14"/>
      <c r="AO102" s="14"/>
      <c r="AP102" s="15" t="s">
        <v>3123</v>
      </c>
      <c r="AQ102" s="14"/>
      <c r="AR102" s="17"/>
      <c r="AS102" s="16"/>
      <c r="AT102" s="14"/>
      <c r="AU102" s="15" t="s">
        <v>3123</v>
      </c>
      <c r="AV102" s="14"/>
      <c r="AW102" s="17"/>
      <c r="AX102" s="16"/>
      <c r="AY102" s="16"/>
      <c r="AZ102" s="16"/>
      <c r="BA102" s="16"/>
      <c r="BB102" s="15" t="s">
        <v>3123</v>
      </c>
      <c r="BC102" s="17"/>
      <c r="BD102" s="14"/>
      <c r="BE102" s="14"/>
      <c r="BF102" s="16"/>
      <c r="BG102" s="16"/>
      <c r="BH102" s="13"/>
      <c r="BI102" s="18" t="s">
        <v>6273</v>
      </c>
      <c r="BJ102" s="13">
        <v>403</v>
      </c>
      <c r="BK102" s="17">
        <v>44129</v>
      </c>
      <c r="BL102" s="18" t="s">
        <v>6274</v>
      </c>
      <c r="BM102" s="18"/>
      <c r="BN102" s="18" t="s">
        <v>6275</v>
      </c>
      <c r="BO102" s="18"/>
      <c r="BP102" s="14" t="s">
        <v>6276</v>
      </c>
      <c r="BQ102" s="17">
        <v>43783</v>
      </c>
      <c r="BR102" s="16"/>
      <c r="BS102" s="17"/>
      <c r="BT102" s="16"/>
      <c r="BU102" s="17"/>
      <c r="BV102" s="16"/>
      <c r="BW102" s="17"/>
      <c r="BX102" s="16"/>
      <c r="BY102" s="17"/>
      <c r="BZ102" s="19">
        <v>11.135975094195555</v>
      </c>
      <c r="CA102" s="19"/>
      <c r="CB102" s="17"/>
      <c r="CC102" s="14" t="s">
        <v>6277</v>
      </c>
      <c r="CD102" s="14" t="s">
        <v>6278</v>
      </c>
      <c r="CE102" s="14" t="s">
        <v>5004</v>
      </c>
    </row>
    <row r="103" spans="1:83" ht="26.15" customHeight="1">
      <c r="A103" s="13">
        <v>97</v>
      </c>
      <c r="B103" s="14" t="s">
        <v>939</v>
      </c>
      <c r="C103" s="14" t="s">
        <v>940</v>
      </c>
      <c r="D103" s="14" t="s">
        <v>942</v>
      </c>
      <c r="E103" s="13">
        <v>2017</v>
      </c>
      <c r="F103" s="14" t="s">
        <v>6279</v>
      </c>
      <c r="G103" s="14" t="s">
        <v>6280</v>
      </c>
      <c r="H103" s="14" t="s">
        <v>6281</v>
      </c>
      <c r="I103" s="15" t="s">
        <v>3117</v>
      </c>
      <c r="J103" s="16"/>
      <c r="K103" s="17">
        <v>43658</v>
      </c>
      <c r="L103" s="16" t="s">
        <v>6282</v>
      </c>
      <c r="M103" s="16">
        <v>27500</v>
      </c>
      <c r="N103" s="14" t="s">
        <v>5040</v>
      </c>
      <c r="O103" s="13">
        <v>3</v>
      </c>
      <c r="P103" s="17">
        <v>44078</v>
      </c>
      <c r="Q103" s="14"/>
      <c r="R103" s="17"/>
      <c r="S103" s="17"/>
      <c r="T103" s="14" t="s">
        <v>1</v>
      </c>
      <c r="U103" s="14" t="s">
        <v>5084</v>
      </c>
      <c r="V103" s="14" t="s">
        <v>6268</v>
      </c>
      <c r="W103" s="14"/>
      <c r="X103" s="14" t="s">
        <v>941</v>
      </c>
      <c r="Y103" s="14"/>
      <c r="Z103" s="14" t="s">
        <v>6283</v>
      </c>
      <c r="AA103" s="14"/>
      <c r="AB103" s="14" t="s">
        <v>6281</v>
      </c>
      <c r="AC103" s="14" t="s">
        <v>6284</v>
      </c>
      <c r="AD103" s="14" t="s">
        <v>6285</v>
      </c>
      <c r="AE103" s="14" t="s">
        <v>6286</v>
      </c>
      <c r="AF103" s="14" t="s">
        <v>6287</v>
      </c>
      <c r="AG103" s="14" t="s">
        <v>6288</v>
      </c>
      <c r="AH103" s="18"/>
      <c r="AI103" s="16"/>
      <c r="AJ103" s="17"/>
      <c r="AK103" s="15" t="s">
        <v>3123</v>
      </c>
      <c r="AL103" s="17"/>
      <c r="AM103" s="16"/>
      <c r="AN103" s="14"/>
      <c r="AO103" s="14"/>
      <c r="AP103" s="15" t="s">
        <v>3123</v>
      </c>
      <c r="AQ103" s="14"/>
      <c r="AR103" s="17"/>
      <c r="AS103" s="16"/>
      <c r="AT103" s="14"/>
      <c r="AU103" s="15" t="s">
        <v>3123</v>
      </c>
      <c r="AV103" s="14"/>
      <c r="AW103" s="17"/>
      <c r="AX103" s="16"/>
      <c r="AY103" s="16"/>
      <c r="AZ103" s="16"/>
      <c r="BA103" s="16"/>
      <c r="BB103" s="15" t="s">
        <v>3123</v>
      </c>
      <c r="BC103" s="17"/>
      <c r="BD103" s="14"/>
      <c r="BE103" s="14"/>
      <c r="BF103" s="16"/>
      <c r="BG103" s="16"/>
      <c r="BH103" s="13"/>
      <c r="BI103" s="18" t="s">
        <v>6289</v>
      </c>
      <c r="BJ103" s="13">
        <v>200</v>
      </c>
      <c r="BK103" s="17">
        <v>44129</v>
      </c>
      <c r="BL103" s="18"/>
      <c r="BM103" s="18" t="s">
        <v>6290</v>
      </c>
      <c r="BN103" s="18" t="s">
        <v>6291</v>
      </c>
      <c r="BO103" s="18" t="s">
        <v>6292</v>
      </c>
      <c r="BP103" s="14" t="s">
        <v>6293</v>
      </c>
      <c r="BQ103" s="17">
        <v>43783</v>
      </c>
      <c r="BR103" s="16"/>
      <c r="BS103" s="17"/>
      <c r="BT103" s="16"/>
      <c r="BU103" s="17"/>
      <c r="BV103" s="16"/>
      <c r="BW103" s="17"/>
      <c r="BX103" s="16"/>
      <c r="BY103" s="17"/>
      <c r="BZ103" s="19">
        <v>37.145738590704568</v>
      </c>
      <c r="CA103" s="19"/>
      <c r="CB103" s="17"/>
      <c r="CC103" s="14" t="s">
        <v>5018</v>
      </c>
      <c r="CD103" s="14" t="s">
        <v>6294</v>
      </c>
      <c r="CE103" s="14" t="s">
        <v>5004</v>
      </c>
    </row>
    <row r="104" spans="1:83" ht="26.15" customHeight="1">
      <c r="A104" s="13">
        <v>98</v>
      </c>
      <c r="B104" s="14" t="s">
        <v>801</v>
      </c>
      <c r="C104" s="14" t="s">
        <v>802</v>
      </c>
      <c r="D104" s="14" t="s">
        <v>805</v>
      </c>
      <c r="E104" s="13">
        <v>2016</v>
      </c>
      <c r="F104" s="14" t="s">
        <v>6295</v>
      </c>
      <c r="G104" s="14" t="s">
        <v>6296</v>
      </c>
      <c r="H104" s="14" t="s">
        <v>6297</v>
      </c>
      <c r="I104" s="15" t="s">
        <v>3117</v>
      </c>
      <c r="J104" s="16"/>
      <c r="K104" s="17">
        <v>43739</v>
      </c>
      <c r="L104" s="16" t="s">
        <v>6298</v>
      </c>
      <c r="M104" s="16">
        <v>20000</v>
      </c>
      <c r="N104" s="14" t="s">
        <v>5040</v>
      </c>
      <c r="O104" s="13">
        <v>3</v>
      </c>
      <c r="P104" s="17">
        <v>44032</v>
      </c>
      <c r="Q104" s="14"/>
      <c r="R104" s="17"/>
      <c r="S104" s="17"/>
      <c r="T104" s="14" t="s">
        <v>1</v>
      </c>
      <c r="U104" s="14" t="s">
        <v>5007</v>
      </c>
      <c r="V104" s="14" t="s">
        <v>6299</v>
      </c>
      <c r="W104" s="14"/>
      <c r="X104" s="14" t="s">
        <v>3583</v>
      </c>
      <c r="Y104" s="14"/>
      <c r="Z104" s="14" t="s">
        <v>6300</v>
      </c>
      <c r="AA104" s="14"/>
      <c r="AB104" s="14" t="s">
        <v>6297</v>
      </c>
      <c r="AC104" s="14" t="s">
        <v>6301</v>
      </c>
      <c r="AD104" s="14"/>
      <c r="AE104" s="14" t="s">
        <v>6302</v>
      </c>
      <c r="AF104" s="14" t="s">
        <v>6303</v>
      </c>
      <c r="AG104" s="14" t="s">
        <v>6304</v>
      </c>
      <c r="AH104" s="18"/>
      <c r="AI104" s="16"/>
      <c r="AJ104" s="17"/>
      <c r="AK104" s="15" t="s">
        <v>3123</v>
      </c>
      <c r="AL104" s="17"/>
      <c r="AM104" s="16"/>
      <c r="AN104" s="14"/>
      <c r="AO104" s="14"/>
      <c r="AP104" s="15" t="s">
        <v>3123</v>
      </c>
      <c r="AQ104" s="14"/>
      <c r="AR104" s="17"/>
      <c r="AS104" s="16"/>
      <c r="AT104" s="14"/>
      <c r="AU104" s="15" t="s">
        <v>3123</v>
      </c>
      <c r="AV104" s="14"/>
      <c r="AW104" s="17"/>
      <c r="AX104" s="16"/>
      <c r="AY104" s="16"/>
      <c r="AZ104" s="16"/>
      <c r="BA104" s="16"/>
      <c r="BB104" s="15" t="s">
        <v>3123</v>
      </c>
      <c r="BC104" s="17"/>
      <c r="BD104" s="14"/>
      <c r="BE104" s="14"/>
      <c r="BF104" s="16"/>
      <c r="BG104" s="16"/>
      <c r="BH104" s="13"/>
      <c r="BI104" s="18" t="s">
        <v>6305</v>
      </c>
      <c r="BJ104" s="13">
        <v>200</v>
      </c>
      <c r="BK104" s="17">
        <v>44129</v>
      </c>
      <c r="BL104" s="18" t="s">
        <v>6306</v>
      </c>
      <c r="BM104" s="18" t="s">
        <v>6307</v>
      </c>
      <c r="BN104" s="18" t="s">
        <v>6308</v>
      </c>
      <c r="BO104" s="18"/>
      <c r="BP104" s="14" t="s">
        <v>6309</v>
      </c>
      <c r="BQ104" s="17">
        <v>43396</v>
      </c>
      <c r="BR104" s="16"/>
      <c r="BS104" s="17"/>
      <c r="BT104" s="16"/>
      <c r="BU104" s="17"/>
      <c r="BV104" s="16"/>
      <c r="BW104" s="17"/>
      <c r="BX104" s="16"/>
      <c r="BY104" s="17"/>
      <c r="BZ104" s="19">
        <v>32.863250105274844</v>
      </c>
      <c r="CA104" s="19"/>
      <c r="CB104" s="17"/>
      <c r="CC104" s="14" t="s">
        <v>5247</v>
      </c>
      <c r="CD104" s="14" t="s">
        <v>6310</v>
      </c>
      <c r="CE104" s="14" t="s">
        <v>5521</v>
      </c>
    </row>
    <row r="105" spans="1:83" ht="26.15" customHeight="1">
      <c r="A105" s="13">
        <v>99</v>
      </c>
      <c r="B105" s="14" t="s">
        <v>589</v>
      </c>
      <c r="C105" s="14" t="s">
        <v>590</v>
      </c>
      <c r="D105" s="14" t="s">
        <v>594</v>
      </c>
      <c r="E105" s="13">
        <v>2017</v>
      </c>
      <c r="F105" s="14" t="s">
        <v>6311</v>
      </c>
      <c r="G105" s="14" t="s">
        <v>6312</v>
      </c>
      <c r="H105" s="14" t="s">
        <v>6313</v>
      </c>
      <c r="I105" s="15" t="s">
        <v>3117</v>
      </c>
      <c r="J105" s="16">
        <v>74190</v>
      </c>
      <c r="K105" s="17">
        <v>43837</v>
      </c>
      <c r="L105" s="16" t="s">
        <v>6314</v>
      </c>
      <c r="M105" s="16">
        <v>74190</v>
      </c>
      <c r="N105" s="14" t="s">
        <v>34</v>
      </c>
      <c r="O105" s="13">
        <v>3</v>
      </c>
      <c r="P105" s="17">
        <v>44012</v>
      </c>
      <c r="Q105" s="14"/>
      <c r="R105" s="17"/>
      <c r="S105" s="17"/>
      <c r="T105" s="14" t="s">
        <v>5426</v>
      </c>
      <c r="U105" s="14" t="s">
        <v>5427</v>
      </c>
      <c r="V105" s="14" t="s">
        <v>5428</v>
      </c>
      <c r="W105" s="14"/>
      <c r="X105" s="14" t="s">
        <v>592</v>
      </c>
      <c r="Y105" s="14"/>
      <c r="Z105" s="14" t="s">
        <v>6315</v>
      </c>
      <c r="AA105" s="14"/>
      <c r="AB105" s="14" t="s">
        <v>6313</v>
      </c>
      <c r="AC105" s="14" t="s">
        <v>6316</v>
      </c>
      <c r="AD105" s="14" t="s">
        <v>6317</v>
      </c>
      <c r="AE105" s="14" t="s">
        <v>6318</v>
      </c>
      <c r="AF105" s="14"/>
      <c r="AG105" s="14" t="s">
        <v>6319</v>
      </c>
      <c r="AH105" s="18"/>
      <c r="AI105" s="16"/>
      <c r="AJ105" s="17"/>
      <c r="AK105" s="15" t="s">
        <v>3123</v>
      </c>
      <c r="AL105" s="17"/>
      <c r="AM105" s="16"/>
      <c r="AN105" s="14"/>
      <c r="AO105" s="14"/>
      <c r="AP105" s="15" t="s">
        <v>3123</v>
      </c>
      <c r="AQ105" s="14"/>
      <c r="AR105" s="17"/>
      <c r="AS105" s="16"/>
      <c r="AT105" s="14"/>
      <c r="AU105" s="15" t="s">
        <v>3123</v>
      </c>
      <c r="AV105" s="14"/>
      <c r="AW105" s="17"/>
      <c r="AX105" s="16"/>
      <c r="AY105" s="16"/>
      <c r="AZ105" s="16"/>
      <c r="BA105" s="16"/>
      <c r="BB105" s="15" t="s">
        <v>3123</v>
      </c>
      <c r="BC105" s="17"/>
      <c r="BD105" s="14"/>
      <c r="BE105" s="14"/>
      <c r="BF105" s="16"/>
      <c r="BG105" s="16"/>
      <c r="BH105" s="13"/>
      <c r="BI105" s="18" t="s">
        <v>6320</v>
      </c>
      <c r="BJ105" s="13">
        <v>200</v>
      </c>
      <c r="BK105" s="17">
        <v>44129</v>
      </c>
      <c r="BL105" s="18" t="s">
        <v>6321</v>
      </c>
      <c r="BM105" s="18" t="s">
        <v>6322</v>
      </c>
      <c r="BN105" s="18" t="s">
        <v>6323</v>
      </c>
      <c r="BO105" s="18"/>
      <c r="BP105" s="14" t="s">
        <v>6324</v>
      </c>
      <c r="BQ105" s="17">
        <v>43453</v>
      </c>
      <c r="BR105" s="16"/>
      <c r="BS105" s="17"/>
      <c r="BT105" s="16"/>
      <c r="BU105" s="17"/>
      <c r="BV105" s="16"/>
      <c r="BW105" s="17"/>
      <c r="BX105" s="16"/>
      <c r="BY105" s="17"/>
      <c r="BZ105" s="19">
        <v>26.992769008488551</v>
      </c>
      <c r="CA105" s="19"/>
      <c r="CB105" s="17"/>
      <c r="CC105" s="14" t="s">
        <v>5036</v>
      </c>
      <c r="CD105" s="14" t="s">
        <v>6325</v>
      </c>
      <c r="CE105" s="14" t="s">
        <v>5311</v>
      </c>
    </row>
    <row r="106" spans="1:83" ht="26.15" customHeight="1">
      <c r="A106" s="13">
        <v>100</v>
      </c>
      <c r="B106" s="14" t="s">
        <v>139</v>
      </c>
      <c r="C106" s="14" t="s">
        <v>140</v>
      </c>
      <c r="D106" s="14" t="s">
        <v>144</v>
      </c>
      <c r="E106" s="13">
        <v>2015</v>
      </c>
      <c r="F106" s="14" t="s">
        <v>6326</v>
      </c>
      <c r="G106" s="14" t="s">
        <v>5207</v>
      </c>
      <c r="H106" s="14" t="s">
        <v>5208</v>
      </c>
      <c r="I106" s="15" t="s">
        <v>3117</v>
      </c>
      <c r="J106" s="16">
        <v>2955090</v>
      </c>
      <c r="K106" s="17">
        <v>44092</v>
      </c>
      <c r="L106" s="16" t="s">
        <v>5069</v>
      </c>
      <c r="M106" s="16">
        <v>2955090</v>
      </c>
      <c r="N106" s="14" t="s">
        <v>34</v>
      </c>
      <c r="O106" s="13">
        <v>4</v>
      </c>
      <c r="P106" s="17">
        <v>44098</v>
      </c>
      <c r="Q106" s="14"/>
      <c r="R106" s="17"/>
      <c r="S106" s="17"/>
      <c r="T106" s="14" t="s">
        <v>1</v>
      </c>
      <c r="U106" s="14" t="s">
        <v>5007</v>
      </c>
      <c r="V106" s="14" t="s">
        <v>5238</v>
      </c>
      <c r="W106" s="14"/>
      <c r="X106" s="14" t="s">
        <v>142</v>
      </c>
      <c r="Y106" s="14"/>
      <c r="Z106" s="14" t="s">
        <v>6327</v>
      </c>
      <c r="AA106" s="14"/>
      <c r="AB106" s="14" t="s">
        <v>5208</v>
      </c>
      <c r="AC106" s="14"/>
      <c r="AD106" s="14"/>
      <c r="AE106" s="14" t="s">
        <v>6328</v>
      </c>
      <c r="AF106" s="14" t="s">
        <v>6329</v>
      </c>
      <c r="AG106" s="14" t="s">
        <v>6330</v>
      </c>
      <c r="AH106" s="18"/>
      <c r="AI106" s="16"/>
      <c r="AJ106" s="17"/>
      <c r="AK106" s="15" t="s">
        <v>3123</v>
      </c>
      <c r="AL106" s="17"/>
      <c r="AM106" s="16"/>
      <c r="AN106" s="14"/>
      <c r="AO106" s="14"/>
      <c r="AP106" s="15" t="s">
        <v>3123</v>
      </c>
      <c r="AQ106" s="14"/>
      <c r="AR106" s="17"/>
      <c r="AS106" s="16"/>
      <c r="AT106" s="14"/>
      <c r="AU106" s="15" t="s">
        <v>3123</v>
      </c>
      <c r="AV106" s="14"/>
      <c r="AW106" s="17"/>
      <c r="AX106" s="16"/>
      <c r="AY106" s="16"/>
      <c r="AZ106" s="16"/>
      <c r="BA106" s="16"/>
      <c r="BB106" s="15" t="s">
        <v>3123</v>
      </c>
      <c r="BC106" s="17"/>
      <c r="BD106" s="14"/>
      <c r="BE106" s="14"/>
      <c r="BF106" s="16"/>
      <c r="BG106" s="16"/>
      <c r="BH106" s="13"/>
      <c r="BI106" s="18" t="s">
        <v>6331</v>
      </c>
      <c r="BJ106" s="13">
        <v>200</v>
      </c>
      <c r="BK106" s="17">
        <v>44129</v>
      </c>
      <c r="BL106" s="18" t="s">
        <v>6332</v>
      </c>
      <c r="BM106" s="18"/>
      <c r="BN106" s="18" t="s">
        <v>6333</v>
      </c>
      <c r="BO106" s="18"/>
      <c r="BP106" s="14" t="s">
        <v>6334</v>
      </c>
      <c r="BQ106" s="17">
        <v>44095</v>
      </c>
      <c r="BR106" s="16"/>
      <c r="BS106" s="17"/>
      <c r="BT106" s="16"/>
      <c r="BU106" s="17"/>
      <c r="BV106" s="16"/>
      <c r="BW106" s="17"/>
      <c r="BX106" s="16"/>
      <c r="BY106" s="17"/>
      <c r="BZ106" s="19">
        <v>19.042544902979508</v>
      </c>
      <c r="CA106" s="19"/>
      <c r="CB106" s="17"/>
      <c r="CC106" s="14" t="s">
        <v>5247</v>
      </c>
      <c r="CD106" s="14" t="s">
        <v>5753</v>
      </c>
      <c r="CE106" s="14" t="s">
        <v>5004</v>
      </c>
    </row>
    <row r="107" spans="1:83" ht="26.15" customHeight="1">
      <c r="A107" s="13">
        <v>101</v>
      </c>
      <c r="B107" s="14" t="s">
        <v>1434</v>
      </c>
      <c r="C107" s="14" t="s">
        <v>1435</v>
      </c>
      <c r="D107" s="14" t="s">
        <v>1437</v>
      </c>
      <c r="E107" s="13">
        <v>2015</v>
      </c>
      <c r="F107" s="14" t="s">
        <v>5206</v>
      </c>
      <c r="G107" s="14" t="s">
        <v>5207</v>
      </c>
      <c r="H107" s="14" t="s">
        <v>5208</v>
      </c>
      <c r="I107" s="15" t="s">
        <v>3117</v>
      </c>
      <c r="J107" s="16">
        <v>1475750</v>
      </c>
      <c r="K107" s="17">
        <v>43368</v>
      </c>
      <c r="L107" s="16" t="s">
        <v>5134</v>
      </c>
      <c r="M107" s="16">
        <v>1475750</v>
      </c>
      <c r="N107" s="14" t="s">
        <v>34</v>
      </c>
      <c r="O107" s="13">
        <v>3</v>
      </c>
      <c r="P107" s="17">
        <v>44081</v>
      </c>
      <c r="Q107" s="14"/>
      <c r="R107" s="17"/>
      <c r="S107" s="17"/>
      <c r="T107" s="14" t="s">
        <v>5947</v>
      </c>
      <c r="U107" s="14" t="s">
        <v>6335</v>
      </c>
      <c r="V107" s="14" t="s">
        <v>6336</v>
      </c>
      <c r="W107" s="14"/>
      <c r="X107" s="14" t="s">
        <v>3973</v>
      </c>
      <c r="Y107" s="14"/>
      <c r="Z107" s="14" t="s">
        <v>6337</v>
      </c>
      <c r="AA107" s="14"/>
      <c r="AB107" s="14" t="s">
        <v>5208</v>
      </c>
      <c r="AC107" s="14"/>
      <c r="AD107" s="14"/>
      <c r="AE107" s="14"/>
      <c r="AF107" s="14"/>
      <c r="AG107" s="14"/>
      <c r="AH107" s="18"/>
      <c r="AI107" s="16"/>
      <c r="AJ107" s="17"/>
      <c r="AK107" s="15" t="s">
        <v>3123</v>
      </c>
      <c r="AL107" s="17"/>
      <c r="AM107" s="16"/>
      <c r="AN107" s="14"/>
      <c r="AO107" s="14"/>
      <c r="AP107" s="15" t="s">
        <v>3123</v>
      </c>
      <c r="AQ107" s="14"/>
      <c r="AR107" s="17"/>
      <c r="AS107" s="16"/>
      <c r="AT107" s="14"/>
      <c r="AU107" s="15" t="s">
        <v>3123</v>
      </c>
      <c r="AV107" s="14"/>
      <c r="AW107" s="17"/>
      <c r="AX107" s="16"/>
      <c r="AY107" s="16"/>
      <c r="AZ107" s="16"/>
      <c r="BA107" s="16"/>
      <c r="BB107" s="15" t="s">
        <v>3123</v>
      </c>
      <c r="BC107" s="17"/>
      <c r="BD107" s="14"/>
      <c r="BE107" s="14"/>
      <c r="BF107" s="16"/>
      <c r="BG107" s="16"/>
      <c r="BH107" s="13"/>
      <c r="BI107" s="18" t="s">
        <v>6338</v>
      </c>
      <c r="BJ107" s="13">
        <v>200</v>
      </c>
      <c r="BK107" s="17">
        <v>44129</v>
      </c>
      <c r="BL107" s="18" t="s">
        <v>6339</v>
      </c>
      <c r="BM107" s="18"/>
      <c r="BN107" s="18" t="s">
        <v>6340</v>
      </c>
      <c r="BO107" s="18"/>
      <c r="BP107" s="14" t="s">
        <v>6341</v>
      </c>
      <c r="BQ107" s="17">
        <v>43424</v>
      </c>
      <c r="BR107" s="16"/>
      <c r="BS107" s="17"/>
      <c r="BT107" s="16"/>
      <c r="BU107" s="17"/>
      <c r="BV107" s="16"/>
      <c r="BW107" s="17"/>
      <c r="BX107" s="16"/>
      <c r="BY107" s="17"/>
      <c r="BZ107" s="19">
        <v>19.702308241022962</v>
      </c>
      <c r="CA107" s="19"/>
      <c r="CB107" s="17"/>
      <c r="CC107" s="14" t="s">
        <v>5309</v>
      </c>
      <c r="CD107" s="14" t="s">
        <v>5310</v>
      </c>
      <c r="CE107" s="14" t="s">
        <v>5311</v>
      </c>
    </row>
    <row r="108" spans="1:83" ht="26.15" customHeight="1">
      <c r="A108" s="13">
        <v>102</v>
      </c>
      <c r="B108" s="14" t="s">
        <v>1895</v>
      </c>
      <c r="C108" s="14" t="s">
        <v>1896</v>
      </c>
      <c r="D108" s="14" t="s">
        <v>1898</v>
      </c>
      <c r="E108" s="13">
        <v>2016</v>
      </c>
      <c r="F108" s="14" t="s">
        <v>4993</v>
      </c>
      <c r="G108" s="14" t="s">
        <v>4994</v>
      </c>
      <c r="H108" s="14" t="s">
        <v>2057</v>
      </c>
      <c r="I108" s="15" t="s">
        <v>3117</v>
      </c>
      <c r="J108" s="16">
        <v>17346190</v>
      </c>
      <c r="K108" s="17">
        <v>43070</v>
      </c>
      <c r="L108" s="16" t="s">
        <v>5165</v>
      </c>
      <c r="M108" s="16">
        <v>10000000</v>
      </c>
      <c r="N108" s="14" t="s">
        <v>109</v>
      </c>
      <c r="O108" s="13">
        <v>3</v>
      </c>
      <c r="P108" s="17">
        <v>44008</v>
      </c>
      <c r="Q108" s="14"/>
      <c r="R108" s="17"/>
      <c r="S108" s="17"/>
      <c r="T108" s="14" t="s">
        <v>1</v>
      </c>
      <c r="U108" s="14" t="s">
        <v>5007</v>
      </c>
      <c r="V108" s="14" t="s">
        <v>257</v>
      </c>
      <c r="W108" s="14"/>
      <c r="X108" s="14" t="s">
        <v>6342</v>
      </c>
      <c r="Y108" s="14"/>
      <c r="Z108" s="14" t="s">
        <v>6343</v>
      </c>
      <c r="AA108" s="14"/>
      <c r="AB108" s="14" t="s">
        <v>2057</v>
      </c>
      <c r="AC108" s="14" t="s">
        <v>6344</v>
      </c>
      <c r="AD108" s="14" t="s">
        <v>6345</v>
      </c>
      <c r="AE108" s="14" t="s">
        <v>6346</v>
      </c>
      <c r="AF108" s="14"/>
      <c r="AG108" s="14"/>
      <c r="AH108" s="18"/>
      <c r="AI108" s="16"/>
      <c r="AJ108" s="17"/>
      <c r="AK108" s="15" t="s">
        <v>3123</v>
      </c>
      <c r="AL108" s="17"/>
      <c r="AM108" s="16"/>
      <c r="AN108" s="14"/>
      <c r="AO108" s="14" t="s">
        <v>6347</v>
      </c>
      <c r="AP108" s="15" t="s">
        <v>3123</v>
      </c>
      <c r="AQ108" s="14"/>
      <c r="AR108" s="17"/>
      <c r="AS108" s="16"/>
      <c r="AT108" s="14"/>
      <c r="AU108" s="15" t="s">
        <v>3123</v>
      </c>
      <c r="AV108" s="14"/>
      <c r="AW108" s="17"/>
      <c r="AX108" s="16"/>
      <c r="AY108" s="16"/>
      <c r="AZ108" s="16"/>
      <c r="BA108" s="16"/>
      <c r="BB108" s="15" t="s">
        <v>3123</v>
      </c>
      <c r="BC108" s="17"/>
      <c r="BD108" s="14"/>
      <c r="BE108" s="14"/>
      <c r="BF108" s="16"/>
      <c r="BG108" s="16"/>
      <c r="BH108" s="13"/>
      <c r="BI108" s="18" t="s">
        <v>6348</v>
      </c>
      <c r="BJ108" s="13">
        <v>200</v>
      </c>
      <c r="BK108" s="17">
        <v>44129</v>
      </c>
      <c r="BL108" s="18"/>
      <c r="BM108" s="18"/>
      <c r="BN108" s="18"/>
      <c r="BO108" s="18"/>
      <c r="BP108" s="14" t="s">
        <v>6349</v>
      </c>
      <c r="BQ108" s="17">
        <v>43019</v>
      </c>
      <c r="BR108" s="16"/>
      <c r="BS108" s="17"/>
      <c r="BT108" s="16"/>
      <c r="BU108" s="17"/>
      <c r="BV108" s="16"/>
      <c r="BW108" s="17"/>
      <c r="BX108" s="16"/>
      <c r="BY108" s="17"/>
      <c r="BZ108" s="19">
        <v>43.138286669830997</v>
      </c>
      <c r="CA108" s="19"/>
      <c r="CB108" s="17"/>
      <c r="CC108" s="14" t="s">
        <v>6350</v>
      </c>
      <c r="CD108" s="14" t="s">
        <v>6351</v>
      </c>
      <c r="CE108" s="14" t="s">
        <v>5004</v>
      </c>
    </row>
    <row r="109" spans="1:83" ht="26.15" customHeight="1">
      <c r="A109" s="13">
        <v>103</v>
      </c>
      <c r="B109" s="14" t="s">
        <v>1595</v>
      </c>
      <c r="C109" s="14" t="s">
        <v>1596</v>
      </c>
      <c r="D109" s="14" t="s">
        <v>1599</v>
      </c>
      <c r="E109" s="13">
        <v>2013</v>
      </c>
      <c r="F109" s="14" t="s">
        <v>6352</v>
      </c>
      <c r="G109" s="14" t="s">
        <v>6353</v>
      </c>
      <c r="H109" s="14" t="s">
        <v>5208</v>
      </c>
      <c r="I109" s="15" t="s">
        <v>3117</v>
      </c>
      <c r="J109" s="16">
        <v>2653460</v>
      </c>
      <c r="K109" s="17">
        <v>43257</v>
      </c>
      <c r="L109" s="16" t="s">
        <v>5069</v>
      </c>
      <c r="M109" s="16">
        <v>2653460</v>
      </c>
      <c r="N109" s="14" t="s">
        <v>109</v>
      </c>
      <c r="O109" s="13">
        <v>2</v>
      </c>
      <c r="P109" s="17">
        <v>44005</v>
      </c>
      <c r="Q109" s="14"/>
      <c r="R109" s="17"/>
      <c r="S109" s="17"/>
      <c r="T109" s="14" t="s">
        <v>1</v>
      </c>
      <c r="U109" s="14" t="s">
        <v>5084</v>
      </c>
      <c r="V109" s="14" t="s">
        <v>6268</v>
      </c>
      <c r="W109" s="14"/>
      <c r="X109" s="14" t="s">
        <v>4062</v>
      </c>
      <c r="Y109" s="14"/>
      <c r="Z109" s="14" t="s">
        <v>6354</v>
      </c>
      <c r="AA109" s="14"/>
      <c r="AB109" s="14" t="s">
        <v>5208</v>
      </c>
      <c r="AC109" s="14" t="s">
        <v>6355</v>
      </c>
      <c r="AD109" s="14" t="s">
        <v>6356</v>
      </c>
      <c r="AE109" s="14" t="s">
        <v>6357</v>
      </c>
      <c r="AF109" s="14" t="s">
        <v>6358</v>
      </c>
      <c r="AG109" s="14" t="s">
        <v>6359</v>
      </c>
      <c r="AH109" s="18"/>
      <c r="AI109" s="16"/>
      <c r="AJ109" s="17"/>
      <c r="AK109" s="15" t="s">
        <v>3123</v>
      </c>
      <c r="AL109" s="17"/>
      <c r="AM109" s="16"/>
      <c r="AN109" s="14"/>
      <c r="AO109" s="14"/>
      <c r="AP109" s="15" t="s">
        <v>3123</v>
      </c>
      <c r="AQ109" s="14"/>
      <c r="AR109" s="17"/>
      <c r="AS109" s="16"/>
      <c r="AT109" s="14"/>
      <c r="AU109" s="15" t="s">
        <v>3123</v>
      </c>
      <c r="AV109" s="14"/>
      <c r="AW109" s="17"/>
      <c r="AX109" s="16"/>
      <c r="AY109" s="16"/>
      <c r="AZ109" s="16"/>
      <c r="BA109" s="16"/>
      <c r="BB109" s="15" t="s">
        <v>3123</v>
      </c>
      <c r="BC109" s="17"/>
      <c r="BD109" s="14"/>
      <c r="BE109" s="14"/>
      <c r="BF109" s="16"/>
      <c r="BG109" s="16"/>
      <c r="BH109" s="13"/>
      <c r="BI109" s="18" t="s">
        <v>6360</v>
      </c>
      <c r="BJ109" s="13">
        <v>200</v>
      </c>
      <c r="BK109" s="17">
        <v>44129</v>
      </c>
      <c r="BL109" s="18" t="s">
        <v>6361</v>
      </c>
      <c r="BM109" s="18" t="s">
        <v>6362</v>
      </c>
      <c r="BN109" s="18" t="s">
        <v>6363</v>
      </c>
      <c r="BO109" s="18"/>
      <c r="BP109" s="14" t="s">
        <v>6364</v>
      </c>
      <c r="BQ109" s="17">
        <v>43354</v>
      </c>
      <c r="BR109" s="16"/>
      <c r="BS109" s="17"/>
      <c r="BT109" s="16"/>
      <c r="BU109" s="17"/>
      <c r="BV109" s="16"/>
      <c r="BW109" s="17"/>
      <c r="BX109" s="16"/>
      <c r="BY109" s="17"/>
      <c r="BZ109" s="19">
        <v>29.565958700821486</v>
      </c>
      <c r="CA109" s="19"/>
      <c r="CB109" s="17"/>
      <c r="CC109" s="14" t="s">
        <v>6365</v>
      </c>
      <c r="CD109" s="14" t="s">
        <v>6266</v>
      </c>
      <c r="CE109" s="14" t="s">
        <v>5521</v>
      </c>
    </row>
    <row r="110" spans="1:83" ht="26.15" customHeight="1">
      <c r="A110" s="13">
        <v>104</v>
      </c>
      <c r="B110" s="14" t="s">
        <v>958</v>
      </c>
      <c r="C110" s="14" t="s">
        <v>959</v>
      </c>
      <c r="D110" s="14" t="s">
        <v>961</v>
      </c>
      <c r="E110" s="13">
        <v>2016</v>
      </c>
      <c r="F110" s="14" t="s">
        <v>6366</v>
      </c>
      <c r="G110" s="14" t="s">
        <v>5276</v>
      </c>
      <c r="H110" s="14" t="s">
        <v>5277</v>
      </c>
      <c r="I110" s="15" t="s">
        <v>3117</v>
      </c>
      <c r="J110" s="16"/>
      <c r="K110" s="17">
        <v>43635</v>
      </c>
      <c r="L110" s="16"/>
      <c r="M110" s="16" t="s">
        <v>50</v>
      </c>
      <c r="N110" s="14" t="s">
        <v>34</v>
      </c>
      <c r="O110" s="13">
        <v>3</v>
      </c>
      <c r="P110" s="17">
        <v>44011</v>
      </c>
      <c r="Q110" s="14"/>
      <c r="R110" s="17"/>
      <c r="S110" s="17"/>
      <c r="T110" s="14" t="s">
        <v>6367</v>
      </c>
      <c r="U110" s="14" t="s">
        <v>6368</v>
      </c>
      <c r="V110" s="14" t="s">
        <v>6369</v>
      </c>
      <c r="W110" s="14"/>
      <c r="X110" s="14" t="s">
        <v>832</v>
      </c>
      <c r="Y110" s="14"/>
      <c r="Z110" s="14" t="s">
        <v>6370</v>
      </c>
      <c r="AA110" s="14"/>
      <c r="AB110" s="14" t="s">
        <v>5277</v>
      </c>
      <c r="AC110" s="14" t="s">
        <v>6371</v>
      </c>
      <c r="AD110" s="14"/>
      <c r="AE110" s="14" t="s">
        <v>6372</v>
      </c>
      <c r="AF110" s="14" t="s">
        <v>6373</v>
      </c>
      <c r="AG110" s="14" t="s">
        <v>6374</v>
      </c>
      <c r="AH110" s="18"/>
      <c r="AI110" s="16"/>
      <c r="AJ110" s="17"/>
      <c r="AK110" s="15" t="s">
        <v>3123</v>
      </c>
      <c r="AL110" s="17"/>
      <c r="AM110" s="16"/>
      <c r="AN110" s="14"/>
      <c r="AO110" s="14"/>
      <c r="AP110" s="15" t="s">
        <v>3123</v>
      </c>
      <c r="AQ110" s="14"/>
      <c r="AR110" s="17"/>
      <c r="AS110" s="16"/>
      <c r="AT110" s="14"/>
      <c r="AU110" s="15" t="s">
        <v>3123</v>
      </c>
      <c r="AV110" s="14"/>
      <c r="AW110" s="17"/>
      <c r="AX110" s="16"/>
      <c r="AY110" s="16"/>
      <c r="AZ110" s="16"/>
      <c r="BA110" s="16"/>
      <c r="BB110" s="15" t="s">
        <v>3123</v>
      </c>
      <c r="BC110" s="17"/>
      <c r="BD110" s="14"/>
      <c r="BE110" s="14"/>
      <c r="BF110" s="16"/>
      <c r="BG110" s="16"/>
      <c r="BH110" s="13"/>
      <c r="BI110" s="18" t="s">
        <v>6375</v>
      </c>
      <c r="BJ110" s="13">
        <v>200</v>
      </c>
      <c r="BK110" s="17">
        <v>44129</v>
      </c>
      <c r="BL110" s="18" t="s">
        <v>6376</v>
      </c>
      <c r="BM110" s="18"/>
      <c r="BN110" s="18" t="s">
        <v>6377</v>
      </c>
      <c r="BO110" s="18" t="s">
        <v>6378</v>
      </c>
      <c r="BP110" s="14" t="s">
        <v>6379</v>
      </c>
      <c r="BQ110" s="17">
        <v>43691</v>
      </c>
      <c r="BR110" s="16"/>
      <c r="BS110" s="17"/>
      <c r="BT110" s="16"/>
      <c r="BU110" s="17"/>
      <c r="BV110" s="16"/>
      <c r="BW110" s="17"/>
      <c r="BX110" s="16"/>
      <c r="BY110" s="17"/>
      <c r="BZ110" s="19">
        <v>12.315034821299548</v>
      </c>
      <c r="CA110" s="19"/>
      <c r="CB110" s="17"/>
      <c r="CC110" s="14" t="s">
        <v>5104</v>
      </c>
      <c r="CD110" s="14" t="s">
        <v>5037</v>
      </c>
      <c r="CE110" s="14" t="s">
        <v>5004</v>
      </c>
    </row>
    <row r="111" spans="1:83" ht="26.15" hidden="1" customHeight="1">
      <c r="A111" s="13">
        <v>105</v>
      </c>
      <c r="B111" s="14" t="s">
        <v>1576</v>
      </c>
      <c r="C111" s="14" t="s">
        <v>1577</v>
      </c>
      <c r="D111" s="14" t="s">
        <v>1579</v>
      </c>
      <c r="E111" s="13">
        <v>2016</v>
      </c>
      <c r="F111" s="14" t="s">
        <v>6380</v>
      </c>
      <c r="G111" s="14" t="s">
        <v>6381</v>
      </c>
      <c r="H111" s="14" t="s">
        <v>4343</v>
      </c>
      <c r="I111" s="15" t="s">
        <v>3117</v>
      </c>
      <c r="J111" s="16">
        <v>3000000</v>
      </c>
      <c r="K111" s="17">
        <v>43270</v>
      </c>
      <c r="L111" s="16" t="s">
        <v>5069</v>
      </c>
      <c r="M111" s="16">
        <v>3000000</v>
      </c>
      <c r="N111" s="14" t="s">
        <v>34</v>
      </c>
      <c r="O111" s="13">
        <v>4</v>
      </c>
      <c r="P111" s="17">
        <v>43993</v>
      </c>
      <c r="Q111" s="14"/>
      <c r="R111" s="17"/>
      <c r="S111" s="17"/>
      <c r="T111" s="14" t="s">
        <v>1</v>
      </c>
      <c r="U111" s="14" t="s">
        <v>5007</v>
      </c>
      <c r="V111" s="14" t="s">
        <v>6382</v>
      </c>
      <c r="W111" s="14"/>
      <c r="X111" s="14" t="s">
        <v>4039</v>
      </c>
      <c r="Y111" s="14"/>
      <c r="Z111" s="14" t="s">
        <v>6383</v>
      </c>
      <c r="AA111" s="14"/>
      <c r="AB111" s="14" t="s">
        <v>4343</v>
      </c>
      <c r="AC111" s="14"/>
      <c r="AD111" s="14" t="s">
        <v>6384</v>
      </c>
      <c r="AE111" s="14" t="s">
        <v>6385</v>
      </c>
      <c r="AF111" s="14" t="s">
        <v>6386</v>
      </c>
      <c r="AG111" s="14" t="s">
        <v>6387</v>
      </c>
      <c r="AH111" s="18"/>
      <c r="AI111" s="16"/>
      <c r="AJ111" s="17"/>
      <c r="AK111" s="15" t="s">
        <v>3123</v>
      </c>
      <c r="AL111" s="17"/>
      <c r="AM111" s="16"/>
      <c r="AN111" s="14"/>
      <c r="AO111" s="14"/>
      <c r="AP111" s="15" t="s">
        <v>3123</v>
      </c>
      <c r="AQ111" s="14"/>
      <c r="AR111" s="17"/>
      <c r="AS111" s="16"/>
      <c r="AT111" s="14"/>
      <c r="AU111" s="15" t="s">
        <v>3123</v>
      </c>
      <c r="AV111" s="14"/>
      <c r="AW111" s="17"/>
      <c r="AX111" s="16"/>
      <c r="AY111" s="16"/>
      <c r="AZ111" s="16"/>
      <c r="BA111" s="16"/>
      <c r="BB111" s="15" t="s">
        <v>3123</v>
      </c>
      <c r="BC111" s="17"/>
      <c r="BD111" s="14"/>
      <c r="BE111" s="14"/>
      <c r="BF111" s="16"/>
      <c r="BG111" s="16"/>
      <c r="BH111" s="13"/>
      <c r="BI111" s="18" t="s">
        <v>6388</v>
      </c>
      <c r="BJ111" s="13">
        <v>200</v>
      </c>
      <c r="BK111" s="17">
        <v>44129</v>
      </c>
      <c r="BL111" s="18" t="s">
        <v>6389</v>
      </c>
      <c r="BM111" s="18"/>
      <c r="BN111" s="18"/>
      <c r="BO111" s="18"/>
      <c r="BP111" s="14" t="s">
        <v>6390</v>
      </c>
      <c r="BQ111" s="17">
        <v>43034</v>
      </c>
      <c r="BR111" s="16"/>
      <c r="BS111" s="17"/>
      <c r="BT111" s="16"/>
      <c r="BU111" s="17"/>
      <c r="BV111" s="16"/>
      <c r="BW111" s="17"/>
      <c r="BX111" s="16"/>
      <c r="BY111" s="17"/>
      <c r="BZ111" s="19">
        <v>27.797354899276986</v>
      </c>
      <c r="CA111" s="19"/>
      <c r="CB111" s="17"/>
      <c r="CC111" s="14" t="s">
        <v>5104</v>
      </c>
      <c r="CD111" s="14"/>
      <c r="CE111" s="14" t="s">
        <v>6391</v>
      </c>
    </row>
    <row r="112" spans="1:83" ht="26.15" customHeight="1">
      <c r="A112" s="13">
        <v>106</v>
      </c>
      <c r="B112" s="14" t="s">
        <v>1373</v>
      </c>
      <c r="C112" s="14" t="s">
        <v>1374</v>
      </c>
      <c r="D112" s="14" t="s">
        <v>1365</v>
      </c>
      <c r="E112" s="13">
        <v>2016</v>
      </c>
      <c r="F112" s="14" t="s">
        <v>6392</v>
      </c>
      <c r="G112" s="14" t="s">
        <v>6392</v>
      </c>
      <c r="H112" s="14" t="s">
        <v>6393</v>
      </c>
      <c r="I112" s="15" t="s">
        <v>3117</v>
      </c>
      <c r="J112" s="16">
        <v>100000</v>
      </c>
      <c r="K112" s="17">
        <v>43405</v>
      </c>
      <c r="L112" s="16" t="s">
        <v>5252</v>
      </c>
      <c r="M112" s="16">
        <v>100000</v>
      </c>
      <c r="N112" s="14" t="s">
        <v>34</v>
      </c>
      <c r="O112" s="13">
        <v>4</v>
      </c>
      <c r="P112" s="17">
        <v>44011</v>
      </c>
      <c r="Q112" s="14"/>
      <c r="R112" s="17"/>
      <c r="S112" s="17"/>
      <c r="T112" s="14" t="s">
        <v>6394</v>
      </c>
      <c r="U112" s="14" t="s">
        <v>6395</v>
      </c>
      <c r="V112" s="14" t="s">
        <v>6396</v>
      </c>
      <c r="W112" s="14"/>
      <c r="X112" s="14" t="s">
        <v>1375</v>
      </c>
      <c r="Y112" s="14"/>
      <c r="Z112" s="14" t="s">
        <v>6397</v>
      </c>
      <c r="AA112" s="14"/>
      <c r="AB112" s="14" t="s">
        <v>6393</v>
      </c>
      <c r="AC112" s="14" t="s">
        <v>6398</v>
      </c>
      <c r="AD112" s="14" t="s">
        <v>6399</v>
      </c>
      <c r="AE112" s="14" t="s">
        <v>6400</v>
      </c>
      <c r="AF112" s="14"/>
      <c r="AG112" s="14" t="s">
        <v>6401</v>
      </c>
      <c r="AH112" s="18"/>
      <c r="AI112" s="16"/>
      <c r="AJ112" s="17"/>
      <c r="AK112" s="15" t="s">
        <v>3123</v>
      </c>
      <c r="AL112" s="17"/>
      <c r="AM112" s="16"/>
      <c r="AN112" s="14"/>
      <c r="AO112" s="14"/>
      <c r="AP112" s="15" t="s">
        <v>3123</v>
      </c>
      <c r="AQ112" s="14"/>
      <c r="AR112" s="17"/>
      <c r="AS112" s="16"/>
      <c r="AT112" s="14"/>
      <c r="AU112" s="15" t="s">
        <v>3123</v>
      </c>
      <c r="AV112" s="14"/>
      <c r="AW112" s="17"/>
      <c r="AX112" s="16"/>
      <c r="AY112" s="16"/>
      <c r="AZ112" s="16"/>
      <c r="BA112" s="16"/>
      <c r="BB112" s="15" t="s">
        <v>3123</v>
      </c>
      <c r="BC112" s="17"/>
      <c r="BD112" s="14"/>
      <c r="BE112" s="14"/>
      <c r="BF112" s="16"/>
      <c r="BG112" s="16"/>
      <c r="BH112" s="13"/>
      <c r="BI112" s="18" t="s">
        <v>6402</v>
      </c>
      <c r="BJ112" s="13">
        <v>200</v>
      </c>
      <c r="BK112" s="17">
        <v>44129</v>
      </c>
      <c r="BL112" s="18" t="s">
        <v>6403</v>
      </c>
      <c r="BM112" s="18" t="s">
        <v>6404</v>
      </c>
      <c r="BN112" s="18" t="s">
        <v>6405</v>
      </c>
      <c r="BO112" s="18"/>
      <c r="BP112" s="14" t="s">
        <v>6406</v>
      </c>
      <c r="BQ112" s="17">
        <v>43594</v>
      </c>
      <c r="BR112" s="16"/>
      <c r="BS112" s="17"/>
      <c r="BT112" s="16"/>
      <c r="BU112" s="17"/>
      <c r="BV112" s="16"/>
      <c r="BW112" s="17"/>
      <c r="BX112" s="16"/>
      <c r="BY112" s="17"/>
      <c r="BZ112" s="19">
        <v>33.717929586693558</v>
      </c>
      <c r="CA112" s="19"/>
      <c r="CB112" s="17"/>
      <c r="CC112" s="14" t="s">
        <v>6407</v>
      </c>
      <c r="CD112" s="14" t="s">
        <v>5628</v>
      </c>
      <c r="CE112" s="14" t="s">
        <v>5311</v>
      </c>
    </row>
    <row r="113" spans="1:83" ht="26.15" customHeight="1">
      <c r="A113" s="13">
        <v>107</v>
      </c>
      <c r="B113" s="14" t="s">
        <v>680</v>
      </c>
      <c r="C113" s="14" t="s">
        <v>681</v>
      </c>
      <c r="D113" s="14" t="s">
        <v>685</v>
      </c>
      <c r="E113" s="13">
        <v>2016</v>
      </c>
      <c r="F113" s="14" t="s">
        <v>6279</v>
      </c>
      <c r="G113" s="14" t="s">
        <v>6280</v>
      </c>
      <c r="H113" s="14" t="s">
        <v>6281</v>
      </c>
      <c r="I113" s="15" t="s">
        <v>3117</v>
      </c>
      <c r="J113" s="16">
        <v>20000</v>
      </c>
      <c r="K113" s="17">
        <v>43778</v>
      </c>
      <c r="L113" s="16" t="s">
        <v>6298</v>
      </c>
      <c r="M113" s="16">
        <v>20000</v>
      </c>
      <c r="N113" s="14" t="s">
        <v>34</v>
      </c>
      <c r="O113" s="13">
        <v>3</v>
      </c>
      <c r="P113" s="17">
        <v>44033</v>
      </c>
      <c r="Q113" s="14"/>
      <c r="R113" s="17"/>
      <c r="S113" s="17"/>
      <c r="T113" s="14" t="s">
        <v>1</v>
      </c>
      <c r="U113" s="14" t="s">
        <v>5007</v>
      </c>
      <c r="V113" s="14" t="s">
        <v>6408</v>
      </c>
      <c r="W113" s="14"/>
      <c r="X113" s="14" t="s">
        <v>6409</v>
      </c>
      <c r="Y113" s="14"/>
      <c r="Z113" s="14" t="s">
        <v>6410</v>
      </c>
      <c r="AA113" s="14"/>
      <c r="AB113" s="14" t="s">
        <v>6281</v>
      </c>
      <c r="AC113" s="14" t="s">
        <v>6411</v>
      </c>
      <c r="AD113" s="14" t="s">
        <v>6412</v>
      </c>
      <c r="AE113" s="14" t="s">
        <v>6413</v>
      </c>
      <c r="AF113" s="14" t="s">
        <v>6414</v>
      </c>
      <c r="AG113" s="14" t="s">
        <v>6415</v>
      </c>
      <c r="AH113" s="18"/>
      <c r="AI113" s="16"/>
      <c r="AJ113" s="17"/>
      <c r="AK113" s="15" t="s">
        <v>3123</v>
      </c>
      <c r="AL113" s="17"/>
      <c r="AM113" s="16"/>
      <c r="AN113" s="14"/>
      <c r="AO113" s="14"/>
      <c r="AP113" s="15" t="s">
        <v>3123</v>
      </c>
      <c r="AQ113" s="14"/>
      <c r="AR113" s="17"/>
      <c r="AS113" s="16"/>
      <c r="AT113" s="14"/>
      <c r="AU113" s="15" t="s">
        <v>3123</v>
      </c>
      <c r="AV113" s="14"/>
      <c r="AW113" s="17"/>
      <c r="AX113" s="16"/>
      <c r="AY113" s="16"/>
      <c r="AZ113" s="16"/>
      <c r="BA113" s="16"/>
      <c r="BB113" s="15" t="s">
        <v>3123</v>
      </c>
      <c r="BC113" s="17"/>
      <c r="BD113" s="14"/>
      <c r="BE113" s="14"/>
      <c r="BF113" s="16"/>
      <c r="BG113" s="16"/>
      <c r="BH113" s="13"/>
      <c r="BI113" s="18" t="s">
        <v>6416</v>
      </c>
      <c r="BJ113" s="13">
        <v>200</v>
      </c>
      <c r="BK113" s="17">
        <v>44129</v>
      </c>
      <c r="BL113" s="18"/>
      <c r="BM113" s="18" t="s">
        <v>6417</v>
      </c>
      <c r="BN113" s="18" t="s">
        <v>6418</v>
      </c>
      <c r="BO113" s="18"/>
      <c r="BP113" s="14" t="s">
        <v>6419</v>
      </c>
      <c r="BQ113" s="17">
        <v>43798</v>
      </c>
      <c r="BR113" s="16"/>
      <c r="BS113" s="17"/>
      <c r="BT113" s="16"/>
      <c r="BU113" s="17"/>
      <c r="BV113" s="16"/>
      <c r="BW113" s="17"/>
      <c r="BX113" s="16"/>
      <c r="BY113" s="17"/>
      <c r="BZ113" s="19">
        <v>35.507757950246187</v>
      </c>
      <c r="CA113" s="19"/>
      <c r="CB113" s="17"/>
      <c r="CC113" s="14" t="s">
        <v>6033</v>
      </c>
      <c r="CD113" s="14" t="s">
        <v>6034</v>
      </c>
      <c r="CE113" s="14" t="s">
        <v>5004</v>
      </c>
    </row>
    <row r="114" spans="1:83" ht="26.15" customHeight="1">
      <c r="A114" s="13">
        <v>108</v>
      </c>
      <c r="B114" s="14" t="s">
        <v>669</v>
      </c>
      <c r="C114" s="14" t="s">
        <v>670</v>
      </c>
      <c r="D114" s="14" t="s">
        <v>671</v>
      </c>
      <c r="E114" s="13">
        <v>2015</v>
      </c>
      <c r="F114" s="14" t="s">
        <v>5067</v>
      </c>
      <c r="G114" s="14" t="s">
        <v>5068</v>
      </c>
      <c r="H114" s="14" t="s">
        <v>3994</v>
      </c>
      <c r="I114" s="15" t="s">
        <v>3117</v>
      </c>
      <c r="J114" s="16">
        <v>4000000</v>
      </c>
      <c r="K114" s="17">
        <v>43789</v>
      </c>
      <c r="L114" s="16" t="s">
        <v>5456</v>
      </c>
      <c r="M114" s="16">
        <v>4000000</v>
      </c>
      <c r="N114" s="14" t="s">
        <v>109</v>
      </c>
      <c r="O114" s="13">
        <v>4</v>
      </c>
      <c r="P114" s="17">
        <v>44003</v>
      </c>
      <c r="Q114" s="14"/>
      <c r="R114" s="17"/>
      <c r="S114" s="17"/>
      <c r="T114" s="14" t="s">
        <v>5315</v>
      </c>
      <c r="U114" s="14" t="s">
        <v>5316</v>
      </c>
      <c r="V114" s="14" t="s">
        <v>5317</v>
      </c>
      <c r="W114" s="14"/>
      <c r="X114" s="14" t="s">
        <v>6420</v>
      </c>
      <c r="Y114" s="14" t="s">
        <v>6421</v>
      </c>
      <c r="Z114" s="14" t="s">
        <v>6422</v>
      </c>
      <c r="AA114" s="14"/>
      <c r="AB114" s="14" t="s">
        <v>3994</v>
      </c>
      <c r="AC114" s="14"/>
      <c r="AD114" s="14" t="s">
        <v>6423</v>
      </c>
      <c r="AE114" s="14" t="s">
        <v>6424</v>
      </c>
      <c r="AF114" s="14" t="s">
        <v>6425</v>
      </c>
      <c r="AG114" s="14" t="s">
        <v>6426</v>
      </c>
      <c r="AH114" s="18"/>
      <c r="AI114" s="16">
        <v>6700</v>
      </c>
      <c r="AJ114" s="17">
        <v>43465</v>
      </c>
      <c r="AK114" s="15" t="s">
        <v>3123</v>
      </c>
      <c r="AL114" s="17"/>
      <c r="AM114" s="16"/>
      <c r="AN114" s="14"/>
      <c r="AO114" s="14"/>
      <c r="AP114" s="15" t="s">
        <v>3123</v>
      </c>
      <c r="AQ114" s="14"/>
      <c r="AR114" s="17"/>
      <c r="AS114" s="16"/>
      <c r="AT114" s="14"/>
      <c r="AU114" s="15" t="s">
        <v>3123</v>
      </c>
      <c r="AV114" s="14"/>
      <c r="AW114" s="17"/>
      <c r="AX114" s="16"/>
      <c r="AY114" s="16"/>
      <c r="AZ114" s="16"/>
      <c r="BA114" s="16"/>
      <c r="BB114" s="15" t="s">
        <v>3123</v>
      </c>
      <c r="BC114" s="17"/>
      <c r="BD114" s="14"/>
      <c r="BE114" s="14"/>
      <c r="BF114" s="16"/>
      <c r="BG114" s="16"/>
      <c r="BH114" s="13"/>
      <c r="BI114" s="18" t="s">
        <v>6427</v>
      </c>
      <c r="BJ114" s="13">
        <v>200</v>
      </c>
      <c r="BK114" s="17">
        <v>44128</v>
      </c>
      <c r="BL114" s="18"/>
      <c r="BM114" s="18"/>
      <c r="BN114" s="18"/>
      <c r="BO114" s="18"/>
      <c r="BP114" s="14" t="s">
        <v>6428</v>
      </c>
      <c r="BQ114" s="17">
        <v>43039</v>
      </c>
      <c r="BR114" s="16">
        <v>-11200</v>
      </c>
      <c r="BS114" s="17">
        <v>43465</v>
      </c>
      <c r="BT114" s="16">
        <v>-10500</v>
      </c>
      <c r="BU114" s="17">
        <v>43465</v>
      </c>
      <c r="BV114" s="16">
        <v>3000000</v>
      </c>
      <c r="BW114" s="17">
        <v>43733</v>
      </c>
      <c r="BX114" s="16"/>
      <c r="BY114" s="17"/>
      <c r="BZ114" s="19">
        <v>31.676319189800402</v>
      </c>
      <c r="CA114" s="19"/>
      <c r="CB114" s="17"/>
      <c r="CC114" s="14" t="s">
        <v>5104</v>
      </c>
      <c r="CD114" s="14" t="s">
        <v>5037</v>
      </c>
      <c r="CE114" s="14" t="s">
        <v>5004</v>
      </c>
    </row>
    <row r="115" spans="1:83" ht="26.15" customHeight="1">
      <c r="A115" s="13">
        <v>109</v>
      </c>
      <c r="B115" s="14" t="s">
        <v>329</v>
      </c>
      <c r="C115" s="14" t="s">
        <v>330</v>
      </c>
      <c r="D115" s="14" t="s">
        <v>334</v>
      </c>
      <c r="E115" s="13">
        <v>2015</v>
      </c>
      <c r="F115" s="14" t="s">
        <v>6429</v>
      </c>
      <c r="G115" s="14" t="s">
        <v>5674</v>
      </c>
      <c r="H115" s="14" t="s">
        <v>2057</v>
      </c>
      <c r="I115" s="15" t="s">
        <v>3117</v>
      </c>
      <c r="J115" s="16">
        <v>1489730</v>
      </c>
      <c r="K115" s="17">
        <v>43987</v>
      </c>
      <c r="L115" s="16"/>
      <c r="M115" s="16" t="s">
        <v>50</v>
      </c>
      <c r="N115" s="14" t="s">
        <v>34</v>
      </c>
      <c r="O115" s="13">
        <v>4</v>
      </c>
      <c r="P115" s="17">
        <v>44082</v>
      </c>
      <c r="Q115" s="14"/>
      <c r="R115" s="17"/>
      <c r="S115" s="17"/>
      <c r="T115" s="14" t="s">
        <v>1</v>
      </c>
      <c r="U115" s="14" t="s">
        <v>5007</v>
      </c>
      <c r="V115" s="14" t="s">
        <v>6430</v>
      </c>
      <c r="W115" s="14"/>
      <c r="X115" s="14" t="s">
        <v>6431</v>
      </c>
      <c r="Y115" s="14"/>
      <c r="Z115" s="14" t="s">
        <v>6432</v>
      </c>
      <c r="AA115" s="14"/>
      <c r="AB115" s="14" t="s">
        <v>2057</v>
      </c>
      <c r="AC115" s="14"/>
      <c r="AD115" s="14" t="s">
        <v>6433</v>
      </c>
      <c r="AE115" s="14"/>
      <c r="AF115" s="14"/>
      <c r="AG115" s="14"/>
      <c r="AH115" s="18"/>
      <c r="AI115" s="16"/>
      <c r="AJ115" s="17"/>
      <c r="AK115" s="15" t="s">
        <v>3123</v>
      </c>
      <c r="AL115" s="17"/>
      <c r="AM115" s="16"/>
      <c r="AN115" s="14"/>
      <c r="AO115" s="14"/>
      <c r="AP115" s="15" t="s">
        <v>3123</v>
      </c>
      <c r="AQ115" s="14"/>
      <c r="AR115" s="17"/>
      <c r="AS115" s="16"/>
      <c r="AT115" s="14"/>
      <c r="AU115" s="15" t="s">
        <v>3123</v>
      </c>
      <c r="AV115" s="14"/>
      <c r="AW115" s="17"/>
      <c r="AX115" s="16"/>
      <c r="AY115" s="16"/>
      <c r="AZ115" s="16"/>
      <c r="BA115" s="16"/>
      <c r="BB115" s="15" t="s">
        <v>3123</v>
      </c>
      <c r="BC115" s="17"/>
      <c r="BD115" s="14"/>
      <c r="BE115" s="14"/>
      <c r="BF115" s="16"/>
      <c r="BG115" s="16"/>
      <c r="BH115" s="13"/>
      <c r="BI115" s="18" t="s">
        <v>6434</v>
      </c>
      <c r="BJ115" s="13">
        <v>200</v>
      </c>
      <c r="BK115" s="17">
        <v>44129</v>
      </c>
      <c r="BL115" s="18" t="s">
        <v>6435</v>
      </c>
      <c r="BM115" s="18"/>
      <c r="BN115" s="18"/>
      <c r="BO115" s="18"/>
      <c r="BP115" s="14" t="s">
        <v>6436</v>
      </c>
      <c r="BQ115" s="17">
        <v>43564</v>
      </c>
      <c r="BR115" s="16"/>
      <c r="BS115" s="17"/>
      <c r="BT115" s="16"/>
      <c r="BU115" s="17"/>
      <c r="BV115" s="16"/>
      <c r="BW115" s="17"/>
      <c r="BX115" s="16"/>
      <c r="BY115" s="17"/>
      <c r="BZ115" s="19">
        <v>27.113306612929392</v>
      </c>
      <c r="CA115" s="19"/>
      <c r="CB115" s="17"/>
      <c r="CC115" s="14" t="s">
        <v>5204</v>
      </c>
      <c r="CD115" s="14" t="s">
        <v>6437</v>
      </c>
      <c r="CE115" s="14" t="s">
        <v>5311</v>
      </c>
    </row>
    <row r="116" spans="1:83" ht="26.15" customHeight="1">
      <c r="A116" s="13">
        <v>110</v>
      </c>
      <c r="B116" s="14" t="s">
        <v>1483</v>
      </c>
      <c r="C116" s="14" t="s">
        <v>1484</v>
      </c>
      <c r="D116" s="14" t="s">
        <v>1488</v>
      </c>
      <c r="E116" s="13">
        <v>2013</v>
      </c>
      <c r="F116" s="14" t="s">
        <v>6438</v>
      </c>
      <c r="G116" s="14" t="s">
        <v>5190</v>
      </c>
      <c r="H116" s="14" t="s">
        <v>1258</v>
      </c>
      <c r="I116" s="15" t="s">
        <v>3117</v>
      </c>
      <c r="J116" s="16"/>
      <c r="K116" s="17">
        <v>43326</v>
      </c>
      <c r="L116" s="16"/>
      <c r="M116" s="16" t="s">
        <v>50</v>
      </c>
      <c r="N116" s="14" t="s">
        <v>109</v>
      </c>
      <c r="O116" s="13">
        <v>4</v>
      </c>
      <c r="P116" s="17">
        <v>43965</v>
      </c>
      <c r="Q116" s="14"/>
      <c r="R116" s="17"/>
      <c r="S116" s="17"/>
      <c r="T116" s="14" t="s">
        <v>5315</v>
      </c>
      <c r="U116" s="14" t="s">
        <v>5316</v>
      </c>
      <c r="V116" s="14" t="s">
        <v>6439</v>
      </c>
      <c r="W116" s="14"/>
      <c r="X116" s="14" t="s">
        <v>1486</v>
      </c>
      <c r="Y116" s="14"/>
      <c r="Z116" s="14" t="s">
        <v>6440</v>
      </c>
      <c r="AA116" s="14"/>
      <c r="AB116" s="14" t="s">
        <v>1258</v>
      </c>
      <c r="AC116" s="14" t="s">
        <v>6441</v>
      </c>
      <c r="AD116" s="14" t="s">
        <v>6442</v>
      </c>
      <c r="AE116" s="14" t="s">
        <v>6443</v>
      </c>
      <c r="AF116" s="14"/>
      <c r="AG116" s="14" t="s">
        <v>6444</v>
      </c>
      <c r="AH116" s="18"/>
      <c r="AI116" s="16"/>
      <c r="AJ116" s="17"/>
      <c r="AK116" s="15" t="s">
        <v>3123</v>
      </c>
      <c r="AL116" s="17"/>
      <c r="AM116" s="16"/>
      <c r="AN116" s="14"/>
      <c r="AO116" s="14"/>
      <c r="AP116" s="15" t="s">
        <v>3123</v>
      </c>
      <c r="AQ116" s="14"/>
      <c r="AR116" s="17"/>
      <c r="AS116" s="16"/>
      <c r="AT116" s="14"/>
      <c r="AU116" s="15" t="s">
        <v>3123</v>
      </c>
      <c r="AV116" s="14"/>
      <c r="AW116" s="17"/>
      <c r="AX116" s="16"/>
      <c r="AY116" s="16"/>
      <c r="AZ116" s="16"/>
      <c r="BA116" s="16"/>
      <c r="BB116" s="15" t="s">
        <v>3123</v>
      </c>
      <c r="BC116" s="17"/>
      <c r="BD116" s="14"/>
      <c r="BE116" s="14"/>
      <c r="BF116" s="16"/>
      <c r="BG116" s="16"/>
      <c r="BH116" s="13"/>
      <c r="BI116" s="18" t="s">
        <v>6445</v>
      </c>
      <c r="BJ116" s="13">
        <v>503</v>
      </c>
      <c r="BK116" s="17">
        <v>44128</v>
      </c>
      <c r="BL116" s="18" t="s">
        <v>6446</v>
      </c>
      <c r="BM116" s="18"/>
      <c r="BN116" s="18"/>
      <c r="BO116" s="18"/>
      <c r="BP116" s="14" t="s">
        <v>6447</v>
      </c>
      <c r="BQ116" s="17">
        <v>43965</v>
      </c>
      <c r="BR116" s="16"/>
      <c r="BS116" s="17"/>
      <c r="BT116" s="16"/>
      <c r="BU116" s="17"/>
      <c r="BV116" s="16"/>
      <c r="BW116" s="17"/>
      <c r="BX116" s="16"/>
      <c r="BY116" s="17"/>
      <c r="BZ116" s="19">
        <v>16.041681261735846</v>
      </c>
      <c r="CA116" s="19"/>
      <c r="CB116" s="17"/>
      <c r="CC116" s="14" t="s">
        <v>5104</v>
      </c>
      <c r="CD116" s="14" t="s">
        <v>5439</v>
      </c>
      <c r="CE116" s="14" t="s">
        <v>5311</v>
      </c>
    </row>
    <row r="117" spans="1:83" ht="26.15" customHeight="1">
      <c r="A117" s="13">
        <v>111</v>
      </c>
      <c r="B117" s="14" t="s">
        <v>871</v>
      </c>
      <c r="C117" s="14" t="s">
        <v>872</v>
      </c>
      <c r="D117" s="14" t="s">
        <v>876</v>
      </c>
      <c r="E117" s="13">
        <v>2013</v>
      </c>
      <c r="F117" s="14" t="s">
        <v>6448</v>
      </c>
      <c r="G117" s="14" t="s">
        <v>6449</v>
      </c>
      <c r="H117" s="14" t="s">
        <v>2057</v>
      </c>
      <c r="I117" s="15" t="s">
        <v>3117</v>
      </c>
      <c r="J117" s="16"/>
      <c r="K117" s="17">
        <v>43707</v>
      </c>
      <c r="L117" s="16"/>
      <c r="M117" s="16" t="s">
        <v>50</v>
      </c>
      <c r="N117" s="14" t="s">
        <v>109</v>
      </c>
      <c r="O117" s="13">
        <v>2</v>
      </c>
      <c r="P117" s="17">
        <v>44081</v>
      </c>
      <c r="Q117" s="14"/>
      <c r="R117" s="17"/>
      <c r="S117" s="17"/>
      <c r="T117" s="14" t="s">
        <v>6450</v>
      </c>
      <c r="U117" s="14" t="s">
        <v>6451</v>
      </c>
      <c r="V117" s="14" t="s">
        <v>6452</v>
      </c>
      <c r="W117" s="14"/>
      <c r="X117" s="14" t="s">
        <v>6453</v>
      </c>
      <c r="Y117" s="14"/>
      <c r="Z117" s="14" t="s">
        <v>6454</v>
      </c>
      <c r="AA117" s="14"/>
      <c r="AB117" s="14" t="s">
        <v>2057</v>
      </c>
      <c r="AC117" s="14" t="s">
        <v>6455</v>
      </c>
      <c r="AD117" s="14" t="s">
        <v>6456</v>
      </c>
      <c r="AE117" s="14" t="s">
        <v>6457</v>
      </c>
      <c r="AF117" s="14" t="s">
        <v>6458</v>
      </c>
      <c r="AG117" s="14"/>
      <c r="AH117" s="18"/>
      <c r="AI117" s="16"/>
      <c r="AJ117" s="17"/>
      <c r="AK117" s="15" t="s">
        <v>3123</v>
      </c>
      <c r="AL117" s="17"/>
      <c r="AM117" s="16"/>
      <c r="AN117" s="14"/>
      <c r="AO117" s="14"/>
      <c r="AP117" s="15" t="s">
        <v>3123</v>
      </c>
      <c r="AQ117" s="14"/>
      <c r="AR117" s="17"/>
      <c r="AS117" s="16"/>
      <c r="AT117" s="14"/>
      <c r="AU117" s="15" t="s">
        <v>3123</v>
      </c>
      <c r="AV117" s="14"/>
      <c r="AW117" s="17"/>
      <c r="AX117" s="16"/>
      <c r="AY117" s="16"/>
      <c r="AZ117" s="16"/>
      <c r="BA117" s="16"/>
      <c r="BB117" s="15" t="s">
        <v>3123</v>
      </c>
      <c r="BC117" s="17"/>
      <c r="BD117" s="14"/>
      <c r="BE117" s="14"/>
      <c r="BF117" s="16"/>
      <c r="BG117" s="16"/>
      <c r="BH117" s="13"/>
      <c r="BI117" s="18" t="s">
        <v>6459</v>
      </c>
      <c r="BJ117" s="13">
        <v>200</v>
      </c>
      <c r="BK117" s="17">
        <v>44129</v>
      </c>
      <c r="BL117" s="18"/>
      <c r="BM117" s="18"/>
      <c r="BN117" s="18"/>
      <c r="BO117" s="18"/>
      <c r="BP117" s="14" t="s">
        <v>6460</v>
      </c>
      <c r="BQ117" s="17">
        <v>43276</v>
      </c>
      <c r="BR117" s="16"/>
      <c r="BS117" s="17"/>
      <c r="BT117" s="16"/>
      <c r="BU117" s="17"/>
      <c r="BV117" s="16"/>
      <c r="BW117" s="17"/>
      <c r="BX117" s="16"/>
      <c r="BY117" s="17"/>
      <c r="BZ117" s="19">
        <v>22.575057759531688</v>
      </c>
      <c r="CA117" s="19"/>
      <c r="CB117" s="17"/>
      <c r="CC117" s="14" t="s">
        <v>6461</v>
      </c>
      <c r="CD117" s="14" t="s">
        <v>5388</v>
      </c>
      <c r="CE117" s="14" t="s">
        <v>5521</v>
      </c>
    </row>
    <row r="118" spans="1:83" ht="26.15" customHeight="1">
      <c r="A118" s="13">
        <v>112</v>
      </c>
      <c r="B118" s="14" t="s">
        <v>185</v>
      </c>
      <c r="C118" s="14" t="s">
        <v>186</v>
      </c>
      <c r="D118" s="14" t="s">
        <v>189</v>
      </c>
      <c r="E118" s="13">
        <v>2015</v>
      </c>
      <c r="F118" s="14" t="s">
        <v>5132</v>
      </c>
      <c r="G118" s="14" t="s">
        <v>5133</v>
      </c>
      <c r="H118" s="14" t="s">
        <v>3994</v>
      </c>
      <c r="I118" s="15" t="s">
        <v>3117</v>
      </c>
      <c r="J118" s="16">
        <v>65736870</v>
      </c>
      <c r="K118" s="17">
        <v>44063</v>
      </c>
      <c r="L118" s="16" t="s">
        <v>6462</v>
      </c>
      <c r="M118" s="16">
        <v>114000</v>
      </c>
      <c r="N118" s="14" t="s">
        <v>95</v>
      </c>
      <c r="O118" s="13">
        <v>4</v>
      </c>
      <c r="P118" s="17">
        <v>44022</v>
      </c>
      <c r="Q118" s="14" t="s">
        <v>5544</v>
      </c>
      <c r="R118" s="17">
        <v>44070</v>
      </c>
      <c r="S118" s="17">
        <v>43867</v>
      </c>
      <c r="T118" s="14" t="s">
        <v>5509</v>
      </c>
      <c r="U118" s="14" t="s">
        <v>5510</v>
      </c>
      <c r="V118" s="14" t="s">
        <v>5696</v>
      </c>
      <c r="W118" s="14"/>
      <c r="X118" s="14" t="s">
        <v>6463</v>
      </c>
      <c r="Y118" s="14" t="s">
        <v>6464</v>
      </c>
      <c r="Z118" s="14" t="s">
        <v>6465</v>
      </c>
      <c r="AA118" s="14"/>
      <c r="AB118" s="14" t="s">
        <v>3994</v>
      </c>
      <c r="AC118" s="14" t="s">
        <v>6466</v>
      </c>
      <c r="AD118" s="14" t="s">
        <v>6467</v>
      </c>
      <c r="AE118" s="14" t="s">
        <v>6468</v>
      </c>
      <c r="AF118" s="14" t="s">
        <v>6469</v>
      </c>
      <c r="AG118" s="14" t="s">
        <v>6470</v>
      </c>
      <c r="AH118" s="18"/>
      <c r="AI118" s="16">
        <v>22692800</v>
      </c>
      <c r="AJ118" s="17">
        <v>43465</v>
      </c>
      <c r="AK118" s="15" t="s">
        <v>3117</v>
      </c>
      <c r="AL118" s="17">
        <v>42186</v>
      </c>
      <c r="AM118" s="16">
        <v>1570</v>
      </c>
      <c r="AN118" s="14" t="s">
        <v>6471</v>
      </c>
      <c r="AO118" s="14" t="s">
        <v>6472</v>
      </c>
      <c r="AP118" s="15" t="s">
        <v>3123</v>
      </c>
      <c r="AQ118" s="14"/>
      <c r="AR118" s="17"/>
      <c r="AS118" s="16"/>
      <c r="AT118" s="14"/>
      <c r="AU118" s="15" t="s">
        <v>3123</v>
      </c>
      <c r="AV118" s="14"/>
      <c r="AW118" s="17"/>
      <c r="AX118" s="16"/>
      <c r="AY118" s="16"/>
      <c r="AZ118" s="16"/>
      <c r="BA118" s="16"/>
      <c r="BB118" s="15" t="s">
        <v>3123</v>
      </c>
      <c r="BC118" s="17"/>
      <c r="BD118" s="14"/>
      <c r="BE118" s="14"/>
      <c r="BF118" s="16"/>
      <c r="BG118" s="16"/>
      <c r="BH118" s="13"/>
      <c r="BI118" s="18" t="s">
        <v>6473</v>
      </c>
      <c r="BJ118" s="13">
        <v>200</v>
      </c>
      <c r="BK118" s="17">
        <v>44129</v>
      </c>
      <c r="BL118" s="18" t="s">
        <v>6474</v>
      </c>
      <c r="BM118" s="18" t="s">
        <v>6475</v>
      </c>
      <c r="BN118" s="18" t="s">
        <v>6476</v>
      </c>
      <c r="BO118" s="18"/>
      <c r="BP118" s="14" t="s">
        <v>6477</v>
      </c>
      <c r="BQ118" s="17">
        <v>43046</v>
      </c>
      <c r="BR118" s="16">
        <v>-6601100</v>
      </c>
      <c r="BS118" s="17">
        <v>43465</v>
      </c>
      <c r="BT118" s="16">
        <v>-5298500</v>
      </c>
      <c r="BU118" s="17">
        <v>43465</v>
      </c>
      <c r="BV118" s="16">
        <v>125000000</v>
      </c>
      <c r="BW118" s="17">
        <v>43868</v>
      </c>
      <c r="BX118" s="16">
        <v>648</v>
      </c>
      <c r="BY118" s="17">
        <v>43921</v>
      </c>
      <c r="BZ118" s="19">
        <v>73.504201534520575</v>
      </c>
      <c r="CA118" s="19"/>
      <c r="CB118" s="17"/>
      <c r="CC118" s="14" t="s">
        <v>5036</v>
      </c>
      <c r="CD118" s="14" t="s">
        <v>6478</v>
      </c>
      <c r="CE118" s="14" t="s">
        <v>5004</v>
      </c>
    </row>
    <row r="119" spans="1:83" ht="26.15" customHeight="1">
      <c r="A119" s="13">
        <v>113</v>
      </c>
      <c r="B119" s="14" t="s">
        <v>615</v>
      </c>
      <c r="C119" s="14" t="s">
        <v>616</v>
      </c>
      <c r="D119" s="14" t="s">
        <v>620</v>
      </c>
      <c r="E119" s="13">
        <v>2004</v>
      </c>
      <c r="F119" s="14" t="s">
        <v>6479</v>
      </c>
      <c r="G119" s="14" t="s">
        <v>6480</v>
      </c>
      <c r="H119" s="14" t="s">
        <v>3994</v>
      </c>
      <c r="I119" s="15" t="s">
        <v>3117</v>
      </c>
      <c r="J119" s="16">
        <v>6000000</v>
      </c>
      <c r="K119" s="17">
        <v>43822</v>
      </c>
      <c r="L119" s="16" t="s">
        <v>6481</v>
      </c>
      <c r="M119" s="16">
        <v>6000000</v>
      </c>
      <c r="N119" s="14" t="s">
        <v>109</v>
      </c>
      <c r="O119" s="13">
        <v>3</v>
      </c>
      <c r="P119" s="17">
        <v>43972</v>
      </c>
      <c r="Q119" s="14"/>
      <c r="R119" s="17"/>
      <c r="S119" s="17"/>
      <c r="T119" s="14" t="s">
        <v>1</v>
      </c>
      <c r="U119" s="14" t="s">
        <v>5007</v>
      </c>
      <c r="V119" s="14" t="s">
        <v>6482</v>
      </c>
      <c r="W119" s="14"/>
      <c r="X119" s="14" t="s">
        <v>618</v>
      </c>
      <c r="Y119" s="14"/>
      <c r="Z119" s="14"/>
      <c r="AA119" s="14"/>
      <c r="AB119" s="14" t="s">
        <v>3994</v>
      </c>
      <c r="AC119" s="14"/>
      <c r="AD119" s="14"/>
      <c r="AE119" s="14" t="s">
        <v>6483</v>
      </c>
      <c r="AF119" s="14"/>
      <c r="AG119" s="14" t="s">
        <v>6484</v>
      </c>
      <c r="AH119" s="18"/>
      <c r="AI119" s="16">
        <v>9312700</v>
      </c>
      <c r="AJ119" s="17">
        <v>43465</v>
      </c>
      <c r="AK119" s="15" t="s">
        <v>3123</v>
      </c>
      <c r="AL119" s="17"/>
      <c r="AM119" s="16"/>
      <c r="AN119" s="14"/>
      <c r="AO119" s="14"/>
      <c r="AP119" s="15" t="s">
        <v>3123</v>
      </c>
      <c r="AQ119" s="14"/>
      <c r="AR119" s="17"/>
      <c r="AS119" s="16"/>
      <c r="AT119" s="14"/>
      <c r="AU119" s="15" t="s">
        <v>3123</v>
      </c>
      <c r="AV119" s="14"/>
      <c r="AW119" s="17"/>
      <c r="AX119" s="16"/>
      <c r="AY119" s="16"/>
      <c r="AZ119" s="16"/>
      <c r="BA119" s="16"/>
      <c r="BB119" s="15" t="s">
        <v>3123</v>
      </c>
      <c r="BC119" s="17"/>
      <c r="BD119" s="14"/>
      <c r="BE119" s="14"/>
      <c r="BF119" s="16"/>
      <c r="BG119" s="16"/>
      <c r="BH119" s="13"/>
      <c r="BI119" s="18" t="s">
        <v>6485</v>
      </c>
      <c r="BJ119" s="13">
        <v>200</v>
      </c>
      <c r="BK119" s="17">
        <v>44128</v>
      </c>
      <c r="BL119" s="18"/>
      <c r="BM119" s="18"/>
      <c r="BN119" s="18"/>
      <c r="BO119" s="18"/>
      <c r="BP119" s="14" t="s">
        <v>6486</v>
      </c>
      <c r="BQ119" s="17">
        <v>43825</v>
      </c>
      <c r="BR119" s="16">
        <v>698800</v>
      </c>
      <c r="BS119" s="17">
        <v>43465</v>
      </c>
      <c r="BT119" s="16">
        <v>1126200</v>
      </c>
      <c r="BU119" s="17">
        <v>43465</v>
      </c>
      <c r="BV119" s="16"/>
      <c r="BW119" s="17"/>
      <c r="BX119" s="16">
        <v>13</v>
      </c>
      <c r="BY119" s="17">
        <v>44012</v>
      </c>
      <c r="BZ119" s="19">
        <v>22.970199082804804</v>
      </c>
      <c r="CA119" s="19"/>
      <c r="CB119" s="17"/>
      <c r="CC119" s="14" t="s">
        <v>6487</v>
      </c>
      <c r="CD119" s="14" t="s">
        <v>5083</v>
      </c>
      <c r="CE119" s="14" t="s">
        <v>5004</v>
      </c>
    </row>
    <row r="120" spans="1:83" ht="26.15" customHeight="1">
      <c r="A120" s="13">
        <v>114</v>
      </c>
      <c r="B120" s="14" t="s">
        <v>1075</v>
      </c>
      <c r="C120" s="14" t="s">
        <v>1076</v>
      </c>
      <c r="D120" s="14" t="s">
        <v>1079</v>
      </c>
      <c r="E120" s="13">
        <v>2016</v>
      </c>
      <c r="F120" s="14" t="s">
        <v>4993</v>
      </c>
      <c r="G120" s="14" t="s">
        <v>4994</v>
      </c>
      <c r="H120" s="14" t="s">
        <v>2057</v>
      </c>
      <c r="I120" s="15" t="s">
        <v>3117</v>
      </c>
      <c r="J120" s="16"/>
      <c r="K120" s="17">
        <v>43573</v>
      </c>
      <c r="L120" s="16"/>
      <c r="M120" s="16" t="s">
        <v>50</v>
      </c>
      <c r="N120" s="14" t="s">
        <v>109</v>
      </c>
      <c r="O120" s="13">
        <v>4</v>
      </c>
      <c r="P120" s="17">
        <v>43992</v>
      </c>
      <c r="Q120" s="14"/>
      <c r="R120" s="17"/>
      <c r="S120" s="17"/>
      <c r="T120" s="14" t="s">
        <v>1</v>
      </c>
      <c r="U120" s="14" t="s">
        <v>5007</v>
      </c>
      <c r="V120" s="14" t="s">
        <v>6488</v>
      </c>
      <c r="W120" s="14"/>
      <c r="X120" s="14" t="s">
        <v>1078</v>
      </c>
      <c r="Y120" s="14"/>
      <c r="Z120" s="14" t="s">
        <v>6489</v>
      </c>
      <c r="AA120" s="14"/>
      <c r="AB120" s="14" t="s">
        <v>2057</v>
      </c>
      <c r="AC120" s="14"/>
      <c r="AD120" s="14" t="s">
        <v>6490</v>
      </c>
      <c r="AE120" s="14"/>
      <c r="AF120" s="14"/>
      <c r="AG120" s="14"/>
      <c r="AH120" s="18"/>
      <c r="AI120" s="16"/>
      <c r="AJ120" s="17"/>
      <c r="AK120" s="15" t="s">
        <v>3123</v>
      </c>
      <c r="AL120" s="17"/>
      <c r="AM120" s="16"/>
      <c r="AN120" s="14"/>
      <c r="AO120" s="14"/>
      <c r="AP120" s="15" t="s">
        <v>3123</v>
      </c>
      <c r="AQ120" s="14"/>
      <c r="AR120" s="17"/>
      <c r="AS120" s="16"/>
      <c r="AT120" s="14"/>
      <c r="AU120" s="15" t="s">
        <v>3123</v>
      </c>
      <c r="AV120" s="14"/>
      <c r="AW120" s="17"/>
      <c r="AX120" s="16"/>
      <c r="AY120" s="16"/>
      <c r="AZ120" s="16"/>
      <c r="BA120" s="16"/>
      <c r="BB120" s="15" t="s">
        <v>3123</v>
      </c>
      <c r="BC120" s="17"/>
      <c r="BD120" s="14"/>
      <c r="BE120" s="14"/>
      <c r="BF120" s="16"/>
      <c r="BG120" s="16"/>
      <c r="BH120" s="13"/>
      <c r="BI120" s="18" t="s">
        <v>6491</v>
      </c>
      <c r="BJ120" s="13">
        <v>200</v>
      </c>
      <c r="BK120" s="17">
        <v>44128</v>
      </c>
      <c r="BL120" s="18"/>
      <c r="BM120" s="18"/>
      <c r="BN120" s="18"/>
      <c r="BO120" s="18"/>
      <c r="BP120" s="14" t="s">
        <v>6492</v>
      </c>
      <c r="BQ120" s="17">
        <v>42930</v>
      </c>
      <c r="BR120" s="16"/>
      <c r="BS120" s="17"/>
      <c r="BT120" s="16"/>
      <c r="BU120" s="17"/>
      <c r="BV120" s="16"/>
      <c r="BW120" s="17"/>
      <c r="BX120" s="16"/>
      <c r="BY120" s="17"/>
      <c r="BZ120" s="19">
        <v>26.237954493549069</v>
      </c>
      <c r="CA120" s="19"/>
      <c r="CB120" s="17"/>
      <c r="CC120" s="14" t="s">
        <v>6493</v>
      </c>
      <c r="CD120" s="14" t="s">
        <v>6494</v>
      </c>
      <c r="CE120" s="14" t="s">
        <v>5311</v>
      </c>
    </row>
    <row r="121" spans="1:83" ht="26.15" hidden="1" customHeight="1">
      <c r="A121" s="13">
        <v>115</v>
      </c>
      <c r="B121" s="14" t="s">
        <v>565</v>
      </c>
      <c r="C121" s="14" t="s">
        <v>566</v>
      </c>
      <c r="D121" s="14" t="s">
        <v>570</v>
      </c>
      <c r="E121" s="13">
        <v>2016</v>
      </c>
      <c r="F121" s="14" t="s">
        <v>6495</v>
      </c>
      <c r="G121" s="14" t="s">
        <v>6004</v>
      </c>
      <c r="H121" s="14" t="s">
        <v>4343</v>
      </c>
      <c r="I121" s="15" t="s">
        <v>3117</v>
      </c>
      <c r="J121" s="16">
        <v>3500000</v>
      </c>
      <c r="K121" s="17">
        <v>43860</v>
      </c>
      <c r="L121" s="16" t="s">
        <v>5456</v>
      </c>
      <c r="M121" s="16">
        <v>3500000</v>
      </c>
      <c r="N121" s="14" t="s">
        <v>34</v>
      </c>
      <c r="O121" s="13">
        <v>4</v>
      </c>
      <c r="P121" s="17">
        <v>44081</v>
      </c>
      <c r="Q121" s="14"/>
      <c r="R121" s="17"/>
      <c r="S121" s="17"/>
      <c r="T121" s="14" t="s">
        <v>6496</v>
      </c>
      <c r="U121" s="14" t="s">
        <v>6497</v>
      </c>
      <c r="V121" s="14" t="s">
        <v>571</v>
      </c>
      <c r="W121" s="14"/>
      <c r="X121" s="14" t="s">
        <v>6498</v>
      </c>
      <c r="Y121" s="14"/>
      <c r="Z121" s="14" t="s">
        <v>6499</v>
      </c>
      <c r="AA121" s="14"/>
      <c r="AB121" s="14" t="s">
        <v>4343</v>
      </c>
      <c r="AC121" s="14" t="s">
        <v>6500</v>
      </c>
      <c r="AD121" s="14"/>
      <c r="AE121" s="14" t="s">
        <v>6501</v>
      </c>
      <c r="AF121" s="14" t="s">
        <v>6502</v>
      </c>
      <c r="AG121" s="14" t="s">
        <v>6503</v>
      </c>
      <c r="AH121" s="18"/>
      <c r="AI121" s="16"/>
      <c r="AJ121" s="17"/>
      <c r="AK121" s="15" t="s">
        <v>3123</v>
      </c>
      <c r="AL121" s="17"/>
      <c r="AM121" s="16"/>
      <c r="AN121" s="14"/>
      <c r="AO121" s="14"/>
      <c r="AP121" s="15" t="s">
        <v>3123</v>
      </c>
      <c r="AQ121" s="14"/>
      <c r="AR121" s="17"/>
      <c r="AS121" s="16"/>
      <c r="AT121" s="14"/>
      <c r="AU121" s="15" t="s">
        <v>3123</v>
      </c>
      <c r="AV121" s="14"/>
      <c r="AW121" s="17"/>
      <c r="AX121" s="16"/>
      <c r="AY121" s="16"/>
      <c r="AZ121" s="16"/>
      <c r="BA121" s="16"/>
      <c r="BB121" s="15" t="s">
        <v>3123</v>
      </c>
      <c r="BC121" s="17"/>
      <c r="BD121" s="14"/>
      <c r="BE121" s="14"/>
      <c r="BF121" s="16"/>
      <c r="BG121" s="16"/>
      <c r="BH121" s="13"/>
      <c r="BI121" s="18" t="s">
        <v>6504</v>
      </c>
      <c r="BJ121" s="13">
        <v>200</v>
      </c>
      <c r="BK121" s="17">
        <v>44116</v>
      </c>
      <c r="BL121" s="18" t="s">
        <v>6505</v>
      </c>
      <c r="BM121" s="18" t="s">
        <v>6506</v>
      </c>
      <c r="BN121" s="18"/>
      <c r="BO121" s="18"/>
      <c r="BP121" s="14" t="s">
        <v>6507</v>
      </c>
      <c r="BQ121" s="17">
        <v>43088</v>
      </c>
      <c r="BR121" s="16"/>
      <c r="BS121" s="17"/>
      <c r="BT121" s="16"/>
      <c r="BU121" s="17"/>
      <c r="BV121" s="16"/>
      <c r="BW121" s="17"/>
      <c r="BX121" s="16"/>
      <c r="BY121" s="17"/>
      <c r="BZ121" s="19">
        <v>48.353466477694901</v>
      </c>
      <c r="CA121" s="19"/>
      <c r="CB121" s="17"/>
      <c r="CC121" s="14" t="s">
        <v>6508</v>
      </c>
      <c r="CD121" s="14"/>
      <c r="CE121" s="14" t="s">
        <v>6509</v>
      </c>
    </row>
    <row r="122" spans="1:83" ht="26.15" customHeight="1">
      <c r="A122" s="13">
        <v>116</v>
      </c>
      <c r="B122" s="14" t="s">
        <v>1666</v>
      </c>
      <c r="C122" s="14" t="s">
        <v>1667</v>
      </c>
      <c r="D122" s="14" t="s">
        <v>1670</v>
      </c>
      <c r="E122" s="13">
        <v>2016</v>
      </c>
      <c r="F122" s="14" t="s">
        <v>5592</v>
      </c>
      <c r="G122" s="14" t="s">
        <v>5313</v>
      </c>
      <c r="H122" s="14" t="s">
        <v>3994</v>
      </c>
      <c r="I122" s="15" t="s">
        <v>3117</v>
      </c>
      <c r="J122" s="16">
        <v>951381</v>
      </c>
      <c r="K122" s="17">
        <v>43231</v>
      </c>
      <c r="L122" s="16" t="s">
        <v>6510</v>
      </c>
      <c r="M122" s="16">
        <v>951381</v>
      </c>
      <c r="N122" s="14" t="s">
        <v>34</v>
      </c>
      <c r="O122" s="13">
        <v>2</v>
      </c>
      <c r="P122" s="17">
        <v>44002</v>
      </c>
      <c r="Q122" s="14"/>
      <c r="R122" s="17"/>
      <c r="S122" s="17"/>
      <c r="T122" s="14" t="s">
        <v>4995</v>
      </c>
      <c r="U122" s="14" t="s">
        <v>5578</v>
      </c>
      <c r="V122" s="14" t="s">
        <v>6511</v>
      </c>
      <c r="W122" s="14"/>
      <c r="X122" s="14" t="s">
        <v>1669</v>
      </c>
      <c r="Y122" s="14"/>
      <c r="Z122" s="14" t="s">
        <v>6512</v>
      </c>
      <c r="AA122" s="14"/>
      <c r="AB122" s="14" t="s">
        <v>3994</v>
      </c>
      <c r="AC122" s="14" t="s">
        <v>6513</v>
      </c>
      <c r="AD122" s="14" t="s">
        <v>6514</v>
      </c>
      <c r="AE122" s="14" t="s">
        <v>6515</v>
      </c>
      <c r="AF122" s="14" t="s">
        <v>6516</v>
      </c>
      <c r="AG122" s="14" t="s">
        <v>6517</v>
      </c>
      <c r="AH122" s="18"/>
      <c r="AI122" s="16">
        <v>17638188</v>
      </c>
      <c r="AJ122" s="17">
        <v>42735</v>
      </c>
      <c r="AK122" s="15" t="s">
        <v>3117</v>
      </c>
      <c r="AL122" s="17">
        <v>42898</v>
      </c>
      <c r="AM122" s="16">
        <v>1551</v>
      </c>
      <c r="AN122" s="14" t="s">
        <v>6518</v>
      </c>
      <c r="AO122" s="14"/>
      <c r="AP122" s="15" t="s">
        <v>3123</v>
      </c>
      <c r="AQ122" s="14"/>
      <c r="AR122" s="17"/>
      <c r="AS122" s="16"/>
      <c r="AT122" s="14"/>
      <c r="AU122" s="15" t="s">
        <v>3123</v>
      </c>
      <c r="AV122" s="14"/>
      <c r="AW122" s="17"/>
      <c r="AX122" s="16"/>
      <c r="AY122" s="16"/>
      <c r="AZ122" s="16"/>
      <c r="BA122" s="16"/>
      <c r="BB122" s="15" t="s">
        <v>3123</v>
      </c>
      <c r="BC122" s="17"/>
      <c r="BD122" s="14"/>
      <c r="BE122" s="14"/>
      <c r="BF122" s="16"/>
      <c r="BG122" s="16"/>
      <c r="BH122" s="13"/>
      <c r="BI122" s="18" t="s">
        <v>6519</v>
      </c>
      <c r="BJ122" s="13">
        <v>200</v>
      </c>
      <c r="BK122" s="17">
        <v>44128</v>
      </c>
      <c r="BL122" s="18"/>
      <c r="BM122" s="18" t="s">
        <v>6520</v>
      </c>
      <c r="BN122" s="18" t="s">
        <v>6521</v>
      </c>
      <c r="BO122" s="18"/>
      <c r="BP122" s="14" t="s">
        <v>6522</v>
      </c>
      <c r="BQ122" s="17">
        <v>43245</v>
      </c>
      <c r="BR122" s="16">
        <v>769485</v>
      </c>
      <c r="BS122" s="17">
        <v>42735</v>
      </c>
      <c r="BT122" s="16">
        <v>1566037</v>
      </c>
      <c r="BU122" s="17">
        <v>42735</v>
      </c>
      <c r="BV122" s="16"/>
      <c r="BW122" s="17"/>
      <c r="BX122" s="16"/>
      <c r="BY122" s="17"/>
      <c r="BZ122" s="19">
        <v>31.373582351738662</v>
      </c>
      <c r="CA122" s="19"/>
      <c r="CB122" s="17"/>
      <c r="CC122" s="14" t="s">
        <v>5541</v>
      </c>
      <c r="CD122" s="14" t="s">
        <v>6523</v>
      </c>
      <c r="CE122" s="14" t="s">
        <v>5945</v>
      </c>
    </row>
    <row r="123" spans="1:83" ht="26.15" customHeight="1">
      <c r="A123" s="13">
        <v>117</v>
      </c>
      <c r="B123" s="14" t="s">
        <v>1347</v>
      </c>
      <c r="C123" s="14" t="s">
        <v>1348</v>
      </c>
      <c r="D123" s="14" t="s">
        <v>1351</v>
      </c>
      <c r="E123" s="13">
        <v>2016</v>
      </c>
      <c r="F123" s="14" t="s">
        <v>6524</v>
      </c>
      <c r="G123" s="14" t="s">
        <v>6525</v>
      </c>
      <c r="H123" s="14" t="s">
        <v>5524</v>
      </c>
      <c r="I123" s="15" t="s">
        <v>3117</v>
      </c>
      <c r="J123" s="16">
        <v>300000</v>
      </c>
      <c r="K123" s="17">
        <v>43412</v>
      </c>
      <c r="L123" s="16" t="s">
        <v>6526</v>
      </c>
      <c r="M123" s="16">
        <v>300000</v>
      </c>
      <c r="N123" s="14" t="s">
        <v>34</v>
      </c>
      <c r="O123" s="13">
        <v>2</v>
      </c>
      <c r="P123" s="17">
        <v>44028</v>
      </c>
      <c r="Q123" s="14"/>
      <c r="R123" s="17"/>
      <c r="S123" s="17"/>
      <c r="T123" s="14" t="s">
        <v>1</v>
      </c>
      <c r="U123" s="14" t="s">
        <v>5084</v>
      </c>
      <c r="V123" s="14" t="s">
        <v>6527</v>
      </c>
      <c r="W123" s="14"/>
      <c r="X123" s="14" t="s">
        <v>3877</v>
      </c>
      <c r="Y123" s="14"/>
      <c r="Z123" s="14" t="s">
        <v>6528</v>
      </c>
      <c r="AA123" s="14"/>
      <c r="AB123" s="14" t="s">
        <v>5524</v>
      </c>
      <c r="AC123" s="14" t="s">
        <v>6529</v>
      </c>
      <c r="AD123" s="14" t="s">
        <v>6530</v>
      </c>
      <c r="AE123" s="14" t="s">
        <v>6531</v>
      </c>
      <c r="AF123" s="14" t="s">
        <v>6532</v>
      </c>
      <c r="AG123" s="14" t="s">
        <v>6533</v>
      </c>
      <c r="AH123" s="18"/>
      <c r="AI123" s="16"/>
      <c r="AJ123" s="17"/>
      <c r="AK123" s="15" t="s">
        <v>3123</v>
      </c>
      <c r="AL123" s="17"/>
      <c r="AM123" s="16"/>
      <c r="AN123" s="14"/>
      <c r="AO123" s="14"/>
      <c r="AP123" s="15" t="s">
        <v>3123</v>
      </c>
      <c r="AQ123" s="14"/>
      <c r="AR123" s="17"/>
      <c r="AS123" s="16"/>
      <c r="AT123" s="14"/>
      <c r="AU123" s="15" t="s">
        <v>3123</v>
      </c>
      <c r="AV123" s="14"/>
      <c r="AW123" s="17"/>
      <c r="AX123" s="16"/>
      <c r="AY123" s="16"/>
      <c r="AZ123" s="16"/>
      <c r="BA123" s="16"/>
      <c r="BB123" s="15" t="s">
        <v>3123</v>
      </c>
      <c r="BC123" s="17"/>
      <c r="BD123" s="14"/>
      <c r="BE123" s="14"/>
      <c r="BF123" s="16"/>
      <c r="BG123" s="16"/>
      <c r="BH123" s="13"/>
      <c r="BI123" s="18" t="s">
        <v>6534</v>
      </c>
      <c r="BJ123" s="13">
        <v>200</v>
      </c>
      <c r="BK123" s="17">
        <v>44128</v>
      </c>
      <c r="BL123" s="18" t="s">
        <v>6535</v>
      </c>
      <c r="BM123" s="18" t="s">
        <v>6536</v>
      </c>
      <c r="BN123" s="18" t="s">
        <v>6537</v>
      </c>
      <c r="BO123" s="18" t="s">
        <v>6538</v>
      </c>
      <c r="BP123" s="14" t="s">
        <v>6539</v>
      </c>
      <c r="BQ123" s="17">
        <v>43419</v>
      </c>
      <c r="BR123" s="16"/>
      <c r="BS123" s="17"/>
      <c r="BT123" s="16"/>
      <c r="BU123" s="17"/>
      <c r="BV123" s="16"/>
      <c r="BW123" s="17"/>
      <c r="BX123" s="16"/>
      <c r="BY123" s="17"/>
      <c r="BZ123" s="19">
        <v>34.176353067151965</v>
      </c>
      <c r="CA123" s="19"/>
      <c r="CB123" s="17"/>
      <c r="CC123" s="14" t="s">
        <v>6540</v>
      </c>
      <c r="CD123" s="14" t="s">
        <v>6541</v>
      </c>
      <c r="CE123" s="14" t="s">
        <v>5311</v>
      </c>
    </row>
    <row r="124" spans="1:83" ht="26.15" customHeight="1">
      <c r="A124" s="13">
        <v>118</v>
      </c>
      <c r="B124" s="14" t="s">
        <v>191</v>
      </c>
      <c r="C124" s="14" t="s">
        <v>192</v>
      </c>
      <c r="D124" s="14" t="s">
        <v>196</v>
      </c>
      <c r="E124" s="13">
        <v>2015</v>
      </c>
      <c r="F124" s="14" t="s">
        <v>6542</v>
      </c>
      <c r="G124" s="14" t="s">
        <v>6543</v>
      </c>
      <c r="H124" s="14" t="s">
        <v>3468</v>
      </c>
      <c r="I124" s="15" t="s">
        <v>3117</v>
      </c>
      <c r="J124" s="16">
        <v>5000000</v>
      </c>
      <c r="K124" s="17">
        <v>44061</v>
      </c>
      <c r="L124" s="16" t="s">
        <v>5022</v>
      </c>
      <c r="M124" s="16">
        <v>2000000</v>
      </c>
      <c r="N124" s="14" t="s">
        <v>34</v>
      </c>
      <c r="O124" s="13">
        <v>4</v>
      </c>
      <c r="P124" s="17">
        <v>44034</v>
      </c>
      <c r="Q124" s="14" t="s">
        <v>5052</v>
      </c>
      <c r="R124" s="17">
        <v>44067</v>
      </c>
      <c r="S124" s="17">
        <v>44061</v>
      </c>
      <c r="T124" s="14" t="s">
        <v>1</v>
      </c>
      <c r="U124" s="14" t="s">
        <v>5007</v>
      </c>
      <c r="V124" s="14" t="s">
        <v>6408</v>
      </c>
      <c r="W124" s="14"/>
      <c r="X124" s="14" t="s">
        <v>6544</v>
      </c>
      <c r="Y124" s="14"/>
      <c r="Z124" s="14" t="s">
        <v>6545</v>
      </c>
      <c r="AA124" s="14"/>
      <c r="AB124" s="14" t="s">
        <v>3468</v>
      </c>
      <c r="AC124" s="14" t="s">
        <v>6546</v>
      </c>
      <c r="AD124" s="14" t="s">
        <v>6547</v>
      </c>
      <c r="AE124" s="14" t="s">
        <v>6548</v>
      </c>
      <c r="AF124" s="14" t="s">
        <v>6549</v>
      </c>
      <c r="AG124" s="14" t="s">
        <v>6550</v>
      </c>
      <c r="AH124" s="18"/>
      <c r="AI124" s="16"/>
      <c r="AJ124" s="17"/>
      <c r="AK124" s="15" t="s">
        <v>3123</v>
      </c>
      <c r="AL124" s="17"/>
      <c r="AM124" s="16"/>
      <c r="AN124" s="14"/>
      <c r="AO124" s="14"/>
      <c r="AP124" s="15" t="s">
        <v>3123</v>
      </c>
      <c r="AQ124" s="14"/>
      <c r="AR124" s="17"/>
      <c r="AS124" s="16"/>
      <c r="AT124" s="14"/>
      <c r="AU124" s="15" t="s">
        <v>3123</v>
      </c>
      <c r="AV124" s="14"/>
      <c r="AW124" s="17"/>
      <c r="AX124" s="16"/>
      <c r="AY124" s="16"/>
      <c r="AZ124" s="16"/>
      <c r="BA124" s="16"/>
      <c r="BB124" s="15" t="s">
        <v>3123</v>
      </c>
      <c r="BC124" s="17"/>
      <c r="BD124" s="14"/>
      <c r="BE124" s="14"/>
      <c r="BF124" s="16"/>
      <c r="BG124" s="16"/>
      <c r="BH124" s="13"/>
      <c r="BI124" s="18" t="s">
        <v>6551</v>
      </c>
      <c r="BJ124" s="13">
        <v>200</v>
      </c>
      <c r="BK124" s="17">
        <v>44127</v>
      </c>
      <c r="BL124" s="18" t="s">
        <v>6552</v>
      </c>
      <c r="BM124" s="18" t="s">
        <v>6553</v>
      </c>
      <c r="BN124" s="18" t="s">
        <v>6554</v>
      </c>
      <c r="BO124" s="18"/>
      <c r="BP124" s="14" t="s">
        <v>6555</v>
      </c>
      <c r="BQ124" s="17">
        <v>44034</v>
      </c>
      <c r="BR124" s="16"/>
      <c r="BS124" s="17"/>
      <c r="BT124" s="16"/>
      <c r="BU124" s="17"/>
      <c r="BV124" s="16"/>
      <c r="BW124" s="17"/>
      <c r="BX124" s="16"/>
      <c r="BY124" s="17"/>
      <c r="BZ124" s="19">
        <v>55.315540944410635</v>
      </c>
      <c r="CA124" s="19"/>
      <c r="CB124" s="17"/>
      <c r="CC124" s="14" t="s">
        <v>6556</v>
      </c>
      <c r="CD124" s="14" t="s">
        <v>6557</v>
      </c>
      <c r="CE124" s="14" t="s">
        <v>5945</v>
      </c>
    </row>
    <row r="125" spans="1:83" ht="26.15" customHeight="1">
      <c r="A125" s="13">
        <v>119</v>
      </c>
      <c r="B125" s="14" t="s">
        <v>905</v>
      </c>
      <c r="C125" s="14" t="s">
        <v>906</v>
      </c>
      <c r="D125" s="14" t="s">
        <v>908</v>
      </c>
      <c r="E125" s="13">
        <v>2017</v>
      </c>
      <c r="F125" s="14" t="s">
        <v>5038</v>
      </c>
      <c r="G125" s="14" t="s">
        <v>5039</v>
      </c>
      <c r="H125" s="14" t="s">
        <v>3994</v>
      </c>
      <c r="I125" s="15" t="s">
        <v>3117</v>
      </c>
      <c r="J125" s="16"/>
      <c r="K125" s="17">
        <v>43678</v>
      </c>
      <c r="L125" s="16"/>
      <c r="M125" s="16" t="s">
        <v>50</v>
      </c>
      <c r="N125" s="14" t="s">
        <v>5040</v>
      </c>
      <c r="O125" s="13">
        <v>3</v>
      </c>
      <c r="P125" s="17">
        <v>44000</v>
      </c>
      <c r="Q125" s="14"/>
      <c r="R125" s="17"/>
      <c r="S125" s="17"/>
      <c r="T125" s="14" t="s">
        <v>1</v>
      </c>
      <c r="U125" s="14" t="s">
        <v>5007</v>
      </c>
      <c r="V125" s="14" t="s">
        <v>5336</v>
      </c>
      <c r="W125" s="14"/>
      <c r="X125" s="14" t="s">
        <v>3639</v>
      </c>
      <c r="Y125" s="14"/>
      <c r="Z125" s="14" t="s">
        <v>6558</v>
      </c>
      <c r="AA125" s="14"/>
      <c r="AB125" s="14" t="s">
        <v>3994</v>
      </c>
      <c r="AC125" s="14" t="s">
        <v>6559</v>
      </c>
      <c r="AD125" s="14" t="s">
        <v>6560</v>
      </c>
      <c r="AE125" s="14" t="s">
        <v>6561</v>
      </c>
      <c r="AF125" s="14"/>
      <c r="AG125" s="14" t="s">
        <v>6562</v>
      </c>
      <c r="AH125" s="18"/>
      <c r="AI125" s="16"/>
      <c r="AJ125" s="17"/>
      <c r="AK125" s="15" t="s">
        <v>3123</v>
      </c>
      <c r="AL125" s="17"/>
      <c r="AM125" s="16"/>
      <c r="AN125" s="14"/>
      <c r="AO125" s="14"/>
      <c r="AP125" s="15" t="s">
        <v>3123</v>
      </c>
      <c r="AQ125" s="14"/>
      <c r="AR125" s="17"/>
      <c r="AS125" s="16"/>
      <c r="AT125" s="14"/>
      <c r="AU125" s="15" t="s">
        <v>3123</v>
      </c>
      <c r="AV125" s="14"/>
      <c r="AW125" s="17"/>
      <c r="AX125" s="16"/>
      <c r="AY125" s="16"/>
      <c r="AZ125" s="16"/>
      <c r="BA125" s="16"/>
      <c r="BB125" s="15" t="s">
        <v>3123</v>
      </c>
      <c r="BC125" s="17"/>
      <c r="BD125" s="14"/>
      <c r="BE125" s="14"/>
      <c r="BF125" s="16"/>
      <c r="BG125" s="16"/>
      <c r="BH125" s="13"/>
      <c r="BI125" s="18" t="s">
        <v>6563</v>
      </c>
      <c r="BJ125" s="13">
        <v>200</v>
      </c>
      <c r="BK125" s="17">
        <v>44129</v>
      </c>
      <c r="BL125" s="18" t="s">
        <v>6564</v>
      </c>
      <c r="BM125" s="18" t="s">
        <v>6565</v>
      </c>
      <c r="BN125" s="18" t="s">
        <v>6566</v>
      </c>
      <c r="BO125" s="18" t="s">
        <v>6567</v>
      </c>
      <c r="BP125" s="14" t="s">
        <v>6568</v>
      </c>
      <c r="BQ125" s="17">
        <v>43998</v>
      </c>
      <c r="BR125" s="16"/>
      <c r="BS125" s="17"/>
      <c r="BT125" s="16"/>
      <c r="BU125" s="17"/>
      <c r="BV125" s="16"/>
      <c r="BW125" s="17"/>
      <c r="BX125" s="16"/>
      <c r="BY125" s="17"/>
      <c r="BZ125" s="19">
        <v>17.955247323919231</v>
      </c>
      <c r="CA125" s="19"/>
      <c r="CB125" s="17"/>
      <c r="CC125" s="14" t="s">
        <v>5082</v>
      </c>
      <c r="CD125" s="14" t="s">
        <v>5083</v>
      </c>
      <c r="CE125" s="14" t="s">
        <v>5004</v>
      </c>
    </row>
    <row r="126" spans="1:83" ht="26.15" customHeight="1">
      <c r="A126" s="13">
        <v>120</v>
      </c>
      <c r="B126" s="14" t="s">
        <v>1976</v>
      </c>
      <c r="C126" s="14" t="s">
        <v>1977</v>
      </c>
      <c r="D126" s="14" t="s">
        <v>1981</v>
      </c>
      <c r="E126" s="13">
        <v>2017</v>
      </c>
      <c r="F126" s="14" t="s">
        <v>5038</v>
      </c>
      <c r="G126" s="14" t="s">
        <v>5039</v>
      </c>
      <c r="H126" s="14" t="s">
        <v>3994</v>
      </c>
      <c r="I126" s="15" t="s">
        <v>3117</v>
      </c>
      <c r="J126" s="16">
        <v>296585</v>
      </c>
      <c r="K126" s="17">
        <v>42986</v>
      </c>
      <c r="L126" s="16" t="s">
        <v>6569</v>
      </c>
      <c r="M126" s="16">
        <v>296585</v>
      </c>
      <c r="N126" s="14" t="s">
        <v>34</v>
      </c>
      <c r="O126" s="13">
        <v>4</v>
      </c>
      <c r="P126" s="17">
        <v>44008</v>
      </c>
      <c r="Q126" s="14"/>
      <c r="R126" s="17"/>
      <c r="S126" s="17"/>
      <c r="T126" s="14" t="s">
        <v>1</v>
      </c>
      <c r="U126" s="14" t="s">
        <v>5007</v>
      </c>
      <c r="V126" s="14" t="s">
        <v>6570</v>
      </c>
      <c r="W126" s="14"/>
      <c r="X126" s="14" t="s">
        <v>1980</v>
      </c>
      <c r="Y126" s="14" t="s">
        <v>6571</v>
      </c>
      <c r="Z126" s="14" t="s">
        <v>6572</v>
      </c>
      <c r="AA126" s="14"/>
      <c r="AB126" s="14" t="s">
        <v>3994</v>
      </c>
      <c r="AC126" s="14" t="s">
        <v>6573</v>
      </c>
      <c r="AD126" s="14"/>
      <c r="AE126" s="14" t="s">
        <v>6574</v>
      </c>
      <c r="AF126" s="14" t="s">
        <v>6575</v>
      </c>
      <c r="AG126" s="14" t="s">
        <v>6576</v>
      </c>
      <c r="AH126" s="18"/>
      <c r="AI126" s="16">
        <v>47300</v>
      </c>
      <c r="AJ126" s="17">
        <v>43100</v>
      </c>
      <c r="AK126" s="15" t="s">
        <v>3117</v>
      </c>
      <c r="AL126" s="17">
        <v>42733</v>
      </c>
      <c r="AM126" s="16">
        <v>1466</v>
      </c>
      <c r="AN126" s="14" t="s">
        <v>6577</v>
      </c>
      <c r="AO126" s="14"/>
      <c r="AP126" s="15" t="s">
        <v>3123</v>
      </c>
      <c r="AQ126" s="14"/>
      <c r="AR126" s="17"/>
      <c r="AS126" s="16"/>
      <c r="AT126" s="14"/>
      <c r="AU126" s="15" t="s">
        <v>3123</v>
      </c>
      <c r="AV126" s="14"/>
      <c r="AW126" s="17"/>
      <c r="AX126" s="16"/>
      <c r="AY126" s="16"/>
      <c r="AZ126" s="16"/>
      <c r="BA126" s="16"/>
      <c r="BB126" s="15" t="s">
        <v>3123</v>
      </c>
      <c r="BC126" s="17"/>
      <c r="BD126" s="14"/>
      <c r="BE126" s="14"/>
      <c r="BF126" s="16"/>
      <c r="BG126" s="16"/>
      <c r="BH126" s="13"/>
      <c r="BI126" s="18" t="s">
        <v>6578</v>
      </c>
      <c r="BJ126" s="13">
        <v>200</v>
      </c>
      <c r="BK126" s="17">
        <v>44128</v>
      </c>
      <c r="BL126" s="18" t="s">
        <v>6579</v>
      </c>
      <c r="BM126" s="18" t="s">
        <v>6580</v>
      </c>
      <c r="BN126" s="18" t="s">
        <v>6581</v>
      </c>
      <c r="BO126" s="18" t="s">
        <v>6582</v>
      </c>
      <c r="BP126" s="14" t="s">
        <v>6583</v>
      </c>
      <c r="BQ126" s="17">
        <v>42989</v>
      </c>
      <c r="BR126" s="16">
        <v>-70200</v>
      </c>
      <c r="BS126" s="17">
        <v>43100</v>
      </c>
      <c r="BT126" s="16">
        <v>-68700</v>
      </c>
      <c r="BU126" s="17">
        <v>43100</v>
      </c>
      <c r="BV126" s="16">
        <v>2000000</v>
      </c>
      <c r="BW126" s="17">
        <v>42970</v>
      </c>
      <c r="BX126" s="16"/>
      <c r="BY126" s="17"/>
      <c r="BZ126" s="19">
        <v>53.091270949461965</v>
      </c>
      <c r="CA126" s="19"/>
      <c r="CB126" s="17"/>
      <c r="CC126" s="14" t="s">
        <v>5149</v>
      </c>
      <c r="CD126" s="14" t="s">
        <v>6584</v>
      </c>
      <c r="CE126" s="14" t="s">
        <v>5004</v>
      </c>
    </row>
    <row r="127" spans="1:83" ht="26.15" hidden="1" customHeight="1">
      <c r="A127" s="13">
        <v>121</v>
      </c>
      <c r="B127" s="14" t="s">
        <v>1564</v>
      </c>
      <c r="C127" s="14" t="s">
        <v>1565</v>
      </c>
      <c r="D127" s="14" t="s">
        <v>1568</v>
      </c>
      <c r="E127" s="13">
        <v>2014</v>
      </c>
      <c r="F127" s="14" t="s">
        <v>6585</v>
      </c>
      <c r="G127" s="14" t="s">
        <v>6004</v>
      </c>
      <c r="H127" s="14" t="s">
        <v>4343</v>
      </c>
      <c r="I127" s="15" t="s">
        <v>3117</v>
      </c>
      <c r="J127" s="16"/>
      <c r="K127" s="17">
        <v>43292</v>
      </c>
      <c r="L127" s="16"/>
      <c r="M127" s="16" t="s">
        <v>50</v>
      </c>
      <c r="N127" s="14" t="s">
        <v>109</v>
      </c>
      <c r="O127" s="13">
        <v>3</v>
      </c>
      <c r="P127" s="17">
        <v>44034</v>
      </c>
      <c r="Q127" s="14"/>
      <c r="R127" s="17"/>
      <c r="S127" s="17"/>
      <c r="T127" s="14" t="s">
        <v>6586</v>
      </c>
      <c r="U127" s="14" t="s">
        <v>6587</v>
      </c>
      <c r="V127" s="14" t="s">
        <v>6588</v>
      </c>
      <c r="W127" s="14"/>
      <c r="X127" s="14" t="s">
        <v>4039</v>
      </c>
      <c r="Y127" s="14"/>
      <c r="Z127" s="14" t="s">
        <v>6589</v>
      </c>
      <c r="AA127" s="14"/>
      <c r="AB127" s="14" t="s">
        <v>4343</v>
      </c>
      <c r="AC127" s="14" t="s">
        <v>6590</v>
      </c>
      <c r="AD127" s="14"/>
      <c r="AE127" s="14" t="s">
        <v>6591</v>
      </c>
      <c r="AF127" s="14" t="s">
        <v>6592</v>
      </c>
      <c r="AG127" s="14" t="s">
        <v>6593</v>
      </c>
      <c r="AH127" s="18"/>
      <c r="AI127" s="16"/>
      <c r="AJ127" s="17"/>
      <c r="AK127" s="15" t="s">
        <v>3123</v>
      </c>
      <c r="AL127" s="17"/>
      <c r="AM127" s="16"/>
      <c r="AN127" s="14"/>
      <c r="AO127" s="14"/>
      <c r="AP127" s="15" t="s">
        <v>3123</v>
      </c>
      <c r="AQ127" s="14"/>
      <c r="AR127" s="17"/>
      <c r="AS127" s="16"/>
      <c r="AT127" s="14"/>
      <c r="AU127" s="15" t="s">
        <v>3123</v>
      </c>
      <c r="AV127" s="14"/>
      <c r="AW127" s="17"/>
      <c r="AX127" s="16"/>
      <c r="AY127" s="16"/>
      <c r="AZ127" s="16"/>
      <c r="BA127" s="16"/>
      <c r="BB127" s="15" t="s">
        <v>3123</v>
      </c>
      <c r="BC127" s="17"/>
      <c r="BD127" s="14"/>
      <c r="BE127" s="14"/>
      <c r="BF127" s="16"/>
      <c r="BG127" s="16"/>
      <c r="BH127" s="13"/>
      <c r="BI127" s="18" t="s">
        <v>6594</v>
      </c>
      <c r="BJ127" s="13">
        <v>200</v>
      </c>
      <c r="BK127" s="17">
        <v>44127</v>
      </c>
      <c r="BL127" s="18"/>
      <c r="BM127" s="18"/>
      <c r="BN127" s="18"/>
      <c r="BO127" s="18"/>
      <c r="BP127" s="14" t="s">
        <v>6595</v>
      </c>
      <c r="BQ127" s="17">
        <v>43341</v>
      </c>
      <c r="BR127" s="16"/>
      <c r="BS127" s="17"/>
      <c r="BT127" s="16"/>
      <c r="BU127" s="17"/>
      <c r="BV127" s="16"/>
      <c r="BW127" s="17"/>
      <c r="BX127" s="16"/>
      <c r="BY127" s="17"/>
      <c r="BZ127" s="19">
        <v>26.379570784956471</v>
      </c>
      <c r="CA127" s="19"/>
      <c r="CB127" s="17"/>
      <c r="CC127" s="14" t="s">
        <v>5104</v>
      </c>
      <c r="CD127" s="14" t="s">
        <v>6596</v>
      </c>
      <c r="CE127" s="14" t="s">
        <v>5311</v>
      </c>
    </row>
    <row r="128" spans="1:83" ht="26.15" customHeight="1">
      <c r="A128" s="13">
        <v>122</v>
      </c>
      <c r="B128" s="14" t="s">
        <v>1939</v>
      </c>
      <c r="C128" s="14" t="s">
        <v>1940</v>
      </c>
      <c r="D128" s="14" t="s">
        <v>1942</v>
      </c>
      <c r="E128" s="13">
        <v>2015</v>
      </c>
      <c r="F128" s="14" t="s">
        <v>4993</v>
      </c>
      <c r="G128" s="14" t="s">
        <v>4994</v>
      </c>
      <c r="H128" s="14" t="s">
        <v>2057</v>
      </c>
      <c r="I128" s="15" t="s">
        <v>3117</v>
      </c>
      <c r="J128" s="16">
        <v>9356810</v>
      </c>
      <c r="K128" s="17">
        <v>43018</v>
      </c>
      <c r="L128" s="16" t="s">
        <v>6597</v>
      </c>
      <c r="M128" s="16">
        <v>9356810</v>
      </c>
      <c r="N128" s="14" t="s">
        <v>5630</v>
      </c>
      <c r="O128" s="13"/>
      <c r="P128" s="17">
        <v>44003</v>
      </c>
      <c r="Q128" s="14"/>
      <c r="R128" s="17"/>
      <c r="S128" s="17"/>
      <c r="T128" s="14" t="s">
        <v>5253</v>
      </c>
      <c r="U128" s="14" t="s">
        <v>5254</v>
      </c>
      <c r="V128" s="14" t="s">
        <v>6598</v>
      </c>
      <c r="W128" s="14"/>
      <c r="X128" s="14" t="s">
        <v>6599</v>
      </c>
      <c r="Y128" s="14"/>
      <c r="Z128" s="14" t="s">
        <v>6600</v>
      </c>
      <c r="AA128" s="14"/>
      <c r="AB128" s="14" t="s">
        <v>2057</v>
      </c>
      <c r="AC128" s="14"/>
      <c r="AD128" s="14"/>
      <c r="AE128" s="14" t="s">
        <v>6601</v>
      </c>
      <c r="AF128" s="14"/>
      <c r="AG128" s="14"/>
      <c r="AH128" s="18"/>
      <c r="AI128" s="16"/>
      <c r="AJ128" s="17"/>
      <c r="AK128" s="15" t="s">
        <v>3123</v>
      </c>
      <c r="AL128" s="17"/>
      <c r="AM128" s="16"/>
      <c r="AN128" s="14"/>
      <c r="AO128" s="14"/>
      <c r="AP128" s="15" t="s">
        <v>3123</v>
      </c>
      <c r="AQ128" s="14"/>
      <c r="AR128" s="17"/>
      <c r="AS128" s="16"/>
      <c r="AT128" s="14"/>
      <c r="AU128" s="15" t="s">
        <v>3123</v>
      </c>
      <c r="AV128" s="14"/>
      <c r="AW128" s="17"/>
      <c r="AX128" s="16"/>
      <c r="AY128" s="16"/>
      <c r="AZ128" s="16"/>
      <c r="BA128" s="16"/>
      <c r="BB128" s="15" t="s">
        <v>3117</v>
      </c>
      <c r="BC128" s="17"/>
      <c r="BD128" s="14"/>
      <c r="BE128" s="14"/>
      <c r="BF128" s="16"/>
      <c r="BG128" s="16"/>
      <c r="BH128" s="13"/>
      <c r="BI128" s="18" t="s">
        <v>6602</v>
      </c>
      <c r="BJ128" s="13">
        <v>-1</v>
      </c>
      <c r="BK128" s="17">
        <v>44128</v>
      </c>
      <c r="BL128" s="18"/>
      <c r="BM128" s="18"/>
      <c r="BN128" s="18"/>
      <c r="BO128" s="18"/>
      <c r="BP128" s="14" t="s">
        <v>6603</v>
      </c>
      <c r="BQ128" s="17">
        <v>43020</v>
      </c>
      <c r="BR128" s="16"/>
      <c r="BS128" s="17"/>
      <c r="BT128" s="16"/>
      <c r="BU128" s="17"/>
      <c r="BV128" s="16"/>
      <c r="BW128" s="17"/>
      <c r="BX128" s="16"/>
      <c r="BY128" s="17"/>
      <c r="BZ128" s="19">
        <v>25.321140959466341</v>
      </c>
      <c r="CA128" s="19"/>
      <c r="CB128" s="17"/>
      <c r="CC128" s="14" t="s">
        <v>5104</v>
      </c>
      <c r="CD128" s="14" t="s">
        <v>5037</v>
      </c>
      <c r="CE128" s="14" t="s">
        <v>5004</v>
      </c>
    </row>
    <row r="129" spans="1:83" ht="26.15" customHeight="1">
      <c r="A129" s="13">
        <v>123</v>
      </c>
      <c r="B129" s="14" t="s">
        <v>650</v>
      </c>
      <c r="C129" s="14" t="s">
        <v>651</v>
      </c>
      <c r="D129" s="14" t="s">
        <v>654</v>
      </c>
      <c r="E129" s="13">
        <v>2014</v>
      </c>
      <c r="F129" s="14" t="s">
        <v>5038</v>
      </c>
      <c r="G129" s="14" t="s">
        <v>5039</v>
      </c>
      <c r="H129" s="14" t="s">
        <v>3994</v>
      </c>
      <c r="I129" s="15" t="s">
        <v>3117</v>
      </c>
      <c r="J129" s="16">
        <v>70048</v>
      </c>
      <c r="K129" s="17">
        <v>43805</v>
      </c>
      <c r="L129" s="16" t="s">
        <v>6604</v>
      </c>
      <c r="M129" s="16">
        <v>70048</v>
      </c>
      <c r="N129" s="14" t="s">
        <v>109</v>
      </c>
      <c r="O129" s="13">
        <v>4</v>
      </c>
      <c r="P129" s="17">
        <v>44057</v>
      </c>
      <c r="Q129" s="14"/>
      <c r="R129" s="17"/>
      <c r="S129" s="17"/>
      <c r="T129" s="14" t="s">
        <v>6605</v>
      </c>
      <c r="U129" s="14" t="s">
        <v>6606</v>
      </c>
      <c r="V129" s="14" t="s">
        <v>6607</v>
      </c>
      <c r="W129" s="14"/>
      <c r="X129" s="14" t="s">
        <v>6608</v>
      </c>
      <c r="Y129" s="14"/>
      <c r="Z129" s="14" t="s">
        <v>6609</v>
      </c>
      <c r="AA129" s="14"/>
      <c r="AB129" s="14" t="s">
        <v>3994</v>
      </c>
      <c r="AC129" s="14" t="s">
        <v>6610</v>
      </c>
      <c r="AD129" s="14"/>
      <c r="AE129" s="14" t="s">
        <v>6611</v>
      </c>
      <c r="AF129" s="14" t="s">
        <v>6612</v>
      </c>
      <c r="AG129" s="14" t="s">
        <v>6613</v>
      </c>
      <c r="AH129" s="18"/>
      <c r="AI129" s="16">
        <v>43733.950561714308</v>
      </c>
      <c r="AJ129" s="17">
        <v>43465</v>
      </c>
      <c r="AK129" s="15" t="s">
        <v>3123</v>
      </c>
      <c r="AL129" s="17"/>
      <c r="AM129" s="16"/>
      <c r="AN129" s="14"/>
      <c r="AO129" s="14"/>
      <c r="AP129" s="15" t="s">
        <v>3123</v>
      </c>
      <c r="AQ129" s="14"/>
      <c r="AR129" s="17"/>
      <c r="AS129" s="16"/>
      <c r="AT129" s="14"/>
      <c r="AU129" s="15" t="s">
        <v>3123</v>
      </c>
      <c r="AV129" s="14"/>
      <c r="AW129" s="17"/>
      <c r="AX129" s="16"/>
      <c r="AY129" s="16"/>
      <c r="AZ129" s="16"/>
      <c r="BA129" s="16"/>
      <c r="BB129" s="15" t="s">
        <v>3123</v>
      </c>
      <c r="BC129" s="17"/>
      <c r="BD129" s="14"/>
      <c r="BE129" s="14"/>
      <c r="BF129" s="16"/>
      <c r="BG129" s="16"/>
      <c r="BH129" s="13"/>
      <c r="BI129" s="18" t="s">
        <v>6614</v>
      </c>
      <c r="BJ129" s="13">
        <v>200</v>
      </c>
      <c r="BK129" s="17">
        <v>44128</v>
      </c>
      <c r="BL129" s="18" t="s">
        <v>6615</v>
      </c>
      <c r="BM129" s="18" t="s">
        <v>6616</v>
      </c>
      <c r="BN129" s="18"/>
      <c r="BO129" s="18"/>
      <c r="BP129" s="14" t="s">
        <v>6617</v>
      </c>
      <c r="BQ129" s="17">
        <v>42936</v>
      </c>
      <c r="BR129" s="16">
        <v>-9307.4229465344069</v>
      </c>
      <c r="BS129" s="17">
        <v>43465</v>
      </c>
      <c r="BT129" s="16">
        <v>-7137.1004004840133</v>
      </c>
      <c r="BU129" s="17">
        <v>43465</v>
      </c>
      <c r="BV129" s="16"/>
      <c r="BW129" s="17"/>
      <c r="BX129" s="16"/>
      <c r="BY129" s="17"/>
      <c r="BZ129" s="19">
        <v>37.988873251967355</v>
      </c>
      <c r="CA129" s="19"/>
      <c r="CB129" s="17"/>
      <c r="CC129" s="14" t="s">
        <v>6119</v>
      </c>
      <c r="CD129" s="14" t="s">
        <v>5962</v>
      </c>
      <c r="CE129" s="14" t="s">
        <v>6074</v>
      </c>
    </row>
    <row r="130" spans="1:83" ht="26.15" customHeight="1">
      <c r="A130" s="13">
        <v>124</v>
      </c>
      <c r="B130" s="14" t="s">
        <v>82</v>
      </c>
      <c r="C130" s="14" t="s">
        <v>83</v>
      </c>
      <c r="D130" s="14" t="s">
        <v>86</v>
      </c>
      <c r="E130" s="13"/>
      <c r="F130" s="14" t="s">
        <v>5038</v>
      </c>
      <c r="G130" s="14" t="s">
        <v>5039</v>
      </c>
      <c r="H130" s="14" t="s">
        <v>3994</v>
      </c>
      <c r="I130" s="15" t="s">
        <v>3117</v>
      </c>
      <c r="J130" s="16">
        <v>680328</v>
      </c>
      <c r="K130" s="17">
        <v>44123</v>
      </c>
      <c r="L130" s="16" t="s">
        <v>6618</v>
      </c>
      <c r="M130" s="16">
        <v>680328</v>
      </c>
      <c r="N130" s="14" t="s">
        <v>34</v>
      </c>
      <c r="O130" s="13">
        <v>4</v>
      </c>
      <c r="P130" s="17">
        <v>43889</v>
      </c>
      <c r="Q130" s="14"/>
      <c r="R130" s="17"/>
      <c r="S130" s="17"/>
      <c r="T130" s="14" t="s">
        <v>5442</v>
      </c>
      <c r="U130" s="14" t="s">
        <v>6619</v>
      </c>
      <c r="V130" s="14" t="s">
        <v>6620</v>
      </c>
      <c r="W130" s="14"/>
      <c r="X130" s="14" t="s">
        <v>6621</v>
      </c>
      <c r="Y130" s="14"/>
      <c r="Z130" s="14" t="s">
        <v>6622</v>
      </c>
      <c r="AA130" s="14"/>
      <c r="AB130" s="14" t="s">
        <v>3994</v>
      </c>
      <c r="AC130" s="14"/>
      <c r="AD130" s="14"/>
      <c r="AE130" s="14" t="s">
        <v>6623</v>
      </c>
      <c r="AF130" s="14" t="s">
        <v>6624</v>
      </c>
      <c r="AG130" s="14" t="s">
        <v>6625</v>
      </c>
      <c r="AH130" s="18"/>
      <c r="AI130" s="16"/>
      <c r="AJ130" s="17"/>
      <c r="AK130" s="15" t="s">
        <v>3123</v>
      </c>
      <c r="AL130" s="17"/>
      <c r="AM130" s="16"/>
      <c r="AN130" s="14"/>
      <c r="AO130" s="14"/>
      <c r="AP130" s="15" t="s">
        <v>3123</v>
      </c>
      <c r="AQ130" s="14"/>
      <c r="AR130" s="17"/>
      <c r="AS130" s="16"/>
      <c r="AT130" s="14"/>
      <c r="AU130" s="15" t="s">
        <v>3123</v>
      </c>
      <c r="AV130" s="14"/>
      <c r="AW130" s="17"/>
      <c r="AX130" s="16"/>
      <c r="AY130" s="16"/>
      <c r="AZ130" s="16"/>
      <c r="BA130" s="16"/>
      <c r="BB130" s="15" t="s">
        <v>3123</v>
      </c>
      <c r="BC130" s="17"/>
      <c r="BD130" s="14"/>
      <c r="BE130" s="14"/>
      <c r="BF130" s="16"/>
      <c r="BG130" s="16"/>
      <c r="BH130" s="13"/>
      <c r="BI130" s="18" t="s">
        <v>6626</v>
      </c>
      <c r="BJ130" s="13">
        <v>200</v>
      </c>
      <c r="BK130" s="17">
        <v>44128</v>
      </c>
      <c r="BL130" s="18" t="s">
        <v>6627</v>
      </c>
      <c r="BM130" s="18"/>
      <c r="BN130" s="18"/>
      <c r="BO130" s="18"/>
      <c r="BP130" s="14" t="s">
        <v>6628</v>
      </c>
      <c r="BQ130" s="17">
        <v>43577</v>
      </c>
      <c r="BR130" s="16"/>
      <c r="BS130" s="17"/>
      <c r="BT130" s="16"/>
      <c r="BU130" s="17"/>
      <c r="BV130" s="16"/>
      <c r="BW130" s="17"/>
      <c r="BX130" s="16"/>
      <c r="BY130" s="17"/>
      <c r="BZ130" s="19">
        <v>30.245718471467324</v>
      </c>
      <c r="CA130" s="19"/>
      <c r="CB130" s="17"/>
      <c r="CC130" s="14" t="s">
        <v>6540</v>
      </c>
      <c r="CD130" s="14" t="s">
        <v>6629</v>
      </c>
      <c r="CE130" s="14" t="s">
        <v>5004</v>
      </c>
    </row>
    <row r="131" spans="1:83" ht="26.15" customHeight="1">
      <c r="A131" s="13">
        <v>125</v>
      </c>
      <c r="B131" s="14" t="s">
        <v>2078</v>
      </c>
      <c r="C131" s="14" t="s">
        <v>2079</v>
      </c>
      <c r="D131" s="14" t="s">
        <v>2080</v>
      </c>
      <c r="E131" s="13">
        <v>2015</v>
      </c>
      <c r="F131" s="14" t="s">
        <v>6630</v>
      </c>
      <c r="G131" s="14" t="s">
        <v>6631</v>
      </c>
      <c r="H131" s="14" t="s">
        <v>6632</v>
      </c>
      <c r="I131" s="15" t="s">
        <v>3117</v>
      </c>
      <c r="J131" s="16"/>
      <c r="K131" s="17">
        <v>42887</v>
      </c>
      <c r="L131" s="16" t="s">
        <v>6633</v>
      </c>
      <c r="M131" s="16">
        <v>86513</v>
      </c>
      <c r="N131" s="14" t="s">
        <v>5040</v>
      </c>
      <c r="O131" s="13">
        <v>3</v>
      </c>
      <c r="P131" s="17">
        <v>44084</v>
      </c>
      <c r="Q131" s="14"/>
      <c r="R131" s="17"/>
      <c r="S131" s="17"/>
      <c r="T131" s="14" t="s">
        <v>1</v>
      </c>
      <c r="U131" s="14" t="s">
        <v>5007</v>
      </c>
      <c r="V131" s="14" t="s">
        <v>6634</v>
      </c>
      <c r="W131" s="14"/>
      <c r="X131" s="14" t="s">
        <v>3583</v>
      </c>
      <c r="Y131" s="14"/>
      <c r="Z131" s="14" t="s">
        <v>6635</v>
      </c>
      <c r="AA131" s="14"/>
      <c r="AB131" s="14" t="s">
        <v>6632</v>
      </c>
      <c r="AC131" s="14" t="s">
        <v>6636</v>
      </c>
      <c r="AD131" s="14" t="s">
        <v>6637</v>
      </c>
      <c r="AE131" s="14" t="s">
        <v>6638</v>
      </c>
      <c r="AF131" s="14"/>
      <c r="AG131" s="14" t="s">
        <v>6639</v>
      </c>
      <c r="AH131" s="18"/>
      <c r="AI131" s="16"/>
      <c r="AJ131" s="17"/>
      <c r="AK131" s="15" t="s">
        <v>3123</v>
      </c>
      <c r="AL131" s="17"/>
      <c r="AM131" s="16"/>
      <c r="AN131" s="14"/>
      <c r="AO131" s="14"/>
      <c r="AP131" s="15" t="s">
        <v>3123</v>
      </c>
      <c r="AQ131" s="14"/>
      <c r="AR131" s="17"/>
      <c r="AS131" s="16"/>
      <c r="AT131" s="14"/>
      <c r="AU131" s="15" t="s">
        <v>3123</v>
      </c>
      <c r="AV131" s="14"/>
      <c r="AW131" s="17"/>
      <c r="AX131" s="16"/>
      <c r="AY131" s="16"/>
      <c r="AZ131" s="16"/>
      <c r="BA131" s="16"/>
      <c r="BB131" s="15" t="s">
        <v>3123</v>
      </c>
      <c r="BC131" s="17"/>
      <c r="BD131" s="14"/>
      <c r="BE131" s="14"/>
      <c r="BF131" s="16"/>
      <c r="BG131" s="16"/>
      <c r="BH131" s="13"/>
      <c r="BI131" s="18" t="s">
        <v>6640</v>
      </c>
      <c r="BJ131" s="13">
        <v>200</v>
      </c>
      <c r="BK131" s="17">
        <v>44128</v>
      </c>
      <c r="BL131" s="18"/>
      <c r="BM131" s="18" t="s">
        <v>6641</v>
      </c>
      <c r="BN131" s="18" t="s">
        <v>6642</v>
      </c>
      <c r="BO131" s="18" t="s">
        <v>6643</v>
      </c>
      <c r="BP131" s="14" t="s">
        <v>6644</v>
      </c>
      <c r="BQ131" s="17">
        <v>43769</v>
      </c>
      <c r="BR131" s="16"/>
      <c r="BS131" s="17"/>
      <c r="BT131" s="16"/>
      <c r="BU131" s="17"/>
      <c r="BV131" s="16"/>
      <c r="BW131" s="17"/>
      <c r="BX131" s="16"/>
      <c r="BY131" s="17"/>
      <c r="BZ131" s="19">
        <v>23.470729867528195</v>
      </c>
      <c r="CA131" s="19"/>
      <c r="CB131" s="17"/>
      <c r="CC131" s="14" t="s">
        <v>5104</v>
      </c>
      <c r="CD131" s="14" t="s">
        <v>5037</v>
      </c>
      <c r="CE131" s="14" t="s">
        <v>5004</v>
      </c>
    </row>
    <row r="132" spans="1:83" ht="26.15" customHeight="1">
      <c r="A132" s="13">
        <v>126</v>
      </c>
      <c r="B132" s="14" t="s">
        <v>1602</v>
      </c>
      <c r="C132" s="14" t="s">
        <v>1603</v>
      </c>
      <c r="D132" s="14" t="s">
        <v>1604</v>
      </c>
      <c r="E132" s="13">
        <v>2014</v>
      </c>
      <c r="F132" s="14" t="s">
        <v>5222</v>
      </c>
      <c r="G132" s="14" t="s">
        <v>5223</v>
      </c>
      <c r="H132" s="14" t="s">
        <v>3994</v>
      </c>
      <c r="I132" s="15" t="s">
        <v>3117</v>
      </c>
      <c r="J132" s="16"/>
      <c r="K132" s="17">
        <v>43252</v>
      </c>
      <c r="L132" s="16"/>
      <c r="M132" s="16" t="s">
        <v>50</v>
      </c>
      <c r="N132" s="14" t="s">
        <v>34</v>
      </c>
      <c r="O132" s="13">
        <v>4</v>
      </c>
      <c r="P132" s="17">
        <v>44098</v>
      </c>
      <c r="Q132" s="14"/>
      <c r="R132" s="17"/>
      <c r="S132" s="17"/>
      <c r="T132" s="14" t="s">
        <v>6645</v>
      </c>
      <c r="U132" s="14" t="s">
        <v>6646</v>
      </c>
      <c r="V132" s="14" t="s">
        <v>6647</v>
      </c>
      <c r="W132" s="14"/>
      <c r="X132" s="14"/>
      <c r="Y132" s="14"/>
      <c r="Z132" s="14" t="s">
        <v>6648</v>
      </c>
      <c r="AA132" s="14"/>
      <c r="AB132" s="14" t="s">
        <v>3994</v>
      </c>
      <c r="AC132" s="14"/>
      <c r="AD132" s="14" t="s">
        <v>6649</v>
      </c>
      <c r="AE132" s="14" t="s">
        <v>6650</v>
      </c>
      <c r="AF132" s="14"/>
      <c r="AG132" s="14" t="s">
        <v>6651</v>
      </c>
      <c r="AH132" s="18"/>
      <c r="AI132" s="16">
        <v>262000</v>
      </c>
      <c r="AJ132" s="17">
        <v>43465</v>
      </c>
      <c r="AK132" s="15" t="s">
        <v>3123</v>
      </c>
      <c r="AL132" s="17"/>
      <c r="AM132" s="16"/>
      <c r="AN132" s="14"/>
      <c r="AO132" s="14"/>
      <c r="AP132" s="15" t="s">
        <v>3123</v>
      </c>
      <c r="AQ132" s="14"/>
      <c r="AR132" s="17"/>
      <c r="AS132" s="16"/>
      <c r="AT132" s="14"/>
      <c r="AU132" s="15" t="s">
        <v>3123</v>
      </c>
      <c r="AV132" s="14"/>
      <c r="AW132" s="17"/>
      <c r="AX132" s="16"/>
      <c r="AY132" s="16"/>
      <c r="AZ132" s="16"/>
      <c r="BA132" s="16"/>
      <c r="BB132" s="15" t="s">
        <v>3123</v>
      </c>
      <c r="BC132" s="17"/>
      <c r="BD132" s="14"/>
      <c r="BE132" s="14"/>
      <c r="BF132" s="16"/>
      <c r="BG132" s="16"/>
      <c r="BH132" s="13"/>
      <c r="BI132" s="18" t="s">
        <v>6652</v>
      </c>
      <c r="BJ132" s="13">
        <v>200</v>
      </c>
      <c r="BK132" s="17">
        <v>44127</v>
      </c>
      <c r="BL132" s="18"/>
      <c r="BM132" s="18"/>
      <c r="BN132" s="18"/>
      <c r="BO132" s="18"/>
      <c r="BP132" s="14" t="s">
        <v>6653</v>
      </c>
      <c r="BQ132" s="17">
        <v>43655</v>
      </c>
      <c r="BR132" s="16">
        <v>-1673900</v>
      </c>
      <c r="BS132" s="17">
        <v>43465</v>
      </c>
      <c r="BT132" s="16">
        <v>-1605900</v>
      </c>
      <c r="BU132" s="17">
        <v>43465</v>
      </c>
      <c r="BV132" s="16"/>
      <c r="BW132" s="17"/>
      <c r="BX132" s="16">
        <v>83</v>
      </c>
      <c r="BY132" s="17">
        <v>43830</v>
      </c>
      <c r="BZ132" s="19">
        <v>33.243470048740264</v>
      </c>
      <c r="CA132" s="19"/>
      <c r="CB132" s="17"/>
      <c r="CC132" s="14" t="s">
        <v>5104</v>
      </c>
      <c r="CD132" s="14" t="s">
        <v>5037</v>
      </c>
      <c r="CE132" s="14" t="s">
        <v>5004</v>
      </c>
    </row>
    <row r="133" spans="1:83" ht="26.15" hidden="1" customHeight="1">
      <c r="A133" s="13">
        <v>127</v>
      </c>
      <c r="B133" s="14" t="s">
        <v>1510</v>
      </c>
      <c r="C133" s="14" t="s">
        <v>1511</v>
      </c>
      <c r="D133" s="14" t="s">
        <v>1515</v>
      </c>
      <c r="E133" s="13">
        <v>2015</v>
      </c>
      <c r="F133" s="14" t="s">
        <v>6654</v>
      </c>
      <c r="G133" s="14" t="s">
        <v>6004</v>
      </c>
      <c r="H133" s="14" t="s">
        <v>4343</v>
      </c>
      <c r="I133" s="15" t="s">
        <v>3117</v>
      </c>
      <c r="J133" s="16"/>
      <c r="K133" s="17">
        <v>43313</v>
      </c>
      <c r="L133" s="16"/>
      <c r="M133" s="16" t="s">
        <v>50</v>
      </c>
      <c r="N133" s="14" t="s">
        <v>34</v>
      </c>
      <c r="O133" s="13">
        <v>4</v>
      </c>
      <c r="P133" s="17">
        <v>44044</v>
      </c>
      <c r="Q133" s="14"/>
      <c r="R133" s="17"/>
      <c r="S133" s="17"/>
      <c r="T133" s="14" t="s">
        <v>1</v>
      </c>
      <c r="U133" s="14" t="s">
        <v>5007</v>
      </c>
      <c r="V133" s="14" t="s">
        <v>6488</v>
      </c>
      <c r="W133" s="14"/>
      <c r="X133" s="14" t="s">
        <v>6655</v>
      </c>
      <c r="Y133" s="14"/>
      <c r="Z133" s="14" t="s">
        <v>6656</v>
      </c>
      <c r="AA133" s="14"/>
      <c r="AB133" s="14" t="s">
        <v>4343</v>
      </c>
      <c r="AC133" s="14" t="s">
        <v>6657</v>
      </c>
      <c r="AD133" s="14" t="s">
        <v>6658</v>
      </c>
      <c r="AE133" s="14" t="s">
        <v>6659</v>
      </c>
      <c r="AF133" s="14" t="s">
        <v>6660</v>
      </c>
      <c r="AG133" s="14" t="s">
        <v>6661</v>
      </c>
      <c r="AH133" s="18"/>
      <c r="AI133" s="16"/>
      <c r="AJ133" s="17"/>
      <c r="AK133" s="15" t="s">
        <v>3123</v>
      </c>
      <c r="AL133" s="17"/>
      <c r="AM133" s="16"/>
      <c r="AN133" s="14"/>
      <c r="AO133" s="14"/>
      <c r="AP133" s="15" t="s">
        <v>3123</v>
      </c>
      <c r="AQ133" s="14"/>
      <c r="AR133" s="17"/>
      <c r="AS133" s="16"/>
      <c r="AT133" s="14"/>
      <c r="AU133" s="15" t="s">
        <v>3123</v>
      </c>
      <c r="AV133" s="14"/>
      <c r="AW133" s="17"/>
      <c r="AX133" s="16"/>
      <c r="AY133" s="16"/>
      <c r="AZ133" s="16"/>
      <c r="BA133" s="16"/>
      <c r="BB133" s="15" t="s">
        <v>3123</v>
      </c>
      <c r="BC133" s="17"/>
      <c r="BD133" s="14"/>
      <c r="BE133" s="14"/>
      <c r="BF133" s="16"/>
      <c r="BG133" s="16"/>
      <c r="BH133" s="13"/>
      <c r="BI133" s="18" t="s">
        <v>6662</v>
      </c>
      <c r="BJ133" s="13">
        <v>200</v>
      </c>
      <c r="BK133" s="17">
        <v>44128</v>
      </c>
      <c r="BL133" s="18" t="s">
        <v>6663</v>
      </c>
      <c r="BM133" s="18"/>
      <c r="BN133" s="18"/>
      <c r="BO133" s="18"/>
      <c r="BP133" s="14" t="s">
        <v>6664</v>
      </c>
      <c r="BQ133" s="17">
        <v>44040</v>
      </c>
      <c r="BR133" s="16"/>
      <c r="BS133" s="17"/>
      <c r="BT133" s="16"/>
      <c r="BU133" s="17"/>
      <c r="BV133" s="16"/>
      <c r="BW133" s="17"/>
      <c r="BX133" s="16"/>
      <c r="BY133" s="17"/>
      <c r="BZ133" s="19">
        <v>22.582618249423493</v>
      </c>
      <c r="CA133" s="19"/>
      <c r="CB133" s="17"/>
      <c r="CC133" s="14" t="s">
        <v>5104</v>
      </c>
      <c r="CD133" s="14" t="s">
        <v>6665</v>
      </c>
      <c r="CE133" s="14" t="s">
        <v>5311</v>
      </c>
    </row>
    <row r="134" spans="1:83" ht="26.15" hidden="1" customHeight="1">
      <c r="A134" s="13">
        <v>128</v>
      </c>
      <c r="B134" s="14" t="s">
        <v>1100</v>
      </c>
      <c r="C134" s="14" t="s">
        <v>1101</v>
      </c>
      <c r="D134" s="14" t="s">
        <v>1104</v>
      </c>
      <c r="E134" s="13">
        <v>2015</v>
      </c>
      <c r="F134" s="14" t="s">
        <v>6666</v>
      </c>
      <c r="G134" s="14" t="s">
        <v>6380</v>
      </c>
      <c r="H134" s="14" t="s">
        <v>4343</v>
      </c>
      <c r="I134" s="15" t="s">
        <v>3117</v>
      </c>
      <c r="J134" s="16">
        <v>2000000</v>
      </c>
      <c r="K134" s="17">
        <v>43557</v>
      </c>
      <c r="L134" s="16" t="s">
        <v>5456</v>
      </c>
      <c r="M134" s="16">
        <v>4253253</v>
      </c>
      <c r="N134" s="14" t="s">
        <v>34</v>
      </c>
      <c r="O134" s="13">
        <v>4</v>
      </c>
      <c r="P134" s="17">
        <v>44039</v>
      </c>
      <c r="Q134" s="14"/>
      <c r="R134" s="17"/>
      <c r="S134" s="17"/>
      <c r="T134" s="14" t="s">
        <v>1</v>
      </c>
      <c r="U134" s="14" t="s">
        <v>5007</v>
      </c>
      <c r="V134" s="14" t="s">
        <v>6667</v>
      </c>
      <c r="W134" s="14"/>
      <c r="X134" s="14" t="s">
        <v>1441</v>
      </c>
      <c r="Y134" s="14" t="s">
        <v>1102</v>
      </c>
      <c r="Z134" s="14" t="s">
        <v>6668</v>
      </c>
      <c r="AA134" s="14"/>
      <c r="AB134" s="14" t="s">
        <v>4343</v>
      </c>
      <c r="AC134" s="14" t="s">
        <v>6669</v>
      </c>
      <c r="AD134" s="14" t="s">
        <v>6670</v>
      </c>
      <c r="AE134" s="14" t="s">
        <v>6671</v>
      </c>
      <c r="AF134" s="14" t="s">
        <v>6672</v>
      </c>
      <c r="AG134" s="14" t="s">
        <v>6673</v>
      </c>
      <c r="AH134" s="18"/>
      <c r="AI134" s="16"/>
      <c r="AJ134" s="17"/>
      <c r="AK134" s="15" t="s">
        <v>3123</v>
      </c>
      <c r="AL134" s="17"/>
      <c r="AM134" s="16"/>
      <c r="AN134" s="14"/>
      <c r="AO134" s="14"/>
      <c r="AP134" s="15" t="s">
        <v>3123</v>
      </c>
      <c r="AQ134" s="14"/>
      <c r="AR134" s="17"/>
      <c r="AS134" s="16"/>
      <c r="AT134" s="14"/>
      <c r="AU134" s="15" t="s">
        <v>3123</v>
      </c>
      <c r="AV134" s="14"/>
      <c r="AW134" s="17"/>
      <c r="AX134" s="16"/>
      <c r="AY134" s="16"/>
      <c r="AZ134" s="16"/>
      <c r="BA134" s="16"/>
      <c r="BB134" s="15" t="s">
        <v>3123</v>
      </c>
      <c r="BC134" s="17"/>
      <c r="BD134" s="14"/>
      <c r="BE134" s="14"/>
      <c r="BF134" s="16"/>
      <c r="BG134" s="16"/>
      <c r="BH134" s="13"/>
      <c r="BI134" s="18" t="s">
        <v>6674</v>
      </c>
      <c r="BJ134" s="13">
        <v>404</v>
      </c>
      <c r="BK134" s="17">
        <v>44127</v>
      </c>
      <c r="BL134" s="18" t="s">
        <v>6675</v>
      </c>
      <c r="BM134" s="18"/>
      <c r="BN134" s="18" t="s">
        <v>6676</v>
      </c>
      <c r="BO134" s="18" t="s">
        <v>6677</v>
      </c>
      <c r="BP134" s="14" t="s">
        <v>6678</v>
      </c>
      <c r="BQ134" s="17">
        <v>44039</v>
      </c>
      <c r="BR134" s="16"/>
      <c r="BS134" s="17"/>
      <c r="BT134" s="16"/>
      <c r="BU134" s="17"/>
      <c r="BV134" s="16"/>
      <c r="BW134" s="17"/>
      <c r="BX134" s="16"/>
      <c r="BY134" s="17"/>
      <c r="BZ134" s="19">
        <v>27.849743360829102</v>
      </c>
      <c r="CA134" s="19"/>
      <c r="CB134" s="17"/>
      <c r="CC134" s="14" t="s">
        <v>6679</v>
      </c>
      <c r="CD134" s="14" t="s">
        <v>6680</v>
      </c>
      <c r="CE134" s="14" t="s">
        <v>5004</v>
      </c>
    </row>
    <row r="135" spans="1:83" ht="26.15" customHeight="1">
      <c r="A135" s="13">
        <v>129</v>
      </c>
      <c r="B135" s="14" t="s">
        <v>1672</v>
      </c>
      <c r="C135" s="14" t="s">
        <v>1673</v>
      </c>
      <c r="D135" s="14" t="s">
        <v>1675</v>
      </c>
      <c r="E135" s="13">
        <v>2017</v>
      </c>
      <c r="F135" s="14" t="s">
        <v>5067</v>
      </c>
      <c r="G135" s="14" t="s">
        <v>5068</v>
      </c>
      <c r="H135" s="14" t="s">
        <v>3994</v>
      </c>
      <c r="I135" s="15" t="s">
        <v>3117</v>
      </c>
      <c r="J135" s="16">
        <v>5386498</v>
      </c>
      <c r="K135" s="17">
        <v>43231</v>
      </c>
      <c r="L135" s="16" t="s">
        <v>6681</v>
      </c>
      <c r="M135" s="16">
        <v>386498</v>
      </c>
      <c r="N135" s="14" t="s">
        <v>109</v>
      </c>
      <c r="O135" s="13">
        <v>4</v>
      </c>
      <c r="P135" s="17">
        <v>44032</v>
      </c>
      <c r="Q135" s="14" t="s">
        <v>5052</v>
      </c>
      <c r="R135" s="17">
        <v>43847</v>
      </c>
      <c r="S135" s="17">
        <v>43157</v>
      </c>
      <c r="T135" s="14" t="s">
        <v>1</v>
      </c>
      <c r="U135" s="14" t="s">
        <v>5007</v>
      </c>
      <c r="V135" s="14" t="s">
        <v>968</v>
      </c>
      <c r="W135" s="14"/>
      <c r="X135" s="14" t="s">
        <v>6682</v>
      </c>
      <c r="Y135" s="14"/>
      <c r="Z135" s="14" t="s">
        <v>6683</v>
      </c>
      <c r="AA135" s="14"/>
      <c r="AB135" s="14" t="s">
        <v>3994</v>
      </c>
      <c r="AC135" s="14" t="s">
        <v>6684</v>
      </c>
      <c r="AD135" s="14" t="s">
        <v>6685</v>
      </c>
      <c r="AE135" s="14" t="s">
        <v>6686</v>
      </c>
      <c r="AF135" s="14" t="s">
        <v>6687</v>
      </c>
      <c r="AG135" s="14" t="s">
        <v>6688</v>
      </c>
      <c r="AH135" s="18"/>
      <c r="AI135" s="16"/>
      <c r="AJ135" s="17"/>
      <c r="AK135" s="15" t="s">
        <v>3117</v>
      </c>
      <c r="AL135" s="17">
        <v>43031</v>
      </c>
      <c r="AM135" s="16">
        <v>1558</v>
      </c>
      <c r="AN135" s="14" t="s">
        <v>6689</v>
      </c>
      <c r="AO135" s="14"/>
      <c r="AP135" s="15" t="s">
        <v>3123</v>
      </c>
      <c r="AQ135" s="14"/>
      <c r="AR135" s="17"/>
      <c r="AS135" s="16"/>
      <c r="AT135" s="14"/>
      <c r="AU135" s="15" t="s">
        <v>3123</v>
      </c>
      <c r="AV135" s="14"/>
      <c r="AW135" s="17"/>
      <c r="AX135" s="16"/>
      <c r="AY135" s="16"/>
      <c r="AZ135" s="16"/>
      <c r="BA135" s="16"/>
      <c r="BB135" s="15" t="s">
        <v>3123</v>
      </c>
      <c r="BC135" s="17"/>
      <c r="BD135" s="14"/>
      <c r="BE135" s="14"/>
      <c r="BF135" s="16"/>
      <c r="BG135" s="16"/>
      <c r="BH135" s="13"/>
      <c r="BI135" s="18" t="s">
        <v>6690</v>
      </c>
      <c r="BJ135" s="13">
        <v>200</v>
      </c>
      <c r="BK135" s="17">
        <v>44127</v>
      </c>
      <c r="BL135" s="18"/>
      <c r="BM135" s="18" t="s">
        <v>6691</v>
      </c>
      <c r="BN135" s="18"/>
      <c r="BO135" s="18"/>
      <c r="BP135" s="14" t="s">
        <v>6692</v>
      </c>
      <c r="BQ135" s="17">
        <v>43193</v>
      </c>
      <c r="BR135" s="16"/>
      <c r="BS135" s="17"/>
      <c r="BT135" s="16"/>
      <c r="BU135" s="17"/>
      <c r="BV135" s="16">
        <v>1000000</v>
      </c>
      <c r="BW135" s="17">
        <v>43231</v>
      </c>
      <c r="BX135" s="16"/>
      <c r="BY135" s="17"/>
      <c r="BZ135" s="19">
        <v>41.673976913244623</v>
      </c>
      <c r="CA135" s="19"/>
      <c r="CB135" s="17"/>
      <c r="CC135" s="14" t="s">
        <v>5309</v>
      </c>
      <c r="CD135" s="14" t="s">
        <v>6050</v>
      </c>
      <c r="CE135" s="14" t="s">
        <v>5004</v>
      </c>
    </row>
    <row r="136" spans="1:83" ht="26.15" customHeight="1">
      <c r="A136" s="13">
        <v>130</v>
      </c>
      <c r="B136" s="14" t="s">
        <v>42</v>
      </c>
      <c r="C136" s="14" t="s">
        <v>43</v>
      </c>
      <c r="D136" s="14" t="s">
        <v>48</v>
      </c>
      <c r="E136" s="13">
        <v>2017</v>
      </c>
      <c r="F136" s="14" t="s">
        <v>5592</v>
      </c>
      <c r="G136" s="14" t="s">
        <v>5313</v>
      </c>
      <c r="H136" s="14" t="s">
        <v>3994</v>
      </c>
      <c r="I136" s="15" t="s">
        <v>3117</v>
      </c>
      <c r="J136" s="16">
        <v>3160468</v>
      </c>
      <c r="K136" s="17">
        <v>44132</v>
      </c>
      <c r="L136" s="16" t="s">
        <v>5134</v>
      </c>
      <c r="M136" s="16">
        <v>1273650</v>
      </c>
      <c r="N136" s="14" t="s">
        <v>34</v>
      </c>
      <c r="O136" s="13">
        <v>4</v>
      </c>
      <c r="P136" s="17">
        <v>44078</v>
      </c>
      <c r="Q136" s="14"/>
      <c r="R136" s="17"/>
      <c r="S136" s="17"/>
      <c r="T136" s="14" t="s">
        <v>1</v>
      </c>
      <c r="U136" s="14" t="s">
        <v>5007</v>
      </c>
      <c r="V136" s="14" t="s">
        <v>5192</v>
      </c>
      <c r="W136" s="14"/>
      <c r="X136" s="14" t="s">
        <v>6693</v>
      </c>
      <c r="Y136" s="14" t="s">
        <v>6694</v>
      </c>
      <c r="Z136" s="14" t="s">
        <v>6695</v>
      </c>
      <c r="AA136" s="14"/>
      <c r="AB136" s="14" t="s">
        <v>3994</v>
      </c>
      <c r="AC136" s="14" t="s">
        <v>6696</v>
      </c>
      <c r="AD136" s="14" t="s">
        <v>6697</v>
      </c>
      <c r="AE136" s="14" t="s">
        <v>6698</v>
      </c>
      <c r="AF136" s="14" t="s">
        <v>6699</v>
      </c>
      <c r="AG136" s="14" t="s">
        <v>6700</v>
      </c>
      <c r="AH136" s="18"/>
      <c r="AI136" s="16">
        <v>93300</v>
      </c>
      <c r="AJ136" s="17">
        <v>43465</v>
      </c>
      <c r="AK136" s="15" t="s">
        <v>3123</v>
      </c>
      <c r="AL136" s="17"/>
      <c r="AM136" s="16"/>
      <c r="AN136" s="14"/>
      <c r="AO136" s="14"/>
      <c r="AP136" s="15" t="s">
        <v>3123</v>
      </c>
      <c r="AQ136" s="14"/>
      <c r="AR136" s="17"/>
      <c r="AS136" s="16"/>
      <c r="AT136" s="14"/>
      <c r="AU136" s="15" t="s">
        <v>3123</v>
      </c>
      <c r="AV136" s="14"/>
      <c r="AW136" s="17"/>
      <c r="AX136" s="16"/>
      <c r="AY136" s="16"/>
      <c r="AZ136" s="16"/>
      <c r="BA136" s="16"/>
      <c r="BB136" s="15" t="s">
        <v>3123</v>
      </c>
      <c r="BC136" s="17"/>
      <c r="BD136" s="14"/>
      <c r="BE136" s="14"/>
      <c r="BF136" s="16"/>
      <c r="BG136" s="16"/>
      <c r="BH136" s="13"/>
      <c r="BI136" s="18" t="s">
        <v>6701</v>
      </c>
      <c r="BJ136" s="13">
        <v>200</v>
      </c>
      <c r="BK136" s="17">
        <v>44127</v>
      </c>
      <c r="BL136" s="18" t="s">
        <v>6702</v>
      </c>
      <c r="BM136" s="18" t="s">
        <v>6703</v>
      </c>
      <c r="BN136" s="18" t="s">
        <v>6704</v>
      </c>
      <c r="BO136" s="18" t="s">
        <v>6705</v>
      </c>
      <c r="BP136" s="14" t="s">
        <v>6706</v>
      </c>
      <c r="BQ136" s="17">
        <v>44078</v>
      </c>
      <c r="BR136" s="16">
        <v>-50600</v>
      </c>
      <c r="BS136" s="17">
        <v>43465</v>
      </c>
      <c r="BT136" s="16">
        <v>-50200</v>
      </c>
      <c r="BU136" s="17">
        <v>43465</v>
      </c>
      <c r="BV136" s="16">
        <v>3000000</v>
      </c>
      <c r="BW136" s="17">
        <v>43637</v>
      </c>
      <c r="BX136" s="16">
        <v>27</v>
      </c>
      <c r="BY136" s="17">
        <v>44012</v>
      </c>
      <c r="BZ136" s="19">
        <v>51.087329090011707</v>
      </c>
      <c r="CA136" s="19"/>
      <c r="CB136" s="17"/>
      <c r="CC136" s="14" t="s">
        <v>5309</v>
      </c>
      <c r="CD136" s="14" t="s">
        <v>6050</v>
      </c>
      <c r="CE136" s="14" t="s">
        <v>5004</v>
      </c>
    </row>
    <row r="137" spans="1:83" ht="26.15" customHeight="1">
      <c r="A137" s="13">
        <v>131</v>
      </c>
      <c r="B137" s="14" t="s">
        <v>602</v>
      </c>
      <c r="C137" s="14" t="s">
        <v>603</v>
      </c>
      <c r="D137" s="14" t="s">
        <v>606</v>
      </c>
      <c r="E137" s="13">
        <v>2012</v>
      </c>
      <c r="F137" s="14" t="s">
        <v>6707</v>
      </c>
      <c r="G137" s="14" t="s">
        <v>6708</v>
      </c>
      <c r="H137" s="14" t="s">
        <v>6297</v>
      </c>
      <c r="I137" s="15" t="s">
        <v>3117</v>
      </c>
      <c r="J137" s="16"/>
      <c r="K137" s="17">
        <v>43832</v>
      </c>
      <c r="L137" s="16"/>
      <c r="M137" s="16" t="s">
        <v>50</v>
      </c>
      <c r="N137" s="14" t="s">
        <v>109</v>
      </c>
      <c r="O137" s="13">
        <v>3</v>
      </c>
      <c r="P137" s="17">
        <v>44019</v>
      </c>
      <c r="Q137" s="14"/>
      <c r="R137" s="17"/>
      <c r="S137" s="17"/>
      <c r="T137" s="14" t="s">
        <v>1</v>
      </c>
      <c r="U137" s="14" t="s">
        <v>5007</v>
      </c>
      <c r="V137" s="14" t="s">
        <v>968</v>
      </c>
      <c r="W137" s="14"/>
      <c r="X137" s="14" t="s">
        <v>605</v>
      </c>
      <c r="Y137" s="14"/>
      <c r="Z137" s="14" t="s">
        <v>6709</v>
      </c>
      <c r="AA137" s="14"/>
      <c r="AB137" s="14" t="s">
        <v>6297</v>
      </c>
      <c r="AC137" s="14"/>
      <c r="AD137" s="14" t="s">
        <v>6710</v>
      </c>
      <c r="AE137" s="14"/>
      <c r="AF137" s="14"/>
      <c r="AG137" s="14"/>
      <c r="AH137" s="18"/>
      <c r="AI137" s="16"/>
      <c r="AJ137" s="17"/>
      <c r="AK137" s="15" t="s">
        <v>3123</v>
      </c>
      <c r="AL137" s="17"/>
      <c r="AM137" s="16"/>
      <c r="AN137" s="14"/>
      <c r="AO137" s="14"/>
      <c r="AP137" s="15" t="s">
        <v>3123</v>
      </c>
      <c r="AQ137" s="14"/>
      <c r="AR137" s="17"/>
      <c r="AS137" s="16"/>
      <c r="AT137" s="14"/>
      <c r="AU137" s="15" t="s">
        <v>3123</v>
      </c>
      <c r="AV137" s="14"/>
      <c r="AW137" s="17"/>
      <c r="AX137" s="16"/>
      <c r="AY137" s="16"/>
      <c r="AZ137" s="16"/>
      <c r="BA137" s="16"/>
      <c r="BB137" s="15" t="s">
        <v>3123</v>
      </c>
      <c r="BC137" s="17"/>
      <c r="BD137" s="14"/>
      <c r="BE137" s="14"/>
      <c r="BF137" s="16"/>
      <c r="BG137" s="16"/>
      <c r="BH137" s="13"/>
      <c r="BI137" s="18" t="s">
        <v>6711</v>
      </c>
      <c r="BJ137" s="13">
        <v>200</v>
      </c>
      <c r="BK137" s="17">
        <v>44127</v>
      </c>
      <c r="BL137" s="18"/>
      <c r="BM137" s="18"/>
      <c r="BN137" s="18"/>
      <c r="BO137" s="18"/>
      <c r="BP137" s="14" t="s">
        <v>6712</v>
      </c>
      <c r="BQ137" s="17">
        <v>43032</v>
      </c>
      <c r="BR137" s="16"/>
      <c r="BS137" s="17"/>
      <c r="BT137" s="16"/>
      <c r="BU137" s="17"/>
      <c r="BV137" s="16"/>
      <c r="BW137" s="17"/>
      <c r="BX137" s="16"/>
      <c r="BY137" s="17"/>
      <c r="BZ137" s="19">
        <v>14.975092507056548</v>
      </c>
      <c r="CA137" s="19"/>
      <c r="CB137" s="17"/>
      <c r="CC137" s="14" t="s">
        <v>5104</v>
      </c>
      <c r="CD137" s="14" t="s">
        <v>5962</v>
      </c>
      <c r="CE137" s="14" t="s">
        <v>5945</v>
      </c>
    </row>
    <row r="138" spans="1:83" ht="26.15" customHeight="1">
      <c r="A138" s="13">
        <v>132</v>
      </c>
      <c r="B138" s="14" t="s">
        <v>2060</v>
      </c>
      <c r="C138" s="14" t="s">
        <v>2061</v>
      </c>
      <c r="D138" s="14" t="s">
        <v>2062</v>
      </c>
      <c r="E138" s="13">
        <v>2016</v>
      </c>
      <c r="F138" s="14" t="s">
        <v>5038</v>
      </c>
      <c r="G138" s="14" t="s">
        <v>5039</v>
      </c>
      <c r="H138" s="14" t="s">
        <v>3994</v>
      </c>
      <c r="I138" s="15" t="s">
        <v>3117</v>
      </c>
      <c r="J138" s="16">
        <v>23189</v>
      </c>
      <c r="K138" s="17">
        <v>42916</v>
      </c>
      <c r="L138" s="16" t="s">
        <v>6713</v>
      </c>
      <c r="M138" s="16">
        <v>23189</v>
      </c>
      <c r="N138" s="14" t="s">
        <v>34</v>
      </c>
      <c r="O138" s="13">
        <v>2</v>
      </c>
      <c r="P138" s="17">
        <v>44098</v>
      </c>
      <c r="Q138" s="14"/>
      <c r="R138" s="17"/>
      <c r="S138" s="17"/>
      <c r="T138" s="14" t="s">
        <v>1</v>
      </c>
      <c r="U138" s="14" t="s">
        <v>5007</v>
      </c>
      <c r="V138" s="14" t="s">
        <v>5393</v>
      </c>
      <c r="W138" s="14"/>
      <c r="X138" s="14" t="s">
        <v>6714</v>
      </c>
      <c r="Y138" s="14"/>
      <c r="Z138" s="14" t="s">
        <v>6715</v>
      </c>
      <c r="AA138" s="14"/>
      <c r="AB138" s="14" t="s">
        <v>3994</v>
      </c>
      <c r="AC138" s="14" t="s">
        <v>6716</v>
      </c>
      <c r="AD138" s="14" t="s">
        <v>6717</v>
      </c>
      <c r="AE138" s="14" t="s">
        <v>6718</v>
      </c>
      <c r="AF138" s="14" t="s">
        <v>6719</v>
      </c>
      <c r="AG138" s="14" t="s">
        <v>6720</v>
      </c>
      <c r="AH138" s="18"/>
      <c r="AI138" s="16">
        <v>14300</v>
      </c>
      <c r="AJ138" s="17">
        <v>43465</v>
      </c>
      <c r="AK138" s="15" t="s">
        <v>3117</v>
      </c>
      <c r="AL138" s="17">
        <v>42516</v>
      </c>
      <c r="AM138" s="16">
        <v>148</v>
      </c>
      <c r="AN138" s="14" t="s">
        <v>6721</v>
      </c>
      <c r="AO138" s="14"/>
      <c r="AP138" s="15" t="s">
        <v>3123</v>
      </c>
      <c r="AQ138" s="14"/>
      <c r="AR138" s="17"/>
      <c r="AS138" s="16"/>
      <c r="AT138" s="14"/>
      <c r="AU138" s="15" t="s">
        <v>3123</v>
      </c>
      <c r="AV138" s="14"/>
      <c r="AW138" s="17"/>
      <c r="AX138" s="16"/>
      <c r="AY138" s="16"/>
      <c r="AZ138" s="16"/>
      <c r="BA138" s="16"/>
      <c r="BB138" s="15" t="s">
        <v>3123</v>
      </c>
      <c r="BC138" s="17"/>
      <c r="BD138" s="14"/>
      <c r="BE138" s="14"/>
      <c r="BF138" s="16"/>
      <c r="BG138" s="16"/>
      <c r="BH138" s="13"/>
      <c r="BI138" s="18" t="s">
        <v>6722</v>
      </c>
      <c r="BJ138" s="13">
        <v>301</v>
      </c>
      <c r="BK138" s="17">
        <v>44135</v>
      </c>
      <c r="BL138" s="18" t="s">
        <v>6723</v>
      </c>
      <c r="BM138" s="18"/>
      <c r="BN138" s="18"/>
      <c r="BO138" s="18"/>
      <c r="BP138" s="14" t="s">
        <v>6724</v>
      </c>
      <c r="BQ138" s="17">
        <v>43185</v>
      </c>
      <c r="BR138" s="16">
        <v>-12700</v>
      </c>
      <c r="BS138" s="17">
        <v>43465</v>
      </c>
      <c r="BT138" s="16">
        <v>-12000</v>
      </c>
      <c r="BU138" s="17">
        <v>43465</v>
      </c>
      <c r="BV138" s="16"/>
      <c r="BW138" s="17"/>
      <c r="BX138" s="16"/>
      <c r="BY138" s="17"/>
      <c r="BZ138" s="19">
        <v>14.486817066190106</v>
      </c>
      <c r="CA138" s="19"/>
      <c r="CB138" s="17"/>
      <c r="CC138" s="14" t="s">
        <v>5002</v>
      </c>
      <c r="CD138" s="14" t="s">
        <v>6557</v>
      </c>
      <c r="CE138" s="14" t="s">
        <v>5945</v>
      </c>
    </row>
    <row r="139" spans="1:83" ht="26.15" customHeight="1">
      <c r="A139" s="13">
        <v>133</v>
      </c>
      <c r="B139" s="14" t="s">
        <v>1525</v>
      </c>
      <c r="C139" s="14" t="s">
        <v>1526</v>
      </c>
      <c r="D139" s="14" t="s">
        <v>1529</v>
      </c>
      <c r="E139" s="13">
        <v>2015</v>
      </c>
      <c r="F139" s="14" t="s">
        <v>6064</v>
      </c>
      <c r="G139" s="14" t="s">
        <v>6065</v>
      </c>
      <c r="H139" s="14" t="s">
        <v>2057</v>
      </c>
      <c r="I139" s="15" t="s">
        <v>3117</v>
      </c>
      <c r="J139" s="16">
        <v>1475230</v>
      </c>
      <c r="K139" s="17">
        <v>43305</v>
      </c>
      <c r="L139" s="16" t="s">
        <v>5134</v>
      </c>
      <c r="M139" s="16">
        <v>1475230</v>
      </c>
      <c r="N139" s="14" t="s">
        <v>34</v>
      </c>
      <c r="O139" s="13">
        <v>3</v>
      </c>
      <c r="P139" s="17">
        <v>44081</v>
      </c>
      <c r="Q139" s="14"/>
      <c r="R139" s="17"/>
      <c r="S139" s="17"/>
      <c r="T139" s="14" t="s">
        <v>5509</v>
      </c>
      <c r="U139" s="14" t="s">
        <v>6725</v>
      </c>
      <c r="V139" s="14" t="s">
        <v>6726</v>
      </c>
      <c r="W139" s="14"/>
      <c r="X139" s="14" t="s">
        <v>4002</v>
      </c>
      <c r="Y139" s="14"/>
      <c r="Z139" s="14" t="s">
        <v>6727</v>
      </c>
      <c r="AA139" s="14"/>
      <c r="AB139" s="14" t="s">
        <v>2057</v>
      </c>
      <c r="AC139" s="14"/>
      <c r="AD139" s="14"/>
      <c r="AE139" s="14" t="s">
        <v>6728</v>
      </c>
      <c r="AF139" s="14"/>
      <c r="AG139" s="14"/>
      <c r="AH139" s="18"/>
      <c r="AI139" s="16"/>
      <c r="AJ139" s="17"/>
      <c r="AK139" s="15" t="s">
        <v>3123</v>
      </c>
      <c r="AL139" s="17"/>
      <c r="AM139" s="16"/>
      <c r="AN139" s="14"/>
      <c r="AO139" s="14"/>
      <c r="AP139" s="15" t="s">
        <v>3123</v>
      </c>
      <c r="AQ139" s="14"/>
      <c r="AR139" s="17"/>
      <c r="AS139" s="16"/>
      <c r="AT139" s="14"/>
      <c r="AU139" s="15" t="s">
        <v>3123</v>
      </c>
      <c r="AV139" s="14"/>
      <c r="AW139" s="17"/>
      <c r="AX139" s="16"/>
      <c r="AY139" s="16"/>
      <c r="AZ139" s="16"/>
      <c r="BA139" s="16"/>
      <c r="BB139" s="15" t="s">
        <v>3123</v>
      </c>
      <c r="BC139" s="17"/>
      <c r="BD139" s="14"/>
      <c r="BE139" s="14"/>
      <c r="BF139" s="16"/>
      <c r="BG139" s="16"/>
      <c r="BH139" s="13"/>
      <c r="BI139" s="18" t="s">
        <v>6729</v>
      </c>
      <c r="BJ139" s="13">
        <v>200</v>
      </c>
      <c r="BK139" s="17">
        <v>44127</v>
      </c>
      <c r="BL139" s="18"/>
      <c r="BM139" s="18"/>
      <c r="BN139" s="18"/>
      <c r="BO139" s="18"/>
      <c r="BP139" s="14" t="s">
        <v>6730</v>
      </c>
      <c r="BQ139" s="17">
        <v>42937</v>
      </c>
      <c r="BR139" s="16"/>
      <c r="BS139" s="17"/>
      <c r="BT139" s="16"/>
      <c r="BU139" s="17"/>
      <c r="BV139" s="16"/>
      <c r="BW139" s="17"/>
      <c r="BX139" s="16"/>
      <c r="BY139" s="17"/>
      <c r="BZ139" s="19">
        <v>10.16550095825666</v>
      </c>
      <c r="CA139" s="19"/>
      <c r="CB139" s="17"/>
      <c r="CC139" s="14" t="s">
        <v>5002</v>
      </c>
      <c r="CD139" s="14" t="s">
        <v>6731</v>
      </c>
      <c r="CE139" s="14" t="s">
        <v>6074</v>
      </c>
    </row>
    <row r="140" spans="1:83" ht="26.15" customHeight="1">
      <c r="A140" s="13">
        <v>134</v>
      </c>
      <c r="B140" s="14" t="s">
        <v>1317</v>
      </c>
      <c r="C140" s="14" t="s">
        <v>1318</v>
      </c>
      <c r="D140" s="14" t="s">
        <v>1321</v>
      </c>
      <c r="E140" s="13">
        <v>2014</v>
      </c>
      <c r="F140" s="14" t="s">
        <v>6732</v>
      </c>
      <c r="G140" s="14" t="s">
        <v>5182</v>
      </c>
      <c r="H140" s="14" t="s">
        <v>2057</v>
      </c>
      <c r="I140" s="15" t="s">
        <v>3117</v>
      </c>
      <c r="J140" s="16"/>
      <c r="K140" s="17">
        <v>43438</v>
      </c>
      <c r="L140" s="16"/>
      <c r="M140" s="16" t="s">
        <v>50</v>
      </c>
      <c r="N140" s="14" t="s">
        <v>34</v>
      </c>
      <c r="O140" s="13">
        <v>2</v>
      </c>
      <c r="P140" s="17">
        <v>43977</v>
      </c>
      <c r="Q140" s="14"/>
      <c r="R140" s="17"/>
      <c r="S140" s="17"/>
      <c r="T140" s="14" t="s">
        <v>1</v>
      </c>
      <c r="U140" s="14" t="s">
        <v>5007</v>
      </c>
      <c r="V140" s="14" t="s">
        <v>6482</v>
      </c>
      <c r="W140" s="14"/>
      <c r="X140" s="14" t="s">
        <v>3849</v>
      </c>
      <c r="Y140" s="14"/>
      <c r="Z140" s="14" t="s">
        <v>6733</v>
      </c>
      <c r="AA140" s="14"/>
      <c r="AB140" s="14" t="s">
        <v>2057</v>
      </c>
      <c r="AC140" s="14" t="s">
        <v>6734</v>
      </c>
      <c r="AD140" s="14" t="s">
        <v>6735</v>
      </c>
      <c r="AE140" s="14"/>
      <c r="AF140" s="14"/>
      <c r="AG140" s="14"/>
      <c r="AH140" s="18"/>
      <c r="AI140" s="16"/>
      <c r="AJ140" s="17"/>
      <c r="AK140" s="15" t="s">
        <v>3123</v>
      </c>
      <c r="AL140" s="17"/>
      <c r="AM140" s="16"/>
      <c r="AN140" s="14"/>
      <c r="AO140" s="14"/>
      <c r="AP140" s="15" t="s">
        <v>3123</v>
      </c>
      <c r="AQ140" s="14"/>
      <c r="AR140" s="17"/>
      <c r="AS140" s="16"/>
      <c r="AT140" s="14"/>
      <c r="AU140" s="15" t="s">
        <v>3123</v>
      </c>
      <c r="AV140" s="14"/>
      <c r="AW140" s="17"/>
      <c r="AX140" s="16"/>
      <c r="AY140" s="16"/>
      <c r="AZ140" s="16"/>
      <c r="BA140" s="16"/>
      <c r="BB140" s="15" t="s">
        <v>3123</v>
      </c>
      <c r="BC140" s="17"/>
      <c r="BD140" s="14"/>
      <c r="BE140" s="14"/>
      <c r="BF140" s="16"/>
      <c r="BG140" s="16"/>
      <c r="BH140" s="13"/>
      <c r="BI140" s="18" t="s">
        <v>6736</v>
      </c>
      <c r="BJ140" s="13">
        <v>200</v>
      </c>
      <c r="BK140" s="17">
        <v>44127</v>
      </c>
      <c r="BL140" s="18"/>
      <c r="BM140" s="18"/>
      <c r="BN140" s="18" t="s">
        <v>6737</v>
      </c>
      <c r="BO140" s="18"/>
      <c r="BP140" s="14" t="s">
        <v>6738</v>
      </c>
      <c r="BQ140" s="17">
        <v>43440</v>
      </c>
      <c r="BR140" s="16"/>
      <c r="BS140" s="17"/>
      <c r="BT140" s="16"/>
      <c r="BU140" s="17"/>
      <c r="BV140" s="16"/>
      <c r="BW140" s="17"/>
      <c r="BX140" s="16"/>
      <c r="BY140" s="17"/>
      <c r="BZ140" s="19">
        <v>8.3570513974014204</v>
      </c>
      <c r="CA140" s="19"/>
      <c r="CB140" s="17"/>
      <c r="CC140" s="14" t="s">
        <v>5345</v>
      </c>
      <c r="CD140" s="14" t="s">
        <v>5361</v>
      </c>
      <c r="CE140" s="14" t="s">
        <v>5311</v>
      </c>
    </row>
    <row r="141" spans="1:83" ht="26.15" customHeight="1">
      <c r="A141" s="13">
        <v>135</v>
      </c>
      <c r="B141" s="14" t="s">
        <v>544</v>
      </c>
      <c r="C141" s="14" t="s">
        <v>545</v>
      </c>
      <c r="D141" s="14" t="s">
        <v>548</v>
      </c>
      <c r="E141" s="13">
        <v>2007</v>
      </c>
      <c r="F141" s="14" t="s">
        <v>6739</v>
      </c>
      <c r="G141" s="14" t="s">
        <v>5804</v>
      </c>
      <c r="H141" s="14" t="s">
        <v>5208</v>
      </c>
      <c r="I141" s="15" t="s">
        <v>3117</v>
      </c>
      <c r="J141" s="16">
        <v>40000000</v>
      </c>
      <c r="K141" s="17">
        <v>43865</v>
      </c>
      <c r="L141" s="16" t="s">
        <v>6740</v>
      </c>
      <c r="M141" s="16">
        <v>20000000</v>
      </c>
      <c r="N141" s="14" t="s">
        <v>25</v>
      </c>
      <c r="O141" s="13">
        <v>4</v>
      </c>
      <c r="P141" s="17">
        <v>43983</v>
      </c>
      <c r="Q141" s="14" t="s">
        <v>5544</v>
      </c>
      <c r="R141" s="17">
        <v>43888</v>
      </c>
      <c r="S141" s="17">
        <v>43865</v>
      </c>
      <c r="T141" s="14" t="s">
        <v>1</v>
      </c>
      <c r="U141" s="14" t="s">
        <v>5007</v>
      </c>
      <c r="V141" s="14" t="s">
        <v>6741</v>
      </c>
      <c r="W141" s="14"/>
      <c r="X141" s="14" t="s">
        <v>6742</v>
      </c>
      <c r="Y141" s="14"/>
      <c r="Z141" s="14" t="s">
        <v>6743</v>
      </c>
      <c r="AA141" s="14"/>
      <c r="AB141" s="14" t="s">
        <v>5208</v>
      </c>
      <c r="AC141" s="14" t="s">
        <v>6744</v>
      </c>
      <c r="AD141" s="14" t="s">
        <v>6745</v>
      </c>
      <c r="AE141" s="14" t="s">
        <v>6746</v>
      </c>
      <c r="AF141" s="14"/>
      <c r="AG141" s="14" t="s">
        <v>6747</v>
      </c>
      <c r="AH141" s="18"/>
      <c r="AI141" s="16"/>
      <c r="AJ141" s="17"/>
      <c r="AK141" s="15" t="s">
        <v>3123</v>
      </c>
      <c r="AL141" s="17"/>
      <c r="AM141" s="16"/>
      <c r="AN141" s="14"/>
      <c r="AO141" s="14"/>
      <c r="AP141" s="15" t="s">
        <v>3123</v>
      </c>
      <c r="AQ141" s="14"/>
      <c r="AR141" s="17"/>
      <c r="AS141" s="16"/>
      <c r="AT141" s="14"/>
      <c r="AU141" s="15" t="s">
        <v>3123</v>
      </c>
      <c r="AV141" s="14"/>
      <c r="AW141" s="17"/>
      <c r="AX141" s="16"/>
      <c r="AY141" s="16"/>
      <c r="AZ141" s="16"/>
      <c r="BA141" s="16"/>
      <c r="BB141" s="15" t="s">
        <v>3123</v>
      </c>
      <c r="BC141" s="17"/>
      <c r="BD141" s="14"/>
      <c r="BE141" s="14"/>
      <c r="BF141" s="16"/>
      <c r="BG141" s="16"/>
      <c r="BH141" s="13"/>
      <c r="BI141" s="18" t="s">
        <v>6748</v>
      </c>
      <c r="BJ141" s="13">
        <v>200</v>
      </c>
      <c r="BK141" s="17">
        <v>44127</v>
      </c>
      <c r="BL141" s="18" t="s">
        <v>6749</v>
      </c>
      <c r="BM141" s="18" t="s">
        <v>6750</v>
      </c>
      <c r="BN141" s="18" t="s">
        <v>6751</v>
      </c>
      <c r="BO141" s="18"/>
      <c r="BP141" s="14" t="s">
        <v>6752</v>
      </c>
      <c r="BQ141" s="17">
        <v>43031</v>
      </c>
      <c r="BR141" s="16"/>
      <c r="BS141" s="17"/>
      <c r="BT141" s="16"/>
      <c r="BU141" s="17"/>
      <c r="BV141" s="16"/>
      <c r="BW141" s="17"/>
      <c r="BX141" s="16"/>
      <c r="BY141" s="17"/>
      <c r="BZ141" s="19">
        <v>55.121071032569922</v>
      </c>
      <c r="CA141" s="19"/>
      <c r="CB141" s="17"/>
      <c r="CC141" s="14" t="s">
        <v>5104</v>
      </c>
      <c r="CD141" s="14" t="s">
        <v>5310</v>
      </c>
      <c r="CE141" s="14" t="s">
        <v>5521</v>
      </c>
    </row>
    <row r="142" spans="1:83" ht="26.15" customHeight="1">
      <c r="A142" s="13">
        <v>136</v>
      </c>
      <c r="B142" s="14" t="s">
        <v>891</v>
      </c>
      <c r="C142" s="14" t="s">
        <v>892</v>
      </c>
      <c r="D142" s="14" t="s">
        <v>895</v>
      </c>
      <c r="E142" s="13">
        <v>2017</v>
      </c>
      <c r="F142" s="14" t="s">
        <v>5689</v>
      </c>
      <c r="G142" s="14" t="s">
        <v>5674</v>
      </c>
      <c r="H142" s="14" t="s">
        <v>2057</v>
      </c>
      <c r="I142" s="15" t="s">
        <v>3117</v>
      </c>
      <c r="J142" s="16"/>
      <c r="K142" s="17">
        <v>43685</v>
      </c>
      <c r="L142" s="16"/>
      <c r="M142" s="16" t="s">
        <v>50</v>
      </c>
      <c r="N142" s="14" t="s">
        <v>25</v>
      </c>
      <c r="O142" s="13">
        <v>4</v>
      </c>
      <c r="P142" s="17">
        <v>44019</v>
      </c>
      <c r="Q142" s="14"/>
      <c r="R142" s="17"/>
      <c r="S142" s="17"/>
      <c r="T142" s="14" t="s">
        <v>6753</v>
      </c>
      <c r="U142" s="14" t="s">
        <v>6754</v>
      </c>
      <c r="V142" s="14" t="s">
        <v>6755</v>
      </c>
      <c r="W142" s="14"/>
      <c r="X142" s="14" t="s">
        <v>2531</v>
      </c>
      <c r="Y142" s="14"/>
      <c r="Z142" s="14" t="s">
        <v>6756</v>
      </c>
      <c r="AA142" s="14"/>
      <c r="AB142" s="14" t="s">
        <v>2057</v>
      </c>
      <c r="AC142" s="14" t="s">
        <v>6757</v>
      </c>
      <c r="AD142" s="14" t="s">
        <v>6758</v>
      </c>
      <c r="AE142" s="14" t="s">
        <v>6759</v>
      </c>
      <c r="AF142" s="14"/>
      <c r="AG142" s="14"/>
      <c r="AH142" s="18"/>
      <c r="AI142" s="16"/>
      <c r="AJ142" s="17"/>
      <c r="AK142" s="15" t="s">
        <v>3123</v>
      </c>
      <c r="AL142" s="17"/>
      <c r="AM142" s="16"/>
      <c r="AN142" s="14"/>
      <c r="AO142" s="14"/>
      <c r="AP142" s="15" t="s">
        <v>3123</v>
      </c>
      <c r="AQ142" s="14"/>
      <c r="AR142" s="17"/>
      <c r="AS142" s="16"/>
      <c r="AT142" s="14"/>
      <c r="AU142" s="15" t="s">
        <v>3123</v>
      </c>
      <c r="AV142" s="14"/>
      <c r="AW142" s="17"/>
      <c r="AX142" s="16"/>
      <c r="AY142" s="16"/>
      <c r="AZ142" s="16"/>
      <c r="BA142" s="16"/>
      <c r="BB142" s="15" t="s">
        <v>3123</v>
      </c>
      <c r="BC142" s="17"/>
      <c r="BD142" s="14"/>
      <c r="BE142" s="14"/>
      <c r="BF142" s="16"/>
      <c r="BG142" s="16"/>
      <c r="BH142" s="13"/>
      <c r="BI142" s="18" t="s">
        <v>6760</v>
      </c>
      <c r="BJ142" s="13">
        <v>200</v>
      </c>
      <c r="BK142" s="17">
        <v>44126</v>
      </c>
      <c r="BL142" s="18"/>
      <c r="BM142" s="18"/>
      <c r="BN142" s="18"/>
      <c r="BO142" s="18"/>
      <c r="BP142" s="14" t="s">
        <v>6761</v>
      </c>
      <c r="BQ142" s="17">
        <v>43228</v>
      </c>
      <c r="BR142" s="16"/>
      <c r="BS142" s="17"/>
      <c r="BT142" s="16"/>
      <c r="BU142" s="17"/>
      <c r="BV142" s="16"/>
      <c r="BW142" s="17"/>
      <c r="BX142" s="16"/>
      <c r="BY142" s="17"/>
      <c r="BZ142" s="19">
        <v>25.424866355035473</v>
      </c>
      <c r="CA142" s="19"/>
      <c r="CB142" s="17"/>
      <c r="CC142" s="14" t="s">
        <v>5104</v>
      </c>
      <c r="CD142" s="14" t="s">
        <v>5962</v>
      </c>
      <c r="CE142" s="14" t="s">
        <v>5945</v>
      </c>
    </row>
    <row r="143" spans="1:83" ht="26.15" customHeight="1">
      <c r="A143" s="13">
        <v>137</v>
      </c>
      <c r="B143" s="14" t="s">
        <v>1591</v>
      </c>
      <c r="C143" s="14" t="s">
        <v>1592</v>
      </c>
      <c r="D143" s="14" t="s">
        <v>1593</v>
      </c>
      <c r="E143" s="13">
        <v>2017</v>
      </c>
      <c r="F143" s="14" t="s">
        <v>6762</v>
      </c>
      <c r="G143" s="14" t="s">
        <v>6763</v>
      </c>
      <c r="H143" s="14" t="s">
        <v>5333</v>
      </c>
      <c r="I143" s="15" t="s">
        <v>3117</v>
      </c>
      <c r="J143" s="16">
        <v>100000</v>
      </c>
      <c r="K143" s="17">
        <v>43269</v>
      </c>
      <c r="L143" s="16" t="s">
        <v>5252</v>
      </c>
      <c r="M143" s="16">
        <v>100000</v>
      </c>
      <c r="N143" s="14" t="s">
        <v>34</v>
      </c>
      <c r="O143" s="13">
        <v>3</v>
      </c>
      <c r="P143" s="17">
        <v>44015</v>
      </c>
      <c r="Q143" s="14"/>
      <c r="R143" s="17"/>
      <c r="S143" s="17"/>
      <c r="T143" s="14" t="s">
        <v>5493</v>
      </c>
      <c r="U143" s="14" t="s">
        <v>5494</v>
      </c>
      <c r="V143" s="14" t="s">
        <v>6764</v>
      </c>
      <c r="W143" s="14"/>
      <c r="X143" s="14" t="s">
        <v>786</v>
      </c>
      <c r="Y143" s="14"/>
      <c r="Z143" s="14" t="s">
        <v>6765</v>
      </c>
      <c r="AA143" s="14"/>
      <c r="AB143" s="14" t="s">
        <v>5333</v>
      </c>
      <c r="AC143" s="14"/>
      <c r="AD143" s="14"/>
      <c r="AE143" s="14" t="s">
        <v>6766</v>
      </c>
      <c r="AF143" s="14" t="s">
        <v>6767</v>
      </c>
      <c r="AG143" s="14" t="s">
        <v>6768</v>
      </c>
      <c r="AH143" s="18"/>
      <c r="AI143" s="16"/>
      <c r="AJ143" s="17"/>
      <c r="AK143" s="15" t="s">
        <v>3123</v>
      </c>
      <c r="AL143" s="17"/>
      <c r="AM143" s="16"/>
      <c r="AN143" s="14"/>
      <c r="AO143" s="14"/>
      <c r="AP143" s="15" t="s">
        <v>3123</v>
      </c>
      <c r="AQ143" s="14"/>
      <c r="AR143" s="17"/>
      <c r="AS143" s="16"/>
      <c r="AT143" s="14"/>
      <c r="AU143" s="15" t="s">
        <v>3123</v>
      </c>
      <c r="AV143" s="14"/>
      <c r="AW143" s="17"/>
      <c r="AX143" s="16"/>
      <c r="AY143" s="16"/>
      <c r="AZ143" s="16"/>
      <c r="BA143" s="16"/>
      <c r="BB143" s="15" t="s">
        <v>3123</v>
      </c>
      <c r="BC143" s="17"/>
      <c r="BD143" s="14"/>
      <c r="BE143" s="14"/>
      <c r="BF143" s="16"/>
      <c r="BG143" s="16"/>
      <c r="BH143" s="13"/>
      <c r="BI143" s="18" t="s">
        <v>6769</v>
      </c>
      <c r="BJ143" s="13">
        <v>200</v>
      </c>
      <c r="BK143" s="17">
        <v>44126</v>
      </c>
      <c r="BL143" s="18" t="s">
        <v>6770</v>
      </c>
      <c r="BM143" s="18" t="s">
        <v>6771</v>
      </c>
      <c r="BN143" s="18" t="s">
        <v>6772</v>
      </c>
      <c r="BO143" s="18"/>
      <c r="BP143" s="14" t="s">
        <v>6773</v>
      </c>
      <c r="BQ143" s="17">
        <v>43349</v>
      </c>
      <c r="BR143" s="16"/>
      <c r="BS143" s="17"/>
      <c r="BT143" s="16"/>
      <c r="BU143" s="17"/>
      <c r="BV143" s="16"/>
      <c r="BW143" s="17"/>
      <c r="BX143" s="16"/>
      <c r="BY143" s="17"/>
      <c r="BZ143" s="19">
        <v>22.289151807756326</v>
      </c>
      <c r="CA143" s="19"/>
      <c r="CB143" s="17"/>
      <c r="CC143" s="14" t="s">
        <v>5104</v>
      </c>
      <c r="CD143" s="14" t="s">
        <v>5310</v>
      </c>
      <c r="CE143" s="14" t="s">
        <v>5521</v>
      </c>
    </row>
    <row r="144" spans="1:83" ht="26.15" customHeight="1">
      <c r="A144" s="13">
        <v>138</v>
      </c>
      <c r="B144" s="14" t="s">
        <v>1108</v>
      </c>
      <c r="C144" s="14" t="s">
        <v>1109</v>
      </c>
      <c r="D144" s="14" t="s">
        <v>1113</v>
      </c>
      <c r="E144" s="13">
        <v>2015</v>
      </c>
      <c r="F144" s="14" t="s">
        <v>6774</v>
      </c>
      <c r="G144" s="14" t="s">
        <v>6775</v>
      </c>
      <c r="H144" s="14" t="s">
        <v>2057</v>
      </c>
      <c r="I144" s="15" t="s">
        <v>3117</v>
      </c>
      <c r="J144" s="16"/>
      <c r="K144" s="17">
        <v>43556</v>
      </c>
      <c r="L144" s="16"/>
      <c r="M144" s="16" t="s">
        <v>50</v>
      </c>
      <c r="N144" s="14" t="s">
        <v>109</v>
      </c>
      <c r="O144" s="13">
        <v>3</v>
      </c>
      <c r="P144" s="17">
        <v>44013</v>
      </c>
      <c r="Q144" s="14"/>
      <c r="R144" s="17"/>
      <c r="S144" s="17"/>
      <c r="T144" s="14" t="s">
        <v>5493</v>
      </c>
      <c r="U144" s="14" t="s">
        <v>5494</v>
      </c>
      <c r="V144" s="14" t="s">
        <v>6776</v>
      </c>
      <c r="W144" s="14"/>
      <c r="X144" s="14" t="s">
        <v>6777</v>
      </c>
      <c r="Y144" s="14"/>
      <c r="Z144" s="14" t="s">
        <v>6778</v>
      </c>
      <c r="AA144" s="14"/>
      <c r="AB144" s="14" t="s">
        <v>2057</v>
      </c>
      <c r="AC144" s="14"/>
      <c r="AD144" s="14" t="s">
        <v>6779</v>
      </c>
      <c r="AE144" s="14" t="s">
        <v>6780</v>
      </c>
      <c r="AF144" s="14"/>
      <c r="AG144" s="14"/>
      <c r="AH144" s="18"/>
      <c r="AI144" s="16"/>
      <c r="AJ144" s="17"/>
      <c r="AK144" s="15" t="s">
        <v>3123</v>
      </c>
      <c r="AL144" s="17"/>
      <c r="AM144" s="16"/>
      <c r="AN144" s="14"/>
      <c r="AO144" s="14"/>
      <c r="AP144" s="15" t="s">
        <v>3123</v>
      </c>
      <c r="AQ144" s="14"/>
      <c r="AR144" s="17"/>
      <c r="AS144" s="16"/>
      <c r="AT144" s="14"/>
      <c r="AU144" s="15" t="s">
        <v>3123</v>
      </c>
      <c r="AV144" s="14"/>
      <c r="AW144" s="17"/>
      <c r="AX144" s="16"/>
      <c r="AY144" s="16"/>
      <c r="AZ144" s="16"/>
      <c r="BA144" s="16"/>
      <c r="BB144" s="15" t="s">
        <v>3123</v>
      </c>
      <c r="BC144" s="17"/>
      <c r="BD144" s="14"/>
      <c r="BE144" s="14"/>
      <c r="BF144" s="16"/>
      <c r="BG144" s="16"/>
      <c r="BH144" s="13"/>
      <c r="BI144" s="18" t="s">
        <v>6781</v>
      </c>
      <c r="BJ144" s="13">
        <v>403</v>
      </c>
      <c r="BK144" s="17">
        <v>44127</v>
      </c>
      <c r="BL144" s="18"/>
      <c r="BM144" s="18"/>
      <c r="BN144" s="18"/>
      <c r="BO144" s="18"/>
      <c r="BP144" s="14" t="s">
        <v>6782</v>
      </c>
      <c r="BQ144" s="17">
        <v>43494</v>
      </c>
      <c r="BR144" s="16"/>
      <c r="BS144" s="17"/>
      <c r="BT144" s="16"/>
      <c r="BU144" s="17"/>
      <c r="BV144" s="16"/>
      <c r="BW144" s="17"/>
      <c r="BX144" s="16"/>
      <c r="BY144" s="17"/>
      <c r="BZ144" s="19">
        <v>23.393198651618683</v>
      </c>
      <c r="CA144" s="19"/>
      <c r="CB144" s="17"/>
      <c r="CC144" s="14" t="s">
        <v>5104</v>
      </c>
      <c r="CD144" s="14" t="s">
        <v>5439</v>
      </c>
      <c r="CE144" s="14" t="s">
        <v>5311</v>
      </c>
    </row>
    <row r="145" spans="1:83" ht="26.15" customHeight="1">
      <c r="A145" s="13">
        <v>139</v>
      </c>
      <c r="B145" s="14" t="s">
        <v>664</v>
      </c>
      <c r="C145" s="14" t="s">
        <v>665</v>
      </c>
      <c r="D145" s="14" t="s">
        <v>667</v>
      </c>
      <c r="E145" s="13">
        <v>2015</v>
      </c>
      <c r="F145" s="14" t="s">
        <v>6707</v>
      </c>
      <c r="G145" s="14" t="s">
        <v>6708</v>
      </c>
      <c r="H145" s="14" t="s">
        <v>6297</v>
      </c>
      <c r="I145" s="15" t="s">
        <v>3117</v>
      </c>
      <c r="J145" s="16"/>
      <c r="K145" s="17">
        <v>43795</v>
      </c>
      <c r="L145" s="16" t="s">
        <v>6783</v>
      </c>
      <c r="M145" s="16">
        <v>10000</v>
      </c>
      <c r="N145" s="14" t="s">
        <v>34</v>
      </c>
      <c r="O145" s="13">
        <v>3</v>
      </c>
      <c r="P145" s="17">
        <v>44004</v>
      </c>
      <c r="Q145" s="14"/>
      <c r="R145" s="17"/>
      <c r="S145" s="17"/>
      <c r="T145" s="14" t="s">
        <v>1</v>
      </c>
      <c r="U145" s="14" t="s">
        <v>5007</v>
      </c>
      <c r="V145" s="14" t="s">
        <v>6146</v>
      </c>
      <c r="W145" s="14"/>
      <c r="X145" s="14" t="s">
        <v>6784</v>
      </c>
      <c r="Y145" s="14"/>
      <c r="Z145" s="14" t="s">
        <v>6785</v>
      </c>
      <c r="AA145" s="14"/>
      <c r="AB145" s="14" t="s">
        <v>6297</v>
      </c>
      <c r="AC145" s="14" t="s">
        <v>6786</v>
      </c>
      <c r="AD145" s="14" t="s">
        <v>6787</v>
      </c>
      <c r="AE145" s="14" t="s">
        <v>6788</v>
      </c>
      <c r="AF145" s="14" t="s">
        <v>6789</v>
      </c>
      <c r="AG145" s="14" t="s">
        <v>6790</v>
      </c>
      <c r="AH145" s="18"/>
      <c r="AI145" s="16"/>
      <c r="AJ145" s="17"/>
      <c r="AK145" s="15" t="s">
        <v>3123</v>
      </c>
      <c r="AL145" s="17"/>
      <c r="AM145" s="16"/>
      <c r="AN145" s="14"/>
      <c r="AO145" s="14"/>
      <c r="AP145" s="15" t="s">
        <v>3123</v>
      </c>
      <c r="AQ145" s="14"/>
      <c r="AR145" s="17"/>
      <c r="AS145" s="16"/>
      <c r="AT145" s="14"/>
      <c r="AU145" s="15" t="s">
        <v>3123</v>
      </c>
      <c r="AV145" s="14"/>
      <c r="AW145" s="17"/>
      <c r="AX145" s="16"/>
      <c r="AY145" s="16"/>
      <c r="AZ145" s="16"/>
      <c r="BA145" s="16"/>
      <c r="BB145" s="15" t="s">
        <v>3123</v>
      </c>
      <c r="BC145" s="17"/>
      <c r="BD145" s="14"/>
      <c r="BE145" s="14"/>
      <c r="BF145" s="16"/>
      <c r="BG145" s="16"/>
      <c r="BH145" s="13"/>
      <c r="BI145" s="18" t="s">
        <v>6791</v>
      </c>
      <c r="BJ145" s="13">
        <v>200</v>
      </c>
      <c r="BK145" s="17">
        <v>44126</v>
      </c>
      <c r="BL145" s="18" t="s">
        <v>6792</v>
      </c>
      <c r="BM145" s="18" t="s">
        <v>6793</v>
      </c>
      <c r="BN145" s="18" t="s">
        <v>6794</v>
      </c>
      <c r="BO145" s="18" t="s">
        <v>6795</v>
      </c>
      <c r="BP145" s="14" t="s">
        <v>6796</v>
      </c>
      <c r="BQ145" s="17">
        <v>43426</v>
      </c>
      <c r="BR145" s="16"/>
      <c r="BS145" s="17"/>
      <c r="BT145" s="16"/>
      <c r="BU145" s="17"/>
      <c r="BV145" s="16"/>
      <c r="BW145" s="17"/>
      <c r="BX145" s="16"/>
      <c r="BY145" s="17"/>
      <c r="BZ145" s="19">
        <v>37.965998590869184</v>
      </c>
      <c r="CA145" s="19"/>
      <c r="CB145" s="17"/>
      <c r="CC145" s="14" t="s">
        <v>6797</v>
      </c>
      <c r="CD145" s="14" t="s">
        <v>5205</v>
      </c>
      <c r="CE145" s="14" t="s">
        <v>5004</v>
      </c>
    </row>
    <row r="146" spans="1:83" ht="26.15" customHeight="1">
      <c r="A146" s="13">
        <v>140</v>
      </c>
      <c r="B146" s="14" t="s">
        <v>1058</v>
      </c>
      <c r="C146" s="14" t="s">
        <v>1059</v>
      </c>
      <c r="D146" s="14" t="s">
        <v>1061</v>
      </c>
      <c r="E146" s="13">
        <v>2017</v>
      </c>
      <c r="F146" s="14" t="s">
        <v>5312</v>
      </c>
      <c r="G146" s="14" t="s">
        <v>5313</v>
      </c>
      <c r="H146" s="14" t="s">
        <v>3994</v>
      </c>
      <c r="I146" s="15" t="s">
        <v>3117</v>
      </c>
      <c r="J146" s="16">
        <v>101208</v>
      </c>
      <c r="K146" s="17">
        <v>43587</v>
      </c>
      <c r="L146" s="16" t="s">
        <v>6798</v>
      </c>
      <c r="M146" s="16">
        <v>64533</v>
      </c>
      <c r="N146" s="14" t="s">
        <v>34</v>
      </c>
      <c r="O146" s="13">
        <v>3</v>
      </c>
      <c r="P146" s="17">
        <v>44022</v>
      </c>
      <c r="Q146" s="14"/>
      <c r="R146" s="17"/>
      <c r="S146" s="17"/>
      <c r="T146" s="14" t="s">
        <v>1</v>
      </c>
      <c r="U146" s="14" t="s">
        <v>5007</v>
      </c>
      <c r="V146" s="14" t="s">
        <v>6799</v>
      </c>
      <c r="W146" s="14"/>
      <c r="X146" s="14" t="s">
        <v>1814</v>
      </c>
      <c r="Y146" s="14" t="s">
        <v>1060</v>
      </c>
      <c r="Z146" s="14" t="s">
        <v>6800</v>
      </c>
      <c r="AA146" s="14"/>
      <c r="AB146" s="14" t="s">
        <v>3994</v>
      </c>
      <c r="AC146" s="14" t="s">
        <v>6801</v>
      </c>
      <c r="AD146" s="14"/>
      <c r="AE146" s="14" t="s">
        <v>6802</v>
      </c>
      <c r="AF146" s="14" t="s">
        <v>6803</v>
      </c>
      <c r="AG146" s="14" t="s">
        <v>6804</v>
      </c>
      <c r="AH146" s="18"/>
      <c r="AI146" s="16">
        <v>14700</v>
      </c>
      <c r="AJ146" s="17">
        <v>43100</v>
      </c>
      <c r="AK146" s="15" t="s">
        <v>3123</v>
      </c>
      <c r="AL146" s="17"/>
      <c r="AM146" s="16"/>
      <c r="AN146" s="14"/>
      <c r="AO146" s="14"/>
      <c r="AP146" s="15" t="s">
        <v>3123</v>
      </c>
      <c r="AQ146" s="14"/>
      <c r="AR146" s="17"/>
      <c r="AS146" s="16"/>
      <c r="AT146" s="14"/>
      <c r="AU146" s="15" t="s">
        <v>3123</v>
      </c>
      <c r="AV146" s="14"/>
      <c r="AW146" s="17"/>
      <c r="AX146" s="16"/>
      <c r="AY146" s="16"/>
      <c r="AZ146" s="16"/>
      <c r="BA146" s="16"/>
      <c r="BB146" s="15" t="s">
        <v>3123</v>
      </c>
      <c r="BC146" s="17"/>
      <c r="BD146" s="14"/>
      <c r="BE146" s="14"/>
      <c r="BF146" s="16"/>
      <c r="BG146" s="16"/>
      <c r="BH146" s="13"/>
      <c r="BI146" s="18" t="s">
        <v>6805</v>
      </c>
      <c r="BJ146" s="13">
        <v>200</v>
      </c>
      <c r="BK146" s="17">
        <v>44126</v>
      </c>
      <c r="BL146" s="18" t="s">
        <v>6806</v>
      </c>
      <c r="BM146" s="18" t="s">
        <v>6807</v>
      </c>
      <c r="BN146" s="18" t="s">
        <v>6808</v>
      </c>
      <c r="BO146" s="18"/>
      <c r="BP146" s="14" t="s">
        <v>6809</v>
      </c>
      <c r="BQ146" s="17">
        <v>43021</v>
      </c>
      <c r="BR146" s="16">
        <v>-22400</v>
      </c>
      <c r="BS146" s="17">
        <v>43100</v>
      </c>
      <c r="BT146" s="16">
        <v>-22400</v>
      </c>
      <c r="BU146" s="17">
        <v>43100</v>
      </c>
      <c r="BV146" s="16">
        <v>1000000</v>
      </c>
      <c r="BW146" s="17">
        <v>43587</v>
      </c>
      <c r="BX146" s="16"/>
      <c r="BY146" s="17"/>
      <c r="BZ146" s="19">
        <v>34.404632171420339</v>
      </c>
      <c r="CA146" s="19"/>
      <c r="CB146" s="17"/>
      <c r="CC146" s="14" t="s">
        <v>5309</v>
      </c>
      <c r="CD146" s="14" t="s">
        <v>6810</v>
      </c>
      <c r="CE146" s="14" t="s">
        <v>5004</v>
      </c>
    </row>
    <row r="147" spans="1:83" ht="26.15" customHeight="1">
      <c r="A147" s="13">
        <v>141</v>
      </c>
      <c r="B147" s="14" t="s">
        <v>1549</v>
      </c>
      <c r="C147" s="14" t="s">
        <v>1550</v>
      </c>
      <c r="D147" s="14" t="s">
        <v>1552</v>
      </c>
      <c r="E147" s="13">
        <v>2015</v>
      </c>
      <c r="F147" s="14" t="s">
        <v>6811</v>
      </c>
      <c r="G147" s="14" t="s">
        <v>6812</v>
      </c>
      <c r="H147" s="14" t="s">
        <v>2057</v>
      </c>
      <c r="I147" s="15" t="s">
        <v>3117</v>
      </c>
      <c r="J147" s="16"/>
      <c r="K147" s="17">
        <v>43300</v>
      </c>
      <c r="L147" s="16"/>
      <c r="M147" s="16" t="s">
        <v>50</v>
      </c>
      <c r="N147" s="14" t="s">
        <v>25</v>
      </c>
      <c r="O147" s="13">
        <v>1</v>
      </c>
      <c r="P147" s="17">
        <v>44012</v>
      </c>
      <c r="Q147" s="14"/>
      <c r="R147" s="17"/>
      <c r="S147" s="17"/>
      <c r="T147" s="14" t="s">
        <v>4995</v>
      </c>
      <c r="U147" s="14" t="s">
        <v>5578</v>
      </c>
      <c r="V147" s="14" t="s">
        <v>6813</v>
      </c>
      <c r="W147" s="14"/>
      <c r="X147" s="14"/>
      <c r="Y147" s="14"/>
      <c r="Z147" s="14" t="s">
        <v>6814</v>
      </c>
      <c r="AA147" s="14"/>
      <c r="AB147" s="14" t="s">
        <v>2057</v>
      </c>
      <c r="AC147" s="14"/>
      <c r="AD147" s="14" t="s">
        <v>6815</v>
      </c>
      <c r="AE147" s="14"/>
      <c r="AF147" s="14"/>
      <c r="AG147" s="14"/>
      <c r="AH147" s="18"/>
      <c r="AI147" s="16"/>
      <c r="AJ147" s="17"/>
      <c r="AK147" s="15" t="s">
        <v>3123</v>
      </c>
      <c r="AL147" s="17"/>
      <c r="AM147" s="16"/>
      <c r="AN147" s="14"/>
      <c r="AO147" s="14"/>
      <c r="AP147" s="15" t="s">
        <v>3123</v>
      </c>
      <c r="AQ147" s="14"/>
      <c r="AR147" s="17"/>
      <c r="AS147" s="16"/>
      <c r="AT147" s="14"/>
      <c r="AU147" s="15" t="s">
        <v>3123</v>
      </c>
      <c r="AV147" s="14"/>
      <c r="AW147" s="17"/>
      <c r="AX147" s="16"/>
      <c r="AY147" s="16"/>
      <c r="AZ147" s="16"/>
      <c r="BA147" s="16"/>
      <c r="BB147" s="15" t="s">
        <v>3123</v>
      </c>
      <c r="BC147" s="17"/>
      <c r="BD147" s="14"/>
      <c r="BE147" s="14"/>
      <c r="BF147" s="16"/>
      <c r="BG147" s="16"/>
      <c r="BH147" s="13"/>
      <c r="BI147" s="18" t="s">
        <v>6816</v>
      </c>
      <c r="BJ147" s="13">
        <v>403</v>
      </c>
      <c r="BK147" s="17">
        <v>44126</v>
      </c>
      <c r="BL147" s="18"/>
      <c r="BM147" s="18"/>
      <c r="BN147" s="18"/>
      <c r="BO147" s="18"/>
      <c r="BP147" s="14" t="s">
        <v>6817</v>
      </c>
      <c r="BQ147" s="17">
        <v>43305</v>
      </c>
      <c r="BR147" s="16"/>
      <c r="BS147" s="17"/>
      <c r="BT147" s="16"/>
      <c r="BU147" s="17"/>
      <c r="BV147" s="16"/>
      <c r="BW147" s="17"/>
      <c r="BX147" s="16"/>
      <c r="BY147" s="17"/>
      <c r="BZ147" s="19">
        <v>16.395755542550742</v>
      </c>
      <c r="CA147" s="19"/>
      <c r="CB147" s="17"/>
      <c r="CC147" s="14" t="s">
        <v>5293</v>
      </c>
      <c r="CD147" s="14" t="s">
        <v>6818</v>
      </c>
      <c r="CE147" s="14" t="s">
        <v>5620</v>
      </c>
    </row>
    <row r="148" spans="1:83" ht="26.15" customHeight="1">
      <c r="A148" s="13">
        <v>142</v>
      </c>
      <c r="B148" s="14" t="s">
        <v>1341</v>
      </c>
      <c r="C148" s="14" t="s">
        <v>1342</v>
      </c>
      <c r="D148" s="14" t="s">
        <v>1345</v>
      </c>
      <c r="E148" s="13">
        <v>2006</v>
      </c>
      <c r="F148" s="14" t="s">
        <v>6819</v>
      </c>
      <c r="G148" s="14" t="s">
        <v>5720</v>
      </c>
      <c r="H148" s="14" t="s">
        <v>2057</v>
      </c>
      <c r="I148" s="15" t="s">
        <v>3117</v>
      </c>
      <c r="J148" s="16"/>
      <c r="K148" s="17">
        <v>43413</v>
      </c>
      <c r="L148" s="16"/>
      <c r="M148" s="16" t="s">
        <v>50</v>
      </c>
      <c r="N148" s="14" t="s">
        <v>95</v>
      </c>
      <c r="O148" s="13">
        <v>4</v>
      </c>
      <c r="P148" s="17">
        <v>43992</v>
      </c>
      <c r="Q148" s="14"/>
      <c r="R148" s="17"/>
      <c r="S148" s="17"/>
      <c r="T148" s="14" t="s">
        <v>1</v>
      </c>
      <c r="U148" s="14" t="s">
        <v>5007</v>
      </c>
      <c r="V148" s="14" t="s">
        <v>5594</v>
      </c>
      <c r="W148" s="14"/>
      <c r="X148" s="14" t="s">
        <v>2696</v>
      </c>
      <c r="Y148" s="14"/>
      <c r="Z148" s="14" t="s">
        <v>6820</v>
      </c>
      <c r="AA148" s="14"/>
      <c r="AB148" s="14" t="s">
        <v>2057</v>
      </c>
      <c r="AC148" s="14" t="s">
        <v>6821</v>
      </c>
      <c r="AD148" s="14" t="s">
        <v>6822</v>
      </c>
      <c r="AE148" s="14"/>
      <c r="AF148" s="14"/>
      <c r="AG148" s="14"/>
      <c r="AH148" s="18"/>
      <c r="AI148" s="16"/>
      <c r="AJ148" s="17"/>
      <c r="AK148" s="15" t="s">
        <v>3123</v>
      </c>
      <c r="AL148" s="17"/>
      <c r="AM148" s="16"/>
      <c r="AN148" s="14"/>
      <c r="AO148" s="14"/>
      <c r="AP148" s="15" t="s">
        <v>3123</v>
      </c>
      <c r="AQ148" s="14"/>
      <c r="AR148" s="17"/>
      <c r="AS148" s="16"/>
      <c r="AT148" s="14"/>
      <c r="AU148" s="15" t="s">
        <v>3123</v>
      </c>
      <c r="AV148" s="14"/>
      <c r="AW148" s="17"/>
      <c r="AX148" s="16"/>
      <c r="AY148" s="16"/>
      <c r="AZ148" s="16"/>
      <c r="BA148" s="16"/>
      <c r="BB148" s="15" t="s">
        <v>3123</v>
      </c>
      <c r="BC148" s="17"/>
      <c r="BD148" s="14"/>
      <c r="BE148" s="14"/>
      <c r="BF148" s="16"/>
      <c r="BG148" s="16"/>
      <c r="BH148" s="13"/>
      <c r="BI148" s="18" t="s">
        <v>6823</v>
      </c>
      <c r="BJ148" s="13">
        <v>200</v>
      </c>
      <c r="BK148" s="17">
        <v>44126</v>
      </c>
      <c r="BL148" s="18"/>
      <c r="BM148" s="18"/>
      <c r="BN148" s="18"/>
      <c r="BO148" s="18"/>
      <c r="BP148" s="14" t="s">
        <v>6824</v>
      </c>
      <c r="BQ148" s="17">
        <v>43895</v>
      </c>
      <c r="BR148" s="16"/>
      <c r="BS148" s="17"/>
      <c r="BT148" s="16"/>
      <c r="BU148" s="17"/>
      <c r="BV148" s="16"/>
      <c r="BW148" s="17"/>
      <c r="BX148" s="16"/>
      <c r="BY148" s="17"/>
      <c r="BZ148" s="19">
        <v>17.692451445534587</v>
      </c>
      <c r="CA148" s="19"/>
      <c r="CB148" s="17"/>
      <c r="CC148" s="14" t="s">
        <v>5309</v>
      </c>
      <c r="CD148" s="14" t="s">
        <v>6825</v>
      </c>
      <c r="CE148" s="14" t="s">
        <v>5004</v>
      </c>
    </row>
    <row r="149" spans="1:83" ht="26.15" hidden="1" customHeight="1">
      <c r="A149" s="13">
        <v>143</v>
      </c>
      <c r="B149" s="14" t="s">
        <v>2088</v>
      </c>
      <c r="C149" s="14" t="s">
        <v>2089</v>
      </c>
      <c r="D149" s="14" t="s">
        <v>2090</v>
      </c>
      <c r="E149" s="13">
        <v>2016</v>
      </c>
      <c r="F149" s="14" t="s">
        <v>6826</v>
      </c>
      <c r="G149" s="14" t="s">
        <v>6004</v>
      </c>
      <c r="H149" s="14" t="s">
        <v>4343</v>
      </c>
      <c r="I149" s="15" t="s">
        <v>3117</v>
      </c>
      <c r="J149" s="16"/>
      <c r="K149" s="17">
        <v>42887</v>
      </c>
      <c r="L149" s="16"/>
      <c r="M149" s="16" t="s">
        <v>50</v>
      </c>
      <c r="N149" s="14" t="s">
        <v>5040</v>
      </c>
      <c r="O149" s="13">
        <v>4</v>
      </c>
      <c r="P149" s="17">
        <v>44091</v>
      </c>
      <c r="Q149" s="14"/>
      <c r="R149" s="17"/>
      <c r="S149" s="17"/>
      <c r="T149" s="14" t="s">
        <v>6827</v>
      </c>
      <c r="U149" s="14" t="s">
        <v>6828</v>
      </c>
      <c r="V149" s="14" t="s">
        <v>6829</v>
      </c>
      <c r="W149" s="14"/>
      <c r="X149" s="14" t="s">
        <v>6830</v>
      </c>
      <c r="Y149" s="14"/>
      <c r="Z149" s="14" t="s">
        <v>6831</v>
      </c>
      <c r="AA149" s="14"/>
      <c r="AB149" s="14" t="s">
        <v>4343</v>
      </c>
      <c r="AC149" s="14"/>
      <c r="AD149" s="14"/>
      <c r="AE149" s="14" t="s">
        <v>6832</v>
      </c>
      <c r="AF149" s="14" t="s">
        <v>6833</v>
      </c>
      <c r="AG149" s="14" t="s">
        <v>6834</v>
      </c>
      <c r="AH149" s="18"/>
      <c r="AI149" s="16"/>
      <c r="AJ149" s="17"/>
      <c r="AK149" s="15" t="s">
        <v>3123</v>
      </c>
      <c r="AL149" s="17"/>
      <c r="AM149" s="16"/>
      <c r="AN149" s="14"/>
      <c r="AO149" s="14"/>
      <c r="AP149" s="15" t="s">
        <v>3123</v>
      </c>
      <c r="AQ149" s="14"/>
      <c r="AR149" s="17"/>
      <c r="AS149" s="16"/>
      <c r="AT149" s="14"/>
      <c r="AU149" s="15" t="s">
        <v>3123</v>
      </c>
      <c r="AV149" s="14"/>
      <c r="AW149" s="17"/>
      <c r="AX149" s="16"/>
      <c r="AY149" s="16"/>
      <c r="AZ149" s="16"/>
      <c r="BA149" s="16"/>
      <c r="BB149" s="15" t="s">
        <v>3123</v>
      </c>
      <c r="BC149" s="17"/>
      <c r="BD149" s="14"/>
      <c r="BE149" s="14"/>
      <c r="BF149" s="16"/>
      <c r="BG149" s="16"/>
      <c r="BH149" s="13"/>
      <c r="BI149" s="18" t="s">
        <v>6835</v>
      </c>
      <c r="BJ149" s="13">
        <v>200</v>
      </c>
      <c r="BK149" s="17">
        <v>44126</v>
      </c>
      <c r="BL149" s="18" t="s">
        <v>6836</v>
      </c>
      <c r="BM149" s="18"/>
      <c r="BN149" s="18"/>
      <c r="BO149" s="18"/>
      <c r="BP149" s="14" t="s">
        <v>6837</v>
      </c>
      <c r="BQ149" s="17">
        <v>42768</v>
      </c>
      <c r="BR149" s="16"/>
      <c r="BS149" s="17"/>
      <c r="BT149" s="16"/>
      <c r="BU149" s="17"/>
      <c r="BV149" s="16"/>
      <c r="BW149" s="17"/>
      <c r="BX149" s="16"/>
      <c r="BY149" s="17"/>
      <c r="BZ149" s="19">
        <v>32.802394362839252</v>
      </c>
      <c r="CA149" s="19"/>
      <c r="CB149" s="17"/>
      <c r="CC149" s="14" t="s">
        <v>6838</v>
      </c>
      <c r="CD149" s="14" t="s">
        <v>6839</v>
      </c>
      <c r="CE149" s="14" t="s">
        <v>5945</v>
      </c>
    </row>
    <row r="150" spans="1:83" ht="26.15" customHeight="1">
      <c r="A150" s="13">
        <v>144</v>
      </c>
      <c r="B150" s="14" t="s">
        <v>1239</v>
      </c>
      <c r="C150" s="14" t="s">
        <v>1240</v>
      </c>
      <c r="D150" s="14" t="s">
        <v>1244</v>
      </c>
      <c r="E150" s="13">
        <v>2016</v>
      </c>
      <c r="F150" s="14" t="s">
        <v>6840</v>
      </c>
      <c r="G150" s="14" t="s">
        <v>6543</v>
      </c>
      <c r="H150" s="14" t="s">
        <v>3994</v>
      </c>
      <c r="I150" s="15" t="s">
        <v>3117</v>
      </c>
      <c r="J150" s="16">
        <v>4352191</v>
      </c>
      <c r="K150" s="17">
        <v>43486</v>
      </c>
      <c r="L150" s="16" t="s">
        <v>5022</v>
      </c>
      <c r="M150" s="16">
        <v>2000000</v>
      </c>
      <c r="N150" s="14" t="s">
        <v>34</v>
      </c>
      <c r="O150" s="13">
        <v>4</v>
      </c>
      <c r="P150" s="17">
        <v>44062</v>
      </c>
      <c r="Q150" s="14" t="s">
        <v>5052</v>
      </c>
      <c r="R150" s="17">
        <v>43881</v>
      </c>
      <c r="S150" s="17">
        <v>43486</v>
      </c>
      <c r="T150" s="14" t="s">
        <v>1</v>
      </c>
      <c r="U150" s="14" t="s">
        <v>5007</v>
      </c>
      <c r="V150" s="14" t="s">
        <v>5093</v>
      </c>
      <c r="W150" s="14"/>
      <c r="X150" s="14" t="s">
        <v>6841</v>
      </c>
      <c r="Y150" s="14" t="s">
        <v>6842</v>
      </c>
      <c r="Z150" s="14" t="s">
        <v>6843</v>
      </c>
      <c r="AA150" s="14"/>
      <c r="AB150" s="14" t="s">
        <v>3994</v>
      </c>
      <c r="AC150" s="14" t="s">
        <v>6844</v>
      </c>
      <c r="AD150" s="14" t="s">
        <v>6845</v>
      </c>
      <c r="AE150" s="14" t="s">
        <v>6846</v>
      </c>
      <c r="AF150" s="14" t="s">
        <v>6847</v>
      </c>
      <c r="AG150" s="14" t="s">
        <v>6848</v>
      </c>
      <c r="AH150" s="18"/>
      <c r="AI150" s="16">
        <v>97000</v>
      </c>
      <c r="AJ150" s="17">
        <v>43465</v>
      </c>
      <c r="AK150" s="15" t="s">
        <v>3123</v>
      </c>
      <c r="AL150" s="17"/>
      <c r="AM150" s="16"/>
      <c r="AN150" s="14"/>
      <c r="AO150" s="14"/>
      <c r="AP150" s="15" t="s">
        <v>3123</v>
      </c>
      <c r="AQ150" s="14"/>
      <c r="AR150" s="17"/>
      <c r="AS150" s="16"/>
      <c r="AT150" s="14"/>
      <c r="AU150" s="15" t="s">
        <v>3123</v>
      </c>
      <c r="AV150" s="14"/>
      <c r="AW150" s="17"/>
      <c r="AX150" s="16"/>
      <c r="AY150" s="16"/>
      <c r="AZ150" s="16"/>
      <c r="BA150" s="16"/>
      <c r="BB150" s="15" t="s">
        <v>3123</v>
      </c>
      <c r="BC150" s="17"/>
      <c r="BD150" s="14"/>
      <c r="BE150" s="14"/>
      <c r="BF150" s="16"/>
      <c r="BG150" s="16"/>
      <c r="BH150" s="13"/>
      <c r="BI150" s="18" t="s">
        <v>6849</v>
      </c>
      <c r="BJ150" s="13">
        <v>200</v>
      </c>
      <c r="BK150" s="17">
        <v>44126</v>
      </c>
      <c r="BL150" s="18" t="s">
        <v>6850</v>
      </c>
      <c r="BM150" s="18" t="s">
        <v>6851</v>
      </c>
      <c r="BN150" s="18" t="s">
        <v>6852</v>
      </c>
      <c r="BO150" s="18"/>
      <c r="BP150" s="14" t="s">
        <v>6853</v>
      </c>
      <c r="BQ150" s="17">
        <v>44062</v>
      </c>
      <c r="BR150" s="16">
        <v>-258600</v>
      </c>
      <c r="BS150" s="17">
        <v>43465</v>
      </c>
      <c r="BT150" s="16">
        <v>-252900</v>
      </c>
      <c r="BU150" s="17">
        <v>43465</v>
      </c>
      <c r="BV150" s="16">
        <v>20000000</v>
      </c>
      <c r="BW150" s="17">
        <v>43475</v>
      </c>
      <c r="BX150" s="16">
        <v>53</v>
      </c>
      <c r="BY150" s="17">
        <v>44012</v>
      </c>
      <c r="BZ150" s="19">
        <v>54.118186870606145</v>
      </c>
      <c r="CA150" s="19"/>
      <c r="CB150" s="17"/>
      <c r="CC150" s="14" t="s">
        <v>5018</v>
      </c>
      <c r="CD150" s="14" t="s">
        <v>5019</v>
      </c>
      <c r="CE150" s="14" t="s">
        <v>5004</v>
      </c>
    </row>
    <row r="151" spans="1:83" ht="26.15" customHeight="1">
      <c r="A151" s="13">
        <v>145</v>
      </c>
      <c r="B151" s="14" t="s">
        <v>198</v>
      </c>
      <c r="C151" s="14" t="s">
        <v>199</v>
      </c>
      <c r="D151" s="14" t="s">
        <v>201</v>
      </c>
      <c r="E151" s="13">
        <v>2012</v>
      </c>
      <c r="F151" s="14" t="s">
        <v>6854</v>
      </c>
      <c r="G151" s="14" t="s">
        <v>6855</v>
      </c>
      <c r="H151" s="14" t="s">
        <v>1740</v>
      </c>
      <c r="I151" s="15" t="s">
        <v>3117</v>
      </c>
      <c r="J151" s="16">
        <v>495862</v>
      </c>
      <c r="K151" s="17">
        <v>44056</v>
      </c>
      <c r="L151" s="16" t="s">
        <v>6856</v>
      </c>
      <c r="M151" s="16">
        <v>338300</v>
      </c>
      <c r="N151" s="14" t="s">
        <v>34</v>
      </c>
      <c r="O151" s="13">
        <v>3</v>
      </c>
      <c r="P151" s="17">
        <v>44064</v>
      </c>
      <c r="Q151" s="14"/>
      <c r="R151" s="17"/>
      <c r="S151" s="17"/>
      <c r="T151" s="14" t="s">
        <v>6857</v>
      </c>
      <c r="U151" s="14" t="s">
        <v>6858</v>
      </c>
      <c r="V151" s="14" t="s">
        <v>6859</v>
      </c>
      <c r="W151" s="14"/>
      <c r="X151" s="14" t="s">
        <v>6860</v>
      </c>
      <c r="Y151" s="14"/>
      <c r="Z151" s="14" t="s">
        <v>6861</v>
      </c>
      <c r="AA151" s="14"/>
      <c r="AB151" s="14" t="s">
        <v>1740</v>
      </c>
      <c r="AC151" s="14" t="s">
        <v>6862</v>
      </c>
      <c r="AD151" s="14"/>
      <c r="AE151" s="14" t="s">
        <v>6863</v>
      </c>
      <c r="AF151" s="14"/>
      <c r="AG151" s="14" t="s">
        <v>6864</v>
      </c>
      <c r="AH151" s="18"/>
      <c r="AI151" s="16"/>
      <c r="AJ151" s="17"/>
      <c r="AK151" s="15" t="s">
        <v>3123</v>
      </c>
      <c r="AL151" s="17"/>
      <c r="AM151" s="16"/>
      <c r="AN151" s="14"/>
      <c r="AO151" s="14"/>
      <c r="AP151" s="15" t="s">
        <v>3123</v>
      </c>
      <c r="AQ151" s="14"/>
      <c r="AR151" s="17"/>
      <c r="AS151" s="16"/>
      <c r="AT151" s="14"/>
      <c r="AU151" s="15" t="s">
        <v>3123</v>
      </c>
      <c r="AV151" s="14"/>
      <c r="AW151" s="17"/>
      <c r="AX151" s="16"/>
      <c r="AY151" s="16"/>
      <c r="AZ151" s="16"/>
      <c r="BA151" s="16"/>
      <c r="BB151" s="15" t="s">
        <v>3123</v>
      </c>
      <c r="BC151" s="17"/>
      <c r="BD151" s="14"/>
      <c r="BE151" s="14"/>
      <c r="BF151" s="16"/>
      <c r="BG151" s="16"/>
      <c r="BH151" s="13"/>
      <c r="BI151" s="18" t="s">
        <v>6865</v>
      </c>
      <c r="BJ151" s="13">
        <v>302</v>
      </c>
      <c r="BK151" s="17">
        <v>44126</v>
      </c>
      <c r="BL151" s="18" t="s">
        <v>6866</v>
      </c>
      <c r="BM151" s="18" t="s">
        <v>6867</v>
      </c>
      <c r="BN151" s="18" t="s">
        <v>6868</v>
      </c>
      <c r="BO151" s="18" t="s">
        <v>6869</v>
      </c>
      <c r="BP151" s="14" t="s">
        <v>6870</v>
      </c>
      <c r="BQ151" s="17">
        <v>42845</v>
      </c>
      <c r="BR151" s="16"/>
      <c r="BS151" s="17"/>
      <c r="BT151" s="16"/>
      <c r="BU151" s="17"/>
      <c r="BV151" s="16"/>
      <c r="BW151" s="17"/>
      <c r="BX151" s="16"/>
      <c r="BY151" s="17"/>
      <c r="BZ151" s="19">
        <v>28.484941451542987</v>
      </c>
      <c r="CA151" s="19"/>
      <c r="CB151" s="17"/>
      <c r="CC151" s="14" t="s">
        <v>5036</v>
      </c>
      <c r="CD151" s="14" t="s">
        <v>5962</v>
      </c>
      <c r="CE151" s="14" t="s">
        <v>5945</v>
      </c>
    </row>
    <row r="152" spans="1:83" ht="26.15" customHeight="1">
      <c r="A152" s="13">
        <v>146</v>
      </c>
      <c r="B152" s="14" t="s">
        <v>1926</v>
      </c>
      <c r="C152" s="14" t="s">
        <v>1927</v>
      </c>
      <c r="D152" s="14" t="s">
        <v>1930</v>
      </c>
      <c r="E152" s="13">
        <v>2017</v>
      </c>
      <c r="F152" s="14" t="s">
        <v>5005</v>
      </c>
      <c r="G152" s="14" t="s">
        <v>5006</v>
      </c>
      <c r="H152" s="14" t="s">
        <v>3994</v>
      </c>
      <c r="I152" s="15" t="s">
        <v>3117</v>
      </c>
      <c r="J152" s="16">
        <v>878298</v>
      </c>
      <c r="K152" s="17">
        <v>43040</v>
      </c>
      <c r="L152" s="16" t="s">
        <v>6871</v>
      </c>
      <c r="M152" s="16">
        <v>878298</v>
      </c>
      <c r="N152" s="14" t="s">
        <v>5630</v>
      </c>
      <c r="O152" s="13"/>
      <c r="P152" s="17">
        <v>44013</v>
      </c>
      <c r="Q152" s="14"/>
      <c r="R152" s="17"/>
      <c r="S152" s="17"/>
      <c r="T152" s="14" t="s">
        <v>5509</v>
      </c>
      <c r="U152" s="14" t="s">
        <v>5510</v>
      </c>
      <c r="V152" s="14" t="s">
        <v>5696</v>
      </c>
      <c r="W152" s="14"/>
      <c r="X152" s="14" t="s">
        <v>1929</v>
      </c>
      <c r="Y152" s="14"/>
      <c r="Z152" s="14" t="s">
        <v>6872</v>
      </c>
      <c r="AA152" s="14"/>
      <c r="AB152" s="14" t="s">
        <v>3994</v>
      </c>
      <c r="AC152" s="14" t="s">
        <v>6873</v>
      </c>
      <c r="AD152" s="14"/>
      <c r="AE152" s="14" t="s">
        <v>6874</v>
      </c>
      <c r="AF152" s="14" t="s">
        <v>6875</v>
      </c>
      <c r="AG152" s="14" t="s">
        <v>6876</v>
      </c>
      <c r="AH152" s="18"/>
      <c r="AI152" s="16">
        <v>517460</v>
      </c>
      <c r="AJ152" s="17">
        <v>43100</v>
      </c>
      <c r="AK152" s="15" t="s">
        <v>3117</v>
      </c>
      <c r="AL152" s="17">
        <v>42746</v>
      </c>
      <c r="AM152" s="16">
        <v>1464</v>
      </c>
      <c r="AN152" s="14" t="s">
        <v>6877</v>
      </c>
      <c r="AO152" s="14"/>
      <c r="AP152" s="15" t="s">
        <v>3123</v>
      </c>
      <c r="AQ152" s="14"/>
      <c r="AR152" s="17"/>
      <c r="AS152" s="16"/>
      <c r="AT152" s="14"/>
      <c r="AU152" s="15" t="s">
        <v>3123</v>
      </c>
      <c r="AV152" s="14"/>
      <c r="AW152" s="17"/>
      <c r="AX152" s="16"/>
      <c r="AY152" s="16"/>
      <c r="AZ152" s="16"/>
      <c r="BA152" s="16"/>
      <c r="BB152" s="15" t="s">
        <v>3117</v>
      </c>
      <c r="BC152" s="17"/>
      <c r="BD152" s="14"/>
      <c r="BE152" s="14"/>
      <c r="BF152" s="16"/>
      <c r="BG152" s="16"/>
      <c r="BH152" s="13"/>
      <c r="BI152" s="18" t="s">
        <v>6878</v>
      </c>
      <c r="BJ152" s="13">
        <v>200</v>
      </c>
      <c r="BK152" s="17">
        <v>44126</v>
      </c>
      <c r="BL152" s="18" t="s">
        <v>6879</v>
      </c>
      <c r="BM152" s="18" t="s">
        <v>6880</v>
      </c>
      <c r="BN152" s="18" t="s">
        <v>6881</v>
      </c>
      <c r="BO152" s="18"/>
      <c r="BP152" s="14" t="s">
        <v>6882</v>
      </c>
      <c r="BQ152" s="17">
        <v>43045</v>
      </c>
      <c r="BR152" s="16">
        <v>-47049</v>
      </c>
      <c r="BS152" s="17">
        <v>43100</v>
      </c>
      <c r="BT152" s="16">
        <v>-106619</v>
      </c>
      <c r="BU152" s="17">
        <v>43100</v>
      </c>
      <c r="BV152" s="16">
        <v>5000000</v>
      </c>
      <c r="BW152" s="17">
        <v>43038</v>
      </c>
      <c r="BX152" s="16">
        <v>3</v>
      </c>
      <c r="BY152" s="17">
        <v>43465</v>
      </c>
      <c r="BZ152" s="19">
        <v>32.714433683201953</v>
      </c>
      <c r="CA152" s="19"/>
      <c r="CB152" s="17"/>
      <c r="CC152" s="14" t="s">
        <v>6119</v>
      </c>
      <c r="CD152" s="14" t="s">
        <v>5962</v>
      </c>
      <c r="CE152" s="14" t="s">
        <v>6074</v>
      </c>
    </row>
    <row r="153" spans="1:83" ht="26.15" customHeight="1">
      <c r="A153" s="13">
        <v>147</v>
      </c>
      <c r="B153" s="14" t="s">
        <v>1392</v>
      </c>
      <c r="C153" s="14" t="s">
        <v>1393</v>
      </c>
      <c r="D153" s="14" t="s">
        <v>1397</v>
      </c>
      <c r="E153" s="13">
        <v>2015</v>
      </c>
      <c r="F153" s="14" t="s">
        <v>6883</v>
      </c>
      <c r="G153" s="14" t="s">
        <v>6884</v>
      </c>
      <c r="H153" s="14" t="s">
        <v>5333</v>
      </c>
      <c r="I153" s="15" t="s">
        <v>3117</v>
      </c>
      <c r="J153" s="16">
        <v>75000</v>
      </c>
      <c r="K153" s="17">
        <v>43389</v>
      </c>
      <c r="L153" s="16" t="s">
        <v>6885</v>
      </c>
      <c r="M153" s="16">
        <v>75000</v>
      </c>
      <c r="N153" s="14" t="s">
        <v>34</v>
      </c>
      <c r="O153" s="13">
        <v>3</v>
      </c>
      <c r="P153" s="17">
        <v>43812</v>
      </c>
      <c r="Q153" s="14"/>
      <c r="R153" s="17"/>
      <c r="S153" s="17"/>
      <c r="T153" s="14" t="s">
        <v>6886</v>
      </c>
      <c r="U153" s="14" t="s">
        <v>6887</v>
      </c>
      <c r="V153" s="14" t="s">
        <v>6888</v>
      </c>
      <c r="W153" s="14"/>
      <c r="X153" s="14" t="s">
        <v>6889</v>
      </c>
      <c r="Y153" s="14"/>
      <c r="Z153" s="14" t="s">
        <v>6890</v>
      </c>
      <c r="AA153" s="14"/>
      <c r="AB153" s="14" t="s">
        <v>5333</v>
      </c>
      <c r="AC153" s="14" t="s">
        <v>6891</v>
      </c>
      <c r="AD153" s="14" t="s">
        <v>6892</v>
      </c>
      <c r="AE153" s="14" t="s">
        <v>6893</v>
      </c>
      <c r="AF153" s="14" t="s">
        <v>6894</v>
      </c>
      <c r="AG153" s="14" t="s">
        <v>6895</v>
      </c>
      <c r="AH153" s="18"/>
      <c r="AI153" s="16"/>
      <c r="AJ153" s="17"/>
      <c r="AK153" s="15" t="s">
        <v>3123</v>
      </c>
      <c r="AL153" s="17"/>
      <c r="AM153" s="16"/>
      <c r="AN153" s="14"/>
      <c r="AO153" s="14"/>
      <c r="AP153" s="15" t="s">
        <v>3123</v>
      </c>
      <c r="AQ153" s="14"/>
      <c r="AR153" s="17"/>
      <c r="AS153" s="16"/>
      <c r="AT153" s="14"/>
      <c r="AU153" s="15" t="s">
        <v>3123</v>
      </c>
      <c r="AV153" s="14"/>
      <c r="AW153" s="17"/>
      <c r="AX153" s="16"/>
      <c r="AY153" s="16"/>
      <c r="AZ153" s="16"/>
      <c r="BA153" s="16"/>
      <c r="BB153" s="15" t="s">
        <v>3123</v>
      </c>
      <c r="BC153" s="17"/>
      <c r="BD153" s="14"/>
      <c r="BE153" s="14"/>
      <c r="BF153" s="16"/>
      <c r="BG153" s="16"/>
      <c r="BH153" s="13"/>
      <c r="BI153" s="18" t="s">
        <v>6896</v>
      </c>
      <c r="BJ153" s="13">
        <v>200</v>
      </c>
      <c r="BK153" s="17">
        <v>44126</v>
      </c>
      <c r="BL153" s="18" t="s">
        <v>6897</v>
      </c>
      <c r="BM153" s="18" t="s">
        <v>6898</v>
      </c>
      <c r="BN153" s="18" t="s">
        <v>6899</v>
      </c>
      <c r="BO153" s="18" t="s">
        <v>6900</v>
      </c>
      <c r="BP153" s="14" t="s">
        <v>6901</v>
      </c>
      <c r="BQ153" s="17">
        <v>43809</v>
      </c>
      <c r="BR153" s="16"/>
      <c r="BS153" s="17"/>
      <c r="BT153" s="16"/>
      <c r="BU153" s="17"/>
      <c r="BV153" s="16"/>
      <c r="BW153" s="17"/>
      <c r="BX153" s="16"/>
      <c r="BY153" s="17"/>
      <c r="BZ153" s="19">
        <v>36.764178464491017</v>
      </c>
      <c r="CA153" s="19"/>
      <c r="CB153" s="17"/>
      <c r="CC153" s="14" t="s">
        <v>6902</v>
      </c>
      <c r="CD153" s="14" t="s">
        <v>6903</v>
      </c>
      <c r="CE153" s="14" t="s">
        <v>5004</v>
      </c>
    </row>
    <row r="154" spans="1:83" ht="26.15" customHeight="1">
      <c r="A154" s="13">
        <v>148</v>
      </c>
      <c r="B154" s="14" t="s">
        <v>378</v>
      </c>
      <c r="C154" s="14" t="s">
        <v>379</v>
      </c>
      <c r="D154" s="14" t="s">
        <v>383</v>
      </c>
      <c r="E154" s="13">
        <v>2014</v>
      </c>
      <c r="F154" s="14" t="s">
        <v>6707</v>
      </c>
      <c r="G154" s="14" t="s">
        <v>6708</v>
      </c>
      <c r="H154" s="14" t="s">
        <v>6297</v>
      </c>
      <c r="I154" s="15" t="s">
        <v>3117</v>
      </c>
      <c r="J154" s="16">
        <v>10111973</v>
      </c>
      <c r="K154" s="17">
        <v>43971</v>
      </c>
      <c r="L154" s="16" t="s">
        <v>5543</v>
      </c>
      <c r="M154" s="16">
        <v>5463940</v>
      </c>
      <c r="N154" s="14" t="s">
        <v>25</v>
      </c>
      <c r="O154" s="13">
        <v>4</v>
      </c>
      <c r="P154" s="17">
        <v>44055</v>
      </c>
      <c r="Q154" s="14" t="s">
        <v>5052</v>
      </c>
      <c r="R154" s="17">
        <v>43818</v>
      </c>
      <c r="S154" s="17">
        <v>43523</v>
      </c>
      <c r="T154" s="14" t="s">
        <v>5253</v>
      </c>
      <c r="U154" s="14" t="s">
        <v>5254</v>
      </c>
      <c r="V154" s="14" t="s">
        <v>5255</v>
      </c>
      <c r="W154" s="14"/>
      <c r="X154" s="14" t="s">
        <v>6904</v>
      </c>
      <c r="Y154" s="14" t="s">
        <v>6905</v>
      </c>
      <c r="Z154" s="14" t="s">
        <v>6906</v>
      </c>
      <c r="AA154" s="14"/>
      <c r="AB154" s="14" t="s">
        <v>6297</v>
      </c>
      <c r="AC154" s="14" t="s">
        <v>6907</v>
      </c>
      <c r="AD154" s="14" t="s">
        <v>6908</v>
      </c>
      <c r="AE154" s="14" t="s">
        <v>6909</v>
      </c>
      <c r="AF154" s="14" t="s">
        <v>6910</v>
      </c>
      <c r="AG154" s="14" t="s">
        <v>6911</v>
      </c>
      <c r="AH154" s="18"/>
      <c r="AI154" s="16"/>
      <c r="AJ154" s="17"/>
      <c r="AK154" s="15" t="s">
        <v>3123</v>
      </c>
      <c r="AL154" s="17"/>
      <c r="AM154" s="16"/>
      <c r="AN154" s="14"/>
      <c r="AO154" s="14"/>
      <c r="AP154" s="15" t="s">
        <v>3123</v>
      </c>
      <c r="AQ154" s="14"/>
      <c r="AR154" s="17"/>
      <c r="AS154" s="16"/>
      <c r="AT154" s="14"/>
      <c r="AU154" s="15" t="s">
        <v>3123</v>
      </c>
      <c r="AV154" s="14"/>
      <c r="AW154" s="17"/>
      <c r="AX154" s="16"/>
      <c r="AY154" s="16"/>
      <c r="AZ154" s="16"/>
      <c r="BA154" s="16"/>
      <c r="BB154" s="15" t="s">
        <v>3123</v>
      </c>
      <c r="BC154" s="17"/>
      <c r="BD154" s="14"/>
      <c r="BE154" s="14"/>
      <c r="BF154" s="16"/>
      <c r="BG154" s="16"/>
      <c r="BH154" s="13"/>
      <c r="BI154" s="18" t="s">
        <v>6912</v>
      </c>
      <c r="BJ154" s="13">
        <v>200</v>
      </c>
      <c r="BK154" s="17">
        <v>44126</v>
      </c>
      <c r="BL154" s="18" t="s">
        <v>6913</v>
      </c>
      <c r="BM154" s="18" t="s">
        <v>6914</v>
      </c>
      <c r="BN154" s="18" t="s">
        <v>6915</v>
      </c>
      <c r="BO154" s="18" t="s">
        <v>6916</v>
      </c>
      <c r="BP154" s="14" t="s">
        <v>6917</v>
      </c>
      <c r="BQ154" s="17">
        <v>43892</v>
      </c>
      <c r="BR154" s="16"/>
      <c r="BS154" s="17"/>
      <c r="BT154" s="16"/>
      <c r="BU154" s="17"/>
      <c r="BV154" s="16"/>
      <c r="BW154" s="17"/>
      <c r="BX154" s="16"/>
      <c r="BY154" s="17"/>
      <c r="BZ154" s="19">
        <v>57.983842329237135</v>
      </c>
      <c r="CA154" s="19"/>
      <c r="CB154" s="17"/>
      <c r="CC154" s="14" t="s">
        <v>6918</v>
      </c>
      <c r="CD154" s="14" t="s">
        <v>5091</v>
      </c>
      <c r="CE154" s="14" t="s">
        <v>5004</v>
      </c>
    </row>
    <row r="155" spans="1:83" ht="26.15" customHeight="1">
      <c r="A155" s="13">
        <v>149</v>
      </c>
      <c r="B155" s="14" t="s">
        <v>102</v>
      </c>
      <c r="C155" s="14" t="s">
        <v>103</v>
      </c>
      <c r="D155" s="14" t="s">
        <v>107</v>
      </c>
      <c r="E155" s="13">
        <v>2012</v>
      </c>
      <c r="F155" s="14" t="s">
        <v>6919</v>
      </c>
      <c r="G155" s="14" t="s">
        <v>5039</v>
      </c>
      <c r="H155" s="14" t="s">
        <v>3994</v>
      </c>
      <c r="I155" s="15" t="s">
        <v>3117</v>
      </c>
      <c r="J155" s="16">
        <v>1035150</v>
      </c>
      <c r="K155" s="17">
        <v>44111</v>
      </c>
      <c r="L155" s="16" t="s">
        <v>5134</v>
      </c>
      <c r="M155" s="16">
        <v>1035150</v>
      </c>
      <c r="N155" s="14" t="s">
        <v>34</v>
      </c>
      <c r="O155" s="13">
        <v>3</v>
      </c>
      <c r="P155" s="17">
        <v>44117</v>
      </c>
      <c r="Q155" s="14"/>
      <c r="R155" s="17"/>
      <c r="S155" s="17"/>
      <c r="T155" s="14" t="s">
        <v>1</v>
      </c>
      <c r="U155" s="14" t="s">
        <v>5007</v>
      </c>
      <c r="V155" s="14" t="s">
        <v>6920</v>
      </c>
      <c r="W155" s="14"/>
      <c r="X155" s="14" t="s">
        <v>6921</v>
      </c>
      <c r="Y155" s="14"/>
      <c r="Z155" s="14" t="s">
        <v>6922</v>
      </c>
      <c r="AA155" s="14"/>
      <c r="AB155" s="14" t="s">
        <v>3994</v>
      </c>
      <c r="AC155" s="14"/>
      <c r="AD155" s="14"/>
      <c r="AE155" s="14" t="s">
        <v>6923</v>
      </c>
      <c r="AF155" s="14" t="s">
        <v>6924</v>
      </c>
      <c r="AG155" s="14" t="s">
        <v>6925</v>
      </c>
      <c r="AH155" s="18"/>
      <c r="AI155" s="16">
        <v>25533.3</v>
      </c>
      <c r="AJ155" s="17">
        <v>43465</v>
      </c>
      <c r="AK155" s="15" t="s">
        <v>3123</v>
      </c>
      <c r="AL155" s="17"/>
      <c r="AM155" s="16"/>
      <c r="AN155" s="14"/>
      <c r="AO155" s="14"/>
      <c r="AP155" s="15" t="s">
        <v>3123</v>
      </c>
      <c r="AQ155" s="14"/>
      <c r="AR155" s="17"/>
      <c r="AS155" s="16"/>
      <c r="AT155" s="14"/>
      <c r="AU155" s="15" t="s">
        <v>3123</v>
      </c>
      <c r="AV155" s="14"/>
      <c r="AW155" s="17"/>
      <c r="AX155" s="16"/>
      <c r="AY155" s="16"/>
      <c r="AZ155" s="16"/>
      <c r="BA155" s="16"/>
      <c r="BB155" s="15" t="s">
        <v>3123</v>
      </c>
      <c r="BC155" s="17"/>
      <c r="BD155" s="14"/>
      <c r="BE155" s="14"/>
      <c r="BF155" s="16"/>
      <c r="BG155" s="16"/>
      <c r="BH155" s="13"/>
      <c r="BI155" s="18" t="s">
        <v>6926</v>
      </c>
      <c r="BJ155" s="13">
        <v>200</v>
      </c>
      <c r="BK155" s="17">
        <v>44126</v>
      </c>
      <c r="BL155" s="18" t="s">
        <v>6927</v>
      </c>
      <c r="BM155" s="18" t="s">
        <v>6928</v>
      </c>
      <c r="BN155" s="18"/>
      <c r="BO155" s="18"/>
      <c r="BP155" s="14" t="s">
        <v>6929</v>
      </c>
      <c r="BQ155" s="17">
        <v>43875</v>
      </c>
      <c r="BR155" s="16">
        <v>-6236</v>
      </c>
      <c r="BS155" s="17">
        <v>43465</v>
      </c>
      <c r="BT155" s="16">
        <v>4244.92</v>
      </c>
      <c r="BU155" s="17">
        <v>43465</v>
      </c>
      <c r="BV155" s="16">
        <v>2924036.775710925</v>
      </c>
      <c r="BW155" s="17">
        <v>44113</v>
      </c>
      <c r="BX155" s="16"/>
      <c r="BY155" s="17"/>
      <c r="BZ155" s="19">
        <v>31.923740263732675</v>
      </c>
      <c r="CA155" s="19"/>
      <c r="CB155" s="17"/>
      <c r="CC155" s="14" t="s">
        <v>5082</v>
      </c>
      <c r="CD155" s="14" t="s">
        <v>5083</v>
      </c>
      <c r="CE155" s="14" t="s">
        <v>5004</v>
      </c>
    </row>
    <row r="156" spans="1:83" ht="26.15" customHeight="1">
      <c r="A156" s="13">
        <v>150</v>
      </c>
      <c r="B156" s="14" t="s">
        <v>1905</v>
      </c>
      <c r="C156" s="14" t="s">
        <v>1906</v>
      </c>
      <c r="D156" s="14" t="s">
        <v>1910</v>
      </c>
      <c r="E156" s="13">
        <v>2016</v>
      </c>
      <c r="F156" s="14" t="s">
        <v>5038</v>
      </c>
      <c r="G156" s="14" t="s">
        <v>5039</v>
      </c>
      <c r="H156" s="14" t="s">
        <v>3994</v>
      </c>
      <c r="I156" s="15" t="s">
        <v>3117</v>
      </c>
      <c r="J156" s="16">
        <v>57163</v>
      </c>
      <c r="K156" s="17">
        <v>43063</v>
      </c>
      <c r="L156" s="16" t="s">
        <v>6930</v>
      </c>
      <c r="M156" s="16">
        <v>57162</v>
      </c>
      <c r="N156" s="14" t="s">
        <v>34</v>
      </c>
      <c r="O156" s="13">
        <v>2</v>
      </c>
      <c r="P156" s="17">
        <v>44022</v>
      </c>
      <c r="Q156" s="14"/>
      <c r="R156" s="17"/>
      <c r="S156" s="17"/>
      <c r="T156" s="14" t="s">
        <v>5509</v>
      </c>
      <c r="U156" s="14" t="s">
        <v>5510</v>
      </c>
      <c r="V156" s="14" t="s">
        <v>5511</v>
      </c>
      <c r="W156" s="14"/>
      <c r="X156" s="14" t="s">
        <v>6931</v>
      </c>
      <c r="Y156" s="14" t="s">
        <v>1908</v>
      </c>
      <c r="Z156" s="14" t="s">
        <v>6932</v>
      </c>
      <c r="AA156" s="14"/>
      <c r="AB156" s="14" t="s">
        <v>3994</v>
      </c>
      <c r="AC156" s="14" t="s">
        <v>6933</v>
      </c>
      <c r="AD156" s="14" t="s">
        <v>6934</v>
      </c>
      <c r="AE156" s="14" t="s">
        <v>6935</v>
      </c>
      <c r="AF156" s="14" t="s">
        <v>6936</v>
      </c>
      <c r="AG156" s="14" t="s">
        <v>6937</v>
      </c>
      <c r="AH156" s="18"/>
      <c r="AI156" s="16">
        <v>1216900</v>
      </c>
      <c r="AJ156" s="17">
        <v>43465</v>
      </c>
      <c r="AK156" s="15" t="s">
        <v>3117</v>
      </c>
      <c r="AL156" s="17">
        <v>42653</v>
      </c>
      <c r="AM156" s="16">
        <v>1499</v>
      </c>
      <c r="AN156" s="14" t="s">
        <v>6938</v>
      </c>
      <c r="AO156" s="14"/>
      <c r="AP156" s="15" t="s">
        <v>3123</v>
      </c>
      <c r="AQ156" s="14"/>
      <c r="AR156" s="17"/>
      <c r="AS156" s="16"/>
      <c r="AT156" s="14"/>
      <c r="AU156" s="15" t="s">
        <v>3123</v>
      </c>
      <c r="AV156" s="14"/>
      <c r="AW156" s="17"/>
      <c r="AX156" s="16"/>
      <c r="AY156" s="16"/>
      <c r="AZ156" s="16"/>
      <c r="BA156" s="16"/>
      <c r="BB156" s="15" t="s">
        <v>3123</v>
      </c>
      <c r="BC156" s="17"/>
      <c r="BD156" s="14"/>
      <c r="BE156" s="14"/>
      <c r="BF156" s="16"/>
      <c r="BG156" s="16"/>
      <c r="BH156" s="13"/>
      <c r="BI156" s="18" t="s">
        <v>6939</v>
      </c>
      <c r="BJ156" s="13">
        <v>200</v>
      </c>
      <c r="BK156" s="17">
        <v>44129</v>
      </c>
      <c r="BL156" s="18" t="s">
        <v>6940</v>
      </c>
      <c r="BM156" s="18" t="s">
        <v>6941</v>
      </c>
      <c r="BN156" s="18" t="s">
        <v>6942</v>
      </c>
      <c r="BO156" s="18"/>
      <c r="BP156" s="14" t="s">
        <v>6943</v>
      </c>
      <c r="BQ156" s="17">
        <v>43096</v>
      </c>
      <c r="BR156" s="16">
        <v>1100</v>
      </c>
      <c r="BS156" s="17">
        <v>43465</v>
      </c>
      <c r="BT156" s="16">
        <v>23900</v>
      </c>
      <c r="BU156" s="17">
        <v>43465</v>
      </c>
      <c r="BV156" s="16">
        <v>1000000</v>
      </c>
      <c r="BW156" s="17">
        <v>43171</v>
      </c>
      <c r="BX156" s="16"/>
      <c r="BY156" s="17"/>
      <c r="BZ156" s="19">
        <v>52.398575405527843</v>
      </c>
      <c r="CA156" s="19"/>
      <c r="CB156" s="17"/>
      <c r="CC156" s="14" t="s">
        <v>5002</v>
      </c>
      <c r="CD156" s="14" t="s">
        <v>6557</v>
      </c>
      <c r="CE156" s="14" t="s">
        <v>5945</v>
      </c>
    </row>
    <row r="157" spans="1:83" ht="26.15" customHeight="1">
      <c r="A157" s="13">
        <v>151</v>
      </c>
      <c r="B157" s="14" t="s">
        <v>790</v>
      </c>
      <c r="C157" s="14" t="s">
        <v>791</v>
      </c>
      <c r="D157" s="14" t="s">
        <v>793</v>
      </c>
      <c r="E157" s="13">
        <v>2016</v>
      </c>
      <c r="F157" s="14" t="s">
        <v>6212</v>
      </c>
      <c r="G157" s="14" t="s">
        <v>6212</v>
      </c>
      <c r="H157" s="14" t="s">
        <v>6213</v>
      </c>
      <c r="I157" s="15" t="s">
        <v>3117</v>
      </c>
      <c r="J157" s="16">
        <v>150000</v>
      </c>
      <c r="K157" s="17">
        <v>43739</v>
      </c>
      <c r="L157" s="16" t="s">
        <v>5105</v>
      </c>
      <c r="M157" s="16">
        <v>150000</v>
      </c>
      <c r="N157" s="14" t="s">
        <v>34</v>
      </c>
      <c r="O157" s="13"/>
      <c r="P157" s="17"/>
      <c r="Q157" s="14"/>
      <c r="R157" s="17"/>
      <c r="S157" s="17"/>
      <c r="T157" s="14" t="s">
        <v>6944</v>
      </c>
      <c r="U157" s="14" t="s">
        <v>6945</v>
      </c>
      <c r="V157" s="14" t="s">
        <v>6946</v>
      </c>
      <c r="W157" s="14"/>
      <c r="X157" s="14" t="s">
        <v>6947</v>
      </c>
      <c r="Y157" s="14"/>
      <c r="Z157" s="14" t="s">
        <v>6948</v>
      </c>
      <c r="AA157" s="14"/>
      <c r="AB157" s="14" t="s">
        <v>6213</v>
      </c>
      <c r="AC157" s="14"/>
      <c r="AD157" s="14"/>
      <c r="AE157" s="14" t="s">
        <v>6949</v>
      </c>
      <c r="AF157" s="14" t="s">
        <v>6950</v>
      </c>
      <c r="AG157" s="14" t="s">
        <v>6951</v>
      </c>
      <c r="AH157" s="18"/>
      <c r="AI157" s="16"/>
      <c r="AJ157" s="17"/>
      <c r="AK157" s="15" t="s">
        <v>3123</v>
      </c>
      <c r="AL157" s="17"/>
      <c r="AM157" s="16"/>
      <c r="AN157" s="14"/>
      <c r="AO157" s="14"/>
      <c r="AP157" s="15" t="s">
        <v>3123</v>
      </c>
      <c r="AQ157" s="14"/>
      <c r="AR157" s="17"/>
      <c r="AS157" s="16"/>
      <c r="AT157" s="14"/>
      <c r="AU157" s="15" t="s">
        <v>3123</v>
      </c>
      <c r="AV157" s="14"/>
      <c r="AW157" s="17"/>
      <c r="AX157" s="16"/>
      <c r="AY157" s="16"/>
      <c r="AZ157" s="16"/>
      <c r="BA157" s="16"/>
      <c r="BB157" s="15" t="s">
        <v>3123</v>
      </c>
      <c r="BC157" s="17"/>
      <c r="BD157" s="14"/>
      <c r="BE157" s="14"/>
      <c r="BF157" s="16"/>
      <c r="BG157" s="16"/>
      <c r="BH157" s="13"/>
      <c r="BI157" s="18" t="s">
        <v>6952</v>
      </c>
      <c r="BJ157" s="13">
        <v>200</v>
      </c>
      <c r="BK157" s="17">
        <v>44126</v>
      </c>
      <c r="BL157" s="18" t="s">
        <v>6953</v>
      </c>
      <c r="BM157" s="18"/>
      <c r="BN157" s="18" t="s">
        <v>6954</v>
      </c>
      <c r="BO157" s="18"/>
      <c r="BP157" s="14" t="s">
        <v>6955</v>
      </c>
      <c r="BQ157" s="17">
        <v>42930</v>
      </c>
      <c r="BR157" s="16"/>
      <c r="BS157" s="17"/>
      <c r="BT157" s="16"/>
      <c r="BU157" s="17"/>
      <c r="BV157" s="16"/>
      <c r="BW157" s="17"/>
      <c r="BX157" s="16"/>
      <c r="BY157" s="17"/>
      <c r="BZ157" s="19">
        <v>28.379349764816446</v>
      </c>
      <c r="CA157" s="19"/>
      <c r="CB157" s="17"/>
      <c r="CC157" s="14" t="s">
        <v>5036</v>
      </c>
      <c r="CD157" s="14" t="s">
        <v>5439</v>
      </c>
      <c r="CE157" s="14" t="s">
        <v>5311</v>
      </c>
    </row>
    <row r="158" spans="1:83" ht="26.15" customHeight="1">
      <c r="A158" s="13">
        <v>152</v>
      </c>
      <c r="B158" s="14" t="s">
        <v>1919</v>
      </c>
      <c r="C158" s="14" t="s">
        <v>1920</v>
      </c>
      <c r="D158" s="14" t="s">
        <v>1923</v>
      </c>
      <c r="E158" s="13">
        <v>2014</v>
      </c>
      <c r="F158" s="14" t="s">
        <v>5312</v>
      </c>
      <c r="G158" s="14" t="s">
        <v>5313</v>
      </c>
      <c r="H158" s="14" t="s">
        <v>3994</v>
      </c>
      <c r="I158" s="15" t="s">
        <v>3117</v>
      </c>
      <c r="J158" s="16">
        <v>3071720</v>
      </c>
      <c r="K158" s="17">
        <v>43042</v>
      </c>
      <c r="L158" s="16" t="s">
        <v>5069</v>
      </c>
      <c r="M158" s="16">
        <v>3071720</v>
      </c>
      <c r="N158" s="14" t="s">
        <v>34</v>
      </c>
      <c r="O158" s="13">
        <v>3</v>
      </c>
      <c r="P158" s="17">
        <v>44098</v>
      </c>
      <c r="Q158" s="14"/>
      <c r="R158" s="17"/>
      <c r="S158" s="17"/>
      <c r="T158" s="14" t="s">
        <v>5509</v>
      </c>
      <c r="U158" s="14" t="s">
        <v>5510</v>
      </c>
      <c r="V158" s="14" t="s">
        <v>5696</v>
      </c>
      <c r="W158" s="14"/>
      <c r="X158" s="14" t="s">
        <v>6956</v>
      </c>
      <c r="Y158" s="14" t="s">
        <v>6957</v>
      </c>
      <c r="Z158" s="14" t="s">
        <v>6958</v>
      </c>
      <c r="AA158" s="14"/>
      <c r="AB158" s="14" t="s">
        <v>3994</v>
      </c>
      <c r="AC158" s="14" t="s">
        <v>6959</v>
      </c>
      <c r="AD158" s="14" t="s">
        <v>6960</v>
      </c>
      <c r="AE158" s="14" t="s">
        <v>6961</v>
      </c>
      <c r="AF158" s="14" t="s">
        <v>6962</v>
      </c>
      <c r="AG158" s="14" t="s">
        <v>6963</v>
      </c>
      <c r="AH158" s="18"/>
      <c r="AI158" s="16">
        <v>1752300</v>
      </c>
      <c r="AJ158" s="17">
        <v>43465</v>
      </c>
      <c r="AK158" s="15" t="s">
        <v>3123</v>
      </c>
      <c r="AL158" s="17"/>
      <c r="AM158" s="16"/>
      <c r="AN158" s="14"/>
      <c r="AO158" s="14"/>
      <c r="AP158" s="15" t="s">
        <v>3123</v>
      </c>
      <c r="AQ158" s="14"/>
      <c r="AR158" s="17"/>
      <c r="AS158" s="16"/>
      <c r="AT158" s="14"/>
      <c r="AU158" s="15" t="s">
        <v>3123</v>
      </c>
      <c r="AV158" s="14"/>
      <c r="AW158" s="17"/>
      <c r="AX158" s="16"/>
      <c r="AY158" s="16"/>
      <c r="AZ158" s="16"/>
      <c r="BA158" s="16"/>
      <c r="BB158" s="15" t="s">
        <v>3123</v>
      </c>
      <c r="BC158" s="17"/>
      <c r="BD158" s="14"/>
      <c r="BE158" s="14"/>
      <c r="BF158" s="16"/>
      <c r="BG158" s="16"/>
      <c r="BH158" s="13"/>
      <c r="BI158" s="18" t="s">
        <v>6964</v>
      </c>
      <c r="BJ158" s="13">
        <v>200</v>
      </c>
      <c r="BK158" s="17">
        <v>44128</v>
      </c>
      <c r="BL158" s="18" t="s">
        <v>6965</v>
      </c>
      <c r="BM158" s="18"/>
      <c r="BN158" s="18"/>
      <c r="BO158" s="18"/>
      <c r="BP158" s="14" t="s">
        <v>6966</v>
      </c>
      <c r="BQ158" s="17">
        <v>43031</v>
      </c>
      <c r="BR158" s="16">
        <v>-1012500</v>
      </c>
      <c r="BS158" s="17">
        <v>43465</v>
      </c>
      <c r="BT158" s="16">
        <v>-970400</v>
      </c>
      <c r="BU158" s="17">
        <v>43465</v>
      </c>
      <c r="BV158" s="16"/>
      <c r="BW158" s="17"/>
      <c r="BX158" s="16">
        <v>41</v>
      </c>
      <c r="BY158" s="17">
        <v>44012</v>
      </c>
      <c r="BZ158" s="19">
        <v>37.586718108134583</v>
      </c>
      <c r="CA158" s="19"/>
      <c r="CB158" s="17"/>
      <c r="CC158" s="14" t="s">
        <v>5104</v>
      </c>
      <c r="CD158" s="14" t="s">
        <v>6478</v>
      </c>
      <c r="CE158" s="14" t="s">
        <v>5004</v>
      </c>
    </row>
    <row r="159" spans="1:83" ht="26.15" customHeight="1">
      <c r="A159" s="13">
        <v>153</v>
      </c>
      <c r="B159" s="14" t="s">
        <v>59</v>
      </c>
      <c r="C159" s="14" t="s">
        <v>60</v>
      </c>
      <c r="D159" s="14" t="s">
        <v>64</v>
      </c>
      <c r="E159" s="13">
        <v>2016</v>
      </c>
      <c r="F159" s="14" t="s">
        <v>6227</v>
      </c>
      <c r="G159" s="14" t="s">
        <v>6228</v>
      </c>
      <c r="H159" s="14" t="s">
        <v>3994</v>
      </c>
      <c r="I159" s="15" t="s">
        <v>3117</v>
      </c>
      <c r="J159" s="16">
        <v>1550000</v>
      </c>
      <c r="K159" s="17">
        <v>44132</v>
      </c>
      <c r="L159" s="16" t="s">
        <v>5134</v>
      </c>
      <c r="M159" s="16">
        <v>1400000</v>
      </c>
      <c r="N159" s="14" t="s">
        <v>34</v>
      </c>
      <c r="O159" s="13">
        <v>4</v>
      </c>
      <c r="P159" s="17">
        <v>44013</v>
      </c>
      <c r="Q159" s="14"/>
      <c r="R159" s="17"/>
      <c r="S159" s="17"/>
      <c r="T159" s="14" t="s">
        <v>5509</v>
      </c>
      <c r="U159" s="14" t="s">
        <v>5510</v>
      </c>
      <c r="V159" s="14" t="s">
        <v>5696</v>
      </c>
      <c r="W159" s="14"/>
      <c r="X159" s="14" t="s">
        <v>6967</v>
      </c>
      <c r="Y159" s="14" t="s">
        <v>1074</v>
      </c>
      <c r="Z159" s="14" t="s">
        <v>6968</v>
      </c>
      <c r="AA159" s="14"/>
      <c r="AB159" s="14" t="s">
        <v>3994</v>
      </c>
      <c r="AC159" s="14" t="s">
        <v>6969</v>
      </c>
      <c r="AD159" s="14"/>
      <c r="AE159" s="14" t="s">
        <v>6970</v>
      </c>
      <c r="AF159" s="14" t="s">
        <v>6971</v>
      </c>
      <c r="AG159" s="14" t="s">
        <v>6972</v>
      </c>
      <c r="AH159" s="18"/>
      <c r="AI159" s="16">
        <v>491500</v>
      </c>
      <c r="AJ159" s="17">
        <v>43465</v>
      </c>
      <c r="AK159" s="15" t="s">
        <v>3123</v>
      </c>
      <c r="AL159" s="17"/>
      <c r="AM159" s="16"/>
      <c r="AN159" s="14"/>
      <c r="AO159" s="14"/>
      <c r="AP159" s="15" t="s">
        <v>3123</v>
      </c>
      <c r="AQ159" s="14"/>
      <c r="AR159" s="17"/>
      <c r="AS159" s="16"/>
      <c r="AT159" s="14"/>
      <c r="AU159" s="15" t="s">
        <v>3123</v>
      </c>
      <c r="AV159" s="14"/>
      <c r="AW159" s="17"/>
      <c r="AX159" s="16"/>
      <c r="AY159" s="16"/>
      <c r="AZ159" s="16"/>
      <c r="BA159" s="16"/>
      <c r="BB159" s="15" t="s">
        <v>3123</v>
      </c>
      <c r="BC159" s="17"/>
      <c r="BD159" s="14"/>
      <c r="BE159" s="14"/>
      <c r="BF159" s="16"/>
      <c r="BG159" s="16"/>
      <c r="BH159" s="13"/>
      <c r="BI159" s="18" t="s">
        <v>6973</v>
      </c>
      <c r="BJ159" s="13">
        <v>200</v>
      </c>
      <c r="BK159" s="17">
        <v>44126</v>
      </c>
      <c r="BL159" s="18" t="s">
        <v>6974</v>
      </c>
      <c r="BM159" s="18" t="s">
        <v>6975</v>
      </c>
      <c r="BN159" s="18" t="s">
        <v>6976</v>
      </c>
      <c r="BO159" s="18"/>
      <c r="BP159" s="14" t="s">
        <v>6977</v>
      </c>
      <c r="BQ159" s="17">
        <v>42765</v>
      </c>
      <c r="BR159" s="16">
        <v>-71500</v>
      </c>
      <c r="BS159" s="17">
        <v>43465</v>
      </c>
      <c r="BT159" s="16">
        <v>-70700</v>
      </c>
      <c r="BU159" s="17">
        <v>43465</v>
      </c>
      <c r="BV159" s="16">
        <v>557376.58667112631</v>
      </c>
      <c r="BW159" s="17">
        <v>43798</v>
      </c>
      <c r="BX159" s="16"/>
      <c r="BY159" s="17"/>
      <c r="BZ159" s="19">
        <v>40.224418916902415</v>
      </c>
      <c r="CA159" s="19"/>
      <c r="CB159" s="17"/>
      <c r="CC159" s="14" t="s">
        <v>5036</v>
      </c>
      <c r="CD159" s="14" t="s">
        <v>5037</v>
      </c>
      <c r="CE159" s="14" t="s">
        <v>5004</v>
      </c>
    </row>
    <row r="160" spans="1:83" ht="26.15" hidden="1" customHeight="1">
      <c r="A160" s="13">
        <v>154</v>
      </c>
      <c r="B160" s="14" t="s">
        <v>950</v>
      </c>
      <c r="C160" s="14" t="s">
        <v>951</v>
      </c>
      <c r="D160" s="14" t="s">
        <v>955</v>
      </c>
      <c r="E160" s="13">
        <v>2014</v>
      </c>
      <c r="F160" s="14" t="s">
        <v>6978</v>
      </c>
      <c r="G160" s="14" t="s">
        <v>6979</v>
      </c>
      <c r="H160" s="14" t="s">
        <v>4343</v>
      </c>
      <c r="I160" s="15" t="s">
        <v>3117</v>
      </c>
      <c r="J160" s="16"/>
      <c r="K160" s="17">
        <v>43646</v>
      </c>
      <c r="L160" s="16"/>
      <c r="M160" s="16" t="s">
        <v>50</v>
      </c>
      <c r="N160" s="14" t="s">
        <v>109</v>
      </c>
      <c r="O160" s="13">
        <v>4</v>
      </c>
      <c r="P160" s="17">
        <v>44039</v>
      </c>
      <c r="Q160" s="14"/>
      <c r="R160" s="17"/>
      <c r="S160" s="17"/>
      <c r="T160" s="14" t="s">
        <v>5442</v>
      </c>
      <c r="U160" s="14" t="s">
        <v>6980</v>
      </c>
      <c r="V160" s="14" t="s">
        <v>6981</v>
      </c>
      <c r="W160" s="14"/>
      <c r="X160" s="14" t="s">
        <v>6982</v>
      </c>
      <c r="Y160" s="14"/>
      <c r="Z160" s="14" t="s">
        <v>6983</v>
      </c>
      <c r="AA160" s="14"/>
      <c r="AB160" s="14" t="s">
        <v>4343</v>
      </c>
      <c r="AC160" s="14"/>
      <c r="AD160" s="14"/>
      <c r="AE160" s="14" t="s">
        <v>6984</v>
      </c>
      <c r="AF160" s="14" t="s">
        <v>6985</v>
      </c>
      <c r="AG160" s="14" t="s">
        <v>6986</v>
      </c>
      <c r="AH160" s="18"/>
      <c r="AI160" s="16"/>
      <c r="AJ160" s="17"/>
      <c r="AK160" s="15" t="s">
        <v>3123</v>
      </c>
      <c r="AL160" s="17"/>
      <c r="AM160" s="16"/>
      <c r="AN160" s="14"/>
      <c r="AO160" s="14"/>
      <c r="AP160" s="15" t="s">
        <v>3123</v>
      </c>
      <c r="AQ160" s="14"/>
      <c r="AR160" s="17"/>
      <c r="AS160" s="16"/>
      <c r="AT160" s="14"/>
      <c r="AU160" s="15" t="s">
        <v>3123</v>
      </c>
      <c r="AV160" s="14"/>
      <c r="AW160" s="17"/>
      <c r="AX160" s="16"/>
      <c r="AY160" s="16"/>
      <c r="AZ160" s="16"/>
      <c r="BA160" s="16"/>
      <c r="BB160" s="15" t="s">
        <v>3123</v>
      </c>
      <c r="BC160" s="17"/>
      <c r="BD160" s="14"/>
      <c r="BE160" s="14"/>
      <c r="BF160" s="16"/>
      <c r="BG160" s="16"/>
      <c r="BH160" s="13"/>
      <c r="BI160" s="18" t="s">
        <v>6987</v>
      </c>
      <c r="BJ160" s="13">
        <v>200</v>
      </c>
      <c r="BK160" s="17">
        <v>44126</v>
      </c>
      <c r="BL160" s="18" t="s">
        <v>6988</v>
      </c>
      <c r="BM160" s="18"/>
      <c r="BN160" s="18" t="s">
        <v>6989</v>
      </c>
      <c r="BO160" s="18"/>
      <c r="BP160" s="14" t="s">
        <v>6990</v>
      </c>
      <c r="BQ160" s="17">
        <v>43056</v>
      </c>
      <c r="BR160" s="16"/>
      <c r="BS160" s="17"/>
      <c r="BT160" s="16"/>
      <c r="BU160" s="17"/>
      <c r="BV160" s="16"/>
      <c r="BW160" s="17"/>
      <c r="BX160" s="16"/>
      <c r="BY160" s="17"/>
      <c r="BZ160" s="19">
        <v>32.181807291156659</v>
      </c>
      <c r="CA160" s="19"/>
      <c r="CB160" s="17"/>
      <c r="CC160" s="14" t="s">
        <v>5345</v>
      </c>
      <c r="CD160" s="14" t="s">
        <v>6991</v>
      </c>
      <c r="CE160" s="14" t="s">
        <v>5945</v>
      </c>
    </row>
    <row r="161" spans="1:83" ht="26.15" customHeight="1">
      <c r="A161" s="13">
        <v>155</v>
      </c>
      <c r="B161" s="14" t="s">
        <v>1490</v>
      </c>
      <c r="C161" s="14" t="s">
        <v>1491</v>
      </c>
      <c r="D161" s="14" t="s">
        <v>1495</v>
      </c>
      <c r="E161" s="13">
        <v>2016</v>
      </c>
      <c r="F161" s="14" t="s">
        <v>6992</v>
      </c>
      <c r="G161" s="14" t="s">
        <v>5313</v>
      </c>
      <c r="H161" s="14" t="s">
        <v>3994</v>
      </c>
      <c r="I161" s="15" t="s">
        <v>3117</v>
      </c>
      <c r="J161" s="16">
        <v>774776</v>
      </c>
      <c r="K161" s="17">
        <v>43325</v>
      </c>
      <c r="L161" s="16" t="s">
        <v>5417</v>
      </c>
      <c r="M161" s="16">
        <v>274776</v>
      </c>
      <c r="N161" s="14" t="s">
        <v>34</v>
      </c>
      <c r="O161" s="13">
        <v>4</v>
      </c>
      <c r="P161" s="17">
        <v>44043</v>
      </c>
      <c r="Q161" s="14"/>
      <c r="R161" s="17"/>
      <c r="S161" s="17"/>
      <c r="T161" s="14" t="s">
        <v>5442</v>
      </c>
      <c r="U161" s="14" t="s">
        <v>6993</v>
      </c>
      <c r="V161" s="14" t="s">
        <v>6994</v>
      </c>
      <c r="W161" s="14"/>
      <c r="X161" s="14" t="s">
        <v>6995</v>
      </c>
      <c r="Y161" s="14" t="s">
        <v>6996</v>
      </c>
      <c r="Z161" s="14" t="s">
        <v>6997</v>
      </c>
      <c r="AA161" s="14"/>
      <c r="AB161" s="14" t="s">
        <v>3994</v>
      </c>
      <c r="AC161" s="14" t="s">
        <v>6998</v>
      </c>
      <c r="AD161" s="14" t="s">
        <v>6999</v>
      </c>
      <c r="AE161" s="14" t="s">
        <v>7000</v>
      </c>
      <c r="AF161" s="14" t="s">
        <v>7001</v>
      </c>
      <c r="AG161" s="14" t="s">
        <v>7002</v>
      </c>
      <c r="AH161" s="18"/>
      <c r="AI161" s="16">
        <v>40700</v>
      </c>
      <c r="AJ161" s="17">
        <v>43465</v>
      </c>
      <c r="AK161" s="15" t="s">
        <v>3117</v>
      </c>
      <c r="AL161" s="17">
        <v>42653</v>
      </c>
      <c r="AM161" s="16">
        <v>4950</v>
      </c>
      <c r="AN161" s="14" t="s">
        <v>7003</v>
      </c>
      <c r="AO161" s="14"/>
      <c r="AP161" s="15" t="s">
        <v>3123</v>
      </c>
      <c r="AQ161" s="14"/>
      <c r="AR161" s="17"/>
      <c r="AS161" s="16"/>
      <c r="AT161" s="14"/>
      <c r="AU161" s="15" t="s">
        <v>3123</v>
      </c>
      <c r="AV161" s="14"/>
      <c r="AW161" s="17"/>
      <c r="AX161" s="16"/>
      <c r="AY161" s="16"/>
      <c r="AZ161" s="16"/>
      <c r="BA161" s="16"/>
      <c r="BB161" s="15" t="s">
        <v>3123</v>
      </c>
      <c r="BC161" s="17"/>
      <c r="BD161" s="14"/>
      <c r="BE161" s="14"/>
      <c r="BF161" s="16"/>
      <c r="BG161" s="16"/>
      <c r="BH161" s="13"/>
      <c r="BI161" s="18" t="s">
        <v>7004</v>
      </c>
      <c r="BJ161" s="13">
        <v>200</v>
      </c>
      <c r="BK161" s="17">
        <v>44126</v>
      </c>
      <c r="BL161" s="18" t="s">
        <v>7005</v>
      </c>
      <c r="BM161" s="18" t="s">
        <v>7006</v>
      </c>
      <c r="BN161" s="18" t="s">
        <v>7007</v>
      </c>
      <c r="BO161" s="18"/>
      <c r="BP161" s="14" t="s">
        <v>7008</v>
      </c>
      <c r="BQ161" s="17">
        <v>43871</v>
      </c>
      <c r="BR161" s="16">
        <v>-145100</v>
      </c>
      <c r="BS161" s="17">
        <v>43465</v>
      </c>
      <c r="BT161" s="16">
        <v>-138700</v>
      </c>
      <c r="BU161" s="17">
        <v>43465</v>
      </c>
      <c r="BV161" s="16">
        <v>1000000</v>
      </c>
      <c r="BW161" s="17">
        <v>43325</v>
      </c>
      <c r="BX161" s="16"/>
      <c r="BY161" s="17"/>
      <c r="BZ161" s="19">
        <v>50.740117740502733</v>
      </c>
      <c r="CA161" s="19"/>
      <c r="CB161" s="17"/>
      <c r="CC161" s="14" t="s">
        <v>7009</v>
      </c>
      <c r="CD161" s="14" t="s">
        <v>5879</v>
      </c>
      <c r="CE161" s="14" t="s">
        <v>5004</v>
      </c>
    </row>
    <row r="162" spans="1:83" ht="26.15" customHeight="1">
      <c r="A162" s="13">
        <v>156</v>
      </c>
      <c r="B162" s="14" t="s">
        <v>1586</v>
      </c>
      <c r="C162" s="14" t="s">
        <v>1587</v>
      </c>
      <c r="D162" s="14" t="s">
        <v>1589</v>
      </c>
      <c r="E162" s="13">
        <v>2014</v>
      </c>
      <c r="F162" s="14" t="s">
        <v>6762</v>
      </c>
      <c r="G162" s="14" t="s">
        <v>6763</v>
      </c>
      <c r="H162" s="14" t="s">
        <v>5333</v>
      </c>
      <c r="I162" s="15" t="s">
        <v>3117</v>
      </c>
      <c r="J162" s="16">
        <v>1600000</v>
      </c>
      <c r="K162" s="17">
        <v>43269</v>
      </c>
      <c r="L162" s="16" t="s">
        <v>5252</v>
      </c>
      <c r="M162" s="16">
        <v>100000</v>
      </c>
      <c r="N162" s="14" t="s">
        <v>34</v>
      </c>
      <c r="O162" s="13"/>
      <c r="P162" s="17"/>
      <c r="Q162" s="14"/>
      <c r="R162" s="17"/>
      <c r="S162" s="17"/>
      <c r="T162" s="14" t="s">
        <v>5253</v>
      </c>
      <c r="U162" s="14" t="s">
        <v>5254</v>
      </c>
      <c r="V162" s="14" t="s">
        <v>5255</v>
      </c>
      <c r="W162" s="14"/>
      <c r="X162" s="14" t="s">
        <v>7010</v>
      </c>
      <c r="Y162" s="14"/>
      <c r="Z162" s="14" t="s">
        <v>7011</v>
      </c>
      <c r="AA162" s="14"/>
      <c r="AB162" s="14" t="s">
        <v>5333</v>
      </c>
      <c r="AC162" s="14"/>
      <c r="AD162" s="14"/>
      <c r="AE162" s="14" t="s">
        <v>7012</v>
      </c>
      <c r="AF162" s="14"/>
      <c r="AG162" s="14" t="s">
        <v>7013</v>
      </c>
      <c r="AH162" s="18"/>
      <c r="AI162" s="16"/>
      <c r="AJ162" s="17"/>
      <c r="AK162" s="15" t="s">
        <v>3123</v>
      </c>
      <c r="AL162" s="17"/>
      <c r="AM162" s="16"/>
      <c r="AN162" s="14"/>
      <c r="AO162" s="14"/>
      <c r="AP162" s="15" t="s">
        <v>3123</v>
      </c>
      <c r="AQ162" s="14"/>
      <c r="AR162" s="17"/>
      <c r="AS162" s="16"/>
      <c r="AT162" s="14"/>
      <c r="AU162" s="15" t="s">
        <v>3123</v>
      </c>
      <c r="AV162" s="14"/>
      <c r="AW162" s="17"/>
      <c r="AX162" s="16"/>
      <c r="AY162" s="16"/>
      <c r="AZ162" s="16"/>
      <c r="BA162" s="16"/>
      <c r="BB162" s="15" t="s">
        <v>3123</v>
      </c>
      <c r="BC162" s="17"/>
      <c r="BD162" s="14"/>
      <c r="BE162" s="14"/>
      <c r="BF162" s="16"/>
      <c r="BG162" s="16"/>
      <c r="BH162" s="13"/>
      <c r="BI162" s="18" t="s">
        <v>7014</v>
      </c>
      <c r="BJ162" s="13">
        <v>200</v>
      </c>
      <c r="BK162" s="17">
        <v>44126</v>
      </c>
      <c r="BL162" s="18" t="s">
        <v>7015</v>
      </c>
      <c r="BM162" s="18"/>
      <c r="BN162" s="18" t="s">
        <v>7016</v>
      </c>
      <c r="BO162" s="18"/>
      <c r="BP162" s="14" t="s">
        <v>7017</v>
      </c>
      <c r="BQ162" s="17">
        <v>43019</v>
      </c>
      <c r="BR162" s="16"/>
      <c r="BS162" s="17"/>
      <c r="BT162" s="16"/>
      <c r="BU162" s="17"/>
      <c r="BV162" s="16"/>
      <c r="BW162" s="17"/>
      <c r="BX162" s="16"/>
      <c r="BY162" s="17"/>
      <c r="BZ162" s="19">
        <v>25.132235194460712</v>
      </c>
      <c r="CA162" s="19"/>
      <c r="CB162" s="17"/>
      <c r="CC162" s="14" t="s">
        <v>5036</v>
      </c>
      <c r="CD162" s="14" t="s">
        <v>5962</v>
      </c>
      <c r="CE162" s="14" t="s">
        <v>5945</v>
      </c>
    </row>
    <row r="163" spans="1:83" ht="26.15" customHeight="1">
      <c r="A163" s="13">
        <v>157</v>
      </c>
      <c r="B163" s="14" t="s">
        <v>1191</v>
      </c>
      <c r="C163" s="14" t="s">
        <v>1192</v>
      </c>
      <c r="D163" s="14" t="s">
        <v>1194</v>
      </c>
      <c r="E163" s="13">
        <v>2017</v>
      </c>
      <c r="F163" s="14" t="s">
        <v>5592</v>
      </c>
      <c r="G163" s="14" t="s">
        <v>5313</v>
      </c>
      <c r="H163" s="14" t="s">
        <v>3994</v>
      </c>
      <c r="I163" s="15" t="s">
        <v>3117</v>
      </c>
      <c r="J163" s="16">
        <v>567108</v>
      </c>
      <c r="K163" s="17">
        <v>43530</v>
      </c>
      <c r="L163" s="16" t="s">
        <v>7018</v>
      </c>
      <c r="M163" s="16">
        <v>481083</v>
      </c>
      <c r="N163" s="14" t="s">
        <v>34</v>
      </c>
      <c r="O163" s="13">
        <v>4</v>
      </c>
      <c r="P163" s="17">
        <v>44098</v>
      </c>
      <c r="Q163" s="14"/>
      <c r="R163" s="17"/>
      <c r="S163" s="17"/>
      <c r="T163" s="14" t="s">
        <v>1</v>
      </c>
      <c r="U163" s="14" t="s">
        <v>5007</v>
      </c>
      <c r="V163" s="14" t="s">
        <v>968</v>
      </c>
      <c r="W163" s="14"/>
      <c r="X163" s="14" t="s">
        <v>7019</v>
      </c>
      <c r="Y163" s="14" t="s">
        <v>7020</v>
      </c>
      <c r="Z163" s="14" t="s">
        <v>7021</v>
      </c>
      <c r="AA163" s="14"/>
      <c r="AB163" s="14" t="s">
        <v>3994</v>
      </c>
      <c r="AC163" s="14" t="s">
        <v>7022</v>
      </c>
      <c r="AD163" s="14" t="s">
        <v>7023</v>
      </c>
      <c r="AE163" s="14" t="s">
        <v>7024</v>
      </c>
      <c r="AF163" s="14" t="s">
        <v>7025</v>
      </c>
      <c r="AG163" s="14" t="s">
        <v>7026</v>
      </c>
      <c r="AH163" s="18"/>
      <c r="AI163" s="16">
        <v>93300</v>
      </c>
      <c r="AJ163" s="17">
        <v>43465</v>
      </c>
      <c r="AK163" s="15" t="s">
        <v>3117</v>
      </c>
      <c r="AL163" s="17">
        <v>42807</v>
      </c>
      <c r="AM163" s="16">
        <v>1499</v>
      </c>
      <c r="AN163" s="14" t="s">
        <v>7027</v>
      </c>
      <c r="AO163" s="14"/>
      <c r="AP163" s="15" t="s">
        <v>3123</v>
      </c>
      <c r="AQ163" s="14"/>
      <c r="AR163" s="17"/>
      <c r="AS163" s="16"/>
      <c r="AT163" s="14"/>
      <c r="AU163" s="15" t="s">
        <v>3123</v>
      </c>
      <c r="AV163" s="14"/>
      <c r="AW163" s="17"/>
      <c r="AX163" s="16"/>
      <c r="AY163" s="16"/>
      <c r="AZ163" s="16"/>
      <c r="BA163" s="16"/>
      <c r="BB163" s="15" t="s">
        <v>3123</v>
      </c>
      <c r="BC163" s="17"/>
      <c r="BD163" s="14"/>
      <c r="BE163" s="14"/>
      <c r="BF163" s="16"/>
      <c r="BG163" s="16"/>
      <c r="BH163" s="13"/>
      <c r="BI163" s="18" t="s">
        <v>7028</v>
      </c>
      <c r="BJ163" s="13">
        <v>301</v>
      </c>
      <c r="BK163" s="17">
        <v>44126</v>
      </c>
      <c r="BL163" s="18" t="s">
        <v>7029</v>
      </c>
      <c r="BM163" s="18"/>
      <c r="BN163" s="18"/>
      <c r="BO163" s="18"/>
      <c r="BP163" s="14" t="s">
        <v>7030</v>
      </c>
      <c r="BQ163" s="17">
        <v>43920</v>
      </c>
      <c r="BR163" s="16">
        <v>-50600</v>
      </c>
      <c r="BS163" s="17">
        <v>43465</v>
      </c>
      <c r="BT163" s="16">
        <v>-50200</v>
      </c>
      <c r="BU163" s="17">
        <v>43465</v>
      </c>
      <c r="BV163" s="16"/>
      <c r="BW163" s="17"/>
      <c r="BX163" s="16">
        <v>27</v>
      </c>
      <c r="BY163" s="17">
        <v>44012</v>
      </c>
      <c r="BZ163" s="19">
        <v>38.139970486055262</v>
      </c>
      <c r="CA163" s="19"/>
      <c r="CB163" s="17"/>
      <c r="CC163" s="14" t="s">
        <v>5309</v>
      </c>
      <c r="CD163" s="14" t="s">
        <v>6810</v>
      </c>
      <c r="CE163" s="14" t="s">
        <v>5004</v>
      </c>
    </row>
    <row r="164" spans="1:83" ht="26.15" customHeight="1">
      <c r="A164" s="13">
        <v>158</v>
      </c>
      <c r="B164" s="14" t="s">
        <v>385</v>
      </c>
      <c r="C164" s="14" t="s">
        <v>386</v>
      </c>
      <c r="D164" s="14" t="s">
        <v>389</v>
      </c>
      <c r="E164" s="13">
        <v>2016</v>
      </c>
      <c r="F164" s="14" t="s">
        <v>5389</v>
      </c>
      <c r="G164" s="14" t="s">
        <v>5390</v>
      </c>
      <c r="H164" s="14" t="s">
        <v>5391</v>
      </c>
      <c r="I164" s="15" t="s">
        <v>3117</v>
      </c>
      <c r="J164" s="16">
        <v>14260613</v>
      </c>
      <c r="K164" s="17">
        <v>43970</v>
      </c>
      <c r="L164" s="16" t="s">
        <v>6481</v>
      </c>
      <c r="M164" s="16">
        <v>6000000</v>
      </c>
      <c r="N164" s="14" t="s">
        <v>109</v>
      </c>
      <c r="O164" s="13">
        <v>4</v>
      </c>
      <c r="P164" s="17">
        <v>44013</v>
      </c>
      <c r="Q164" s="14" t="s">
        <v>5052</v>
      </c>
      <c r="R164" s="17">
        <v>43854</v>
      </c>
      <c r="S164" s="17">
        <v>43795</v>
      </c>
      <c r="T164" s="14" t="s">
        <v>5426</v>
      </c>
      <c r="U164" s="14" t="s">
        <v>6018</v>
      </c>
      <c r="V164" s="14" t="s">
        <v>7031</v>
      </c>
      <c r="W164" s="14"/>
      <c r="X164" s="14" t="s">
        <v>7032</v>
      </c>
      <c r="Y164" s="14"/>
      <c r="Z164" s="14" t="s">
        <v>7033</v>
      </c>
      <c r="AA164" s="14"/>
      <c r="AB164" s="14" t="s">
        <v>5391</v>
      </c>
      <c r="AC164" s="14" t="s">
        <v>7034</v>
      </c>
      <c r="AD164" s="14"/>
      <c r="AE164" s="14" t="s">
        <v>7035</v>
      </c>
      <c r="AF164" s="14" t="s">
        <v>7036</v>
      </c>
      <c r="AG164" s="14" t="s">
        <v>7037</v>
      </c>
      <c r="AH164" s="18"/>
      <c r="AI164" s="16"/>
      <c r="AJ164" s="17"/>
      <c r="AK164" s="15" t="s">
        <v>3123</v>
      </c>
      <c r="AL164" s="17"/>
      <c r="AM164" s="16"/>
      <c r="AN164" s="14"/>
      <c r="AO164" s="14"/>
      <c r="AP164" s="15" t="s">
        <v>3123</v>
      </c>
      <c r="AQ164" s="14"/>
      <c r="AR164" s="17"/>
      <c r="AS164" s="16"/>
      <c r="AT164" s="14"/>
      <c r="AU164" s="15" t="s">
        <v>3123</v>
      </c>
      <c r="AV164" s="14"/>
      <c r="AW164" s="17"/>
      <c r="AX164" s="16"/>
      <c r="AY164" s="16"/>
      <c r="AZ164" s="16"/>
      <c r="BA164" s="16"/>
      <c r="BB164" s="15" t="s">
        <v>3123</v>
      </c>
      <c r="BC164" s="17"/>
      <c r="BD164" s="14"/>
      <c r="BE164" s="14"/>
      <c r="BF164" s="16"/>
      <c r="BG164" s="16"/>
      <c r="BH164" s="13"/>
      <c r="BI164" s="18" t="s">
        <v>7038</v>
      </c>
      <c r="BJ164" s="13">
        <v>200</v>
      </c>
      <c r="BK164" s="17">
        <v>44126</v>
      </c>
      <c r="BL164" s="18" t="s">
        <v>7039</v>
      </c>
      <c r="BM164" s="18" t="s">
        <v>7040</v>
      </c>
      <c r="BN164" s="18"/>
      <c r="BO164" s="18"/>
      <c r="BP164" s="14" t="s">
        <v>7041</v>
      </c>
      <c r="BQ164" s="17">
        <v>42930</v>
      </c>
      <c r="BR164" s="16"/>
      <c r="BS164" s="17"/>
      <c r="BT164" s="16"/>
      <c r="BU164" s="17"/>
      <c r="BV164" s="16"/>
      <c r="BW164" s="17"/>
      <c r="BX164" s="16"/>
      <c r="BY164" s="17"/>
      <c r="BZ164" s="19">
        <v>56.497013923648538</v>
      </c>
      <c r="CA164" s="19"/>
      <c r="CB164" s="17"/>
      <c r="CC164" s="14" t="s">
        <v>7042</v>
      </c>
      <c r="CD164" s="14" t="s">
        <v>7043</v>
      </c>
      <c r="CE164" s="14" t="s">
        <v>7044</v>
      </c>
    </row>
    <row r="165" spans="1:83" ht="26.15" customHeight="1">
      <c r="A165" s="13">
        <v>159</v>
      </c>
      <c r="B165" s="14" t="s">
        <v>1063</v>
      </c>
      <c r="C165" s="14" t="s">
        <v>1064</v>
      </c>
      <c r="D165" s="14" t="s">
        <v>1066</v>
      </c>
      <c r="E165" s="13">
        <v>2016</v>
      </c>
      <c r="F165" s="14" t="s">
        <v>5038</v>
      </c>
      <c r="G165" s="14" t="s">
        <v>5039</v>
      </c>
      <c r="H165" s="14" t="s">
        <v>3994</v>
      </c>
      <c r="I165" s="15" t="s">
        <v>3117</v>
      </c>
      <c r="J165" s="16"/>
      <c r="K165" s="17">
        <v>43587</v>
      </c>
      <c r="L165" s="16" t="s">
        <v>6783</v>
      </c>
      <c r="M165" s="16">
        <v>10000</v>
      </c>
      <c r="N165" s="14" t="s">
        <v>5040</v>
      </c>
      <c r="O165" s="13">
        <v>3</v>
      </c>
      <c r="P165" s="17">
        <v>44003</v>
      </c>
      <c r="Q165" s="14"/>
      <c r="R165" s="17"/>
      <c r="S165" s="17"/>
      <c r="T165" s="14" t="s">
        <v>6450</v>
      </c>
      <c r="U165" s="14" t="s">
        <v>6451</v>
      </c>
      <c r="V165" s="14" t="s">
        <v>7045</v>
      </c>
      <c r="W165" s="14"/>
      <c r="X165" s="14" t="s">
        <v>7046</v>
      </c>
      <c r="Y165" s="14"/>
      <c r="Z165" s="14" t="s">
        <v>7047</v>
      </c>
      <c r="AA165" s="14"/>
      <c r="AB165" s="14" t="s">
        <v>3994</v>
      </c>
      <c r="AC165" s="14" t="s">
        <v>7048</v>
      </c>
      <c r="AD165" s="14" t="s">
        <v>7049</v>
      </c>
      <c r="AE165" s="14" t="s">
        <v>7050</v>
      </c>
      <c r="AF165" s="14" t="s">
        <v>7051</v>
      </c>
      <c r="AG165" s="14" t="s">
        <v>7052</v>
      </c>
      <c r="AH165" s="18"/>
      <c r="AI165" s="16">
        <v>30400</v>
      </c>
      <c r="AJ165" s="17">
        <v>43100</v>
      </c>
      <c r="AK165" s="15" t="s">
        <v>3117</v>
      </c>
      <c r="AL165" s="17">
        <v>42712</v>
      </c>
      <c r="AM165" s="16">
        <v>126</v>
      </c>
      <c r="AN165" s="14" t="s">
        <v>7053</v>
      </c>
      <c r="AO165" s="14"/>
      <c r="AP165" s="15" t="s">
        <v>3123</v>
      </c>
      <c r="AQ165" s="14"/>
      <c r="AR165" s="17"/>
      <c r="AS165" s="16"/>
      <c r="AT165" s="14"/>
      <c r="AU165" s="15" t="s">
        <v>3123</v>
      </c>
      <c r="AV165" s="14"/>
      <c r="AW165" s="17"/>
      <c r="AX165" s="16"/>
      <c r="AY165" s="16"/>
      <c r="AZ165" s="16"/>
      <c r="BA165" s="16"/>
      <c r="BB165" s="15" t="s">
        <v>3123</v>
      </c>
      <c r="BC165" s="17"/>
      <c r="BD165" s="14"/>
      <c r="BE165" s="14"/>
      <c r="BF165" s="16"/>
      <c r="BG165" s="16"/>
      <c r="BH165" s="13"/>
      <c r="BI165" s="18" t="s">
        <v>7054</v>
      </c>
      <c r="BJ165" s="13">
        <v>200</v>
      </c>
      <c r="BK165" s="17">
        <v>44131</v>
      </c>
      <c r="BL165" s="18" t="s">
        <v>7055</v>
      </c>
      <c r="BM165" s="18" t="s">
        <v>7056</v>
      </c>
      <c r="BN165" s="18" t="s">
        <v>7057</v>
      </c>
      <c r="BO165" s="18"/>
      <c r="BP165" s="14" t="s">
        <v>7058</v>
      </c>
      <c r="BQ165" s="17">
        <v>43259</v>
      </c>
      <c r="BR165" s="16">
        <v>-35700</v>
      </c>
      <c r="BS165" s="17">
        <v>47118</v>
      </c>
      <c r="BT165" s="16">
        <v>-35200</v>
      </c>
      <c r="BU165" s="17">
        <v>47118</v>
      </c>
      <c r="BV165" s="16"/>
      <c r="BW165" s="17"/>
      <c r="BX165" s="16">
        <v>14</v>
      </c>
      <c r="BY165" s="17">
        <v>43830</v>
      </c>
      <c r="BZ165" s="19">
        <v>44.583040741661542</v>
      </c>
      <c r="CA165" s="19"/>
      <c r="CB165" s="17"/>
      <c r="CC165" s="14" t="s">
        <v>7059</v>
      </c>
      <c r="CD165" s="14" t="s">
        <v>7060</v>
      </c>
      <c r="CE165" s="14" t="s">
        <v>5004</v>
      </c>
    </row>
    <row r="166" spans="1:83" ht="26.15" customHeight="1">
      <c r="A166" s="13">
        <v>160</v>
      </c>
      <c r="B166" s="14" t="s">
        <v>146</v>
      </c>
      <c r="C166" s="14" t="s">
        <v>147</v>
      </c>
      <c r="D166" s="14" t="s">
        <v>151</v>
      </c>
      <c r="E166" s="13">
        <v>2015</v>
      </c>
      <c r="F166" s="14" t="s">
        <v>7061</v>
      </c>
      <c r="G166" s="14" t="s">
        <v>5296</v>
      </c>
      <c r="H166" s="14" t="s">
        <v>3994</v>
      </c>
      <c r="I166" s="15" t="s">
        <v>3117</v>
      </c>
      <c r="J166" s="16">
        <v>883280</v>
      </c>
      <c r="K166" s="17">
        <v>44090</v>
      </c>
      <c r="L166" s="16" t="s">
        <v>7062</v>
      </c>
      <c r="M166" s="16">
        <v>475612</v>
      </c>
      <c r="N166" s="14" t="s">
        <v>34</v>
      </c>
      <c r="O166" s="13">
        <v>4</v>
      </c>
      <c r="P166" s="17">
        <v>44096</v>
      </c>
      <c r="Q166" s="14"/>
      <c r="R166" s="17"/>
      <c r="S166" s="17"/>
      <c r="T166" s="14" t="s">
        <v>4995</v>
      </c>
      <c r="U166" s="14" t="s">
        <v>5578</v>
      </c>
      <c r="V166" s="14" t="s">
        <v>6813</v>
      </c>
      <c r="W166" s="14"/>
      <c r="X166" s="14" t="s">
        <v>7063</v>
      </c>
      <c r="Y166" s="14" t="s">
        <v>7064</v>
      </c>
      <c r="Z166" s="14" t="s">
        <v>7065</v>
      </c>
      <c r="AA166" s="14"/>
      <c r="AB166" s="14" t="s">
        <v>3994</v>
      </c>
      <c r="AC166" s="14" t="s">
        <v>7066</v>
      </c>
      <c r="AD166" s="14" t="s">
        <v>7067</v>
      </c>
      <c r="AE166" s="14" t="s">
        <v>7068</v>
      </c>
      <c r="AF166" s="14" t="s">
        <v>7069</v>
      </c>
      <c r="AG166" s="14" t="s">
        <v>7070</v>
      </c>
      <c r="AH166" s="18"/>
      <c r="AI166" s="16">
        <v>169600</v>
      </c>
      <c r="AJ166" s="17">
        <v>43465</v>
      </c>
      <c r="AK166" s="15" t="s">
        <v>3117</v>
      </c>
      <c r="AL166" s="17">
        <v>42502</v>
      </c>
      <c r="AM166" s="16">
        <v>1497</v>
      </c>
      <c r="AN166" s="14" t="s">
        <v>7071</v>
      </c>
      <c r="AO166" s="14"/>
      <c r="AP166" s="15" t="s">
        <v>3123</v>
      </c>
      <c r="AQ166" s="14"/>
      <c r="AR166" s="17"/>
      <c r="AS166" s="16"/>
      <c r="AT166" s="14"/>
      <c r="AU166" s="15" t="s">
        <v>3123</v>
      </c>
      <c r="AV166" s="14"/>
      <c r="AW166" s="17"/>
      <c r="AX166" s="16"/>
      <c r="AY166" s="16"/>
      <c r="AZ166" s="16"/>
      <c r="BA166" s="16"/>
      <c r="BB166" s="15" t="s">
        <v>3123</v>
      </c>
      <c r="BC166" s="17"/>
      <c r="BD166" s="14"/>
      <c r="BE166" s="14"/>
      <c r="BF166" s="16"/>
      <c r="BG166" s="16"/>
      <c r="BH166" s="13"/>
      <c r="BI166" s="18" t="s">
        <v>7072</v>
      </c>
      <c r="BJ166" s="13">
        <v>200</v>
      </c>
      <c r="BK166" s="17">
        <v>44126</v>
      </c>
      <c r="BL166" s="18" t="s">
        <v>7073</v>
      </c>
      <c r="BM166" s="18" t="s">
        <v>7074</v>
      </c>
      <c r="BN166" s="18" t="s">
        <v>7075</v>
      </c>
      <c r="BO166" s="18"/>
      <c r="BP166" s="14" t="s">
        <v>7076</v>
      </c>
      <c r="BQ166" s="17">
        <v>43398</v>
      </c>
      <c r="BR166" s="16">
        <v>-54200</v>
      </c>
      <c r="BS166" s="17">
        <v>43465</v>
      </c>
      <c r="BT166" s="16">
        <v>-49700</v>
      </c>
      <c r="BU166" s="17">
        <v>43465</v>
      </c>
      <c r="BV166" s="16">
        <v>1000000</v>
      </c>
      <c r="BW166" s="17">
        <v>43383</v>
      </c>
      <c r="BX166" s="16">
        <v>4</v>
      </c>
      <c r="BY166" s="17">
        <v>43830</v>
      </c>
      <c r="BZ166" s="19">
        <v>52.508733876960171</v>
      </c>
      <c r="CA166" s="19"/>
      <c r="CB166" s="17"/>
      <c r="CC166" s="14" t="s">
        <v>5293</v>
      </c>
      <c r="CD166" s="14" t="s">
        <v>7077</v>
      </c>
      <c r="CE166" s="14" t="s">
        <v>5004</v>
      </c>
    </row>
    <row r="167" spans="1:83" ht="26.15" customHeight="1">
      <c r="A167" s="13">
        <v>161</v>
      </c>
      <c r="B167" s="14" t="s">
        <v>1718</v>
      </c>
      <c r="C167" s="14" t="s">
        <v>1719</v>
      </c>
      <c r="D167" s="14" t="s">
        <v>1722</v>
      </c>
      <c r="E167" s="13">
        <v>2016</v>
      </c>
      <c r="F167" s="14" t="s">
        <v>7078</v>
      </c>
      <c r="G167" s="14" t="s">
        <v>5276</v>
      </c>
      <c r="H167" s="14" t="s">
        <v>5277</v>
      </c>
      <c r="I167" s="15" t="s">
        <v>3117</v>
      </c>
      <c r="J167" s="16"/>
      <c r="K167" s="17">
        <v>43210</v>
      </c>
      <c r="L167" s="16"/>
      <c r="M167" s="16" t="s">
        <v>50</v>
      </c>
      <c r="N167" s="14" t="s">
        <v>34</v>
      </c>
      <c r="O167" s="13">
        <v>2</v>
      </c>
      <c r="P167" s="17">
        <v>44002</v>
      </c>
      <c r="Q167" s="14"/>
      <c r="R167" s="17"/>
      <c r="S167" s="17"/>
      <c r="T167" s="14" t="s">
        <v>1</v>
      </c>
      <c r="U167" s="14" t="s">
        <v>5007</v>
      </c>
      <c r="V167" s="14" t="s">
        <v>5963</v>
      </c>
      <c r="W167" s="14"/>
      <c r="X167" s="14" t="s">
        <v>7079</v>
      </c>
      <c r="Y167" s="14"/>
      <c r="Z167" s="14" t="s">
        <v>7080</v>
      </c>
      <c r="AA167" s="14"/>
      <c r="AB167" s="14" t="s">
        <v>5277</v>
      </c>
      <c r="AC167" s="14"/>
      <c r="AD167" s="14" t="s">
        <v>7081</v>
      </c>
      <c r="AE167" s="14" t="s">
        <v>7082</v>
      </c>
      <c r="AF167" s="14"/>
      <c r="AG167" s="14"/>
      <c r="AH167" s="18"/>
      <c r="AI167" s="16"/>
      <c r="AJ167" s="17"/>
      <c r="AK167" s="15" t="s">
        <v>3123</v>
      </c>
      <c r="AL167" s="17"/>
      <c r="AM167" s="16"/>
      <c r="AN167" s="14"/>
      <c r="AO167" s="14"/>
      <c r="AP167" s="15" t="s">
        <v>3123</v>
      </c>
      <c r="AQ167" s="14"/>
      <c r="AR167" s="17"/>
      <c r="AS167" s="16"/>
      <c r="AT167" s="14"/>
      <c r="AU167" s="15" t="s">
        <v>3123</v>
      </c>
      <c r="AV167" s="14"/>
      <c r="AW167" s="17"/>
      <c r="AX167" s="16"/>
      <c r="AY167" s="16"/>
      <c r="AZ167" s="16"/>
      <c r="BA167" s="16"/>
      <c r="BB167" s="15" t="s">
        <v>3123</v>
      </c>
      <c r="BC167" s="17"/>
      <c r="BD167" s="14"/>
      <c r="BE167" s="14"/>
      <c r="BF167" s="16"/>
      <c r="BG167" s="16"/>
      <c r="BH167" s="13"/>
      <c r="BI167" s="18" t="s">
        <v>7083</v>
      </c>
      <c r="BJ167" s="13">
        <v>200</v>
      </c>
      <c r="BK167" s="17">
        <v>44125</v>
      </c>
      <c r="BL167" s="18"/>
      <c r="BM167" s="18"/>
      <c r="BN167" s="18"/>
      <c r="BO167" s="18"/>
      <c r="BP167" s="14" t="s">
        <v>7084</v>
      </c>
      <c r="BQ167" s="17">
        <v>42929</v>
      </c>
      <c r="BR167" s="16"/>
      <c r="BS167" s="17"/>
      <c r="BT167" s="16"/>
      <c r="BU167" s="17"/>
      <c r="BV167" s="16"/>
      <c r="BW167" s="17"/>
      <c r="BX167" s="16"/>
      <c r="BY167" s="17"/>
      <c r="BZ167" s="19">
        <v>34.906001479301182</v>
      </c>
      <c r="CA167" s="19"/>
      <c r="CB167" s="17"/>
      <c r="CC167" s="14" t="s">
        <v>5104</v>
      </c>
      <c r="CD167" s="14" t="s">
        <v>5962</v>
      </c>
      <c r="CE167" s="14" t="s">
        <v>5945</v>
      </c>
    </row>
    <row r="168" spans="1:83" ht="26.15" customHeight="1">
      <c r="A168" s="13">
        <v>162</v>
      </c>
      <c r="B168" s="14" t="s">
        <v>452</v>
      </c>
      <c r="C168" s="14" t="s">
        <v>453</v>
      </c>
      <c r="D168" s="14" t="s">
        <v>456</v>
      </c>
      <c r="E168" s="13">
        <v>2016</v>
      </c>
      <c r="F168" s="14" t="s">
        <v>7085</v>
      </c>
      <c r="G168" s="14" t="s">
        <v>7085</v>
      </c>
      <c r="H168" s="14" t="s">
        <v>7086</v>
      </c>
      <c r="I168" s="15" t="s">
        <v>3117</v>
      </c>
      <c r="J168" s="16">
        <v>28150000</v>
      </c>
      <c r="K168" s="17">
        <v>43927</v>
      </c>
      <c r="L168" s="16" t="s">
        <v>7087</v>
      </c>
      <c r="M168" s="16">
        <v>20600000</v>
      </c>
      <c r="N168" s="14" t="s">
        <v>109</v>
      </c>
      <c r="O168" s="13">
        <v>4</v>
      </c>
      <c r="P168" s="17">
        <v>44055</v>
      </c>
      <c r="Q168" s="14" t="s">
        <v>5052</v>
      </c>
      <c r="R168" s="17">
        <v>44027</v>
      </c>
      <c r="S168" s="17">
        <v>43055</v>
      </c>
      <c r="T168" s="14" t="s">
        <v>1</v>
      </c>
      <c r="U168" s="14" t="s">
        <v>5007</v>
      </c>
      <c r="V168" s="14" t="s">
        <v>5238</v>
      </c>
      <c r="W168" s="14"/>
      <c r="X168" s="14" t="s">
        <v>7088</v>
      </c>
      <c r="Y168" s="14" t="s">
        <v>1912</v>
      </c>
      <c r="Z168" s="14" t="s">
        <v>7089</v>
      </c>
      <c r="AA168" s="14"/>
      <c r="AB168" s="14" t="s">
        <v>7086</v>
      </c>
      <c r="AC168" s="14"/>
      <c r="AD168" s="14"/>
      <c r="AE168" s="14" t="s">
        <v>7090</v>
      </c>
      <c r="AF168" s="14" t="s">
        <v>7091</v>
      </c>
      <c r="AG168" s="14" t="s">
        <v>7092</v>
      </c>
      <c r="AH168" s="18"/>
      <c r="AI168" s="16"/>
      <c r="AJ168" s="17"/>
      <c r="AK168" s="15" t="s">
        <v>3123</v>
      </c>
      <c r="AL168" s="17"/>
      <c r="AM168" s="16"/>
      <c r="AN168" s="14"/>
      <c r="AO168" s="14"/>
      <c r="AP168" s="15" t="s">
        <v>3123</v>
      </c>
      <c r="AQ168" s="14"/>
      <c r="AR168" s="17"/>
      <c r="AS168" s="16"/>
      <c r="AT168" s="14"/>
      <c r="AU168" s="15" t="s">
        <v>3123</v>
      </c>
      <c r="AV168" s="14"/>
      <c r="AW168" s="17"/>
      <c r="AX168" s="16"/>
      <c r="AY168" s="16"/>
      <c r="AZ168" s="16"/>
      <c r="BA168" s="16"/>
      <c r="BB168" s="15" t="s">
        <v>3123</v>
      </c>
      <c r="BC168" s="17"/>
      <c r="BD168" s="14"/>
      <c r="BE168" s="14"/>
      <c r="BF168" s="16"/>
      <c r="BG168" s="16"/>
      <c r="BH168" s="13"/>
      <c r="BI168" s="18" t="s">
        <v>7093</v>
      </c>
      <c r="BJ168" s="13">
        <v>200</v>
      </c>
      <c r="BK168" s="17">
        <v>44125</v>
      </c>
      <c r="BL168" s="18" t="s">
        <v>7094</v>
      </c>
      <c r="BM168" s="18" t="s">
        <v>7095</v>
      </c>
      <c r="BN168" s="18"/>
      <c r="BO168" s="18"/>
      <c r="BP168" s="14" t="s">
        <v>7096</v>
      </c>
      <c r="BQ168" s="17">
        <v>43033</v>
      </c>
      <c r="BR168" s="16"/>
      <c r="BS168" s="17"/>
      <c r="BT168" s="16"/>
      <c r="BU168" s="17"/>
      <c r="BV168" s="16"/>
      <c r="BW168" s="17"/>
      <c r="BX168" s="16"/>
      <c r="BY168" s="17"/>
      <c r="BZ168" s="19">
        <v>50.731528812474473</v>
      </c>
      <c r="CA168" s="19"/>
      <c r="CB168" s="17"/>
      <c r="CC168" s="14" t="s">
        <v>6487</v>
      </c>
      <c r="CD168" s="14" t="s">
        <v>5083</v>
      </c>
      <c r="CE168" s="14" t="s">
        <v>5004</v>
      </c>
    </row>
    <row r="169" spans="1:83" ht="26.15" customHeight="1">
      <c r="A169" s="13">
        <v>163</v>
      </c>
      <c r="B169" s="14" t="s">
        <v>1424</v>
      </c>
      <c r="C169" s="14" t="s">
        <v>1425</v>
      </c>
      <c r="D169" s="14" t="s">
        <v>1428</v>
      </c>
      <c r="E169" s="13">
        <v>2004</v>
      </c>
      <c r="F169" s="14" t="s">
        <v>7097</v>
      </c>
      <c r="G169" s="14" t="s">
        <v>4994</v>
      </c>
      <c r="H169" s="14" t="s">
        <v>2057</v>
      </c>
      <c r="I169" s="15" t="s">
        <v>3117</v>
      </c>
      <c r="J169" s="16">
        <v>7270620</v>
      </c>
      <c r="K169" s="17">
        <v>43370</v>
      </c>
      <c r="L169" s="16" t="s">
        <v>5051</v>
      </c>
      <c r="M169" s="16">
        <v>7270620</v>
      </c>
      <c r="N169" s="14" t="s">
        <v>25</v>
      </c>
      <c r="O169" s="13">
        <v>2</v>
      </c>
      <c r="P169" s="17">
        <v>44081</v>
      </c>
      <c r="Q169" s="14"/>
      <c r="R169" s="17"/>
      <c r="S169" s="17"/>
      <c r="T169" s="14" t="s">
        <v>1</v>
      </c>
      <c r="U169" s="14" t="s">
        <v>5007</v>
      </c>
      <c r="V169" s="14" t="s">
        <v>6408</v>
      </c>
      <c r="W169" s="14"/>
      <c r="X169" s="14" t="s">
        <v>3971</v>
      </c>
      <c r="Y169" s="14"/>
      <c r="Z169" s="14" t="s">
        <v>7098</v>
      </c>
      <c r="AA169" s="14"/>
      <c r="AB169" s="14" t="s">
        <v>2057</v>
      </c>
      <c r="AC169" s="14" t="s">
        <v>7099</v>
      </c>
      <c r="AD169" s="14" t="s">
        <v>7100</v>
      </c>
      <c r="AE169" s="14"/>
      <c r="AF169" s="14"/>
      <c r="AG169" s="14"/>
      <c r="AH169" s="18"/>
      <c r="AI169" s="16"/>
      <c r="AJ169" s="17"/>
      <c r="AK169" s="15" t="s">
        <v>3123</v>
      </c>
      <c r="AL169" s="17"/>
      <c r="AM169" s="16"/>
      <c r="AN169" s="14"/>
      <c r="AO169" s="14"/>
      <c r="AP169" s="15" t="s">
        <v>3123</v>
      </c>
      <c r="AQ169" s="14"/>
      <c r="AR169" s="17"/>
      <c r="AS169" s="16"/>
      <c r="AT169" s="14"/>
      <c r="AU169" s="15" t="s">
        <v>3123</v>
      </c>
      <c r="AV169" s="14"/>
      <c r="AW169" s="17"/>
      <c r="AX169" s="16"/>
      <c r="AY169" s="16"/>
      <c r="AZ169" s="16"/>
      <c r="BA169" s="16"/>
      <c r="BB169" s="15" t="s">
        <v>3123</v>
      </c>
      <c r="BC169" s="17"/>
      <c r="BD169" s="14"/>
      <c r="BE169" s="14"/>
      <c r="BF169" s="16"/>
      <c r="BG169" s="16"/>
      <c r="BH169" s="13"/>
      <c r="BI169" s="18" t="s">
        <v>7101</v>
      </c>
      <c r="BJ169" s="13">
        <v>200</v>
      </c>
      <c r="BK169" s="17">
        <v>44125</v>
      </c>
      <c r="BL169" s="18"/>
      <c r="BM169" s="18"/>
      <c r="BN169" s="18"/>
      <c r="BO169" s="18"/>
      <c r="BP169" s="14" t="s">
        <v>7102</v>
      </c>
      <c r="BQ169" s="17">
        <v>43376</v>
      </c>
      <c r="BR169" s="16"/>
      <c r="BS169" s="17"/>
      <c r="BT169" s="16"/>
      <c r="BU169" s="17"/>
      <c r="BV169" s="16"/>
      <c r="BW169" s="17"/>
      <c r="BX169" s="16"/>
      <c r="BY169" s="17"/>
      <c r="BZ169" s="19">
        <v>21.9411098197107</v>
      </c>
      <c r="CA169" s="19"/>
      <c r="CB169" s="17"/>
      <c r="CC169" s="14" t="s">
        <v>5104</v>
      </c>
      <c r="CD169" s="14" t="s">
        <v>5310</v>
      </c>
      <c r="CE169" s="14" t="s">
        <v>5521</v>
      </c>
    </row>
    <row r="170" spans="1:83" ht="26.15" customHeight="1">
      <c r="A170" s="13">
        <v>164</v>
      </c>
      <c r="B170" s="14" t="s">
        <v>523</v>
      </c>
      <c r="C170" s="14" t="s">
        <v>524</v>
      </c>
      <c r="D170" s="14" t="s">
        <v>116</v>
      </c>
      <c r="E170" s="13">
        <v>2016</v>
      </c>
      <c r="F170" s="14" t="s">
        <v>5020</v>
      </c>
      <c r="G170" s="14" t="s">
        <v>5021</v>
      </c>
      <c r="H170" s="14" t="s">
        <v>3994</v>
      </c>
      <c r="I170" s="15" t="s">
        <v>3117</v>
      </c>
      <c r="J170" s="16">
        <v>452321</v>
      </c>
      <c r="K170" s="17">
        <v>43894</v>
      </c>
      <c r="L170" s="16" t="s">
        <v>7103</v>
      </c>
      <c r="M170" s="16">
        <v>450924</v>
      </c>
      <c r="N170" s="14" t="s">
        <v>34</v>
      </c>
      <c r="O170" s="13">
        <v>3</v>
      </c>
      <c r="P170" s="17">
        <v>44048</v>
      </c>
      <c r="Q170" s="14"/>
      <c r="R170" s="17"/>
      <c r="S170" s="17"/>
      <c r="T170" s="14" t="s">
        <v>1</v>
      </c>
      <c r="U170" s="14" t="s">
        <v>5007</v>
      </c>
      <c r="V170" s="14" t="s">
        <v>527</v>
      </c>
      <c r="W170" s="14"/>
      <c r="X170" s="14" t="s">
        <v>3461</v>
      </c>
      <c r="Y170" s="14" t="s">
        <v>7104</v>
      </c>
      <c r="Z170" s="14" t="s">
        <v>116</v>
      </c>
      <c r="AA170" s="14"/>
      <c r="AB170" s="14" t="s">
        <v>3994</v>
      </c>
      <c r="AC170" s="14" t="s">
        <v>7105</v>
      </c>
      <c r="AD170" s="14" t="s">
        <v>7106</v>
      </c>
      <c r="AE170" s="14" t="s">
        <v>7107</v>
      </c>
      <c r="AF170" s="14" t="s">
        <v>7108</v>
      </c>
      <c r="AG170" s="14" t="s">
        <v>7109</v>
      </c>
      <c r="AH170" s="18"/>
      <c r="AI170" s="16">
        <v>10128605</v>
      </c>
      <c r="AJ170" s="17">
        <v>43465</v>
      </c>
      <c r="AK170" s="15" t="s">
        <v>3123</v>
      </c>
      <c r="AL170" s="17"/>
      <c r="AM170" s="16"/>
      <c r="AN170" s="14"/>
      <c r="AO170" s="14"/>
      <c r="AP170" s="15" t="s">
        <v>3123</v>
      </c>
      <c r="AQ170" s="14"/>
      <c r="AR170" s="17"/>
      <c r="AS170" s="16"/>
      <c r="AT170" s="14"/>
      <c r="AU170" s="15" t="s">
        <v>3123</v>
      </c>
      <c r="AV170" s="14"/>
      <c r="AW170" s="17"/>
      <c r="AX170" s="16"/>
      <c r="AY170" s="16"/>
      <c r="AZ170" s="16"/>
      <c r="BA170" s="16"/>
      <c r="BB170" s="15" t="s">
        <v>3123</v>
      </c>
      <c r="BC170" s="17"/>
      <c r="BD170" s="14"/>
      <c r="BE170" s="14"/>
      <c r="BF170" s="16"/>
      <c r="BG170" s="16"/>
      <c r="BH170" s="13"/>
      <c r="BI170" s="18" t="s">
        <v>7110</v>
      </c>
      <c r="BJ170" s="13">
        <v>200</v>
      </c>
      <c r="BK170" s="17">
        <v>44125</v>
      </c>
      <c r="BL170" s="18" t="s">
        <v>7111</v>
      </c>
      <c r="BM170" s="18" t="s">
        <v>5033</v>
      </c>
      <c r="BN170" s="18" t="s">
        <v>5034</v>
      </c>
      <c r="BO170" s="18"/>
      <c r="BP170" s="14" t="s">
        <v>7112</v>
      </c>
      <c r="BQ170" s="17">
        <v>44043</v>
      </c>
      <c r="BR170" s="16">
        <v>61061</v>
      </c>
      <c r="BS170" s="17">
        <v>43465</v>
      </c>
      <c r="BT170" s="16">
        <v>96085</v>
      </c>
      <c r="BU170" s="17">
        <v>43465</v>
      </c>
      <c r="BV170" s="16">
        <v>8000000</v>
      </c>
      <c r="BW170" s="17">
        <v>43894</v>
      </c>
      <c r="BX170" s="16"/>
      <c r="BY170" s="17"/>
      <c r="BZ170" s="19">
        <v>33.868844598054913</v>
      </c>
      <c r="CA170" s="19"/>
      <c r="CB170" s="17"/>
      <c r="CC170" s="14"/>
      <c r="CD170" s="14"/>
      <c r="CE170" s="14" t="s">
        <v>7113</v>
      </c>
    </row>
    <row r="171" spans="1:83" ht="26.15" customHeight="1">
      <c r="A171" s="13">
        <v>165</v>
      </c>
      <c r="B171" s="14" t="s">
        <v>404</v>
      </c>
      <c r="C171" s="14" t="s">
        <v>405</v>
      </c>
      <c r="D171" s="14" t="s">
        <v>408</v>
      </c>
      <c r="E171" s="13">
        <v>2016</v>
      </c>
      <c r="F171" s="14" t="s">
        <v>5038</v>
      </c>
      <c r="G171" s="14" t="s">
        <v>5039</v>
      </c>
      <c r="H171" s="14" t="s">
        <v>3994</v>
      </c>
      <c r="I171" s="15" t="s">
        <v>3117</v>
      </c>
      <c r="J171" s="16">
        <v>8750809</v>
      </c>
      <c r="K171" s="17">
        <v>43964</v>
      </c>
      <c r="L171" s="16" t="s">
        <v>6481</v>
      </c>
      <c r="M171" s="16">
        <v>5900000</v>
      </c>
      <c r="N171" s="14" t="s">
        <v>109</v>
      </c>
      <c r="O171" s="13">
        <v>4</v>
      </c>
      <c r="P171" s="17">
        <v>44098</v>
      </c>
      <c r="Q171" s="14" t="s">
        <v>5052</v>
      </c>
      <c r="R171" s="17">
        <v>43977</v>
      </c>
      <c r="S171" s="17">
        <v>43964</v>
      </c>
      <c r="T171" s="14" t="s">
        <v>7114</v>
      </c>
      <c r="U171" s="14" t="s">
        <v>7115</v>
      </c>
      <c r="V171" s="14" t="s">
        <v>7116</v>
      </c>
      <c r="W171" s="14"/>
      <c r="X171" s="14" t="s">
        <v>7117</v>
      </c>
      <c r="Y171" s="14" t="s">
        <v>7118</v>
      </c>
      <c r="Z171" s="14" t="s">
        <v>7119</v>
      </c>
      <c r="AA171" s="14"/>
      <c r="AB171" s="14" t="s">
        <v>3994</v>
      </c>
      <c r="AC171" s="14" t="s">
        <v>7120</v>
      </c>
      <c r="AD171" s="14"/>
      <c r="AE171" s="14" t="s">
        <v>7121</v>
      </c>
      <c r="AF171" s="14" t="s">
        <v>7122</v>
      </c>
      <c r="AG171" s="14" t="s">
        <v>7123</v>
      </c>
      <c r="AH171" s="18"/>
      <c r="AI171" s="16">
        <v>157400</v>
      </c>
      <c r="AJ171" s="17">
        <v>43465</v>
      </c>
      <c r="AK171" s="15" t="s">
        <v>3117</v>
      </c>
      <c r="AL171" s="17">
        <v>42524</v>
      </c>
      <c r="AM171" s="16">
        <v>1483</v>
      </c>
      <c r="AN171" s="14" t="s">
        <v>7124</v>
      </c>
      <c r="AO171" s="14"/>
      <c r="AP171" s="15" t="s">
        <v>3123</v>
      </c>
      <c r="AQ171" s="14"/>
      <c r="AR171" s="17"/>
      <c r="AS171" s="16"/>
      <c r="AT171" s="14"/>
      <c r="AU171" s="15" t="s">
        <v>3123</v>
      </c>
      <c r="AV171" s="14"/>
      <c r="AW171" s="17"/>
      <c r="AX171" s="16"/>
      <c r="AY171" s="16"/>
      <c r="AZ171" s="16"/>
      <c r="BA171" s="16"/>
      <c r="BB171" s="15" t="s">
        <v>3123</v>
      </c>
      <c r="BC171" s="17"/>
      <c r="BD171" s="14"/>
      <c r="BE171" s="14"/>
      <c r="BF171" s="16"/>
      <c r="BG171" s="16"/>
      <c r="BH171" s="13"/>
      <c r="BI171" s="18" t="s">
        <v>7125</v>
      </c>
      <c r="BJ171" s="13">
        <v>200</v>
      </c>
      <c r="BK171" s="17">
        <v>44125</v>
      </c>
      <c r="BL171" s="18" t="s">
        <v>7126</v>
      </c>
      <c r="BM171" s="18" t="s">
        <v>7127</v>
      </c>
      <c r="BN171" s="18" t="s">
        <v>7128</v>
      </c>
      <c r="BO171" s="18"/>
      <c r="BP171" s="14" t="s">
        <v>7129</v>
      </c>
      <c r="BQ171" s="17">
        <v>43066</v>
      </c>
      <c r="BR171" s="16">
        <v>-268000</v>
      </c>
      <c r="BS171" s="17">
        <v>43465</v>
      </c>
      <c r="BT171" s="16">
        <v>-358400</v>
      </c>
      <c r="BU171" s="17">
        <v>43465</v>
      </c>
      <c r="BV171" s="16">
        <v>20000000</v>
      </c>
      <c r="BW171" s="17">
        <v>43957</v>
      </c>
      <c r="BX171" s="16">
        <v>139</v>
      </c>
      <c r="BY171" s="17">
        <v>44012</v>
      </c>
      <c r="BZ171" s="19">
        <v>59.918933372163892</v>
      </c>
      <c r="CA171" s="19"/>
      <c r="CB171" s="17"/>
      <c r="CC171" s="14" t="s">
        <v>6241</v>
      </c>
      <c r="CD171" s="14" t="s">
        <v>7130</v>
      </c>
      <c r="CE171" s="14" t="s">
        <v>5004</v>
      </c>
    </row>
    <row r="172" spans="1:83" ht="26.15" customHeight="1">
      <c r="A172" s="13">
        <v>166</v>
      </c>
      <c r="B172" s="14" t="s">
        <v>1773</v>
      </c>
      <c r="C172" s="14" t="s">
        <v>1774</v>
      </c>
      <c r="D172" s="14" t="s">
        <v>1776</v>
      </c>
      <c r="E172" s="13">
        <v>2016</v>
      </c>
      <c r="F172" s="14" t="s">
        <v>7131</v>
      </c>
      <c r="G172" s="14" t="s">
        <v>7132</v>
      </c>
      <c r="H172" s="14" t="s">
        <v>7133</v>
      </c>
      <c r="I172" s="15" t="s">
        <v>3117</v>
      </c>
      <c r="J172" s="16"/>
      <c r="K172" s="17">
        <v>43178</v>
      </c>
      <c r="L172" s="16" t="s">
        <v>5022</v>
      </c>
      <c r="M172" s="16">
        <v>2300000</v>
      </c>
      <c r="N172" s="14" t="s">
        <v>5040</v>
      </c>
      <c r="O172" s="13"/>
      <c r="P172" s="17"/>
      <c r="Q172" s="14"/>
      <c r="R172" s="17"/>
      <c r="S172" s="17"/>
      <c r="T172" s="14" t="s">
        <v>1</v>
      </c>
      <c r="U172" s="14" t="s">
        <v>5007</v>
      </c>
      <c r="V172" s="14" t="s">
        <v>968</v>
      </c>
      <c r="W172" s="14"/>
      <c r="X172" s="14" t="s">
        <v>7134</v>
      </c>
      <c r="Y172" s="14"/>
      <c r="Z172" s="14" t="s">
        <v>7135</v>
      </c>
      <c r="AA172" s="14"/>
      <c r="AB172" s="14" t="s">
        <v>7133</v>
      </c>
      <c r="AC172" s="14" t="s">
        <v>7136</v>
      </c>
      <c r="AD172" s="14" t="s">
        <v>7137</v>
      </c>
      <c r="AE172" s="14" t="s">
        <v>7138</v>
      </c>
      <c r="AF172" s="14" t="s">
        <v>7139</v>
      </c>
      <c r="AG172" s="14" t="s">
        <v>7140</v>
      </c>
      <c r="AH172" s="18"/>
      <c r="AI172" s="16"/>
      <c r="AJ172" s="17"/>
      <c r="AK172" s="15" t="s">
        <v>3123</v>
      </c>
      <c r="AL172" s="17"/>
      <c r="AM172" s="16"/>
      <c r="AN172" s="14"/>
      <c r="AO172" s="14"/>
      <c r="AP172" s="15" t="s">
        <v>3123</v>
      </c>
      <c r="AQ172" s="14"/>
      <c r="AR172" s="17"/>
      <c r="AS172" s="16"/>
      <c r="AT172" s="14"/>
      <c r="AU172" s="15" t="s">
        <v>3123</v>
      </c>
      <c r="AV172" s="14"/>
      <c r="AW172" s="17"/>
      <c r="AX172" s="16"/>
      <c r="AY172" s="16"/>
      <c r="AZ172" s="16"/>
      <c r="BA172" s="16"/>
      <c r="BB172" s="15" t="s">
        <v>3123</v>
      </c>
      <c r="BC172" s="17"/>
      <c r="BD172" s="14"/>
      <c r="BE172" s="14"/>
      <c r="BF172" s="16"/>
      <c r="BG172" s="16"/>
      <c r="BH172" s="13"/>
      <c r="BI172" s="18" t="s">
        <v>7141</v>
      </c>
      <c r="BJ172" s="13">
        <v>200</v>
      </c>
      <c r="BK172" s="17">
        <v>44125</v>
      </c>
      <c r="BL172" s="18" t="s">
        <v>7142</v>
      </c>
      <c r="BM172" s="18" t="s">
        <v>7143</v>
      </c>
      <c r="BN172" s="18" t="s">
        <v>7144</v>
      </c>
      <c r="BO172" s="18"/>
      <c r="BP172" s="14" t="s">
        <v>7145</v>
      </c>
      <c r="BQ172" s="17">
        <v>44021</v>
      </c>
      <c r="BR172" s="16"/>
      <c r="BS172" s="17"/>
      <c r="BT172" s="16"/>
      <c r="BU172" s="17"/>
      <c r="BV172" s="16"/>
      <c r="BW172" s="17"/>
      <c r="BX172" s="16"/>
      <c r="BY172" s="17"/>
      <c r="BZ172" s="19">
        <v>31.998911031968987</v>
      </c>
      <c r="CA172" s="19"/>
      <c r="CB172" s="17"/>
      <c r="CC172" s="14" t="s">
        <v>7146</v>
      </c>
      <c r="CD172" s="14" t="s">
        <v>6050</v>
      </c>
      <c r="CE172" s="14" t="s">
        <v>5004</v>
      </c>
    </row>
    <row r="173" spans="1:83" ht="26.15" customHeight="1">
      <c r="A173" s="13">
        <v>167</v>
      </c>
      <c r="B173" s="14" t="s">
        <v>1082</v>
      </c>
      <c r="C173" s="14" t="s">
        <v>1083</v>
      </c>
      <c r="D173" s="14" t="s">
        <v>1087</v>
      </c>
      <c r="E173" s="13">
        <v>2016</v>
      </c>
      <c r="F173" s="14" t="s">
        <v>7147</v>
      </c>
      <c r="G173" s="14" t="s">
        <v>7147</v>
      </c>
      <c r="H173" s="14" t="s">
        <v>7148</v>
      </c>
      <c r="I173" s="15" t="s">
        <v>3117</v>
      </c>
      <c r="J173" s="16">
        <v>120000</v>
      </c>
      <c r="K173" s="17">
        <v>43572</v>
      </c>
      <c r="L173" s="16" t="s">
        <v>7149</v>
      </c>
      <c r="M173" s="16">
        <v>120000</v>
      </c>
      <c r="N173" s="14" t="s">
        <v>34</v>
      </c>
      <c r="O173" s="13">
        <v>3</v>
      </c>
      <c r="P173" s="17">
        <v>44071</v>
      </c>
      <c r="Q173" s="14"/>
      <c r="R173" s="17"/>
      <c r="S173" s="17"/>
      <c r="T173" s="14" t="s">
        <v>7150</v>
      </c>
      <c r="U173" s="14" t="s">
        <v>7151</v>
      </c>
      <c r="V173" s="14" t="s">
        <v>7152</v>
      </c>
      <c r="W173" s="14"/>
      <c r="X173" s="14" t="s">
        <v>7153</v>
      </c>
      <c r="Y173" s="14"/>
      <c r="Z173" s="14" t="s">
        <v>7154</v>
      </c>
      <c r="AA173" s="14"/>
      <c r="AB173" s="14" t="s">
        <v>7148</v>
      </c>
      <c r="AC173" s="14" t="s">
        <v>7155</v>
      </c>
      <c r="AD173" s="14"/>
      <c r="AE173" s="14" t="s">
        <v>7156</v>
      </c>
      <c r="AF173" s="14" t="s">
        <v>7157</v>
      </c>
      <c r="AG173" s="14" t="s">
        <v>7158</v>
      </c>
      <c r="AH173" s="18"/>
      <c r="AI173" s="16"/>
      <c r="AJ173" s="17"/>
      <c r="AK173" s="15" t="s">
        <v>3123</v>
      </c>
      <c r="AL173" s="17"/>
      <c r="AM173" s="16"/>
      <c r="AN173" s="14"/>
      <c r="AO173" s="14"/>
      <c r="AP173" s="15" t="s">
        <v>3123</v>
      </c>
      <c r="AQ173" s="14"/>
      <c r="AR173" s="17"/>
      <c r="AS173" s="16"/>
      <c r="AT173" s="14"/>
      <c r="AU173" s="15" t="s">
        <v>3123</v>
      </c>
      <c r="AV173" s="14"/>
      <c r="AW173" s="17"/>
      <c r="AX173" s="16"/>
      <c r="AY173" s="16"/>
      <c r="AZ173" s="16"/>
      <c r="BA173" s="16"/>
      <c r="BB173" s="15" t="s">
        <v>3123</v>
      </c>
      <c r="BC173" s="17"/>
      <c r="BD173" s="14"/>
      <c r="BE173" s="14"/>
      <c r="BF173" s="16"/>
      <c r="BG173" s="16"/>
      <c r="BH173" s="13"/>
      <c r="BI173" s="18" t="s">
        <v>7159</v>
      </c>
      <c r="BJ173" s="13">
        <v>200</v>
      </c>
      <c r="BK173" s="17">
        <v>44125</v>
      </c>
      <c r="BL173" s="18" t="s">
        <v>7160</v>
      </c>
      <c r="BM173" s="18"/>
      <c r="BN173" s="18"/>
      <c r="BO173" s="18"/>
      <c r="BP173" s="14" t="s">
        <v>7161</v>
      </c>
      <c r="BQ173" s="17">
        <v>42929</v>
      </c>
      <c r="BR173" s="16"/>
      <c r="BS173" s="17"/>
      <c r="BT173" s="16"/>
      <c r="BU173" s="17"/>
      <c r="BV173" s="16"/>
      <c r="BW173" s="17"/>
      <c r="BX173" s="16"/>
      <c r="BY173" s="17"/>
      <c r="BZ173" s="19">
        <v>30.506328633595775</v>
      </c>
      <c r="CA173" s="19"/>
      <c r="CB173" s="17"/>
      <c r="CC173" s="14" t="s">
        <v>6797</v>
      </c>
      <c r="CD173" s="14" t="s">
        <v>6437</v>
      </c>
      <c r="CE173" s="14" t="s">
        <v>5311</v>
      </c>
    </row>
    <row r="174" spans="1:83" ht="26.15" customHeight="1">
      <c r="A174" s="13">
        <v>168</v>
      </c>
      <c r="B174" s="14" t="s">
        <v>759</v>
      </c>
      <c r="C174" s="14" t="s">
        <v>760</v>
      </c>
      <c r="D174" s="14" t="s">
        <v>763</v>
      </c>
      <c r="E174" s="13">
        <v>2016</v>
      </c>
      <c r="F174" s="14" t="s">
        <v>7162</v>
      </c>
      <c r="G174" s="14" t="s">
        <v>7163</v>
      </c>
      <c r="H174" s="14" t="s">
        <v>5391</v>
      </c>
      <c r="I174" s="15" t="s">
        <v>3117</v>
      </c>
      <c r="J174" s="16"/>
      <c r="K174" s="17">
        <v>43747</v>
      </c>
      <c r="L174" s="16"/>
      <c r="M174" s="16" t="s">
        <v>50</v>
      </c>
      <c r="N174" s="14" t="s">
        <v>5040</v>
      </c>
      <c r="O174" s="13">
        <v>4</v>
      </c>
      <c r="P174" s="17">
        <v>44057</v>
      </c>
      <c r="Q174" s="14"/>
      <c r="R174" s="17"/>
      <c r="S174" s="17"/>
      <c r="T174" s="14" t="s">
        <v>7164</v>
      </c>
      <c r="U174" s="14" t="s">
        <v>7165</v>
      </c>
      <c r="V174" s="14" t="s">
        <v>7166</v>
      </c>
      <c r="W174" s="14"/>
      <c r="X174" s="14" t="s">
        <v>7167</v>
      </c>
      <c r="Y174" s="14"/>
      <c r="Z174" s="14" t="s">
        <v>7168</v>
      </c>
      <c r="AA174" s="14"/>
      <c r="AB174" s="14" t="s">
        <v>5391</v>
      </c>
      <c r="AC174" s="14"/>
      <c r="AD174" s="14" t="s">
        <v>7169</v>
      </c>
      <c r="AE174" s="14" t="s">
        <v>7170</v>
      </c>
      <c r="AF174" s="14" t="s">
        <v>7171</v>
      </c>
      <c r="AG174" s="14" t="s">
        <v>7172</v>
      </c>
      <c r="AH174" s="18"/>
      <c r="AI174" s="16"/>
      <c r="AJ174" s="17"/>
      <c r="AK174" s="15" t="s">
        <v>3123</v>
      </c>
      <c r="AL174" s="17"/>
      <c r="AM174" s="16"/>
      <c r="AN174" s="14"/>
      <c r="AO174" s="14"/>
      <c r="AP174" s="15" t="s">
        <v>3123</v>
      </c>
      <c r="AQ174" s="14"/>
      <c r="AR174" s="17"/>
      <c r="AS174" s="16"/>
      <c r="AT174" s="14"/>
      <c r="AU174" s="15" t="s">
        <v>3123</v>
      </c>
      <c r="AV174" s="14"/>
      <c r="AW174" s="17"/>
      <c r="AX174" s="16"/>
      <c r="AY174" s="16"/>
      <c r="AZ174" s="16"/>
      <c r="BA174" s="16"/>
      <c r="BB174" s="15" t="s">
        <v>3123</v>
      </c>
      <c r="BC174" s="17"/>
      <c r="BD174" s="14"/>
      <c r="BE174" s="14"/>
      <c r="BF174" s="16"/>
      <c r="BG174" s="16"/>
      <c r="BH174" s="13"/>
      <c r="BI174" s="18" t="s">
        <v>7173</v>
      </c>
      <c r="BJ174" s="13">
        <v>200</v>
      </c>
      <c r="BK174" s="17">
        <v>44125</v>
      </c>
      <c r="BL174" s="18" t="s">
        <v>7174</v>
      </c>
      <c r="BM174" s="18" t="s">
        <v>7175</v>
      </c>
      <c r="BN174" s="18" t="s">
        <v>7176</v>
      </c>
      <c r="BO174" s="18"/>
      <c r="BP174" s="14" t="s">
        <v>7177</v>
      </c>
      <c r="BQ174" s="17">
        <v>43983</v>
      </c>
      <c r="BR174" s="16"/>
      <c r="BS174" s="17"/>
      <c r="BT174" s="16"/>
      <c r="BU174" s="17"/>
      <c r="BV174" s="16"/>
      <c r="BW174" s="17"/>
      <c r="BX174" s="16"/>
      <c r="BY174" s="17"/>
      <c r="BZ174" s="19">
        <v>44.92462466216088</v>
      </c>
      <c r="CA174" s="19"/>
      <c r="CB174" s="17"/>
      <c r="CC174" s="14" t="s">
        <v>5309</v>
      </c>
      <c r="CD174" s="14" t="s">
        <v>6050</v>
      </c>
      <c r="CE174" s="14" t="s">
        <v>5004</v>
      </c>
    </row>
    <row r="175" spans="1:83" ht="26.15" customHeight="1">
      <c r="A175" s="13">
        <v>169</v>
      </c>
      <c r="B175" s="14" t="s">
        <v>553</v>
      </c>
      <c r="C175" s="14" t="s">
        <v>554</v>
      </c>
      <c r="D175" s="14" t="s">
        <v>556</v>
      </c>
      <c r="E175" s="13">
        <v>2017</v>
      </c>
      <c r="F175" s="14" t="s">
        <v>5132</v>
      </c>
      <c r="G175" s="14" t="s">
        <v>5133</v>
      </c>
      <c r="H175" s="14" t="s">
        <v>3994</v>
      </c>
      <c r="I175" s="15" t="s">
        <v>3117</v>
      </c>
      <c r="J175" s="16">
        <v>348442</v>
      </c>
      <c r="K175" s="17">
        <v>43864</v>
      </c>
      <c r="L175" s="16" t="s">
        <v>7178</v>
      </c>
      <c r="M175" s="16">
        <v>348442</v>
      </c>
      <c r="N175" s="14" t="s">
        <v>34</v>
      </c>
      <c r="O175" s="13">
        <v>4</v>
      </c>
      <c r="P175" s="17">
        <v>44008</v>
      </c>
      <c r="Q175" s="14"/>
      <c r="R175" s="17"/>
      <c r="S175" s="17"/>
      <c r="T175" s="14" t="s">
        <v>7179</v>
      </c>
      <c r="U175" s="14" t="s">
        <v>7180</v>
      </c>
      <c r="V175" s="14" t="s">
        <v>7181</v>
      </c>
      <c r="W175" s="14"/>
      <c r="X175" s="14" t="s">
        <v>7182</v>
      </c>
      <c r="Y175" s="14" t="s">
        <v>7183</v>
      </c>
      <c r="Z175" s="14" t="s">
        <v>7184</v>
      </c>
      <c r="AA175" s="14"/>
      <c r="AB175" s="14" t="s">
        <v>3994</v>
      </c>
      <c r="AC175" s="14"/>
      <c r="AD175" s="14"/>
      <c r="AE175" s="14" t="s">
        <v>7185</v>
      </c>
      <c r="AF175" s="14" t="s">
        <v>7186</v>
      </c>
      <c r="AG175" s="14" t="s">
        <v>7187</v>
      </c>
      <c r="AH175" s="18"/>
      <c r="AI175" s="16">
        <v>9774.9219730162386</v>
      </c>
      <c r="AJ175" s="17">
        <v>43100</v>
      </c>
      <c r="AK175" s="15" t="s">
        <v>3123</v>
      </c>
      <c r="AL175" s="17"/>
      <c r="AM175" s="16"/>
      <c r="AN175" s="14"/>
      <c r="AO175" s="14"/>
      <c r="AP175" s="15" t="s">
        <v>3123</v>
      </c>
      <c r="AQ175" s="14"/>
      <c r="AR175" s="17"/>
      <c r="AS175" s="16"/>
      <c r="AT175" s="14"/>
      <c r="AU175" s="15" t="s">
        <v>3123</v>
      </c>
      <c r="AV175" s="14"/>
      <c r="AW175" s="17"/>
      <c r="AX175" s="16"/>
      <c r="AY175" s="16"/>
      <c r="AZ175" s="16"/>
      <c r="BA175" s="16"/>
      <c r="BB175" s="15" t="s">
        <v>3123</v>
      </c>
      <c r="BC175" s="17"/>
      <c r="BD175" s="14"/>
      <c r="BE175" s="14"/>
      <c r="BF175" s="16"/>
      <c r="BG175" s="16"/>
      <c r="BH175" s="13"/>
      <c r="BI175" s="18" t="s">
        <v>7188</v>
      </c>
      <c r="BJ175" s="13">
        <v>200</v>
      </c>
      <c r="BK175" s="17">
        <v>44125</v>
      </c>
      <c r="BL175" s="18" t="s">
        <v>7189</v>
      </c>
      <c r="BM175" s="18" t="s">
        <v>7190</v>
      </c>
      <c r="BN175" s="18" t="s">
        <v>7191</v>
      </c>
      <c r="BO175" s="18"/>
      <c r="BP175" s="14" t="s">
        <v>7192</v>
      </c>
      <c r="BQ175" s="17">
        <v>43031</v>
      </c>
      <c r="BR175" s="16">
        <v>-10965.3020406408</v>
      </c>
      <c r="BS175" s="17">
        <v>43100</v>
      </c>
      <c r="BT175" s="16">
        <v>-9546.6369510023032</v>
      </c>
      <c r="BU175" s="17">
        <v>43100</v>
      </c>
      <c r="BV175" s="16">
        <v>4000000</v>
      </c>
      <c r="BW175" s="17">
        <v>43864</v>
      </c>
      <c r="BX175" s="16">
        <v>13</v>
      </c>
      <c r="BY175" s="17">
        <v>44012</v>
      </c>
      <c r="BZ175" s="19">
        <v>38.949173365944098</v>
      </c>
      <c r="CA175" s="19"/>
      <c r="CB175" s="17"/>
      <c r="CC175" s="14" t="s">
        <v>7193</v>
      </c>
      <c r="CD175" s="14" t="s">
        <v>5962</v>
      </c>
      <c r="CE175" s="14" t="s">
        <v>7194</v>
      </c>
    </row>
    <row r="176" spans="1:83" ht="26.15" customHeight="1">
      <c r="A176" s="13">
        <v>170</v>
      </c>
      <c r="B176" s="14" t="s">
        <v>1147</v>
      </c>
      <c r="C176" s="14" t="s">
        <v>1148</v>
      </c>
      <c r="D176" s="14" t="s">
        <v>1152</v>
      </c>
      <c r="E176" s="13">
        <v>2016</v>
      </c>
      <c r="F176" s="14" t="s">
        <v>7195</v>
      </c>
      <c r="G176" s="14" t="s">
        <v>6212</v>
      </c>
      <c r="H176" s="14" t="s">
        <v>6213</v>
      </c>
      <c r="I176" s="15" t="s">
        <v>3117</v>
      </c>
      <c r="J176" s="16">
        <v>2000000</v>
      </c>
      <c r="K176" s="17">
        <v>43545</v>
      </c>
      <c r="L176" s="16" t="s">
        <v>5134</v>
      </c>
      <c r="M176" s="16">
        <v>1000000</v>
      </c>
      <c r="N176" s="14" t="s">
        <v>34</v>
      </c>
      <c r="O176" s="13">
        <v>4</v>
      </c>
      <c r="P176" s="17">
        <v>44012</v>
      </c>
      <c r="Q176" s="14" t="s">
        <v>5052</v>
      </c>
      <c r="R176" s="17">
        <v>43550</v>
      </c>
      <c r="S176" s="17">
        <v>43545</v>
      </c>
      <c r="T176" s="14" t="s">
        <v>7179</v>
      </c>
      <c r="U176" s="14" t="s">
        <v>7196</v>
      </c>
      <c r="V176" s="14" t="s">
        <v>7197</v>
      </c>
      <c r="W176" s="14"/>
      <c r="X176" s="14" t="s">
        <v>7198</v>
      </c>
      <c r="Y176" s="14" t="s">
        <v>7199</v>
      </c>
      <c r="Z176" s="14" t="s">
        <v>7200</v>
      </c>
      <c r="AA176" s="14"/>
      <c r="AB176" s="14" t="s">
        <v>6213</v>
      </c>
      <c r="AC176" s="14" t="s">
        <v>7201</v>
      </c>
      <c r="AD176" s="14"/>
      <c r="AE176" s="14" t="s">
        <v>7202</v>
      </c>
      <c r="AF176" s="14" t="s">
        <v>7203</v>
      </c>
      <c r="AG176" s="14" t="s">
        <v>7204</v>
      </c>
      <c r="AH176" s="18"/>
      <c r="AI176" s="16"/>
      <c r="AJ176" s="17"/>
      <c r="AK176" s="15" t="s">
        <v>3123</v>
      </c>
      <c r="AL176" s="17"/>
      <c r="AM176" s="16"/>
      <c r="AN176" s="14"/>
      <c r="AO176" s="14" t="s">
        <v>7205</v>
      </c>
      <c r="AP176" s="15" t="s">
        <v>3123</v>
      </c>
      <c r="AQ176" s="14"/>
      <c r="AR176" s="17"/>
      <c r="AS176" s="16"/>
      <c r="AT176" s="14"/>
      <c r="AU176" s="15" t="s">
        <v>3123</v>
      </c>
      <c r="AV176" s="14"/>
      <c r="AW176" s="17"/>
      <c r="AX176" s="16"/>
      <c r="AY176" s="16"/>
      <c r="AZ176" s="16"/>
      <c r="BA176" s="16"/>
      <c r="BB176" s="15" t="s">
        <v>3123</v>
      </c>
      <c r="BC176" s="17"/>
      <c r="BD176" s="14"/>
      <c r="BE176" s="14"/>
      <c r="BF176" s="16"/>
      <c r="BG176" s="16"/>
      <c r="BH176" s="13"/>
      <c r="BI176" s="18" t="s">
        <v>7206</v>
      </c>
      <c r="BJ176" s="13">
        <v>200</v>
      </c>
      <c r="BK176" s="17">
        <v>44125</v>
      </c>
      <c r="BL176" s="18" t="s">
        <v>7207</v>
      </c>
      <c r="BM176" s="18" t="s">
        <v>7208</v>
      </c>
      <c r="BN176" s="18" t="s">
        <v>7209</v>
      </c>
      <c r="BO176" s="18" t="s">
        <v>7210</v>
      </c>
      <c r="BP176" s="14" t="s">
        <v>7211</v>
      </c>
      <c r="BQ176" s="17">
        <v>42930</v>
      </c>
      <c r="BR176" s="16"/>
      <c r="BS176" s="17"/>
      <c r="BT176" s="16"/>
      <c r="BU176" s="17"/>
      <c r="BV176" s="16"/>
      <c r="BW176" s="17"/>
      <c r="BX176" s="16"/>
      <c r="BY176" s="17"/>
      <c r="BZ176" s="19">
        <v>57.532395840094033</v>
      </c>
      <c r="CA176" s="19"/>
      <c r="CB176" s="17"/>
      <c r="CC176" s="14" t="s">
        <v>5541</v>
      </c>
      <c r="CD176" s="14" t="s">
        <v>6523</v>
      </c>
      <c r="CE176" s="14" t="s">
        <v>5945</v>
      </c>
    </row>
    <row r="177" spans="1:83" ht="26.15" customHeight="1">
      <c r="A177" s="13">
        <v>171</v>
      </c>
      <c r="B177" s="14" t="s">
        <v>1235</v>
      </c>
      <c r="C177" s="14" t="s">
        <v>1236</v>
      </c>
      <c r="D177" s="14" t="s">
        <v>1237</v>
      </c>
      <c r="E177" s="13">
        <v>2014</v>
      </c>
      <c r="F177" s="14" t="s">
        <v>5005</v>
      </c>
      <c r="G177" s="14" t="s">
        <v>5006</v>
      </c>
      <c r="H177" s="14" t="s">
        <v>3994</v>
      </c>
      <c r="I177" s="15" t="s">
        <v>3117</v>
      </c>
      <c r="J177" s="16"/>
      <c r="K177" s="17">
        <v>43487</v>
      </c>
      <c r="L177" s="16"/>
      <c r="M177" s="16" t="s">
        <v>50</v>
      </c>
      <c r="N177" s="14" t="s">
        <v>34</v>
      </c>
      <c r="O177" s="13">
        <v>4</v>
      </c>
      <c r="P177" s="17">
        <v>44055</v>
      </c>
      <c r="Q177" s="14"/>
      <c r="R177" s="17"/>
      <c r="S177" s="17"/>
      <c r="T177" s="14" t="s">
        <v>1</v>
      </c>
      <c r="U177" s="14" t="s">
        <v>5007</v>
      </c>
      <c r="V177" s="14" t="s">
        <v>5238</v>
      </c>
      <c r="W177" s="14"/>
      <c r="X177" s="14" t="s">
        <v>1228</v>
      </c>
      <c r="Y177" s="14"/>
      <c r="Z177" s="14" t="s">
        <v>7212</v>
      </c>
      <c r="AA177" s="14"/>
      <c r="AB177" s="14" t="s">
        <v>3994</v>
      </c>
      <c r="AC177" s="14" t="s">
        <v>7213</v>
      </c>
      <c r="AD177" s="14"/>
      <c r="AE177" s="14" t="s">
        <v>7214</v>
      </c>
      <c r="AF177" s="14" t="s">
        <v>7215</v>
      </c>
      <c r="AG177" s="14" t="s">
        <v>7216</v>
      </c>
      <c r="AH177" s="18"/>
      <c r="AI177" s="16">
        <v>78763</v>
      </c>
      <c r="AJ177" s="17">
        <v>43465</v>
      </c>
      <c r="AK177" s="15" t="s">
        <v>3123</v>
      </c>
      <c r="AL177" s="17"/>
      <c r="AM177" s="16"/>
      <c r="AN177" s="14"/>
      <c r="AO177" s="14"/>
      <c r="AP177" s="15" t="s">
        <v>3123</v>
      </c>
      <c r="AQ177" s="14"/>
      <c r="AR177" s="17"/>
      <c r="AS177" s="16"/>
      <c r="AT177" s="14"/>
      <c r="AU177" s="15" t="s">
        <v>3123</v>
      </c>
      <c r="AV177" s="14"/>
      <c r="AW177" s="17"/>
      <c r="AX177" s="16"/>
      <c r="AY177" s="16"/>
      <c r="AZ177" s="16"/>
      <c r="BA177" s="16"/>
      <c r="BB177" s="15" t="s">
        <v>3123</v>
      </c>
      <c r="BC177" s="17"/>
      <c r="BD177" s="14"/>
      <c r="BE177" s="14"/>
      <c r="BF177" s="16"/>
      <c r="BG177" s="16"/>
      <c r="BH177" s="13"/>
      <c r="BI177" s="18" t="s">
        <v>7217</v>
      </c>
      <c r="BJ177" s="13">
        <v>200</v>
      </c>
      <c r="BK177" s="17">
        <v>44125</v>
      </c>
      <c r="BL177" s="18" t="s">
        <v>7218</v>
      </c>
      <c r="BM177" s="18"/>
      <c r="BN177" s="18" t="s">
        <v>7219</v>
      </c>
      <c r="BO177" s="18"/>
      <c r="BP177" s="14" t="s">
        <v>7220</v>
      </c>
      <c r="BQ177" s="17">
        <v>43033</v>
      </c>
      <c r="BR177" s="16">
        <v>953</v>
      </c>
      <c r="BS177" s="17">
        <v>43465</v>
      </c>
      <c r="BT177" s="16">
        <v>2378</v>
      </c>
      <c r="BU177" s="17">
        <v>43465</v>
      </c>
      <c r="BV177" s="16"/>
      <c r="BW177" s="17"/>
      <c r="BX177" s="16"/>
      <c r="BY177" s="17"/>
      <c r="BZ177" s="19">
        <v>27.913677649153197</v>
      </c>
      <c r="CA177" s="19"/>
      <c r="CB177" s="17"/>
      <c r="CC177" s="14" t="s">
        <v>5345</v>
      </c>
      <c r="CD177" s="14" t="s">
        <v>7221</v>
      </c>
      <c r="CE177" s="14" t="s">
        <v>5945</v>
      </c>
    </row>
    <row r="178" spans="1:83" ht="26.15" hidden="1" customHeight="1">
      <c r="A178" s="13">
        <v>172</v>
      </c>
      <c r="B178" s="14" t="s">
        <v>919</v>
      </c>
      <c r="C178" s="14" t="s">
        <v>920</v>
      </c>
      <c r="D178" s="14" t="s">
        <v>921</v>
      </c>
      <c r="E178" s="13">
        <v>2016</v>
      </c>
      <c r="F178" s="14" t="s">
        <v>5829</v>
      </c>
      <c r="G178" s="14" t="s">
        <v>5164</v>
      </c>
      <c r="H178" s="14" t="s">
        <v>4343</v>
      </c>
      <c r="I178" s="15" t="s">
        <v>3117</v>
      </c>
      <c r="J178" s="16">
        <v>2500000</v>
      </c>
      <c r="K178" s="17">
        <v>43677</v>
      </c>
      <c r="L178" s="16" t="s">
        <v>5022</v>
      </c>
      <c r="M178" s="16">
        <v>1500000</v>
      </c>
      <c r="N178" s="14" t="s">
        <v>34</v>
      </c>
      <c r="O178" s="13">
        <v>4</v>
      </c>
      <c r="P178" s="17">
        <v>44003</v>
      </c>
      <c r="Q178" s="14"/>
      <c r="R178" s="17"/>
      <c r="S178" s="17"/>
      <c r="T178" s="14" t="s">
        <v>1</v>
      </c>
      <c r="U178" s="14" t="s">
        <v>5007</v>
      </c>
      <c r="V178" s="14" t="s">
        <v>6741</v>
      </c>
      <c r="W178" s="14"/>
      <c r="X178" s="14" t="s">
        <v>7222</v>
      </c>
      <c r="Y178" s="14"/>
      <c r="Z178" s="14" t="s">
        <v>7223</v>
      </c>
      <c r="AA178" s="14"/>
      <c r="AB178" s="14" t="s">
        <v>4343</v>
      </c>
      <c r="AC178" s="14"/>
      <c r="AD178" s="14"/>
      <c r="AE178" s="14" t="s">
        <v>7224</v>
      </c>
      <c r="AF178" s="14" t="s">
        <v>7225</v>
      </c>
      <c r="AG178" s="14" t="s">
        <v>7226</v>
      </c>
      <c r="AH178" s="18"/>
      <c r="AI178" s="16"/>
      <c r="AJ178" s="17"/>
      <c r="AK178" s="15" t="s">
        <v>3123</v>
      </c>
      <c r="AL178" s="17"/>
      <c r="AM178" s="16"/>
      <c r="AN178" s="14"/>
      <c r="AO178" s="14"/>
      <c r="AP178" s="15" t="s">
        <v>3123</v>
      </c>
      <c r="AQ178" s="14"/>
      <c r="AR178" s="17"/>
      <c r="AS178" s="16"/>
      <c r="AT178" s="14"/>
      <c r="AU178" s="15" t="s">
        <v>3123</v>
      </c>
      <c r="AV178" s="14"/>
      <c r="AW178" s="17"/>
      <c r="AX178" s="16"/>
      <c r="AY178" s="16"/>
      <c r="AZ178" s="16"/>
      <c r="BA178" s="16"/>
      <c r="BB178" s="15" t="s">
        <v>3123</v>
      </c>
      <c r="BC178" s="17"/>
      <c r="BD178" s="14"/>
      <c r="BE178" s="14"/>
      <c r="BF178" s="16"/>
      <c r="BG178" s="16"/>
      <c r="BH178" s="13"/>
      <c r="BI178" s="18" t="s">
        <v>7227</v>
      </c>
      <c r="BJ178" s="13">
        <v>200</v>
      </c>
      <c r="BK178" s="17">
        <v>44125</v>
      </c>
      <c r="BL178" s="18"/>
      <c r="BM178" s="18"/>
      <c r="BN178" s="18"/>
      <c r="BO178" s="18"/>
      <c r="BP178" s="14" t="s">
        <v>7228</v>
      </c>
      <c r="BQ178" s="17">
        <v>42930</v>
      </c>
      <c r="BR178" s="16"/>
      <c r="BS178" s="17"/>
      <c r="BT178" s="16"/>
      <c r="BU178" s="17"/>
      <c r="BV178" s="16"/>
      <c r="BW178" s="17"/>
      <c r="BX178" s="16"/>
      <c r="BY178" s="17"/>
      <c r="BZ178" s="19">
        <v>32.091050066409608</v>
      </c>
      <c r="CA178" s="19"/>
      <c r="CB178" s="17"/>
      <c r="CC178" s="14" t="s">
        <v>5036</v>
      </c>
      <c r="CD178" s="14" t="s">
        <v>5962</v>
      </c>
      <c r="CE178" s="14" t="s">
        <v>5945</v>
      </c>
    </row>
    <row r="179" spans="1:83" ht="26.15" customHeight="1">
      <c r="A179" s="13">
        <v>173</v>
      </c>
      <c r="B179" s="14" t="s">
        <v>1462</v>
      </c>
      <c r="C179" s="14" t="s">
        <v>1463</v>
      </c>
      <c r="D179" s="14" t="s">
        <v>1464</v>
      </c>
      <c r="E179" s="13">
        <v>2015</v>
      </c>
      <c r="F179" s="14" t="s">
        <v>5689</v>
      </c>
      <c r="G179" s="14" t="s">
        <v>5674</v>
      </c>
      <c r="H179" s="14" t="s">
        <v>2057</v>
      </c>
      <c r="I179" s="15" t="s">
        <v>3117</v>
      </c>
      <c r="J179" s="16">
        <v>732942</v>
      </c>
      <c r="K179" s="17">
        <v>43342</v>
      </c>
      <c r="L179" s="16" t="s">
        <v>7229</v>
      </c>
      <c r="M179" s="16">
        <v>732942</v>
      </c>
      <c r="N179" s="14" t="s">
        <v>34</v>
      </c>
      <c r="O179" s="13"/>
      <c r="P179" s="17"/>
      <c r="Q179" s="14"/>
      <c r="R179" s="17"/>
      <c r="S179" s="17"/>
      <c r="T179" s="14" t="s">
        <v>5791</v>
      </c>
      <c r="U179" s="14" t="s">
        <v>5792</v>
      </c>
      <c r="V179" s="14" t="s">
        <v>5793</v>
      </c>
      <c r="W179" s="14"/>
      <c r="X179" s="14"/>
      <c r="Y179" s="14"/>
      <c r="Z179" s="14" t="s">
        <v>7230</v>
      </c>
      <c r="AA179" s="14"/>
      <c r="AB179" s="14" t="s">
        <v>2057</v>
      </c>
      <c r="AC179" s="14" t="s">
        <v>7231</v>
      </c>
      <c r="AD179" s="14"/>
      <c r="AE179" s="14"/>
      <c r="AF179" s="14"/>
      <c r="AG179" s="14"/>
      <c r="AH179" s="18"/>
      <c r="AI179" s="16"/>
      <c r="AJ179" s="17"/>
      <c r="AK179" s="15" t="s">
        <v>3123</v>
      </c>
      <c r="AL179" s="17"/>
      <c r="AM179" s="16"/>
      <c r="AN179" s="14"/>
      <c r="AO179" s="14"/>
      <c r="AP179" s="15" t="s">
        <v>3123</v>
      </c>
      <c r="AQ179" s="14"/>
      <c r="AR179" s="17"/>
      <c r="AS179" s="16"/>
      <c r="AT179" s="14"/>
      <c r="AU179" s="15" t="s">
        <v>3123</v>
      </c>
      <c r="AV179" s="14"/>
      <c r="AW179" s="17"/>
      <c r="AX179" s="16"/>
      <c r="AY179" s="16"/>
      <c r="AZ179" s="16"/>
      <c r="BA179" s="16"/>
      <c r="BB179" s="15" t="s">
        <v>3123</v>
      </c>
      <c r="BC179" s="17"/>
      <c r="BD179" s="14"/>
      <c r="BE179" s="14"/>
      <c r="BF179" s="16"/>
      <c r="BG179" s="16"/>
      <c r="BH179" s="13"/>
      <c r="BI179" s="18" t="s">
        <v>7232</v>
      </c>
      <c r="BJ179" s="13">
        <v>200</v>
      </c>
      <c r="BK179" s="17">
        <v>44125</v>
      </c>
      <c r="BL179" s="18" t="s">
        <v>7233</v>
      </c>
      <c r="BM179" s="18" t="s">
        <v>7234</v>
      </c>
      <c r="BN179" s="18" t="s">
        <v>7235</v>
      </c>
      <c r="BO179" s="18"/>
      <c r="BP179" s="14" t="s">
        <v>7236</v>
      </c>
      <c r="BQ179" s="17">
        <v>43033</v>
      </c>
      <c r="BR179" s="16"/>
      <c r="BS179" s="17"/>
      <c r="BT179" s="16"/>
      <c r="BU179" s="17"/>
      <c r="BV179" s="16"/>
      <c r="BW179" s="17"/>
      <c r="BX179" s="16"/>
      <c r="BY179" s="17"/>
      <c r="BZ179" s="19">
        <v>21.08675227313115</v>
      </c>
      <c r="CA179" s="19"/>
      <c r="CB179" s="17"/>
      <c r="CC179" s="14" t="s">
        <v>6838</v>
      </c>
      <c r="CD179" s="14" t="s">
        <v>6839</v>
      </c>
      <c r="CE179" s="14" t="s">
        <v>5945</v>
      </c>
    </row>
    <row r="180" spans="1:83" ht="26.15" customHeight="1">
      <c r="A180" s="13">
        <v>174</v>
      </c>
      <c r="B180" s="14" t="s">
        <v>1288</v>
      </c>
      <c r="C180" s="14" t="s">
        <v>1289</v>
      </c>
      <c r="D180" s="14" t="s">
        <v>1293</v>
      </c>
      <c r="E180" s="13">
        <v>2016</v>
      </c>
      <c r="F180" s="14" t="s">
        <v>5312</v>
      </c>
      <c r="G180" s="14" t="s">
        <v>5313</v>
      </c>
      <c r="H180" s="14" t="s">
        <v>3994</v>
      </c>
      <c r="I180" s="15" t="s">
        <v>3117</v>
      </c>
      <c r="J180" s="16">
        <v>195480</v>
      </c>
      <c r="K180" s="17">
        <v>43452</v>
      </c>
      <c r="L180" s="16" t="s">
        <v>7237</v>
      </c>
      <c r="M180" s="16">
        <v>195480</v>
      </c>
      <c r="N180" s="14" t="s">
        <v>34</v>
      </c>
      <c r="O180" s="13">
        <v>3</v>
      </c>
      <c r="P180" s="17">
        <v>44027</v>
      </c>
      <c r="Q180" s="14"/>
      <c r="R180" s="17"/>
      <c r="S180" s="17"/>
      <c r="T180" s="14" t="s">
        <v>7238</v>
      </c>
      <c r="U180" s="14" t="s">
        <v>7239</v>
      </c>
      <c r="V180" s="14" t="s">
        <v>7240</v>
      </c>
      <c r="W180" s="14"/>
      <c r="X180" s="14" t="s">
        <v>3822</v>
      </c>
      <c r="Y180" s="14" t="s">
        <v>7241</v>
      </c>
      <c r="Z180" s="14" t="s">
        <v>7242</v>
      </c>
      <c r="AA180" s="14"/>
      <c r="AB180" s="14" t="s">
        <v>3994</v>
      </c>
      <c r="AC180" s="14"/>
      <c r="AD180" s="14"/>
      <c r="AE180" s="14" t="s">
        <v>7243</v>
      </c>
      <c r="AF180" s="14" t="s">
        <v>7244</v>
      </c>
      <c r="AG180" s="14" t="s">
        <v>7245</v>
      </c>
      <c r="AH180" s="18"/>
      <c r="AI180" s="16"/>
      <c r="AJ180" s="17"/>
      <c r="AK180" s="15" t="s">
        <v>3123</v>
      </c>
      <c r="AL180" s="17"/>
      <c r="AM180" s="16"/>
      <c r="AN180" s="14"/>
      <c r="AO180" s="14"/>
      <c r="AP180" s="15" t="s">
        <v>3123</v>
      </c>
      <c r="AQ180" s="14"/>
      <c r="AR180" s="17"/>
      <c r="AS180" s="16"/>
      <c r="AT180" s="14"/>
      <c r="AU180" s="15" t="s">
        <v>3123</v>
      </c>
      <c r="AV180" s="14"/>
      <c r="AW180" s="17"/>
      <c r="AX180" s="16"/>
      <c r="AY180" s="16"/>
      <c r="AZ180" s="16"/>
      <c r="BA180" s="16"/>
      <c r="BB180" s="15" t="s">
        <v>3123</v>
      </c>
      <c r="BC180" s="17"/>
      <c r="BD180" s="14"/>
      <c r="BE180" s="14"/>
      <c r="BF180" s="16"/>
      <c r="BG180" s="16"/>
      <c r="BH180" s="13"/>
      <c r="BI180" s="18" t="s">
        <v>7246</v>
      </c>
      <c r="BJ180" s="13">
        <v>200</v>
      </c>
      <c r="BK180" s="17">
        <v>44125</v>
      </c>
      <c r="BL180" s="18"/>
      <c r="BM180" s="18"/>
      <c r="BN180" s="18" t="s">
        <v>7247</v>
      </c>
      <c r="BO180" s="18"/>
      <c r="BP180" s="14" t="s">
        <v>7248</v>
      </c>
      <c r="BQ180" s="17">
        <v>42640</v>
      </c>
      <c r="BR180" s="16"/>
      <c r="BS180" s="17"/>
      <c r="BT180" s="16"/>
      <c r="BU180" s="17"/>
      <c r="BV180" s="16">
        <v>3000000</v>
      </c>
      <c r="BW180" s="17">
        <v>43452</v>
      </c>
      <c r="BX180" s="16"/>
      <c r="BY180" s="17"/>
      <c r="BZ180" s="19">
        <v>12.375734030866283</v>
      </c>
      <c r="CA180" s="19"/>
      <c r="CB180" s="17"/>
      <c r="CC180" s="14" t="s">
        <v>5036</v>
      </c>
      <c r="CD180" s="14" t="s">
        <v>7249</v>
      </c>
      <c r="CE180" s="14" t="s">
        <v>6074</v>
      </c>
    </row>
    <row r="181" spans="1:83" ht="26.15" hidden="1" customHeight="1">
      <c r="A181" s="13">
        <v>175</v>
      </c>
      <c r="B181" s="14" t="s">
        <v>814</v>
      </c>
      <c r="C181" s="14" t="s">
        <v>815</v>
      </c>
      <c r="D181" s="14" t="s">
        <v>818</v>
      </c>
      <c r="E181" s="13">
        <v>2016</v>
      </c>
      <c r="F181" s="14" t="s">
        <v>7250</v>
      </c>
      <c r="G181" s="14" t="s">
        <v>6004</v>
      </c>
      <c r="H181" s="14" t="s">
        <v>4343</v>
      </c>
      <c r="I181" s="15" t="s">
        <v>3117</v>
      </c>
      <c r="J181" s="16">
        <v>4000000</v>
      </c>
      <c r="K181" s="17">
        <v>43732</v>
      </c>
      <c r="L181" s="16" t="s">
        <v>5456</v>
      </c>
      <c r="M181" s="16">
        <v>4000000</v>
      </c>
      <c r="N181" s="14" t="s">
        <v>109</v>
      </c>
      <c r="O181" s="13">
        <v>4</v>
      </c>
      <c r="P181" s="17">
        <v>44081</v>
      </c>
      <c r="Q181" s="14" t="s">
        <v>5052</v>
      </c>
      <c r="R181" s="17">
        <v>43880</v>
      </c>
      <c r="S181" s="17">
        <v>43732</v>
      </c>
      <c r="T181" s="14" t="s">
        <v>1</v>
      </c>
      <c r="U181" s="14" t="s">
        <v>5007</v>
      </c>
      <c r="V181" s="14" t="s">
        <v>7251</v>
      </c>
      <c r="W181" s="14"/>
      <c r="X181" s="14" t="s">
        <v>7252</v>
      </c>
      <c r="Y181" s="14"/>
      <c r="Z181" s="14" t="s">
        <v>7253</v>
      </c>
      <c r="AA181" s="14"/>
      <c r="AB181" s="14" t="s">
        <v>4343</v>
      </c>
      <c r="AC181" s="14"/>
      <c r="AD181" s="14"/>
      <c r="AE181" s="14" t="s">
        <v>7254</v>
      </c>
      <c r="AF181" s="14" t="s">
        <v>7255</v>
      </c>
      <c r="AG181" s="14" t="s">
        <v>7256</v>
      </c>
      <c r="AH181" s="18"/>
      <c r="AI181" s="16"/>
      <c r="AJ181" s="17"/>
      <c r="AK181" s="15" t="s">
        <v>3123</v>
      </c>
      <c r="AL181" s="17"/>
      <c r="AM181" s="16"/>
      <c r="AN181" s="14"/>
      <c r="AO181" s="14"/>
      <c r="AP181" s="15" t="s">
        <v>3123</v>
      </c>
      <c r="AQ181" s="14"/>
      <c r="AR181" s="17"/>
      <c r="AS181" s="16"/>
      <c r="AT181" s="14"/>
      <c r="AU181" s="15" t="s">
        <v>3123</v>
      </c>
      <c r="AV181" s="14"/>
      <c r="AW181" s="17"/>
      <c r="AX181" s="16"/>
      <c r="AY181" s="16"/>
      <c r="AZ181" s="16"/>
      <c r="BA181" s="16"/>
      <c r="BB181" s="15" t="s">
        <v>3123</v>
      </c>
      <c r="BC181" s="17"/>
      <c r="BD181" s="14"/>
      <c r="BE181" s="14"/>
      <c r="BF181" s="16"/>
      <c r="BG181" s="16"/>
      <c r="BH181" s="13"/>
      <c r="BI181" s="18" t="s">
        <v>7257</v>
      </c>
      <c r="BJ181" s="13">
        <v>200</v>
      </c>
      <c r="BK181" s="17">
        <v>44125</v>
      </c>
      <c r="BL181" s="18"/>
      <c r="BM181" s="18"/>
      <c r="BN181" s="18"/>
      <c r="BO181" s="18"/>
      <c r="BP181" s="14" t="s">
        <v>7258</v>
      </c>
      <c r="BQ181" s="17">
        <v>43019</v>
      </c>
      <c r="BR181" s="16"/>
      <c r="BS181" s="17"/>
      <c r="BT181" s="16"/>
      <c r="BU181" s="17"/>
      <c r="BV181" s="16"/>
      <c r="BW181" s="17"/>
      <c r="BX181" s="16"/>
      <c r="BY181" s="17"/>
      <c r="BZ181" s="19">
        <v>32.35777375966974</v>
      </c>
      <c r="CA181" s="19"/>
      <c r="CB181" s="17"/>
      <c r="CC181" s="14" t="s">
        <v>7259</v>
      </c>
      <c r="CD181" s="14" t="s">
        <v>5962</v>
      </c>
      <c r="CE181" s="14" t="s">
        <v>6074</v>
      </c>
    </row>
    <row r="182" spans="1:83" ht="26.15" customHeight="1">
      <c r="A182" s="13">
        <v>176</v>
      </c>
      <c r="B182" s="14" t="s">
        <v>1470</v>
      </c>
      <c r="C182" s="14" t="s">
        <v>1471</v>
      </c>
      <c r="D182" s="14" t="s">
        <v>1474</v>
      </c>
      <c r="E182" s="13">
        <v>2014</v>
      </c>
      <c r="F182" s="14" t="s">
        <v>7260</v>
      </c>
      <c r="G182" s="14" t="s">
        <v>7261</v>
      </c>
      <c r="H182" s="14" t="s">
        <v>2057</v>
      </c>
      <c r="I182" s="15" t="s">
        <v>3117</v>
      </c>
      <c r="J182" s="16">
        <v>7273280</v>
      </c>
      <c r="K182" s="17">
        <v>43336</v>
      </c>
      <c r="L182" s="16" t="s">
        <v>5051</v>
      </c>
      <c r="M182" s="16">
        <v>7273280</v>
      </c>
      <c r="N182" s="14" t="s">
        <v>109</v>
      </c>
      <c r="O182" s="13">
        <v>4</v>
      </c>
      <c r="P182" s="17">
        <v>44027</v>
      </c>
      <c r="Q182" s="14"/>
      <c r="R182" s="17"/>
      <c r="S182" s="17"/>
      <c r="T182" s="14" t="s">
        <v>1</v>
      </c>
      <c r="U182" s="14" t="s">
        <v>5007</v>
      </c>
      <c r="V182" s="14" t="s">
        <v>6157</v>
      </c>
      <c r="W182" s="14"/>
      <c r="X182" s="14" t="s">
        <v>7262</v>
      </c>
      <c r="Y182" s="14"/>
      <c r="Z182" s="14" t="s">
        <v>7263</v>
      </c>
      <c r="AA182" s="14"/>
      <c r="AB182" s="14" t="s">
        <v>2057</v>
      </c>
      <c r="AC182" s="14"/>
      <c r="AD182" s="14"/>
      <c r="AE182" s="14"/>
      <c r="AF182" s="14"/>
      <c r="AG182" s="14"/>
      <c r="AH182" s="18"/>
      <c r="AI182" s="16"/>
      <c r="AJ182" s="17"/>
      <c r="AK182" s="15" t="s">
        <v>3123</v>
      </c>
      <c r="AL182" s="17"/>
      <c r="AM182" s="16"/>
      <c r="AN182" s="14"/>
      <c r="AO182" s="14"/>
      <c r="AP182" s="15" t="s">
        <v>3123</v>
      </c>
      <c r="AQ182" s="14"/>
      <c r="AR182" s="17"/>
      <c r="AS182" s="16"/>
      <c r="AT182" s="14"/>
      <c r="AU182" s="15" t="s">
        <v>3123</v>
      </c>
      <c r="AV182" s="14"/>
      <c r="AW182" s="17"/>
      <c r="AX182" s="16"/>
      <c r="AY182" s="16"/>
      <c r="AZ182" s="16"/>
      <c r="BA182" s="16"/>
      <c r="BB182" s="15" t="s">
        <v>3123</v>
      </c>
      <c r="BC182" s="17"/>
      <c r="BD182" s="14"/>
      <c r="BE182" s="14"/>
      <c r="BF182" s="16"/>
      <c r="BG182" s="16"/>
      <c r="BH182" s="13"/>
      <c r="BI182" s="18" t="s">
        <v>7264</v>
      </c>
      <c r="BJ182" s="13">
        <v>-1</v>
      </c>
      <c r="BK182" s="17">
        <v>44125</v>
      </c>
      <c r="BL182" s="18"/>
      <c r="BM182" s="18"/>
      <c r="BN182" s="18"/>
      <c r="BO182" s="18"/>
      <c r="BP182" s="14" t="s">
        <v>7265</v>
      </c>
      <c r="BQ182" s="17">
        <v>43021</v>
      </c>
      <c r="BR182" s="16"/>
      <c r="BS182" s="17"/>
      <c r="BT182" s="16"/>
      <c r="BU182" s="17"/>
      <c r="BV182" s="16"/>
      <c r="BW182" s="17"/>
      <c r="BX182" s="16"/>
      <c r="BY182" s="17"/>
      <c r="BZ182" s="19">
        <v>23.26175887675339</v>
      </c>
      <c r="CA182" s="19"/>
      <c r="CB182" s="17"/>
      <c r="CC182" s="14" t="s">
        <v>6556</v>
      </c>
      <c r="CD182" s="14" t="s">
        <v>6557</v>
      </c>
      <c r="CE182" s="14" t="s">
        <v>5945</v>
      </c>
    </row>
    <row r="183" spans="1:83" ht="26.15" customHeight="1">
      <c r="A183" s="13">
        <v>177</v>
      </c>
      <c r="B183" s="14" t="s">
        <v>1211</v>
      </c>
      <c r="C183" s="14" t="s">
        <v>1212</v>
      </c>
      <c r="D183" s="14" t="s">
        <v>1216</v>
      </c>
      <c r="E183" s="13">
        <v>2013</v>
      </c>
      <c r="F183" s="14" t="s">
        <v>5754</v>
      </c>
      <c r="G183" s="14" t="s">
        <v>5370</v>
      </c>
      <c r="H183" s="14" t="s">
        <v>2057</v>
      </c>
      <c r="I183" s="15" t="s">
        <v>3117</v>
      </c>
      <c r="J183" s="16">
        <v>1496022</v>
      </c>
      <c r="K183" s="17">
        <v>43497</v>
      </c>
      <c r="L183" s="16" t="s">
        <v>5134</v>
      </c>
      <c r="M183" s="16">
        <v>1496022</v>
      </c>
      <c r="N183" s="14" t="s">
        <v>34</v>
      </c>
      <c r="O183" s="13">
        <v>3</v>
      </c>
      <c r="P183" s="17">
        <v>43994</v>
      </c>
      <c r="Q183" s="14"/>
      <c r="R183" s="17"/>
      <c r="S183" s="17"/>
      <c r="T183" s="14" t="s">
        <v>1</v>
      </c>
      <c r="U183" s="14" t="s">
        <v>5007</v>
      </c>
      <c r="V183" s="14" t="s">
        <v>6799</v>
      </c>
      <c r="W183" s="14"/>
      <c r="X183" s="14" t="s">
        <v>7266</v>
      </c>
      <c r="Y183" s="14"/>
      <c r="Z183" s="14" t="s">
        <v>7267</v>
      </c>
      <c r="AA183" s="14"/>
      <c r="AB183" s="14" t="s">
        <v>2057</v>
      </c>
      <c r="AC183" s="14" t="s">
        <v>7268</v>
      </c>
      <c r="AD183" s="14" t="s">
        <v>7269</v>
      </c>
      <c r="AE183" s="14"/>
      <c r="AF183" s="14"/>
      <c r="AG183" s="14"/>
      <c r="AH183" s="18"/>
      <c r="AI183" s="16"/>
      <c r="AJ183" s="17"/>
      <c r="AK183" s="15" t="s">
        <v>3123</v>
      </c>
      <c r="AL183" s="17"/>
      <c r="AM183" s="16"/>
      <c r="AN183" s="14"/>
      <c r="AO183" s="14"/>
      <c r="AP183" s="15" t="s">
        <v>3123</v>
      </c>
      <c r="AQ183" s="14"/>
      <c r="AR183" s="17"/>
      <c r="AS183" s="16"/>
      <c r="AT183" s="14"/>
      <c r="AU183" s="15" t="s">
        <v>3123</v>
      </c>
      <c r="AV183" s="14"/>
      <c r="AW183" s="17"/>
      <c r="AX183" s="16"/>
      <c r="AY183" s="16"/>
      <c r="AZ183" s="16"/>
      <c r="BA183" s="16"/>
      <c r="BB183" s="15" t="s">
        <v>3123</v>
      </c>
      <c r="BC183" s="17"/>
      <c r="BD183" s="14"/>
      <c r="BE183" s="14"/>
      <c r="BF183" s="16"/>
      <c r="BG183" s="16"/>
      <c r="BH183" s="13"/>
      <c r="BI183" s="18" t="s">
        <v>7270</v>
      </c>
      <c r="BJ183" s="13">
        <v>200</v>
      </c>
      <c r="BK183" s="17">
        <v>44125</v>
      </c>
      <c r="BL183" s="18"/>
      <c r="BM183" s="18"/>
      <c r="BN183" s="18"/>
      <c r="BO183" s="18"/>
      <c r="BP183" s="14" t="s">
        <v>7271</v>
      </c>
      <c r="BQ183" s="17">
        <v>43032</v>
      </c>
      <c r="BR183" s="16"/>
      <c r="BS183" s="17"/>
      <c r="BT183" s="16"/>
      <c r="BU183" s="17"/>
      <c r="BV183" s="16"/>
      <c r="BW183" s="17"/>
      <c r="BX183" s="16"/>
      <c r="BY183" s="17"/>
      <c r="BZ183" s="19">
        <v>25.489482300160926</v>
      </c>
      <c r="CA183" s="19"/>
      <c r="CB183" s="17"/>
      <c r="CC183" s="14" t="s">
        <v>5345</v>
      </c>
      <c r="CD183" s="14" t="s">
        <v>7272</v>
      </c>
      <c r="CE183" s="14" t="s">
        <v>5945</v>
      </c>
    </row>
    <row r="184" spans="1:83" ht="26.15" customHeight="1">
      <c r="A184" s="13">
        <v>178</v>
      </c>
      <c r="B184" s="14" t="s">
        <v>1983</v>
      </c>
      <c r="C184" s="14" t="s">
        <v>1984</v>
      </c>
      <c r="D184" s="14" t="s">
        <v>1986</v>
      </c>
      <c r="E184" s="13">
        <v>2013</v>
      </c>
      <c r="F184" s="14" t="s">
        <v>5389</v>
      </c>
      <c r="G184" s="14" t="s">
        <v>5390</v>
      </c>
      <c r="H184" s="14" t="s">
        <v>5391</v>
      </c>
      <c r="I184" s="15" t="s">
        <v>3117</v>
      </c>
      <c r="J184" s="16"/>
      <c r="K184" s="17">
        <v>42986</v>
      </c>
      <c r="L184" s="16"/>
      <c r="M184" s="16" t="s">
        <v>50</v>
      </c>
      <c r="N184" s="14" t="s">
        <v>109</v>
      </c>
      <c r="O184" s="13">
        <v>3</v>
      </c>
      <c r="P184" s="17">
        <v>44139</v>
      </c>
      <c r="Q184" s="14"/>
      <c r="R184" s="17"/>
      <c r="S184" s="17"/>
      <c r="T184" s="14" t="s">
        <v>1</v>
      </c>
      <c r="U184" s="14" t="s">
        <v>5007</v>
      </c>
      <c r="V184" s="14" t="s">
        <v>7273</v>
      </c>
      <c r="W184" s="14"/>
      <c r="X184" s="14" t="s">
        <v>7274</v>
      </c>
      <c r="Y184" s="14"/>
      <c r="Z184" s="14" t="s">
        <v>7275</v>
      </c>
      <c r="AA184" s="14"/>
      <c r="AB184" s="14" t="s">
        <v>5391</v>
      </c>
      <c r="AC184" s="14" t="s">
        <v>7276</v>
      </c>
      <c r="AD184" s="14" t="s">
        <v>7277</v>
      </c>
      <c r="AE184" s="14" t="s">
        <v>7278</v>
      </c>
      <c r="AF184" s="14" t="s">
        <v>7279</v>
      </c>
      <c r="AG184" s="14" t="s">
        <v>7280</v>
      </c>
      <c r="AH184" s="18"/>
      <c r="AI184" s="16"/>
      <c r="AJ184" s="17"/>
      <c r="AK184" s="15" t="s">
        <v>3123</v>
      </c>
      <c r="AL184" s="17"/>
      <c r="AM184" s="16"/>
      <c r="AN184" s="14"/>
      <c r="AO184" s="14"/>
      <c r="AP184" s="15" t="s">
        <v>3123</v>
      </c>
      <c r="AQ184" s="14"/>
      <c r="AR184" s="17"/>
      <c r="AS184" s="16"/>
      <c r="AT184" s="14"/>
      <c r="AU184" s="15" t="s">
        <v>3123</v>
      </c>
      <c r="AV184" s="14"/>
      <c r="AW184" s="17"/>
      <c r="AX184" s="16"/>
      <c r="AY184" s="16"/>
      <c r="AZ184" s="16"/>
      <c r="BA184" s="16"/>
      <c r="BB184" s="15" t="s">
        <v>3123</v>
      </c>
      <c r="BC184" s="17"/>
      <c r="BD184" s="14"/>
      <c r="BE184" s="14"/>
      <c r="BF184" s="16"/>
      <c r="BG184" s="16"/>
      <c r="BH184" s="13"/>
      <c r="BI184" s="18" t="s">
        <v>7281</v>
      </c>
      <c r="BJ184" s="13">
        <v>200</v>
      </c>
      <c r="BK184" s="17">
        <v>44125</v>
      </c>
      <c r="BL184" s="18" t="s">
        <v>7282</v>
      </c>
      <c r="BM184" s="18"/>
      <c r="BN184" s="18"/>
      <c r="BO184" s="18"/>
      <c r="BP184" s="14" t="s">
        <v>7283</v>
      </c>
      <c r="BQ184" s="17">
        <v>44067</v>
      </c>
      <c r="BR184" s="16"/>
      <c r="BS184" s="17"/>
      <c r="BT184" s="16"/>
      <c r="BU184" s="17"/>
      <c r="BV184" s="16"/>
      <c r="BW184" s="17"/>
      <c r="BX184" s="16"/>
      <c r="BY184" s="17"/>
      <c r="BZ184" s="19">
        <v>23.541051810371226</v>
      </c>
      <c r="CA184" s="19"/>
      <c r="CB184" s="17"/>
      <c r="CC184" s="14" t="s">
        <v>7284</v>
      </c>
      <c r="CD184" s="14" t="s">
        <v>6002</v>
      </c>
      <c r="CE184" s="14" t="s">
        <v>5945</v>
      </c>
    </row>
    <row r="185" spans="1:83" ht="26.15" customHeight="1">
      <c r="A185" s="13">
        <v>179</v>
      </c>
      <c r="B185" s="14" t="s">
        <v>829</v>
      </c>
      <c r="C185" s="14" t="s">
        <v>830</v>
      </c>
      <c r="D185" s="14" t="s">
        <v>833</v>
      </c>
      <c r="E185" s="13">
        <v>2015</v>
      </c>
      <c r="F185" s="14" t="s">
        <v>7285</v>
      </c>
      <c r="G185" s="14" t="s">
        <v>7285</v>
      </c>
      <c r="H185" s="14" t="s">
        <v>5277</v>
      </c>
      <c r="I185" s="15" t="s">
        <v>3117</v>
      </c>
      <c r="J185" s="16">
        <v>1070000</v>
      </c>
      <c r="K185" s="17">
        <v>43728</v>
      </c>
      <c r="L185" s="16" t="s">
        <v>5134</v>
      </c>
      <c r="M185" s="16">
        <v>1000000</v>
      </c>
      <c r="N185" s="14" t="s">
        <v>34</v>
      </c>
      <c r="O185" s="13">
        <v>4</v>
      </c>
      <c r="P185" s="17">
        <v>44012</v>
      </c>
      <c r="Q185" s="14"/>
      <c r="R185" s="17"/>
      <c r="S185" s="17"/>
      <c r="T185" s="14" t="s">
        <v>5426</v>
      </c>
      <c r="U185" s="14" t="s">
        <v>5427</v>
      </c>
      <c r="V185" s="14" t="s">
        <v>5428</v>
      </c>
      <c r="W185" s="14"/>
      <c r="X185" s="14" t="s">
        <v>7286</v>
      </c>
      <c r="Y185" s="14"/>
      <c r="Z185" s="14" t="s">
        <v>7287</v>
      </c>
      <c r="AA185" s="14"/>
      <c r="AB185" s="14" t="s">
        <v>5277</v>
      </c>
      <c r="AC185" s="14" t="s">
        <v>7288</v>
      </c>
      <c r="AD185" s="14"/>
      <c r="AE185" s="14" t="s">
        <v>7289</v>
      </c>
      <c r="AF185" s="14" t="s">
        <v>7290</v>
      </c>
      <c r="AG185" s="14" t="s">
        <v>7291</v>
      </c>
      <c r="AH185" s="18"/>
      <c r="AI185" s="16"/>
      <c r="AJ185" s="17"/>
      <c r="AK185" s="15" t="s">
        <v>3123</v>
      </c>
      <c r="AL185" s="17"/>
      <c r="AM185" s="16"/>
      <c r="AN185" s="14"/>
      <c r="AO185" s="14"/>
      <c r="AP185" s="15" t="s">
        <v>3123</v>
      </c>
      <c r="AQ185" s="14"/>
      <c r="AR185" s="17"/>
      <c r="AS185" s="16"/>
      <c r="AT185" s="14"/>
      <c r="AU185" s="15" t="s">
        <v>3123</v>
      </c>
      <c r="AV185" s="14"/>
      <c r="AW185" s="17"/>
      <c r="AX185" s="16"/>
      <c r="AY185" s="16"/>
      <c r="AZ185" s="16"/>
      <c r="BA185" s="16"/>
      <c r="BB185" s="15" t="s">
        <v>3123</v>
      </c>
      <c r="BC185" s="17"/>
      <c r="BD185" s="14"/>
      <c r="BE185" s="14"/>
      <c r="BF185" s="16"/>
      <c r="BG185" s="16"/>
      <c r="BH185" s="13"/>
      <c r="BI185" s="18" t="s">
        <v>7292</v>
      </c>
      <c r="BJ185" s="13">
        <v>200</v>
      </c>
      <c r="BK185" s="17">
        <v>44125</v>
      </c>
      <c r="BL185" s="18" t="s">
        <v>7293</v>
      </c>
      <c r="BM185" s="18" t="s">
        <v>7294</v>
      </c>
      <c r="BN185" s="18"/>
      <c r="BO185" s="18"/>
      <c r="BP185" s="14" t="s">
        <v>7295</v>
      </c>
      <c r="BQ185" s="17">
        <v>42822</v>
      </c>
      <c r="BR185" s="16"/>
      <c r="BS185" s="17"/>
      <c r="BT185" s="16"/>
      <c r="BU185" s="17"/>
      <c r="BV185" s="16"/>
      <c r="BW185" s="17"/>
      <c r="BX185" s="16"/>
      <c r="BY185" s="17"/>
      <c r="BZ185" s="19">
        <v>42.236802368544751</v>
      </c>
      <c r="CA185" s="19"/>
      <c r="CB185" s="17"/>
      <c r="CC185" s="14" t="s">
        <v>5036</v>
      </c>
      <c r="CD185" s="14" t="s">
        <v>5962</v>
      </c>
      <c r="CE185" s="14" t="s">
        <v>5945</v>
      </c>
    </row>
    <row r="186" spans="1:83" ht="26.15" customHeight="1">
      <c r="A186" s="13">
        <v>180</v>
      </c>
      <c r="B186" s="14" t="s">
        <v>1837</v>
      </c>
      <c r="C186" s="14" t="s">
        <v>1838</v>
      </c>
      <c r="D186" s="14" t="s">
        <v>1839</v>
      </c>
      <c r="E186" s="13">
        <v>2014</v>
      </c>
      <c r="F186" s="14" t="s">
        <v>5673</v>
      </c>
      <c r="G186" s="14" t="s">
        <v>5674</v>
      </c>
      <c r="H186" s="14" t="s">
        <v>2057</v>
      </c>
      <c r="I186" s="15" t="s">
        <v>3117</v>
      </c>
      <c r="J186" s="16"/>
      <c r="K186" s="17">
        <v>43115</v>
      </c>
      <c r="L186" s="16"/>
      <c r="M186" s="16" t="s">
        <v>50</v>
      </c>
      <c r="N186" s="14" t="s">
        <v>34</v>
      </c>
      <c r="O186" s="13">
        <v>2</v>
      </c>
      <c r="P186" s="17">
        <v>44055</v>
      </c>
      <c r="Q186" s="14"/>
      <c r="R186" s="17"/>
      <c r="S186" s="17"/>
      <c r="T186" s="14" t="s">
        <v>5947</v>
      </c>
      <c r="U186" s="14" t="s">
        <v>7296</v>
      </c>
      <c r="V186" s="14" t="s">
        <v>7297</v>
      </c>
      <c r="W186" s="14"/>
      <c r="X186" s="14" t="s">
        <v>7298</v>
      </c>
      <c r="Y186" s="14"/>
      <c r="Z186" s="14" t="s">
        <v>7299</v>
      </c>
      <c r="AA186" s="14"/>
      <c r="AB186" s="14" t="s">
        <v>2057</v>
      </c>
      <c r="AC186" s="14" t="s">
        <v>7300</v>
      </c>
      <c r="AD186" s="14" t="s">
        <v>7301</v>
      </c>
      <c r="AE186" s="14" t="s">
        <v>7302</v>
      </c>
      <c r="AF186" s="14"/>
      <c r="AG186" s="14"/>
      <c r="AH186" s="18"/>
      <c r="AI186" s="16"/>
      <c r="AJ186" s="17"/>
      <c r="AK186" s="15" t="s">
        <v>3123</v>
      </c>
      <c r="AL186" s="17"/>
      <c r="AM186" s="16"/>
      <c r="AN186" s="14"/>
      <c r="AO186" s="14"/>
      <c r="AP186" s="15" t="s">
        <v>3123</v>
      </c>
      <c r="AQ186" s="14"/>
      <c r="AR186" s="17"/>
      <c r="AS186" s="16"/>
      <c r="AT186" s="14"/>
      <c r="AU186" s="15" t="s">
        <v>3123</v>
      </c>
      <c r="AV186" s="14"/>
      <c r="AW186" s="17"/>
      <c r="AX186" s="16"/>
      <c r="AY186" s="16"/>
      <c r="AZ186" s="16"/>
      <c r="BA186" s="16"/>
      <c r="BB186" s="15" t="s">
        <v>3123</v>
      </c>
      <c r="BC186" s="17"/>
      <c r="BD186" s="14"/>
      <c r="BE186" s="14"/>
      <c r="BF186" s="16"/>
      <c r="BG186" s="16"/>
      <c r="BH186" s="13"/>
      <c r="BI186" s="18" t="s">
        <v>7303</v>
      </c>
      <c r="BJ186" s="13">
        <v>200</v>
      </c>
      <c r="BK186" s="17">
        <v>44125</v>
      </c>
      <c r="BL186" s="18"/>
      <c r="BM186" s="18"/>
      <c r="BN186" s="18"/>
      <c r="BO186" s="18"/>
      <c r="BP186" s="14" t="s">
        <v>7304</v>
      </c>
      <c r="BQ186" s="17">
        <v>43656</v>
      </c>
      <c r="BR186" s="16"/>
      <c r="BS186" s="17"/>
      <c r="BT186" s="16"/>
      <c r="BU186" s="17"/>
      <c r="BV186" s="16"/>
      <c r="BW186" s="17"/>
      <c r="BX186" s="16"/>
      <c r="BY186" s="17"/>
      <c r="BZ186" s="19">
        <v>15.778765587636467</v>
      </c>
      <c r="CA186" s="19"/>
      <c r="CB186" s="17"/>
      <c r="CC186" s="14" t="s">
        <v>7305</v>
      </c>
      <c r="CD186" s="14" t="s">
        <v>7306</v>
      </c>
      <c r="CE186" s="14" t="s">
        <v>5004</v>
      </c>
    </row>
    <row r="187" spans="1:83" ht="26.15" customHeight="1">
      <c r="A187" s="13">
        <v>181</v>
      </c>
      <c r="B187" s="14" t="s">
        <v>1728</v>
      </c>
      <c r="C187" s="14" t="s">
        <v>1729</v>
      </c>
      <c r="D187" s="14" t="s">
        <v>1733</v>
      </c>
      <c r="E187" s="13">
        <v>2015</v>
      </c>
      <c r="F187" s="14" t="s">
        <v>7307</v>
      </c>
      <c r="G187" s="14" t="s">
        <v>5267</v>
      </c>
      <c r="H187" s="14" t="s">
        <v>2057</v>
      </c>
      <c r="I187" s="15" t="s">
        <v>3117</v>
      </c>
      <c r="J187" s="16"/>
      <c r="K187" s="17">
        <v>43208</v>
      </c>
      <c r="L187" s="16"/>
      <c r="M187" s="16" t="s">
        <v>50</v>
      </c>
      <c r="N187" s="14" t="s">
        <v>109</v>
      </c>
      <c r="O187" s="13">
        <v>2</v>
      </c>
      <c r="P187" s="17">
        <v>44081</v>
      </c>
      <c r="Q187" s="14"/>
      <c r="R187" s="17"/>
      <c r="S187" s="17"/>
      <c r="T187" s="14" t="s">
        <v>1</v>
      </c>
      <c r="U187" s="14" t="s">
        <v>5084</v>
      </c>
      <c r="V187" s="14" t="s">
        <v>6268</v>
      </c>
      <c r="W187" s="14"/>
      <c r="X187" s="14" t="s">
        <v>7308</v>
      </c>
      <c r="Y187" s="14"/>
      <c r="Z187" s="14" t="s">
        <v>7309</v>
      </c>
      <c r="AA187" s="14"/>
      <c r="AB187" s="14" t="s">
        <v>2057</v>
      </c>
      <c r="AC187" s="14"/>
      <c r="AD187" s="14"/>
      <c r="AE187" s="14" t="s">
        <v>7310</v>
      </c>
      <c r="AF187" s="14"/>
      <c r="AG187" s="14"/>
      <c r="AH187" s="18"/>
      <c r="AI187" s="16"/>
      <c r="AJ187" s="17"/>
      <c r="AK187" s="15" t="s">
        <v>3123</v>
      </c>
      <c r="AL187" s="17"/>
      <c r="AM187" s="16"/>
      <c r="AN187" s="14"/>
      <c r="AO187" s="14"/>
      <c r="AP187" s="15" t="s">
        <v>3123</v>
      </c>
      <c r="AQ187" s="14"/>
      <c r="AR187" s="17"/>
      <c r="AS187" s="16"/>
      <c r="AT187" s="14"/>
      <c r="AU187" s="15" t="s">
        <v>3123</v>
      </c>
      <c r="AV187" s="14"/>
      <c r="AW187" s="17"/>
      <c r="AX187" s="16"/>
      <c r="AY187" s="16"/>
      <c r="AZ187" s="16"/>
      <c r="BA187" s="16"/>
      <c r="BB187" s="15" t="s">
        <v>3123</v>
      </c>
      <c r="BC187" s="17"/>
      <c r="BD187" s="14"/>
      <c r="BE187" s="14"/>
      <c r="BF187" s="16"/>
      <c r="BG187" s="16"/>
      <c r="BH187" s="13"/>
      <c r="BI187" s="18" t="s">
        <v>7311</v>
      </c>
      <c r="BJ187" s="13">
        <v>200</v>
      </c>
      <c r="BK187" s="17">
        <v>44125</v>
      </c>
      <c r="BL187" s="18"/>
      <c r="BM187" s="18"/>
      <c r="BN187" s="18"/>
      <c r="BO187" s="18"/>
      <c r="BP187" s="14" t="s">
        <v>7312</v>
      </c>
      <c r="BQ187" s="17">
        <v>42969</v>
      </c>
      <c r="BR187" s="16"/>
      <c r="BS187" s="17"/>
      <c r="BT187" s="16"/>
      <c r="BU187" s="17"/>
      <c r="BV187" s="16"/>
      <c r="BW187" s="17"/>
      <c r="BX187" s="16"/>
      <c r="BY187" s="17"/>
      <c r="BZ187" s="19">
        <v>14.789998799106609</v>
      </c>
      <c r="CA187" s="19"/>
      <c r="CB187" s="17"/>
      <c r="CC187" s="14" t="s">
        <v>5104</v>
      </c>
      <c r="CD187" s="14" t="s">
        <v>5962</v>
      </c>
      <c r="CE187" s="14" t="s">
        <v>5945</v>
      </c>
    </row>
    <row r="188" spans="1:83" ht="26.15" customHeight="1">
      <c r="A188" s="13">
        <v>182</v>
      </c>
      <c r="B188" s="14" t="s">
        <v>1448</v>
      </c>
      <c r="C188" s="14" t="s">
        <v>1449</v>
      </c>
      <c r="D188" s="14" t="s">
        <v>1451</v>
      </c>
      <c r="E188" s="13">
        <v>2016</v>
      </c>
      <c r="F188" s="14" t="s">
        <v>7313</v>
      </c>
      <c r="G188" s="14" t="s">
        <v>5039</v>
      </c>
      <c r="H188" s="14" t="s">
        <v>3994</v>
      </c>
      <c r="I188" s="15" t="s">
        <v>3117</v>
      </c>
      <c r="J188" s="16">
        <v>114859</v>
      </c>
      <c r="K188" s="17">
        <v>43355</v>
      </c>
      <c r="L188" s="16"/>
      <c r="M188" s="16" t="s">
        <v>50</v>
      </c>
      <c r="N188" s="14" t="s">
        <v>34</v>
      </c>
      <c r="O188" s="13">
        <v>4</v>
      </c>
      <c r="P188" s="17">
        <v>44018</v>
      </c>
      <c r="Q188" s="14"/>
      <c r="R188" s="17"/>
      <c r="S188" s="17"/>
      <c r="T188" s="14" t="s">
        <v>4995</v>
      </c>
      <c r="U188" s="14" t="s">
        <v>5578</v>
      </c>
      <c r="V188" s="14" t="s">
        <v>7314</v>
      </c>
      <c r="W188" s="14"/>
      <c r="X188" s="14" t="s">
        <v>7315</v>
      </c>
      <c r="Y188" s="14" t="s">
        <v>1925</v>
      </c>
      <c r="Z188" s="14" t="s">
        <v>7316</v>
      </c>
      <c r="AA188" s="14"/>
      <c r="AB188" s="14" t="s">
        <v>3994</v>
      </c>
      <c r="AC188" s="14" t="s">
        <v>7317</v>
      </c>
      <c r="AD188" s="14" t="s">
        <v>7318</v>
      </c>
      <c r="AE188" s="14" t="s">
        <v>7319</v>
      </c>
      <c r="AF188" s="14" t="s">
        <v>7320</v>
      </c>
      <c r="AG188" s="14" t="s">
        <v>7321</v>
      </c>
      <c r="AH188" s="18"/>
      <c r="AI188" s="16">
        <v>647200</v>
      </c>
      <c r="AJ188" s="17">
        <v>43100</v>
      </c>
      <c r="AK188" s="15" t="s">
        <v>3117</v>
      </c>
      <c r="AL188" s="17">
        <v>42598</v>
      </c>
      <c r="AM188" s="16">
        <v>1493</v>
      </c>
      <c r="AN188" s="14" t="s">
        <v>7322</v>
      </c>
      <c r="AO188" s="14" t="s">
        <v>7323</v>
      </c>
      <c r="AP188" s="15" t="s">
        <v>3123</v>
      </c>
      <c r="AQ188" s="14"/>
      <c r="AR188" s="17"/>
      <c r="AS188" s="16"/>
      <c r="AT188" s="14"/>
      <c r="AU188" s="15" t="s">
        <v>3123</v>
      </c>
      <c r="AV188" s="14"/>
      <c r="AW188" s="17"/>
      <c r="AX188" s="16"/>
      <c r="AY188" s="16"/>
      <c r="AZ188" s="16"/>
      <c r="BA188" s="16"/>
      <c r="BB188" s="15" t="s">
        <v>3123</v>
      </c>
      <c r="BC188" s="17"/>
      <c r="BD188" s="14"/>
      <c r="BE188" s="14"/>
      <c r="BF188" s="16"/>
      <c r="BG188" s="16"/>
      <c r="BH188" s="13"/>
      <c r="BI188" s="18" t="s">
        <v>7324</v>
      </c>
      <c r="BJ188" s="13">
        <v>200</v>
      </c>
      <c r="BK188" s="17">
        <v>44125</v>
      </c>
      <c r="BL188" s="18" t="s">
        <v>7325</v>
      </c>
      <c r="BM188" s="18" t="s">
        <v>7326</v>
      </c>
      <c r="BN188" s="18" t="s">
        <v>7327</v>
      </c>
      <c r="BO188" s="18"/>
      <c r="BP188" s="14" t="s">
        <v>7328</v>
      </c>
      <c r="BQ188" s="17">
        <v>43335</v>
      </c>
      <c r="BR188" s="16">
        <v>-27600</v>
      </c>
      <c r="BS188" s="17">
        <v>43100</v>
      </c>
      <c r="BT188" s="16">
        <v>-20800</v>
      </c>
      <c r="BU188" s="17">
        <v>43100</v>
      </c>
      <c r="BV188" s="16"/>
      <c r="BW188" s="17"/>
      <c r="BX188" s="16"/>
      <c r="BY188" s="17"/>
      <c r="BZ188" s="19">
        <v>38.555205465746276</v>
      </c>
      <c r="CA188" s="19"/>
      <c r="CB188" s="17"/>
      <c r="CC188" s="14" t="s">
        <v>6487</v>
      </c>
      <c r="CD188" s="14" t="s">
        <v>7329</v>
      </c>
      <c r="CE188" s="14" t="s">
        <v>5004</v>
      </c>
    </row>
    <row r="189" spans="1:83" ht="26.15" customHeight="1">
      <c r="A189" s="13">
        <v>183</v>
      </c>
      <c r="B189" s="14" t="s">
        <v>610</v>
      </c>
      <c r="C189" s="14" t="s">
        <v>611</v>
      </c>
      <c r="D189" s="14" t="s">
        <v>613</v>
      </c>
      <c r="E189" s="13">
        <v>2011</v>
      </c>
      <c r="F189" s="14" t="s">
        <v>7330</v>
      </c>
      <c r="G189" s="14" t="s">
        <v>7331</v>
      </c>
      <c r="H189" s="14" t="s">
        <v>2057</v>
      </c>
      <c r="I189" s="15" t="s">
        <v>3117</v>
      </c>
      <c r="J189" s="16">
        <v>1577228</v>
      </c>
      <c r="K189" s="17">
        <v>43823</v>
      </c>
      <c r="L189" s="16"/>
      <c r="M189" s="16" t="s">
        <v>50</v>
      </c>
      <c r="N189" s="14" t="s">
        <v>25</v>
      </c>
      <c r="O189" s="13">
        <v>3</v>
      </c>
      <c r="P189" s="17">
        <v>44081</v>
      </c>
      <c r="Q189" s="14"/>
      <c r="R189" s="17"/>
      <c r="S189" s="17"/>
      <c r="T189" s="14" t="s">
        <v>5041</v>
      </c>
      <c r="U189" s="14" t="s">
        <v>5042</v>
      </c>
      <c r="V189" s="14" t="s">
        <v>7332</v>
      </c>
      <c r="W189" s="14"/>
      <c r="X189" s="14" t="s">
        <v>7333</v>
      </c>
      <c r="Y189" s="14"/>
      <c r="Z189" s="14" t="s">
        <v>7334</v>
      </c>
      <c r="AA189" s="14"/>
      <c r="AB189" s="14" t="s">
        <v>2057</v>
      </c>
      <c r="AC189" s="14"/>
      <c r="AD189" s="14"/>
      <c r="AE189" s="14"/>
      <c r="AF189" s="14"/>
      <c r="AG189" s="14"/>
      <c r="AH189" s="18"/>
      <c r="AI189" s="16"/>
      <c r="AJ189" s="17"/>
      <c r="AK189" s="15" t="s">
        <v>3123</v>
      </c>
      <c r="AL189" s="17"/>
      <c r="AM189" s="16"/>
      <c r="AN189" s="14"/>
      <c r="AO189" s="14"/>
      <c r="AP189" s="15" t="s">
        <v>3123</v>
      </c>
      <c r="AQ189" s="14"/>
      <c r="AR189" s="17"/>
      <c r="AS189" s="16"/>
      <c r="AT189" s="14"/>
      <c r="AU189" s="15" t="s">
        <v>3123</v>
      </c>
      <c r="AV189" s="14"/>
      <c r="AW189" s="17"/>
      <c r="AX189" s="16"/>
      <c r="AY189" s="16"/>
      <c r="AZ189" s="16"/>
      <c r="BA189" s="16"/>
      <c r="BB189" s="15" t="s">
        <v>3123</v>
      </c>
      <c r="BC189" s="17"/>
      <c r="BD189" s="14"/>
      <c r="BE189" s="14"/>
      <c r="BF189" s="16"/>
      <c r="BG189" s="16"/>
      <c r="BH189" s="13"/>
      <c r="BI189" s="18" t="s">
        <v>7335</v>
      </c>
      <c r="BJ189" s="13">
        <v>200</v>
      </c>
      <c r="BK189" s="17">
        <v>44125</v>
      </c>
      <c r="BL189" s="18" t="s">
        <v>7336</v>
      </c>
      <c r="BM189" s="18"/>
      <c r="BN189" s="18"/>
      <c r="BO189" s="18"/>
      <c r="BP189" s="14" t="s">
        <v>7337</v>
      </c>
      <c r="BQ189" s="17">
        <v>42929</v>
      </c>
      <c r="BR189" s="16"/>
      <c r="BS189" s="17"/>
      <c r="BT189" s="16"/>
      <c r="BU189" s="17"/>
      <c r="BV189" s="16"/>
      <c r="BW189" s="17"/>
      <c r="BX189" s="16"/>
      <c r="BY189" s="17"/>
      <c r="BZ189" s="19">
        <v>28.412474731814701</v>
      </c>
      <c r="CA189" s="19"/>
      <c r="CB189" s="17"/>
      <c r="CC189" s="14" t="s">
        <v>5036</v>
      </c>
      <c r="CD189" s="14" t="s">
        <v>5962</v>
      </c>
      <c r="CE189" s="14" t="s">
        <v>5945</v>
      </c>
    </row>
    <row r="190" spans="1:83" ht="26.15" customHeight="1">
      <c r="A190" s="13">
        <v>184</v>
      </c>
      <c r="B190" s="14" t="s">
        <v>373</v>
      </c>
      <c r="C190" s="14" t="s">
        <v>374</v>
      </c>
      <c r="D190" s="14" t="s">
        <v>376</v>
      </c>
      <c r="E190" s="13">
        <v>2016</v>
      </c>
      <c r="F190" s="14" t="s">
        <v>7338</v>
      </c>
      <c r="G190" s="14" t="s">
        <v>5152</v>
      </c>
      <c r="H190" s="14" t="s">
        <v>2057</v>
      </c>
      <c r="I190" s="15" t="s">
        <v>3117</v>
      </c>
      <c r="J190" s="16">
        <v>280450</v>
      </c>
      <c r="K190" s="17">
        <v>43976</v>
      </c>
      <c r="L190" s="16" t="s">
        <v>5371</v>
      </c>
      <c r="M190" s="16">
        <v>280450</v>
      </c>
      <c r="N190" s="14" t="s">
        <v>34</v>
      </c>
      <c r="O190" s="13">
        <v>3</v>
      </c>
      <c r="P190" s="17">
        <v>43985</v>
      </c>
      <c r="Q190" s="14"/>
      <c r="R190" s="17"/>
      <c r="S190" s="17"/>
      <c r="T190" s="14" t="s">
        <v>1</v>
      </c>
      <c r="U190" s="14" t="s">
        <v>5007</v>
      </c>
      <c r="V190" s="14" t="s">
        <v>5192</v>
      </c>
      <c r="W190" s="14"/>
      <c r="X190" s="14"/>
      <c r="Y190" s="14"/>
      <c r="Z190" s="14" t="s">
        <v>7339</v>
      </c>
      <c r="AA190" s="14"/>
      <c r="AB190" s="14" t="s">
        <v>2057</v>
      </c>
      <c r="AC190" s="14" t="s">
        <v>7340</v>
      </c>
      <c r="AD190" s="14" t="s">
        <v>7341</v>
      </c>
      <c r="AE190" s="14"/>
      <c r="AF190" s="14"/>
      <c r="AG190" s="14"/>
      <c r="AH190" s="18"/>
      <c r="AI190" s="16"/>
      <c r="AJ190" s="17"/>
      <c r="AK190" s="15" t="s">
        <v>3123</v>
      </c>
      <c r="AL190" s="17"/>
      <c r="AM190" s="16"/>
      <c r="AN190" s="14"/>
      <c r="AO190" s="14"/>
      <c r="AP190" s="15" t="s">
        <v>3123</v>
      </c>
      <c r="AQ190" s="14"/>
      <c r="AR190" s="17"/>
      <c r="AS190" s="16"/>
      <c r="AT190" s="14"/>
      <c r="AU190" s="15" t="s">
        <v>3123</v>
      </c>
      <c r="AV190" s="14"/>
      <c r="AW190" s="17"/>
      <c r="AX190" s="16"/>
      <c r="AY190" s="16"/>
      <c r="AZ190" s="16"/>
      <c r="BA190" s="16"/>
      <c r="BB190" s="15" t="s">
        <v>3123</v>
      </c>
      <c r="BC190" s="17"/>
      <c r="BD190" s="14"/>
      <c r="BE190" s="14"/>
      <c r="BF190" s="16"/>
      <c r="BG190" s="16"/>
      <c r="BH190" s="13"/>
      <c r="BI190" s="18" t="s">
        <v>7342</v>
      </c>
      <c r="BJ190" s="13">
        <v>200</v>
      </c>
      <c r="BK190" s="17">
        <v>44125</v>
      </c>
      <c r="BL190" s="18"/>
      <c r="BM190" s="18"/>
      <c r="BN190" s="18"/>
      <c r="BO190" s="18"/>
      <c r="BP190" s="14" t="s">
        <v>7343</v>
      </c>
      <c r="BQ190" s="17">
        <v>43980</v>
      </c>
      <c r="BR190" s="16"/>
      <c r="BS190" s="17"/>
      <c r="BT190" s="16"/>
      <c r="BU190" s="17"/>
      <c r="BV190" s="16"/>
      <c r="BW190" s="17"/>
      <c r="BX190" s="16"/>
      <c r="BY190" s="17"/>
      <c r="BZ190" s="19">
        <v>14.731697768340959</v>
      </c>
      <c r="CA190" s="19"/>
      <c r="CB190" s="17"/>
      <c r="CC190" s="14" t="s">
        <v>5149</v>
      </c>
      <c r="CD190" s="14" t="s">
        <v>5150</v>
      </c>
      <c r="CE190" s="14" t="s">
        <v>5004</v>
      </c>
    </row>
    <row r="191" spans="1:83" ht="26.15" hidden="1" customHeight="1">
      <c r="A191" s="13">
        <v>185</v>
      </c>
      <c r="B191" s="14" t="s">
        <v>687</v>
      </c>
      <c r="C191" s="14" t="s">
        <v>688</v>
      </c>
      <c r="D191" s="14" t="s">
        <v>692</v>
      </c>
      <c r="E191" s="13">
        <v>2008</v>
      </c>
      <c r="F191" s="14" t="s">
        <v>7344</v>
      </c>
      <c r="G191" s="14" t="s">
        <v>5050</v>
      </c>
      <c r="H191" s="14" t="s">
        <v>4343</v>
      </c>
      <c r="I191" s="15" t="s">
        <v>3117</v>
      </c>
      <c r="J191" s="16">
        <v>14500000</v>
      </c>
      <c r="K191" s="17">
        <v>43774</v>
      </c>
      <c r="L191" s="16" t="s">
        <v>6597</v>
      </c>
      <c r="M191" s="16">
        <v>8500000</v>
      </c>
      <c r="N191" s="14" t="s">
        <v>109</v>
      </c>
      <c r="O191" s="13">
        <v>4</v>
      </c>
      <c r="P191" s="17">
        <v>44055</v>
      </c>
      <c r="Q191" s="14" t="s">
        <v>5052</v>
      </c>
      <c r="R191" s="17">
        <v>43783</v>
      </c>
      <c r="S191" s="17">
        <v>43613</v>
      </c>
      <c r="T191" s="14" t="s">
        <v>5947</v>
      </c>
      <c r="U191" s="14" t="s">
        <v>7345</v>
      </c>
      <c r="V191" s="14" t="s">
        <v>7346</v>
      </c>
      <c r="W191" s="14"/>
      <c r="X191" s="14" t="s">
        <v>7347</v>
      </c>
      <c r="Y191" s="14"/>
      <c r="Z191" s="14" t="s">
        <v>7348</v>
      </c>
      <c r="AA191" s="14"/>
      <c r="AB191" s="14" t="s">
        <v>4343</v>
      </c>
      <c r="AC191" s="14"/>
      <c r="AD191" s="14"/>
      <c r="AE191" s="14" t="s">
        <v>7349</v>
      </c>
      <c r="AF191" s="14"/>
      <c r="AG191" s="14" t="s">
        <v>7350</v>
      </c>
      <c r="AH191" s="18"/>
      <c r="AI191" s="16"/>
      <c r="AJ191" s="17"/>
      <c r="AK191" s="15" t="s">
        <v>3123</v>
      </c>
      <c r="AL191" s="17"/>
      <c r="AM191" s="16"/>
      <c r="AN191" s="14"/>
      <c r="AO191" s="14"/>
      <c r="AP191" s="15" t="s">
        <v>3123</v>
      </c>
      <c r="AQ191" s="14"/>
      <c r="AR191" s="17"/>
      <c r="AS191" s="16"/>
      <c r="AT191" s="14"/>
      <c r="AU191" s="15" t="s">
        <v>3123</v>
      </c>
      <c r="AV191" s="14"/>
      <c r="AW191" s="17"/>
      <c r="AX191" s="16"/>
      <c r="AY191" s="16"/>
      <c r="AZ191" s="16"/>
      <c r="BA191" s="16"/>
      <c r="BB191" s="15" t="s">
        <v>3123</v>
      </c>
      <c r="BC191" s="17"/>
      <c r="BD191" s="14" t="s">
        <v>3082</v>
      </c>
      <c r="BE191" s="14"/>
      <c r="BF191" s="16"/>
      <c r="BG191" s="16"/>
      <c r="BH191" s="13"/>
      <c r="BI191" s="18" t="s">
        <v>7351</v>
      </c>
      <c r="BJ191" s="13">
        <v>200</v>
      </c>
      <c r="BK191" s="17">
        <v>44125</v>
      </c>
      <c r="BL191" s="18" t="s">
        <v>7352</v>
      </c>
      <c r="BM191" s="18"/>
      <c r="BN191" s="18"/>
      <c r="BO191" s="18"/>
      <c r="BP191" s="14" t="s">
        <v>7353</v>
      </c>
      <c r="BQ191" s="17">
        <v>42929</v>
      </c>
      <c r="BR191" s="16"/>
      <c r="BS191" s="17"/>
      <c r="BT191" s="16"/>
      <c r="BU191" s="17"/>
      <c r="BV191" s="16"/>
      <c r="BW191" s="17"/>
      <c r="BX191" s="16"/>
      <c r="BY191" s="17"/>
      <c r="BZ191" s="19">
        <v>44.166848499883116</v>
      </c>
      <c r="CA191" s="19"/>
      <c r="CB191" s="17"/>
      <c r="CC191" s="14" t="s">
        <v>7284</v>
      </c>
      <c r="CD191" s="14" t="s">
        <v>6002</v>
      </c>
      <c r="CE191" s="14" t="s">
        <v>5945</v>
      </c>
    </row>
    <row r="192" spans="1:83" ht="26.15" customHeight="1">
      <c r="A192" s="13">
        <v>186</v>
      </c>
      <c r="B192" s="14" t="s">
        <v>35</v>
      </c>
      <c r="C192" s="14" t="s">
        <v>36</v>
      </c>
      <c r="D192" s="14" t="s">
        <v>40</v>
      </c>
      <c r="E192" s="13">
        <v>2014</v>
      </c>
      <c r="F192" s="14" t="s">
        <v>5389</v>
      </c>
      <c r="G192" s="14" t="s">
        <v>5390</v>
      </c>
      <c r="H192" s="14" t="s">
        <v>5391</v>
      </c>
      <c r="I192" s="15" t="s">
        <v>3117</v>
      </c>
      <c r="J192" s="16">
        <v>220000</v>
      </c>
      <c r="K192" s="17">
        <v>44138</v>
      </c>
      <c r="L192" s="16" t="s">
        <v>7354</v>
      </c>
      <c r="M192" s="16">
        <v>220000</v>
      </c>
      <c r="N192" s="14" t="s">
        <v>34</v>
      </c>
      <c r="O192" s="13">
        <v>3</v>
      </c>
      <c r="P192" s="17">
        <v>44014</v>
      </c>
      <c r="Q192" s="14"/>
      <c r="R192" s="17"/>
      <c r="S192" s="17"/>
      <c r="T192" s="14" t="s">
        <v>1</v>
      </c>
      <c r="U192" s="14" t="s">
        <v>5007</v>
      </c>
      <c r="V192" s="14" t="s">
        <v>6408</v>
      </c>
      <c r="W192" s="14"/>
      <c r="X192" s="14" t="s">
        <v>7355</v>
      </c>
      <c r="Y192" s="14"/>
      <c r="Z192" s="14" t="s">
        <v>7356</v>
      </c>
      <c r="AA192" s="14"/>
      <c r="AB192" s="14" t="s">
        <v>5391</v>
      </c>
      <c r="AC192" s="14" t="s">
        <v>7357</v>
      </c>
      <c r="AD192" s="14" t="s">
        <v>7358</v>
      </c>
      <c r="AE192" s="14" t="s">
        <v>7359</v>
      </c>
      <c r="AF192" s="14" t="s">
        <v>7360</v>
      </c>
      <c r="AG192" s="14" t="s">
        <v>7361</v>
      </c>
      <c r="AH192" s="18"/>
      <c r="AI192" s="16"/>
      <c r="AJ192" s="17"/>
      <c r="AK192" s="15" t="s">
        <v>3123</v>
      </c>
      <c r="AL192" s="17"/>
      <c r="AM192" s="16"/>
      <c r="AN192" s="14"/>
      <c r="AO192" s="14"/>
      <c r="AP192" s="15" t="s">
        <v>3123</v>
      </c>
      <c r="AQ192" s="14"/>
      <c r="AR192" s="17"/>
      <c r="AS192" s="16"/>
      <c r="AT192" s="14"/>
      <c r="AU192" s="15" t="s">
        <v>3123</v>
      </c>
      <c r="AV192" s="14"/>
      <c r="AW192" s="17"/>
      <c r="AX192" s="16"/>
      <c r="AY192" s="16"/>
      <c r="AZ192" s="16"/>
      <c r="BA192" s="16"/>
      <c r="BB192" s="15" t="s">
        <v>3123</v>
      </c>
      <c r="BC192" s="17"/>
      <c r="BD192" s="14"/>
      <c r="BE192" s="14"/>
      <c r="BF192" s="16"/>
      <c r="BG192" s="16"/>
      <c r="BH192" s="13"/>
      <c r="BI192" s="18" t="s">
        <v>7362</v>
      </c>
      <c r="BJ192" s="13">
        <v>200</v>
      </c>
      <c r="BK192" s="17">
        <v>44125</v>
      </c>
      <c r="BL192" s="18" t="s">
        <v>7363</v>
      </c>
      <c r="BM192" s="18" t="s">
        <v>7364</v>
      </c>
      <c r="BN192" s="18" t="s">
        <v>7365</v>
      </c>
      <c r="BO192" s="18" t="s">
        <v>7366</v>
      </c>
      <c r="BP192" s="14" t="s">
        <v>7367</v>
      </c>
      <c r="BQ192" s="17">
        <v>44014</v>
      </c>
      <c r="BR192" s="16"/>
      <c r="BS192" s="17"/>
      <c r="BT192" s="16"/>
      <c r="BU192" s="17"/>
      <c r="BV192" s="16"/>
      <c r="BW192" s="17"/>
      <c r="BX192" s="16"/>
      <c r="BY192" s="17"/>
      <c r="BZ192" s="19">
        <v>38.6922915769605</v>
      </c>
      <c r="CA192" s="19"/>
      <c r="CB192" s="17"/>
      <c r="CC192" s="14" t="s">
        <v>6902</v>
      </c>
      <c r="CD192" s="14" t="s">
        <v>6903</v>
      </c>
      <c r="CE192" s="14" t="s">
        <v>5004</v>
      </c>
    </row>
    <row r="193" spans="1:83" ht="26.15" customHeight="1">
      <c r="A193" s="13">
        <v>187</v>
      </c>
      <c r="B193" s="14" t="s">
        <v>1876</v>
      </c>
      <c r="C193" s="14" t="s">
        <v>1877</v>
      </c>
      <c r="D193" s="14" t="s">
        <v>942</v>
      </c>
      <c r="E193" s="13">
        <v>2016</v>
      </c>
      <c r="F193" s="14" t="s">
        <v>7368</v>
      </c>
      <c r="G193" s="14" t="s">
        <v>6763</v>
      </c>
      <c r="H193" s="14" t="s">
        <v>5333</v>
      </c>
      <c r="I193" s="15" t="s">
        <v>3117</v>
      </c>
      <c r="J193" s="16"/>
      <c r="K193" s="17">
        <v>43081</v>
      </c>
      <c r="L193" s="16" t="s">
        <v>5191</v>
      </c>
      <c r="M193" s="16">
        <v>30000</v>
      </c>
      <c r="N193" s="14" t="s">
        <v>5040</v>
      </c>
      <c r="O193" s="13">
        <v>3</v>
      </c>
      <c r="P193" s="17">
        <v>44057</v>
      </c>
      <c r="Q193" s="14"/>
      <c r="R193" s="17"/>
      <c r="S193" s="17"/>
      <c r="T193" s="14" t="s">
        <v>5041</v>
      </c>
      <c r="U193" s="14" t="s">
        <v>7369</v>
      </c>
      <c r="V193" s="14" t="s">
        <v>7370</v>
      </c>
      <c r="W193" s="14"/>
      <c r="X193" s="14" t="s">
        <v>3689</v>
      </c>
      <c r="Y193" s="14"/>
      <c r="Z193" s="14" t="s">
        <v>7371</v>
      </c>
      <c r="AA193" s="14"/>
      <c r="AB193" s="14" t="s">
        <v>5333</v>
      </c>
      <c r="AC193" s="14"/>
      <c r="AD193" s="14"/>
      <c r="AE193" s="14" t="s">
        <v>7372</v>
      </c>
      <c r="AF193" s="14" t="s">
        <v>7373</v>
      </c>
      <c r="AG193" s="14" t="s">
        <v>7374</v>
      </c>
      <c r="AH193" s="18"/>
      <c r="AI193" s="16"/>
      <c r="AJ193" s="17"/>
      <c r="AK193" s="15" t="s">
        <v>3123</v>
      </c>
      <c r="AL193" s="17"/>
      <c r="AM193" s="16"/>
      <c r="AN193" s="14"/>
      <c r="AO193" s="14"/>
      <c r="AP193" s="15" t="s">
        <v>3123</v>
      </c>
      <c r="AQ193" s="14"/>
      <c r="AR193" s="17"/>
      <c r="AS193" s="16"/>
      <c r="AT193" s="14"/>
      <c r="AU193" s="15" t="s">
        <v>3123</v>
      </c>
      <c r="AV193" s="14"/>
      <c r="AW193" s="17"/>
      <c r="AX193" s="16"/>
      <c r="AY193" s="16"/>
      <c r="AZ193" s="16"/>
      <c r="BA193" s="16"/>
      <c r="BB193" s="15" t="s">
        <v>3123</v>
      </c>
      <c r="BC193" s="17"/>
      <c r="BD193" s="14"/>
      <c r="BE193" s="14"/>
      <c r="BF193" s="16"/>
      <c r="BG193" s="16"/>
      <c r="BH193" s="13"/>
      <c r="BI193" s="18" t="s">
        <v>7375</v>
      </c>
      <c r="BJ193" s="13">
        <v>-1</v>
      </c>
      <c r="BK193" s="17">
        <v>44125</v>
      </c>
      <c r="BL193" s="18"/>
      <c r="BM193" s="18" t="s">
        <v>7376</v>
      </c>
      <c r="BN193" s="18"/>
      <c r="BO193" s="18"/>
      <c r="BP193" s="14" t="s">
        <v>7377</v>
      </c>
      <c r="BQ193" s="17">
        <v>44005</v>
      </c>
      <c r="BR193" s="16"/>
      <c r="BS193" s="17"/>
      <c r="BT193" s="16"/>
      <c r="BU193" s="17"/>
      <c r="BV193" s="16"/>
      <c r="BW193" s="17"/>
      <c r="BX193" s="16"/>
      <c r="BY193" s="17"/>
      <c r="BZ193" s="19">
        <v>29.113949353778999</v>
      </c>
      <c r="CA193" s="19"/>
      <c r="CB193" s="17"/>
      <c r="CC193" s="14" t="s">
        <v>5048</v>
      </c>
      <c r="CD193" s="14" t="s">
        <v>5049</v>
      </c>
      <c r="CE193" s="14" t="s">
        <v>5004</v>
      </c>
    </row>
    <row r="194" spans="1:83" ht="26.15" customHeight="1">
      <c r="A194" s="13">
        <v>188</v>
      </c>
      <c r="B194" s="14" t="s">
        <v>2073</v>
      </c>
      <c r="C194" s="14" t="s">
        <v>2074</v>
      </c>
      <c r="D194" s="14" t="s">
        <v>2076</v>
      </c>
      <c r="E194" s="13">
        <v>2015</v>
      </c>
      <c r="F194" s="14" t="s">
        <v>7378</v>
      </c>
      <c r="G194" s="14" t="s">
        <v>7379</v>
      </c>
      <c r="H194" s="14" t="s">
        <v>3468</v>
      </c>
      <c r="I194" s="15" t="s">
        <v>3117</v>
      </c>
      <c r="J194" s="16">
        <v>170000</v>
      </c>
      <c r="K194" s="17">
        <v>42887</v>
      </c>
      <c r="L194" s="16" t="s">
        <v>7149</v>
      </c>
      <c r="M194" s="16">
        <v>120000</v>
      </c>
      <c r="N194" s="14" t="s">
        <v>34</v>
      </c>
      <c r="O194" s="13">
        <v>4</v>
      </c>
      <c r="P194" s="17">
        <v>44057</v>
      </c>
      <c r="Q194" s="14"/>
      <c r="R194" s="17"/>
      <c r="S194" s="17"/>
      <c r="T194" s="14" t="s">
        <v>7380</v>
      </c>
      <c r="U194" s="14" t="s">
        <v>7381</v>
      </c>
      <c r="V194" s="14" t="s">
        <v>7382</v>
      </c>
      <c r="W194" s="14"/>
      <c r="X194" s="14" t="s">
        <v>7383</v>
      </c>
      <c r="Y194" s="14"/>
      <c r="Z194" s="14" t="s">
        <v>7384</v>
      </c>
      <c r="AA194" s="14"/>
      <c r="AB194" s="14" t="s">
        <v>3468</v>
      </c>
      <c r="AC194" s="14" t="s">
        <v>7385</v>
      </c>
      <c r="AD194" s="14"/>
      <c r="AE194" s="14" t="s">
        <v>7386</v>
      </c>
      <c r="AF194" s="14" t="s">
        <v>7387</v>
      </c>
      <c r="AG194" s="14" t="s">
        <v>7388</v>
      </c>
      <c r="AH194" s="18"/>
      <c r="AI194" s="16"/>
      <c r="AJ194" s="17"/>
      <c r="AK194" s="15" t="s">
        <v>3123</v>
      </c>
      <c r="AL194" s="17"/>
      <c r="AM194" s="16"/>
      <c r="AN194" s="14"/>
      <c r="AO194" s="14"/>
      <c r="AP194" s="15" t="s">
        <v>3123</v>
      </c>
      <c r="AQ194" s="14"/>
      <c r="AR194" s="17"/>
      <c r="AS194" s="16"/>
      <c r="AT194" s="14"/>
      <c r="AU194" s="15" t="s">
        <v>3123</v>
      </c>
      <c r="AV194" s="14"/>
      <c r="AW194" s="17"/>
      <c r="AX194" s="16"/>
      <c r="AY194" s="16"/>
      <c r="AZ194" s="16"/>
      <c r="BA194" s="16"/>
      <c r="BB194" s="15" t="s">
        <v>3123</v>
      </c>
      <c r="BC194" s="17"/>
      <c r="BD194" s="14"/>
      <c r="BE194" s="14"/>
      <c r="BF194" s="16"/>
      <c r="BG194" s="16"/>
      <c r="BH194" s="13"/>
      <c r="BI194" s="18" t="s">
        <v>7389</v>
      </c>
      <c r="BJ194" s="13">
        <v>200</v>
      </c>
      <c r="BK194" s="17">
        <v>44125</v>
      </c>
      <c r="BL194" s="18" t="s">
        <v>7390</v>
      </c>
      <c r="BM194" s="18" t="s">
        <v>7391</v>
      </c>
      <c r="BN194" s="18" t="s">
        <v>7392</v>
      </c>
      <c r="BO194" s="18"/>
      <c r="BP194" s="14" t="s">
        <v>7393</v>
      </c>
      <c r="BQ194" s="17">
        <v>42888</v>
      </c>
      <c r="BR194" s="16"/>
      <c r="BS194" s="17"/>
      <c r="BT194" s="16"/>
      <c r="BU194" s="17"/>
      <c r="BV194" s="16"/>
      <c r="BW194" s="17"/>
      <c r="BX194" s="16"/>
      <c r="BY194" s="17"/>
      <c r="BZ194" s="19">
        <v>42.539428447828634</v>
      </c>
      <c r="CA194" s="19"/>
      <c r="CB194" s="17"/>
      <c r="CC194" s="14" t="s">
        <v>5036</v>
      </c>
      <c r="CD194" s="14" t="s">
        <v>5962</v>
      </c>
      <c r="CE194" s="14" t="s">
        <v>5945</v>
      </c>
    </row>
    <row r="195" spans="1:83" ht="26.15" customHeight="1">
      <c r="A195" s="13">
        <v>189</v>
      </c>
      <c r="B195" s="14" t="s">
        <v>259</v>
      </c>
      <c r="C195" s="14" t="s">
        <v>260</v>
      </c>
      <c r="D195" s="14" t="s">
        <v>264</v>
      </c>
      <c r="E195" s="13">
        <v>2013</v>
      </c>
      <c r="F195" s="14" t="s">
        <v>5038</v>
      </c>
      <c r="G195" s="14" t="s">
        <v>5039</v>
      </c>
      <c r="H195" s="14" t="s">
        <v>3994</v>
      </c>
      <c r="I195" s="15" t="s">
        <v>3117</v>
      </c>
      <c r="J195" s="16">
        <v>5345286</v>
      </c>
      <c r="K195" s="17">
        <v>44019</v>
      </c>
      <c r="L195" s="16" t="s">
        <v>5022</v>
      </c>
      <c r="M195" s="16">
        <v>2000000</v>
      </c>
      <c r="N195" s="14" t="s">
        <v>34</v>
      </c>
      <c r="O195" s="13">
        <v>4</v>
      </c>
      <c r="P195" s="17">
        <v>44022</v>
      </c>
      <c r="Q195" s="14" t="s">
        <v>5052</v>
      </c>
      <c r="R195" s="17">
        <v>43537</v>
      </c>
      <c r="S195" s="17">
        <v>43525</v>
      </c>
      <c r="T195" s="14" t="s">
        <v>1</v>
      </c>
      <c r="U195" s="14" t="s">
        <v>5007</v>
      </c>
      <c r="V195" s="14" t="s">
        <v>5192</v>
      </c>
      <c r="W195" s="14"/>
      <c r="X195" s="14" t="s">
        <v>7394</v>
      </c>
      <c r="Y195" s="14" t="s">
        <v>7395</v>
      </c>
      <c r="Z195" s="14" t="s">
        <v>7396</v>
      </c>
      <c r="AA195" s="14"/>
      <c r="AB195" s="14" t="s">
        <v>3994</v>
      </c>
      <c r="AC195" s="14" t="s">
        <v>7397</v>
      </c>
      <c r="AD195" s="14" t="s">
        <v>7398</v>
      </c>
      <c r="AE195" s="14" t="s">
        <v>7399</v>
      </c>
      <c r="AF195" s="14" t="s">
        <v>7400</v>
      </c>
      <c r="AG195" s="14" t="s">
        <v>7401</v>
      </c>
      <c r="AH195" s="18"/>
      <c r="AI195" s="16">
        <v>244200</v>
      </c>
      <c r="AJ195" s="17">
        <v>43465</v>
      </c>
      <c r="AK195" s="15" t="s">
        <v>3117</v>
      </c>
      <c r="AL195" s="17">
        <v>41597</v>
      </c>
      <c r="AM195" s="16">
        <v>1599</v>
      </c>
      <c r="AN195" s="14" t="s">
        <v>7402</v>
      </c>
      <c r="AO195" s="14"/>
      <c r="AP195" s="15" t="s">
        <v>3123</v>
      </c>
      <c r="AQ195" s="14"/>
      <c r="AR195" s="17"/>
      <c r="AS195" s="16"/>
      <c r="AT195" s="14"/>
      <c r="AU195" s="15" t="s">
        <v>3123</v>
      </c>
      <c r="AV195" s="14"/>
      <c r="AW195" s="17"/>
      <c r="AX195" s="16"/>
      <c r="AY195" s="16"/>
      <c r="AZ195" s="16"/>
      <c r="BA195" s="16"/>
      <c r="BB195" s="15" t="s">
        <v>3123</v>
      </c>
      <c r="BC195" s="17"/>
      <c r="BD195" s="14"/>
      <c r="BE195" s="14"/>
      <c r="BF195" s="16"/>
      <c r="BG195" s="16"/>
      <c r="BH195" s="13"/>
      <c r="BI195" s="18" t="s">
        <v>7403</v>
      </c>
      <c r="BJ195" s="13">
        <v>200</v>
      </c>
      <c r="BK195" s="17">
        <v>44125</v>
      </c>
      <c r="BL195" s="18" t="s">
        <v>7404</v>
      </c>
      <c r="BM195" s="18" t="s">
        <v>7405</v>
      </c>
      <c r="BN195" s="18" t="s">
        <v>7406</v>
      </c>
      <c r="BO195" s="18" t="s">
        <v>7407</v>
      </c>
      <c r="BP195" s="14" t="s">
        <v>7408</v>
      </c>
      <c r="BQ195" s="17">
        <v>43019</v>
      </c>
      <c r="BR195" s="16">
        <v>-739100</v>
      </c>
      <c r="BS195" s="17">
        <v>43465</v>
      </c>
      <c r="BT195" s="16">
        <v>-662800</v>
      </c>
      <c r="BU195" s="17">
        <v>43465</v>
      </c>
      <c r="BV195" s="16">
        <v>11999320.973009994</v>
      </c>
      <c r="BW195" s="17">
        <v>44019</v>
      </c>
      <c r="BX195" s="16">
        <v>115</v>
      </c>
      <c r="BY195" s="17">
        <v>43921</v>
      </c>
      <c r="BZ195" s="19">
        <v>47.561983158256794</v>
      </c>
      <c r="CA195" s="19"/>
      <c r="CB195" s="17"/>
      <c r="CC195" s="14" t="s">
        <v>7409</v>
      </c>
      <c r="CD195" s="14" t="s">
        <v>7272</v>
      </c>
      <c r="CE195" s="14" t="s">
        <v>7194</v>
      </c>
    </row>
    <row r="196" spans="1:83" ht="26.15" customHeight="1">
      <c r="A196" s="13">
        <v>190</v>
      </c>
      <c r="B196" s="14" t="s">
        <v>2047</v>
      </c>
      <c r="C196" s="14" t="s">
        <v>2048</v>
      </c>
      <c r="D196" s="14" t="s">
        <v>2051</v>
      </c>
      <c r="E196" s="13">
        <v>2013</v>
      </c>
      <c r="F196" s="14" t="s">
        <v>7410</v>
      </c>
      <c r="G196" s="14" t="s">
        <v>7411</v>
      </c>
      <c r="H196" s="14" t="s">
        <v>7412</v>
      </c>
      <c r="I196" s="15" t="s">
        <v>3117</v>
      </c>
      <c r="J196" s="16"/>
      <c r="K196" s="17">
        <v>42917</v>
      </c>
      <c r="L196" s="16"/>
      <c r="M196" s="16" t="s">
        <v>50</v>
      </c>
      <c r="N196" s="14" t="s">
        <v>34</v>
      </c>
      <c r="O196" s="13">
        <v>3</v>
      </c>
      <c r="P196" s="17">
        <v>44057</v>
      </c>
      <c r="Q196" s="14"/>
      <c r="R196" s="17"/>
      <c r="S196" s="17"/>
      <c r="T196" s="14" t="s">
        <v>5041</v>
      </c>
      <c r="U196" s="14" t="s">
        <v>5042</v>
      </c>
      <c r="V196" s="14" t="s">
        <v>7413</v>
      </c>
      <c r="W196" s="14"/>
      <c r="X196" s="14" t="s">
        <v>4328</v>
      </c>
      <c r="Y196" s="14"/>
      <c r="Z196" s="14" t="s">
        <v>7414</v>
      </c>
      <c r="AA196" s="14"/>
      <c r="AB196" s="14" t="s">
        <v>5508</v>
      </c>
      <c r="AC196" s="14" t="s">
        <v>7415</v>
      </c>
      <c r="AD196" s="14" t="s">
        <v>7416</v>
      </c>
      <c r="AE196" s="14" t="s">
        <v>7417</v>
      </c>
      <c r="AF196" s="14"/>
      <c r="AG196" s="14" t="s">
        <v>7418</v>
      </c>
      <c r="AH196" s="18"/>
      <c r="AI196" s="16"/>
      <c r="AJ196" s="17"/>
      <c r="AK196" s="15" t="s">
        <v>3123</v>
      </c>
      <c r="AL196" s="17"/>
      <c r="AM196" s="16"/>
      <c r="AN196" s="14"/>
      <c r="AO196" s="14"/>
      <c r="AP196" s="15" t="s">
        <v>3123</v>
      </c>
      <c r="AQ196" s="14"/>
      <c r="AR196" s="17"/>
      <c r="AS196" s="16"/>
      <c r="AT196" s="14"/>
      <c r="AU196" s="15" t="s">
        <v>3123</v>
      </c>
      <c r="AV196" s="14"/>
      <c r="AW196" s="17"/>
      <c r="AX196" s="16"/>
      <c r="AY196" s="16"/>
      <c r="AZ196" s="16"/>
      <c r="BA196" s="16"/>
      <c r="BB196" s="15" t="s">
        <v>3123</v>
      </c>
      <c r="BC196" s="17"/>
      <c r="BD196" s="14"/>
      <c r="BE196" s="14"/>
      <c r="BF196" s="16"/>
      <c r="BG196" s="16"/>
      <c r="BH196" s="13"/>
      <c r="BI196" s="18" t="s">
        <v>7419</v>
      </c>
      <c r="BJ196" s="13">
        <v>200</v>
      </c>
      <c r="BK196" s="17">
        <v>44125</v>
      </c>
      <c r="BL196" s="18" t="s">
        <v>7420</v>
      </c>
      <c r="BM196" s="18" t="s">
        <v>7421</v>
      </c>
      <c r="BN196" s="18"/>
      <c r="BO196" s="18"/>
      <c r="BP196" s="14" t="s">
        <v>7422</v>
      </c>
      <c r="BQ196" s="17">
        <v>43311</v>
      </c>
      <c r="BR196" s="16"/>
      <c r="BS196" s="17"/>
      <c r="BT196" s="16"/>
      <c r="BU196" s="17"/>
      <c r="BV196" s="16"/>
      <c r="BW196" s="17"/>
      <c r="BX196" s="16"/>
      <c r="BY196" s="17"/>
      <c r="BZ196" s="19">
        <v>25.578092587371085</v>
      </c>
      <c r="CA196" s="19"/>
      <c r="CB196" s="17"/>
      <c r="CC196" s="14" t="s">
        <v>5104</v>
      </c>
      <c r="CD196" s="14" t="s">
        <v>6266</v>
      </c>
      <c r="CE196" s="14" t="s">
        <v>5620</v>
      </c>
    </row>
    <row r="197" spans="1:83" ht="26.15" hidden="1" customHeight="1">
      <c r="A197" s="13">
        <v>191</v>
      </c>
      <c r="B197" s="14" t="s">
        <v>426</v>
      </c>
      <c r="C197" s="14" t="s">
        <v>427</v>
      </c>
      <c r="D197" s="14" t="s">
        <v>430</v>
      </c>
      <c r="E197" s="13">
        <v>2014</v>
      </c>
      <c r="F197" s="14" t="s">
        <v>7250</v>
      </c>
      <c r="G197" s="14" t="s">
        <v>6004</v>
      </c>
      <c r="H197" s="14" t="s">
        <v>4343</v>
      </c>
      <c r="I197" s="15" t="s">
        <v>3117</v>
      </c>
      <c r="J197" s="16">
        <v>5000000</v>
      </c>
      <c r="K197" s="17">
        <v>43937</v>
      </c>
      <c r="L197" s="16" t="s">
        <v>5069</v>
      </c>
      <c r="M197" s="16">
        <v>3000000</v>
      </c>
      <c r="N197" s="14" t="s">
        <v>109</v>
      </c>
      <c r="O197" s="13">
        <v>5</v>
      </c>
      <c r="P197" s="17">
        <v>44081</v>
      </c>
      <c r="Q197" s="14"/>
      <c r="R197" s="17"/>
      <c r="S197" s="17"/>
      <c r="T197" s="14" t="s">
        <v>4995</v>
      </c>
      <c r="U197" s="14" t="s">
        <v>7423</v>
      </c>
      <c r="V197" s="14" t="s">
        <v>7424</v>
      </c>
      <c r="W197" s="14"/>
      <c r="X197" s="14" t="s">
        <v>7425</v>
      </c>
      <c r="Y197" s="14"/>
      <c r="Z197" s="14" t="s">
        <v>7426</v>
      </c>
      <c r="AA197" s="14"/>
      <c r="AB197" s="14" t="s">
        <v>4343</v>
      </c>
      <c r="AC197" s="14"/>
      <c r="AD197" s="14"/>
      <c r="AE197" s="14" t="s">
        <v>7427</v>
      </c>
      <c r="AF197" s="14" t="s">
        <v>7428</v>
      </c>
      <c r="AG197" s="14" t="s">
        <v>7429</v>
      </c>
      <c r="AH197" s="18" t="s">
        <v>7430</v>
      </c>
      <c r="AI197" s="16"/>
      <c r="AJ197" s="17"/>
      <c r="AK197" s="15" t="s">
        <v>3123</v>
      </c>
      <c r="AL197" s="17"/>
      <c r="AM197" s="16"/>
      <c r="AN197" s="14"/>
      <c r="AO197" s="14"/>
      <c r="AP197" s="15" t="s">
        <v>3123</v>
      </c>
      <c r="AQ197" s="14"/>
      <c r="AR197" s="17"/>
      <c r="AS197" s="16"/>
      <c r="AT197" s="14"/>
      <c r="AU197" s="15" t="s">
        <v>3123</v>
      </c>
      <c r="AV197" s="14"/>
      <c r="AW197" s="17"/>
      <c r="AX197" s="16"/>
      <c r="AY197" s="16"/>
      <c r="AZ197" s="16"/>
      <c r="BA197" s="16"/>
      <c r="BB197" s="15" t="s">
        <v>3123</v>
      </c>
      <c r="BC197" s="17"/>
      <c r="BD197" s="14"/>
      <c r="BE197" s="14"/>
      <c r="BF197" s="16"/>
      <c r="BG197" s="16"/>
      <c r="BH197" s="13"/>
      <c r="BI197" s="18" t="s">
        <v>7431</v>
      </c>
      <c r="BJ197" s="13">
        <v>200</v>
      </c>
      <c r="BK197" s="17">
        <v>44125</v>
      </c>
      <c r="BL197" s="18" t="s">
        <v>7432</v>
      </c>
      <c r="BM197" s="18" t="s">
        <v>7433</v>
      </c>
      <c r="BN197" s="18"/>
      <c r="BO197" s="18"/>
      <c r="BP197" s="14" t="s">
        <v>7434</v>
      </c>
      <c r="BQ197" s="17">
        <v>42936</v>
      </c>
      <c r="BR197" s="16"/>
      <c r="BS197" s="17"/>
      <c r="BT197" s="16"/>
      <c r="BU197" s="17"/>
      <c r="BV197" s="16"/>
      <c r="BW197" s="17"/>
      <c r="BX197" s="16"/>
      <c r="BY197" s="17"/>
      <c r="BZ197" s="19">
        <v>53.078719283078989</v>
      </c>
      <c r="CA197" s="19"/>
      <c r="CB197" s="17"/>
      <c r="CC197" s="14" t="s">
        <v>5104</v>
      </c>
      <c r="CD197" s="14" t="s">
        <v>5962</v>
      </c>
      <c r="CE197" s="14" t="s">
        <v>5945</v>
      </c>
    </row>
    <row r="198" spans="1:83" ht="26.15" hidden="1" customHeight="1">
      <c r="A198" s="13">
        <v>192</v>
      </c>
      <c r="B198" s="14" t="s">
        <v>1789</v>
      </c>
      <c r="C198" s="14" t="s">
        <v>1790</v>
      </c>
      <c r="D198" s="14" t="s">
        <v>1792</v>
      </c>
      <c r="E198" s="13">
        <v>2016</v>
      </c>
      <c r="F198" s="14" t="s">
        <v>5050</v>
      </c>
      <c r="G198" s="14" t="s">
        <v>5050</v>
      </c>
      <c r="H198" s="14" t="s">
        <v>4343</v>
      </c>
      <c r="I198" s="15" t="s">
        <v>3117</v>
      </c>
      <c r="J198" s="16"/>
      <c r="K198" s="17">
        <v>43165</v>
      </c>
      <c r="L198" s="16" t="s">
        <v>7435</v>
      </c>
      <c r="M198" s="16">
        <v>123762</v>
      </c>
      <c r="N198" s="14" t="s">
        <v>34</v>
      </c>
      <c r="O198" s="13">
        <v>4</v>
      </c>
      <c r="P198" s="17">
        <v>43993</v>
      </c>
      <c r="Q198" s="14"/>
      <c r="R198" s="17"/>
      <c r="S198" s="17"/>
      <c r="T198" s="14" t="s">
        <v>7436</v>
      </c>
      <c r="U198" s="14" t="s">
        <v>7437</v>
      </c>
      <c r="V198" s="14" t="s">
        <v>7438</v>
      </c>
      <c r="W198" s="14"/>
      <c r="X198" s="14" t="s">
        <v>7439</v>
      </c>
      <c r="Y198" s="14"/>
      <c r="Z198" s="14" t="s">
        <v>7440</v>
      </c>
      <c r="AA198" s="14"/>
      <c r="AB198" s="14" t="s">
        <v>4343</v>
      </c>
      <c r="AC198" s="14"/>
      <c r="AD198" s="14"/>
      <c r="AE198" s="14" t="s">
        <v>7441</v>
      </c>
      <c r="AF198" s="14" t="s">
        <v>7442</v>
      </c>
      <c r="AG198" s="14" t="s">
        <v>7443</v>
      </c>
      <c r="AH198" s="18"/>
      <c r="AI198" s="16"/>
      <c r="AJ198" s="17"/>
      <c r="AK198" s="15" t="s">
        <v>3123</v>
      </c>
      <c r="AL198" s="17"/>
      <c r="AM198" s="16"/>
      <c r="AN198" s="14"/>
      <c r="AO198" s="14"/>
      <c r="AP198" s="15" t="s">
        <v>3123</v>
      </c>
      <c r="AQ198" s="14"/>
      <c r="AR198" s="17"/>
      <c r="AS198" s="16"/>
      <c r="AT198" s="14"/>
      <c r="AU198" s="15" t="s">
        <v>3123</v>
      </c>
      <c r="AV198" s="14"/>
      <c r="AW198" s="17"/>
      <c r="AX198" s="16"/>
      <c r="AY198" s="16"/>
      <c r="AZ198" s="16"/>
      <c r="BA198" s="16"/>
      <c r="BB198" s="15" t="s">
        <v>3123</v>
      </c>
      <c r="BC198" s="17"/>
      <c r="BD198" s="14"/>
      <c r="BE198" s="14"/>
      <c r="BF198" s="16"/>
      <c r="BG198" s="16"/>
      <c r="BH198" s="13"/>
      <c r="BI198" s="18" t="s">
        <v>7444</v>
      </c>
      <c r="BJ198" s="13">
        <v>200</v>
      </c>
      <c r="BK198" s="17">
        <v>44124</v>
      </c>
      <c r="BL198" s="18"/>
      <c r="BM198" s="18"/>
      <c r="BN198" s="18"/>
      <c r="BO198" s="18"/>
      <c r="BP198" s="14" t="s">
        <v>7445</v>
      </c>
      <c r="BQ198" s="17">
        <v>42930</v>
      </c>
      <c r="BR198" s="16"/>
      <c r="BS198" s="17"/>
      <c r="BT198" s="16"/>
      <c r="BU198" s="17"/>
      <c r="BV198" s="16"/>
      <c r="BW198" s="17"/>
      <c r="BX198" s="16"/>
      <c r="BY198" s="17"/>
      <c r="BZ198" s="19">
        <v>36.41318209722305</v>
      </c>
      <c r="CA198" s="19"/>
      <c r="CB198" s="17"/>
      <c r="CC198" s="14" t="s">
        <v>7259</v>
      </c>
      <c r="CD198" s="14" t="s">
        <v>5962</v>
      </c>
      <c r="CE198" s="14" t="s">
        <v>6074</v>
      </c>
    </row>
    <row r="199" spans="1:83" ht="26.15" hidden="1" customHeight="1">
      <c r="A199" s="13">
        <v>193</v>
      </c>
      <c r="B199" s="14" t="s">
        <v>66</v>
      </c>
      <c r="C199" s="14" t="s">
        <v>67</v>
      </c>
      <c r="D199" s="14" t="s">
        <v>72</v>
      </c>
      <c r="E199" s="13">
        <v>2016</v>
      </c>
      <c r="F199" s="14" t="s">
        <v>7446</v>
      </c>
      <c r="G199" s="14" t="s">
        <v>6004</v>
      </c>
      <c r="H199" s="14" t="s">
        <v>4343</v>
      </c>
      <c r="I199" s="15" t="s">
        <v>3117</v>
      </c>
      <c r="J199" s="16">
        <v>31500000</v>
      </c>
      <c r="K199" s="17">
        <v>44131</v>
      </c>
      <c r="L199" s="16" t="s">
        <v>6740</v>
      </c>
      <c r="M199" s="16">
        <v>20000000</v>
      </c>
      <c r="N199" s="14" t="s">
        <v>25</v>
      </c>
      <c r="O199" s="13">
        <v>4</v>
      </c>
      <c r="P199" s="17">
        <v>44056</v>
      </c>
      <c r="Q199" s="14"/>
      <c r="R199" s="17"/>
      <c r="S199" s="17"/>
      <c r="T199" s="14" t="s">
        <v>5253</v>
      </c>
      <c r="U199" s="14" t="s">
        <v>5254</v>
      </c>
      <c r="V199" s="14" t="s">
        <v>7447</v>
      </c>
      <c r="W199" s="14"/>
      <c r="X199" s="14" t="s">
        <v>7448</v>
      </c>
      <c r="Y199" s="14" t="s">
        <v>69</v>
      </c>
      <c r="Z199" s="14" t="s">
        <v>7449</v>
      </c>
      <c r="AA199" s="14"/>
      <c r="AB199" s="14" t="s">
        <v>4343</v>
      </c>
      <c r="AC199" s="14" t="s">
        <v>7450</v>
      </c>
      <c r="AD199" s="14" t="s">
        <v>7451</v>
      </c>
      <c r="AE199" s="14" t="s">
        <v>7452</v>
      </c>
      <c r="AF199" s="14" t="s">
        <v>7453</v>
      </c>
      <c r="AG199" s="14" t="s">
        <v>7454</v>
      </c>
      <c r="AH199" s="18"/>
      <c r="AI199" s="16"/>
      <c r="AJ199" s="17"/>
      <c r="AK199" s="15" t="s">
        <v>3123</v>
      </c>
      <c r="AL199" s="17"/>
      <c r="AM199" s="16"/>
      <c r="AN199" s="14"/>
      <c r="AO199" s="14"/>
      <c r="AP199" s="15" t="s">
        <v>3123</v>
      </c>
      <c r="AQ199" s="14"/>
      <c r="AR199" s="17"/>
      <c r="AS199" s="16"/>
      <c r="AT199" s="14"/>
      <c r="AU199" s="15" t="s">
        <v>3123</v>
      </c>
      <c r="AV199" s="14"/>
      <c r="AW199" s="17"/>
      <c r="AX199" s="16"/>
      <c r="AY199" s="16"/>
      <c r="AZ199" s="16"/>
      <c r="BA199" s="16"/>
      <c r="BB199" s="15" t="s">
        <v>3123</v>
      </c>
      <c r="BC199" s="17"/>
      <c r="BD199" s="14"/>
      <c r="BE199" s="14"/>
      <c r="BF199" s="16"/>
      <c r="BG199" s="16"/>
      <c r="BH199" s="13"/>
      <c r="BI199" s="18" t="s">
        <v>7455</v>
      </c>
      <c r="BJ199" s="13">
        <v>200</v>
      </c>
      <c r="BK199" s="17">
        <v>44124</v>
      </c>
      <c r="BL199" s="18" t="s">
        <v>7456</v>
      </c>
      <c r="BM199" s="18"/>
      <c r="BN199" s="18"/>
      <c r="BO199" s="18"/>
      <c r="BP199" s="14" t="s">
        <v>7457</v>
      </c>
      <c r="BQ199" s="17">
        <v>43661</v>
      </c>
      <c r="BR199" s="16"/>
      <c r="BS199" s="17"/>
      <c r="BT199" s="16"/>
      <c r="BU199" s="17"/>
      <c r="BV199" s="16"/>
      <c r="BW199" s="17"/>
      <c r="BX199" s="16"/>
      <c r="BY199" s="17"/>
      <c r="BZ199" s="19">
        <v>48.299975869301534</v>
      </c>
      <c r="CA199" s="19"/>
      <c r="CB199" s="17"/>
      <c r="CC199" s="14" t="s">
        <v>7458</v>
      </c>
      <c r="CD199" s="14" t="s">
        <v>7459</v>
      </c>
      <c r="CE199" s="14" t="s">
        <v>5004</v>
      </c>
    </row>
    <row r="200" spans="1:83" ht="26.15" hidden="1" customHeight="1">
      <c r="A200" s="13">
        <v>194</v>
      </c>
      <c r="B200" s="14" t="s">
        <v>1645</v>
      </c>
      <c r="C200" s="14" t="s">
        <v>1646</v>
      </c>
      <c r="D200" s="14" t="s">
        <v>1649</v>
      </c>
      <c r="E200" s="13">
        <v>2008</v>
      </c>
      <c r="F200" s="14" t="s">
        <v>6003</v>
      </c>
      <c r="G200" s="14" t="s">
        <v>6004</v>
      </c>
      <c r="H200" s="14" t="s">
        <v>4343</v>
      </c>
      <c r="I200" s="15" t="s">
        <v>3117</v>
      </c>
      <c r="J200" s="16">
        <v>20810000</v>
      </c>
      <c r="K200" s="17">
        <v>43241</v>
      </c>
      <c r="L200" s="16" t="s">
        <v>7460</v>
      </c>
      <c r="M200" s="16">
        <v>11100000</v>
      </c>
      <c r="N200" s="14" t="s">
        <v>109</v>
      </c>
      <c r="O200" s="13"/>
      <c r="P200" s="17"/>
      <c r="Q200" s="14"/>
      <c r="R200" s="17"/>
      <c r="S200" s="17"/>
      <c r="T200" s="14" t="s">
        <v>1</v>
      </c>
      <c r="U200" s="14" t="s">
        <v>5007</v>
      </c>
      <c r="V200" s="14" t="s">
        <v>7461</v>
      </c>
      <c r="W200" s="14"/>
      <c r="X200" s="14" t="s">
        <v>1648</v>
      </c>
      <c r="Y200" s="14"/>
      <c r="Z200" s="14" t="s">
        <v>7462</v>
      </c>
      <c r="AA200" s="14"/>
      <c r="AB200" s="14" t="s">
        <v>4343</v>
      </c>
      <c r="AC200" s="14" t="s">
        <v>7463</v>
      </c>
      <c r="AD200" s="14"/>
      <c r="AE200" s="14" t="s">
        <v>7464</v>
      </c>
      <c r="AF200" s="14" t="s">
        <v>7465</v>
      </c>
      <c r="AG200" s="14" t="s">
        <v>7466</v>
      </c>
      <c r="AH200" s="18"/>
      <c r="AI200" s="16"/>
      <c r="AJ200" s="17"/>
      <c r="AK200" s="15" t="s">
        <v>3123</v>
      </c>
      <c r="AL200" s="17"/>
      <c r="AM200" s="16"/>
      <c r="AN200" s="14"/>
      <c r="AO200" s="14"/>
      <c r="AP200" s="15" t="s">
        <v>3123</v>
      </c>
      <c r="AQ200" s="14"/>
      <c r="AR200" s="17"/>
      <c r="AS200" s="16"/>
      <c r="AT200" s="14"/>
      <c r="AU200" s="15" t="s">
        <v>3123</v>
      </c>
      <c r="AV200" s="14"/>
      <c r="AW200" s="17"/>
      <c r="AX200" s="16"/>
      <c r="AY200" s="16"/>
      <c r="AZ200" s="16"/>
      <c r="BA200" s="16"/>
      <c r="BB200" s="15" t="s">
        <v>3123</v>
      </c>
      <c r="BC200" s="17"/>
      <c r="BD200" s="14"/>
      <c r="BE200" s="14"/>
      <c r="BF200" s="16"/>
      <c r="BG200" s="16"/>
      <c r="BH200" s="13"/>
      <c r="BI200" s="18" t="s">
        <v>7467</v>
      </c>
      <c r="BJ200" s="13">
        <v>200</v>
      </c>
      <c r="BK200" s="17">
        <v>44124</v>
      </c>
      <c r="BL200" s="18"/>
      <c r="BM200" s="18"/>
      <c r="BN200" s="18" t="s">
        <v>7468</v>
      </c>
      <c r="BO200" s="18"/>
      <c r="BP200" s="14" t="s">
        <v>7469</v>
      </c>
      <c r="BQ200" s="17">
        <v>43033</v>
      </c>
      <c r="BR200" s="16"/>
      <c r="BS200" s="17"/>
      <c r="BT200" s="16"/>
      <c r="BU200" s="17"/>
      <c r="BV200" s="16"/>
      <c r="BW200" s="17"/>
      <c r="BX200" s="16"/>
      <c r="BY200" s="17"/>
      <c r="BZ200" s="19">
        <v>25.88024116351626</v>
      </c>
      <c r="CA200" s="19"/>
      <c r="CB200" s="17"/>
      <c r="CC200" s="14" t="s">
        <v>5345</v>
      </c>
      <c r="CD200" s="14" t="s">
        <v>7272</v>
      </c>
      <c r="CE200" s="14" t="s">
        <v>5945</v>
      </c>
    </row>
    <row r="201" spans="1:83" ht="26.15" hidden="1" customHeight="1">
      <c r="A201" s="13">
        <v>195</v>
      </c>
      <c r="B201" s="14" t="s">
        <v>171</v>
      </c>
      <c r="C201" s="14" t="s">
        <v>172</v>
      </c>
      <c r="D201" s="14" t="s">
        <v>174</v>
      </c>
      <c r="E201" s="13">
        <v>2012</v>
      </c>
      <c r="F201" s="14" t="s">
        <v>7250</v>
      </c>
      <c r="G201" s="14" t="s">
        <v>6004</v>
      </c>
      <c r="H201" s="14" t="s">
        <v>4343</v>
      </c>
      <c r="I201" s="15" t="s">
        <v>3117</v>
      </c>
      <c r="J201" s="16"/>
      <c r="K201" s="17">
        <v>44067</v>
      </c>
      <c r="L201" s="16"/>
      <c r="M201" s="16" t="s">
        <v>50</v>
      </c>
      <c r="N201" s="14" t="s">
        <v>5314</v>
      </c>
      <c r="O201" s="13">
        <v>4</v>
      </c>
      <c r="P201" s="17">
        <v>44049</v>
      </c>
      <c r="Q201" s="14"/>
      <c r="R201" s="17"/>
      <c r="S201" s="17"/>
      <c r="T201" s="14" t="s">
        <v>7470</v>
      </c>
      <c r="U201" s="14" t="s">
        <v>7471</v>
      </c>
      <c r="V201" s="14" t="s">
        <v>7472</v>
      </c>
      <c r="W201" s="14"/>
      <c r="X201" s="14" t="s">
        <v>7473</v>
      </c>
      <c r="Y201" s="14"/>
      <c r="Z201" s="14" t="s">
        <v>7474</v>
      </c>
      <c r="AA201" s="14"/>
      <c r="AB201" s="14" t="s">
        <v>4343</v>
      </c>
      <c r="AC201" s="14" t="s">
        <v>7475</v>
      </c>
      <c r="AD201" s="14"/>
      <c r="AE201" s="14" t="s">
        <v>7476</v>
      </c>
      <c r="AF201" s="14" t="s">
        <v>7477</v>
      </c>
      <c r="AG201" s="14" t="s">
        <v>7478</v>
      </c>
      <c r="AH201" s="18"/>
      <c r="AI201" s="16"/>
      <c r="AJ201" s="17"/>
      <c r="AK201" s="15" t="s">
        <v>3123</v>
      </c>
      <c r="AL201" s="17"/>
      <c r="AM201" s="16"/>
      <c r="AN201" s="14"/>
      <c r="AO201" s="14"/>
      <c r="AP201" s="15" t="s">
        <v>3123</v>
      </c>
      <c r="AQ201" s="14"/>
      <c r="AR201" s="17"/>
      <c r="AS201" s="16"/>
      <c r="AT201" s="14"/>
      <c r="AU201" s="15" t="s">
        <v>3117</v>
      </c>
      <c r="AV201" s="14" t="s">
        <v>7479</v>
      </c>
      <c r="AW201" s="17">
        <v>43076</v>
      </c>
      <c r="AX201" s="16"/>
      <c r="AY201" s="16"/>
      <c r="AZ201" s="16">
        <v>9231679</v>
      </c>
      <c r="BA201" s="16"/>
      <c r="BB201" s="15" t="s">
        <v>3123</v>
      </c>
      <c r="BC201" s="17"/>
      <c r="BD201" s="14"/>
      <c r="BE201" s="14"/>
      <c r="BF201" s="16"/>
      <c r="BG201" s="16"/>
      <c r="BH201" s="13"/>
      <c r="BI201" s="18" t="s">
        <v>7480</v>
      </c>
      <c r="BJ201" s="13">
        <v>200</v>
      </c>
      <c r="BK201" s="17">
        <v>44124</v>
      </c>
      <c r="BL201" s="18"/>
      <c r="BM201" s="18"/>
      <c r="BN201" s="18"/>
      <c r="BO201" s="18"/>
      <c r="BP201" s="14" t="s">
        <v>7481</v>
      </c>
      <c r="BQ201" s="17">
        <v>43031</v>
      </c>
      <c r="BR201" s="16"/>
      <c r="BS201" s="17"/>
      <c r="BT201" s="16"/>
      <c r="BU201" s="17"/>
      <c r="BV201" s="16"/>
      <c r="BW201" s="17"/>
      <c r="BX201" s="16"/>
      <c r="BY201" s="17"/>
      <c r="BZ201" s="19">
        <v>37.665846708285507</v>
      </c>
      <c r="CA201" s="19"/>
      <c r="CB201" s="17"/>
      <c r="CC201" s="14" t="s">
        <v>5541</v>
      </c>
      <c r="CD201" s="14" t="s">
        <v>7482</v>
      </c>
      <c r="CE201" s="14" t="s">
        <v>5521</v>
      </c>
    </row>
    <row r="202" spans="1:83" ht="26.15" customHeight="1">
      <c r="A202" s="13">
        <v>196</v>
      </c>
      <c r="B202" s="14" t="s">
        <v>1994</v>
      </c>
      <c r="C202" s="14" t="s">
        <v>1995</v>
      </c>
      <c r="D202" s="14" t="s">
        <v>1997</v>
      </c>
      <c r="E202" s="13">
        <v>2014</v>
      </c>
      <c r="F202" s="14" t="s">
        <v>7483</v>
      </c>
      <c r="G202" s="14" t="s">
        <v>5039</v>
      </c>
      <c r="H202" s="14" t="s">
        <v>3994</v>
      </c>
      <c r="I202" s="15" t="s">
        <v>3117</v>
      </c>
      <c r="J202" s="16"/>
      <c r="K202" s="17">
        <v>42977</v>
      </c>
      <c r="L202" s="16"/>
      <c r="M202" s="16" t="s">
        <v>50</v>
      </c>
      <c r="N202" s="14" t="s">
        <v>5040</v>
      </c>
      <c r="O202" s="13">
        <v>4</v>
      </c>
      <c r="P202" s="17">
        <v>44061</v>
      </c>
      <c r="Q202" s="14"/>
      <c r="R202" s="17"/>
      <c r="S202" s="17"/>
      <c r="T202" s="14" t="s">
        <v>5442</v>
      </c>
      <c r="U202" s="14" t="s">
        <v>5443</v>
      </c>
      <c r="V202" s="14" t="s">
        <v>7484</v>
      </c>
      <c r="W202" s="14"/>
      <c r="X202" s="14" t="s">
        <v>7485</v>
      </c>
      <c r="Y202" s="14"/>
      <c r="Z202" s="14" t="s">
        <v>7486</v>
      </c>
      <c r="AA202" s="14"/>
      <c r="AB202" s="14" t="s">
        <v>3994</v>
      </c>
      <c r="AC202" s="14" t="s">
        <v>7487</v>
      </c>
      <c r="AD202" s="14" t="s">
        <v>7488</v>
      </c>
      <c r="AE202" s="14" t="s">
        <v>7489</v>
      </c>
      <c r="AF202" s="14" t="s">
        <v>7490</v>
      </c>
      <c r="AG202" s="14" t="s">
        <v>7491</v>
      </c>
      <c r="AH202" s="18"/>
      <c r="AI202" s="16"/>
      <c r="AJ202" s="17"/>
      <c r="AK202" s="15" t="s">
        <v>3123</v>
      </c>
      <c r="AL202" s="17"/>
      <c r="AM202" s="16"/>
      <c r="AN202" s="14"/>
      <c r="AO202" s="14"/>
      <c r="AP202" s="15" t="s">
        <v>3123</v>
      </c>
      <c r="AQ202" s="14"/>
      <c r="AR202" s="17"/>
      <c r="AS202" s="16"/>
      <c r="AT202" s="14"/>
      <c r="AU202" s="15" t="s">
        <v>3123</v>
      </c>
      <c r="AV202" s="14"/>
      <c r="AW202" s="17"/>
      <c r="AX202" s="16"/>
      <c r="AY202" s="16"/>
      <c r="AZ202" s="16"/>
      <c r="BA202" s="16"/>
      <c r="BB202" s="15" t="s">
        <v>3123</v>
      </c>
      <c r="BC202" s="17"/>
      <c r="BD202" s="14"/>
      <c r="BE202" s="14"/>
      <c r="BF202" s="16"/>
      <c r="BG202" s="16"/>
      <c r="BH202" s="13"/>
      <c r="BI202" s="18" t="s">
        <v>7492</v>
      </c>
      <c r="BJ202" s="13">
        <v>200</v>
      </c>
      <c r="BK202" s="17">
        <v>44124</v>
      </c>
      <c r="BL202" s="18" t="s">
        <v>7493</v>
      </c>
      <c r="BM202" s="18"/>
      <c r="BN202" s="18"/>
      <c r="BO202" s="18"/>
      <c r="BP202" s="14" t="s">
        <v>7494</v>
      </c>
      <c r="BQ202" s="17">
        <v>43473</v>
      </c>
      <c r="BR202" s="16"/>
      <c r="BS202" s="17"/>
      <c r="BT202" s="16"/>
      <c r="BU202" s="17"/>
      <c r="BV202" s="16"/>
      <c r="BW202" s="17"/>
      <c r="BX202" s="16"/>
      <c r="BY202" s="17"/>
      <c r="BZ202" s="19">
        <v>25.250509637789694</v>
      </c>
      <c r="CA202" s="19"/>
      <c r="CB202" s="17"/>
      <c r="CC202" s="14" t="s">
        <v>5048</v>
      </c>
      <c r="CD202" s="14" t="s">
        <v>6266</v>
      </c>
      <c r="CE202" s="14" t="s">
        <v>5311</v>
      </c>
    </row>
    <row r="203" spans="1:83" ht="26.15" customHeight="1">
      <c r="A203" s="13">
        <v>197</v>
      </c>
      <c r="B203" s="14" t="s">
        <v>160</v>
      </c>
      <c r="C203" s="14" t="s">
        <v>161</v>
      </c>
      <c r="D203" s="14" t="s">
        <v>164</v>
      </c>
      <c r="E203" s="13">
        <v>2016</v>
      </c>
      <c r="F203" s="14" t="s">
        <v>5222</v>
      </c>
      <c r="G203" s="14" t="s">
        <v>5223</v>
      </c>
      <c r="H203" s="14" t="s">
        <v>3994</v>
      </c>
      <c r="I203" s="15" t="s">
        <v>3117</v>
      </c>
      <c r="J203" s="16">
        <v>5866696</v>
      </c>
      <c r="K203" s="17">
        <v>44067</v>
      </c>
      <c r="L203" s="16" t="s">
        <v>5134</v>
      </c>
      <c r="M203" s="16">
        <v>1000000</v>
      </c>
      <c r="N203" s="14" t="s">
        <v>34</v>
      </c>
      <c r="O203" s="13">
        <v>4</v>
      </c>
      <c r="P203" s="17">
        <v>44131</v>
      </c>
      <c r="Q203" s="14" t="s">
        <v>5052</v>
      </c>
      <c r="R203" s="17">
        <v>44076</v>
      </c>
      <c r="S203" s="17">
        <v>43984</v>
      </c>
      <c r="T203" s="14" t="s">
        <v>5509</v>
      </c>
      <c r="U203" s="14" t="s">
        <v>5510</v>
      </c>
      <c r="V203" s="14" t="s">
        <v>5696</v>
      </c>
      <c r="W203" s="14"/>
      <c r="X203" s="14" t="s">
        <v>7495</v>
      </c>
      <c r="Y203" s="14" t="s">
        <v>7496</v>
      </c>
      <c r="Z203" s="14" t="s">
        <v>7497</v>
      </c>
      <c r="AA203" s="14"/>
      <c r="AB203" s="14" t="s">
        <v>3994</v>
      </c>
      <c r="AC203" s="14" t="s">
        <v>7498</v>
      </c>
      <c r="AD203" s="14" t="s">
        <v>7499</v>
      </c>
      <c r="AE203" s="14" t="s">
        <v>5584</v>
      </c>
      <c r="AF203" s="14" t="s">
        <v>5585</v>
      </c>
      <c r="AG203" s="14" t="s">
        <v>5586</v>
      </c>
      <c r="AH203" s="18"/>
      <c r="AI203" s="16">
        <v>1476300</v>
      </c>
      <c r="AJ203" s="17">
        <v>43465</v>
      </c>
      <c r="AK203" s="15" t="s">
        <v>3117</v>
      </c>
      <c r="AL203" s="17">
        <v>42504</v>
      </c>
      <c r="AM203" s="16">
        <v>1494</v>
      </c>
      <c r="AN203" s="14" t="s">
        <v>7500</v>
      </c>
      <c r="AO203" s="14"/>
      <c r="AP203" s="15" t="s">
        <v>3123</v>
      </c>
      <c r="AQ203" s="14"/>
      <c r="AR203" s="17"/>
      <c r="AS203" s="16"/>
      <c r="AT203" s="14"/>
      <c r="AU203" s="15" t="s">
        <v>3123</v>
      </c>
      <c r="AV203" s="14"/>
      <c r="AW203" s="17"/>
      <c r="AX203" s="16"/>
      <c r="AY203" s="16"/>
      <c r="AZ203" s="16"/>
      <c r="BA203" s="16"/>
      <c r="BB203" s="15" t="s">
        <v>3123</v>
      </c>
      <c r="BC203" s="17"/>
      <c r="BD203" s="14"/>
      <c r="BE203" s="14"/>
      <c r="BF203" s="16"/>
      <c r="BG203" s="16"/>
      <c r="BH203" s="13"/>
      <c r="BI203" s="18" t="s">
        <v>7501</v>
      </c>
      <c r="BJ203" s="13">
        <v>200</v>
      </c>
      <c r="BK203" s="17">
        <v>44124</v>
      </c>
      <c r="BL203" s="18" t="s">
        <v>7502</v>
      </c>
      <c r="BM203" s="18" t="s">
        <v>7503</v>
      </c>
      <c r="BN203" s="18" t="s">
        <v>7504</v>
      </c>
      <c r="BO203" s="18"/>
      <c r="BP203" s="14" t="s">
        <v>7505</v>
      </c>
      <c r="BQ203" s="17">
        <v>42734</v>
      </c>
      <c r="BR203" s="16">
        <v>-640800</v>
      </c>
      <c r="BS203" s="17">
        <v>43465</v>
      </c>
      <c r="BT203" s="16">
        <v>-618600</v>
      </c>
      <c r="BU203" s="17">
        <v>43465</v>
      </c>
      <c r="BV203" s="16">
        <v>12027711.793546043</v>
      </c>
      <c r="BW203" s="17">
        <v>44029</v>
      </c>
      <c r="BX203" s="16">
        <v>68</v>
      </c>
      <c r="BY203" s="17">
        <v>43921</v>
      </c>
      <c r="BZ203" s="19">
        <v>57.69134519474359</v>
      </c>
      <c r="CA203" s="19"/>
      <c r="CB203" s="17"/>
      <c r="CC203" s="14" t="s">
        <v>7259</v>
      </c>
      <c r="CD203" s="14" t="s">
        <v>7506</v>
      </c>
      <c r="CE203" s="14" t="s">
        <v>5004</v>
      </c>
    </row>
    <row r="204" spans="1:83" ht="26.15" customHeight="1">
      <c r="A204" s="13">
        <v>198</v>
      </c>
      <c r="B204" s="14" t="s">
        <v>1639</v>
      </c>
      <c r="C204" s="14" t="s">
        <v>1640</v>
      </c>
      <c r="D204" s="14" t="s">
        <v>1643</v>
      </c>
      <c r="E204" s="13">
        <v>2016</v>
      </c>
      <c r="F204" s="14" t="s">
        <v>7507</v>
      </c>
      <c r="G204" s="14" t="s">
        <v>5207</v>
      </c>
      <c r="H204" s="14" t="s">
        <v>5208</v>
      </c>
      <c r="I204" s="15" t="s">
        <v>3117</v>
      </c>
      <c r="J204" s="16">
        <v>627744</v>
      </c>
      <c r="K204" s="17">
        <v>43243</v>
      </c>
      <c r="L204" s="16" t="s">
        <v>7508</v>
      </c>
      <c r="M204" s="16">
        <v>627744</v>
      </c>
      <c r="N204" s="14" t="s">
        <v>34</v>
      </c>
      <c r="O204" s="13">
        <v>2</v>
      </c>
      <c r="P204" s="17">
        <v>44020</v>
      </c>
      <c r="Q204" s="14"/>
      <c r="R204" s="17"/>
      <c r="S204" s="17"/>
      <c r="T204" s="14" t="s">
        <v>5493</v>
      </c>
      <c r="U204" s="14" t="s">
        <v>5494</v>
      </c>
      <c r="V204" s="14" t="s">
        <v>7509</v>
      </c>
      <c r="W204" s="14"/>
      <c r="X204" s="14" t="s">
        <v>7510</v>
      </c>
      <c r="Y204" s="14"/>
      <c r="Z204" s="14" t="s">
        <v>7511</v>
      </c>
      <c r="AA204" s="14"/>
      <c r="AB204" s="14" t="s">
        <v>5208</v>
      </c>
      <c r="AC204" s="14" t="s">
        <v>7512</v>
      </c>
      <c r="AD204" s="14" t="s">
        <v>7513</v>
      </c>
      <c r="AE204" s="14" t="s">
        <v>7514</v>
      </c>
      <c r="AF204" s="14" t="s">
        <v>7515</v>
      </c>
      <c r="AG204" s="14" t="s">
        <v>7516</v>
      </c>
      <c r="AH204" s="18"/>
      <c r="AI204" s="16"/>
      <c r="AJ204" s="17"/>
      <c r="AK204" s="15" t="s">
        <v>3123</v>
      </c>
      <c r="AL204" s="17"/>
      <c r="AM204" s="16"/>
      <c r="AN204" s="14"/>
      <c r="AO204" s="14"/>
      <c r="AP204" s="15" t="s">
        <v>3123</v>
      </c>
      <c r="AQ204" s="14"/>
      <c r="AR204" s="17"/>
      <c r="AS204" s="16"/>
      <c r="AT204" s="14"/>
      <c r="AU204" s="15" t="s">
        <v>3123</v>
      </c>
      <c r="AV204" s="14"/>
      <c r="AW204" s="17"/>
      <c r="AX204" s="16"/>
      <c r="AY204" s="16"/>
      <c r="AZ204" s="16"/>
      <c r="BA204" s="16"/>
      <c r="BB204" s="15" t="s">
        <v>3123</v>
      </c>
      <c r="BC204" s="17"/>
      <c r="BD204" s="14"/>
      <c r="BE204" s="14"/>
      <c r="BF204" s="16"/>
      <c r="BG204" s="16"/>
      <c r="BH204" s="13"/>
      <c r="BI204" s="18" t="s">
        <v>7517</v>
      </c>
      <c r="BJ204" s="13">
        <v>200</v>
      </c>
      <c r="BK204" s="17">
        <v>44129</v>
      </c>
      <c r="BL204" s="18" t="s">
        <v>7518</v>
      </c>
      <c r="BM204" s="18" t="s">
        <v>7519</v>
      </c>
      <c r="BN204" s="18" t="s">
        <v>7520</v>
      </c>
      <c r="BO204" s="18"/>
      <c r="BP204" s="14" t="s">
        <v>7521</v>
      </c>
      <c r="BQ204" s="17">
        <v>43250</v>
      </c>
      <c r="BR204" s="16"/>
      <c r="BS204" s="17"/>
      <c r="BT204" s="16"/>
      <c r="BU204" s="17"/>
      <c r="BV204" s="16"/>
      <c r="BW204" s="17"/>
      <c r="BX204" s="16"/>
      <c r="BY204" s="17"/>
      <c r="BZ204" s="19">
        <v>53.860022523169803</v>
      </c>
      <c r="CA204" s="19"/>
      <c r="CB204" s="17"/>
      <c r="CC204" s="14" t="s">
        <v>5401</v>
      </c>
      <c r="CD204" s="14" t="s">
        <v>7522</v>
      </c>
      <c r="CE204" s="14" t="s">
        <v>5945</v>
      </c>
    </row>
    <row r="205" spans="1:83" ht="26.15" customHeight="1">
      <c r="A205" s="13">
        <v>199</v>
      </c>
      <c r="B205" s="14" t="s">
        <v>251</v>
      </c>
      <c r="C205" s="14" t="s">
        <v>252</v>
      </c>
      <c r="D205" s="14" t="s">
        <v>256</v>
      </c>
      <c r="E205" s="13">
        <v>2006</v>
      </c>
      <c r="F205" s="14" t="s">
        <v>7523</v>
      </c>
      <c r="G205" s="14" t="s">
        <v>7524</v>
      </c>
      <c r="H205" s="14" t="s">
        <v>5391</v>
      </c>
      <c r="I205" s="15" t="s">
        <v>3117</v>
      </c>
      <c r="J205" s="16">
        <v>37911025</v>
      </c>
      <c r="K205" s="17">
        <v>44026</v>
      </c>
      <c r="L205" s="16" t="s">
        <v>7525</v>
      </c>
      <c r="M205" s="16">
        <v>28000000</v>
      </c>
      <c r="N205" s="14" t="s">
        <v>25</v>
      </c>
      <c r="O205" s="13">
        <v>4</v>
      </c>
      <c r="P205" s="17">
        <v>44139</v>
      </c>
      <c r="Q205" s="14" t="s">
        <v>5544</v>
      </c>
      <c r="R205" s="17">
        <v>44138</v>
      </c>
      <c r="S205" s="17">
        <v>44026</v>
      </c>
      <c r="T205" s="14" t="s">
        <v>1</v>
      </c>
      <c r="U205" s="14" t="s">
        <v>5007</v>
      </c>
      <c r="V205" s="14" t="s">
        <v>257</v>
      </c>
      <c r="W205" s="14"/>
      <c r="X205" s="14" t="s">
        <v>7526</v>
      </c>
      <c r="Y205" s="14"/>
      <c r="Z205" s="14" t="s">
        <v>7527</v>
      </c>
      <c r="AA205" s="14"/>
      <c r="AB205" s="14" t="s">
        <v>5391</v>
      </c>
      <c r="AC205" s="14" t="s">
        <v>7528</v>
      </c>
      <c r="AD205" s="14" t="s">
        <v>7529</v>
      </c>
      <c r="AE205" s="14" t="s">
        <v>7530</v>
      </c>
      <c r="AF205" s="14" t="s">
        <v>7531</v>
      </c>
      <c r="AG205" s="14" t="s">
        <v>7532</v>
      </c>
      <c r="AH205" s="18" t="s">
        <v>7533</v>
      </c>
      <c r="AI205" s="16"/>
      <c r="AJ205" s="17"/>
      <c r="AK205" s="15" t="s">
        <v>3123</v>
      </c>
      <c r="AL205" s="17"/>
      <c r="AM205" s="16"/>
      <c r="AN205" s="14"/>
      <c r="AO205" s="14"/>
      <c r="AP205" s="15" t="s">
        <v>3123</v>
      </c>
      <c r="AQ205" s="14"/>
      <c r="AR205" s="17"/>
      <c r="AS205" s="16"/>
      <c r="AT205" s="14"/>
      <c r="AU205" s="15" t="s">
        <v>3123</v>
      </c>
      <c r="AV205" s="14"/>
      <c r="AW205" s="17"/>
      <c r="AX205" s="16"/>
      <c r="AY205" s="16"/>
      <c r="AZ205" s="16"/>
      <c r="BA205" s="16"/>
      <c r="BB205" s="15" t="s">
        <v>3123</v>
      </c>
      <c r="BC205" s="17"/>
      <c r="BD205" s="14"/>
      <c r="BE205" s="14"/>
      <c r="BF205" s="16"/>
      <c r="BG205" s="16"/>
      <c r="BH205" s="13"/>
      <c r="BI205" s="18" t="s">
        <v>7534</v>
      </c>
      <c r="BJ205" s="13">
        <v>200</v>
      </c>
      <c r="BK205" s="17">
        <v>44126</v>
      </c>
      <c r="BL205" s="18" t="s">
        <v>7535</v>
      </c>
      <c r="BM205" s="18" t="s">
        <v>7536</v>
      </c>
      <c r="BN205" s="18" t="s">
        <v>7537</v>
      </c>
      <c r="BO205" s="18"/>
      <c r="BP205" s="14" t="s">
        <v>7538</v>
      </c>
      <c r="BQ205" s="17">
        <v>44138</v>
      </c>
      <c r="BR205" s="16"/>
      <c r="BS205" s="17"/>
      <c r="BT205" s="16"/>
      <c r="BU205" s="17"/>
      <c r="BV205" s="16"/>
      <c r="BW205" s="17"/>
      <c r="BX205" s="16"/>
      <c r="BY205" s="17"/>
      <c r="BZ205" s="19">
        <v>43.73103563786362</v>
      </c>
      <c r="CA205" s="19"/>
      <c r="CB205" s="17"/>
      <c r="CC205" s="14" t="s">
        <v>7409</v>
      </c>
      <c r="CD205" s="14" t="s">
        <v>7539</v>
      </c>
      <c r="CE205" s="14" t="s">
        <v>7194</v>
      </c>
    </row>
    <row r="206" spans="1:83" ht="26.15" customHeight="1">
      <c r="A206" s="13">
        <v>200</v>
      </c>
      <c r="B206" s="14" t="s">
        <v>1724</v>
      </c>
      <c r="C206" s="14" t="s">
        <v>1725</v>
      </c>
      <c r="D206" s="14" t="s">
        <v>1726</v>
      </c>
      <c r="E206" s="13">
        <v>2015</v>
      </c>
      <c r="F206" s="14" t="s">
        <v>6105</v>
      </c>
      <c r="G206" s="14" t="s">
        <v>5804</v>
      </c>
      <c r="H206" s="14" t="s">
        <v>5208</v>
      </c>
      <c r="I206" s="15" t="s">
        <v>3117</v>
      </c>
      <c r="J206" s="16">
        <v>810223</v>
      </c>
      <c r="K206" s="17">
        <v>43208</v>
      </c>
      <c r="L206" s="16" t="s">
        <v>5252</v>
      </c>
      <c r="M206" s="16">
        <v>100000</v>
      </c>
      <c r="N206" s="14" t="s">
        <v>34</v>
      </c>
      <c r="O206" s="13"/>
      <c r="P206" s="17"/>
      <c r="Q206" s="14"/>
      <c r="R206" s="17"/>
      <c r="S206" s="17"/>
      <c r="T206" s="14" t="s">
        <v>5976</v>
      </c>
      <c r="U206" s="14" t="s">
        <v>7540</v>
      </c>
      <c r="V206" s="14" t="s">
        <v>7541</v>
      </c>
      <c r="W206" s="14"/>
      <c r="X206" s="14" t="s">
        <v>7542</v>
      </c>
      <c r="Y206" s="14"/>
      <c r="Z206" s="14" t="s">
        <v>7543</v>
      </c>
      <c r="AA206" s="14"/>
      <c r="AB206" s="14" t="s">
        <v>5208</v>
      </c>
      <c r="AC206" s="14"/>
      <c r="AD206" s="14"/>
      <c r="AE206" s="14" t="s">
        <v>7544</v>
      </c>
      <c r="AF206" s="14" t="s">
        <v>7545</v>
      </c>
      <c r="AG206" s="14" t="s">
        <v>7546</v>
      </c>
      <c r="AH206" s="18"/>
      <c r="AI206" s="16"/>
      <c r="AJ206" s="17"/>
      <c r="AK206" s="15" t="s">
        <v>3123</v>
      </c>
      <c r="AL206" s="17"/>
      <c r="AM206" s="16"/>
      <c r="AN206" s="14"/>
      <c r="AO206" s="14"/>
      <c r="AP206" s="15" t="s">
        <v>3123</v>
      </c>
      <c r="AQ206" s="14"/>
      <c r="AR206" s="17"/>
      <c r="AS206" s="16"/>
      <c r="AT206" s="14"/>
      <c r="AU206" s="15" t="s">
        <v>3123</v>
      </c>
      <c r="AV206" s="14"/>
      <c r="AW206" s="17"/>
      <c r="AX206" s="16"/>
      <c r="AY206" s="16"/>
      <c r="AZ206" s="16"/>
      <c r="BA206" s="16"/>
      <c r="BB206" s="15" t="s">
        <v>3123</v>
      </c>
      <c r="BC206" s="17"/>
      <c r="BD206" s="14"/>
      <c r="BE206" s="14"/>
      <c r="BF206" s="16"/>
      <c r="BG206" s="16"/>
      <c r="BH206" s="13"/>
      <c r="BI206" s="18" t="s">
        <v>7547</v>
      </c>
      <c r="BJ206" s="13">
        <v>200</v>
      </c>
      <c r="BK206" s="17">
        <v>44124</v>
      </c>
      <c r="BL206" s="18" t="s">
        <v>7548</v>
      </c>
      <c r="BM206" s="18" t="s">
        <v>7549</v>
      </c>
      <c r="BN206" s="18"/>
      <c r="BO206" s="18"/>
      <c r="BP206" s="14" t="s">
        <v>7550</v>
      </c>
      <c r="BQ206" s="17">
        <v>42929</v>
      </c>
      <c r="BR206" s="16"/>
      <c r="BS206" s="17"/>
      <c r="BT206" s="16"/>
      <c r="BU206" s="17"/>
      <c r="BV206" s="16"/>
      <c r="BW206" s="17"/>
      <c r="BX206" s="16"/>
      <c r="BY206" s="17"/>
      <c r="BZ206" s="19">
        <v>39.992324357257338</v>
      </c>
      <c r="CA206" s="19"/>
      <c r="CB206" s="17"/>
      <c r="CC206" s="14" t="s">
        <v>7551</v>
      </c>
      <c r="CD206" s="14" t="s">
        <v>6002</v>
      </c>
      <c r="CE206" s="14" t="s">
        <v>6074</v>
      </c>
    </row>
    <row r="207" spans="1:83" ht="26.15" customHeight="1">
      <c r="A207" s="13">
        <v>201</v>
      </c>
      <c r="B207" s="14" t="s">
        <v>863</v>
      </c>
      <c r="C207" s="14" t="s">
        <v>864</v>
      </c>
      <c r="D207" s="14" t="s">
        <v>867</v>
      </c>
      <c r="E207" s="13">
        <v>2015</v>
      </c>
      <c r="F207" s="14" t="s">
        <v>7552</v>
      </c>
      <c r="G207" s="14" t="s">
        <v>6296</v>
      </c>
      <c r="H207" s="14" t="s">
        <v>6297</v>
      </c>
      <c r="I207" s="15" t="s">
        <v>3117</v>
      </c>
      <c r="J207" s="16"/>
      <c r="K207" s="17">
        <v>43712</v>
      </c>
      <c r="L207" s="16" t="s">
        <v>7553</v>
      </c>
      <c r="M207" s="16">
        <v>131755</v>
      </c>
      <c r="N207" s="14" t="s">
        <v>5040</v>
      </c>
      <c r="O207" s="13">
        <v>3</v>
      </c>
      <c r="P207" s="17">
        <v>44012</v>
      </c>
      <c r="Q207" s="14"/>
      <c r="R207" s="17"/>
      <c r="S207" s="17"/>
      <c r="T207" s="14" t="s">
        <v>7554</v>
      </c>
      <c r="U207" s="14" t="s">
        <v>7555</v>
      </c>
      <c r="V207" s="14" t="s">
        <v>7556</v>
      </c>
      <c r="W207" s="14"/>
      <c r="X207" s="14" t="s">
        <v>7557</v>
      </c>
      <c r="Y207" s="14"/>
      <c r="Z207" s="14" t="s">
        <v>7558</v>
      </c>
      <c r="AA207" s="14"/>
      <c r="AB207" s="14" t="s">
        <v>6297</v>
      </c>
      <c r="AC207" s="14" t="s">
        <v>7559</v>
      </c>
      <c r="AD207" s="14"/>
      <c r="AE207" s="14" t="s">
        <v>7560</v>
      </c>
      <c r="AF207" s="14" t="s">
        <v>7561</v>
      </c>
      <c r="AG207" s="14" t="s">
        <v>7562</v>
      </c>
      <c r="AH207" s="18"/>
      <c r="AI207" s="16"/>
      <c r="AJ207" s="17"/>
      <c r="AK207" s="15" t="s">
        <v>3123</v>
      </c>
      <c r="AL207" s="17"/>
      <c r="AM207" s="16"/>
      <c r="AN207" s="14"/>
      <c r="AO207" s="14"/>
      <c r="AP207" s="15" t="s">
        <v>3123</v>
      </c>
      <c r="AQ207" s="14"/>
      <c r="AR207" s="17"/>
      <c r="AS207" s="16"/>
      <c r="AT207" s="14"/>
      <c r="AU207" s="15" t="s">
        <v>3123</v>
      </c>
      <c r="AV207" s="14"/>
      <c r="AW207" s="17"/>
      <c r="AX207" s="16"/>
      <c r="AY207" s="16"/>
      <c r="AZ207" s="16"/>
      <c r="BA207" s="16"/>
      <c r="BB207" s="15" t="s">
        <v>3123</v>
      </c>
      <c r="BC207" s="17"/>
      <c r="BD207" s="14"/>
      <c r="BE207" s="14"/>
      <c r="BF207" s="16"/>
      <c r="BG207" s="16"/>
      <c r="BH207" s="13"/>
      <c r="BI207" s="18" t="s">
        <v>7563</v>
      </c>
      <c r="BJ207" s="13">
        <v>200</v>
      </c>
      <c r="BK207" s="17">
        <v>44124</v>
      </c>
      <c r="BL207" s="18" t="s">
        <v>7564</v>
      </c>
      <c r="BM207" s="18" t="s">
        <v>7565</v>
      </c>
      <c r="BN207" s="18" t="s">
        <v>7566</v>
      </c>
      <c r="BO207" s="18" t="s">
        <v>7567</v>
      </c>
      <c r="BP207" s="14" t="s">
        <v>7568</v>
      </c>
      <c r="BQ207" s="17">
        <v>43263</v>
      </c>
      <c r="BR207" s="16"/>
      <c r="BS207" s="17"/>
      <c r="BT207" s="16"/>
      <c r="BU207" s="17"/>
      <c r="BV207" s="16"/>
      <c r="BW207" s="17"/>
      <c r="BX207" s="16"/>
      <c r="BY207" s="17"/>
      <c r="BZ207" s="19">
        <v>49.207175267874184</v>
      </c>
      <c r="CA207" s="19"/>
      <c r="CB207" s="17"/>
      <c r="CC207" s="14" t="s">
        <v>7569</v>
      </c>
      <c r="CD207" s="14" t="s">
        <v>7570</v>
      </c>
      <c r="CE207" s="14" t="s">
        <v>6074</v>
      </c>
    </row>
    <row r="208" spans="1:83" ht="26.15" customHeight="1">
      <c r="A208" s="13">
        <v>202</v>
      </c>
      <c r="B208" s="14" t="s">
        <v>2025</v>
      </c>
      <c r="C208" s="14" t="s">
        <v>2026</v>
      </c>
      <c r="D208" s="14" t="s">
        <v>2028</v>
      </c>
      <c r="E208" s="13">
        <v>2015</v>
      </c>
      <c r="F208" s="14" t="s">
        <v>6630</v>
      </c>
      <c r="G208" s="14" t="s">
        <v>6631</v>
      </c>
      <c r="H208" s="14" t="s">
        <v>6632</v>
      </c>
      <c r="I208" s="15" t="s">
        <v>3117</v>
      </c>
      <c r="J208" s="16">
        <v>2839000</v>
      </c>
      <c r="K208" s="17">
        <v>42943</v>
      </c>
      <c r="L208" s="16" t="s">
        <v>5022</v>
      </c>
      <c r="M208" s="16">
        <v>2375000</v>
      </c>
      <c r="N208" s="14" t="s">
        <v>109</v>
      </c>
      <c r="O208" s="13">
        <v>4</v>
      </c>
      <c r="P208" s="17">
        <v>44008</v>
      </c>
      <c r="Q208" s="14"/>
      <c r="R208" s="17"/>
      <c r="S208" s="17"/>
      <c r="T208" s="14" t="s">
        <v>5426</v>
      </c>
      <c r="U208" s="14" t="s">
        <v>5427</v>
      </c>
      <c r="V208" s="14" t="s">
        <v>7571</v>
      </c>
      <c r="W208" s="14"/>
      <c r="X208" s="14"/>
      <c r="Y208" s="14"/>
      <c r="Z208" s="14" t="s">
        <v>7572</v>
      </c>
      <c r="AA208" s="14"/>
      <c r="AB208" s="14" t="s">
        <v>6632</v>
      </c>
      <c r="AC208" s="14" t="s">
        <v>7573</v>
      </c>
      <c r="AD208" s="14"/>
      <c r="AE208" s="14" t="s">
        <v>7574</v>
      </c>
      <c r="AF208" s="14" t="s">
        <v>7575</v>
      </c>
      <c r="AG208" s="14" t="s">
        <v>7576</v>
      </c>
      <c r="AH208" s="18"/>
      <c r="AI208" s="16"/>
      <c r="AJ208" s="17"/>
      <c r="AK208" s="15" t="s">
        <v>3123</v>
      </c>
      <c r="AL208" s="17"/>
      <c r="AM208" s="16"/>
      <c r="AN208" s="14"/>
      <c r="AO208" s="14"/>
      <c r="AP208" s="15" t="s">
        <v>3123</v>
      </c>
      <c r="AQ208" s="14"/>
      <c r="AR208" s="17"/>
      <c r="AS208" s="16"/>
      <c r="AT208" s="14"/>
      <c r="AU208" s="15" t="s">
        <v>3123</v>
      </c>
      <c r="AV208" s="14"/>
      <c r="AW208" s="17"/>
      <c r="AX208" s="16"/>
      <c r="AY208" s="16"/>
      <c r="AZ208" s="16"/>
      <c r="BA208" s="16"/>
      <c r="BB208" s="15" t="s">
        <v>3123</v>
      </c>
      <c r="BC208" s="17"/>
      <c r="BD208" s="14"/>
      <c r="BE208" s="14"/>
      <c r="BF208" s="16"/>
      <c r="BG208" s="16"/>
      <c r="BH208" s="13"/>
      <c r="BI208" s="18" t="s">
        <v>7577</v>
      </c>
      <c r="BJ208" s="13">
        <v>200</v>
      </c>
      <c r="BK208" s="17">
        <v>44124</v>
      </c>
      <c r="BL208" s="18" t="s">
        <v>7578</v>
      </c>
      <c r="BM208" s="18" t="s">
        <v>7579</v>
      </c>
      <c r="BN208" s="18"/>
      <c r="BO208" s="18"/>
      <c r="BP208" s="14" t="s">
        <v>7580</v>
      </c>
      <c r="BQ208" s="17">
        <v>42930</v>
      </c>
      <c r="BR208" s="16"/>
      <c r="BS208" s="17"/>
      <c r="BT208" s="16"/>
      <c r="BU208" s="17"/>
      <c r="BV208" s="16"/>
      <c r="BW208" s="17"/>
      <c r="BX208" s="16"/>
      <c r="BY208" s="17"/>
      <c r="BZ208" s="19">
        <v>33.133962369244891</v>
      </c>
      <c r="CA208" s="19"/>
      <c r="CB208" s="17"/>
      <c r="CC208" s="14" t="s">
        <v>5036</v>
      </c>
      <c r="CD208" s="14" t="s">
        <v>5962</v>
      </c>
      <c r="CE208" s="14" t="s">
        <v>5945</v>
      </c>
    </row>
    <row r="209" spans="1:83" ht="26.15" customHeight="1">
      <c r="A209" s="13">
        <v>203</v>
      </c>
      <c r="B209" s="14" t="s">
        <v>1476</v>
      </c>
      <c r="C209" s="14" t="s">
        <v>1477</v>
      </c>
      <c r="D209" s="14" t="s">
        <v>1480</v>
      </c>
      <c r="E209" s="13">
        <v>2014</v>
      </c>
      <c r="F209" s="14" t="s">
        <v>7581</v>
      </c>
      <c r="G209" s="14" t="s">
        <v>7582</v>
      </c>
      <c r="H209" s="14" t="s">
        <v>2057</v>
      </c>
      <c r="I209" s="15" t="s">
        <v>3117</v>
      </c>
      <c r="J209" s="16">
        <v>6141730</v>
      </c>
      <c r="K209" s="17">
        <v>43335</v>
      </c>
      <c r="L209" s="16"/>
      <c r="M209" s="16" t="s">
        <v>50</v>
      </c>
      <c r="N209" s="14" t="s">
        <v>25</v>
      </c>
      <c r="O209" s="13"/>
      <c r="P209" s="17"/>
      <c r="Q209" s="14"/>
      <c r="R209" s="17"/>
      <c r="S209" s="17"/>
      <c r="T209" s="14" t="s">
        <v>5493</v>
      </c>
      <c r="U209" s="14" t="s">
        <v>5494</v>
      </c>
      <c r="V209" s="14" t="s">
        <v>6764</v>
      </c>
      <c r="W209" s="14"/>
      <c r="X209" s="14" t="s">
        <v>7583</v>
      </c>
      <c r="Y209" s="14"/>
      <c r="Z209" s="14" t="s">
        <v>7584</v>
      </c>
      <c r="AA209" s="14"/>
      <c r="AB209" s="14" t="s">
        <v>2057</v>
      </c>
      <c r="AC209" s="14"/>
      <c r="AD209" s="14" t="s">
        <v>7585</v>
      </c>
      <c r="AE209" s="14" t="s">
        <v>7586</v>
      </c>
      <c r="AF209" s="14"/>
      <c r="AG209" s="14"/>
      <c r="AH209" s="18"/>
      <c r="AI209" s="16"/>
      <c r="AJ209" s="17"/>
      <c r="AK209" s="15" t="s">
        <v>3123</v>
      </c>
      <c r="AL209" s="17"/>
      <c r="AM209" s="16"/>
      <c r="AN209" s="14"/>
      <c r="AO209" s="14"/>
      <c r="AP209" s="15" t="s">
        <v>3123</v>
      </c>
      <c r="AQ209" s="14"/>
      <c r="AR209" s="17"/>
      <c r="AS209" s="16"/>
      <c r="AT209" s="14"/>
      <c r="AU209" s="15" t="s">
        <v>3123</v>
      </c>
      <c r="AV209" s="14"/>
      <c r="AW209" s="17"/>
      <c r="AX209" s="16"/>
      <c r="AY209" s="16"/>
      <c r="AZ209" s="16"/>
      <c r="BA209" s="16"/>
      <c r="BB209" s="15" t="s">
        <v>3123</v>
      </c>
      <c r="BC209" s="17"/>
      <c r="BD209" s="14"/>
      <c r="BE209" s="14"/>
      <c r="BF209" s="16"/>
      <c r="BG209" s="16"/>
      <c r="BH209" s="13"/>
      <c r="BI209" s="18" t="s">
        <v>7587</v>
      </c>
      <c r="BJ209" s="13">
        <v>-1</v>
      </c>
      <c r="BK209" s="17">
        <v>44124</v>
      </c>
      <c r="BL209" s="18"/>
      <c r="BM209" s="18"/>
      <c r="BN209" s="18"/>
      <c r="BO209" s="18"/>
      <c r="BP209" s="14" t="s">
        <v>7588</v>
      </c>
      <c r="BQ209" s="17">
        <v>43020</v>
      </c>
      <c r="BR209" s="16"/>
      <c r="BS209" s="17"/>
      <c r="BT209" s="16"/>
      <c r="BU209" s="17"/>
      <c r="BV209" s="16"/>
      <c r="BW209" s="17"/>
      <c r="BX209" s="16"/>
      <c r="BY209" s="17"/>
      <c r="BZ209" s="19">
        <v>27.545533698751679</v>
      </c>
      <c r="CA209" s="19"/>
      <c r="CB209" s="17"/>
      <c r="CC209" s="14" t="s">
        <v>6556</v>
      </c>
      <c r="CD209" s="14" t="s">
        <v>6557</v>
      </c>
      <c r="CE209" s="14" t="s">
        <v>5945</v>
      </c>
    </row>
    <row r="210" spans="1:83" ht="26.15" customHeight="1">
      <c r="A210" s="13">
        <v>204</v>
      </c>
      <c r="B210" s="14" t="s">
        <v>1126</v>
      </c>
      <c r="C210" s="14" t="s">
        <v>1127</v>
      </c>
      <c r="D210" s="14" t="s">
        <v>1130</v>
      </c>
      <c r="E210" s="13">
        <v>2013</v>
      </c>
      <c r="F210" s="14" t="s">
        <v>5592</v>
      </c>
      <c r="G210" s="14" t="s">
        <v>5313</v>
      </c>
      <c r="H210" s="14" t="s">
        <v>3994</v>
      </c>
      <c r="I210" s="15" t="s">
        <v>3117</v>
      </c>
      <c r="J210" s="16">
        <v>264994</v>
      </c>
      <c r="K210" s="17">
        <v>43552</v>
      </c>
      <c r="L210" s="16" t="s">
        <v>7589</v>
      </c>
      <c r="M210" s="16">
        <v>216833</v>
      </c>
      <c r="N210" s="14" t="s">
        <v>34</v>
      </c>
      <c r="O210" s="13">
        <v>3</v>
      </c>
      <c r="P210" s="17">
        <v>44022</v>
      </c>
      <c r="Q210" s="14"/>
      <c r="R210" s="17"/>
      <c r="S210" s="17"/>
      <c r="T210" s="14" t="s">
        <v>1</v>
      </c>
      <c r="U210" s="14" t="s">
        <v>5007</v>
      </c>
      <c r="V210" s="14" t="s">
        <v>968</v>
      </c>
      <c r="W210" s="14"/>
      <c r="X210" s="14" t="s">
        <v>1129</v>
      </c>
      <c r="Y210" s="14" t="s">
        <v>7590</v>
      </c>
      <c r="Z210" s="14" t="s">
        <v>7591</v>
      </c>
      <c r="AA210" s="14"/>
      <c r="AB210" s="14" t="s">
        <v>3994</v>
      </c>
      <c r="AC210" s="14" t="s">
        <v>7592</v>
      </c>
      <c r="AD210" s="14"/>
      <c r="AE210" s="14" t="s">
        <v>7593</v>
      </c>
      <c r="AF210" s="14" t="s">
        <v>7594</v>
      </c>
      <c r="AG210" s="14" t="s">
        <v>7595</v>
      </c>
      <c r="AH210" s="18"/>
      <c r="AI210" s="16">
        <v>33100</v>
      </c>
      <c r="AJ210" s="17">
        <v>43465</v>
      </c>
      <c r="AK210" s="15" t="s">
        <v>3123</v>
      </c>
      <c r="AL210" s="17"/>
      <c r="AM210" s="16"/>
      <c r="AN210" s="14"/>
      <c r="AO210" s="14"/>
      <c r="AP210" s="15" t="s">
        <v>3123</v>
      </c>
      <c r="AQ210" s="14"/>
      <c r="AR210" s="17"/>
      <c r="AS210" s="16"/>
      <c r="AT210" s="14"/>
      <c r="AU210" s="15" t="s">
        <v>3123</v>
      </c>
      <c r="AV210" s="14"/>
      <c r="AW210" s="17"/>
      <c r="AX210" s="16"/>
      <c r="AY210" s="16"/>
      <c r="AZ210" s="16"/>
      <c r="BA210" s="16"/>
      <c r="BB210" s="15" t="s">
        <v>3123</v>
      </c>
      <c r="BC210" s="17"/>
      <c r="BD210" s="14"/>
      <c r="BE210" s="14"/>
      <c r="BF210" s="16"/>
      <c r="BG210" s="16"/>
      <c r="BH210" s="13"/>
      <c r="BI210" s="18" t="s">
        <v>7596</v>
      </c>
      <c r="BJ210" s="13">
        <v>200</v>
      </c>
      <c r="BK210" s="17">
        <v>44124</v>
      </c>
      <c r="BL210" s="18" t="s">
        <v>7597</v>
      </c>
      <c r="BM210" s="18" t="s">
        <v>7598</v>
      </c>
      <c r="BN210" s="18"/>
      <c r="BO210" s="18"/>
      <c r="BP210" s="14" t="s">
        <v>7599</v>
      </c>
      <c r="BQ210" s="17">
        <v>43032</v>
      </c>
      <c r="BR210" s="16">
        <v>-38700</v>
      </c>
      <c r="BS210" s="17">
        <v>43465</v>
      </c>
      <c r="BT210" s="16">
        <v>-36600</v>
      </c>
      <c r="BU210" s="17">
        <v>43465</v>
      </c>
      <c r="BV210" s="16">
        <v>1000000</v>
      </c>
      <c r="BW210" s="17">
        <v>43552</v>
      </c>
      <c r="BX210" s="16">
        <v>62</v>
      </c>
      <c r="BY210" s="17">
        <v>43921</v>
      </c>
      <c r="BZ210" s="19">
        <v>22.520556200848389</v>
      </c>
      <c r="CA210" s="19"/>
      <c r="CB210" s="17"/>
      <c r="CC210" s="14" t="s">
        <v>5345</v>
      </c>
      <c r="CD210" s="14" t="s">
        <v>7272</v>
      </c>
      <c r="CE210" s="14" t="s">
        <v>5945</v>
      </c>
    </row>
    <row r="211" spans="1:83" ht="26.15" customHeight="1">
      <c r="A211" s="13">
        <v>205</v>
      </c>
      <c r="B211" s="14" t="s">
        <v>1748</v>
      </c>
      <c r="C211" s="14" t="s">
        <v>1749</v>
      </c>
      <c r="D211" s="14" t="s">
        <v>1752</v>
      </c>
      <c r="E211" s="13">
        <v>2014</v>
      </c>
      <c r="F211" s="14" t="s">
        <v>5719</v>
      </c>
      <c r="G211" s="14" t="s">
        <v>5720</v>
      </c>
      <c r="H211" s="14" t="s">
        <v>2057</v>
      </c>
      <c r="I211" s="15" t="s">
        <v>3117</v>
      </c>
      <c r="J211" s="16">
        <v>14470000</v>
      </c>
      <c r="K211" s="17">
        <v>43202</v>
      </c>
      <c r="L211" s="16"/>
      <c r="M211" s="16" t="s">
        <v>50</v>
      </c>
      <c r="N211" s="14" t="s">
        <v>95</v>
      </c>
      <c r="O211" s="13">
        <v>4</v>
      </c>
      <c r="P211" s="17">
        <v>44013</v>
      </c>
      <c r="Q211" s="14"/>
      <c r="R211" s="17"/>
      <c r="S211" s="17"/>
      <c r="T211" s="14" t="s">
        <v>5426</v>
      </c>
      <c r="U211" s="14" t="s">
        <v>6018</v>
      </c>
      <c r="V211" s="14" t="s">
        <v>7600</v>
      </c>
      <c r="W211" s="14"/>
      <c r="X211" s="14" t="s">
        <v>7601</v>
      </c>
      <c r="Y211" s="14"/>
      <c r="Z211" s="14" t="s">
        <v>7602</v>
      </c>
      <c r="AA211" s="14"/>
      <c r="AB211" s="14" t="s">
        <v>2057</v>
      </c>
      <c r="AC211" s="14"/>
      <c r="AD211" s="14"/>
      <c r="AE211" s="14" t="s">
        <v>7603</v>
      </c>
      <c r="AF211" s="14"/>
      <c r="AG211" s="14"/>
      <c r="AH211" s="18"/>
      <c r="AI211" s="16"/>
      <c r="AJ211" s="17"/>
      <c r="AK211" s="15" t="s">
        <v>3123</v>
      </c>
      <c r="AL211" s="17"/>
      <c r="AM211" s="16"/>
      <c r="AN211" s="14"/>
      <c r="AO211" s="14"/>
      <c r="AP211" s="15" t="s">
        <v>3123</v>
      </c>
      <c r="AQ211" s="14"/>
      <c r="AR211" s="17"/>
      <c r="AS211" s="16"/>
      <c r="AT211" s="14"/>
      <c r="AU211" s="15" t="s">
        <v>3123</v>
      </c>
      <c r="AV211" s="14"/>
      <c r="AW211" s="17"/>
      <c r="AX211" s="16"/>
      <c r="AY211" s="16"/>
      <c r="AZ211" s="16"/>
      <c r="BA211" s="16"/>
      <c r="BB211" s="15" t="s">
        <v>3123</v>
      </c>
      <c r="BC211" s="17"/>
      <c r="BD211" s="14"/>
      <c r="BE211" s="14"/>
      <c r="BF211" s="16"/>
      <c r="BG211" s="16"/>
      <c r="BH211" s="13"/>
      <c r="BI211" s="18" t="s">
        <v>7604</v>
      </c>
      <c r="BJ211" s="13">
        <v>200</v>
      </c>
      <c r="BK211" s="17">
        <v>44124</v>
      </c>
      <c r="BL211" s="18"/>
      <c r="BM211" s="18"/>
      <c r="BN211" s="18"/>
      <c r="BO211" s="18"/>
      <c r="BP211" s="14" t="s">
        <v>7605</v>
      </c>
      <c r="BQ211" s="17">
        <v>42768</v>
      </c>
      <c r="BR211" s="16"/>
      <c r="BS211" s="17"/>
      <c r="BT211" s="16"/>
      <c r="BU211" s="17"/>
      <c r="BV211" s="16"/>
      <c r="BW211" s="17"/>
      <c r="BX211" s="16"/>
      <c r="BY211" s="17"/>
      <c r="BZ211" s="19">
        <v>41.255255272855273</v>
      </c>
      <c r="CA211" s="19"/>
      <c r="CB211" s="17"/>
      <c r="CC211" s="14" t="s">
        <v>7606</v>
      </c>
      <c r="CD211" s="14" t="s">
        <v>7607</v>
      </c>
      <c r="CE211" s="14" t="s">
        <v>5945</v>
      </c>
    </row>
    <row r="212" spans="1:83" ht="26.15" hidden="1" customHeight="1">
      <c r="A212" s="13">
        <v>206</v>
      </c>
      <c r="B212" s="14" t="s">
        <v>1679</v>
      </c>
      <c r="C212" s="14" t="s">
        <v>1680</v>
      </c>
      <c r="D212" s="14" t="s">
        <v>1683</v>
      </c>
      <c r="E212" s="13">
        <v>2006</v>
      </c>
      <c r="F212" s="14" t="s">
        <v>7608</v>
      </c>
      <c r="G212" s="14" t="s">
        <v>7609</v>
      </c>
      <c r="H212" s="14" t="s">
        <v>4343</v>
      </c>
      <c r="I212" s="15" t="s">
        <v>3117</v>
      </c>
      <c r="J212" s="16">
        <v>40000000</v>
      </c>
      <c r="K212" s="17">
        <v>43227</v>
      </c>
      <c r="L212" s="16" t="s">
        <v>5165</v>
      </c>
      <c r="M212" s="16">
        <v>10000000</v>
      </c>
      <c r="N212" s="14" t="s">
        <v>95</v>
      </c>
      <c r="O212" s="13">
        <v>4</v>
      </c>
      <c r="P212" s="17">
        <v>43977</v>
      </c>
      <c r="Q212" s="14"/>
      <c r="R212" s="17"/>
      <c r="S212" s="17"/>
      <c r="T212" s="14" t="s">
        <v>1</v>
      </c>
      <c r="U212" s="14" t="s">
        <v>5007</v>
      </c>
      <c r="V212" s="14" t="s">
        <v>1684</v>
      </c>
      <c r="W212" s="14"/>
      <c r="X212" s="14" t="s">
        <v>7610</v>
      </c>
      <c r="Y212" s="14"/>
      <c r="Z212" s="14" t="s">
        <v>7611</v>
      </c>
      <c r="AA212" s="14"/>
      <c r="AB212" s="14" t="s">
        <v>4343</v>
      </c>
      <c r="AC212" s="14"/>
      <c r="AD212" s="14"/>
      <c r="AE212" s="14" t="s">
        <v>7612</v>
      </c>
      <c r="AF212" s="14" t="s">
        <v>7613</v>
      </c>
      <c r="AG212" s="14" t="s">
        <v>7614</v>
      </c>
      <c r="AH212" s="18"/>
      <c r="AI212" s="16"/>
      <c r="AJ212" s="17"/>
      <c r="AK212" s="15" t="s">
        <v>3123</v>
      </c>
      <c r="AL212" s="17"/>
      <c r="AM212" s="16"/>
      <c r="AN212" s="14"/>
      <c r="AO212" s="14"/>
      <c r="AP212" s="15" t="s">
        <v>3123</v>
      </c>
      <c r="AQ212" s="14"/>
      <c r="AR212" s="17"/>
      <c r="AS212" s="16"/>
      <c r="AT212" s="14"/>
      <c r="AU212" s="15" t="s">
        <v>3123</v>
      </c>
      <c r="AV212" s="14"/>
      <c r="AW212" s="17"/>
      <c r="AX212" s="16"/>
      <c r="AY212" s="16"/>
      <c r="AZ212" s="16"/>
      <c r="BA212" s="16"/>
      <c r="BB212" s="15" t="s">
        <v>3123</v>
      </c>
      <c r="BC212" s="17"/>
      <c r="BD212" s="14"/>
      <c r="BE212" s="14"/>
      <c r="BF212" s="16"/>
      <c r="BG212" s="16"/>
      <c r="BH212" s="13"/>
      <c r="BI212" s="18" t="s">
        <v>7615</v>
      </c>
      <c r="BJ212" s="13">
        <v>200</v>
      </c>
      <c r="BK212" s="17">
        <v>44124</v>
      </c>
      <c r="BL212" s="18" t="s">
        <v>7616</v>
      </c>
      <c r="BM212" s="18"/>
      <c r="BN212" s="18"/>
      <c r="BO212" s="18"/>
      <c r="BP212" s="14" t="s">
        <v>7617</v>
      </c>
      <c r="BQ212" s="17">
        <v>42983</v>
      </c>
      <c r="BR212" s="16"/>
      <c r="BS212" s="17"/>
      <c r="BT212" s="16"/>
      <c r="BU212" s="17"/>
      <c r="BV212" s="16"/>
      <c r="BW212" s="17"/>
      <c r="BX212" s="16"/>
      <c r="BY212" s="17"/>
      <c r="BZ212" s="19">
        <v>39.768229759844118</v>
      </c>
      <c r="CA212" s="19"/>
      <c r="CB212" s="17"/>
      <c r="CC212" s="14" t="s">
        <v>5345</v>
      </c>
      <c r="CD212" s="14" t="s">
        <v>7272</v>
      </c>
      <c r="CE212" s="14" t="s">
        <v>5945</v>
      </c>
    </row>
    <row r="213" spans="1:83" ht="26.15" customHeight="1">
      <c r="A213" s="13">
        <v>207</v>
      </c>
      <c r="B213" s="14" t="s">
        <v>153</v>
      </c>
      <c r="C213" s="14" t="s">
        <v>154</v>
      </c>
      <c r="D213" s="14" t="s">
        <v>158</v>
      </c>
      <c r="E213" s="13">
        <v>2015</v>
      </c>
      <c r="F213" s="14" t="s">
        <v>7618</v>
      </c>
      <c r="G213" s="14" t="s">
        <v>7618</v>
      </c>
      <c r="H213" s="14" t="s">
        <v>2057</v>
      </c>
      <c r="I213" s="15" t="s">
        <v>3117</v>
      </c>
      <c r="J213" s="16">
        <v>2954680</v>
      </c>
      <c r="K213" s="17">
        <v>44070</v>
      </c>
      <c r="L213" s="16" t="s">
        <v>5069</v>
      </c>
      <c r="M213" s="16">
        <v>2954680</v>
      </c>
      <c r="N213" s="14" t="s">
        <v>34</v>
      </c>
      <c r="O213" s="13">
        <v>3</v>
      </c>
      <c r="P213" s="17">
        <v>44081</v>
      </c>
      <c r="Q213" s="14"/>
      <c r="R213" s="17"/>
      <c r="S213" s="17"/>
      <c r="T213" s="14" t="s">
        <v>4995</v>
      </c>
      <c r="U213" s="14" t="s">
        <v>7423</v>
      </c>
      <c r="V213" s="14" t="s">
        <v>7619</v>
      </c>
      <c r="W213" s="14"/>
      <c r="X213" s="14" t="s">
        <v>7620</v>
      </c>
      <c r="Y213" s="14"/>
      <c r="Z213" s="14" t="s">
        <v>7621</v>
      </c>
      <c r="AA213" s="14"/>
      <c r="AB213" s="14" t="s">
        <v>2057</v>
      </c>
      <c r="AC213" s="14"/>
      <c r="AD213" s="14"/>
      <c r="AE213" s="14" t="s">
        <v>7622</v>
      </c>
      <c r="AF213" s="14" t="s">
        <v>7623</v>
      </c>
      <c r="AG213" s="14" t="s">
        <v>7624</v>
      </c>
      <c r="AH213" s="18"/>
      <c r="AI213" s="16"/>
      <c r="AJ213" s="17"/>
      <c r="AK213" s="15" t="s">
        <v>3123</v>
      </c>
      <c r="AL213" s="17"/>
      <c r="AM213" s="16"/>
      <c r="AN213" s="14"/>
      <c r="AO213" s="14"/>
      <c r="AP213" s="15" t="s">
        <v>3123</v>
      </c>
      <c r="AQ213" s="14"/>
      <c r="AR213" s="17"/>
      <c r="AS213" s="16"/>
      <c r="AT213" s="14"/>
      <c r="AU213" s="15" t="s">
        <v>3123</v>
      </c>
      <c r="AV213" s="14"/>
      <c r="AW213" s="17"/>
      <c r="AX213" s="16"/>
      <c r="AY213" s="16"/>
      <c r="AZ213" s="16"/>
      <c r="BA213" s="16"/>
      <c r="BB213" s="15" t="s">
        <v>3123</v>
      </c>
      <c r="BC213" s="17"/>
      <c r="BD213" s="14"/>
      <c r="BE213" s="14"/>
      <c r="BF213" s="16"/>
      <c r="BG213" s="16"/>
      <c r="BH213" s="13"/>
      <c r="BI213" s="18" t="s">
        <v>7625</v>
      </c>
      <c r="BJ213" s="13">
        <v>200</v>
      </c>
      <c r="BK213" s="17">
        <v>44124</v>
      </c>
      <c r="BL213" s="18" t="s">
        <v>7626</v>
      </c>
      <c r="BM213" s="18" t="s">
        <v>7627</v>
      </c>
      <c r="BN213" s="18"/>
      <c r="BO213" s="18"/>
      <c r="BP213" s="14" t="s">
        <v>7628</v>
      </c>
      <c r="BQ213" s="17">
        <v>42510</v>
      </c>
      <c r="BR213" s="16"/>
      <c r="BS213" s="17"/>
      <c r="BT213" s="16"/>
      <c r="BU213" s="17"/>
      <c r="BV213" s="16"/>
      <c r="BW213" s="17"/>
      <c r="BX213" s="16"/>
      <c r="BY213" s="17"/>
      <c r="BZ213" s="19">
        <v>42.093640700287345</v>
      </c>
      <c r="CA213" s="19"/>
      <c r="CB213" s="17"/>
      <c r="CC213" s="14" t="s">
        <v>6487</v>
      </c>
      <c r="CD213" s="14" t="s">
        <v>5424</v>
      </c>
      <c r="CE213" s="14" t="s">
        <v>5311</v>
      </c>
    </row>
    <row r="214" spans="1:83" ht="26.15" customHeight="1">
      <c r="A214" s="13">
        <v>208</v>
      </c>
      <c r="B214" s="14" t="s">
        <v>203</v>
      </c>
      <c r="C214" s="14" t="s">
        <v>204</v>
      </c>
      <c r="D214" s="14" t="s">
        <v>208</v>
      </c>
      <c r="E214" s="13">
        <v>2016</v>
      </c>
      <c r="F214" s="14" t="s">
        <v>7285</v>
      </c>
      <c r="G214" s="14" t="s">
        <v>7285</v>
      </c>
      <c r="H214" s="14" t="s">
        <v>5277</v>
      </c>
      <c r="I214" s="15" t="s">
        <v>3117</v>
      </c>
      <c r="J214" s="16">
        <v>5500000</v>
      </c>
      <c r="K214" s="17">
        <v>44055</v>
      </c>
      <c r="L214" s="16" t="s">
        <v>6481</v>
      </c>
      <c r="M214" s="16">
        <v>5500000</v>
      </c>
      <c r="N214" s="14" t="s">
        <v>109</v>
      </c>
      <c r="O214" s="13">
        <v>4</v>
      </c>
      <c r="P214" s="17">
        <v>44081</v>
      </c>
      <c r="Q214" s="14" t="s">
        <v>5052</v>
      </c>
      <c r="R214" s="17">
        <v>44060</v>
      </c>
      <c r="S214" s="17">
        <v>44055</v>
      </c>
      <c r="T214" s="14" t="s">
        <v>1</v>
      </c>
      <c r="U214" s="14" t="s">
        <v>5135</v>
      </c>
      <c r="V214" s="14" t="s">
        <v>7629</v>
      </c>
      <c r="W214" s="14"/>
      <c r="X214" s="14" t="s">
        <v>7630</v>
      </c>
      <c r="Y214" s="14"/>
      <c r="Z214" s="14" t="s">
        <v>7631</v>
      </c>
      <c r="AA214" s="14"/>
      <c r="AB214" s="14" t="s">
        <v>5277</v>
      </c>
      <c r="AC214" s="14"/>
      <c r="AD214" s="14"/>
      <c r="AE214" s="14" t="s">
        <v>7632</v>
      </c>
      <c r="AF214" s="14" t="s">
        <v>7633</v>
      </c>
      <c r="AG214" s="14" t="s">
        <v>7634</v>
      </c>
      <c r="AH214" s="18"/>
      <c r="AI214" s="16"/>
      <c r="AJ214" s="17"/>
      <c r="AK214" s="15" t="s">
        <v>3123</v>
      </c>
      <c r="AL214" s="17"/>
      <c r="AM214" s="16"/>
      <c r="AN214" s="14"/>
      <c r="AO214" s="14"/>
      <c r="AP214" s="15" t="s">
        <v>3123</v>
      </c>
      <c r="AQ214" s="14"/>
      <c r="AR214" s="17"/>
      <c r="AS214" s="16"/>
      <c r="AT214" s="14"/>
      <c r="AU214" s="15" t="s">
        <v>3123</v>
      </c>
      <c r="AV214" s="14"/>
      <c r="AW214" s="17"/>
      <c r="AX214" s="16"/>
      <c r="AY214" s="16"/>
      <c r="AZ214" s="16"/>
      <c r="BA214" s="16"/>
      <c r="BB214" s="15" t="s">
        <v>3123</v>
      </c>
      <c r="BC214" s="17"/>
      <c r="BD214" s="14"/>
      <c r="BE214" s="14"/>
      <c r="BF214" s="16"/>
      <c r="BG214" s="16"/>
      <c r="BH214" s="13"/>
      <c r="BI214" s="18" t="s">
        <v>7635</v>
      </c>
      <c r="BJ214" s="13">
        <v>200</v>
      </c>
      <c r="BK214" s="17">
        <v>44124</v>
      </c>
      <c r="BL214" s="18" t="s">
        <v>7636</v>
      </c>
      <c r="BM214" s="18"/>
      <c r="BN214" s="18"/>
      <c r="BO214" s="18"/>
      <c r="BP214" s="14" t="s">
        <v>7637</v>
      </c>
      <c r="BQ214" s="17">
        <v>43140</v>
      </c>
      <c r="BR214" s="16"/>
      <c r="BS214" s="17"/>
      <c r="BT214" s="16"/>
      <c r="BU214" s="17"/>
      <c r="BV214" s="16"/>
      <c r="BW214" s="17"/>
      <c r="BX214" s="16"/>
      <c r="BY214" s="17"/>
      <c r="BZ214" s="19">
        <v>41.994332667315881</v>
      </c>
      <c r="CA214" s="19"/>
      <c r="CB214" s="17"/>
      <c r="CC214" s="14" t="s">
        <v>7284</v>
      </c>
      <c r="CD214" s="14" t="s">
        <v>6002</v>
      </c>
      <c r="CE214" s="14" t="s">
        <v>5945</v>
      </c>
    </row>
    <row r="215" spans="1:83" ht="26.15" customHeight="1">
      <c r="A215" s="13">
        <v>209</v>
      </c>
      <c r="B215" s="14" t="s">
        <v>1282</v>
      </c>
      <c r="C215" s="14" t="s">
        <v>1283</v>
      </c>
      <c r="D215" s="14" t="s">
        <v>1286</v>
      </c>
      <c r="E215" s="13">
        <v>2015</v>
      </c>
      <c r="F215" s="14" t="s">
        <v>5522</v>
      </c>
      <c r="G215" s="14" t="s">
        <v>5523</v>
      </c>
      <c r="H215" s="14" t="s">
        <v>5524</v>
      </c>
      <c r="I215" s="15" t="s">
        <v>3117</v>
      </c>
      <c r="J215" s="16">
        <v>650000</v>
      </c>
      <c r="K215" s="17">
        <v>43455</v>
      </c>
      <c r="L215" s="16" t="s">
        <v>5392</v>
      </c>
      <c r="M215" s="16">
        <v>250000</v>
      </c>
      <c r="N215" s="14" t="s">
        <v>34</v>
      </c>
      <c r="O215" s="13">
        <v>4</v>
      </c>
      <c r="P215" s="17">
        <v>44014</v>
      </c>
      <c r="Q215" s="14"/>
      <c r="R215" s="17"/>
      <c r="S215" s="17"/>
      <c r="T215" s="14" t="s">
        <v>5493</v>
      </c>
      <c r="U215" s="14" t="s">
        <v>5494</v>
      </c>
      <c r="V215" s="14" t="s">
        <v>7638</v>
      </c>
      <c r="W215" s="14"/>
      <c r="X215" s="14" t="s">
        <v>7639</v>
      </c>
      <c r="Y215" s="14"/>
      <c r="Z215" s="14" t="s">
        <v>7640</v>
      </c>
      <c r="AA215" s="14"/>
      <c r="AB215" s="14" t="s">
        <v>5524</v>
      </c>
      <c r="AC215" s="14"/>
      <c r="AD215" s="14"/>
      <c r="AE215" s="14" t="s">
        <v>7641</v>
      </c>
      <c r="AF215" s="14" t="s">
        <v>7642</v>
      </c>
      <c r="AG215" s="14" t="s">
        <v>7643</v>
      </c>
      <c r="AH215" s="18"/>
      <c r="AI215" s="16"/>
      <c r="AJ215" s="17"/>
      <c r="AK215" s="15" t="s">
        <v>3123</v>
      </c>
      <c r="AL215" s="17"/>
      <c r="AM215" s="16"/>
      <c r="AN215" s="14"/>
      <c r="AO215" s="14"/>
      <c r="AP215" s="15" t="s">
        <v>3123</v>
      </c>
      <c r="AQ215" s="14"/>
      <c r="AR215" s="17"/>
      <c r="AS215" s="16"/>
      <c r="AT215" s="14"/>
      <c r="AU215" s="15" t="s">
        <v>3123</v>
      </c>
      <c r="AV215" s="14"/>
      <c r="AW215" s="17"/>
      <c r="AX215" s="16"/>
      <c r="AY215" s="16"/>
      <c r="AZ215" s="16"/>
      <c r="BA215" s="16"/>
      <c r="BB215" s="15" t="s">
        <v>3123</v>
      </c>
      <c r="BC215" s="17"/>
      <c r="BD215" s="14"/>
      <c r="BE215" s="14"/>
      <c r="BF215" s="16"/>
      <c r="BG215" s="16"/>
      <c r="BH215" s="13"/>
      <c r="BI215" s="18" t="s">
        <v>7644</v>
      </c>
      <c r="BJ215" s="13">
        <v>200</v>
      </c>
      <c r="BK215" s="17">
        <v>44124</v>
      </c>
      <c r="BL215" s="18"/>
      <c r="BM215" s="18" t="s">
        <v>7645</v>
      </c>
      <c r="BN215" s="18"/>
      <c r="BO215" s="18"/>
      <c r="BP215" s="14" t="s">
        <v>7646</v>
      </c>
      <c r="BQ215" s="17">
        <v>42647</v>
      </c>
      <c r="BR215" s="16"/>
      <c r="BS215" s="17"/>
      <c r="BT215" s="16"/>
      <c r="BU215" s="17"/>
      <c r="BV215" s="16"/>
      <c r="BW215" s="17"/>
      <c r="BX215" s="16"/>
      <c r="BY215" s="17"/>
      <c r="BZ215" s="19">
        <v>48.827151836090685</v>
      </c>
      <c r="CA215" s="19"/>
      <c r="CB215" s="17"/>
      <c r="CC215" s="14" t="s">
        <v>7647</v>
      </c>
      <c r="CD215" s="14" t="s">
        <v>5962</v>
      </c>
      <c r="CE215" s="14" t="s">
        <v>7194</v>
      </c>
    </row>
    <row r="216" spans="1:83" ht="26.15" customHeight="1">
      <c r="A216" s="13">
        <v>210</v>
      </c>
      <c r="B216" s="14" t="s">
        <v>2040</v>
      </c>
      <c r="C216" s="14" t="s">
        <v>2041</v>
      </c>
      <c r="D216" s="14" t="s">
        <v>2044</v>
      </c>
      <c r="E216" s="13">
        <v>2014</v>
      </c>
      <c r="F216" s="14" t="s">
        <v>7648</v>
      </c>
      <c r="G216" s="14" t="s">
        <v>5152</v>
      </c>
      <c r="H216" s="14" t="s">
        <v>2057</v>
      </c>
      <c r="I216" s="15" t="s">
        <v>3117</v>
      </c>
      <c r="J216" s="16">
        <v>10000000</v>
      </c>
      <c r="K216" s="17">
        <v>42922</v>
      </c>
      <c r="L216" s="16" t="s">
        <v>5165</v>
      </c>
      <c r="M216" s="16">
        <v>10000000</v>
      </c>
      <c r="N216" s="14" t="s">
        <v>5630</v>
      </c>
      <c r="O216" s="13"/>
      <c r="P216" s="17"/>
      <c r="Q216" s="14"/>
      <c r="R216" s="17"/>
      <c r="S216" s="17"/>
      <c r="T216" s="14" t="s">
        <v>7649</v>
      </c>
      <c r="U216" s="14" t="s">
        <v>7650</v>
      </c>
      <c r="V216" s="14" t="s">
        <v>7651</v>
      </c>
      <c r="W216" s="14"/>
      <c r="X216" s="14" t="s">
        <v>7652</v>
      </c>
      <c r="Y216" s="14"/>
      <c r="Z216" s="14" t="s">
        <v>7653</v>
      </c>
      <c r="AA216" s="14"/>
      <c r="AB216" s="14" t="s">
        <v>2057</v>
      </c>
      <c r="AC216" s="14"/>
      <c r="AD216" s="14"/>
      <c r="AE216" s="14"/>
      <c r="AF216" s="14"/>
      <c r="AG216" s="14"/>
      <c r="AH216" s="18"/>
      <c r="AI216" s="16"/>
      <c r="AJ216" s="17"/>
      <c r="AK216" s="15" t="s">
        <v>3123</v>
      </c>
      <c r="AL216" s="17"/>
      <c r="AM216" s="16"/>
      <c r="AN216" s="14"/>
      <c r="AO216" s="14"/>
      <c r="AP216" s="15" t="s">
        <v>3123</v>
      </c>
      <c r="AQ216" s="14"/>
      <c r="AR216" s="17"/>
      <c r="AS216" s="16"/>
      <c r="AT216" s="14"/>
      <c r="AU216" s="15" t="s">
        <v>3123</v>
      </c>
      <c r="AV216" s="14"/>
      <c r="AW216" s="17"/>
      <c r="AX216" s="16"/>
      <c r="AY216" s="16"/>
      <c r="AZ216" s="16"/>
      <c r="BA216" s="16"/>
      <c r="BB216" s="15" t="s">
        <v>3117</v>
      </c>
      <c r="BC216" s="17">
        <v>42156</v>
      </c>
      <c r="BD216" s="14"/>
      <c r="BE216" s="14"/>
      <c r="BF216" s="16"/>
      <c r="BG216" s="16"/>
      <c r="BH216" s="13"/>
      <c r="BI216" s="18" t="s">
        <v>7654</v>
      </c>
      <c r="BJ216" s="13">
        <v>-1</v>
      </c>
      <c r="BK216" s="17">
        <v>44124</v>
      </c>
      <c r="BL216" s="18"/>
      <c r="BM216" s="18" t="s">
        <v>7655</v>
      </c>
      <c r="BN216" s="18"/>
      <c r="BO216" s="18"/>
      <c r="BP216" s="14" t="s">
        <v>7656</v>
      </c>
      <c r="BQ216" s="17">
        <v>43021</v>
      </c>
      <c r="BR216" s="16"/>
      <c r="BS216" s="17"/>
      <c r="BT216" s="16"/>
      <c r="BU216" s="17"/>
      <c r="BV216" s="16"/>
      <c r="BW216" s="17"/>
      <c r="BX216" s="16"/>
      <c r="BY216" s="17"/>
      <c r="BZ216" s="19">
        <v>24.225459432865986</v>
      </c>
      <c r="CA216" s="19"/>
      <c r="CB216" s="17"/>
      <c r="CC216" s="14" t="s">
        <v>7606</v>
      </c>
      <c r="CD216" s="14" t="s">
        <v>7607</v>
      </c>
      <c r="CE216" s="14" t="s">
        <v>5945</v>
      </c>
    </row>
    <row r="217" spans="1:83" ht="26.15" customHeight="1">
      <c r="A217" s="13">
        <v>211</v>
      </c>
      <c r="B217" s="14" t="s">
        <v>963</v>
      </c>
      <c r="C217" s="14" t="s">
        <v>964</v>
      </c>
      <c r="D217" s="14" t="s">
        <v>967</v>
      </c>
      <c r="E217" s="13">
        <v>2003</v>
      </c>
      <c r="F217" s="14" t="s">
        <v>7657</v>
      </c>
      <c r="G217" s="14" t="s">
        <v>7658</v>
      </c>
      <c r="H217" s="14" t="s">
        <v>5524</v>
      </c>
      <c r="I217" s="15" t="s">
        <v>3117</v>
      </c>
      <c r="J217" s="16"/>
      <c r="K217" s="17">
        <v>43634</v>
      </c>
      <c r="L217" s="16"/>
      <c r="M217" s="16" t="s">
        <v>50</v>
      </c>
      <c r="N217" s="14" t="s">
        <v>5040</v>
      </c>
      <c r="O217" s="13">
        <v>5</v>
      </c>
      <c r="P217" s="17">
        <v>44021</v>
      </c>
      <c r="Q217" s="14"/>
      <c r="R217" s="17"/>
      <c r="S217" s="17"/>
      <c r="T217" s="14" t="s">
        <v>1</v>
      </c>
      <c r="U217" s="14" t="s">
        <v>5007</v>
      </c>
      <c r="V217" s="14" t="s">
        <v>968</v>
      </c>
      <c r="W217" s="14"/>
      <c r="X217" s="14" t="s">
        <v>7659</v>
      </c>
      <c r="Y217" s="14"/>
      <c r="Z217" s="14" t="s">
        <v>7660</v>
      </c>
      <c r="AA217" s="14"/>
      <c r="AB217" s="14" t="s">
        <v>5524</v>
      </c>
      <c r="AC217" s="14" t="s">
        <v>7661</v>
      </c>
      <c r="AD217" s="14"/>
      <c r="AE217" s="14" t="s">
        <v>7662</v>
      </c>
      <c r="AF217" s="14" t="s">
        <v>7663</v>
      </c>
      <c r="AG217" s="14" t="s">
        <v>7664</v>
      </c>
      <c r="AH217" s="18" t="s">
        <v>7665</v>
      </c>
      <c r="AI217" s="16"/>
      <c r="AJ217" s="17"/>
      <c r="AK217" s="15" t="s">
        <v>3123</v>
      </c>
      <c r="AL217" s="17"/>
      <c r="AM217" s="16"/>
      <c r="AN217" s="14"/>
      <c r="AO217" s="14"/>
      <c r="AP217" s="15" t="s">
        <v>3123</v>
      </c>
      <c r="AQ217" s="14"/>
      <c r="AR217" s="17"/>
      <c r="AS217" s="16"/>
      <c r="AT217" s="14"/>
      <c r="AU217" s="15" t="s">
        <v>3123</v>
      </c>
      <c r="AV217" s="14"/>
      <c r="AW217" s="17"/>
      <c r="AX217" s="16"/>
      <c r="AY217" s="16"/>
      <c r="AZ217" s="16"/>
      <c r="BA217" s="16"/>
      <c r="BB217" s="15" t="s">
        <v>3123</v>
      </c>
      <c r="BC217" s="17"/>
      <c r="BD217" s="14"/>
      <c r="BE217" s="14"/>
      <c r="BF217" s="16"/>
      <c r="BG217" s="16"/>
      <c r="BH217" s="13"/>
      <c r="BI217" s="18" t="s">
        <v>7666</v>
      </c>
      <c r="BJ217" s="13">
        <v>200</v>
      </c>
      <c r="BK217" s="17">
        <v>44125</v>
      </c>
      <c r="BL217" s="18" t="s">
        <v>7667</v>
      </c>
      <c r="BM217" s="18" t="s">
        <v>7668</v>
      </c>
      <c r="BN217" s="18" t="s">
        <v>7669</v>
      </c>
      <c r="BO217" s="18" t="s">
        <v>7670</v>
      </c>
      <c r="BP217" s="14" t="s">
        <v>7671</v>
      </c>
      <c r="BQ217" s="17">
        <v>43032</v>
      </c>
      <c r="BR217" s="16"/>
      <c r="BS217" s="17"/>
      <c r="BT217" s="16"/>
      <c r="BU217" s="17"/>
      <c r="BV217" s="16"/>
      <c r="BW217" s="17"/>
      <c r="BX217" s="16"/>
      <c r="BY217" s="17"/>
      <c r="BZ217" s="19">
        <v>52.52492742338773</v>
      </c>
      <c r="CA217" s="19"/>
      <c r="CB217" s="17"/>
      <c r="CC217" s="14" t="s">
        <v>5345</v>
      </c>
      <c r="CD217" s="14" t="s">
        <v>7272</v>
      </c>
      <c r="CE217" s="14" t="s">
        <v>5945</v>
      </c>
    </row>
    <row r="218" spans="1:83" ht="26.15" customHeight="1">
      <c r="A218" s="13">
        <v>212</v>
      </c>
      <c r="B218" s="14" t="s">
        <v>1658</v>
      </c>
      <c r="C218" s="14" t="s">
        <v>1659</v>
      </c>
      <c r="D218" s="14" t="s">
        <v>1662</v>
      </c>
      <c r="E218" s="13">
        <v>2015</v>
      </c>
      <c r="F218" s="14" t="s">
        <v>5005</v>
      </c>
      <c r="G218" s="14" t="s">
        <v>5006</v>
      </c>
      <c r="H218" s="14" t="s">
        <v>3994</v>
      </c>
      <c r="I218" s="15" t="s">
        <v>3117</v>
      </c>
      <c r="J218" s="16">
        <v>36777</v>
      </c>
      <c r="K218" s="17">
        <v>43236</v>
      </c>
      <c r="L218" s="16" t="s">
        <v>7672</v>
      </c>
      <c r="M218" s="16">
        <v>36777</v>
      </c>
      <c r="N218" s="14" t="s">
        <v>34</v>
      </c>
      <c r="O218" s="13">
        <v>3</v>
      </c>
      <c r="P218" s="17">
        <v>44003</v>
      </c>
      <c r="Q218" s="14"/>
      <c r="R218" s="17"/>
      <c r="S218" s="17"/>
      <c r="T218" s="14" t="s">
        <v>1</v>
      </c>
      <c r="U218" s="14" t="s">
        <v>5007</v>
      </c>
      <c r="V218" s="14" t="s">
        <v>6067</v>
      </c>
      <c r="W218" s="14"/>
      <c r="X218" s="14" t="s">
        <v>7673</v>
      </c>
      <c r="Y218" s="14"/>
      <c r="Z218" s="14" t="s">
        <v>7674</v>
      </c>
      <c r="AA218" s="14"/>
      <c r="AB218" s="14" t="s">
        <v>3994</v>
      </c>
      <c r="AC218" s="14" t="s">
        <v>7675</v>
      </c>
      <c r="AD218" s="14"/>
      <c r="AE218" s="14" t="s">
        <v>7676</v>
      </c>
      <c r="AF218" s="14" t="s">
        <v>7677</v>
      </c>
      <c r="AG218" s="14" t="s">
        <v>7678</v>
      </c>
      <c r="AH218" s="18"/>
      <c r="AI218" s="16">
        <v>62400</v>
      </c>
      <c r="AJ218" s="17">
        <v>43465</v>
      </c>
      <c r="AK218" s="15" t="s">
        <v>3123</v>
      </c>
      <c r="AL218" s="17"/>
      <c r="AM218" s="16"/>
      <c r="AN218" s="14"/>
      <c r="AO218" s="14"/>
      <c r="AP218" s="15" t="s">
        <v>3123</v>
      </c>
      <c r="AQ218" s="14"/>
      <c r="AR218" s="17"/>
      <c r="AS218" s="16"/>
      <c r="AT218" s="14"/>
      <c r="AU218" s="15" t="s">
        <v>3123</v>
      </c>
      <c r="AV218" s="14"/>
      <c r="AW218" s="17"/>
      <c r="AX218" s="16"/>
      <c r="AY218" s="16"/>
      <c r="AZ218" s="16"/>
      <c r="BA218" s="16"/>
      <c r="BB218" s="15" t="s">
        <v>3123</v>
      </c>
      <c r="BC218" s="17"/>
      <c r="BD218" s="14"/>
      <c r="BE218" s="14"/>
      <c r="BF218" s="16"/>
      <c r="BG218" s="16"/>
      <c r="BH218" s="13"/>
      <c r="BI218" s="18" t="s">
        <v>7679</v>
      </c>
      <c r="BJ218" s="13">
        <v>200</v>
      </c>
      <c r="BK218" s="17">
        <v>44124</v>
      </c>
      <c r="BL218" s="18" t="s">
        <v>7680</v>
      </c>
      <c r="BM218" s="18" t="s">
        <v>7681</v>
      </c>
      <c r="BN218" s="18" t="s">
        <v>7682</v>
      </c>
      <c r="BO218" s="18"/>
      <c r="BP218" s="14" t="s">
        <v>7683</v>
      </c>
      <c r="BQ218" s="17">
        <v>43019</v>
      </c>
      <c r="BR218" s="16">
        <v>-3200</v>
      </c>
      <c r="BS218" s="17">
        <v>43465</v>
      </c>
      <c r="BT218" s="16">
        <v>3100</v>
      </c>
      <c r="BU218" s="17">
        <v>43465</v>
      </c>
      <c r="BV218" s="16">
        <v>840000</v>
      </c>
      <c r="BW218" s="17">
        <v>43236</v>
      </c>
      <c r="BX218" s="16"/>
      <c r="BY218" s="17"/>
      <c r="BZ218" s="19">
        <v>26.900594393951213</v>
      </c>
      <c r="CA218" s="19"/>
      <c r="CB218" s="17"/>
      <c r="CC218" s="14" t="s">
        <v>7193</v>
      </c>
      <c r="CD218" s="14" t="s">
        <v>5962</v>
      </c>
      <c r="CE218" s="14" t="s">
        <v>7194</v>
      </c>
    </row>
    <row r="219" spans="1:83" ht="26.15" customHeight="1">
      <c r="A219" s="13">
        <v>213</v>
      </c>
      <c r="B219" s="14" t="s">
        <v>500</v>
      </c>
      <c r="C219" s="14" t="s">
        <v>501</v>
      </c>
      <c r="D219" s="14" t="s">
        <v>505</v>
      </c>
      <c r="E219" s="13">
        <v>2015</v>
      </c>
      <c r="F219" s="14" t="s">
        <v>5005</v>
      </c>
      <c r="G219" s="14" t="s">
        <v>5006</v>
      </c>
      <c r="H219" s="14" t="s">
        <v>3994</v>
      </c>
      <c r="I219" s="15" t="s">
        <v>3117</v>
      </c>
      <c r="J219" s="16">
        <v>3493115</v>
      </c>
      <c r="K219" s="17">
        <v>43908</v>
      </c>
      <c r="L219" s="16" t="s">
        <v>5069</v>
      </c>
      <c r="M219" s="16">
        <v>3373115</v>
      </c>
      <c r="N219" s="14" t="s">
        <v>34</v>
      </c>
      <c r="O219" s="13">
        <v>4</v>
      </c>
      <c r="P219" s="17">
        <v>44015</v>
      </c>
      <c r="Q219" s="14" t="s">
        <v>5052</v>
      </c>
      <c r="R219" s="17">
        <v>43494</v>
      </c>
      <c r="S219" s="17">
        <v>43282</v>
      </c>
      <c r="T219" s="14" t="s">
        <v>5278</v>
      </c>
      <c r="U219" s="14" t="s">
        <v>7684</v>
      </c>
      <c r="V219" s="14" t="s">
        <v>7685</v>
      </c>
      <c r="W219" s="14"/>
      <c r="X219" s="14" t="s">
        <v>7686</v>
      </c>
      <c r="Y219" s="14" t="s">
        <v>503</v>
      </c>
      <c r="Z219" s="14" t="s">
        <v>7687</v>
      </c>
      <c r="AA219" s="14"/>
      <c r="AB219" s="14" t="s">
        <v>3994</v>
      </c>
      <c r="AC219" s="14" t="s">
        <v>7688</v>
      </c>
      <c r="AD219" s="14" t="s">
        <v>7689</v>
      </c>
      <c r="AE219" s="14" t="s">
        <v>7690</v>
      </c>
      <c r="AF219" s="14" t="s">
        <v>7691</v>
      </c>
      <c r="AG219" s="14" t="s">
        <v>7692</v>
      </c>
      <c r="AH219" s="18"/>
      <c r="AI219" s="16">
        <v>859162</v>
      </c>
      <c r="AJ219" s="17">
        <v>43465</v>
      </c>
      <c r="AK219" s="15" t="s">
        <v>3117</v>
      </c>
      <c r="AL219" s="17">
        <v>42240</v>
      </c>
      <c r="AM219" s="16">
        <v>15073</v>
      </c>
      <c r="AN219" s="14" t="s">
        <v>7693</v>
      </c>
      <c r="AO219" s="14"/>
      <c r="AP219" s="15" t="s">
        <v>3123</v>
      </c>
      <c r="AQ219" s="14"/>
      <c r="AR219" s="17"/>
      <c r="AS219" s="16"/>
      <c r="AT219" s="14"/>
      <c r="AU219" s="15" t="s">
        <v>3123</v>
      </c>
      <c r="AV219" s="14"/>
      <c r="AW219" s="17"/>
      <c r="AX219" s="16"/>
      <c r="AY219" s="16"/>
      <c r="AZ219" s="16"/>
      <c r="BA219" s="16"/>
      <c r="BB219" s="15" t="s">
        <v>3123</v>
      </c>
      <c r="BC219" s="17"/>
      <c r="BD219" s="14"/>
      <c r="BE219" s="14"/>
      <c r="BF219" s="16"/>
      <c r="BG219" s="16"/>
      <c r="BH219" s="13"/>
      <c r="BI219" s="18" t="s">
        <v>7694</v>
      </c>
      <c r="BJ219" s="13">
        <v>200</v>
      </c>
      <c r="BK219" s="17">
        <v>44124</v>
      </c>
      <c r="BL219" s="18" t="s">
        <v>7695</v>
      </c>
      <c r="BM219" s="18" t="s">
        <v>7696</v>
      </c>
      <c r="BN219" s="18"/>
      <c r="BO219" s="18"/>
      <c r="BP219" s="14" t="s">
        <v>7697</v>
      </c>
      <c r="BQ219" s="17">
        <v>42950</v>
      </c>
      <c r="BR219" s="16">
        <v>-309963</v>
      </c>
      <c r="BS219" s="17">
        <v>43465</v>
      </c>
      <c r="BT219" s="16">
        <v>-308885</v>
      </c>
      <c r="BU219" s="17">
        <v>43465</v>
      </c>
      <c r="BV219" s="16"/>
      <c r="BW219" s="17"/>
      <c r="BX219" s="16">
        <v>21</v>
      </c>
      <c r="BY219" s="17">
        <v>43921</v>
      </c>
      <c r="BZ219" s="19">
        <v>49.66228832280644</v>
      </c>
      <c r="CA219" s="19"/>
      <c r="CB219" s="17"/>
      <c r="CC219" s="14" t="s">
        <v>6556</v>
      </c>
      <c r="CD219" s="14" t="s">
        <v>6557</v>
      </c>
      <c r="CE219" s="14" t="s">
        <v>5945</v>
      </c>
    </row>
    <row r="220" spans="1:83" ht="26.15" customHeight="1">
      <c r="A220" s="13">
        <v>214</v>
      </c>
      <c r="B220" s="14" t="s">
        <v>991</v>
      </c>
      <c r="C220" s="14" t="s">
        <v>992</v>
      </c>
      <c r="D220" s="14" t="s">
        <v>994</v>
      </c>
      <c r="E220" s="13">
        <v>2014</v>
      </c>
      <c r="F220" s="14" t="s">
        <v>5222</v>
      </c>
      <c r="G220" s="14" t="s">
        <v>5223</v>
      </c>
      <c r="H220" s="14" t="s">
        <v>3994</v>
      </c>
      <c r="I220" s="15" t="s">
        <v>3117</v>
      </c>
      <c r="J220" s="16">
        <v>1570818</v>
      </c>
      <c r="K220" s="17">
        <v>43615</v>
      </c>
      <c r="L220" s="16" t="s">
        <v>7698</v>
      </c>
      <c r="M220" s="16">
        <v>157428</v>
      </c>
      <c r="N220" s="14" t="s">
        <v>34</v>
      </c>
      <c r="O220" s="13">
        <v>4</v>
      </c>
      <c r="P220" s="17">
        <v>44098</v>
      </c>
      <c r="Q220" s="14"/>
      <c r="R220" s="17"/>
      <c r="S220" s="17"/>
      <c r="T220" s="14" t="s">
        <v>7699</v>
      </c>
      <c r="U220" s="14" t="s">
        <v>7700</v>
      </c>
      <c r="V220" s="14" t="s">
        <v>7701</v>
      </c>
      <c r="W220" s="14"/>
      <c r="X220" s="14" t="s">
        <v>7702</v>
      </c>
      <c r="Y220" s="14" t="s">
        <v>7703</v>
      </c>
      <c r="Z220" s="14" t="s">
        <v>7704</v>
      </c>
      <c r="AA220" s="14"/>
      <c r="AB220" s="14" t="s">
        <v>3994</v>
      </c>
      <c r="AC220" s="14"/>
      <c r="AD220" s="14" t="s">
        <v>7705</v>
      </c>
      <c r="AE220" s="14" t="s">
        <v>7706</v>
      </c>
      <c r="AF220" s="14" t="s">
        <v>7707</v>
      </c>
      <c r="AG220" s="14" t="s">
        <v>7708</v>
      </c>
      <c r="AH220" s="18"/>
      <c r="AI220" s="16">
        <v>157200</v>
      </c>
      <c r="AJ220" s="17">
        <v>43465</v>
      </c>
      <c r="AK220" s="15" t="s">
        <v>3117</v>
      </c>
      <c r="AL220" s="17">
        <v>42450</v>
      </c>
      <c r="AM220" s="16">
        <v>1502</v>
      </c>
      <c r="AN220" s="14" t="s">
        <v>7709</v>
      </c>
      <c r="AO220" s="14"/>
      <c r="AP220" s="15" t="s">
        <v>3123</v>
      </c>
      <c r="AQ220" s="14"/>
      <c r="AR220" s="17"/>
      <c r="AS220" s="16"/>
      <c r="AT220" s="14"/>
      <c r="AU220" s="15" t="s">
        <v>3123</v>
      </c>
      <c r="AV220" s="14"/>
      <c r="AW220" s="17"/>
      <c r="AX220" s="16"/>
      <c r="AY220" s="16"/>
      <c r="AZ220" s="16"/>
      <c r="BA220" s="16"/>
      <c r="BB220" s="15" t="s">
        <v>3123</v>
      </c>
      <c r="BC220" s="17"/>
      <c r="BD220" s="14"/>
      <c r="BE220" s="14"/>
      <c r="BF220" s="16"/>
      <c r="BG220" s="16"/>
      <c r="BH220" s="13"/>
      <c r="BI220" s="18" t="s">
        <v>7710</v>
      </c>
      <c r="BJ220" s="13">
        <v>200</v>
      </c>
      <c r="BK220" s="17">
        <v>44124</v>
      </c>
      <c r="BL220" s="18"/>
      <c r="BM220" s="18" t="s">
        <v>7711</v>
      </c>
      <c r="BN220" s="18"/>
      <c r="BO220" s="18"/>
      <c r="BP220" s="14" t="s">
        <v>7712</v>
      </c>
      <c r="BQ220" s="17">
        <v>42578</v>
      </c>
      <c r="BR220" s="16">
        <v>-454500</v>
      </c>
      <c r="BS220" s="17">
        <v>43465</v>
      </c>
      <c r="BT220" s="16">
        <v>-431600</v>
      </c>
      <c r="BU220" s="17">
        <v>43465</v>
      </c>
      <c r="BV220" s="16">
        <v>10000000</v>
      </c>
      <c r="BW220" s="17">
        <v>43323</v>
      </c>
      <c r="BX220" s="16">
        <v>44</v>
      </c>
      <c r="BY220" s="17">
        <v>43738</v>
      </c>
      <c r="BZ220" s="19">
        <v>38.372003453168574</v>
      </c>
      <c r="CA220" s="19"/>
      <c r="CB220" s="17"/>
      <c r="CC220" s="14" t="s">
        <v>7713</v>
      </c>
      <c r="CD220" s="14"/>
      <c r="CE220" s="14" t="s">
        <v>7714</v>
      </c>
    </row>
    <row r="221" spans="1:83" ht="26.15" hidden="1" customHeight="1">
      <c r="A221" s="13">
        <v>215</v>
      </c>
      <c r="B221" s="14" t="s">
        <v>1131</v>
      </c>
      <c r="C221" s="14" t="s">
        <v>1132</v>
      </c>
      <c r="D221" s="14" t="s">
        <v>1135</v>
      </c>
      <c r="E221" s="13">
        <v>2013</v>
      </c>
      <c r="F221" s="14" t="s">
        <v>5829</v>
      </c>
      <c r="G221" s="14" t="s">
        <v>5164</v>
      </c>
      <c r="H221" s="14" t="s">
        <v>4343</v>
      </c>
      <c r="I221" s="15" t="s">
        <v>3117</v>
      </c>
      <c r="J221" s="16">
        <v>2400000</v>
      </c>
      <c r="K221" s="17">
        <v>43551</v>
      </c>
      <c r="L221" s="16" t="s">
        <v>5022</v>
      </c>
      <c r="M221" s="16">
        <v>2400000</v>
      </c>
      <c r="N221" s="14" t="s">
        <v>109</v>
      </c>
      <c r="O221" s="13">
        <v>4</v>
      </c>
      <c r="P221" s="17">
        <v>44050</v>
      </c>
      <c r="Q221" s="14" t="s">
        <v>5052</v>
      </c>
      <c r="R221" s="17">
        <v>43557</v>
      </c>
      <c r="S221" s="17">
        <v>43551</v>
      </c>
      <c r="T221" s="14" t="s">
        <v>1</v>
      </c>
      <c r="U221" s="14" t="s">
        <v>5135</v>
      </c>
      <c r="V221" s="14" t="s">
        <v>1136</v>
      </c>
      <c r="W221" s="14"/>
      <c r="X221" s="14" t="s">
        <v>7715</v>
      </c>
      <c r="Y221" s="14"/>
      <c r="Z221" s="14" t="s">
        <v>7716</v>
      </c>
      <c r="AA221" s="14"/>
      <c r="AB221" s="14" t="s">
        <v>4343</v>
      </c>
      <c r="AC221" s="14" t="s">
        <v>7717</v>
      </c>
      <c r="AD221" s="14"/>
      <c r="AE221" s="14" t="s">
        <v>7718</v>
      </c>
      <c r="AF221" s="14" t="s">
        <v>7719</v>
      </c>
      <c r="AG221" s="14" t="s">
        <v>7720</v>
      </c>
      <c r="AH221" s="18"/>
      <c r="AI221" s="16"/>
      <c r="AJ221" s="17"/>
      <c r="AK221" s="15" t="s">
        <v>3123</v>
      </c>
      <c r="AL221" s="17"/>
      <c r="AM221" s="16"/>
      <c r="AN221" s="14"/>
      <c r="AO221" s="14"/>
      <c r="AP221" s="15" t="s">
        <v>3123</v>
      </c>
      <c r="AQ221" s="14"/>
      <c r="AR221" s="17"/>
      <c r="AS221" s="16"/>
      <c r="AT221" s="14"/>
      <c r="AU221" s="15" t="s">
        <v>3123</v>
      </c>
      <c r="AV221" s="14"/>
      <c r="AW221" s="17"/>
      <c r="AX221" s="16"/>
      <c r="AY221" s="16"/>
      <c r="AZ221" s="16"/>
      <c r="BA221" s="16"/>
      <c r="BB221" s="15" t="s">
        <v>3123</v>
      </c>
      <c r="BC221" s="17"/>
      <c r="BD221" s="14"/>
      <c r="BE221" s="14"/>
      <c r="BF221" s="16"/>
      <c r="BG221" s="16"/>
      <c r="BH221" s="13"/>
      <c r="BI221" s="18" t="s">
        <v>7721</v>
      </c>
      <c r="BJ221" s="13">
        <v>200</v>
      </c>
      <c r="BK221" s="17">
        <v>44124</v>
      </c>
      <c r="BL221" s="18" t="s">
        <v>7722</v>
      </c>
      <c r="BM221" s="18"/>
      <c r="BN221" s="18" t="s">
        <v>7723</v>
      </c>
      <c r="BO221" s="18"/>
      <c r="BP221" s="14" t="s">
        <v>7724</v>
      </c>
      <c r="BQ221" s="17">
        <v>42482</v>
      </c>
      <c r="BR221" s="16"/>
      <c r="BS221" s="17"/>
      <c r="BT221" s="16"/>
      <c r="BU221" s="17"/>
      <c r="BV221" s="16"/>
      <c r="BW221" s="17"/>
      <c r="BX221" s="16"/>
      <c r="BY221" s="17"/>
      <c r="BZ221" s="19">
        <v>33.260719164381925</v>
      </c>
      <c r="CA221" s="19"/>
      <c r="CB221" s="17"/>
      <c r="CC221" s="14" t="s">
        <v>5345</v>
      </c>
      <c r="CD221" s="14" t="s">
        <v>7272</v>
      </c>
      <c r="CE221" s="14" t="s">
        <v>5945</v>
      </c>
    </row>
    <row r="222" spans="1:83" ht="26.15" hidden="1" customHeight="1">
      <c r="A222" s="13">
        <v>216</v>
      </c>
      <c r="B222" s="14" t="s">
        <v>1900</v>
      </c>
      <c r="C222" s="14" t="s">
        <v>1901</v>
      </c>
      <c r="D222" s="14" t="s">
        <v>1903</v>
      </c>
      <c r="E222" s="13">
        <v>2015</v>
      </c>
      <c r="F222" s="14" t="s">
        <v>5829</v>
      </c>
      <c r="G222" s="14" t="s">
        <v>5164</v>
      </c>
      <c r="H222" s="14" t="s">
        <v>4343</v>
      </c>
      <c r="I222" s="15" t="s">
        <v>3117</v>
      </c>
      <c r="J222" s="16">
        <v>1500000</v>
      </c>
      <c r="K222" s="17">
        <v>43066</v>
      </c>
      <c r="L222" s="16" t="s">
        <v>5022</v>
      </c>
      <c r="M222" s="16">
        <v>1500000</v>
      </c>
      <c r="N222" s="14" t="s">
        <v>34</v>
      </c>
      <c r="O222" s="13">
        <v>3</v>
      </c>
      <c r="P222" s="17">
        <v>44081</v>
      </c>
      <c r="Q222" s="14"/>
      <c r="R222" s="17"/>
      <c r="S222" s="17"/>
      <c r="T222" s="14" t="s">
        <v>1</v>
      </c>
      <c r="U222" s="14" t="s">
        <v>5135</v>
      </c>
      <c r="V222" s="14" t="s">
        <v>7725</v>
      </c>
      <c r="W222" s="14"/>
      <c r="X222" s="14" t="s">
        <v>7726</v>
      </c>
      <c r="Y222" s="14"/>
      <c r="Z222" s="14" t="s">
        <v>7727</v>
      </c>
      <c r="AA222" s="14"/>
      <c r="AB222" s="14" t="s">
        <v>4343</v>
      </c>
      <c r="AC222" s="14"/>
      <c r="AD222" s="14"/>
      <c r="AE222" s="14" t="s">
        <v>7728</v>
      </c>
      <c r="AF222" s="14" t="s">
        <v>7729</v>
      </c>
      <c r="AG222" s="14" t="s">
        <v>7730</v>
      </c>
      <c r="AH222" s="18"/>
      <c r="AI222" s="16"/>
      <c r="AJ222" s="17"/>
      <c r="AK222" s="15" t="s">
        <v>3123</v>
      </c>
      <c r="AL222" s="17"/>
      <c r="AM222" s="16"/>
      <c r="AN222" s="14"/>
      <c r="AO222" s="14"/>
      <c r="AP222" s="15" t="s">
        <v>3123</v>
      </c>
      <c r="AQ222" s="14"/>
      <c r="AR222" s="17"/>
      <c r="AS222" s="16"/>
      <c r="AT222" s="14"/>
      <c r="AU222" s="15" t="s">
        <v>3123</v>
      </c>
      <c r="AV222" s="14"/>
      <c r="AW222" s="17"/>
      <c r="AX222" s="16"/>
      <c r="AY222" s="16"/>
      <c r="AZ222" s="16"/>
      <c r="BA222" s="16"/>
      <c r="BB222" s="15" t="s">
        <v>3123</v>
      </c>
      <c r="BC222" s="17"/>
      <c r="BD222" s="14"/>
      <c r="BE222" s="14"/>
      <c r="BF222" s="16"/>
      <c r="BG222" s="16"/>
      <c r="BH222" s="13"/>
      <c r="BI222" s="18" t="s">
        <v>7731</v>
      </c>
      <c r="BJ222" s="13">
        <v>301</v>
      </c>
      <c r="BK222" s="17">
        <v>44124</v>
      </c>
      <c r="BL222" s="18"/>
      <c r="BM222" s="18"/>
      <c r="BN222" s="18"/>
      <c r="BO222" s="18"/>
      <c r="BP222" s="14" t="s">
        <v>7732</v>
      </c>
      <c r="BQ222" s="17">
        <v>42934</v>
      </c>
      <c r="BR222" s="16"/>
      <c r="BS222" s="17"/>
      <c r="BT222" s="16"/>
      <c r="BU222" s="17"/>
      <c r="BV222" s="16"/>
      <c r="BW222" s="17"/>
      <c r="BX222" s="16"/>
      <c r="BY222" s="17"/>
      <c r="BZ222" s="19">
        <v>32.213476435824575</v>
      </c>
      <c r="CA222" s="19"/>
      <c r="CB222" s="17"/>
      <c r="CC222" s="14" t="s">
        <v>5345</v>
      </c>
      <c r="CD222" s="14" t="s">
        <v>7272</v>
      </c>
      <c r="CE222" s="14" t="s">
        <v>5945</v>
      </c>
    </row>
    <row r="223" spans="1:83" ht="26.15" hidden="1" customHeight="1">
      <c r="A223" s="13">
        <v>217</v>
      </c>
      <c r="B223" s="14" t="s">
        <v>634</v>
      </c>
      <c r="C223" s="14" t="s">
        <v>635</v>
      </c>
      <c r="D223" s="14" t="s">
        <v>639</v>
      </c>
      <c r="E223" s="13">
        <v>2012</v>
      </c>
      <c r="F223" s="14" t="s">
        <v>6826</v>
      </c>
      <c r="G223" s="14" t="s">
        <v>6004</v>
      </c>
      <c r="H223" s="14" t="s">
        <v>4343</v>
      </c>
      <c r="I223" s="15" t="s">
        <v>3117</v>
      </c>
      <c r="J223" s="16">
        <v>17600000</v>
      </c>
      <c r="K223" s="17">
        <v>43812</v>
      </c>
      <c r="L223" s="16" t="s">
        <v>5165</v>
      </c>
      <c r="M223" s="16">
        <v>10000000</v>
      </c>
      <c r="N223" s="14" t="s">
        <v>25</v>
      </c>
      <c r="O223" s="13">
        <v>4</v>
      </c>
      <c r="P223" s="17">
        <v>44003</v>
      </c>
      <c r="Q223" s="14"/>
      <c r="R223" s="17"/>
      <c r="S223" s="17"/>
      <c r="T223" s="14" t="s">
        <v>6586</v>
      </c>
      <c r="U223" s="14" t="s">
        <v>6587</v>
      </c>
      <c r="V223" s="14" t="s">
        <v>7733</v>
      </c>
      <c r="W223" s="14"/>
      <c r="X223" s="14" t="s">
        <v>7734</v>
      </c>
      <c r="Y223" s="14"/>
      <c r="Z223" s="14" t="s">
        <v>7735</v>
      </c>
      <c r="AA223" s="14"/>
      <c r="AB223" s="14" t="s">
        <v>4343</v>
      </c>
      <c r="AC223" s="14"/>
      <c r="AD223" s="14"/>
      <c r="AE223" s="14" t="s">
        <v>7736</v>
      </c>
      <c r="AF223" s="14" t="s">
        <v>7737</v>
      </c>
      <c r="AG223" s="14" t="s">
        <v>7738</v>
      </c>
      <c r="AH223" s="18"/>
      <c r="AI223" s="16"/>
      <c r="AJ223" s="17"/>
      <c r="AK223" s="15" t="s">
        <v>3123</v>
      </c>
      <c r="AL223" s="17"/>
      <c r="AM223" s="16"/>
      <c r="AN223" s="14"/>
      <c r="AO223" s="14"/>
      <c r="AP223" s="15" t="s">
        <v>3123</v>
      </c>
      <c r="AQ223" s="14"/>
      <c r="AR223" s="17"/>
      <c r="AS223" s="16"/>
      <c r="AT223" s="14"/>
      <c r="AU223" s="15" t="s">
        <v>3123</v>
      </c>
      <c r="AV223" s="14"/>
      <c r="AW223" s="17"/>
      <c r="AX223" s="16"/>
      <c r="AY223" s="16"/>
      <c r="AZ223" s="16"/>
      <c r="BA223" s="16"/>
      <c r="BB223" s="15" t="s">
        <v>3123</v>
      </c>
      <c r="BC223" s="17"/>
      <c r="BD223" s="14"/>
      <c r="BE223" s="14"/>
      <c r="BF223" s="16"/>
      <c r="BG223" s="16"/>
      <c r="BH223" s="13"/>
      <c r="BI223" s="18" t="s">
        <v>7739</v>
      </c>
      <c r="BJ223" s="13">
        <v>200</v>
      </c>
      <c r="BK223" s="17">
        <v>44124</v>
      </c>
      <c r="BL223" s="18"/>
      <c r="BM223" s="18"/>
      <c r="BN223" s="18"/>
      <c r="BO223" s="18"/>
      <c r="BP223" s="14" t="s">
        <v>7740</v>
      </c>
      <c r="BQ223" s="17">
        <v>42685</v>
      </c>
      <c r="BR223" s="16"/>
      <c r="BS223" s="17"/>
      <c r="BT223" s="16"/>
      <c r="BU223" s="17"/>
      <c r="BV223" s="16"/>
      <c r="BW223" s="17"/>
      <c r="BX223" s="16"/>
      <c r="BY223" s="17"/>
      <c r="BZ223" s="19">
        <v>46.383035809497812</v>
      </c>
      <c r="CA223" s="19"/>
      <c r="CB223" s="17"/>
      <c r="CC223" s="14" t="s">
        <v>5345</v>
      </c>
      <c r="CD223" s="14" t="s">
        <v>7741</v>
      </c>
      <c r="CE223" s="14" t="s">
        <v>5521</v>
      </c>
    </row>
    <row r="224" spans="1:83" ht="26.15" customHeight="1">
      <c r="A224" s="13">
        <v>218</v>
      </c>
      <c r="B224" s="14" t="s">
        <v>1652</v>
      </c>
      <c r="C224" s="14" t="s">
        <v>1653</v>
      </c>
      <c r="D224" s="14" t="s">
        <v>1656</v>
      </c>
      <c r="E224" s="13">
        <v>2015</v>
      </c>
      <c r="F224" s="14" t="s">
        <v>7742</v>
      </c>
      <c r="G224" s="14" t="s">
        <v>6065</v>
      </c>
      <c r="H224" s="14" t="s">
        <v>2057</v>
      </c>
      <c r="I224" s="15" t="s">
        <v>3117</v>
      </c>
      <c r="J224" s="16">
        <v>41586600</v>
      </c>
      <c r="K224" s="17">
        <v>43238</v>
      </c>
      <c r="L224" s="16" t="s">
        <v>7743</v>
      </c>
      <c r="M224" s="16">
        <v>31408700</v>
      </c>
      <c r="N224" s="14" t="s">
        <v>95</v>
      </c>
      <c r="O224" s="13">
        <v>4</v>
      </c>
      <c r="P224" s="17">
        <v>44081</v>
      </c>
      <c r="Q224" s="14"/>
      <c r="R224" s="17"/>
      <c r="S224" s="17"/>
      <c r="T224" s="14" t="s">
        <v>5509</v>
      </c>
      <c r="U224" s="14" t="s">
        <v>7744</v>
      </c>
      <c r="V224" s="14" t="s">
        <v>7745</v>
      </c>
      <c r="W224" s="14"/>
      <c r="X224" s="14" t="s">
        <v>7746</v>
      </c>
      <c r="Y224" s="14"/>
      <c r="Z224" s="14" t="s">
        <v>7747</v>
      </c>
      <c r="AA224" s="14"/>
      <c r="AB224" s="14" t="s">
        <v>2057</v>
      </c>
      <c r="AC224" s="14" t="s">
        <v>7748</v>
      </c>
      <c r="AD224" s="14"/>
      <c r="AE224" s="14"/>
      <c r="AF224" s="14"/>
      <c r="AG224" s="14"/>
      <c r="AH224" s="18"/>
      <c r="AI224" s="16"/>
      <c r="AJ224" s="17"/>
      <c r="AK224" s="15" t="s">
        <v>3123</v>
      </c>
      <c r="AL224" s="17"/>
      <c r="AM224" s="16"/>
      <c r="AN224" s="14"/>
      <c r="AO224" s="14"/>
      <c r="AP224" s="15" t="s">
        <v>3123</v>
      </c>
      <c r="AQ224" s="14"/>
      <c r="AR224" s="17"/>
      <c r="AS224" s="16"/>
      <c r="AT224" s="14"/>
      <c r="AU224" s="15" t="s">
        <v>3123</v>
      </c>
      <c r="AV224" s="14"/>
      <c r="AW224" s="17"/>
      <c r="AX224" s="16"/>
      <c r="AY224" s="16"/>
      <c r="AZ224" s="16"/>
      <c r="BA224" s="16"/>
      <c r="BB224" s="15" t="s">
        <v>3123</v>
      </c>
      <c r="BC224" s="17"/>
      <c r="BD224" s="14"/>
      <c r="BE224" s="14"/>
      <c r="BF224" s="16"/>
      <c r="BG224" s="16"/>
      <c r="BH224" s="13"/>
      <c r="BI224" s="18" t="s">
        <v>7749</v>
      </c>
      <c r="BJ224" s="13">
        <v>200</v>
      </c>
      <c r="BK224" s="17">
        <v>44124</v>
      </c>
      <c r="BL224" s="18"/>
      <c r="BM224" s="18"/>
      <c r="BN224" s="18"/>
      <c r="BO224" s="18"/>
      <c r="BP224" s="14" t="s">
        <v>7750</v>
      </c>
      <c r="BQ224" s="17">
        <v>42492</v>
      </c>
      <c r="BR224" s="16"/>
      <c r="BS224" s="17"/>
      <c r="BT224" s="16"/>
      <c r="BU224" s="17"/>
      <c r="BV224" s="16"/>
      <c r="BW224" s="17"/>
      <c r="BX224" s="16"/>
      <c r="BY224" s="17"/>
      <c r="BZ224" s="19">
        <v>35.924320010272815</v>
      </c>
      <c r="CA224" s="19"/>
      <c r="CB224" s="17"/>
      <c r="CC224" s="14" t="s">
        <v>5002</v>
      </c>
      <c r="CD224" s="14" t="s">
        <v>7751</v>
      </c>
      <c r="CE224" s="14" t="s">
        <v>6074</v>
      </c>
    </row>
    <row r="225" spans="1:83" ht="26.15" customHeight="1">
      <c r="A225" s="13">
        <v>219</v>
      </c>
      <c r="B225" s="14" t="s">
        <v>724</v>
      </c>
      <c r="C225" s="14" t="s">
        <v>725</v>
      </c>
      <c r="D225" s="14" t="s">
        <v>728</v>
      </c>
      <c r="E225" s="13">
        <v>2015</v>
      </c>
      <c r="F225" s="14" t="s">
        <v>5222</v>
      </c>
      <c r="G225" s="14" t="s">
        <v>5223</v>
      </c>
      <c r="H225" s="14" t="s">
        <v>3994</v>
      </c>
      <c r="I225" s="15" t="s">
        <v>3117</v>
      </c>
      <c r="J225" s="16">
        <v>739765</v>
      </c>
      <c r="K225" s="17">
        <v>43761</v>
      </c>
      <c r="L225" s="16" t="s">
        <v>7752</v>
      </c>
      <c r="M225" s="16">
        <v>494497</v>
      </c>
      <c r="N225" s="14" t="s">
        <v>34</v>
      </c>
      <c r="O225" s="13">
        <v>4</v>
      </c>
      <c r="P225" s="17">
        <v>44022</v>
      </c>
      <c r="Q225" s="14"/>
      <c r="R225" s="17"/>
      <c r="S225" s="17"/>
      <c r="T225" s="14" t="s">
        <v>5426</v>
      </c>
      <c r="U225" s="14" t="s">
        <v>6018</v>
      </c>
      <c r="V225" s="14" t="s">
        <v>7753</v>
      </c>
      <c r="W225" s="14"/>
      <c r="X225" s="14" t="s">
        <v>7754</v>
      </c>
      <c r="Y225" s="14" t="s">
        <v>7755</v>
      </c>
      <c r="Z225" s="14" t="s">
        <v>7756</v>
      </c>
      <c r="AA225" s="14"/>
      <c r="AB225" s="14" t="s">
        <v>3994</v>
      </c>
      <c r="AC225" s="14"/>
      <c r="AD225" s="14"/>
      <c r="AE225" s="14" t="s">
        <v>7757</v>
      </c>
      <c r="AF225" s="14" t="s">
        <v>7758</v>
      </c>
      <c r="AG225" s="14" t="s">
        <v>7759</v>
      </c>
      <c r="AH225" s="18"/>
      <c r="AI225" s="16">
        <v>35000</v>
      </c>
      <c r="AJ225" s="17">
        <v>43465</v>
      </c>
      <c r="AK225" s="15" t="s">
        <v>3123</v>
      </c>
      <c r="AL225" s="17"/>
      <c r="AM225" s="16"/>
      <c r="AN225" s="14"/>
      <c r="AO225" s="14"/>
      <c r="AP225" s="15" t="s">
        <v>3123</v>
      </c>
      <c r="AQ225" s="14"/>
      <c r="AR225" s="17"/>
      <c r="AS225" s="16"/>
      <c r="AT225" s="14"/>
      <c r="AU225" s="15" t="s">
        <v>3123</v>
      </c>
      <c r="AV225" s="14"/>
      <c r="AW225" s="17"/>
      <c r="AX225" s="16"/>
      <c r="AY225" s="16"/>
      <c r="AZ225" s="16"/>
      <c r="BA225" s="16"/>
      <c r="BB225" s="15" t="s">
        <v>3123</v>
      </c>
      <c r="BC225" s="17"/>
      <c r="BD225" s="14"/>
      <c r="BE225" s="14"/>
      <c r="BF225" s="16"/>
      <c r="BG225" s="16"/>
      <c r="BH225" s="13"/>
      <c r="BI225" s="18" t="s">
        <v>7760</v>
      </c>
      <c r="BJ225" s="13">
        <v>200</v>
      </c>
      <c r="BK225" s="17">
        <v>44124</v>
      </c>
      <c r="BL225" s="18" t="s">
        <v>7761</v>
      </c>
      <c r="BM225" s="18" t="s">
        <v>7762</v>
      </c>
      <c r="BN225" s="18" t="s">
        <v>7763</v>
      </c>
      <c r="BO225" s="18"/>
      <c r="BP225" s="14" t="s">
        <v>7764</v>
      </c>
      <c r="BQ225" s="17">
        <v>42933</v>
      </c>
      <c r="BR225" s="16">
        <v>-118900</v>
      </c>
      <c r="BS225" s="17">
        <v>43465</v>
      </c>
      <c r="BT225" s="16">
        <v>-128700</v>
      </c>
      <c r="BU225" s="17">
        <v>43465</v>
      </c>
      <c r="BV225" s="16">
        <v>4000000</v>
      </c>
      <c r="BW225" s="17">
        <v>43761</v>
      </c>
      <c r="BX225" s="16"/>
      <c r="BY225" s="17"/>
      <c r="BZ225" s="19">
        <v>50.432904887484881</v>
      </c>
      <c r="CA225" s="19"/>
      <c r="CB225" s="17"/>
      <c r="CC225" s="14" t="s">
        <v>7606</v>
      </c>
      <c r="CD225" s="14" t="s">
        <v>7607</v>
      </c>
      <c r="CE225" s="14" t="s">
        <v>5945</v>
      </c>
    </row>
    <row r="226" spans="1:83" ht="26.15" hidden="1" customHeight="1">
      <c r="A226" s="13">
        <v>220</v>
      </c>
      <c r="B226" s="14" t="s">
        <v>353</v>
      </c>
      <c r="C226" s="14" t="s">
        <v>354</v>
      </c>
      <c r="D226" s="14" t="s">
        <v>358</v>
      </c>
      <c r="E226" s="13">
        <v>2013</v>
      </c>
      <c r="F226" s="14" t="s">
        <v>5829</v>
      </c>
      <c r="G226" s="14" t="s">
        <v>5164</v>
      </c>
      <c r="H226" s="14" t="s">
        <v>4343</v>
      </c>
      <c r="I226" s="15" t="s">
        <v>3117</v>
      </c>
      <c r="J226" s="16">
        <v>9700000</v>
      </c>
      <c r="K226" s="17">
        <v>43978</v>
      </c>
      <c r="L226" s="16" t="s">
        <v>5069</v>
      </c>
      <c r="M226" s="16">
        <v>3000000</v>
      </c>
      <c r="N226" s="14" t="s">
        <v>109</v>
      </c>
      <c r="O226" s="13">
        <v>4</v>
      </c>
      <c r="P226" s="17">
        <v>44057</v>
      </c>
      <c r="Q226" s="14" t="s">
        <v>5052</v>
      </c>
      <c r="R226" s="17">
        <v>43984</v>
      </c>
      <c r="S226" s="17">
        <v>43157</v>
      </c>
      <c r="T226" s="14" t="s">
        <v>5041</v>
      </c>
      <c r="U226" s="14" t="s">
        <v>5042</v>
      </c>
      <c r="V226" s="14" t="s">
        <v>7413</v>
      </c>
      <c r="W226" s="14"/>
      <c r="X226" s="14" t="s">
        <v>7765</v>
      </c>
      <c r="Y226" s="14" t="s">
        <v>1810</v>
      </c>
      <c r="Z226" s="14" t="s">
        <v>7766</v>
      </c>
      <c r="AA226" s="14"/>
      <c r="AB226" s="14" t="s">
        <v>4343</v>
      </c>
      <c r="AC226" s="14"/>
      <c r="AD226" s="14"/>
      <c r="AE226" s="14" t="s">
        <v>7767</v>
      </c>
      <c r="AF226" s="14" t="s">
        <v>7768</v>
      </c>
      <c r="AG226" s="14" t="s">
        <v>7769</v>
      </c>
      <c r="AH226" s="18"/>
      <c r="AI226" s="16"/>
      <c r="AJ226" s="17"/>
      <c r="AK226" s="15" t="s">
        <v>3123</v>
      </c>
      <c r="AL226" s="17"/>
      <c r="AM226" s="16"/>
      <c r="AN226" s="14"/>
      <c r="AO226" s="14"/>
      <c r="AP226" s="15" t="s">
        <v>3123</v>
      </c>
      <c r="AQ226" s="14"/>
      <c r="AR226" s="17"/>
      <c r="AS226" s="16"/>
      <c r="AT226" s="14"/>
      <c r="AU226" s="15" t="s">
        <v>3123</v>
      </c>
      <c r="AV226" s="14"/>
      <c r="AW226" s="17"/>
      <c r="AX226" s="16"/>
      <c r="AY226" s="16"/>
      <c r="AZ226" s="16"/>
      <c r="BA226" s="16"/>
      <c r="BB226" s="15" t="s">
        <v>3123</v>
      </c>
      <c r="BC226" s="17"/>
      <c r="BD226" s="14"/>
      <c r="BE226" s="14"/>
      <c r="BF226" s="16"/>
      <c r="BG226" s="16"/>
      <c r="BH226" s="13"/>
      <c r="BI226" s="18" t="s">
        <v>7770</v>
      </c>
      <c r="BJ226" s="13">
        <v>200</v>
      </c>
      <c r="BK226" s="17">
        <v>44124</v>
      </c>
      <c r="BL226" s="18" t="s">
        <v>7771</v>
      </c>
      <c r="BM226" s="18" t="s">
        <v>7772</v>
      </c>
      <c r="BN226" s="18" t="s">
        <v>7773</v>
      </c>
      <c r="BO226" s="18"/>
      <c r="BP226" s="14" t="s">
        <v>7774</v>
      </c>
      <c r="BQ226" s="17">
        <v>43019</v>
      </c>
      <c r="BR226" s="16"/>
      <c r="BS226" s="17"/>
      <c r="BT226" s="16"/>
      <c r="BU226" s="17"/>
      <c r="BV226" s="16"/>
      <c r="BW226" s="17"/>
      <c r="BX226" s="16"/>
      <c r="BY226" s="17"/>
      <c r="BZ226" s="19">
        <v>58.43433964758146</v>
      </c>
      <c r="CA226" s="19"/>
      <c r="CB226" s="17"/>
      <c r="CC226" s="14" t="s">
        <v>5036</v>
      </c>
      <c r="CD226" s="14" t="s">
        <v>5962</v>
      </c>
      <c r="CE226" s="14" t="s">
        <v>5945</v>
      </c>
    </row>
    <row r="227" spans="1:83" ht="26.15" customHeight="1">
      <c r="A227" s="13">
        <v>221</v>
      </c>
      <c r="B227" s="14" t="s">
        <v>1958</v>
      </c>
      <c r="C227" s="14" t="s">
        <v>1959</v>
      </c>
      <c r="D227" s="14" t="s">
        <v>1961</v>
      </c>
      <c r="E227" s="13">
        <v>2014</v>
      </c>
      <c r="F227" s="14" t="s">
        <v>7775</v>
      </c>
      <c r="G227" s="14" t="s">
        <v>7776</v>
      </c>
      <c r="H227" s="14" t="s">
        <v>7777</v>
      </c>
      <c r="I227" s="15" t="s">
        <v>3117</v>
      </c>
      <c r="J227" s="16"/>
      <c r="K227" s="17">
        <v>43012</v>
      </c>
      <c r="L227" s="16"/>
      <c r="M227" s="16" t="s">
        <v>50</v>
      </c>
      <c r="N227" s="14" t="s">
        <v>5040</v>
      </c>
      <c r="O227" s="13"/>
      <c r="P227" s="17"/>
      <c r="Q227" s="14"/>
      <c r="R227" s="17"/>
      <c r="S227" s="17"/>
      <c r="T227" s="14" t="s">
        <v>5442</v>
      </c>
      <c r="U227" s="14" t="s">
        <v>5443</v>
      </c>
      <c r="V227" s="14" t="s">
        <v>7778</v>
      </c>
      <c r="W227" s="14"/>
      <c r="X227" s="14" t="s">
        <v>1609</v>
      </c>
      <c r="Y227" s="14"/>
      <c r="Z227" s="14" t="s">
        <v>7779</v>
      </c>
      <c r="AA227" s="14"/>
      <c r="AB227" s="14" t="s">
        <v>7777</v>
      </c>
      <c r="AC227" s="14"/>
      <c r="AD227" s="14"/>
      <c r="AE227" s="14" t="s">
        <v>7780</v>
      </c>
      <c r="AF227" s="14" t="s">
        <v>7781</v>
      </c>
      <c r="AG227" s="14" t="s">
        <v>7782</v>
      </c>
      <c r="AH227" s="18"/>
      <c r="AI227" s="16"/>
      <c r="AJ227" s="17"/>
      <c r="AK227" s="15" t="s">
        <v>3123</v>
      </c>
      <c r="AL227" s="17"/>
      <c r="AM227" s="16"/>
      <c r="AN227" s="14"/>
      <c r="AO227" s="14"/>
      <c r="AP227" s="15" t="s">
        <v>3123</v>
      </c>
      <c r="AQ227" s="14"/>
      <c r="AR227" s="17"/>
      <c r="AS227" s="16"/>
      <c r="AT227" s="14"/>
      <c r="AU227" s="15" t="s">
        <v>3123</v>
      </c>
      <c r="AV227" s="14"/>
      <c r="AW227" s="17"/>
      <c r="AX227" s="16"/>
      <c r="AY227" s="16"/>
      <c r="AZ227" s="16"/>
      <c r="BA227" s="16"/>
      <c r="BB227" s="15" t="s">
        <v>3123</v>
      </c>
      <c r="BC227" s="17"/>
      <c r="BD227" s="14"/>
      <c r="BE227" s="14"/>
      <c r="BF227" s="16"/>
      <c r="BG227" s="16"/>
      <c r="BH227" s="13"/>
      <c r="BI227" s="18" t="s">
        <v>7783</v>
      </c>
      <c r="BJ227" s="13">
        <v>200</v>
      </c>
      <c r="BK227" s="17">
        <v>44124</v>
      </c>
      <c r="BL227" s="18" t="s">
        <v>7784</v>
      </c>
      <c r="BM227" s="18" t="s">
        <v>7785</v>
      </c>
      <c r="BN227" s="18"/>
      <c r="BO227" s="18"/>
      <c r="BP227" s="14" t="s">
        <v>7786</v>
      </c>
      <c r="BQ227" s="17">
        <v>42667</v>
      </c>
      <c r="BR227" s="16"/>
      <c r="BS227" s="17"/>
      <c r="BT227" s="16"/>
      <c r="BU227" s="17"/>
      <c r="BV227" s="16"/>
      <c r="BW227" s="17"/>
      <c r="BX227" s="16"/>
      <c r="BY227" s="17"/>
      <c r="BZ227" s="19">
        <v>30.387839754552392</v>
      </c>
      <c r="CA227" s="19"/>
      <c r="CB227" s="17"/>
      <c r="CC227" s="14" t="s">
        <v>5345</v>
      </c>
      <c r="CD227" s="14" t="s">
        <v>7272</v>
      </c>
      <c r="CE227" s="14" t="s">
        <v>5945</v>
      </c>
    </row>
    <row r="228" spans="1:83" ht="26.15" hidden="1" customHeight="1">
      <c r="A228" s="13">
        <v>222</v>
      </c>
      <c r="B228" s="14" t="s">
        <v>228</v>
      </c>
      <c r="C228" s="14" t="s">
        <v>229</v>
      </c>
      <c r="D228" s="14" t="s">
        <v>234</v>
      </c>
      <c r="E228" s="13">
        <v>2015</v>
      </c>
      <c r="F228" s="14" t="s">
        <v>7787</v>
      </c>
      <c r="G228" s="14" t="s">
        <v>7788</v>
      </c>
      <c r="H228" s="14" t="s">
        <v>7789</v>
      </c>
      <c r="I228" s="15" t="s">
        <v>3117</v>
      </c>
      <c r="J228" s="16">
        <v>60000000</v>
      </c>
      <c r="K228" s="17">
        <v>44033</v>
      </c>
      <c r="L228" s="16" t="s">
        <v>7790</v>
      </c>
      <c r="M228" s="16">
        <v>30000000</v>
      </c>
      <c r="N228" s="14" t="s">
        <v>95</v>
      </c>
      <c r="O228" s="13">
        <v>5</v>
      </c>
      <c r="P228" s="17">
        <v>44057</v>
      </c>
      <c r="Q228" s="14" t="s">
        <v>5544</v>
      </c>
      <c r="R228" s="17">
        <v>44039</v>
      </c>
      <c r="S228" s="17">
        <v>43410</v>
      </c>
      <c r="T228" s="14" t="s">
        <v>1</v>
      </c>
      <c r="U228" s="14" t="s">
        <v>5007</v>
      </c>
      <c r="V228" s="14" t="s">
        <v>5192</v>
      </c>
      <c r="W228" s="14"/>
      <c r="X228" s="14" t="s">
        <v>7791</v>
      </c>
      <c r="Y228" s="14" t="s">
        <v>7792</v>
      </c>
      <c r="Z228" s="14" t="s">
        <v>7793</v>
      </c>
      <c r="AA228" s="14"/>
      <c r="AB228" s="14" t="s">
        <v>4343</v>
      </c>
      <c r="AC228" s="14" t="s">
        <v>7794</v>
      </c>
      <c r="AD228" s="14"/>
      <c r="AE228" s="14" t="s">
        <v>7795</v>
      </c>
      <c r="AF228" s="14" t="s">
        <v>7796</v>
      </c>
      <c r="AG228" s="14" t="s">
        <v>7797</v>
      </c>
      <c r="AH228" s="18"/>
      <c r="AI228" s="16"/>
      <c r="AJ228" s="17"/>
      <c r="AK228" s="15" t="s">
        <v>3123</v>
      </c>
      <c r="AL228" s="17"/>
      <c r="AM228" s="16"/>
      <c r="AN228" s="14"/>
      <c r="AO228" s="14" t="s">
        <v>7798</v>
      </c>
      <c r="AP228" s="15" t="s">
        <v>3123</v>
      </c>
      <c r="AQ228" s="14"/>
      <c r="AR228" s="17"/>
      <c r="AS228" s="16"/>
      <c r="AT228" s="14"/>
      <c r="AU228" s="15" t="s">
        <v>3123</v>
      </c>
      <c r="AV228" s="14"/>
      <c r="AW228" s="17"/>
      <c r="AX228" s="16"/>
      <c r="AY228" s="16"/>
      <c r="AZ228" s="16"/>
      <c r="BA228" s="16"/>
      <c r="BB228" s="15" t="s">
        <v>3123</v>
      </c>
      <c r="BC228" s="17"/>
      <c r="BD228" s="14"/>
      <c r="BE228" s="14"/>
      <c r="BF228" s="16"/>
      <c r="BG228" s="16"/>
      <c r="BH228" s="13"/>
      <c r="BI228" s="18" t="s">
        <v>7799</v>
      </c>
      <c r="BJ228" s="13">
        <v>200</v>
      </c>
      <c r="BK228" s="17">
        <v>44124</v>
      </c>
      <c r="BL228" s="18" t="s">
        <v>7800</v>
      </c>
      <c r="BM228" s="18" t="s">
        <v>7801</v>
      </c>
      <c r="BN228" s="18" t="s">
        <v>7802</v>
      </c>
      <c r="BO228" s="18" t="s">
        <v>7803</v>
      </c>
      <c r="BP228" s="14" t="s">
        <v>7804</v>
      </c>
      <c r="BQ228" s="17">
        <v>42929</v>
      </c>
      <c r="BR228" s="16"/>
      <c r="BS228" s="17"/>
      <c r="BT228" s="16"/>
      <c r="BU228" s="17"/>
      <c r="BV228" s="16"/>
      <c r="BW228" s="17"/>
      <c r="BX228" s="16"/>
      <c r="BY228" s="17"/>
      <c r="BZ228" s="19">
        <v>59.139031802193053</v>
      </c>
      <c r="CA228" s="19"/>
      <c r="CB228" s="17"/>
      <c r="CC228" s="14" t="s">
        <v>7805</v>
      </c>
      <c r="CD228" s="14" t="s">
        <v>7806</v>
      </c>
      <c r="CE228" s="14" t="s">
        <v>5004</v>
      </c>
    </row>
    <row r="229" spans="1:83" ht="26.15" customHeight="1">
      <c r="A229" s="13">
        <v>223</v>
      </c>
      <c r="B229" s="14" t="s">
        <v>1120</v>
      </c>
      <c r="C229" s="14" t="s">
        <v>1121</v>
      </c>
      <c r="D229" s="14" t="s">
        <v>1124</v>
      </c>
      <c r="E229" s="13">
        <v>2014</v>
      </c>
      <c r="F229" s="14" t="s">
        <v>5689</v>
      </c>
      <c r="G229" s="14" t="s">
        <v>5674</v>
      </c>
      <c r="H229" s="14" t="s">
        <v>2057</v>
      </c>
      <c r="I229" s="15" t="s">
        <v>3117</v>
      </c>
      <c r="J229" s="16">
        <v>73326732</v>
      </c>
      <c r="K229" s="17">
        <v>43553</v>
      </c>
      <c r="L229" s="16"/>
      <c r="M229" s="16" t="s">
        <v>50</v>
      </c>
      <c r="N229" s="14" t="s">
        <v>95</v>
      </c>
      <c r="O229" s="13">
        <v>4</v>
      </c>
      <c r="P229" s="17">
        <v>44028</v>
      </c>
      <c r="Q229" s="14" t="s">
        <v>5544</v>
      </c>
      <c r="R229" s="17">
        <v>44027</v>
      </c>
      <c r="S229" s="17">
        <v>43525</v>
      </c>
      <c r="T229" s="14" t="s">
        <v>5493</v>
      </c>
      <c r="U229" s="14" t="s">
        <v>5494</v>
      </c>
      <c r="V229" s="14" t="s">
        <v>7807</v>
      </c>
      <c r="W229" s="14"/>
      <c r="X229" s="14" t="s">
        <v>7808</v>
      </c>
      <c r="Y229" s="14"/>
      <c r="Z229" s="14" t="s">
        <v>7809</v>
      </c>
      <c r="AA229" s="14"/>
      <c r="AB229" s="14" t="s">
        <v>2057</v>
      </c>
      <c r="AC229" s="14" t="s">
        <v>7810</v>
      </c>
      <c r="AD229" s="14" t="s">
        <v>7811</v>
      </c>
      <c r="AE229" s="14" t="s">
        <v>7812</v>
      </c>
      <c r="AF229" s="14" t="s">
        <v>7813</v>
      </c>
      <c r="AG229" s="14"/>
      <c r="AH229" s="18"/>
      <c r="AI229" s="16"/>
      <c r="AJ229" s="17"/>
      <c r="AK229" s="15" t="s">
        <v>3123</v>
      </c>
      <c r="AL229" s="17"/>
      <c r="AM229" s="16"/>
      <c r="AN229" s="14"/>
      <c r="AO229" s="14"/>
      <c r="AP229" s="15" t="s">
        <v>3123</v>
      </c>
      <c r="AQ229" s="14"/>
      <c r="AR229" s="17"/>
      <c r="AS229" s="16"/>
      <c r="AT229" s="14"/>
      <c r="AU229" s="15" t="s">
        <v>3123</v>
      </c>
      <c r="AV229" s="14"/>
      <c r="AW229" s="17"/>
      <c r="AX229" s="16"/>
      <c r="AY229" s="16"/>
      <c r="AZ229" s="16"/>
      <c r="BA229" s="16"/>
      <c r="BB229" s="15" t="s">
        <v>3123</v>
      </c>
      <c r="BC229" s="17"/>
      <c r="BD229" s="14"/>
      <c r="BE229" s="14"/>
      <c r="BF229" s="16"/>
      <c r="BG229" s="16"/>
      <c r="BH229" s="13"/>
      <c r="BI229" s="18" t="s">
        <v>7814</v>
      </c>
      <c r="BJ229" s="13">
        <v>200</v>
      </c>
      <c r="BK229" s="17">
        <v>44124</v>
      </c>
      <c r="BL229" s="18"/>
      <c r="BM229" s="18"/>
      <c r="BN229" s="18"/>
      <c r="BO229" s="18"/>
      <c r="BP229" s="14" t="s">
        <v>7815</v>
      </c>
      <c r="BQ229" s="17">
        <v>42506</v>
      </c>
      <c r="BR229" s="16"/>
      <c r="BS229" s="17"/>
      <c r="BT229" s="16"/>
      <c r="BU229" s="17"/>
      <c r="BV229" s="16"/>
      <c r="BW229" s="17"/>
      <c r="BX229" s="16"/>
      <c r="BY229" s="17"/>
      <c r="BZ229" s="19">
        <v>35.680792853474685</v>
      </c>
      <c r="CA229" s="19"/>
      <c r="CB229" s="17"/>
      <c r="CC229" s="14" t="s">
        <v>7816</v>
      </c>
      <c r="CD229" s="14" t="s">
        <v>7817</v>
      </c>
      <c r="CE229" s="14" t="s">
        <v>5004</v>
      </c>
    </row>
    <row r="230" spans="1:83" ht="26.15" customHeight="1">
      <c r="A230" s="13">
        <v>224</v>
      </c>
      <c r="B230" s="14" t="s">
        <v>1544</v>
      </c>
      <c r="C230" s="14" t="s">
        <v>1545</v>
      </c>
      <c r="D230" s="14" t="s">
        <v>1547</v>
      </c>
      <c r="E230" s="13">
        <v>2015</v>
      </c>
      <c r="F230" s="14" t="s">
        <v>6064</v>
      </c>
      <c r="G230" s="14" t="s">
        <v>6065</v>
      </c>
      <c r="H230" s="14" t="s">
        <v>2057</v>
      </c>
      <c r="I230" s="15" t="s">
        <v>3117</v>
      </c>
      <c r="J230" s="16">
        <v>62610600</v>
      </c>
      <c r="K230" s="17">
        <v>43301</v>
      </c>
      <c r="L230" s="16" t="s">
        <v>7818</v>
      </c>
      <c r="M230" s="16">
        <v>26610600</v>
      </c>
      <c r="N230" s="14" t="s">
        <v>25</v>
      </c>
      <c r="O230" s="13"/>
      <c r="P230" s="17"/>
      <c r="Q230" s="14"/>
      <c r="R230" s="17"/>
      <c r="S230" s="17"/>
      <c r="T230" s="14" t="s">
        <v>5509</v>
      </c>
      <c r="U230" s="14" t="s">
        <v>5510</v>
      </c>
      <c r="V230" s="14" t="s">
        <v>7819</v>
      </c>
      <c r="W230" s="14"/>
      <c r="X230" s="14" t="s">
        <v>7820</v>
      </c>
      <c r="Y230" s="14"/>
      <c r="Z230" s="14" t="s">
        <v>7821</v>
      </c>
      <c r="AA230" s="14"/>
      <c r="AB230" s="14" t="s">
        <v>2057</v>
      </c>
      <c r="AC230" s="14" t="s">
        <v>7822</v>
      </c>
      <c r="AD230" s="14" t="s">
        <v>7823</v>
      </c>
      <c r="AE230" s="14" t="s">
        <v>7824</v>
      </c>
      <c r="AF230" s="14"/>
      <c r="AG230" s="14"/>
      <c r="AH230" s="18"/>
      <c r="AI230" s="16"/>
      <c r="AJ230" s="17"/>
      <c r="AK230" s="15" t="s">
        <v>3123</v>
      </c>
      <c r="AL230" s="17"/>
      <c r="AM230" s="16"/>
      <c r="AN230" s="14"/>
      <c r="AO230" s="14"/>
      <c r="AP230" s="15" t="s">
        <v>3123</v>
      </c>
      <c r="AQ230" s="14"/>
      <c r="AR230" s="17"/>
      <c r="AS230" s="16"/>
      <c r="AT230" s="14"/>
      <c r="AU230" s="15" t="s">
        <v>3123</v>
      </c>
      <c r="AV230" s="14"/>
      <c r="AW230" s="17"/>
      <c r="AX230" s="16"/>
      <c r="AY230" s="16"/>
      <c r="AZ230" s="16"/>
      <c r="BA230" s="16"/>
      <c r="BB230" s="15" t="s">
        <v>3123</v>
      </c>
      <c r="BC230" s="17"/>
      <c r="BD230" s="14"/>
      <c r="BE230" s="14"/>
      <c r="BF230" s="16"/>
      <c r="BG230" s="16"/>
      <c r="BH230" s="13"/>
      <c r="BI230" s="18" t="s">
        <v>7825</v>
      </c>
      <c r="BJ230" s="13">
        <v>200</v>
      </c>
      <c r="BK230" s="17">
        <v>44124</v>
      </c>
      <c r="BL230" s="18"/>
      <c r="BM230" s="18"/>
      <c r="BN230" s="18"/>
      <c r="BO230" s="18"/>
      <c r="BP230" s="14" t="s">
        <v>7826</v>
      </c>
      <c r="BQ230" s="17">
        <v>42685</v>
      </c>
      <c r="BR230" s="16"/>
      <c r="BS230" s="17"/>
      <c r="BT230" s="16"/>
      <c r="BU230" s="17"/>
      <c r="BV230" s="16"/>
      <c r="BW230" s="17"/>
      <c r="BX230" s="16"/>
      <c r="BY230" s="17"/>
      <c r="BZ230" s="19">
        <v>34.687787406085839</v>
      </c>
      <c r="CA230" s="19"/>
      <c r="CB230" s="17"/>
      <c r="CC230" s="14" t="s">
        <v>5036</v>
      </c>
      <c r="CD230" s="14" t="s">
        <v>7827</v>
      </c>
      <c r="CE230" s="14" t="s">
        <v>5004</v>
      </c>
    </row>
    <row r="231" spans="1:83" ht="26.15" hidden="1" customHeight="1">
      <c r="A231" s="13">
        <v>225</v>
      </c>
      <c r="B231" s="14" t="s">
        <v>730</v>
      </c>
      <c r="C231" s="14" t="s">
        <v>731</v>
      </c>
      <c r="D231" s="14" t="s">
        <v>735</v>
      </c>
      <c r="E231" s="13">
        <v>2015</v>
      </c>
      <c r="F231" s="14" t="s">
        <v>7828</v>
      </c>
      <c r="G231" s="14" t="s">
        <v>5050</v>
      </c>
      <c r="H231" s="14" t="s">
        <v>4343</v>
      </c>
      <c r="I231" s="15" t="s">
        <v>3117</v>
      </c>
      <c r="J231" s="16"/>
      <c r="K231" s="17">
        <v>43756</v>
      </c>
      <c r="L231" s="16"/>
      <c r="M231" s="16" t="s">
        <v>50</v>
      </c>
      <c r="N231" s="14" t="s">
        <v>34</v>
      </c>
      <c r="O231" s="13">
        <v>4</v>
      </c>
      <c r="P231" s="17">
        <v>44081</v>
      </c>
      <c r="Q231" s="14"/>
      <c r="R231" s="17"/>
      <c r="S231" s="17"/>
      <c r="T231" s="14" t="s">
        <v>7829</v>
      </c>
      <c r="U231" s="14" t="s">
        <v>7830</v>
      </c>
      <c r="V231" s="14" t="s">
        <v>7831</v>
      </c>
      <c r="W231" s="14"/>
      <c r="X231" s="14" t="s">
        <v>7832</v>
      </c>
      <c r="Y231" s="14"/>
      <c r="Z231" s="14" t="s">
        <v>7833</v>
      </c>
      <c r="AA231" s="14"/>
      <c r="AB231" s="14" t="s">
        <v>4343</v>
      </c>
      <c r="AC231" s="14" t="s">
        <v>7834</v>
      </c>
      <c r="AD231" s="14"/>
      <c r="AE231" s="14" t="s">
        <v>7835</v>
      </c>
      <c r="AF231" s="14" t="s">
        <v>7836</v>
      </c>
      <c r="AG231" s="14" t="s">
        <v>7837</v>
      </c>
      <c r="AH231" s="18"/>
      <c r="AI231" s="16"/>
      <c r="AJ231" s="17"/>
      <c r="AK231" s="15" t="s">
        <v>3123</v>
      </c>
      <c r="AL231" s="17"/>
      <c r="AM231" s="16"/>
      <c r="AN231" s="14"/>
      <c r="AO231" s="14"/>
      <c r="AP231" s="15" t="s">
        <v>3123</v>
      </c>
      <c r="AQ231" s="14"/>
      <c r="AR231" s="17"/>
      <c r="AS231" s="16"/>
      <c r="AT231" s="14"/>
      <c r="AU231" s="15" t="s">
        <v>3123</v>
      </c>
      <c r="AV231" s="14"/>
      <c r="AW231" s="17"/>
      <c r="AX231" s="16"/>
      <c r="AY231" s="16"/>
      <c r="AZ231" s="16"/>
      <c r="BA231" s="16"/>
      <c r="BB231" s="15" t="s">
        <v>3123</v>
      </c>
      <c r="BC231" s="17"/>
      <c r="BD231" s="14"/>
      <c r="BE231" s="14"/>
      <c r="BF231" s="16"/>
      <c r="BG231" s="16"/>
      <c r="BH231" s="13"/>
      <c r="BI231" s="18" t="s">
        <v>7838</v>
      </c>
      <c r="BJ231" s="13">
        <v>301</v>
      </c>
      <c r="BK231" s="17">
        <v>44124</v>
      </c>
      <c r="BL231" s="18"/>
      <c r="BM231" s="18"/>
      <c r="BN231" s="18"/>
      <c r="BO231" s="18"/>
      <c r="BP231" s="14" t="s">
        <v>7839</v>
      </c>
      <c r="BQ231" s="17">
        <v>42642</v>
      </c>
      <c r="BR231" s="16"/>
      <c r="BS231" s="17"/>
      <c r="BT231" s="16"/>
      <c r="BU231" s="17"/>
      <c r="BV231" s="16"/>
      <c r="BW231" s="17"/>
      <c r="BX231" s="16"/>
      <c r="BY231" s="17"/>
      <c r="BZ231" s="19">
        <v>38.338201448918475</v>
      </c>
      <c r="CA231" s="19"/>
      <c r="CB231" s="17"/>
      <c r="CC231" s="14" t="s">
        <v>6487</v>
      </c>
      <c r="CD231" s="14" t="s">
        <v>5944</v>
      </c>
      <c r="CE231" s="14" t="s">
        <v>5945</v>
      </c>
    </row>
    <row r="232" spans="1:83" ht="26.15" customHeight="1">
      <c r="A232" s="13">
        <v>226</v>
      </c>
      <c r="B232" s="14" t="s">
        <v>980</v>
      </c>
      <c r="C232" s="14" t="s">
        <v>981</v>
      </c>
      <c r="D232" s="14" t="s">
        <v>984</v>
      </c>
      <c r="E232" s="13">
        <v>2012</v>
      </c>
      <c r="F232" s="14" t="s">
        <v>5067</v>
      </c>
      <c r="G232" s="14" t="s">
        <v>5068</v>
      </c>
      <c r="H232" s="14" t="s">
        <v>3994</v>
      </c>
      <c r="I232" s="15" t="s">
        <v>3117</v>
      </c>
      <c r="J232" s="16">
        <v>987327</v>
      </c>
      <c r="K232" s="17">
        <v>43615</v>
      </c>
      <c r="L232" s="16"/>
      <c r="M232" s="16" t="s">
        <v>50</v>
      </c>
      <c r="N232" s="14" t="s">
        <v>5335</v>
      </c>
      <c r="O232" s="13">
        <v>4</v>
      </c>
      <c r="P232" s="17">
        <v>44003</v>
      </c>
      <c r="Q232" s="14"/>
      <c r="R232" s="17"/>
      <c r="S232" s="17"/>
      <c r="T232" s="14" t="s">
        <v>1</v>
      </c>
      <c r="U232" s="14" t="s">
        <v>5007</v>
      </c>
      <c r="V232" s="14" t="s">
        <v>6482</v>
      </c>
      <c r="W232" s="14"/>
      <c r="X232" s="14" t="s">
        <v>7840</v>
      </c>
      <c r="Y232" s="14" t="s">
        <v>7841</v>
      </c>
      <c r="Z232" s="14" t="s">
        <v>7842</v>
      </c>
      <c r="AA232" s="14"/>
      <c r="AB232" s="14" t="s">
        <v>3994</v>
      </c>
      <c r="AC232" s="14"/>
      <c r="AD232" s="14"/>
      <c r="AE232" s="14" t="s">
        <v>7843</v>
      </c>
      <c r="AF232" s="14" t="s">
        <v>7844</v>
      </c>
      <c r="AG232" s="14" t="s">
        <v>7845</v>
      </c>
      <c r="AH232" s="18"/>
      <c r="AI232" s="16"/>
      <c r="AJ232" s="17"/>
      <c r="AK232" s="15" t="s">
        <v>3123</v>
      </c>
      <c r="AL232" s="17"/>
      <c r="AM232" s="16"/>
      <c r="AN232" s="14"/>
      <c r="AO232" s="14"/>
      <c r="AP232" s="15" t="s">
        <v>3117</v>
      </c>
      <c r="AQ232" s="14" t="s">
        <v>3669</v>
      </c>
      <c r="AR232" s="17">
        <v>43910</v>
      </c>
      <c r="AS232" s="16"/>
      <c r="AT232" s="14" t="s">
        <v>5342</v>
      </c>
      <c r="AU232" s="15" t="s">
        <v>3123</v>
      </c>
      <c r="AV232" s="14"/>
      <c r="AW232" s="17"/>
      <c r="AX232" s="16"/>
      <c r="AY232" s="16"/>
      <c r="AZ232" s="16"/>
      <c r="BA232" s="16"/>
      <c r="BB232" s="15" t="s">
        <v>3123</v>
      </c>
      <c r="BC232" s="17"/>
      <c r="BD232" s="14"/>
      <c r="BE232" s="14"/>
      <c r="BF232" s="16"/>
      <c r="BG232" s="16"/>
      <c r="BH232" s="13"/>
      <c r="BI232" s="18" t="s">
        <v>7846</v>
      </c>
      <c r="BJ232" s="13">
        <v>200</v>
      </c>
      <c r="BK232" s="17">
        <v>44138</v>
      </c>
      <c r="BL232" s="18"/>
      <c r="BM232" s="18"/>
      <c r="BN232" s="18" t="s">
        <v>7847</v>
      </c>
      <c r="BO232" s="18"/>
      <c r="BP232" s="14" t="s">
        <v>7848</v>
      </c>
      <c r="BQ232" s="17">
        <v>42933</v>
      </c>
      <c r="BR232" s="16"/>
      <c r="BS232" s="17"/>
      <c r="BT232" s="16"/>
      <c r="BU232" s="17"/>
      <c r="BV232" s="16">
        <v>15000000</v>
      </c>
      <c r="BW232" s="17">
        <v>42346</v>
      </c>
      <c r="BX232" s="16">
        <v>15</v>
      </c>
      <c r="BY232" s="17">
        <v>43646</v>
      </c>
      <c r="BZ232" s="19">
        <v>33.540308478202768</v>
      </c>
      <c r="CA232" s="19"/>
      <c r="CB232" s="17"/>
      <c r="CC232" s="14" t="s">
        <v>5345</v>
      </c>
      <c r="CD232" s="14" t="s">
        <v>7221</v>
      </c>
      <c r="CE232" s="14" t="s">
        <v>5945</v>
      </c>
    </row>
    <row r="233" spans="1:83" ht="26.15" customHeight="1">
      <c r="A233" s="13">
        <v>227</v>
      </c>
      <c r="B233" s="14" t="s">
        <v>177</v>
      </c>
      <c r="C233" s="14" t="s">
        <v>178</v>
      </c>
      <c r="D233" s="14" t="s">
        <v>182</v>
      </c>
      <c r="E233" s="13">
        <v>2015</v>
      </c>
      <c r="F233" s="14" t="s">
        <v>5067</v>
      </c>
      <c r="G233" s="14" t="s">
        <v>5068</v>
      </c>
      <c r="H233" s="14" t="s">
        <v>3994</v>
      </c>
      <c r="I233" s="15" t="s">
        <v>3117</v>
      </c>
      <c r="J233" s="16"/>
      <c r="K233" s="17">
        <v>44067</v>
      </c>
      <c r="L233" s="16"/>
      <c r="M233" s="16" t="s">
        <v>50</v>
      </c>
      <c r="N233" s="14" t="s">
        <v>34</v>
      </c>
      <c r="O233" s="13">
        <v>4</v>
      </c>
      <c r="P233" s="17">
        <v>44074</v>
      </c>
      <c r="Q233" s="14"/>
      <c r="R233" s="17"/>
      <c r="S233" s="17"/>
      <c r="T233" s="14" t="s">
        <v>5442</v>
      </c>
      <c r="U233" s="14" t="s">
        <v>5443</v>
      </c>
      <c r="V233" s="14" t="s">
        <v>7849</v>
      </c>
      <c r="W233" s="14"/>
      <c r="X233" s="14" t="s">
        <v>7850</v>
      </c>
      <c r="Y233" s="14"/>
      <c r="Z233" s="14" t="s">
        <v>7851</v>
      </c>
      <c r="AA233" s="14"/>
      <c r="AB233" s="14" t="s">
        <v>3994</v>
      </c>
      <c r="AC233" s="14"/>
      <c r="AD233" s="14"/>
      <c r="AE233" s="14" t="s">
        <v>7852</v>
      </c>
      <c r="AF233" s="14" t="s">
        <v>7853</v>
      </c>
      <c r="AG233" s="14" t="s">
        <v>7854</v>
      </c>
      <c r="AH233" s="18"/>
      <c r="AI233" s="16">
        <v>105300</v>
      </c>
      <c r="AJ233" s="17">
        <v>43100</v>
      </c>
      <c r="AK233" s="15" t="s">
        <v>3123</v>
      </c>
      <c r="AL233" s="17"/>
      <c r="AM233" s="16"/>
      <c r="AN233" s="14"/>
      <c r="AO233" s="14"/>
      <c r="AP233" s="15" t="s">
        <v>3123</v>
      </c>
      <c r="AQ233" s="14"/>
      <c r="AR233" s="17"/>
      <c r="AS233" s="16"/>
      <c r="AT233" s="14"/>
      <c r="AU233" s="15" t="s">
        <v>3123</v>
      </c>
      <c r="AV233" s="14"/>
      <c r="AW233" s="17"/>
      <c r="AX233" s="16"/>
      <c r="AY233" s="16"/>
      <c r="AZ233" s="16"/>
      <c r="BA233" s="16"/>
      <c r="BB233" s="15" t="s">
        <v>3123</v>
      </c>
      <c r="BC233" s="17"/>
      <c r="BD233" s="14"/>
      <c r="BE233" s="14"/>
      <c r="BF233" s="16"/>
      <c r="BG233" s="16"/>
      <c r="BH233" s="13"/>
      <c r="BI233" s="18" t="s">
        <v>7855</v>
      </c>
      <c r="BJ233" s="13">
        <v>200</v>
      </c>
      <c r="BK233" s="17">
        <v>44137</v>
      </c>
      <c r="BL233" s="18" t="s">
        <v>7856</v>
      </c>
      <c r="BM233" s="18"/>
      <c r="BN233" s="18"/>
      <c r="BO233" s="18"/>
      <c r="BP233" s="14" t="s">
        <v>7857</v>
      </c>
      <c r="BQ233" s="17">
        <v>42601</v>
      </c>
      <c r="BR233" s="16">
        <v>-85900</v>
      </c>
      <c r="BS233" s="17">
        <v>43100</v>
      </c>
      <c r="BT233" s="16">
        <v>-112900</v>
      </c>
      <c r="BU233" s="17">
        <v>43100</v>
      </c>
      <c r="BV233" s="16"/>
      <c r="BW233" s="17"/>
      <c r="BX233" s="16"/>
      <c r="BY233" s="17"/>
      <c r="BZ233" s="19">
        <v>36.439562615776104</v>
      </c>
      <c r="CA233" s="19"/>
      <c r="CB233" s="17"/>
      <c r="CC233" s="14" t="s">
        <v>7409</v>
      </c>
      <c r="CD233" s="14" t="s">
        <v>7272</v>
      </c>
      <c r="CE233" s="14" t="s">
        <v>7194</v>
      </c>
    </row>
    <row r="234" spans="1:83" ht="26.15" customHeight="1">
      <c r="A234" s="13">
        <v>228</v>
      </c>
      <c r="B234" s="14" t="s">
        <v>1880</v>
      </c>
      <c r="C234" s="14" t="s">
        <v>1881</v>
      </c>
      <c r="D234" s="14" t="s">
        <v>1883</v>
      </c>
      <c r="E234" s="13">
        <v>2015</v>
      </c>
      <c r="F234" s="14" t="s">
        <v>7858</v>
      </c>
      <c r="G234" s="14" t="s">
        <v>7859</v>
      </c>
      <c r="H234" s="14" t="s">
        <v>1740</v>
      </c>
      <c r="I234" s="15" t="s">
        <v>3117</v>
      </c>
      <c r="J234" s="16"/>
      <c r="K234" s="17">
        <v>43076</v>
      </c>
      <c r="L234" s="16"/>
      <c r="M234" s="16" t="s">
        <v>50</v>
      </c>
      <c r="N234" s="14" t="s">
        <v>5040</v>
      </c>
      <c r="O234" s="13">
        <v>3</v>
      </c>
      <c r="P234" s="17">
        <v>43973</v>
      </c>
      <c r="Q234" s="14"/>
      <c r="R234" s="17"/>
      <c r="S234" s="17"/>
      <c r="T234" s="14" t="s">
        <v>5442</v>
      </c>
      <c r="U234" s="14" t="s">
        <v>5443</v>
      </c>
      <c r="V234" s="14" t="s">
        <v>7860</v>
      </c>
      <c r="W234" s="14"/>
      <c r="X234" s="14" t="s">
        <v>7861</v>
      </c>
      <c r="Y234" s="14"/>
      <c r="Z234" s="14" t="s">
        <v>7862</v>
      </c>
      <c r="AA234" s="14"/>
      <c r="AB234" s="14" t="s">
        <v>1740</v>
      </c>
      <c r="AC234" s="14" t="s">
        <v>7863</v>
      </c>
      <c r="AD234" s="14" t="s">
        <v>7864</v>
      </c>
      <c r="AE234" s="14" t="s">
        <v>7865</v>
      </c>
      <c r="AF234" s="14" t="s">
        <v>7866</v>
      </c>
      <c r="AG234" s="14" t="s">
        <v>7867</v>
      </c>
      <c r="AH234" s="18"/>
      <c r="AI234" s="16"/>
      <c r="AJ234" s="17"/>
      <c r="AK234" s="15" t="s">
        <v>3123</v>
      </c>
      <c r="AL234" s="17"/>
      <c r="AM234" s="16"/>
      <c r="AN234" s="14"/>
      <c r="AO234" s="14"/>
      <c r="AP234" s="15" t="s">
        <v>3123</v>
      </c>
      <c r="AQ234" s="14"/>
      <c r="AR234" s="17"/>
      <c r="AS234" s="16"/>
      <c r="AT234" s="14"/>
      <c r="AU234" s="15" t="s">
        <v>3123</v>
      </c>
      <c r="AV234" s="14"/>
      <c r="AW234" s="17"/>
      <c r="AX234" s="16"/>
      <c r="AY234" s="16"/>
      <c r="AZ234" s="16"/>
      <c r="BA234" s="16"/>
      <c r="BB234" s="15" t="s">
        <v>3123</v>
      </c>
      <c r="BC234" s="17"/>
      <c r="BD234" s="14"/>
      <c r="BE234" s="14"/>
      <c r="BF234" s="16"/>
      <c r="BG234" s="16"/>
      <c r="BH234" s="13"/>
      <c r="BI234" s="18" t="s">
        <v>7868</v>
      </c>
      <c r="BJ234" s="13">
        <v>200</v>
      </c>
      <c r="BK234" s="17">
        <v>44123</v>
      </c>
      <c r="BL234" s="18" t="s">
        <v>7869</v>
      </c>
      <c r="BM234" s="18" t="s">
        <v>7870</v>
      </c>
      <c r="BN234" s="18" t="s">
        <v>7871</v>
      </c>
      <c r="BO234" s="18" t="s">
        <v>7872</v>
      </c>
      <c r="BP234" s="14" t="s">
        <v>7873</v>
      </c>
      <c r="BQ234" s="17">
        <v>43447</v>
      </c>
      <c r="BR234" s="16"/>
      <c r="BS234" s="17"/>
      <c r="BT234" s="16"/>
      <c r="BU234" s="17"/>
      <c r="BV234" s="16"/>
      <c r="BW234" s="17"/>
      <c r="BX234" s="16"/>
      <c r="BY234" s="17"/>
      <c r="BZ234" s="19">
        <v>35.346059456599285</v>
      </c>
      <c r="CA234" s="19"/>
      <c r="CB234" s="17"/>
      <c r="CC234" s="14" t="s">
        <v>5345</v>
      </c>
      <c r="CD234" s="14" t="s">
        <v>7874</v>
      </c>
      <c r="CE234" s="14" t="s">
        <v>5311</v>
      </c>
    </row>
    <row r="235" spans="1:83" ht="26.15" customHeight="1">
      <c r="A235" s="13">
        <v>229</v>
      </c>
      <c r="B235" s="14" t="s">
        <v>1531</v>
      </c>
      <c r="C235" s="14" t="s">
        <v>1532</v>
      </c>
      <c r="D235" s="14" t="s">
        <v>1535</v>
      </c>
      <c r="E235" s="13">
        <v>2014</v>
      </c>
      <c r="F235" s="14" t="s">
        <v>7162</v>
      </c>
      <c r="G235" s="14" t="s">
        <v>7163</v>
      </c>
      <c r="H235" s="14" t="s">
        <v>5391</v>
      </c>
      <c r="I235" s="15" t="s">
        <v>3117</v>
      </c>
      <c r="J235" s="16"/>
      <c r="K235" s="17">
        <v>43304</v>
      </c>
      <c r="L235" s="16"/>
      <c r="M235" s="16" t="s">
        <v>50</v>
      </c>
      <c r="N235" s="14" t="s">
        <v>34</v>
      </c>
      <c r="O235" s="13">
        <v>3</v>
      </c>
      <c r="P235" s="17">
        <v>43973</v>
      </c>
      <c r="Q235" s="14"/>
      <c r="R235" s="17"/>
      <c r="S235" s="17"/>
      <c r="T235" s="14" t="s">
        <v>1</v>
      </c>
      <c r="U235" s="14" t="s">
        <v>5084</v>
      </c>
      <c r="V235" s="14" t="s">
        <v>7875</v>
      </c>
      <c r="W235" s="14"/>
      <c r="X235" s="14" t="s">
        <v>1534</v>
      </c>
      <c r="Y235" s="14"/>
      <c r="Z235" s="14" t="s">
        <v>7876</v>
      </c>
      <c r="AA235" s="14"/>
      <c r="AB235" s="14" t="s">
        <v>5391</v>
      </c>
      <c r="AC235" s="14"/>
      <c r="AD235" s="14"/>
      <c r="AE235" s="14" t="s">
        <v>7877</v>
      </c>
      <c r="AF235" s="14" t="s">
        <v>7878</v>
      </c>
      <c r="AG235" s="14" t="s">
        <v>7879</v>
      </c>
      <c r="AH235" s="18"/>
      <c r="AI235" s="16"/>
      <c r="AJ235" s="17"/>
      <c r="AK235" s="15" t="s">
        <v>3123</v>
      </c>
      <c r="AL235" s="17"/>
      <c r="AM235" s="16"/>
      <c r="AN235" s="14"/>
      <c r="AO235" s="14"/>
      <c r="AP235" s="15" t="s">
        <v>3123</v>
      </c>
      <c r="AQ235" s="14"/>
      <c r="AR235" s="17"/>
      <c r="AS235" s="16"/>
      <c r="AT235" s="14"/>
      <c r="AU235" s="15" t="s">
        <v>3123</v>
      </c>
      <c r="AV235" s="14"/>
      <c r="AW235" s="17"/>
      <c r="AX235" s="16"/>
      <c r="AY235" s="16"/>
      <c r="AZ235" s="16"/>
      <c r="BA235" s="16"/>
      <c r="BB235" s="15" t="s">
        <v>3123</v>
      </c>
      <c r="BC235" s="17"/>
      <c r="BD235" s="14"/>
      <c r="BE235" s="14"/>
      <c r="BF235" s="16"/>
      <c r="BG235" s="16"/>
      <c r="BH235" s="13"/>
      <c r="BI235" s="18" t="s">
        <v>7880</v>
      </c>
      <c r="BJ235" s="13">
        <v>200</v>
      </c>
      <c r="BK235" s="17">
        <v>44123</v>
      </c>
      <c r="BL235" s="18" t="s">
        <v>7881</v>
      </c>
      <c r="BM235" s="18" t="s">
        <v>7882</v>
      </c>
      <c r="BN235" s="18" t="s">
        <v>7883</v>
      </c>
      <c r="BO235" s="18"/>
      <c r="BP235" s="14" t="s">
        <v>7884</v>
      </c>
      <c r="BQ235" s="17">
        <v>43033</v>
      </c>
      <c r="BR235" s="16"/>
      <c r="BS235" s="17"/>
      <c r="BT235" s="16"/>
      <c r="BU235" s="17"/>
      <c r="BV235" s="16"/>
      <c r="BW235" s="17"/>
      <c r="BX235" s="16"/>
      <c r="BY235" s="17"/>
      <c r="BZ235" s="19">
        <v>12.870239972458807</v>
      </c>
      <c r="CA235" s="19"/>
      <c r="CB235" s="17"/>
      <c r="CC235" s="14" t="s">
        <v>6838</v>
      </c>
      <c r="CD235" s="14" t="s">
        <v>6839</v>
      </c>
      <c r="CE235" s="14" t="s">
        <v>5945</v>
      </c>
    </row>
    <row r="236" spans="1:83" ht="26.15" customHeight="1">
      <c r="A236" s="13">
        <v>230</v>
      </c>
      <c r="B236" s="14" t="s">
        <v>485</v>
      </c>
      <c r="C236" s="14" t="s">
        <v>486</v>
      </c>
      <c r="D236" s="14" t="s">
        <v>489</v>
      </c>
      <c r="E236" s="13">
        <v>2015</v>
      </c>
      <c r="F236" s="14" t="s">
        <v>7285</v>
      </c>
      <c r="G236" s="14" t="s">
        <v>7285</v>
      </c>
      <c r="H236" s="14" t="s">
        <v>5277</v>
      </c>
      <c r="I236" s="15" t="s">
        <v>3117</v>
      </c>
      <c r="J236" s="16">
        <v>29000000</v>
      </c>
      <c r="K236" s="17">
        <v>43922</v>
      </c>
      <c r="L236" s="16" t="s">
        <v>7885</v>
      </c>
      <c r="M236" s="16">
        <v>17000000</v>
      </c>
      <c r="N236" s="14" t="s">
        <v>109</v>
      </c>
      <c r="O236" s="13">
        <v>4</v>
      </c>
      <c r="P236" s="17">
        <v>44028</v>
      </c>
      <c r="Q236" s="14" t="s">
        <v>5052</v>
      </c>
      <c r="R236" s="17">
        <v>43927</v>
      </c>
      <c r="S236" s="17">
        <v>43612</v>
      </c>
      <c r="T236" s="14" t="s">
        <v>5509</v>
      </c>
      <c r="U236" s="14" t="s">
        <v>5510</v>
      </c>
      <c r="V236" s="14" t="s">
        <v>7886</v>
      </c>
      <c r="W236" s="14"/>
      <c r="X236" s="14" t="s">
        <v>7887</v>
      </c>
      <c r="Y236" s="14"/>
      <c r="Z236" s="14" t="s">
        <v>7888</v>
      </c>
      <c r="AA236" s="14"/>
      <c r="AB236" s="14" t="s">
        <v>5277</v>
      </c>
      <c r="AC236" s="14" t="s">
        <v>7889</v>
      </c>
      <c r="AD236" s="14"/>
      <c r="AE236" s="14" t="s">
        <v>7890</v>
      </c>
      <c r="AF236" s="14" t="s">
        <v>7891</v>
      </c>
      <c r="AG236" s="14" t="s">
        <v>7892</v>
      </c>
      <c r="AH236" s="18"/>
      <c r="AI236" s="16"/>
      <c r="AJ236" s="17"/>
      <c r="AK236" s="15" t="s">
        <v>3123</v>
      </c>
      <c r="AL236" s="17"/>
      <c r="AM236" s="16"/>
      <c r="AN236" s="14"/>
      <c r="AO236" s="14"/>
      <c r="AP236" s="15" t="s">
        <v>3123</v>
      </c>
      <c r="AQ236" s="14"/>
      <c r="AR236" s="17"/>
      <c r="AS236" s="16"/>
      <c r="AT236" s="14"/>
      <c r="AU236" s="15" t="s">
        <v>3123</v>
      </c>
      <c r="AV236" s="14"/>
      <c r="AW236" s="17"/>
      <c r="AX236" s="16"/>
      <c r="AY236" s="16"/>
      <c r="AZ236" s="16"/>
      <c r="BA236" s="16"/>
      <c r="BB236" s="15" t="s">
        <v>3123</v>
      </c>
      <c r="BC236" s="17"/>
      <c r="BD236" s="14"/>
      <c r="BE236" s="14"/>
      <c r="BF236" s="16"/>
      <c r="BG236" s="16"/>
      <c r="BH236" s="13"/>
      <c r="BI236" s="18" t="s">
        <v>7893</v>
      </c>
      <c r="BJ236" s="13">
        <v>200</v>
      </c>
      <c r="BK236" s="17">
        <v>44123</v>
      </c>
      <c r="BL236" s="18" t="s">
        <v>7894</v>
      </c>
      <c r="BM236" s="18" t="s">
        <v>7895</v>
      </c>
      <c r="BN236" s="18" t="s">
        <v>7896</v>
      </c>
      <c r="BO236" s="18"/>
      <c r="BP236" s="14" t="s">
        <v>7897</v>
      </c>
      <c r="BQ236" s="17">
        <v>42383</v>
      </c>
      <c r="BR236" s="16"/>
      <c r="BS236" s="17"/>
      <c r="BT236" s="16"/>
      <c r="BU236" s="17"/>
      <c r="BV236" s="16"/>
      <c r="BW236" s="17"/>
      <c r="BX236" s="16"/>
      <c r="BY236" s="17"/>
      <c r="BZ236" s="19">
        <v>66.802083303148478</v>
      </c>
      <c r="CA236" s="19"/>
      <c r="CB236" s="17"/>
      <c r="CC236" s="14" t="s">
        <v>7816</v>
      </c>
      <c r="CD236" s="14" t="s">
        <v>7898</v>
      </c>
      <c r="CE236" s="14" t="s">
        <v>5004</v>
      </c>
    </row>
    <row r="237" spans="1:83" ht="26.15" customHeight="1">
      <c r="A237" s="13">
        <v>231</v>
      </c>
      <c r="B237" s="14" t="s">
        <v>529</v>
      </c>
      <c r="C237" s="14" t="s">
        <v>530</v>
      </c>
      <c r="D237" s="14" t="s">
        <v>533</v>
      </c>
      <c r="E237" s="13">
        <v>1993</v>
      </c>
      <c r="F237" s="14" t="s">
        <v>6542</v>
      </c>
      <c r="G237" s="14" t="s">
        <v>6543</v>
      </c>
      <c r="H237" s="14" t="s">
        <v>3468</v>
      </c>
      <c r="I237" s="15" t="s">
        <v>3117</v>
      </c>
      <c r="J237" s="16"/>
      <c r="K237" s="17">
        <v>43889</v>
      </c>
      <c r="L237" s="16"/>
      <c r="M237" s="16" t="s">
        <v>50</v>
      </c>
      <c r="N237" s="14" t="s">
        <v>5040</v>
      </c>
      <c r="O237" s="13">
        <v>3</v>
      </c>
      <c r="P237" s="17">
        <v>43894</v>
      </c>
      <c r="Q237" s="14"/>
      <c r="R237" s="17"/>
      <c r="S237" s="17"/>
      <c r="T237" s="14" t="s">
        <v>1</v>
      </c>
      <c r="U237" s="14" t="s">
        <v>5007</v>
      </c>
      <c r="V237" s="14" t="s">
        <v>5336</v>
      </c>
      <c r="W237" s="14"/>
      <c r="X237" s="14" t="s">
        <v>532</v>
      </c>
      <c r="Y237" s="14"/>
      <c r="Z237" s="14" t="s">
        <v>7899</v>
      </c>
      <c r="AA237" s="14"/>
      <c r="AB237" s="14" t="s">
        <v>3468</v>
      </c>
      <c r="AC237" s="14" t="s">
        <v>7900</v>
      </c>
      <c r="AD237" s="14" t="s">
        <v>7901</v>
      </c>
      <c r="AE237" s="14" t="s">
        <v>7902</v>
      </c>
      <c r="AF237" s="14" t="s">
        <v>7903</v>
      </c>
      <c r="AG237" s="14"/>
      <c r="AH237" s="18"/>
      <c r="AI237" s="16"/>
      <c r="AJ237" s="17"/>
      <c r="AK237" s="15" t="s">
        <v>3123</v>
      </c>
      <c r="AL237" s="17"/>
      <c r="AM237" s="16"/>
      <c r="AN237" s="14"/>
      <c r="AO237" s="14"/>
      <c r="AP237" s="15" t="s">
        <v>3123</v>
      </c>
      <c r="AQ237" s="14"/>
      <c r="AR237" s="17"/>
      <c r="AS237" s="16"/>
      <c r="AT237" s="14"/>
      <c r="AU237" s="15" t="s">
        <v>3123</v>
      </c>
      <c r="AV237" s="14"/>
      <c r="AW237" s="17"/>
      <c r="AX237" s="16"/>
      <c r="AY237" s="16"/>
      <c r="AZ237" s="16"/>
      <c r="BA237" s="16"/>
      <c r="BB237" s="15" t="s">
        <v>3123</v>
      </c>
      <c r="BC237" s="17"/>
      <c r="BD237" s="14"/>
      <c r="BE237" s="14"/>
      <c r="BF237" s="16"/>
      <c r="BG237" s="16"/>
      <c r="BH237" s="13"/>
      <c r="BI237" s="18" t="s">
        <v>7904</v>
      </c>
      <c r="BJ237" s="13">
        <v>200</v>
      </c>
      <c r="BK237" s="17">
        <v>44123</v>
      </c>
      <c r="BL237" s="18"/>
      <c r="BM237" s="18" t="s">
        <v>7905</v>
      </c>
      <c r="BN237" s="18" t="s">
        <v>7906</v>
      </c>
      <c r="BO237" s="18"/>
      <c r="BP237" s="14" t="s">
        <v>7907</v>
      </c>
      <c r="BQ237" s="17">
        <v>43889</v>
      </c>
      <c r="BR237" s="16"/>
      <c r="BS237" s="17"/>
      <c r="BT237" s="16"/>
      <c r="BU237" s="17"/>
      <c r="BV237" s="16"/>
      <c r="BW237" s="17"/>
      <c r="BX237" s="16"/>
      <c r="BY237" s="17"/>
      <c r="BZ237" s="19">
        <v>17.248171785481478</v>
      </c>
      <c r="CA237" s="19"/>
      <c r="CB237" s="17"/>
      <c r="CC237" s="14" t="s">
        <v>5247</v>
      </c>
      <c r="CD237" s="14" t="s">
        <v>5753</v>
      </c>
      <c r="CE237" s="14" t="s">
        <v>5004</v>
      </c>
    </row>
    <row r="238" spans="1:83" ht="26.15" customHeight="1">
      <c r="A238" s="13">
        <v>232</v>
      </c>
      <c r="B238" s="14" t="s">
        <v>1607</v>
      </c>
      <c r="C238" s="14" t="s">
        <v>1608</v>
      </c>
      <c r="D238" s="14" t="s">
        <v>1611</v>
      </c>
      <c r="E238" s="13">
        <v>2015</v>
      </c>
      <c r="F238" s="14" t="s">
        <v>7908</v>
      </c>
      <c r="G238" s="14" t="s">
        <v>7909</v>
      </c>
      <c r="H238" s="14" t="s">
        <v>1740</v>
      </c>
      <c r="I238" s="15" t="s">
        <v>3117</v>
      </c>
      <c r="J238" s="16"/>
      <c r="K238" s="17">
        <v>43252</v>
      </c>
      <c r="L238" s="16"/>
      <c r="M238" s="16" t="s">
        <v>50</v>
      </c>
      <c r="N238" s="14" t="s">
        <v>34</v>
      </c>
      <c r="O238" s="13">
        <v>3</v>
      </c>
      <c r="P238" s="17">
        <v>44011</v>
      </c>
      <c r="Q238" s="14"/>
      <c r="R238" s="17"/>
      <c r="S238" s="17"/>
      <c r="T238" s="14" t="s">
        <v>5442</v>
      </c>
      <c r="U238" s="14" t="s">
        <v>6980</v>
      </c>
      <c r="V238" s="14" t="s">
        <v>7910</v>
      </c>
      <c r="W238" s="14"/>
      <c r="X238" s="14" t="s">
        <v>1609</v>
      </c>
      <c r="Y238" s="14"/>
      <c r="Z238" s="14" t="s">
        <v>7911</v>
      </c>
      <c r="AA238" s="14"/>
      <c r="AB238" s="14" t="s">
        <v>1740</v>
      </c>
      <c r="AC238" s="14"/>
      <c r="AD238" s="14"/>
      <c r="AE238" s="14" t="s">
        <v>7912</v>
      </c>
      <c r="AF238" s="14" t="s">
        <v>7913</v>
      </c>
      <c r="AG238" s="14" t="s">
        <v>7914</v>
      </c>
      <c r="AH238" s="18"/>
      <c r="AI238" s="16"/>
      <c r="AJ238" s="17"/>
      <c r="AK238" s="15" t="s">
        <v>3123</v>
      </c>
      <c r="AL238" s="17"/>
      <c r="AM238" s="16"/>
      <c r="AN238" s="14"/>
      <c r="AO238" s="14"/>
      <c r="AP238" s="15" t="s">
        <v>3123</v>
      </c>
      <c r="AQ238" s="14"/>
      <c r="AR238" s="17"/>
      <c r="AS238" s="16"/>
      <c r="AT238" s="14"/>
      <c r="AU238" s="15" t="s">
        <v>3123</v>
      </c>
      <c r="AV238" s="14"/>
      <c r="AW238" s="17"/>
      <c r="AX238" s="16"/>
      <c r="AY238" s="16"/>
      <c r="AZ238" s="16"/>
      <c r="BA238" s="16"/>
      <c r="BB238" s="15" t="s">
        <v>3123</v>
      </c>
      <c r="BC238" s="17"/>
      <c r="BD238" s="14"/>
      <c r="BE238" s="14"/>
      <c r="BF238" s="16"/>
      <c r="BG238" s="16"/>
      <c r="BH238" s="13"/>
      <c r="BI238" s="18" t="s">
        <v>7915</v>
      </c>
      <c r="BJ238" s="13">
        <v>200</v>
      </c>
      <c r="BK238" s="17">
        <v>44123</v>
      </c>
      <c r="BL238" s="18"/>
      <c r="BM238" s="18" t="s">
        <v>7916</v>
      </c>
      <c r="BN238" s="18"/>
      <c r="BO238" s="18"/>
      <c r="BP238" s="14" t="s">
        <v>7917</v>
      </c>
      <c r="BQ238" s="17">
        <v>43031</v>
      </c>
      <c r="BR238" s="16"/>
      <c r="BS238" s="17"/>
      <c r="BT238" s="16"/>
      <c r="BU238" s="17"/>
      <c r="BV238" s="16"/>
      <c r="BW238" s="17"/>
      <c r="BX238" s="16"/>
      <c r="BY238" s="17"/>
      <c r="BZ238" s="19">
        <v>33.473307672322477</v>
      </c>
      <c r="CA238" s="19"/>
      <c r="CB238" s="17"/>
      <c r="CC238" s="14" t="s">
        <v>5541</v>
      </c>
      <c r="CD238" s="14" t="s">
        <v>6523</v>
      </c>
      <c r="CE238" s="14" t="s">
        <v>5945</v>
      </c>
    </row>
    <row r="239" spans="1:83" ht="26.15" customHeight="1">
      <c r="A239" s="13">
        <v>233</v>
      </c>
      <c r="B239" s="14" t="s">
        <v>1802</v>
      </c>
      <c r="C239" s="14" t="s">
        <v>1803</v>
      </c>
      <c r="D239" s="14" t="s">
        <v>1806</v>
      </c>
      <c r="E239" s="13">
        <v>2015</v>
      </c>
      <c r="F239" s="14" t="s">
        <v>5050</v>
      </c>
      <c r="G239" s="14" t="s">
        <v>5050</v>
      </c>
      <c r="H239" s="14" t="s">
        <v>4343</v>
      </c>
      <c r="I239" s="15" t="s">
        <v>3117</v>
      </c>
      <c r="J239" s="16">
        <v>910000</v>
      </c>
      <c r="K239" s="17">
        <v>43160</v>
      </c>
      <c r="L239" s="16" t="s">
        <v>7918</v>
      </c>
      <c r="M239" s="16">
        <v>110000</v>
      </c>
      <c r="N239" s="14" t="s">
        <v>34</v>
      </c>
      <c r="O239" s="13">
        <v>4</v>
      </c>
      <c r="P239" s="17">
        <v>44057</v>
      </c>
      <c r="Q239" s="14"/>
      <c r="R239" s="17"/>
      <c r="S239" s="17"/>
      <c r="T239" s="14" t="s">
        <v>1</v>
      </c>
      <c r="U239" s="14" t="s">
        <v>5007</v>
      </c>
      <c r="V239" s="14" t="s">
        <v>5053</v>
      </c>
      <c r="W239" s="14"/>
      <c r="X239" s="14" t="s">
        <v>7919</v>
      </c>
      <c r="Y239" s="14"/>
      <c r="Z239" s="14" t="s">
        <v>7920</v>
      </c>
      <c r="AA239" s="14"/>
      <c r="AB239" s="14" t="s">
        <v>5319</v>
      </c>
      <c r="AC239" s="14" t="s">
        <v>7921</v>
      </c>
      <c r="AD239" s="14"/>
      <c r="AE239" s="14" t="s">
        <v>7922</v>
      </c>
      <c r="AF239" s="14" t="s">
        <v>7923</v>
      </c>
      <c r="AG239" s="14" t="s">
        <v>7924</v>
      </c>
      <c r="AH239" s="18" t="s">
        <v>7925</v>
      </c>
      <c r="AI239" s="16"/>
      <c r="AJ239" s="17"/>
      <c r="AK239" s="15" t="s">
        <v>3123</v>
      </c>
      <c r="AL239" s="17"/>
      <c r="AM239" s="16"/>
      <c r="AN239" s="14"/>
      <c r="AO239" s="14"/>
      <c r="AP239" s="15" t="s">
        <v>3123</v>
      </c>
      <c r="AQ239" s="14"/>
      <c r="AR239" s="17"/>
      <c r="AS239" s="16"/>
      <c r="AT239" s="14"/>
      <c r="AU239" s="15" t="s">
        <v>3123</v>
      </c>
      <c r="AV239" s="14"/>
      <c r="AW239" s="17"/>
      <c r="AX239" s="16"/>
      <c r="AY239" s="16"/>
      <c r="AZ239" s="16"/>
      <c r="BA239" s="16"/>
      <c r="BB239" s="15" t="s">
        <v>3123</v>
      </c>
      <c r="BC239" s="17"/>
      <c r="BD239" s="14"/>
      <c r="BE239" s="14"/>
      <c r="BF239" s="16"/>
      <c r="BG239" s="16"/>
      <c r="BH239" s="13"/>
      <c r="BI239" s="18" t="s">
        <v>7926</v>
      </c>
      <c r="BJ239" s="13">
        <v>200</v>
      </c>
      <c r="BK239" s="17">
        <v>44123</v>
      </c>
      <c r="BL239" s="18" t="s">
        <v>7927</v>
      </c>
      <c r="BM239" s="18" t="s">
        <v>7928</v>
      </c>
      <c r="BN239" s="18" t="s">
        <v>7929</v>
      </c>
      <c r="BO239" s="18" t="s">
        <v>7930</v>
      </c>
      <c r="BP239" s="14" t="s">
        <v>7931</v>
      </c>
      <c r="BQ239" s="17">
        <v>43973</v>
      </c>
      <c r="BR239" s="16"/>
      <c r="BS239" s="17"/>
      <c r="BT239" s="16"/>
      <c r="BU239" s="17"/>
      <c r="BV239" s="16"/>
      <c r="BW239" s="17"/>
      <c r="BX239" s="16"/>
      <c r="BY239" s="17"/>
      <c r="BZ239" s="19">
        <v>41.457566891446191</v>
      </c>
      <c r="CA239" s="19"/>
      <c r="CB239" s="17"/>
      <c r="CC239" s="14" t="s">
        <v>6797</v>
      </c>
      <c r="CD239" s="14" t="s">
        <v>5205</v>
      </c>
      <c r="CE239" s="14" t="s">
        <v>5004</v>
      </c>
    </row>
    <row r="240" spans="1:83" ht="26.15" customHeight="1">
      <c r="A240" s="13">
        <v>234</v>
      </c>
      <c r="B240" s="14" t="s">
        <v>1854</v>
      </c>
      <c r="C240" s="14" t="s">
        <v>1855</v>
      </c>
      <c r="D240" s="14" t="s">
        <v>1856</v>
      </c>
      <c r="E240" s="13">
        <v>2015</v>
      </c>
      <c r="F240" s="14" t="s">
        <v>5038</v>
      </c>
      <c r="G240" s="14" t="s">
        <v>5039</v>
      </c>
      <c r="H240" s="14" t="s">
        <v>3994</v>
      </c>
      <c r="I240" s="15" t="s">
        <v>3117</v>
      </c>
      <c r="J240" s="16"/>
      <c r="K240" s="17">
        <v>43099</v>
      </c>
      <c r="L240" s="16"/>
      <c r="M240" s="16" t="s">
        <v>50</v>
      </c>
      <c r="N240" s="14" t="s">
        <v>5040</v>
      </c>
      <c r="O240" s="13">
        <v>4</v>
      </c>
      <c r="P240" s="17">
        <v>44033</v>
      </c>
      <c r="Q240" s="14"/>
      <c r="R240" s="17"/>
      <c r="S240" s="17"/>
      <c r="T240" s="14" t="s">
        <v>4995</v>
      </c>
      <c r="U240" s="14" t="s">
        <v>5578</v>
      </c>
      <c r="V240" s="14" t="s">
        <v>7932</v>
      </c>
      <c r="W240" s="14"/>
      <c r="X240" s="14" t="s">
        <v>7933</v>
      </c>
      <c r="Y240" s="14"/>
      <c r="Z240" s="14" t="s">
        <v>7934</v>
      </c>
      <c r="AA240" s="14"/>
      <c r="AB240" s="14" t="s">
        <v>3994</v>
      </c>
      <c r="AC240" s="14"/>
      <c r="AD240" s="14"/>
      <c r="AE240" s="14" t="s">
        <v>7935</v>
      </c>
      <c r="AF240" s="14" t="s">
        <v>7936</v>
      </c>
      <c r="AG240" s="14" t="s">
        <v>7937</v>
      </c>
      <c r="AH240" s="18"/>
      <c r="AI240" s="16">
        <v>316400</v>
      </c>
      <c r="AJ240" s="17">
        <v>43465</v>
      </c>
      <c r="AK240" s="15" t="s">
        <v>3123</v>
      </c>
      <c r="AL240" s="17"/>
      <c r="AM240" s="16"/>
      <c r="AN240" s="14"/>
      <c r="AO240" s="14"/>
      <c r="AP240" s="15" t="s">
        <v>3123</v>
      </c>
      <c r="AQ240" s="14"/>
      <c r="AR240" s="17"/>
      <c r="AS240" s="16"/>
      <c r="AT240" s="14"/>
      <c r="AU240" s="15" t="s">
        <v>3123</v>
      </c>
      <c r="AV240" s="14"/>
      <c r="AW240" s="17"/>
      <c r="AX240" s="16"/>
      <c r="AY240" s="16"/>
      <c r="AZ240" s="16"/>
      <c r="BA240" s="16"/>
      <c r="BB240" s="15" t="s">
        <v>3123</v>
      </c>
      <c r="BC240" s="17"/>
      <c r="BD240" s="14"/>
      <c r="BE240" s="14"/>
      <c r="BF240" s="16"/>
      <c r="BG240" s="16"/>
      <c r="BH240" s="13"/>
      <c r="BI240" s="18" t="s">
        <v>7938</v>
      </c>
      <c r="BJ240" s="13">
        <v>200</v>
      </c>
      <c r="BK240" s="17">
        <v>44123</v>
      </c>
      <c r="BL240" s="18"/>
      <c r="BM240" s="18" t="s">
        <v>7939</v>
      </c>
      <c r="BN240" s="18"/>
      <c r="BO240" s="18"/>
      <c r="BP240" s="14" t="s">
        <v>7940</v>
      </c>
      <c r="BQ240" s="17">
        <v>43021</v>
      </c>
      <c r="BR240" s="16">
        <v>-35200</v>
      </c>
      <c r="BS240" s="17">
        <v>43465</v>
      </c>
      <c r="BT240" s="16">
        <v>-28000</v>
      </c>
      <c r="BU240" s="17">
        <v>43465</v>
      </c>
      <c r="BV240" s="16"/>
      <c r="BW240" s="17"/>
      <c r="BX240" s="16"/>
      <c r="BY240" s="17"/>
      <c r="BZ240" s="19">
        <v>30.089978635775235</v>
      </c>
      <c r="CA240" s="19"/>
      <c r="CB240" s="17"/>
      <c r="CC240" s="14" t="s">
        <v>7606</v>
      </c>
      <c r="CD240" s="14" t="s">
        <v>7607</v>
      </c>
      <c r="CE240" s="14" t="s">
        <v>5945</v>
      </c>
    </row>
    <row r="241" spans="1:83" ht="26.15" customHeight="1">
      <c r="A241" s="13">
        <v>235</v>
      </c>
      <c r="B241" s="14" t="s">
        <v>1946</v>
      </c>
      <c r="C241" s="14" t="s">
        <v>1947</v>
      </c>
      <c r="D241" s="14" t="s">
        <v>1951</v>
      </c>
      <c r="E241" s="13">
        <v>2015</v>
      </c>
      <c r="F241" s="14" t="s">
        <v>5038</v>
      </c>
      <c r="G241" s="14" t="s">
        <v>5039</v>
      </c>
      <c r="H241" s="14" t="s">
        <v>3994</v>
      </c>
      <c r="I241" s="15" t="s">
        <v>3117</v>
      </c>
      <c r="J241" s="16">
        <v>10693115</v>
      </c>
      <c r="K241" s="17">
        <v>43013</v>
      </c>
      <c r="L241" s="16" t="s">
        <v>7941</v>
      </c>
      <c r="M241" s="16">
        <v>8000000</v>
      </c>
      <c r="N241" s="14" t="s">
        <v>109</v>
      </c>
      <c r="O241" s="13">
        <v>4</v>
      </c>
      <c r="P241" s="17">
        <v>44013</v>
      </c>
      <c r="Q241" s="14"/>
      <c r="R241" s="17"/>
      <c r="S241" s="17"/>
      <c r="T241" s="14" t="s">
        <v>5509</v>
      </c>
      <c r="U241" s="14" t="s">
        <v>5510</v>
      </c>
      <c r="V241" s="14" t="s">
        <v>5696</v>
      </c>
      <c r="W241" s="14"/>
      <c r="X241" s="14" t="s">
        <v>7942</v>
      </c>
      <c r="Y241" s="14" t="s">
        <v>7943</v>
      </c>
      <c r="Z241" s="14" t="s">
        <v>7944</v>
      </c>
      <c r="AA241" s="14"/>
      <c r="AB241" s="14" t="s">
        <v>3994</v>
      </c>
      <c r="AC241" s="14" t="s">
        <v>7945</v>
      </c>
      <c r="AD241" s="14" t="s">
        <v>7946</v>
      </c>
      <c r="AE241" s="14" t="s">
        <v>7947</v>
      </c>
      <c r="AF241" s="14" t="s">
        <v>7948</v>
      </c>
      <c r="AG241" s="14" t="s">
        <v>7949</v>
      </c>
      <c r="AH241" s="18" t="s">
        <v>7950</v>
      </c>
      <c r="AI241" s="16">
        <v>3025053.8572877548</v>
      </c>
      <c r="AJ241" s="17">
        <v>43465</v>
      </c>
      <c r="AK241" s="15" t="s">
        <v>3117</v>
      </c>
      <c r="AL241" s="17">
        <v>42181</v>
      </c>
      <c r="AM241" s="16">
        <v>16985</v>
      </c>
      <c r="AN241" s="14" t="s">
        <v>7951</v>
      </c>
      <c r="AO241" s="14"/>
      <c r="AP241" s="15" t="s">
        <v>3123</v>
      </c>
      <c r="AQ241" s="14"/>
      <c r="AR241" s="17"/>
      <c r="AS241" s="16"/>
      <c r="AT241" s="14"/>
      <c r="AU241" s="15" t="s">
        <v>3123</v>
      </c>
      <c r="AV241" s="14"/>
      <c r="AW241" s="17"/>
      <c r="AX241" s="16"/>
      <c r="AY241" s="16"/>
      <c r="AZ241" s="16"/>
      <c r="BA241" s="16"/>
      <c r="BB241" s="15" t="s">
        <v>3123</v>
      </c>
      <c r="BC241" s="17"/>
      <c r="BD241" s="14"/>
      <c r="BE241" s="14"/>
      <c r="BF241" s="16"/>
      <c r="BG241" s="16"/>
      <c r="BH241" s="13"/>
      <c r="BI241" s="18" t="s">
        <v>7952</v>
      </c>
      <c r="BJ241" s="13">
        <v>200</v>
      </c>
      <c r="BK241" s="17">
        <v>44123</v>
      </c>
      <c r="BL241" s="18"/>
      <c r="BM241" s="18"/>
      <c r="BN241" s="18"/>
      <c r="BO241" s="18"/>
      <c r="BP241" s="14" t="s">
        <v>7953</v>
      </c>
      <c r="BQ241" s="17">
        <v>42572</v>
      </c>
      <c r="BR241" s="16">
        <v>-1817777.6512987397</v>
      </c>
      <c r="BS241" s="17">
        <v>43465</v>
      </c>
      <c r="BT241" s="16">
        <v>-1644788.3796747874</v>
      </c>
      <c r="BU241" s="17">
        <v>43465</v>
      </c>
      <c r="BV241" s="16"/>
      <c r="BW241" s="17"/>
      <c r="BX241" s="16">
        <v>36</v>
      </c>
      <c r="BY241" s="17">
        <v>44012</v>
      </c>
      <c r="BZ241" s="19">
        <v>34.208530577255488</v>
      </c>
      <c r="CA241" s="19"/>
      <c r="CB241" s="17"/>
      <c r="CC241" s="14" t="s">
        <v>5345</v>
      </c>
      <c r="CD241" s="14" t="s">
        <v>7221</v>
      </c>
      <c r="CE241" s="14" t="s">
        <v>5945</v>
      </c>
    </row>
    <row r="242" spans="1:83" ht="26.15" customHeight="1">
      <c r="A242" s="13">
        <v>236</v>
      </c>
      <c r="B242" s="14" t="s">
        <v>1846</v>
      </c>
      <c r="C242" s="14" t="s">
        <v>1847</v>
      </c>
      <c r="D242" s="14" t="s">
        <v>1850</v>
      </c>
      <c r="E242" s="13">
        <v>2014</v>
      </c>
      <c r="F242" s="14" t="s">
        <v>5038</v>
      </c>
      <c r="G242" s="14" t="s">
        <v>5039</v>
      </c>
      <c r="H242" s="14" t="s">
        <v>3994</v>
      </c>
      <c r="I242" s="15" t="s">
        <v>3117</v>
      </c>
      <c r="J242" s="16">
        <v>214702</v>
      </c>
      <c r="K242" s="17">
        <v>43104</v>
      </c>
      <c r="L242" s="16" t="s">
        <v>7954</v>
      </c>
      <c r="M242" s="16">
        <v>39403</v>
      </c>
      <c r="N242" s="14" t="s">
        <v>34</v>
      </c>
      <c r="O242" s="13">
        <v>2</v>
      </c>
      <c r="P242" s="17">
        <v>44004</v>
      </c>
      <c r="Q242" s="14"/>
      <c r="R242" s="17"/>
      <c r="S242" s="17"/>
      <c r="T242" s="14" t="s">
        <v>4995</v>
      </c>
      <c r="U242" s="14" t="s">
        <v>4996</v>
      </c>
      <c r="V242" s="14" t="s">
        <v>5418</v>
      </c>
      <c r="W242" s="14"/>
      <c r="X242" s="14" t="s">
        <v>2514</v>
      </c>
      <c r="Y242" s="14" t="s">
        <v>7955</v>
      </c>
      <c r="Z242" s="14" t="s">
        <v>7956</v>
      </c>
      <c r="AA242" s="14"/>
      <c r="AB242" s="14" t="s">
        <v>3994</v>
      </c>
      <c r="AC242" s="14" t="s">
        <v>7957</v>
      </c>
      <c r="AD242" s="14"/>
      <c r="AE242" s="14" t="s">
        <v>7958</v>
      </c>
      <c r="AF242" s="14" t="s">
        <v>7959</v>
      </c>
      <c r="AG242" s="14" t="s">
        <v>7960</v>
      </c>
      <c r="AH242" s="18"/>
      <c r="AI242" s="16">
        <v>303</v>
      </c>
      <c r="AJ242" s="17">
        <v>42004</v>
      </c>
      <c r="AK242" s="15" t="s">
        <v>3117</v>
      </c>
      <c r="AL242" s="17">
        <v>41990</v>
      </c>
      <c r="AM242" s="16">
        <v>1566</v>
      </c>
      <c r="AN242" s="14" t="s">
        <v>7961</v>
      </c>
      <c r="AO242" s="14"/>
      <c r="AP242" s="15" t="s">
        <v>3123</v>
      </c>
      <c r="AQ242" s="14"/>
      <c r="AR242" s="17"/>
      <c r="AS242" s="16"/>
      <c r="AT242" s="14"/>
      <c r="AU242" s="15" t="s">
        <v>3123</v>
      </c>
      <c r="AV242" s="14"/>
      <c r="AW242" s="17"/>
      <c r="AX242" s="16"/>
      <c r="AY242" s="16"/>
      <c r="AZ242" s="16"/>
      <c r="BA242" s="16"/>
      <c r="BB242" s="15" t="s">
        <v>3123</v>
      </c>
      <c r="BC242" s="17"/>
      <c r="BD242" s="14"/>
      <c r="BE242" s="14"/>
      <c r="BF242" s="16"/>
      <c r="BG242" s="16"/>
      <c r="BH242" s="13"/>
      <c r="BI242" s="18" t="s">
        <v>7962</v>
      </c>
      <c r="BJ242" s="13">
        <v>521</v>
      </c>
      <c r="BK242" s="17">
        <v>44123</v>
      </c>
      <c r="BL242" s="18"/>
      <c r="BM242" s="18" t="s">
        <v>7963</v>
      </c>
      <c r="BN242" s="18" t="s">
        <v>7964</v>
      </c>
      <c r="BO242" s="18"/>
      <c r="BP242" s="14" t="s">
        <v>7965</v>
      </c>
      <c r="BQ242" s="17">
        <v>42685</v>
      </c>
      <c r="BR242" s="16">
        <v>-11400</v>
      </c>
      <c r="BS242" s="17">
        <v>42004</v>
      </c>
      <c r="BT242" s="16">
        <v>-10400</v>
      </c>
      <c r="BU242" s="17">
        <v>42004</v>
      </c>
      <c r="BV242" s="16"/>
      <c r="BW242" s="17"/>
      <c r="BX242" s="16"/>
      <c r="BY242" s="17"/>
      <c r="BZ242" s="19">
        <v>19.927879732593524</v>
      </c>
      <c r="CA242" s="19"/>
      <c r="CB242" s="17"/>
      <c r="CC242" s="14" t="s">
        <v>5082</v>
      </c>
      <c r="CD242" s="14"/>
      <c r="CE242" s="14" t="s">
        <v>7966</v>
      </c>
    </row>
    <row r="243" spans="1:83" ht="26.15" customHeight="1">
      <c r="A243" s="13">
        <v>237</v>
      </c>
      <c r="B243" s="14" t="s">
        <v>512</v>
      </c>
      <c r="C243" s="14" t="s">
        <v>513</v>
      </c>
      <c r="D243" s="14" t="s">
        <v>517</v>
      </c>
      <c r="E243" s="13">
        <v>2014</v>
      </c>
      <c r="F243" s="14" t="s">
        <v>7967</v>
      </c>
      <c r="G243" s="14" t="s">
        <v>5190</v>
      </c>
      <c r="H243" s="14" t="s">
        <v>1258</v>
      </c>
      <c r="I243" s="15" t="s">
        <v>3117</v>
      </c>
      <c r="J243" s="16">
        <v>400000</v>
      </c>
      <c r="K243" s="17">
        <v>43901</v>
      </c>
      <c r="L243" s="16" t="s">
        <v>5252</v>
      </c>
      <c r="M243" s="16">
        <v>100000</v>
      </c>
      <c r="N243" s="14" t="s">
        <v>34</v>
      </c>
      <c r="O243" s="13">
        <v>4</v>
      </c>
      <c r="P243" s="17">
        <v>43983</v>
      </c>
      <c r="Q243" s="14"/>
      <c r="R243" s="17"/>
      <c r="S243" s="17"/>
      <c r="T243" s="14" t="s">
        <v>6496</v>
      </c>
      <c r="U243" s="14" t="s">
        <v>6497</v>
      </c>
      <c r="V243" s="14" t="s">
        <v>7968</v>
      </c>
      <c r="W243" s="14"/>
      <c r="X243" s="14" t="s">
        <v>7969</v>
      </c>
      <c r="Y243" s="14"/>
      <c r="Z243" s="14" t="s">
        <v>7970</v>
      </c>
      <c r="AA243" s="14"/>
      <c r="AB243" s="14" t="s">
        <v>1258</v>
      </c>
      <c r="AC243" s="14" t="s">
        <v>7971</v>
      </c>
      <c r="AD243" s="14" t="s">
        <v>7972</v>
      </c>
      <c r="AE243" s="14" t="s">
        <v>7973</v>
      </c>
      <c r="AF243" s="14" t="s">
        <v>7974</v>
      </c>
      <c r="AG243" s="14" t="s">
        <v>7975</v>
      </c>
      <c r="AH243" s="18"/>
      <c r="AI243" s="16"/>
      <c r="AJ243" s="17"/>
      <c r="AK243" s="15" t="s">
        <v>3123</v>
      </c>
      <c r="AL243" s="17"/>
      <c r="AM243" s="16"/>
      <c r="AN243" s="14"/>
      <c r="AO243" s="14"/>
      <c r="AP243" s="15" t="s">
        <v>3123</v>
      </c>
      <c r="AQ243" s="14"/>
      <c r="AR243" s="17"/>
      <c r="AS243" s="16"/>
      <c r="AT243" s="14"/>
      <c r="AU243" s="15" t="s">
        <v>3123</v>
      </c>
      <c r="AV243" s="14"/>
      <c r="AW243" s="17"/>
      <c r="AX243" s="16"/>
      <c r="AY243" s="16"/>
      <c r="AZ243" s="16"/>
      <c r="BA243" s="16"/>
      <c r="BB243" s="15" t="s">
        <v>3123</v>
      </c>
      <c r="BC243" s="17"/>
      <c r="BD243" s="14"/>
      <c r="BE243" s="14"/>
      <c r="BF243" s="16"/>
      <c r="BG243" s="16"/>
      <c r="BH243" s="13"/>
      <c r="BI243" s="18" t="s">
        <v>7976</v>
      </c>
      <c r="BJ243" s="13">
        <v>200</v>
      </c>
      <c r="BK243" s="17">
        <v>44123</v>
      </c>
      <c r="BL243" s="18" t="s">
        <v>7977</v>
      </c>
      <c r="BM243" s="18" t="s">
        <v>7978</v>
      </c>
      <c r="BN243" s="18" t="s">
        <v>7979</v>
      </c>
      <c r="BO243" s="18" t="s">
        <v>7980</v>
      </c>
      <c r="BP243" s="14" t="s">
        <v>7981</v>
      </c>
      <c r="BQ243" s="17">
        <v>42929</v>
      </c>
      <c r="BR243" s="16"/>
      <c r="BS243" s="17"/>
      <c r="BT243" s="16"/>
      <c r="BU243" s="17"/>
      <c r="BV243" s="16"/>
      <c r="BW243" s="17"/>
      <c r="BX243" s="16"/>
      <c r="BY243" s="17"/>
      <c r="BZ243" s="19">
        <v>45.623742774585004</v>
      </c>
      <c r="CA243" s="19"/>
      <c r="CB243" s="17"/>
      <c r="CC243" s="14" t="s">
        <v>7259</v>
      </c>
      <c r="CD243" s="14" t="s">
        <v>5962</v>
      </c>
      <c r="CE243" s="14" t="s">
        <v>6074</v>
      </c>
    </row>
    <row r="244" spans="1:83" ht="26.15" customHeight="1">
      <c r="A244" s="13">
        <v>238</v>
      </c>
      <c r="B244" s="14" t="s">
        <v>628</v>
      </c>
      <c r="C244" s="14" t="s">
        <v>629</v>
      </c>
      <c r="D244" s="14" t="s">
        <v>632</v>
      </c>
      <c r="E244" s="13">
        <v>2015</v>
      </c>
      <c r="F244" s="14" t="s">
        <v>5038</v>
      </c>
      <c r="G244" s="14" t="s">
        <v>5039</v>
      </c>
      <c r="H244" s="14" t="s">
        <v>3994</v>
      </c>
      <c r="I244" s="15" t="s">
        <v>3117</v>
      </c>
      <c r="J244" s="16">
        <v>94500000</v>
      </c>
      <c r="K244" s="17">
        <v>43815</v>
      </c>
      <c r="L244" s="16" t="s">
        <v>7790</v>
      </c>
      <c r="M244" s="16">
        <v>30000000</v>
      </c>
      <c r="N244" s="14" t="s">
        <v>627</v>
      </c>
      <c r="O244" s="13">
        <v>5</v>
      </c>
      <c r="P244" s="17">
        <v>44033</v>
      </c>
      <c r="Q244" s="14" t="s">
        <v>5544</v>
      </c>
      <c r="R244" s="17">
        <v>43829</v>
      </c>
      <c r="S244" s="17">
        <v>43369</v>
      </c>
      <c r="T244" s="14" t="s">
        <v>4995</v>
      </c>
      <c r="U244" s="14" t="s">
        <v>4996</v>
      </c>
      <c r="V244" s="14" t="s">
        <v>5418</v>
      </c>
      <c r="W244" s="14"/>
      <c r="X244" s="14" t="s">
        <v>7982</v>
      </c>
      <c r="Y244" s="14" t="s">
        <v>7983</v>
      </c>
      <c r="Z244" s="14" t="s">
        <v>7984</v>
      </c>
      <c r="AA244" s="14"/>
      <c r="AB244" s="14" t="s">
        <v>3994</v>
      </c>
      <c r="AC244" s="14" t="s">
        <v>7985</v>
      </c>
      <c r="AD244" s="14" t="s">
        <v>7986</v>
      </c>
      <c r="AE244" s="14" t="s">
        <v>7987</v>
      </c>
      <c r="AF244" s="14" t="s">
        <v>7988</v>
      </c>
      <c r="AG244" s="14" t="s">
        <v>7989</v>
      </c>
      <c r="AH244" s="18"/>
      <c r="AI244" s="16">
        <v>9133000</v>
      </c>
      <c r="AJ244" s="17">
        <v>43465</v>
      </c>
      <c r="AK244" s="15" t="s">
        <v>3117</v>
      </c>
      <c r="AL244" s="17">
        <v>42137</v>
      </c>
      <c r="AM244" s="16">
        <v>1555</v>
      </c>
      <c r="AN244" s="14" t="s">
        <v>7990</v>
      </c>
      <c r="AO244" s="14"/>
      <c r="AP244" s="15" t="s">
        <v>3123</v>
      </c>
      <c r="AQ244" s="14"/>
      <c r="AR244" s="17"/>
      <c r="AS244" s="16"/>
      <c r="AT244" s="14"/>
      <c r="AU244" s="15" t="s">
        <v>3123</v>
      </c>
      <c r="AV244" s="14"/>
      <c r="AW244" s="17"/>
      <c r="AX244" s="16"/>
      <c r="AY244" s="16"/>
      <c r="AZ244" s="16"/>
      <c r="BA244" s="16"/>
      <c r="BB244" s="15" t="s">
        <v>3123</v>
      </c>
      <c r="BC244" s="17"/>
      <c r="BD244" s="14"/>
      <c r="BE244" s="14"/>
      <c r="BF244" s="16"/>
      <c r="BG244" s="16"/>
      <c r="BH244" s="13"/>
      <c r="BI244" s="18" t="s">
        <v>7991</v>
      </c>
      <c r="BJ244" s="13">
        <v>200</v>
      </c>
      <c r="BK244" s="17">
        <v>44123</v>
      </c>
      <c r="BL244" s="18" t="s">
        <v>7992</v>
      </c>
      <c r="BM244" s="18" t="s">
        <v>7993</v>
      </c>
      <c r="BN244" s="18" t="s">
        <v>7994</v>
      </c>
      <c r="BO244" s="18" t="s">
        <v>7995</v>
      </c>
      <c r="BP244" s="14" t="s">
        <v>7996</v>
      </c>
      <c r="BQ244" s="17">
        <v>42535</v>
      </c>
      <c r="BR244" s="16">
        <v>-9494600</v>
      </c>
      <c r="BS244" s="17">
        <v>43465</v>
      </c>
      <c r="BT244" s="16">
        <v>-9015700</v>
      </c>
      <c r="BU244" s="17">
        <v>43465</v>
      </c>
      <c r="BV244" s="16">
        <v>300000000</v>
      </c>
      <c r="BW244" s="17">
        <v>43819</v>
      </c>
      <c r="BX244" s="16">
        <v>1814</v>
      </c>
      <c r="BY244" s="17">
        <v>44012</v>
      </c>
      <c r="BZ244" s="19">
        <v>74.588492157169654</v>
      </c>
      <c r="CA244" s="19"/>
      <c r="CB244" s="17"/>
      <c r="CC244" s="14" t="s">
        <v>6487</v>
      </c>
      <c r="CD244" s="14" t="s">
        <v>7997</v>
      </c>
      <c r="CE244" s="14" t="s">
        <v>7998</v>
      </c>
    </row>
    <row r="245" spans="1:83" ht="26.15" customHeight="1">
      <c r="A245" s="13">
        <v>239</v>
      </c>
      <c r="B245" s="14" t="s">
        <v>1990</v>
      </c>
      <c r="C245" s="14" t="s">
        <v>1991</v>
      </c>
      <c r="D245" s="14" t="s">
        <v>1992</v>
      </c>
      <c r="E245" s="13">
        <v>2014</v>
      </c>
      <c r="F245" s="14" t="s">
        <v>5038</v>
      </c>
      <c r="G245" s="14" t="s">
        <v>5039</v>
      </c>
      <c r="H245" s="14" t="s">
        <v>3994</v>
      </c>
      <c r="I245" s="15" t="s">
        <v>3117</v>
      </c>
      <c r="J245" s="16"/>
      <c r="K245" s="17">
        <v>42977</v>
      </c>
      <c r="L245" s="16"/>
      <c r="M245" s="16" t="s">
        <v>50</v>
      </c>
      <c r="N245" s="14" t="s">
        <v>34</v>
      </c>
      <c r="O245" s="13">
        <v>3</v>
      </c>
      <c r="P245" s="17">
        <v>44003</v>
      </c>
      <c r="Q245" s="14"/>
      <c r="R245" s="17"/>
      <c r="S245" s="17"/>
      <c r="T245" s="14" t="s">
        <v>5976</v>
      </c>
      <c r="U245" s="14" t="s">
        <v>7999</v>
      </c>
      <c r="V245" s="14" t="s">
        <v>8000</v>
      </c>
      <c r="W245" s="14"/>
      <c r="X245" s="14" t="s">
        <v>8001</v>
      </c>
      <c r="Y245" s="14"/>
      <c r="Z245" s="14" t="s">
        <v>8002</v>
      </c>
      <c r="AA245" s="14"/>
      <c r="AB245" s="14" t="s">
        <v>3994</v>
      </c>
      <c r="AC245" s="14"/>
      <c r="AD245" s="14"/>
      <c r="AE245" s="14" t="s">
        <v>8003</v>
      </c>
      <c r="AF245" s="14" t="s">
        <v>8004</v>
      </c>
      <c r="AG245" s="14" t="s">
        <v>8005</v>
      </c>
      <c r="AH245" s="18" t="s">
        <v>8006</v>
      </c>
      <c r="AI245" s="16">
        <v>9</v>
      </c>
      <c r="AJ245" s="17">
        <v>43465</v>
      </c>
      <c r="AK245" s="15" t="s">
        <v>3117</v>
      </c>
      <c r="AL245" s="17">
        <v>41851</v>
      </c>
      <c r="AM245" s="16">
        <v>9966</v>
      </c>
      <c r="AN245" s="14" t="s">
        <v>8007</v>
      </c>
      <c r="AO245" s="14"/>
      <c r="AP245" s="15" t="s">
        <v>3123</v>
      </c>
      <c r="AQ245" s="14"/>
      <c r="AR245" s="17"/>
      <c r="AS245" s="16"/>
      <c r="AT245" s="14"/>
      <c r="AU245" s="15" t="s">
        <v>3123</v>
      </c>
      <c r="AV245" s="14"/>
      <c r="AW245" s="17"/>
      <c r="AX245" s="16"/>
      <c r="AY245" s="16"/>
      <c r="AZ245" s="16"/>
      <c r="BA245" s="16"/>
      <c r="BB245" s="15" t="s">
        <v>3123</v>
      </c>
      <c r="BC245" s="17"/>
      <c r="BD245" s="14"/>
      <c r="BE245" s="14"/>
      <c r="BF245" s="16"/>
      <c r="BG245" s="16"/>
      <c r="BH245" s="13"/>
      <c r="BI245" s="18" t="s">
        <v>8008</v>
      </c>
      <c r="BJ245" s="13">
        <v>200</v>
      </c>
      <c r="BK245" s="17">
        <v>44137</v>
      </c>
      <c r="BL245" s="18" t="s">
        <v>8009</v>
      </c>
      <c r="BM245" s="18"/>
      <c r="BN245" s="18" t="s">
        <v>8010</v>
      </c>
      <c r="BO245" s="18"/>
      <c r="BP245" s="14" t="s">
        <v>8011</v>
      </c>
      <c r="BQ245" s="17">
        <v>42614</v>
      </c>
      <c r="BR245" s="16">
        <v>-8700</v>
      </c>
      <c r="BS245" s="17">
        <v>43465</v>
      </c>
      <c r="BT245" s="16">
        <v>-9500</v>
      </c>
      <c r="BU245" s="17">
        <v>43465</v>
      </c>
      <c r="BV245" s="16"/>
      <c r="BW245" s="17"/>
      <c r="BX245" s="16"/>
      <c r="BY245" s="17"/>
      <c r="BZ245" s="19">
        <v>22.414119982037011</v>
      </c>
      <c r="CA245" s="19"/>
      <c r="CB245" s="17"/>
      <c r="CC245" s="14" t="s">
        <v>7647</v>
      </c>
      <c r="CD245" s="14" t="s">
        <v>7249</v>
      </c>
      <c r="CE245" s="14" t="s">
        <v>5620</v>
      </c>
    </row>
    <row r="246" spans="1:83" ht="26.15" customHeight="1">
      <c r="A246" s="13">
        <v>240</v>
      </c>
      <c r="B246" s="14" t="s">
        <v>1780</v>
      </c>
      <c r="C246" s="14" t="s">
        <v>1781</v>
      </c>
      <c r="D246" s="14" t="s">
        <v>1782</v>
      </c>
      <c r="E246" s="13">
        <v>2005</v>
      </c>
      <c r="F246" s="14" t="s">
        <v>5719</v>
      </c>
      <c r="G246" s="14" t="s">
        <v>5720</v>
      </c>
      <c r="H246" s="14" t="s">
        <v>2057</v>
      </c>
      <c r="I246" s="15" t="s">
        <v>3117</v>
      </c>
      <c r="J246" s="16"/>
      <c r="K246" s="17">
        <v>43173</v>
      </c>
      <c r="L246" s="16"/>
      <c r="M246" s="16" t="s">
        <v>50</v>
      </c>
      <c r="N246" s="14" t="s">
        <v>34</v>
      </c>
      <c r="O246" s="13"/>
      <c r="P246" s="17"/>
      <c r="Q246" s="14"/>
      <c r="R246" s="17"/>
      <c r="S246" s="17"/>
      <c r="T246" s="14" t="s">
        <v>1</v>
      </c>
      <c r="U246" s="14" t="s">
        <v>5084</v>
      </c>
      <c r="V246" s="14" t="s">
        <v>1783</v>
      </c>
      <c r="W246" s="14"/>
      <c r="X246" s="14"/>
      <c r="Y246" s="14"/>
      <c r="Z246" s="14" t="s">
        <v>8012</v>
      </c>
      <c r="AA246" s="14"/>
      <c r="AB246" s="14" t="s">
        <v>2057</v>
      </c>
      <c r="AC246" s="14" t="s">
        <v>8013</v>
      </c>
      <c r="AD246" s="14"/>
      <c r="AE246" s="14"/>
      <c r="AF246" s="14"/>
      <c r="AG246" s="14"/>
      <c r="AH246" s="18" t="s">
        <v>8014</v>
      </c>
      <c r="AI246" s="16"/>
      <c r="AJ246" s="17"/>
      <c r="AK246" s="15" t="s">
        <v>3123</v>
      </c>
      <c r="AL246" s="17"/>
      <c r="AM246" s="16"/>
      <c r="AN246" s="14"/>
      <c r="AO246" s="14"/>
      <c r="AP246" s="15" t="s">
        <v>3123</v>
      </c>
      <c r="AQ246" s="14"/>
      <c r="AR246" s="17"/>
      <c r="AS246" s="16"/>
      <c r="AT246" s="14"/>
      <c r="AU246" s="15" t="s">
        <v>3123</v>
      </c>
      <c r="AV246" s="14"/>
      <c r="AW246" s="17"/>
      <c r="AX246" s="16"/>
      <c r="AY246" s="16"/>
      <c r="AZ246" s="16"/>
      <c r="BA246" s="16"/>
      <c r="BB246" s="15" t="s">
        <v>3123</v>
      </c>
      <c r="BC246" s="17"/>
      <c r="BD246" s="14"/>
      <c r="BE246" s="14"/>
      <c r="BF246" s="16"/>
      <c r="BG246" s="16"/>
      <c r="BH246" s="13"/>
      <c r="BI246" s="18" t="s">
        <v>8015</v>
      </c>
      <c r="BJ246" s="13">
        <v>200</v>
      </c>
      <c r="BK246" s="17">
        <v>44123</v>
      </c>
      <c r="BL246" s="18" t="s">
        <v>8016</v>
      </c>
      <c r="BM246" s="18"/>
      <c r="BN246" s="18"/>
      <c r="BO246" s="18"/>
      <c r="BP246" s="14" t="s">
        <v>8017</v>
      </c>
      <c r="BQ246" s="17">
        <v>42891</v>
      </c>
      <c r="BR246" s="16"/>
      <c r="BS246" s="17"/>
      <c r="BT246" s="16"/>
      <c r="BU246" s="17"/>
      <c r="BV246" s="16"/>
      <c r="BW246" s="17"/>
      <c r="BX246" s="16"/>
      <c r="BY246" s="17"/>
      <c r="BZ246" s="19">
        <v>10.385512958658749</v>
      </c>
      <c r="CA246" s="19"/>
      <c r="CB246" s="17"/>
      <c r="CC246" s="14" t="s">
        <v>5345</v>
      </c>
      <c r="CD246" s="14" t="s">
        <v>7272</v>
      </c>
      <c r="CE246" s="14" t="s">
        <v>5945</v>
      </c>
    </row>
    <row r="247" spans="1:83" ht="26.15" customHeight="1">
      <c r="A247" s="13">
        <v>241</v>
      </c>
      <c r="B247" s="14" t="s">
        <v>1742</v>
      </c>
      <c r="C247" s="14" t="s">
        <v>1743</v>
      </c>
      <c r="D247" s="14" t="s">
        <v>1746</v>
      </c>
      <c r="E247" s="13">
        <v>2014</v>
      </c>
      <c r="F247" s="14" t="s">
        <v>8018</v>
      </c>
      <c r="G247" s="14" t="s">
        <v>8019</v>
      </c>
      <c r="H247" s="14" t="s">
        <v>5208</v>
      </c>
      <c r="I247" s="15" t="s">
        <v>3117</v>
      </c>
      <c r="J247" s="16">
        <v>885610</v>
      </c>
      <c r="K247" s="17">
        <v>43203</v>
      </c>
      <c r="L247" s="16" t="s">
        <v>8020</v>
      </c>
      <c r="M247" s="16">
        <v>885610</v>
      </c>
      <c r="N247" s="14" t="s">
        <v>109</v>
      </c>
      <c r="O247" s="13">
        <v>4</v>
      </c>
      <c r="P247" s="17">
        <v>44082</v>
      </c>
      <c r="Q247" s="14"/>
      <c r="R247" s="17"/>
      <c r="S247" s="17"/>
      <c r="T247" s="14" t="s">
        <v>1</v>
      </c>
      <c r="U247" s="14" t="s">
        <v>5084</v>
      </c>
      <c r="V247" s="14" t="s">
        <v>6268</v>
      </c>
      <c r="W247" s="14"/>
      <c r="X247" s="14" t="s">
        <v>8021</v>
      </c>
      <c r="Y247" s="14"/>
      <c r="Z247" s="14" t="s">
        <v>8022</v>
      </c>
      <c r="AA247" s="14"/>
      <c r="AB247" s="14" t="s">
        <v>5208</v>
      </c>
      <c r="AC247" s="14"/>
      <c r="AD247" s="14"/>
      <c r="AE247" s="14" t="s">
        <v>8023</v>
      </c>
      <c r="AF247" s="14" t="s">
        <v>8024</v>
      </c>
      <c r="AG247" s="14" t="s">
        <v>8025</v>
      </c>
      <c r="AH247" s="18" t="s">
        <v>8026</v>
      </c>
      <c r="AI247" s="16"/>
      <c r="AJ247" s="17"/>
      <c r="AK247" s="15" t="s">
        <v>3123</v>
      </c>
      <c r="AL247" s="17"/>
      <c r="AM247" s="16"/>
      <c r="AN247" s="14"/>
      <c r="AO247" s="14"/>
      <c r="AP247" s="15" t="s">
        <v>3123</v>
      </c>
      <c r="AQ247" s="14"/>
      <c r="AR247" s="17"/>
      <c r="AS247" s="16"/>
      <c r="AT247" s="14"/>
      <c r="AU247" s="15" t="s">
        <v>3123</v>
      </c>
      <c r="AV247" s="14"/>
      <c r="AW247" s="17"/>
      <c r="AX247" s="16"/>
      <c r="AY247" s="16"/>
      <c r="AZ247" s="16"/>
      <c r="BA247" s="16"/>
      <c r="BB247" s="15" t="s">
        <v>3123</v>
      </c>
      <c r="BC247" s="17"/>
      <c r="BD247" s="14"/>
      <c r="BE247" s="14"/>
      <c r="BF247" s="16"/>
      <c r="BG247" s="16"/>
      <c r="BH247" s="13"/>
      <c r="BI247" s="18" t="s">
        <v>8027</v>
      </c>
      <c r="BJ247" s="13">
        <v>200</v>
      </c>
      <c r="BK247" s="17">
        <v>44123</v>
      </c>
      <c r="BL247" s="18" t="s">
        <v>8028</v>
      </c>
      <c r="BM247" s="18" t="s">
        <v>8029</v>
      </c>
      <c r="BN247" s="18" t="s">
        <v>8030</v>
      </c>
      <c r="BO247" s="18"/>
      <c r="BP247" s="14" t="s">
        <v>8031</v>
      </c>
      <c r="BQ247" s="17">
        <v>42891</v>
      </c>
      <c r="BR247" s="16"/>
      <c r="BS247" s="17"/>
      <c r="BT247" s="16"/>
      <c r="BU247" s="17"/>
      <c r="BV247" s="16"/>
      <c r="BW247" s="17"/>
      <c r="BX247" s="16"/>
      <c r="BY247" s="17"/>
      <c r="BZ247" s="19">
        <v>43.34723423506157</v>
      </c>
      <c r="CA247" s="19"/>
      <c r="CB247" s="17"/>
      <c r="CC247" s="14" t="s">
        <v>7284</v>
      </c>
      <c r="CD247" s="14" t="s">
        <v>6002</v>
      </c>
      <c r="CE247" s="14" t="s">
        <v>5945</v>
      </c>
    </row>
    <row r="248" spans="1:83" ht="26.15" customHeight="1">
      <c r="A248" s="13">
        <v>242</v>
      </c>
      <c r="B248" s="14" t="s">
        <v>1322</v>
      </c>
      <c r="C248" s="14" t="s">
        <v>1323</v>
      </c>
      <c r="D248" s="14" t="s">
        <v>1327</v>
      </c>
      <c r="E248" s="13">
        <v>2010</v>
      </c>
      <c r="F248" s="14" t="s">
        <v>8032</v>
      </c>
      <c r="G248" s="14" t="s">
        <v>8033</v>
      </c>
      <c r="H248" s="14" t="s">
        <v>5208</v>
      </c>
      <c r="I248" s="15" t="s">
        <v>3117</v>
      </c>
      <c r="J248" s="16">
        <v>778495</v>
      </c>
      <c r="K248" s="17">
        <v>43434</v>
      </c>
      <c r="L248" s="16" t="s">
        <v>8034</v>
      </c>
      <c r="M248" s="16">
        <v>778495</v>
      </c>
      <c r="N248" s="14" t="s">
        <v>34</v>
      </c>
      <c r="O248" s="13">
        <v>3</v>
      </c>
      <c r="P248" s="17">
        <v>43992</v>
      </c>
      <c r="Q248" s="14"/>
      <c r="R248" s="17"/>
      <c r="S248" s="17"/>
      <c r="T248" s="14" t="s">
        <v>8035</v>
      </c>
      <c r="U248" s="14" t="s">
        <v>8036</v>
      </c>
      <c r="V248" s="14" t="s">
        <v>8037</v>
      </c>
      <c r="W248" s="14"/>
      <c r="X248" s="14" t="s">
        <v>1325</v>
      </c>
      <c r="Y248" s="14"/>
      <c r="Z248" s="14" t="s">
        <v>8038</v>
      </c>
      <c r="AA248" s="14"/>
      <c r="AB248" s="14" t="s">
        <v>5208</v>
      </c>
      <c r="AC248" s="14" t="s">
        <v>8039</v>
      </c>
      <c r="AD248" s="14" t="s">
        <v>8040</v>
      </c>
      <c r="AE248" s="14" t="s">
        <v>8041</v>
      </c>
      <c r="AF248" s="14" t="s">
        <v>8042</v>
      </c>
      <c r="AG248" s="14" t="s">
        <v>8043</v>
      </c>
      <c r="AH248" s="18" t="s">
        <v>8044</v>
      </c>
      <c r="AI248" s="16"/>
      <c r="AJ248" s="17"/>
      <c r="AK248" s="15" t="s">
        <v>3123</v>
      </c>
      <c r="AL248" s="17"/>
      <c r="AM248" s="16"/>
      <c r="AN248" s="14"/>
      <c r="AO248" s="14"/>
      <c r="AP248" s="15" t="s">
        <v>3123</v>
      </c>
      <c r="AQ248" s="14"/>
      <c r="AR248" s="17"/>
      <c r="AS248" s="16"/>
      <c r="AT248" s="14"/>
      <c r="AU248" s="15" t="s">
        <v>3123</v>
      </c>
      <c r="AV248" s="14"/>
      <c r="AW248" s="17"/>
      <c r="AX248" s="16"/>
      <c r="AY248" s="16"/>
      <c r="AZ248" s="16"/>
      <c r="BA248" s="16"/>
      <c r="BB248" s="15" t="s">
        <v>3123</v>
      </c>
      <c r="BC248" s="17"/>
      <c r="BD248" s="14"/>
      <c r="BE248" s="14"/>
      <c r="BF248" s="16"/>
      <c r="BG248" s="16"/>
      <c r="BH248" s="13"/>
      <c r="BI248" s="18" t="s">
        <v>8045</v>
      </c>
      <c r="BJ248" s="13">
        <v>301</v>
      </c>
      <c r="BK248" s="17">
        <v>44123</v>
      </c>
      <c r="BL248" s="18" t="s">
        <v>8046</v>
      </c>
      <c r="BM248" s="18"/>
      <c r="BN248" s="18" t="s">
        <v>8047</v>
      </c>
      <c r="BO248" s="18"/>
      <c r="BP248" s="14" t="s">
        <v>8048</v>
      </c>
      <c r="BQ248" s="17">
        <v>42930</v>
      </c>
      <c r="BR248" s="16"/>
      <c r="BS248" s="17"/>
      <c r="BT248" s="16"/>
      <c r="BU248" s="17"/>
      <c r="BV248" s="16"/>
      <c r="BW248" s="17"/>
      <c r="BX248" s="16"/>
      <c r="BY248" s="17"/>
      <c r="BZ248" s="19">
        <v>14.700521959546652</v>
      </c>
      <c r="CA248" s="19"/>
      <c r="CB248" s="17"/>
      <c r="CC248" s="14" t="s">
        <v>5036</v>
      </c>
      <c r="CD248" s="14" t="s">
        <v>5962</v>
      </c>
      <c r="CE248" s="14" t="s">
        <v>5945</v>
      </c>
    </row>
    <row r="249" spans="1:83" ht="26.15" hidden="1" customHeight="1">
      <c r="A249" s="13">
        <v>243</v>
      </c>
      <c r="B249" s="14" t="s">
        <v>1045</v>
      </c>
      <c r="C249" s="14" t="s">
        <v>1046</v>
      </c>
      <c r="D249" s="14" t="s">
        <v>1050</v>
      </c>
      <c r="E249" s="13">
        <v>2016</v>
      </c>
      <c r="F249" s="14" t="s">
        <v>5050</v>
      </c>
      <c r="G249" s="14" t="s">
        <v>5050</v>
      </c>
      <c r="H249" s="14" t="s">
        <v>4343</v>
      </c>
      <c r="I249" s="15" t="s">
        <v>3117</v>
      </c>
      <c r="J249" s="16">
        <v>9004795</v>
      </c>
      <c r="K249" s="17">
        <v>43591</v>
      </c>
      <c r="L249" s="16" t="s">
        <v>5543</v>
      </c>
      <c r="M249" s="16">
        <v>4500000</v>
      </c>
      <c r="N249" s="14" t="s">
        <v>109</v>
      </c>
      <c r="O249" s="13">
        <v>4</v>
      </c>
      <c r="P249" s="17">
        <v>44048</v>
      </c>
      <c r="Q249" s="14" t="s">
        <v>5052</v>
      </c>
      <c r="R249" s="17">
        <v>43697</v>
      </c>
      <c r="S249" s="17">
        <v>43591</v>
      </c>
      <c r="T249" s="14" t="s">
        <v>5041</v>
      </c>
      <c r="U249" s="14" t="s">
        <v>8049</v>
      </c>
      <c r="V249" s="14" t="s">
        <v>8050</v>
      </c>
      <c r="W249" s="14"/>
      <c r="X249" s="14" t="s">
        <v>8051</v>
      </c>
      <c r="Y249" s="14" t="s">
        <v>8052</v>
      </c>
      <c r="Z249" s="14" t="s">
        <v>8053</v>
      </c>
      <c r="AA249" s="14"/>
      <c r="AB249" s="14" t="s">
        <v>4343</v>
      </c>
      <c r="AC249" s="14"/>
      <c r="AD249" s="14"/>
      <c r="AE249" s="14" t="s">
        <v>8054</v>
      </c>
      <c r="AF249" s="14" t="s">
        <v>8055</v>
      </c>
      <c r="AG249" s="14" t="s">
        <v>8056</v>
      </c>
      <c r="AH249" s="18" t="s">
        <v>8057</v>
      </c>
      <c r="AI249" s="16"/>
      <c r="AJ249" s="17"/>
      <c r="AK249" s="15" t="s">
        <v>3123</v>
      </c>
      <c r="AL249" s="17"/>
      <c r="AM249" s="16"/>
      <c r="AN249" s="14"/>
      <c r="AO249" s="14"/>
      <c r="AP249" s="15" t="s">
        <v>3123</v>
      </c>
      <c r="AQ249" s="14"/>
      <c r="AR249" s="17"/>
      <c r="AS249" s="16"/>
      <c r="AT249" s="14"/>
      <c r="AU249" s="15" t="s">
        <v>3123</v>
      </c>
      <c r="AV249" s="14"/>
      <c r="AW249" s="17"/>
      <c r="AX249" s="16"/>
      <c r="AY249" s="16"/>
      <c r="AZ249" s="16"/>
      <c r="BA249" s="16"/>
      <c r="BB249" s="15" t="s">
        <v>3123</v>
      </c>
      <c r="BC249" s="17"/>
      <c r="BD249" s="14"/>
      <c r="BE249" s="14"/>
      <c r="BF249" s="16"/>
      <c r="BG249" s="16"/>
      <c r="BH249" s="13"/>
      <c r="BI249" s="18" t="s">
        <v>8058</v>
      </c>
      <c r="BJ249" s="13">
        <v>200</v>
      </c>
      <c r="BK249" s="17">
        <v>44123</v>
      </c>
      <c r="BL249" s="18" t="s">
        <v>8059</v>
      </c>
      <c r="BM249" s="18" t="s">
        <v>8060</v>
      </c>
      <c r="BN249" s="18" t="s">
        <v>8061</v>
      </c>
      <c r="BO249" s="18"/>
      <c r="BP249" s="14" t="s">
        <v>8062</v>
      </c>
      <c r="BQ249" s="17">
        <v>42814</v>
      </c>
      <c r="BR249" s="16"/>
      <c r="BS249" s="17"/>
      <c r="BT249" s="16"/>
      <c r="BU249" s="17"/>
      <c r="BV249" s="16"/>
      <c r="BW249" s="17"/>
      <c r="BX249" s="16"/>
      <c r="BY249" s="17"/>
      <c r="BZ249" s="19">
        <v>47.958594775044169</v>
      </c>
      <c r="CA249" s="19"/>
      <c r="CB249" s="17"/>
      <c r="CC249" s="14" t="s">
        <v>6487</v>
      </c>
      <c r="CD249" s="14" t="s">
        <v>5944</v>
      </c>
      <c r="CE249" s="14" t="s">
        <v>5945</v>
      </c>
    </row>
    <row r="250" spans="1:83" ht="26.15" customHeight="1">
      <c r="A250" s="13">
        <v>244</v>
      </c>
      <c r="B250" s="14" t="s">
        <v>1505</v>
      </c>
      <c r="C250" s="14" t="s">
        <v>1506</v>
      </c>
      <c r="D250" s="14" t="s">
        <v>1508</v>
      </c>
      <c r="E250" s="13">
        <v>2014</v>
      </c>
      <c r="F250" s="14" t="s">
        <v>8063</v>
      </c>
      <c r="G250" s="14" t="s">
        <v>8064</v>
      </c>
      <c r="H250" s="14" t="s">
        <v>6213</v>
      </c>
      <c r="I250" s="15" t="s">
        <v>3117</v>
      </c>
      <c r="J250" s="16"/>
      <c r="K250" s="17">
        <v>43315</v>
      </c>
      <c r="L250" s="16"/>
      <c r="M250" s="16" t="s">
        <v>50</v>
      </c>
      <c r="N250" s="14" t="s">
        <v>34</v>
      </c>
      <c r="O250" s="13">
        <v>3</v>
      </c>
      <c r="P250" s="17">
        <v>44081</v>
      </c>
      <c r="Q250" s="14"/>
      <c r="R250" s="17"/>
      <c r="S250" s="17"/>
      <c r="T250" s="14" t="s">
        <v>7470</v>
      </c>
      <c r="U250" s="14" t="s">
        <v>7471</v>
      </c>
      <c r="V250" s="14" t="s">
        <v>8065</v>
      </c>
      <c r="W250" s="14"/>
      <c r="X250" s="14" t="s">
        <v>8066</v>
      </c>
      <c r="Y250" s="14"/>
      <c r="Z250" s="14" t="s">
        <v>8067</v>
      </c>
      <c r="AA250" s="14"/>
      <c r="AB250" s="14" t="s">
        <v>6213</v>
      </c>
      <c r="AC250" s="14" t="s">
        <v>8068</v>
      </c>
      <c r="AD250" s="14"/>
      <c r="AE250" s="14" t="s">
        <v>8069</v>
      </c>
      <c r="AF250" s="14" t="s">
        <v>8070</v>
      </c>
      <c r="AG250" s="14" t="s">
        <v>8071</v>
      </c>
      <c r="AH250" s="18"/>
      <c r="AI250" s="16"/>
      <c r="AJ250" s="17"/>
      <c r="AK250" s="15" t="s">
        <v>3123</v>
      </c>
      <c r="AL250" s="17"/>
      <c r="AM250" s="16"/>
      <c r="AN250" s="14"/>
      <c r="AO250" s="14"/>
      <c r="AP250" s="15" t="s">
        <v>3123</v>
      </c>
      <c r="AQ250" s="14"/>
      <c r="AR250" s="17"/>
      <c r="AS250" s="16"/>
      <c r="AT250" s="14"/>
      <c r="AU250" s="15" t="s">
        <v>3123</v>
      </c>
      <c r="AV250" s="14"/>
      <c r="AW250" s="17"/>
      <c r="AX250" s="16"/>
      <c r="AY250" s="16"/>
      <c r="AZ250" s="16"/>
      <c r="BA250" s="16"/>
      <c r="BB250" s="15" t="s">
        <v>3123</v>
      </c>
      <c r="BC250" s="17"/>
      <c r="BD250" s="14"/>
      <c r="BE250" s="14"/>
      <c r="BF250" s="16"/>
      <c r="BG250" s="16"/>
      <c r="BH250" s="13"/>
      <c r="BI250" s="18" t="s">
        <v>8072</v>
      </c>
      <c r="BJ250" s="13">
        <v>200</v>
      </c>
      <c r="BK250" s="17">
        <v>44123</v>
      </c>
      <c r="BL250" s="18"/>
      <c r="BM250" s="18" t="s">
        <v>8073</v>
      </c>
      <c r="BN250" s="18"/>
      <c r="BO250" s="18"/>
      <c r="BP250" s="14" t="s">
        <v>8074</v>
      </c>
      <c r="BQ250" s="17">
        <v>42447</v>
      </c>
      <c r="BR250" s="16"/>
      <c r="BS250" s="17"/>
      <c r="BT250" s="16"/>
      <c r="BU250" s="17"/>
      <c r="BV250" s="16"/>
      <c r="BW250" s="17"/>
      <c r="BX250" s="16"/>
      <c r="BY250" s="17"/>
      <c r="BZ250" s="19">
        <v>35.602425067175879</v>
      </c>
      <c r="CA250" s="19"/>
      <c r="CB250" s="17"/>
      <c r="CC250" s="14" t="s">
        <v>7409</v>
      </c>
      <c r="CD250" s="14" t="s">
        <v>7272</v>
      </c>
      <c r="CE250" s="14" t="s">
        <v>7194</v>
      </c>
    </row>
    <row r="251" spans="1:83" ht="26.15" customHeight="1">
      <c r="A251" s="13">
        <v>245</v>
      </c>
      <c r="B251" s="14" t="s">
        <v>26</v>
      </c>
      <c r="C251" s="14" t="s">
        <v>27</v>
      </c>
      <c r="D251" s="14" t="s">
        <v>31</v>
      </c>
      <c r="E251" s="13">
        <v>2015</v>
      </c>
      <c r="F251" s="14" t="s">
        <v>5331</v>
      </c>
      <c r="G251" s="14" t="s">
        <v>5332</v>
      </c>
      <c r="H251" s="14" t="s">
        <v>5333</v>
      </c>
      <c r="I251" s="15" t="s">
        <v>3117</v>
      </c>
      <c r="J251" s="16">
        <v>30000000</v>
      </c>
      <c r="K251" s="17">
        <v>44138</v>
      </c>
      <c r="L251" s="16" t="s">
        <v>5134</v>
      </c>
      <c r="M251" s="16">
        <v>1000000</v>
      </c>
      <c r="N251" s="14" t="s">
        <v>25</v>
      </c>
      <c r="O251" s="13">
        <v>4</v>
      </c>
      <c r="P251" s="17">
        <v>44056</v>
      </c>
      <c r="Q251" s="14" t="s">
        <v>5052</v>
      </c>
      <c r="R251" s="17">
        <v>44049</v>
      </c>
      <c r="S251" s="17">
        <v>43173</v>
      </c>
      <c r="T251" s="14" t="s">
        <v>1</v>
      </c>
      <c r="U251" s="14" t="s">
        <v>5007</v>
      </c>
      <c r="V251" s="14" t="s">
        <v>6157</v>
      </c>
      <c r="W251" s="14"/>
      <c r="X251" s="14" t="s">
        <v>8075</v>
      </c>
      <c r="Y251" s="14"/>
      <c r="Z251" s="14" t="s">
        <v>8076</v>
      </c>
      <c r="AA251" s="14"/>
      <c r="AB251" s="14" t="s">
        <v>5333</v>
      </c>
      <c r="AC251" s="14" t="s">
        <v>8077</v>
      </c>
      <c r="AD251" s="14"/>
      <c r="AE251" s="14" t="s">
        <v>8078</v>
      </c>
      <c r="AF251" s="14" t="s">
        <v>8079</v>
      </c>
      <c r="AG251" s="14" t="s">
        <v>8080</v>
      </c>
      <c r="AH251" s="18" t="s">
        <v>8081</v>
      </c>
      <c r="AI251" s="16"/>
      <c r="AJ251" s="17"/>
      <c r="AK251" s="15" t="s">
        <v>3123</v>
      </c>
      <c r="AL251" s="17"/>
      <c r="AM251" s="16"/>
      <c r="AN251" s="14"/>
      <c r="AO251" s="14"/>
      <c r="AP251" s="15" t="s">
        <v>3123</v>
      </c>
      <c r="AQ251" s="14"/>
      <c r="AR251" s="17"/>
      <c r="AS251" s="16"/>
      <c r="AT251" s="14"/>
      <c r="AU251" s="15" t="s">
        <v>3123</v>
      </c>
      <c r="AV251" s="14"/>
      <c r="AW251" s="17"/>
      <c r="AX251" s="16"/>
      <c r="AY251" s="16"/>
      <c r="AZ251" s="16"/>
      <c r="BA251" s="16"/>
      <c r="BB251" s="15" t="s">
        <v>3123</v>
      </c>
      <c r="BC251" s="17"/>
      <c r="BD251" s="14"/>
      <c r="BE251" s="14"/>
      <c r="BF251" s="16"/>
      <c r="BG251" s="16"/>
      <c r="BH251" s="13"/>
      <c r="BI251" s="18" t="s">
        <v>8082</v>
      </c>
      <c r="BJ251" s="13">
        <v>200</v>
      </c>
      <c r="BK251" s="17">
        <v>44123</v>
      </c>
      <c r="BL251" s="18" t="s">
        <v>8083</v>
      </c>
      <c r="BM251" s="18" t="s">
        <v>8084</v>
      </c>
      <c r="BN251" s="18" t="s">
        <v>8085</v>
      </c>
      <c r="BO251" s="18" t="s">
        <v>8086</v>
      </c>
      <c r="BP251" s="14" t="s">
        <v>8087</v>
      </c>
      <c r="BQ251" s="17">
        <v>44046</v>
      </c>
      <c r="BR251" s="16"/>
      <c r="BS251" s="17"/>
      <c r="BT251" s="16"/>
      <c r="BU251" s="17"/>
      <c r="BV251" s="16"/>
      <c r="BW251" s="17"/>
      <c r="BX251" s="16"/>
      <c r="BY251" s="17"/>
      <c r="BZ251" s="19">
        <v>43.778038868093915</v>
      </c>
      <c r="CA251" s="19"/>
      <c r="CB251" s="17"/>
      <c r="CC251" s="14" t="s">
        <v>8088</v>
      </c>
      <c r="CD251" s="14" t="s">
        <v>8089</v>
      </c>
      <c r="CE251" s="14" t="s">
        <v>5945</v>
      </c>
    </row>
    <row r="252" spans="1:83" ht="26.15" customHeight="1">
      <c r="A252" s="13">
        <v>246</v>
      </c>
      <c r="B252" s="14" t="s">
        <v>1178</v>
      </c>
      <c r="C252" s="14" t="s">
        <v>1179</v>
      </c>
      <c r="D252" s="14" t="s">
        <v>1183</v>
      </c>
      <c r="E252" s="13">
        <v>2015</v>
      </c>
      <c r="F252" s="14" t="s">
        <v>5038</v>
      </c>
      <c r="G252" s="14" t="s">
        <v>5039</v>
      </c>
      <c r="H252" s="14" t="s">
        <v>3994</v>
      </c>
      <c r="I252" s="15" t="s">
        <v>3117</v>
      </c>
      <c r="J252" s="16">
        <v>2139340</v>
      </c>
      <c r="K252" s="17">
        <v>43535</v>
      </c>
      <c r="L252" s="16" t="s">
        <v>5022</v>
      </c>
      <c r="M252" s="16">
        <v>2139340</v>
      </c>
      <c r="N252" s="14" t="s">
        <v>34</v>
      </c>
      <c r="O252" s="13">
        <v>4</v>
      </c>
      <c r="P252" s="17">
        <v>44003</v>
      </c>
      <c r="Q252" s="14" t="s">
        <v>5052</v>
      </c>
      <c r="R252" s="17">
        <v>43560</v>
      </c>
      <c r="S252" s="17">
        <v>43525</v>
      </c>
      <c r="T252" s="14" t="s">
        <v>6857</v>
      </c>
      <c r="U252" s="14" t="s">
        <v>6858</v>
      </c>
      <c r="V252" s="14" t="s">
        <v>8090</v>
      </c>
      <c r="W252" s="14"/>
      <c r="X252" s="14" t="s">
        <v>8091</v>
      </c>
      <c r="Y252" s="14" t="s">
        <v>8092</v>
      </c>
      <c r="Z252" s="14" t="s">
        <v>8093</v>
      </c>
      <c r="AA252" s="14"/>
      <c r="AB252" s="14" t="s">
        <v>3994</v>
      </c>
      <c r="AC252" s="14"/>
      <c r="AD252" s="14"/>
      <c r="AE252" s="14" t="s">
        <v>8094</v>
      </c>
      <c r="AF252" s="14" t="s">
        <v>8095</v>
      </c>
      <c r="AG252" s="14" t="s">
        <v>8096</v>
      </c>
      <c r="AH252" s="18"/>
      <c r="AI252" s="16">
        <v>1800</v>
      </c>
      <c r="AJ252" s="17">
        <v>43465</v>
      </c>
      <c r="AK252" s="15" t="s">
        <v>3117</v>
      </c>
      <c r="AL252" s="17">
        <v>42048</v>
      </c>
      <c r="AM252" s="16">
        <v>1602</v>
      </c>
      <c r="AN252" s="14" t="s">
        <v>8097</v>
      </c>
      <c r="AO252" s="14"/>
      <c r="AP252" s="15" t="s">
        <v>3123</v>
      </c>
      <c r="AQ252" s="14"/>
      <c r="AR252" s="17"/>
      <c r="AS252" s="16"/>
      <c r="AT252" s="14"/>
      <c r="AU252" s="15" t="s">
        <v>3123</v>
      </c>
      <c r="AV252" s="14"/>
      <c r="AW252" s="17"/>
      <c r="AX252" s="16"/>
      <c r="AY252" s="16"/>
      <c r="AZ252" s="16"/>
      <c r="BA252" s="16"/>
      <c r="BB252" s="15" t="s">
        <v>3123</v>
      </c>
      <c r="BC252" s="17"/>
      <c r="BD252" s="14"/>
      <c r="BE252" s="14"/>
      <c r="BF252" s="16"/>
      <c r="BG252" s="16"/>
      <c r="BH252" s="13"/>
      <c r="BI252" s="18" t="s">
        <v>8098</v>
      </c>
      <c r="BJ252" s="13">
        <v>200</v>
      </c>
      <c r="BK252" s="17">
        <v>44123</v>
      </c>
      <c r="BL252" s="18" t="s">
        <v>8099</v>
      </c>
      <c r="BM252" s="18" t="s">
        <v>8100</v>
      </c>
      <c r="BN252" s="18"/>
      <c r="BO252" s="18"/>
      <c r="BP252" s="14" t="s">
        <v>8101</v>
      </c>
      <c r="BQ252" s="17">
        <v>42300</v>
      </c>
      <c r="BR252" s="16">
        <v>-66600</v>
      </c>
      <c r="BS252" s="17">
        <v>43465</v>
      </c>
      <c r="BT252" s="16">
        <v>-65900</v>
      </c>
      <c r="BU252" s="17">
        <v>43465</v>
      </c>
      <c r="BV252" s="16">
        <v>7000000</v>
      </c>
      <c r="BW252" s="17">
        <v>44019</v>
      </c>
      <c r="BX252" s="16">
        <v>20</v>
      </c>
      <c r="BY252" s="17">
        <v>44012</v>
      </c>
      <c r="BZ252" s="19">
        <v>44.591863572817637</v>
      </c>
      <c r="CA252" s="19"/>
      <c r="CB252" s="17"/>
      <c r="CC252" s="14" t="s">
        <v>7259</v>
      </c>
      <c r="CD252" s="14" t="s">
        <v>5962</v>
      </c>
      <c r="CE252" s="14" t="s">
        <v>6074</v>
      </c>
    </row>
    <row r="253" spans="1:83" ht="26.15" hidden="1" customHeight="1">
      <c r="A253" s="13">
        <v>247</v>
      </c>
      <c r="B253" s="14" t="s">
        <v>885</v>
      </c>
      <c r="C253" s="14" t="s">
        <v>886</v>
      </c>
      <c r="D253" s="14" t="s">
        <v>889</v>
      </c>
      <c r="E253" s="13">
        <v>2013</v>
      </c>
      <c r="F253" s="14" t="s">
        <v>5050</v>
      </c>
      <c r="G253" s="14" t="s">
        <v>5050</v>
      </c>
      <c r="H253" s="14" t="s">
        <v>4343</v>
      </c>
      <c r="I253" s="15" t="s">
        <v>3117</v>
      </c>
      <c r="J253" s="16">
        <v>30000000</v>
      </c>
      <c r="K253" s="17">
        <v>43698</v>
      </c>
      <c r="L253" s="16" t="s">
        <v>5165</v>
      </c>
      <c r="M253" s="16">
        <v>10000000</v>
      </c>
      <c r="N253" s="14" t="s">
        <v>109</v>
      </c>
      <c r="O253" s="13">
        <v>5</v>
      </c>
      <c r="P253" s="17">
        <v>44057</v>
      </c>
      <c r="Q253" s="14" t="s">
        <v>5052</v>
      </c>
      <c r="R253" s="17">
        <v>44027</v>
      </c>
      <c r="S253" s="17">
        <v>42177</v>
      </c>
      <c r="T253" s="14" t="s">
        <v>8102</v>
      </c>
      <c r="U253" s="14" t="s">
        <v>8103</v>
      </c>
      <c r="V253" s="14" t="s">
        <v>8104</v>
      </c>
      <c r="W253" s="14"/>
      <c r="X253" s="14" t="s">
        <v>8105</v>
      </c>
      <c r="Y253" s="14"/>
      <c r="Z253" s="14" t="s">
        <v>8106</v>
      </c>
      <c r="AA253" s="14"/>
      <c r="AB253" s="14" t="s">
        <v>4343</v>
      </c>
      <c r="AC253" s="14"/>
      <c r="AD253" s="14"/>
      <c r="AE253" s="14" t="s">
        <v>8107</v>
      </c>
      <c r="AF253" s="14" t="s">
        <v>8108</v>
      </c>
      <c r="AG253" s="14" t="s">
        <v>8109</v>
      </c>
      <c r="AH253" s="18"/>
      <c r="AI253" s="16"/>
      <c r="AJ253" s="17"/>
      <c r="AK253" s="15" t="s">
        <v>3123</v>
      </c>
      <c r="AL253" s="17"/>
      <c r="AM253" s="16"/>
      <c r="AN253" s="14"/>
      <c r="AO253" s="14" t="s">
        <v>8110</v>
      </c>
      <c r="AP253" s="15" t="s">
        <v>3123</v>
      </c>
      <c r="AQ253" s="14"/>
      <c r="AR253" s="17"/>
      <c r="AS253" s="16"/>
      <c r="AT253" s="14"/>
      <c r="AU253" s="15" t="s">
        <v>3123</v>
      </c>
      <c r="AV253" s="14"/>
      <c r="AW253" s="17"/>
      <c r="AX253" s="16"/>
      <c r="AY253" s="16"/>
      <c r="AZ253" s="16"/>
      <c r="BA253" s="16"/>
      <c r="BB253" s="15" t="s">
        <v>3123</v>
      </c>
      <c r="BC253" s="17"/>
      <c r="BD253" s="14"/>
      <c r="BE253" s="14"/>
      <c r="BF253" s="16"/>
      <c r="BG253" s="16"/>
      <c r="BH253" s="13"/>
      <c r="BI253" s="18" t="s">
        <v>8111</v>
      </c>
      <c r="BJ253" s="13">
        <v>200</v>
      </c>
      <c r="BK253" s="17">
        <v>44123</v>
      </c>
      <c r="BL253" s="18" t="s">
        <v>8112</v>
      </c>
      <c r="BM253" s="18" t="s">
        <v>8113</v>
      </c>
      <c r="BN253" s="18" t="s">
        <v>8114</v>
      </c>
      <c r="BO253" s="18"/>
      <c r="BP253" s="14" t="s">
        <v>8115</v>
      </c>
      <c r="BQ253" s="17">
        <v>42930</v>
      </c>
      <c r="BR253" s="16"/>
      <c r="BS253" s="17"/>
      <c r="BT253" s="16"/>
      <c r="BU253" s="17"/>
      <c r="BV253" s="16"/>
      <c r="BW253" s="17"/>
      <c r="BX253" s="16"/>
      <c r="BY253" s="17"/>
      <c r="BZ253" s="19">
        <v>58.847737822899433</v>
      </c>
      <c r="CA253" s="19"/>
      <c r="CB253" s="17"/>
      <c r="CC253" s="14" t="s">
        <v>8116</v>
      </c>
      <c r="CD253" s="14" t="s">
        <v>8117</v>
      </c>
      <c r="CE253" s="14" t="s">
        <v>5311</v>
      </c>
    </row>
    <row r="254" spans="1:83" ht="26.15" customHeight="1">
      <c r="A254" s="13">
        <v>248</v>
      </c>
      <c r="B254" s="14" t="s">
        <v>1554</v>
      </c>
      <c r="C254" s="14" t="s">
        <v>1555</v>
      </c>
      <c r="D254" s="14" t="s">
        <v>1558</v>
      </c>
      <c r="E254" s="13">
        <v>2013</v>
      </c>
      <c r="F254" s="14" t="s">
        <v>5132</v>
      </c>
      <c r="G254" s="14" t="s">
        <v>5133</v>
      </c>
      <c r="H254" s="14" t="s">
        <v>3994</v>
      </c>
      <c r="I254" s="15" t="s">
        <v>3117</v>
      </c>
      <c r="J254" s="16">
        <v>234941</v>
      </c>
      <c r="K254" s="17">
        <v>43296</v>
      </c>
      <c r="L254" s="16" t="s">
        <v>8118</v>
      </c>
      <c r="M254" s="16">
        <v>218911</v>
      </c>
      <c r="N254" s="14" t="s">
        <v>34</v>
      </c>
      <c r="O254" s="13">
        <v>3</v>
      </c>
      <c r="P254" s="17">
        <v>44003</v>
      </c>
      <c r="Q254" s="14"/>
      <c r="R254" s="17"/>
      <c r="S254" s="17"/>
      <c r="T254" s="14" t="s">
        <v>6645</v>
      </c>
      <c r="U254" s="14" t="s">
        <v>8119</v>
      </c>
      <c r="V254" s="14" t="s">
        <v>8120</v>
      </c>
      <c r="W254" s="14"/>
      <c r="X254" s="14" t="s">
        <v>8121</v>
      </c>
      <c r="Y254" s="14" t="s">
        <v>8122</v>
      </c>
      <c r="Z254" s="14" t="s">
        <v>8123</v>
      </c>
      <c r="AA254" s="14"/>
      <c r="AB254" s="14" t="s">
        <v>3994</v>
      </c>
      <c r="AC254" s="14"/>
      <c r="AD254" s="14"/>
      <c r="AE254" s="14" t="s">
        <v>8124</v>
      </c>
      <c r="AF254" s="14" t="s">
        <v>8125</v>
      </c>
      <c r="AG254" s="14" t="s">
        <v>8126</v>
      </c>
      <c r="AH254" s="18"/>
      <c r="AI254" s="16">
        <v>33900</v>
      </c>
      <c r="AJ254" s="17">
        <v>43465</v>
      </c>
      <c r="AK254" s="15" t="s">
        <v>3117</v>
      </c>
      <c r="AL254" s="17">
        <v>41639</v>
      </c>
      <c r="AM254" s="16">
        <v>1614</v>
      </c>
      <c r="AN254" s="14" t="s">
        <v>8127</v>
      </c>
      <c r="AO254" s="14"/>
      <c r="AP254" s="15" t="s">
        <v>3123</v>
      </c>
      <c r="AQ254" s="14"/>
      <c r="AR254" s="17"/>
      <c r="AS254" s="16"/>
      <c r="AT254" s="14"/>
      <c r="AU254" s="15" t="s">
        <v>3123</v>
      </c>
      <c r="AV254" s="14"/>
      <c r="AW254" s="17"/>
      <c r="AX254" s="16"/>
      <c r="AY254" s="16"/>
      <c r="AZ254" s="16"/>
      <c r="BA254" s="16"/>
      <c r="BB254" s="15" t="s">
        <v>3123</v>
      </c>
      <c r="BC254" s="17"/>
      <c r="BD254" s="14"/>
      <c r="BE254" s="14"/>
      <c r="BF254" s="16"/>
      <c r="BG254" s="16"/>
      <c r="BH254" s="13"/>
      <c r="BI254" s="18" t="s">
        <v>8128</v>
      </c>
      <c r="BJ254" s="13">
        <v>200</v>
      </c>
      <c r="BK254" s="17">
        <v>44123</v>
      </c>
      <c r="BL254" s="18"/>
      <c r="BM254" s="18"/>
      <c r="BN254" s="18" t="s">
        <v>8129</v>
      </c>
      <c r="BO254" s="18"/>
      <c r="BP254" s="14" t="s">
        <v>8130</v>
      </c>
      <c r="BQ254" s="17">
        <v>43032</v>
      </c>
      <c r="BR254" s="16">
        <v>-93500</v>
      </c>
      <c r="BS254" s="17">
        <v>43465</v>
      </c>
      <c r="BT254" s="16">
        <v>-87600</v>
      </c>
      <c r="BU254" s="17">
        <v>43465</v>
      </c>
      <c r="BV254" s="16"/>
      <c r="BW254" s="17"/>
      <c r="BX254" s="16"/>
      <c r="BY254" s="17"/>
      <c r="BZ254" s="19">
        <v>28.283812153437367</v>
      </c>
      <c r="CA254" s="19"/>
      <c r="CB254" s="17"/>
      <c r="CC254" s="14" t="s">
        <v>5036</v>
      </c>
      <c r="CD254" s="14" t="s">
        <v>5037</v>
      </c>
      <c r="CE254" s="14" t="s">
        <v>5004</v>
      </c>
    </row>
    <row r="255" spans="1:83" ht="26.15" customHeight="1">
      <c r="A255" s="13">
        <v>249</v>
      </c>
      <c r="B255" s="14" t="s">
        <v>217</v>
      </c>
      <c r="C255" s="14" t="s">
        <v>218</v>
      </c>
      <c r="D255" s="14" t="s">
        <v>221</v>
      </c>
      <c r="E255" s="13">
        <v>2015</v>
      </c>
      <c r="F255" s="14" t="s">
        <v>5038</v>
      </c>
      <c r="G255" s="14" t="s">
        <v>5039</v>
      </c>
      <c r="H255" s="14" t="s">
        <v>3994</v>
      </c>
      <c r="I255" s="15" t="s">
        <v>3117</v>
      </c>
      <c r="J255" s="16">
        <v>2569628</v>
      </c>
      <c r="K255" s="17">
        <v>44053</v>
      </c>
      <c r="L255" s="16" t="s">
        <v>5022</v>
      </c>
      <c r="M255" s="16">
        <v>2000000</v>
      </c>
      <c r="N255" s="14" t="s">
        <v>34</v>
      </c>
      <c r="O255" s="13">
        <v>4</v>
      </c>
      <c r="P255" s="17">
        <v>44060</v>
      </c>
      <c r="Q255" s="14"/>
      <c r="R255" s="17"/>
      <c r="S255" s="17"/>
      <c r="T255" s="14" t="s">
        <v>5493</v>
      </c>
      <c r="U255" s="14" t="s">
        <v>5494</v>
      </c>
      <c r="V255" s="14" t="s">
        <v>8131</v>
      </c>
      <c r="W255" s="14"/>
      <c r="X255" s="14" t="s">
        <v>8132</v>
      </c>
      <c r="Y255" s="14"/>
      <c r="Z255" s="14" t="s">
        <v>8133</v>
      </c>
      <c r="AA255" s="14"/>
      <c r="AB255" s="14" t="s">
        <v>3994</v>
      </c>
      <c r="AC255" s="14" t="s">
        <v>8134</v>
      </c>
      <c r="AD255" s="14" t="s">
        <v>8135</v>
      </c>
      <c r="AE255" s="14" t="s">
        <v>8136</v>
      </c>
      <c r="AF255" s="14" t="s">
        <v>8137</v>
      </c>
      <c r="AG255" s="14" t="s">
        <v>8138</v>
      </c>
      <c r="AH255" s="18"/>
      <c r="AI255" s="16">
        <v>103894</v>
      </c>
      <c r="AJ255" s="17">
        <v>43465</v>
      </c>
      <c r="AK255" s="15" t="s">
        <v>3117</v>
      </c>
      <c r="AL255" s="17">
        <v>42256</v>
      </c>
      <c r="AM255" s="16">
        <v>1500</v>
      </c>
      <c r="AN255" s="14" t="s">
        <v>8139</v>
      </c>
      <c r="AO255" s="14"/>
      <c r="AP255" s="15" t="s">
        <v>3123</v>
      </c>
      <c r="AQ255" s="14"/>
      <c r="AR255" s="17"/>
      <c r="AS255" s="16"/>
      <c r="AT255" s="14"/>
      <c r="AU255" s="15" t="s">
        <v>3123</v>
      </c>
      <c r="AV255" s="14"/>
      <c r="AW255" s="17"/>
      <c r="AX255" s="16"/>
      <c r="AY255" s="16"/>
      <c r="AZ255" s="16"/>
      <c r="BA255" s="16"/>
      <c r="BB255" s="15" t="s">
        <v>3123</v>
      </c>
      <c r="BC255" s="17"/>
      <c r="BD255" s="14"/>
      <c r="BE255" s="14"/>
      <c r="BF255" s="16"/>
      <c r="BG255" s="16"/>
      <c r="BH255" s="13"/>
      <c r="BI255" s="18" t="s">
        <v>8140</v>
      </c>
      <c r="BJ255" s="13">
        <v>200</v>
      </c>
      <c r="BK255" s="17">
        <v>44123</v>
      </c>
      <c r="BL255" s="18" t="s">
        <v>8141</v>
      </c>
      <c r="BM255" s="18" t="s">
        <v>8142</v>
      </c>
      <c r="BN255" s="18" t="s">
        <v>8143</v>
      </c>
      <c r="BO255" s="18"/>
      <c r="BP255" s="14" t="s">
        <v>8144</v>
      </c>
      <c r="BQ255" s="17">
        <v>42863</v>
      </c>
      <c r="BR255" s="16">
        <v>-267375</v>
      </c>
      <c r="BS255" s="17">
        <v>43465</v>
      </c>
      <c r="BT255" s="16">
        <v>-350714</v>
      </c>
      <c r="BU255" s="17">
        <v>43465</v>
      </c>
      <c r="BV255" s="16">
        <v>8000000</v>
      </c>
      <c r="BW255" s="17">
        <v>43812</v>
      </c>
      <c r="BX255" s="16">
        <v>24</v>
      </c>
      <c r="BY255" s="17">
        <v>44012</v>
      </c>
      <c r="BZ255" s="19">
        <v>55.033441808089066</v>
      </c>
      <c r="CA255" s="19"/>
      <c r="CB255" s="17"/>
      <c r="CC255" s="14" t="s">
        <v>7816</v>
      </c>
      <c r="CD255" s="14" t="s">
        <v>8145</v>
      </c>
      <c r="CE255" s="14" t="s">
        <v>5004</v>
      </c>
    </row>
    <row r="256" spans="1:83" ht="26.15" customHeight="1">
      <c r="A256" s="13">
        <v>250</v>
      </c>
      <c r="B256" s="14" t="s">
        <v>743</v>
      </c>
      <c r="C256" s="14" t="s">
        <v>744</v>
      </c>
      <c r="D256" s="14" t="s">
        <v>747</v>
      </c>
      <c r="E256" s="13">
        <v>2013</v>
      </c>
      <c r="F256" s="14" t="s">
        <v>5020</v>
      </c>
      <c r="G256" s="14" t="s">
        <v>5021</v>
      </c>
      <c r="H256" s="14" t="s">
        <v>3994</v>
      </c>
      <c r="I256" s="15" t="s">
        <v>3117</v>
      </c>
      <c r="J256" s="16">
        <v>17022002</v>
      </c>
      <c r="K256" s="17">
        <v>43750</v>
      </c>
      <c r="L256" s="16" t="s">
        <v>5022</v>
      </c>
      <c r="M256" s="16">
        <v>2386360</v>
      </c>
      <c r="N256" s="14" t="s">
        <v>25</v>
      </c>
      <c r="O256" s="13">
        <v>5</v>
      </c>
      <c r="P256" s="17">
        <v>44008</v>
      </c>
      <c r="Q256" s="14" t="s">
        <v>5052</v>
      </c>
      <c r="R256" s="17">
        <v>44054</v>
      </c>
      <c r="S256" s="17">
        <v>43750</v>
      </c>
      <c r="T256" s="14" t="s">
        <v>1</v>
      </c>
      <c r="U256" s="14" t="s">
        <v>5007</v>
      </c>
      <c r="V256" s="14" t="s">
        <v>257</v>
      </c>
      <c r="W256" s="14"/>
      <c r="X256" s="14" t="s">
        <v>8146</v>
      </c>
      <c r="Y256" s="14" t="s">
        <v>8147</v>
      </c>
      <c r="Z256" s="14" t="s">
        <v>8148</v>
      </c>
      <c r="AA256" s="14"/>
      <c r="AB256" s="14" t="s">
        <v>3994</v>
      </c>
      <c r="AC256" s="14" t="s">
        <v>8149</v>
      </c>
      <c r="AD256" s="14" t="s">
        <v>8150</v>
      </c>
      <c r="AE256" s="14" t="s">
        <v>8151</v>
      </c>
      <c r="AF256" s="14" t="s">
        <v>8152</v>
      </c>
      <c r="AG256" s="14" t="s">
        <v>8153</v>
      </c>
      <c r="AH256" s="18"/>
      <c r="AI256" s="16">
        <v>1173648</v>
      </c>
      <c r="AJ256" s="17">
        <v>43465</v>
      </c>
      <c r="AK256" s="15" t="s">
        <v>3117</v>
      </c>
      <c r="AL256" s="17">
        <v>41347</v>
      </c>
      <c r="AM256" s="16">
        <v>1839</v>
      </c>
      <c r="AN256" s="14" t="s">
        <v>8154</v>
      </c>
      <c r="AO256" s="14"/>
      <c r="AP256" s="15" t="s">
        <v>3123</v>
      </c>
      <c r="AQ256" s="14"/>
      <c r="AR256" s="17"/>
      <c r="AS256" s="16"/>
      <c r="AT256" s="14"/>
      <c r="AU256" s="15" t="s">
        <v>3123</v>
      </c>
      <c r="AV256" s="14"/>
      <c r="AW256" s="17"/>
      <c r="AX256" s="16"/>
      <c r="AY256" s="16"/>
      <c r="AZ256" s="16"/>
      <c r="BA256" s="16"/>
      <c r="BB256" s="15" t="s">
        <v>3123</v>
      </c>
      <c r="BC256" s="17"/>
      <c r="BD256" s="14"/>
      <c r="BE256" s="14"/>
      <c r="BF256" s="16"/>
      <c r="BG256" s="16"/>
      <c r="BH256" s="13"/>
      <c r="BI256" s="18" t="s">
        <v>8155</v>
      </c>
      <c r="BJ256" s="13">
        <v>200</v>
      </c>
      <c r="BK256" s="17">
        <v>44123</v>
      </c>
      <c r="BL256" s="18" t="s">
        <v>8156</v>
      </c>
      <c r="BM256" s="18" t="s">
        <v>8157</v>
      </c>
      <c r="BN256" s="18" t="s">
        <v>8158</v>
      </c>
      <c r="BO256" s="18" t="s">
        <v>8159</v>
      </c>
      <c r="BP256" s="14" t="s">
        <v>8160</v>
      </c>
      <c r="BQ256" s="17">
        <v>42601</v>
      </c>
      <c r="BR256" s="16">
        <v>-2655803</v>
      </c>
      <c r="BS256" s="17">
        <v>43465</v>
      </c>
      <c r="BT256" s="16">
        <v>-2497716</v>
      </c>
      <c r="BU256" s="17">
        <v>43465</v>
      </c>
      <c r="BV256" s="16">
        <v>50000000</v>
      </c>
      <c r="BW256" s="17">
        <v>43750</v>
      </c>
      <c r="BX256" s="16">
        <v>93</v>
      </c>
      <c r="BY256" s="17">
        <v>44104</v>
      </c>
      <c r="BZ256" s="19">
        <v>53.746238555836605</v>
      </c>
      <c r="CA256" s="19"/>
      <c r="CB256" s="17"/>
      <c r="CC256" s="14" t="s">
        <v>6540</v>
      </c>
      <c r="CD256" s="14" t="s">
        <v>6629</v>
      </c>
      <c r="CE256" s="14" t="s">
        <v>5004</v>
      </c>
    </row>
    <row r="257" spans="1:83" ht="26.15" customHeight="1">
      <c r="A257" s="13">
        <v>251</v>
      </c>
      <c r="B257" s="14" t="s">
        <v>1816</v>
      </c>
      <c r="C257" s="14" t="s">
        <v>1817</v>
      </c>
      <c r="D257" s="14" t="s">
        <v>1819</v>
      </c>
      <c r="E257" s="13">
        <v>2014</v>
      </c>
      <c r="F257" s="14" t="s">
        <v>6762</v>
      </c>
      <c r="G257" s="14" t="s">
        <v>6763</v>
      </c>
      <c r="H257" s="14" t="s">
        <v>5333</v>
      </c>
      <c r="I257" s="15" t="s">
        <v>3117</v>
      </c>
      <c r="J257" s="16">
        <v>350000</v>
      </c>
      <c r="K257" s="17">
        <v>43150</v>
      </c>
      <c r="L257" s="16" t="s">
        <v>8161</v>
      </c>
      <c r="M257" s="16">
        <v>350000</v>
      </c>
      <c r="N257" s="14" t="s">
        <v>34</v>
      </c>
      <c r="O257" s="13">
        <v>3</v>
      </c>
      <c r="P257" s="17">
        <v>44090</v>
      </c>
      <c r="Q257" s="14"/>
      <c r="R257" s="17"/>
      <c r="S257" s="17"/>
      <c r="T257" s="14" t="s">
        <v>1</v>
      </c>
      <c r="U257" s="14" t="s">
        <v>5007</v>
      </c>
      <c r="V257" s="14" t="s">
        <v>5963</v>
      </c>
      <c r="W257" s="14"/>
      <c r="X257" s="14" t="s">
        <v>8162</v>
      </c>
      <c r="Y257" s="14"/>
      <c r="Z257" s="14" t="s">
        <v>8163</v>
      </c>
      <c r="AA257" s="14"/>
      <c r="AB257" s="14" t="s">
        <v>5333</v>
      </c>
      <c r="AC257" s="14" t="s">
        <v>8164</v>
      </c>
      <c r="AD257" s="14"/>
      <c r="AE257" s="14" t="s">
        <v>8165</v>
      </c>
      <c r="AF257" s="14" t="s">
        <v>8166</v>
      </c>
      <c r="AG257" s="14" t="s">
        <v>8167</v>
      </c>
      <c r="AH257" s="18" t="s">
        <v>8168</v>
      </c>
      <c r="AI257" s="16"/>
      <c r="AJ257" s="17"/>
      <c r="AK257" s="15" t="s">
        <v>3123</v>
      </c>
      <c r="AL257" s="17"/>
      <c r="AM257" s="16"/>
      <c r="AN257" s="14"/>
      <c r="AO257" s="14"/>
      <c r="AP257" s="15" t="s">
        <v>3123</v>
      </c>
      <c r="AQ257" s="14"/>
      <c r="AR257" s="17"/>
      <c r="AS257" s="16"/>
      <c r="AT257" s="14"/>
      <c r="AU257" s="15" t="s">
        <v>3123</v>
      </c>
      <c r="AV257" s="14"/>
      <c r="AW257" s="17"/>
      <c r="AX257" s="16"/>
      <c r="AY257" s="16"/>
      <c r="AZ257" s="16"/>
      <c r="BA257" s="16"/>
      <c r="BB257" s="15" t="s">
        <v>3123</v>
      </c>
      <c r="BC257" s="17"/>
      <c r="BD257" s="14"/>
      <c r="BE257" s="14"/>
      <c r="BF257" s="16"/>
      <c r="BG257" s="16"/>
      <c r="BH257" s="13"/>
      <c r="BI257" s="18" t="s">
        <v>8169</v>
      </c>
      <c r="BJ257" s="13">
        <v>200</v>
      </c>
      <c r="BK257" s="17">
        <v>44122</v>
      </c>
      <c r="BL257" s="18" t="s">
        <v>8170</v>
      </c>
      <c r="BM257" s="18" t="s">
        <v>8171</v>
      </c>
      <c r="BN257" s="18"/>
      <c r="BO257" s="18"/>
      <c r="BP257" s="14" t="s">
        <v>8172</v>
      </c>
      <c r="BQ257" s="17">
        <v>43019</v>
      </c>
      <c r="BR257" s="16"/>
      <c r="BS257" s="17"/>
      <c r="BT257" s="16"/>
      <c r="BU257" s="17"/>
      <c r="BV257" s="16"/>
      <c r="BW257" s="17"/>
      <c r="BX257" s="16"/>
      <c r="BY257" s="17"/>
      <c r="BZ257" s="19">
        <v>39.346362428590005</v>
      </c>
      <c r="CA257" s="19"/>
      <c r="CB257" s="17"/>
      <c r="CC257" s="14" t="s">
        <v>7284</v>
      </c>
      <c r="CD257" s="14" t="s">
        <v>8173</v>
      </c>
      <c r="CE257" s="14" t="s">
        <v>6074</v>
      </c>
    </row>
    <row r="258" spans="1:83" ht="26.15" customHeight="1">
      <c r="A258" s="13">
        <v>252</v>
      </c>
      <c r="B258" s="14" t="s">
        <v>1186</v>
      </c>
      <c r="C258" s="14" t="s">
        <v>1187</v>
      </c>
      <c r="D258" s="14" t="s">
        <v>1189</v>
      </c>
      <c r="E258" s="13">
        <v>2013</v>
      </c>
      <c r="F258" s="14" t="s">
        <v>8174</v>
      </c>
      <c r="G258" s="14" t="s">
        <v>8174</v>
      </c>
      <c r="H258" s="14" t="s">
        <v>5844</v>
      </c>
      <c r="I258" s="15" t="s">
        <v>3117</v>
      </c>
      <c r="J258" s="16">
        <v>1800000</v>
      </c>
      <c r="K258" s="17">
        <v>43531</v>
      </c>
      <c r="L258" s="16" t="s">
        <v>5134</v>
      </c>
      <c r="M258" s="16">
        <v>1130430</v>
      </c>
      <c r="N258" s="14" t="s">
        <v>34</v>
      </c>
      <c r="O258" s="13">
        <v>4</v>
      </c>
      <c r="P258" s="17">
        <v>44081</v>
      </c>
      <c r="Q258" s="14"/>
      <c r="R258" s="17"/>
      <c r="S258" s="17"/>
      <c r="T258" s="14" t="s">
        <v>6131</v>
      </c>
      <c r="U258" s="14" t="s">
        <v>6132</v>
      </c>
      <c r="V258" s="14" t="s">
        <v>6133</v>
      </c>
      <c r="W258" s="14"/>
      <c r="X258" s="14"/>
      <c r="Y258" s="14"/>
      <c r="Z258" s="14" t="s">
        <v>8175</v>
      </c>
      <c r="AA258" s="14"/>
      <c r="AB258" s="14" t="s">
        <v>5844</v>
      </c>
      <c r="AC258" s="14" t="s">
        <v>8176</v>
      </c>
      <c r="AD258" s="14"/>
      <c r="AE258" s="14" t="s">
        <v>8177</v>
      </c>
      <c r="AF258" s="14" t="s">
        <v>8178</v>
      </c>
      <c r="AG258" s="14" t="s">
        <v>8179</v>
      </c>
      <c r="AH258" s="18" t="s">
        <v>8180</v>
      </c>
      <c r="AI258" s="16"/>
      <c r="AJ258" s="17"/>
      <c r="AK258" s="15" t="s">
        <v>3123</v>
      </c>
      <c r="AL258" s="17"/>
      <c r="AM258" s="16"/>
      <c r="AN258" s="14"/>
      <c r="AO258" s="14"/>
      <c r="AP258" s="15" t="s">
        <v>3123</v>
      </c>
      <c r="AQ258" s="14"/>
      <c r="AR258" s="17"/>
      <c r="AS258" s="16"/>
      <c r="AT258" s="14"/>
      <c r="AU258" s="15" t="s">
        <v>3123</v>
      </c>
      <c r="AV258" s="14"/>
      <c r="AW258" s="17"/>
      <c r="AX258" s="16"/>
      <c r="AY258" s="16"/>
      <c r="AZ258" s="16"/>
      <c r="BA258" s="16"/>
      <c r="BB258" s="15" t="s">
        <v>3123</v>
      </c>
      <c r="BC258" s="17"/>
      <c r="BD258" s="14"/>
      <c r="BE258" s="14"/>
      <c r="BF258" s="16"/>
      <c r="BG258" s="16"/>
      <c r="BH258" s="13"/>
      <c r="BI258" s="18" t="s">
        <v>8181</v>
      </c>
      <c r="BJ258" s="13">
        <v>200</v>
      </c>
      <c r="BK258" s="17">
        <v>44122</v>
      </c>
      <c r="BL258" s="18" t="s">
        <v>8182</v>
      </c>
      <c r="BM258" s="18"/>
      <c r="BN258" s="18"/>
      <c r="BO258" s="18"/>
      <c r="BP258" s="14" t="s">
        <v>8183</v>
      </c>
      <c r="BQ258" s="17">
        <v>43090</v>
      </c>
      <c r="BR258" s="16"/>
      <c r="BS258" s="17"/>
      <c r="BT258" s="16"/>
      <c r="BU258" s="17"/>
      <c r="BV258" s="16"/>
      <c r="BW258" s="17"/>
      <c r="BX258" s="16"/>
      <c r="BY258" s="17"/>
      <c r="BZ258" s="19">
        <v>23.511773376952821</v>
      </c>
      <c r="CA258" s="19"/>
      <c r="CB258" s="17"/>
      <c r="CC258" s="14" t="s">
        <v>5036</v>
      </c>
      <c r="CD258" s="14" t="s">
        <v>5962</v>
      </c>
      <c r="CE258" s="14" t="s">
        <v>5945</v>
      </c>
    </row>
    <row r="259" spans="1:83" ht="26.15" hidden="1" customHeight="1">
      <c r="A259" s="13">
        <v>253</v>
      </c>
      <c r="B259" s="14" t="s">
        <v>2030</v>
      </c>
      <c r="C259" s="14" t="s">
        <v>2031</v>
      </c>
      <c r="D259" s="14" t="s">
        <v>2034</v>
      </c>
      <c r="E259" s="13">
        <v>2013</v>
      </c>
      <c r="F259" s="14" t="s">
        <v>5050</v>
      </c>
      <c r="G259" s="14" t="s">
        <v>5050</v>
      </c>
      <c r="H259" s="14" t="s">
        <v>4343</v>
      </c>
      <c r="I259" s="15" t="s">
        <v>3117</v>
      </c>
      <c r="J259" s="16">
        <v>22000000</v>
      </c>
      <c r="K259" s="17">
        <v>42941</v>
      </c>
      <c r="L259" s="16" t="s">
        <v>5755</v>
      </c>
      <c r="M259" s="16">
        <v>15000000</v>
      </c>
      <c r="N259" s="14" t="s">
        <v>25</v>
      </c>
      <c r="O259" s="13">
        <v>5</v>
      </c>
      <c r="P259" s="17">
        <v>44057</v>
      </c>
      <c r="Q259" s="14" t="s">
        <v>5052</v>
      </c>
      <c r="R259" s="17">
        <v>43248</v>
      </c>
      <c r="S259" s="17">
        <v>42577</v>
      </c>
      <c r="T259" s="14" t="s">
        <v>6605</v>
      </c>
      <c r="U259" s="14" t="s">
        <v>6606</v>
      </c>
      <c r="V259" s="14" t="s">
        <v>6607</v>
      </c>
      <c r="W259" s="14"/>
      <c r="X259" s="14" t="s">
        <v>8184</v>
      </c>
      <c r="Y259" s="14"/>
      <c r="Z259" s="14" t="s">
        <v>8185</v>
      </c>
      <c r="AA259" s="14"/>
      <c r="AB259" s="14" t="s">
        <v>4343</v>
      </c>
      <c r="AC259" s="14" t="s">
        <v>8186</v>
      </c>
      <c r="AD259" s="14"/>
      <c r="AE259" s="14" t="s">
        <v>8187</v>
      </c>
      <c r="AF259" s="14" t="s">
        <v>8188</v>
      </c>
      <c r="AG259" s="14" t="s">
        <v>8189</v>
      </c>
      <c r="AH259" s="18" t="s">
        <v>8190</v>
      </c>
      <c r="AI259" s="16"/>
      <c r="AJ259" s="17"/>
      <c r="AK259" s="15" t="s">
        <v>3123</v>
      </c>
      <c r="AL259" s="17"/>
      <c r="AM259" s="16"/>
      <c r="AN259" s="14"/>
      <c r="AO259" s="14"/>
      <c r="AP259" s="15" t="s">
        <v>3123</v>
      </c>
      <c r="AQ259" s="14"/>
      <c r="AR259" s="17"/>
      <c r="AS259" s="16"/>
      <c r="AT259" s="14"/>
      <c r="AU259" s="15" t="s">
        <v>3123</v>
      </c>
      <c r="AV259" s="14"/>
      <c r="AW259" s="17"/>
      <c r="AX259" s="16"/>
      <c r="AY259" s="16"/>
      <c r="AZ259" s="16"/>
      <c r="BA259" s="16"/>
      <c r="BB259" s="15" t="s">
        <v>3123</v>
      </c>
      <c r="BC259" s="17"/>
      <c r="BD259" s="14"/>
      <c r="BE259" s="14"/>
      <c r="BF259" s="16"/>
      <c r="BG259" s="16"/>
      <c r="BH259" s="13"/>
      <c r="BI259" s="18" t="s">
        <v>8191</v>
      </c>
      <c r="BJ259" s="13">
        <v>200</v>
      </c>
      <c r="BK259" s="17">
        <v>44122</v>
      </c>
      <c r="BL259" s="18" t="s">
        <v>8192</v>
      </c>
      <c r="BM259" s="18" t="s">
        <v>8193</v>
      </c>
      <c r="BN259" s="18" t="s">
        <v>8194</v>
      </c>
      <c r="BO259" s="18"/>
      <c r="BP259" s="14" t="s">
        <v>8195</v>
      </c>
      <c r="BQ259" s="17">
        <v>42929</v>
      </c>
      <c r="BR259" s="16"/>
      <c r="BS259" s="17"/>
      <c r="BT259" s="16"/>
      <c r="BU259" s="17"/>
      <c r="BV259" s="16"/>
      <c r="BW259" s="17"/>
      <c r="BX259" s="16"/>
      <c r="BY259" s="17"/>
      <c r="BZ259" s="19">
        <v>51.90438698173493</v>
      </c>
      <c r="CA259" s="19"/>
      <c r="CB259" s="17"/>
      <c r="CC259" s="14" t="s">
        <v>7551</v>
      </c>
      <c r="CD259" s="14" t="s">
        <v>6002</v>
      </c>
      <c r="CE259" s="14" t="s">
        <v>6074</v>
      </c>
    </row>
    <row r="260" spans="1:83" ht="26.15" customHeight="1">
      <c r="A260" s="13">
        <v>254</v>
      </c>
      <c r="B260" s="14" t="s">
        <v>878</v>
      </c>
      <c r="C260" s="14" t="s">
        <v>879</v>
      </c>
      <c r="D260" s="14" t="s">
        <v>883</v>
      </c>
      <c r="E260" s="13">
        <v>2015</v>
      </c>
      <c r="F260" s="14" t="s">
        <v>5005</v>
      </c>
      <c r="G260" s="14" t="s">
        <v>5006</v>
      </c>
      <c r="H260" s="14" t="s">
        <v>3994</v>
      </c>
      <c r="I260" s="15" t="s">
        <v>3117</v>
      </c>
      <c r="J260" s="16">
        <v>9059375</v>
      </c>
      <c r="K260" s="17">
        <v>43701</v>
      </c>
      <c r="L260" s="16" t="s">
        <v>5022</v>
      </c>
      <c r="M260" s="16">
        <v>2226700</v>
      </c>
      <c r="N260" s="14" t="s">
        <v>109</v>
      </c>
      <c r="O260" s="13">
        <v>4</v>
      </c>
      <c r="P260" s="17">
        <v>44033</v>
      </c>
      <c r="Q260" s="14" t="s">
        <v>5052</v>
      </c>
      <c r="R260" s="17">
        <v>43941</v>
      </c>
      <c r="S260" s="17">
        <v>43178</v>
      </c>
      <c r="T260" s="14" t="s">
        <v>4995</v>
      </c>
      <c r="U260" s="14" t="s">
        <v>4996</v>
      </c>
      <c r="V260" s="14" t="s">
        <v>5418</v>
      </c>
      <c r="W260" s="14"/>
      <c r="X260" s="14" t="s">
        <v>8196</v>
      </c>
      <c r="Y260" s="14" t="s">
        <v>8197</v>
      </c>
      <c r="Z260" s="14" t="s">
        <v>8198</v>
      </c>
      <c r="AA260" s="14"/>
      <c r="AB260" s="14" t="s">
        <v>3994</v>
      </c>
      <c r="AC260" s="14"/>
      <c r="AD260" s="14" t="s">
        <v>8199</v>
      </c>
      <c r="AE260" s="14" t="s">
        <v>8200</v>
      </c>
      <c r="AF260" s="14" t="s">
        <v>8201</v>
      </c>
      <c r="AG260" s="14" t="s">
        <v>8202</v>
      </c>
      <c r="AH260" s="18" t="s">
        <v>8203</v>
      </c>
      <c r="AI260" s="16">
        <v>4087400</v>
      </c>
      <c r="AJ260" s="17">
        <v>43465</v>
      </c>
      <c r="AK260" s="15" t="s">
        <v>3117</v>
      </c>
      <c r="AL260" s="17">
        <v>42144</v>
      </c>
      <c r="AM260" s="16">
        <v>1566</v>
      </c>
      <c r="AN260" s="14" t="s">
        <v>8204</v>
      </c>
      <c r="AO260" s="14"/>
      <c r="AP260" s="15" t="s">
        <v>3123</v>
      </c>
      <c r="AQ260" s="14"/>
      <c r="AR260" s="17"/>
      <c r="AS260" s="16"/>
      <c r="AT260" s="14"/>
      <c r="AU260" s="15" t="s">
        <v>3123</v>
      </c>
      <c r="AV260" s="14"/>
      <c r="AW260" s="17"/>
      <c r="AX260" s="16"/>
      <c r="AY260" s="16"/>
      <c r="AZ260" s="16"/>
      <c r="BA260" s="16"/>
      <c r="BB260" s="15" t="s">
        <v>3123</v>
      </c>
      <c r="BC260" s="17"/>
      <c r="BD260" s="14"/>
      <c r="BE260" s="14"/>
      <c r="BF260" s="16"/>
      <c r="BG260" s="16"/>
      <c r="BH260" s="13"/>
      <c r="BI260" s="18" t="s">
        <v>8205</v>
      </c>
      <c r="BJ260" s="13">
        <v>200</v>
      </c>
      <c r="BK260" s="17">
        <v>44122</v>
      </c>
      <c r="BL260" s="18" t="s">
        <v>8206</v>
      </c>
      <c r="BM260" s="18" t="s">
        <v>8207</v>
      </c>
      <c r="BN260" s="18" t="s">
        <v>8208</v>
      </c>
      <c r="BO260" s="18"/>
      <c r="BP260" s="14" t="s">
        <v>8209</v>
      </c>
      <c r="BQ260" s="17">
        <v>42602</v>
      </c>
      <c r="BR260" s="16">
        <v>-1037200</v>
      </c>
      <c r="BS260" s="17">
        <v>43465</v>
      </c>
      <c r="BT260" s="16">
        <v>-955600</v>
      </c>
      <c r="BU260" s="17">
        <v>43465</v>
      </c>
      <c r="BV260" s="16">
        <v>20000000</v>
      </c>
      <c r="BW260" s="17">
        <v>43701</v>
      </c>
      <c r="BX260" s="16">
        <v>70</v>
      </c>
      <c r="BY260" s="17">
        <v>44012</v>
      </c>
      <c r="BZ260" s="19">
        <v>61.840213692403182</v>
      </c>
      <c r="CA260" s="19"/>
      <c r="CB260" s="17"/>
      <c r="CC260" s="14" t="s">
        <v>6487</v>
      </c>
      <c r="CD260" s="14" t="s">
        <v>5944</v>
      </c>
      <c r="CE260" s="14" t="s">
        <v>5945</v>
      </c>
    </row>
    <row r="261" spans="1:83" ht="26.15" customHeight="1">
      <c r="A261" s="13">
        <v>255</v>
      </c>
      <c r="B261" s="14" t="s">
        <v>322</v>
      </c>
      <c r="C261" s="14" t="s">
        <v>323</v>
      </c>
      <c r="D261" s="14" t="s">
        <v>327</v>
      </c>
      <c r="E261" s="13">
        <v>2013</v>
      </c>
      <c r="F261" s="14" t="s">
        <v>5038</v>
      </c>
      <c r="G261" s="14" t="s">
        <v>5039</v>
      </c>
      <c r="H261" s="14" t="s">
        <v>3994</v>
      </c>
      <c r="I261" s="15" t="s">
        <v>3117</v>
      </c>
      <c r="J261" s="16">
        <v>814923</v>
      </c>
      <c r="K261" s="17">
        <v>43990</v>
      </c>
      <c r="L261" s="16" t="s">
        <v>8210</v>
      </c>
      <c r="M261" s="16">
        <v>66424</v>
      </c>
      <c r="N261" s="14" t="s">
        <v>34</v>
      </c>
      <c r="O261" s="13">
        <v>5</v>
      </c>
      <c r="P261" s="17">
        <v>44003</v>
      </c>
      <c r="Q261" s="14"/>
      <c r="R261" s="17"/>
      <c r="S261" s="17"/>
      <c r="T261" s="14" t="s">
        <v>6857</v>
      </c>
      <c r="U261" s="14" t="s">
        <v>6858</v>
      </c>
      <c r="V261" s="14" t="s">
        <v>8211</v>
      </c>
      <c r="W261" s="14"/>
      <c r="X261" s="14" t="s">
        <v>8212</v>
      </c>
      <c r="Y261" s="14" t="s">
        <v>8213</v>
      </c>
      <c r="Z261" s="14" t="s">
        <v>8214</v>
      </c>
      <c r="AA261" s="14"/>
      <c r="AB261" s="14" t="s">
        <v>3994</v>
      </c>
      <c r="AC261" s="14" t="s">
        <v>8215</v>
      </c>
      <c r="AD261" s="14" t="s">
        <v>8216</v>
      </c>
      <c r="AE261" s="14" t="s">
        <v>8217</v>
      </c>
      <c r="AF261" s="14" t="s">
        <v>8218</v>
      </c>
      <c r="AG261" s="14" t="s">
        <v>8219</v>
      </c>
      <c r="AH261" s="18"/>
      <c r="AI261" s="16">
        <v>538700</v>
      </c>
      <c r="AJ261" s="17">
        <v>43465</v>
      </c>
      <c r="AK261" s="15" t="s">
        <v>3117</v>
      </c>
      <c r="AL261" s="17">
        <v>41543</v>
      </c>
      <c r="AM261" s="16">
        <v>1599</v>
      </c>
      <c r="AN261" s="14" t="s">
        <v>8220</v>
      </c>
      <c r="AO261" s="14"/>
      <c r="AP261" s="15" t="s">
        <v>3123</v>
      </c>
      <c r="AQ261" s="14"/>
      <c r="AR261" s="17"/>
      <c r="AS261" s="16"/>
      <c r="AT261" s="14"/>
      <c r="AU261" s="15" t="s">
        <v>3123</v>
      </c>
      <c r="AV261" s="14"/>
      <c r="AW261" s="17"/>
      <c r="AX261" s="16"/>
      <c r="AY261" s="16"/>
      <c r="AZ261" s="16"/>
      <c r="BA261" s="16"/>
      <c r="BB261" s="15" t="s">
        <v>3123</v>
      </c>
      <c r="BC261" s="17"/>
      <c r="BD261" s="14"/>
      <c r="BE261" s="14"/>
      <c r="BF261" s="16"/>
      <c r="BG261" s="16"/>
      <c r="BH261" s="13"/>
      <c r="BI261" s="18" t="s">
        <v>8221</v>
      </c>
      <c r="BJ261" s="13">
        <v>200</v>
      </c>
      <c r="BK261" s="17">
        <v>44122</v>
      </c>
      <c r="BL261" s="18" t="s">
        <v>8222</v>
      </c>
      <c r="BM261" s="18" t="s">
        <v>8223</v>
      </c>
      <c r="BN261" s="18" t="s">
        <v>8224</v>
      </c>
      <c r="BO261" s="18"/>
      <c r="BP261" s="14" t="s">
        <v>8225</v>
      </c>
      <c r="BQ261" s="17">
        <v>42256</v>
      </c>
      <c r="BR261" s="16">
        <v>-503</v>
      </c>
      <c r="BS261" s="17">
        <v>43465</v>
      </c>
      <c r="BT261" s="16">
        <v>111000</v>
      </c>
      <c r="BU261" s="17">
        <v>43465</v>
      </c>
      <c r="BV261" s="16">
        <v>3902892.0783642828</v>
      </c>
      <c r="BW261" s="17">
        <v>43990</v>
      </c>
      <c r="BX261" s="16">
        <v>33</v>
      </c>
      <c r="BY261" s="17">
        <v>44012</v>
      </c>
      <c r="BZ261" s="19">
        <v>51.065203116962941</v>
      </c>
      <c r="CA261" s="19"/>
      <c r="CB261" s="17"/>
      <c r="CC261" s="14" t="s">
        <v>6365</v>
      </c>
      <c r="CD261" s="14" t="s">
        <v>8226</v>
      </c>
      <c r="CE261" s="14" t="s">
        <v>5004</v>
      </c>
    </row>
    <row r="262" spans="1:83" ht="26.15" customHeight="1">
      <c r="A262" s="13">
        <v>256</v>
      </c>
      <c r="B262" s="14" t="s">
        <v>1411</v>
      </c>
      <c r="C262" s="14" t="s">
        <v>1412</v>
      </c>
      <c r="D262" s="14" t="s">
        <v>1415</v>
      </c>
      <c r="E262" s="13">
        <v>2014</v>
      </c>
      <c r="F262" s="14" t="s">
        <v>4993</v>
      </c>
      <c r="G262" s="14" t="s">
        <v>4994</v>
      </c>
      <c r="H262" s="14" t="s">
        <v>2057</v>
      </c>
      <c r="I262" s="15" t="s">
        <v>3117</v>
      </c>
      <c r="J262" s="16">
        <v>1303000000</v>
      </c>
      <c r="K262" s="17">
        <v>43382</v>
      </c>
      <c r="L262" s="16" t="s">
        <v>8227</v>
      </c>
      <c r="M262" s="16">
        <v>600000000</v>
      </c>
      <c r="N262" s="14" t="s">
        <v>1410</v>
      </c>
      <c r="O262" s="13">
        <v>5</v>
      </c>
      <c r="P262" s="17">
        <v>44014</v>
      </c>
      <c r="Q262" s="14" t="s">
        <v>8228</v>
      </c>
      <c r="R262" s="17">
        <v>43804</v>
      </c>
      <c r="S262" s="17">
        <v>43111</v>
      </c>
      <c r="T262" s="14" t="s">
        <v>5509</v>
      </c>
      <c r="U262" s="14" t="s">
        <v>5510</v>
      </c>
      <c r="V262" s="14" t="s">
        <v>7819</v>
      </c>
      <c r="W262" s="14"/>
      <c r="X262" s="14" t="s">
        <v>8229</v>
      </c>
      <c r="Y262" s="14"/>
      <c r="Z262" s="14" t="s">
        <v>8230</v>
      </c>
      <c r="AA262" s="14"/>
      <c r="AB262" s="14" t="s">
        <v>2057</v>
      </c>
      <c r="AC262" s="14"/>
      <c r="AD262" s="14"/>
      <c r="AE262" s="14" t="s">
        <v>8231</v>
      </c>
      <c r="AF262" s="14" t="s">
        <v>8232</v>
      </c>
      <c r="AG262" s="14" t="s">
        <v>8233</v>
      </c>
      <c r="AH262" s="18"/>
      <c r="AI262" s="16"/>
      <c r="AJ262" s="17"/>
      <c r="AK262" s="15" t="s">
        <v>3123</v>
      </c>
      <c r="AL262" s="17"/>
      <c r="AM262" s="16"/>
      <c r="AN262" s="14"/>
      <c r="AO262" s="14"/>
      <c r="AP262" s="15" t="s">
        <v>3123</v>
      </c>
      <c r="AQ262" s="14"/>
      <c r="AR262" s="17"/>
      <c r="AS262" s="16"/>
      <c r="AT262" s="14"/>
      <c r="AU262" s="15" t="s">
        <v>3123</v>
      </c>
      <c r="AV262" s="14"/>
      <c r="AW262" s="17"/>
      <c r="AX262" s="16"/>
      <c r="AY262" s="16"/>
      <c r="AZ262" s="16"/>
      <c r="BA262" s="16"/>
      <c r="BB262" s="15" t="s">
        <v>3123</v>
      </c>
      <c r="BC262" s="17"/>
      <c r="BD262" s="14"/>
      <c r="BE262" s="14"/>
      <c r="BF262" s="16"/>
      <c r="BG262" s="16"/>
      <c r="BH262" s="13"/>
      <c r="BI262" s="18" t="s">
        <v>8234</v>
      </c>
      <c r="BJ262" s="13">
        <v>200</v>
      </c>
      <c r="BK262" s="17">
        <v>44122</v>
      </c>
      <c r="BL262" s="18" t="s">
        <v>8235</v>
      </c>
      <c r="BM262" s="18"/>
      <c r="BN262" s="18"/>
      <c r="BO262" s="18"/>
      <c r="BP262" s="14" t="s">
        <v>8236</v>
      </c>
      <c r="BQ262" s="17">
        <v>42430</v>
      </c>
      <c r="BR262" s="16"/>
      <c r="BS262" s="17"/>
      <c r="BT262" s="16"/>
      <c r="BU262" s="17"/>
      <c r="BV262" s="16"/>
      <c r="BW262" s="17"/>
      <c r="BX262" s="16"/>
      <c r="BY262" s="17"/>
      <c r="BZ262" s="19">
        <v>44.690128028016112</v>
      </c>
      <c r="CA262" s="19"/>
      <c r="CB262" s="17"/>
      <c r="CC262" s="14" t="s">
        <v>5036</v>
      </c>
      <c r="CD262" s="14" t="s">
        <v>7827</v>
      </c>
      <c r="CE262" s="14" t="s">
        <v>5004</v>
      </c>
    </row>
    <row r="263" spans="1:83" ht="26.15" customHeight="1">
      <c r="A263" s="13">
        <v>257</v>
      </c>
      <c r="B263" s="14" t="s">
        <v>1330</v>
      </c>
      <c r="C263" s="14" t="s">
        <v>1331</v>
      </c>
      <c r="D263" s="14" t="s">
        <v>1334</v>
      </c>
      <c r="E263" s="13">
        <v>2010</v>
      </c>
      <c r="F263" s="14" t="s">
        <v>5038</v>
      </c>
      <c r="G263" s="14" t="s">
        <v>5039</v>
      </c>
      <c r="H263" s="14" t="s">
        <v>3994</v>
      </c>
      <c r="I263" s="15" t="s">
        <v>3117</v>
      </c>
      <c r="J263" s="16">
        <v>15568800</v>
      </c>
      <c r="K263" s="17">
        <v>43424</v>
      </c>
      <c r="L263" s="16" t="s">
        <v>7941</v>
      </c>
      <c r="M263" s="16">
        <v>8113650</v>
      </c>
      <c r="N263" s="14" t="s">
        <v>25</v>
      </c>
      <c r="O263" s="13">
        <v>5</v>
      </c>
      <c r="P263" s="17">
        <v>44098</v>
      </c>
      <c r="Q263" s="14" t="s">
        <v>5052</v>
      </c>
      <c r="R263" s="17">
        <v>44042</v>
      </c>
      <c r="S263" s="17">
        <v>42522</v>
      </c>
      <c r="T263" s="14" t="s">
        <v>8237</v>
      </c>
      <c r="U263" s="14" t="s">
        <v>8238</v>
      </c>
      <c r="V263" s="14" t="s">
        <v>8239</v>
      </c>
      <c r="W263" s="14"/>
      <c r="X263" s="14" t="s">
        <v>8240</v>
      </c>
      <c r="Y263" s="14" t="s">
        <v>8241</v>
      </c>
      <c r="Z263" s="14" t="s">
        <v>8242</v>
      </c>
      <c r="AA263" s="14"/>
      <c r="AB263" s="14" t="s">
        <v>3994</v>
      </c>
      <c r="AC263" s="14" t="s">
        <v>8243</v>
      </c>
      <c r="AD263" s="14" t="s">
        <v>8244</v>
      </c>
      <c r="AE263" s="14" t="s">
        <v>8245</v>
      </c>
      <c r="AF263" s="14" t="s">
        <v>8246</v>
      </c>
      <c r="AG263" s="14" t="s">
        <v>8247</v>
      </c>
      <c r="AH263" s="18"/>
      <c r="AI263" s="16">
        <v>1622700</v>
      </c>
      <c r="AJ263" s="17">
        <v>43465</v>
      </c>
      <c r="AK263" s="15" t="s">
        <v>3117</v>
      </c>
      <c r="AL263" s="17">
        <v>40416</v>
      </c>
      <c r="AM263" s="16">
        <v>2132</v>
      </c>
      <c r="AN263" s="14" t="s">
        <v>8248</v>
      </c>
      <c r="AO263" s="14"/>
      <c r="AP263" s="15" t="s">
        <v>3123</v>
      </c>
      <c r="AQ263" s="14"/>
      <c r="AR263" s="17"/>
      <c r="AS263" s="16"/>
      <c r="AT263" s="14"/>
      <c r="AU263" s="15" t="s">
        <v>3123</v>
      </c>
      <c r="AV263" s="14"/>
      <c r="AW263" s="17"/>
      <c r="AX263" s="16"/>
      <c r="AY263" s="16"/>
      <c r="AZ263" s="16"/>
      <c r="BA263" s="16"/>
      <c r="BB263" s="15" t="s">
        <v>3123</v>
      </c>
      <c r="BC263" s="17"/>
      <c r="BD263" s="14"/>
      <c r="BE263" s="14"/>
      <c r="BF263" s="16"/>
      <c r="BG263" s="16"/>
      <c r="BH263" s="13"/>
      <c r="BI263" s="18" t="s">
        <v>8249</v>
      </c>
      <c r="BJ263" s="13">
        <v>200</v>
      </c>
      <c r="BK263" s="17">
        <v>44122</v>
      </c>
      <c r="BL263" s="18" t="s">
        <v>8250</v>
      </c>
      <c r="BM263" s="18" t="s">
        <v>8251</v>
      </c>
      <c r="BN263" s="18" t="s">
        <v>8252</v>
      </c>
      <c r="BO263" s="18" t="s">
        <v>8253</v>
      </c>
      <c r="BP263" s="14" t="s">
        <v>8254</v>
      </c>
      <c r="BQ263" s="17">
        <v>43353</v>
      </c>
      <c r="BR263" s="16">
        <v>-2289300</v>
      </c>
      <c r="BS263" s="17">
        <v>43465</v>
      </c>
      <c r="BT263" s="16">
        <v>-1768900</v>
      </c>
      <c r="BU263" s="17">
        <v>43465</v>
      </c>
      <c r="BV263" s="16">
        <v>28000000</v>
      </c>
      <c r="BW263" s="17">
        <v>43357</v>
      </c>
      <c r="BX263" s="16">
        <v>172</v>
      </c>
      <c r="BY263" s="17">
        <v>44012</v>
      </c>
      <c r="BZ263" s="19">
        <v>60.337808733667373</v>
      </c>
      <c r="CA263" s="19"/>
      <c r="CB263" s="17"/>
      <c r="CC263" s="14" t="s">
        <v>7305</v>
      </c>
      <c r="CD263" s="14" t="s">
        <v>5879</v>
      </c>
      <c r="CE263" s="14" t="s">
        <v>5004</v>
      </c>
    </row>
    <row r="264" spans="1:83" ht="26.15" customHeight="1">
      <c r="A264" s="13">
        <v>258</v>
      </c>
      <c r="B264" s="14" t="s">
        <v>96</v>
      </c>
      <c r="C264" s="14" t="s">
        <v>97</v>
      </c>
      <c r="D264" s="14" t="s">
        <v>100</v>
      </c>
      <c r="E264" s="13">
        <v>2015</v>
      </c>
      <c r="F264" s="14" t="s">
        <v>5038</v>
      </c>
      <c r="G264" s="14" t="s">
        <v>5039</v>
      </c>
      <c r="H264" s="14" t="s">
        <v>3994</v>
      </c>
      <c r="I264" s="15" t="s">
        <v>3117</v>
      </c>
      <c r="J264" s="16">
        <v>163285834</v>
      </c>
      <c r="K264" s="17">
        <v>44116</v>
      </c>
      <c r="L264" s="16"/>
      <c r="M264" s="16" t="s">
        <v>50</v>
      </c>
      <c r="N264" s="14" t="s">
        <v>95</v>
      </c>
      <c r="O264" s="13">
        <v>5</v>
      </c>
      <c r="P264" s="17">
        <v>44110</v>
      </c>
      <c r="Q264" s="14" t="s">
        <v>5544</v>
      </c>
      <c r="R264" s="17">
        <v>44124</v>
      </c>
      <c r="S264" s="17">
        <v>43446</v>
      </c>
      <c r="T264" s="14" t="s">
        <v>8255</v>
      </c>
      <c r="U264" s="14" t="s">
        <v>8256</v>
      </c>
      <c r="V264" s="14" t="s">
        <v>8257</v>
      </c>
      <c r="W264" s="14"/>
      <c r="X264" s="14" t="s">
        <v>8258</v>
      </c>
      <c r="Y264" s="14" t="s">
        <v>8259</v>
      </c>
      <c r="Z264" s="14" t="s">
        <v>8260</v>
      </c>
      <c r="AA264" s="14"/>
      <c r="AB264" s="14" t="s">
        <v>3994</v>
      </c>
      <c r="AC264" s="14" t="s">
        <v>8261</v>
      </c>
      <c r="AD264" s="14" t="s">
        <v>8262</v>
      </c>
      <c r="AE264" s="14" t="s">
        <v>8263</v>
      </c>
      <c r="AF264" s="14" t="s">
        <v>8264</v>
      </c>
      <c r="AG264" s="14" t="s">
        <v>8265</v>
      </c>
      <c r="AH264" s="18" t="s">
        <v>8266</v>
      </c>
      <c r="AI264" s="16">
        <v>17109500</v>
      </c>
      <c r="AJ264" s="17">
        <v>43465</v>
      </c>
      <c r="AK264" s="15" t="s">
        <v>3117</v>
      </c>
      <c r="AL264" s="17">
        <v>42187</v>
      </c>
      <c r="AM264" s="16">
        <v>1573</v>
      </c>
      <c r="AN264" s="14" t="s">
        <v>8267</v>
      </c>
      <c r="AO264" s="14"/>
      <c r="AP264" s="15" t="s">
        <v>3123</v>
      </c>
      <c r="AQ264" s="14"/>
      <c r="AR264" s="17"/>
      <c r="AS264" s="16"/>
      <c r="AT264" s="14"/>
      <c r="AU264" s="15" t="s">
        <v>3123</v>
      </c>
      <c r="AV264" s="14"/>
      <c r="AW264" s="17"/>
      <c r="AX264" s="16"/>
      <c r="AY264" s="16"/>
      <c r="AZ264" s="16"/>
      <c r="BA264" s="16"/>
      <c r="BB264" s="15" t="s">
        <v>3123</v>
      </c>
      <c r="BC264" s="17"/>
      <c r="BD264" s="14"/>
      <c r="BE264" s="14"/>
      <c r="BF264" s="16"/>
      <c r="BG264" s="16"/>
      <c r="BH264" s="13"/>
      <c r="BI264" s="18" t="s">
        <v>8268</v>
      </c>
      <c r="BJ264" s="13">
        <v>200</v>
      </c>
      <c r="BK264" s="17">
        <v>44122</v>
      </c>
      <c r="BL264" s="18" t="s">
        <v>8269</v>
      </c>
      <c r="BM264" s="18" t="s">
        <v>8270</v>
      </c>
      <c r="BN264" s="18" t="s">
        <v>8271</v>
      </c>
      <c r="BO264" s="18" t="s">
        <v>8272</v>
      </c>
      <c r="BP264" s="14" t="s">
        <v>8273</v>
      </c>
      <c r="BQ264" s="17">
        <v>43788</v>
      </c>
      <c r="BR264" s="16">
        <v>-11795100</v>
      </c>
      <c r="BS264" s="17">
        <v>43465</v>
      </c>
      <c r="BT264" s="16">
        <v>-11030500</v>
      </c>
      <c r="BU264" s="17">
        <v>43465</v>
      </c>
      <c r="BV264" s="16">
        <v>350000000</v>
      </c>
      <c r="BW264" s="17">
        <v>43841</v>
      </c>
      <c r="BX264" s="16">
        <v>3783</v>
      </c>
      <c r="BY264" s="17">
        <v>44012</v>
      </c>
      <c r="BZ264" s="19">
        <v>67.923045062986645</v>
      </c>
      <c r="CA264" s="19"/>
      <c r="CB264" s="17"/>
      <c r="CC264" s="14" t="s">
        <v>8274</v>
      </c>
      <c r="CD264" s="14" t="s">
        <v>8275</v>
      </c>
      <c r="CE264" s="14" t="s">
        <v>5004</v>
      </c>
    </row>
    <row r="265" spans="1:83" ht="26.15" customHeight="1">
      <c r="A265" s="13">
        <v>259</v>
      </c>
      <c r="B265" s="14" t="s">
        <v>1417</v>
      </c>
      <c r="C265" s="14" t="s">
        <v>1418</v>
      </c>
      <c r="D265" s="14" t="s">
        <v>1422</v>
      </c>
      <c r="E265" s="13">
        <v>2015</v>
      </c>
      <c r="F265" s="14" t="s">
        <v>7618</v>
      </c>
      <c r="G265" s="14" t="s">
        <v>7618</v>
      </c>
      <c r="H265" s="14" t="s">
        <v>2057</v>
      </c>
      <c r="I265" s="15" t="s">
        <v>3117</v>
      </c>
      <c r="J265" s="16">
        <v>2800000</v>
      </c>
      <c r="K265" s="17">
        <v>43379</v>
      </c>
      <c r="L265" s="16" t="s">
        <v>5069</v>
      </c>
      <c r="M265" s="16">
        <v>2800000</v>
      </c>
      <c r="N265" s="14" t="s">
        <v>109</v>
      </c>
      <c r="O265" s="13">
        <v>4</v>
      </c>
      <c r="P265" s="17">
        <v>44021</v>
      </c>
      <c r="Q265" s="14" t="s">
        <v>5052</v>
      </c>
      <c r="R265" s="17">
        <v>43650</v>
      </c>
      <c r="S265" s="17">
        <v>43379</v>
      </c>
      <c r="T265" s="14" t="s">
        <v>1</v>
      </c>
      <c r="U265" s="14" t="s">
        <v>5007</v>
      </c>
      <c r="V265" s="14" t="s">
        <v>968</v>
      </c>
      <c r="W265" s="14"/>
      <c r="X265" s="14" t="s">
        <v>8276</v>
      </c>
      <c r="Y265" s="14" t="s">
        <v>8277</v>
      </c>
      <c r="Z265" s="14" t="s">
        <v>8278</v>
      </c>
      <c r="AA265" s="14"/>
      <c r="AB265" s="14" t="s">
        <v>2057</v>
      </c>
      <c r="AC265" s="14"/>
      <c r="AD265" s="14"/>
      <c r="AE265" s="14" t="s">
        <v>8279</v>
      </c>
      <c r="AF265" s="14" t="s">
        <v>8280</v>
      </c>
      <c r="AG265" s="14" t="s">
        <v>8281</v>
      </c>
      <c r="AH265" s="18"/>
      <c r="AI265" s="16"/>
      <c r="AJ265" s="17"/>
      <c r="AK265" s="15" t="s">
        <v>3123</v>
      </c>
      <c r="AL265" s="17"/>
      <c r="AM265" s="16"/>
      <c r="AN265" s="14"/>
      <c r="AO265" s="14"/>
      <c r="AP265" s="15" t="s">
        <v>3123</v>
      </c>
      <c r="AQ265" s="14"/>
      <c r="AR265" s="17"/>
      <c r="AS265" s="16"/>
      <c r="AT265" s="14"/>
      <c r="AU265" s="15" t="s">
        <v>3123</v>
      </c>
      <c r="AV265" s="14"/>
      <c r="AW265" s="17"/>
      <c r="AX265" s="16"/>
      <c r="AY265" s="16"/>
      <c r="AZ265" s="16"/>
      <c r="BA265" s="16"/>
      <c r="BB265" s="15" t="s">
        <v>3123</v>
      </c>
      <c r="BC265" s="17"/>
      <c r="BD265" s="14"/>
      <c r="BE265" s="14"/>
      <c r="BF265" s="16"/>
      <c r="BG265" s="16"/>
      <c r="BH265" s="13"/>
      <c r="BI265" s="18" t="s">
        <v>8282</v>
      </c>
      <c r="BJ265" s="13">
        <v>200</v>
      </c>
      <c r="BK265" s="17">
        <v>44122</v>
      </c>
      <c r="BL265" s="18" t="s">
        <v>8283</v>
      </c>
      <c r="BM265" s="18" t="s">
        <v>8284</v>
      </c>
      <c r="BN265" s="18" t="s">
        <v>8285</v>
      </c>
      <c r="BO265" s="18"/>
      <c r="BP265" s="14" t="s">
        <v>8286</v>
      </c>
      <c r="BQ265" s="17">
        <v>43032</v>
      </c>
      <c r="BR265" s="16"/>
      <c r="BS265" s="17"/>
      <c r="BT265" s="16"/>
      <c r="BU265" s="17"/>
      <c r="BV265" s="16"/>
      <c r="BW265" s="17"/>
      <c r="BX265" s="16"/>
      <c r="BY265" s="17"/>
      <c r="BZ265" s="19">
        <v>47.945783473013478</v>
      </c>
      <c r="CA265" s="19"/>
      <c r="CB265" s="17"/>
      <c r="CC265" s="14" t="s">
        <v>7284</v>
      </c>
      <c r="CD265" s="14" t="s">
        <v>6002</v>
      </c>
      <c r="CE265" s="14" t="s">
        <v>5945</v>
      </c>
    </row>
    <row r="266" spans="1:83" ht="26.15" customHeight="1">
      <c r="A266" s="13">
        <v>260</v>
      </c>
      <c r="B266" s="14" t="s">
        <v>507</v>
      </c>
      <c r="C266" s="14" t="s">
        <v>508</v>
      </c>
      <c r="D266" s="14" t="s">
        <v>510</v>
      </c>
      <c r="E266" s="13">
        <v>2014</v>
      </c>
      <c r="F266" s="14" t="s">
        <v>5592</v>
      </c>
      <c r="G266" s="14" t="s">
        <v>5313</v>
      </c>
      <c r="H266" s="14" t="s">
        <v>3994</v>
      </c>
      <c r="I266" s="15" t="s">
        <v>3117</v>
      </c>
      <c r="J266" s="16">
        <v>1000000</v>
      </c>
      <c r="K266" s="17">
        <v>43901</v>
      </c>
      <c r="L266" s="16"/>
      <c r="M266" s="16" t="s">
        <v>50</v>
      </c>
      <c r="N266" s="14" t="s">
        <v>34</v>
      </c>
      <c r="O266" s="13">
        <v>4</v>
      </c>
      <c r="P266" s="17">
        <v>44025</v>
      </c>
      <c r="Q266" s="14"/>
      <c r="R266" s="17"/>
      <c r="S266" s="17"/>
      <c r="T266" s="14" t="s">
        <v>4995</v>
      </c>
      <c r="U266" s="14" t="s">
        <v>5578</v>
      </c>
      <c r="V266" s="14" t="s">
        <v>6813</v>
      </c>
      <c r="W266" s="14"/>
      <c r="X266" s="14" t="s">
        <v>4488</v>
      </c>
      <c r="Y266" s="14" t="s">
        <v>509</v>
      </c>
      <c r="Z266" s="14" t="s">
        <v>8287</v>
      </c>
      <c r="AA266" s="14"/>
      <c r="AB266" s="14" t="s">
        <v>3994</v>
      </c>
      <c r="AC266" s="14" t="s">
        <v>8288</v>
      </c>
      <c r="AD266" s="14" t="s">
        <v>8289</v>
      </c>
      <c r="AE266" s="14" t="s">
        <v>8290</v>
      </c>
      <c r="AF266" s="14" t="s">
        <v>8291</v>
      </c>
      <c r="AG266" s="14" t="s">
        <v>8292</v>
      </c>
      <c r="AH266" s="18"/>
      <c r="AI266" s="16">
        <v>819100</v>
      </c>
      <c r="AJ266" s="17">
        <v>43465</v>
      </c>
      <c r="AK266" s="15" t="s">
        <v>3123</v>
      </c>
      <c r="AL266" s="17"/>
      <c r="AM266" s="16"/>
      <c r="AN266" s="14"/>
      <c r="AO266" s="14"/>
      <c r="AP266" s="15" t="s">
        <v>3123</v>
      </c>
      <c r="AQ266" s="14"/>
      <c r="AR266" s="17"/>
      <c r="AS266" s="16"/>
      <c r="AT266" s="14"/>
      <c r="AU266" s="15" t="s">
        <v>3123</v>
      </c>
      <c r="AV266" s="14"/>
      <c r="AW266" s="17"/>
      <c r="AX266" s="16"/>
      <c r="AY266" s="16"/>
      <c r="AZ266" s="16"/>
      <c r="BA266" s="16"/>
      <c r="BB266" s="15" t="s">
        <v>3123</v>
      </c>
      <c r="BC266" s="17"/>
      <c r="BD266" s="14"/>
      <c r="BE266" s="14"/>
      <c r="BF266" s="16"/>
      <c r="BG266" s="16"/>
      <c r="BH266" s="13"/>
      <c r="BI266" s="18" t="s">
        <v>8293</v>
      </c>
      <c r="BJ266" s="13">
        <v>200</v>
      </c>
      <c r="BK266" s="17">
        <v>44122</v>
      </c>
      <c r="BL266" s="18"/>
      <c r="BM266" s="18" t="s">
        <v>8294</v>
      </c>
      <c r="BN266" s="18" t="s">
        <v>8295</v>
      </c>
      <c r="BO266" s="18"/>
      <c r="BP266" s="14" t="s">
        <v>8296</v>
      </c>
      <c r="BQ266" s="17">
        <v>42880</v>
      </c>
      <c r="BR266" s="16">
        <v>-372300</v>
      </c>
      <c r="BS266" s="17">
        <v>43465</v>
      </c>
      <c r="BT266" s="16">
        <v>-341600</v>
      </c>
      <c r="BU266" s="17">
        <v>43465</v>
      </c>
      <c r="BV266" s="16"/>
      <c r="BW266" s="17"/>
      <c r="BX266" s="16">
        <v>12</v>
      </c>
      <c r="BY266" s="17">
        <v>44012</v>
      </c>
      <c r="BZ266" s="19">
        <v>41.05103619534475</v>
      </c>
      <c r="CA266" s="19"/>
      <c r="CB266" s="17"/>
      <c r="CC266" s="14" t="s">
        <v>7606</v>
      </c>
      <c r="CD266" s="14" t="s">
        <v>8297</v>
      </c>
      <c r="CE266" s="14" t="s">
        <v>5004</v>
      </c>
    </row>
    <row r="267" spans="1:83" ht="26.15" customHeight="1">
      <c r="A267" s="13">
        <v>261</v>
      </c>
      <c r="B267" s="14" t="s">
        <v>110</v>
      </c>
      <c r="C267" s="14" t="s">
        <v>111</v>
      </c>
      <c r="D267" s="14" t="s">
        <v>114</v>
      </c>
      <c r="E267" s="13">
        <v>2010</v>
      </c>
      <c r="F267" s="14" t="s">
        <v>5038</v>
      </c>
      <c r="G267" s="14" t="s">
        <v>5039</v>
      </c>
      <c r="H267" s="14" t="s">
        <v>3994</v>
      </c>
      <c r="I267" s="15" t="s">
        <v>3117</v>
      </c>
      <c r="J267" s="16">
        <v>10726419</v>
      </c>
      <c r="K267" s="17">
        <v>44111</v>
      </c>
      <c r="L267" s="16" t="s">
        <v>5456</v>
      </c>
      <c r="M267" s="16">
        <v>4457650</v>
      </c>
      <c r="N267" s="14" t="s">
        <v>109</v>
      </c>
      <c r="O267" s="13">
        <v>4</v>
      </c>
      <c r="P267" s="17">
        <v>44117</v>
      </c>
      <c r="Q267" s="14"/>
      <c r="R267" s="17"/>
      <c r="S267" s="17"/>
      <c r="T267" s="14" t="s">
        <v>8298</v>
      </c>
      <c r="U267" s="14" t="s">
        <v>8299</v>
      </c>
      <c r="V267" s="14" t="s">
        <v>8300</v>
      </c>
      <c r="W267" s="14"/>
      <c r="X267" s="14" t="s">
        <v>8301</v>
      </c>
      <c r="Y267" s="14" t="s">
        <v>2751</v>
      </c>
      <c r="Z267" s="14" t="s">
        <v>8302</v>
      </c>
      <c r="AA267" s="14"/>
      <c r="AB267" s="14" t="s">
        <v>3994</v>
      </c>
      <c r="AC267" s="14" t="s">
        <v>8303</v>
      </c>
      <c r="AD267" s="14" t="s">
        <v>8304</v>
      </c>
      <c r="AE267" s="14" t="s">
        <v>8305</v>
      </c>
      <c r="AF267" s="14" t="s">
        <v>8306</v>
      </c>
      <c r="AG267" s="14" t="s">
        <v>8307</v>
      </c>
      <c r="AH267" s="18"/>
      <c r="AI267" s="16">
        <v>2361270.2240646211</v>
      </c>
      <c r="AJ267" s="17">
        <v>43100</v>
      </c>
      <c r="AK267" s="15" t="s">
        <v>3117</v>
      </c>
      <c r="AL267" s="17">
        <v>41001</v>
      </c>
      <c r="AM267" s="16">
        <v>1916</v>
      </c>
      <c r="AN267" s="14" t="s">
        <v>8308</v>
      </c>
      <c r="AO267" s="14"/>
      <c r="AP267" s="15" t="s">
        <v>3123</v>
      </c>
      <c r="AQ267" s="14"/>
      <c r="AR267" s="17"/>
      <c r="AS267" s="16"/>
      <c r="AT267" s="14"/>
      <c r="AU267" s="15" t="s">
        <v>3123</v>
      </c>
      <c r="AV267" s="14"/>
      <c r="AW267" s="17"/>
      <c r="AX267" s="16"/>
      <c r="AY267" s="16"/>
      <c r="AZ267" s="16"/>
      <c r="BA267" s="16"/>
      <c r="BB267" s="15" t="s">
        <v>3123</v>
      </c>
      <c r="BC267" s="17"/>
      <c r="BD267" s="14"/>
      <c r="BE267" s="14"/>
      <c r="BF267" s="16"/>
      <c r="BG267" s="16"/>
      <c r="BH267" s="13"/>
      <c r="BI267" s="18" t="s">
        <v>8309</v>
      </c>
      <c r="BJ267" s="13">
        <v>200</v>
      </c>
      <c r="BK267" s="17">
        <v>44122</v>
      </c>
      <c r="BL267" s="18"/>
      <c r="BM267" s="18"/>
      <c r="BN267" s="18" t="s">
        <v>8310</v>
      </c>
      <c r="BO267" s="18"/>
      <c r="BP267" s="14" t="s">
        <v>8311</v>
      </c>
      <c r="BQ267" s="17">
        <v>42338</v>
      </c>
      <c r="BR267" s="16">
        <v>-111510.30019563364</v>
      </c>
      <c r="BS267" s="17">
        <v>43100</v>
      </c>
      <c r="BT267" s="16">
        <v>-82007.642168857114</v>
      </c>
      <c r="BU267" s="17">
        <v>43100</v>
      </c>
      <c r="BV267" s="16">
        <v>10000000</v>
      </c>
      <c r="BW267" s="17">
        <v>43920</v>
      </c>
      <c r="BX267" s="16">
        <v>124</v>
      </c>
      <c r="BY267" s="17">
        <v>44012</v>
      </c>
      <c r="BZ267" s="19">
        <v>53.161392342942918</v>
      </c>
      <c r="CA267" s="19"/>
      <c r="CB267" s="17"/>
      <c r="CC267" s="14" t="s">
        <v>7193</v>
      </c>
      <c r="CD267" s="14" t="s">
        <v>8312</v>
      </c>
      <c r="CE267" s="14" t="s">
        <v>5311</v>
      </c>
    </row>
    <row r="268" spans="1:83" ht="26.15" customHeight="1">
      <c r="A268" s="13">
        <v>262</v>
      </c>
      <c r="B268" s="14" t="s">
        <v>1581</v>
      </c>
      <c r="C268" s="14" t="s">
        <v>1582</v>
      </c>
      <c r="D268" s="14" t="s">
        <v>1584</v>
      </c>
      <c r="E268" s="13">
        <v>2014</v>
      </c>
      <c r="F268" s="14" t="s">
        <v>8313</v>
      </c>
      <c r="G268" s="14" t="s">
        <v>6884</v>
      </c>
      <c r="H268" s="14" t="s">
        <v>5333</v>
      </c>
      <c r="I268" s="15" t="s">
        <v>3117</v>
      </c>
      <c r="J268" s="16">
        <v>1150000</v>
      </c>
      <c r="K268" s="17">
        <v>43269</v>
      </c>
      <c r="L268" s="16" t="s">
        <v>5252</v>
      </c>
      <c r="M268" s="16">
        <v>100000</v>
      </c>
      <c r="N268" s="14" t="s">
        <v>34</v>
      </c>
      <c r="O268" s="13">
        <v>4</v>
      </c>
      <c r="P268" s="17">
        <v>43993</v>
      </c>
      <c r="Q268" s="14" t="s">
        <v>5052</v>
      </c>
      <c r="R268" s="17">
        <v>43567</v>
      </c>
      <c r="S268" s="17">
        <v>43252</v>
      </c>
      <c r="T268" s="14" t="s">
        <v>1</v>
      </c>
      <c r="U268" s="14" t="s">
        <v>5007</v>
      </c>
      <c r="V268" s="14" t="s">
        <v>6920</v>
      </c>
      <c r="W268" s="14"/>
      <c r="X268" s="14" t="s">
        <v>8314</v>
      </c>
      <c r="Y268" s="14"/>
      <c r="Z268" s="14" t="s">
        <v>8315</v>
      </c>
      <c r="AA268" s="14"/>
      <c r="AB268" s="14" t="s">
        <v>5333</v>
      </c>
      <c r="AC268" s="14" t="s">
        <v>8316</v>
      </c>
      <c r="AD268" s="14"/>
      <c r="AE268" s="14" t="s">
        <v>8317</v>
      </c>
      <c r="AF268" s="14" t="s">
        <v>8318</v>
      </c>
      <c r="AG268" s="14" t="s">
        <v>8319</v>
      </c>
      <c r="AH268" s="18"/>
      <c r="AI268" s="16"/>
      <c r="AJ268" s="17"/>
      <c r="AK268" s="15" t="s">
        <v>3123</v>
      </c>
      <c r="AL268" s="17"/>
      <c r="AM268" s="16"/>
      <c r="AN268" s="14"/>
      <c r="AO268" s="14"/>
      <c r="AP268" s="15" t="s">
        <v>3123</v>
      </c>
      <c r="AQ268" s="14"/>
      <c r="AR268" s="17"/>
      <c r="AS268" s="16"/>
      <c r="AT268" s="14"/>
      <c r="AU268" s="15" t="s">
        <v>3123</v>
      </c>
      <c r="AV268" s="14"/>
      <c r="AW268" s="17"/>
      <c r="AX268" s="16"/>
      <c r="AY268" s="16"/>
      <c r="AZ268" s="16"/>
      <c r="BA268" s="16"/>
      <c r="BB268" s="15" t="s">
        <v>3123</v>
      </c>
      <c r="BC268" s="17"/>
      <c r="BD268" s="14"/>
      <c r="BE268" s="14"/>
      <c r="BF268" s="16"/>
      <c r="BG268" s="16"/>
      <c r="BH268" s="13"/>
      <c r="BI268" s="18" t="s">
        <v>8320</v>
      </c>
      <c r="BJ268" s="13">
        <v>200</v>
      </c>
      <c r="BK268" s="17">
        <v>44122</v>
      </c>
      <c r="BL268" s="18" t="s">
        <v>8321</v>
      </c>
      <c r="BM268" s="18" t="s">
        <v>8322</v>
      </c>
      <c r="BN268" s="18" t="s">
        <v>8323</v>
      </c>
      <c r="BO268" s="18"/>
      <c r="BP268" s="14" t="s">
        <v>8324</v>
      </c>
      <c r="BQ268" s="17">
        <v>43019</v>
      </c>
      <c r="BR268" s="16"/>
      <c r="BS268" s="17"/>
      <c r="BT268" s="16"/>
      <c r="BU268" s="17"/>
      <c r="BV268" s="16"/>
      <c r="BW268" s="17"/>
      <c r="BX268" s="16"/>
      <c r="BY268" s="17"/>
      <c r="BZ268" s="19">
        <v>46.49120368071717</v>
      </c>
      <c r="CA268" s="19"/>
      <c r="CB268" s="17"/>
      <c r="CC268" s="14" t="s">
        <v>5036</v>
      </c>
      <c r="CD268" s="14" t="s">
        <v>5962</v>
      </c>
      <c r="CE268" s="14" t="s">
        <v>5945</v>
      </c>
    </row>
    <row r="269" spans="1:83" ht="26.15" customHeight="1">
      <c r="A269" s="13">
        <v>263</v>
      </c>
      <c r="B269" s="14" t="s">
        <v>1205</v>
      </c>
      <c r="C269" s="14" t="s">
        <v>1206</v>
      </c>
      <c r="D269" s="14" t="s">
        <v>1209</v>
      </c>
      <c r="E269" s="13">
        <v>2014</v>
      </c>
      <c r="F269" s="14" t="s">
        <v>5389</v>
      </c>
      <c r="G269" s="14" t="s">
        <v>5390</v>
      </c>
      <c r="H269" s="14" t="s">
        <v>5391</v>
      </c>
      <c r="I269" s="15" t="s">
        <v>3117</v>
      </c>
      <c r="J269" s="16"/>
      <c r="K269" s="17">
        <v>43500</v>
      </c>
      <c r="L269" s="16"/>
      <c r="M269" s="16" t="s">
        <v>50</v>
      </c>
      <c r="N269" s="14" t="s">
        <v>34</v>
      </c>
      <c r="O269" s="13">
        <v>4</v>
      </c>
      <c r="P269" s="17">
        <v>44013</v>
      </c>
      <c r="Q269" s="14"/>
      <c r="R269" s="17"/>
      <c r="S269" s="17"/>
      <c r="T269" s="14" t="s">
        <v>8325</v>
      </c>
      <c r="U269" s="14" t="s">
        <v>8326</v>
      </c>
      <c r="V269" s="14" t="s">
        <v>8327</v>
      </c>
      <c r="W269" s="14"/>
      <c r="X269" s="14" t="s">
        <v>8328</v>
      </c>
      <c r="Y269" s="14"/>
      <c r="Z269" s="14" t="s">
        <v>8329</v>
      </c>
      <c r="AA269" s="14"/>
      <c r="AB269" s="14" t="s">
        <v>5391</v>
      </c>
      <c r="AC269" s="14" t="s">
        <v>8330</v>
      </c>
      <c r="AD269" s="14" t="s">
        <v>8331</v>
      </c>
      <c r="AE269" s="14" t="s">
        <v>8332</v>
      </c>
      <c r="AF269" s="14" t="s">
        <v>8333</v>
      </c>
      <c r="AG269" s="14" t="s">
        <v>8334</v>
      </c>
      <c r="AH269" s="18" t="s">
        <v>8335</v>
      </c>
      <c r="AI269" s="16"/>
      <c r="AJ269" s="17"/>
      <c r="AK269" s="15" t="s">
        <v>3123</v>
      </c>
      <c r="AL269" s="17"/>
      <c r="AM269" s="16"/>
      <c r="AN269" s="14"/>
      <c r="AO269" s="14"/>
      <c r="AP269" s="15" t="s">
        <v>3123</v>
      </c>
      <c r="AQ269" s="14"/>
      <c r="AR269" s="17"/>
      <c r="AS269" s="16"/>
      <c r="AT269" s="14"/>
      <c r="AU269" s="15" t="s">
        <v>3123</v>
      </c>
      <c r="AV269" s="14"/>
      <c r="AW269" s="17"/>
      <c r="AX269" s="16"/>
      <c r="AY269" s="16"/>
      <c r="AZ269" s="16"/>
      <c r="BA269" s="16"/>
      <c r="BB269" s="15" t="s">
        <v>3123</v>
      </c>
      <c r="BC269" s="17"/>
      <c r="BD269" s="14"/>
      <c r="BE269" s="14"/>
      <c r="BF269" s="16"/>
      <c r="BG269" s="16"/>
      <c r="BH269" s="13"/>
      <c r="BI269" s="18" t="s">
        <v>8336</v>
      </c>
      <c r="BJ269" s="13">
        <v>200</v>
      </c>
      <c r="BK269" s="17">
        <v>44121</v>
      </c>
      <c r="BL269" s="18" t="s">
        <v>8337</v>
      </c>
      <c r="BM269" s="18" t="s">
        <v>8338</v>
      </c>
      <c r="BN269" s="18" t="s">
        <v>8339</v>
      </c>
      <c r="BO269" s="18"/>
      <c r="BP269" s="14" t="s">
        <v>8340</v>
      </c>
      <c r="BQ269" s="17">
        <v>42586</v>
      </c>
      <c r="BR269" s="16"/>
      <c r="BS269" s="17"/>
      <c r="BT269" s="16"/>
      <c r="BU269" s="17"/>
      <c r="BV269" s="16"/>
      <c r="BW269" s="17"/>
      <c r="BX269" s="16"/>
      <c r="BY269" s="17"/>
      <c r="BZ269" s="19">
        <v>42.46388502461155</v>
      </c>
      <c r="CA269" s="19"/>
      <c r="CB269" s="17"/>
      <c r="CC269" s="14" t="s">
        <v>8341</v>
      </c>
      <c r="CD269" s="14" t="s">
        <v>6839</v>
      </c>
      <c r="CE269" s="14" t="s">
        <v>7194</v>
      </c>
    </row>
    <row r="270" spans="1:83" ht="26.15" customHeight="1">
      <c r="A270" s="13">
        <v>264</v>
      </c>
      <c r="B270" s="14" t="s">
        <v>2005</v>
      </c>
      <c r="C270" s="14" t="s">
        <v>2006</v>
      </c>
      <c r="D270" s="14" t="s">
        <v>2009</v>
      </c>
      <c r="E270" s="13">
        <v>2014</v>
      </c>
      <c r="F270" s="14" t="s">
        <v>8342</v>
      </c>
      <c r="G270" s="14" t="s">
        <v>8343</v>
      </c>
      <c r="H270" s="14" t="s">
        <v>6632</v>
      </c>
      <c r="I270" s="15" t="s">
        <v>3117</v>
      </c>
      <c r="J270" s="16"/>
      <c r="K270" s="17">
        <v>42972</v>
      </c>
      <c r="L270" s="16"/>
      <c r="M270" s="16" t="s">
        <v>50</v>
      </c>
      <c r="N270" s="14" t="s">
        <v>5040</v>
      </c>
      <c r="O270" s="13">
        <v>2</v>
      </c>
      <c r="P270" s="17">
        <v>44019</v>
      </c>
      <c r="Q270" s="14"/>
      <c r="R270" s="17"/>
      <c r="S270" s="17"/>
      <c r="T270" s="14" t="s">
        <v>5493</v>
      </c>
      <c r="U270" s="14" t="s">
        <v>5494</v>
      </c>
      <c r="V270" s="14" t="s">
        <v>8344</v>
      </c>
      <c r="W270" s="14"/>
      <c r="X270" s="14" t="s">
        <v>8345</v>
      </c>
      <c r="Y270" s="14"/>
      <c r="Z270" s="14" t="s">
        <v>8346</v>
      </c>
      <c r="AA270" s="14"/>
      <c r="AB270" s="14" t="s">
        <v>6632</v>
      </c>
      <c r="AC270" s="14" t="s">
        <v>8347</v>
      </c>
      <c r="AD270" s="14"/>
      <c r="AE270" s="14" t="s">
        <v>8348</v>
      </c>
      <c r="AF270" s="14"/>
      <c r="AG270" s="14" t="s">
        <v>8349</v>
      </c>
      <c r="AH270" s="18" t="s">
        <v>8350</v>
      </c>
      <c r="AI270" s="16"/>
      <c r="AJ270" s="17"/>
      <c r="AK270" s="15" t="s">
        <v>3123</v>
      </c>
      <c r="AL270" s="17"/>
      <c r="AM270" s="16"/>
      <c r="AN270" s="14"/>
      <c r="AO270" s="14"/>
      <c r="AP270" s="15" t="s">
        <v>3123</v>
      </c>
      <c r="AQ270" s="14"/>
      <c r="AR270" s="17"/>
      <c r="AS270" s="16"/>
      <c r="AT270" s="14"/>
      <c r="AU270" s="15" t="s">
        <v>3123</v>
      </c>
      <c r="AV270" s="14"/>
      <c r="AW270" s="17"/>
      <c r="AX270" s="16"/>
      <c r="AY270" s="16"/>
      <c r="AZ270" s="16"/>
      <c r="BA270" s="16"/>
      <c r="BB270" s="15" t="s">
        <v>3123</v>
      </c>
      <c r="BC270" s="17"/>
      <c r="BD270" s="14"/>
      <c r="BE270" s="14"/>
      <c r="BF270" s="16"/>
      <c r="BG270" s="16"/>
      <c r="BH270" s="13"/>
      <c r="BI270" s="18" t="s">
        <v>8351</v>
      </c>
      <c r="BJ270" s="13">
        <v>200</v>
      </c>
      <c r="BK270" s="17">
        <v>44121</v>
      </c>
      <c r="BL270" s="18" t="s">
        <v>8352</v>
      </c>
      <c r="BM270" s="18" t="s">
        <v>8353</v>
      </c>
      <c r="BN270" s="18" t="s">
        <v>8354</v>
      </c>
      <c r="BO270" s="18"/>
      <c r="BP270" s="14" t="s">
        <v>8355</v>
      </c>
      <c r="BQ270" s="17">
        <v>43020</v>
      </c>
      <c r="BR270" s="16"/>
      <c r="BS270" s="17"/>
      <c r="BT270" s="16"/>
      <c r="BU270" s="17"/>
      <c r="BV270" s="16"/>
      <c r="BW270" s="17"/>
      <c r="BX270" s="16"/>
      <c r="BY270" s="17"/>
      <c r="BZ270" s="19">
        <v>30.734636613479633</v>
      </c>
      <c r="CA270" s="19"/>
      <c r="CB270" s="17"/>
      <c r="CC270" s="14" t="s">
        <v>8356</v>
      </c>
      <c r="CD270" s="14" t="s">
        <v>6557</v>
      </c>
      <c r="CE270" s="14" t="s">
        <v>5945</v>
      </c>
    </row>
    <row r="271" spans="1:83" ht="26.15" customHeight="1">
      <c r="A271" s="13">
        <v>265</v>
      </c>
      <c r="B271" s="14" t="s">
        <v>856</v>
      </c>
      <c r="C271" s="14" t="s">
        <v>857</v>
      </c>
      <c r="D271" s="14" t="s">
        <v>861</v>
      </c>
      <c r="E271" s="13">
        <v>2014</v>
      </c>
      <c r="F271" s="14" t="s">
        <v>8357</v>
      </c>
      <c r="G271" s="14" t="s">
        <v>5804</v>
      </c>
      <c r="H271" s="14" t="s">
        <v>5208</v>
      </c>
      <c r="I271" s="15" t="s">
        <v>3117</v>
      </c>
      <c r="J271" s="16">
        <v>7000000</v>
      </c>
      <c r="K271" s="17">
        <v>43712</v>
      </c>
      <c r="L271" s="16" t="s">
        <v>6481</v>
      </c>
      <c r="M271" s="16">
        <v>5800000</v>
      </c>
      <c r="N271" s="14" t="s">
        <v>109</v>
      </c>
      <c r="O271" s="13">
        <v>5</v>
      </c>
      <c r="P271" s="17">
        <v>44057</v>
      </c>
      <c r="Q271" s="14" t="s">
        <v>5052</v>
      </c>
      <c r="R271" s="17">
        <v>43719</v>
      </c>
      <c r="S271" s="17">
        <v>43712</v>
      </c>
      <c r="T271" s="14" t="s">
        <v>5041</v>
      </c>
      <c r="U271" s="14" t="s">
        <v>5042</v>
      </c>
      <c r="V271" s="14" t="s">
        <v>7413</v>
      </c>
      <c r="W271" s="14"/>
      <c r="X271" s="14" t="s">
        <v>8358</v>
      </c>
      <c r="Y271" s="14"/>
      <c r="Z271" s="14" t="s">
        <v>8359</v>
      </c>
      <c r="AA271" s="14"/>
      <c r="AB271" s="14" t="s">
        <v>5208</v>
      </c>
      <c r="AC271" s="14" t="s">
        <v>8360</v>
      </c>
      <c r="AD271" s="14" t="s">
        <v>8361</v>
      </c>
      <c r="AE271" s="14" t="s">
        <v>8362</v>
      </c>
      <c r="AF271" s="14" t="s">
        <v>8363</v>
      </c>
      <c r="AG271" s="14" t="s">
        <v>8364</v>
      </c>
      <c r="AH271" s="18" t="s">
        <v>8365</v>
      </c>
      <c r="AI271" s="16"/>
      <c r="AJ271" s="17"/>
      <c r="AK271" s="15" t="s">
        <v>3123</v>
      </c>
      <c r="AL271" s="17"/>
      <c r="AM271" s="16"/>
      <c r="AN271" s="14"/>
      <c r="AO271" s="14"/>
      <c r="AP271" s="15" t="s">
        <v>3123</v>
      </c>
      <c r="AQ271" s="14"/>
      <c r="AR271" s="17"/>
      <c r="AS271" s="16"/>
      <c r="AT271" s="14"/>
      <c r="AU271" s="15" t="s">
        <v>3123</v>
      </c>
      <c r="AV271" s="14"/>
      <c r="AW271" s="17"/>
      <c r="AX271" s="16"/>
      <c r="AY271" s="16"/>
      <c r="AZ271" s="16"/>
      <c r="BA271" s="16"/>
      <c r="BB271" s="15" t="s">
        <v>3123</v>
      </c>
      <c r="BC271" s="17"/>
      <c r="BD271" s="14"/>
      <c r="BE271" s="14"/>
      <c r="BF271" s="16"/>
      <c r="BG271" s="16"/>
      <c r="BH271" s="13"/>
      <c r="BI271" s="18" t="s">
        <v>8366</v>
      </c>
      <c r="BJ271" s="13">
        <v>200</v>
      </c>
      <c r="BK271" s="17">
        <v>44121</v>
      </c>
      <c r="BL271" s="18" t="s">
        <v>8367</v>
      </c>
      <c r="BM271" s="18" t="s">
        <v>8368</v>
      </c>
      <c r="BN271" s="18" t="s">
        <v>8369</v>
      </c>
      <c r="BO271" s="18" t="s">
        <v>8370</v>
      </c>
      <c r="BP271" s="14" t="s">
        <v>8371</v>
      </c>
      <c r="BQ271" s="17">
        <v>43019</v>
      </c>
      <c r="BR271" s="16"/>
      <c r="BS271" s="17"/>
      <c r="BT271" s="16"/>
      <c r="BU271" s="17"/>
      <c r="BV271" s="16"/>
      <c r="BW271" s="17"/>
      <c r="BX271" s="16"/>
      <c r="BY271" s="17"/>
      <c r="BZ271" s="19">
        <v>49.110272606634908</v>
      </c>
      <c r="CA271" s="19"/>
      <c r="CB271" s="17"/>
      <c r="CC271" s="14" t="s">
        <v>8372</v>
      </c>
      <c r="CD271" s="14" t="s">
        <v>5879</v>
      </c>
      <c r="CE271" s="14" t="s">
        <v>5004</v>
      </c>
    </row>
    <row r="272" spans="1:83" ht="26.15" customHeight="1">
      <c r="A272" s="13">
        <v>266</v>
      </c>
      <c r="B272" s="14" t="s">
        <v>770</v>
      </c>
      <c r="C272" s="14" t="s">
        <v>771</v>
      </c>
      <c r="D272" s="14" t="s">
        <v>775</v>
      </c>
      <c r="E272" s="13">
        <v>1964</v>
      </c>
      <c r="F272" s="14" t="s">
        <v>8373</v>
      </c>
      <c r="G272" s="14" t="s">
        <v>5313</v>
      </c>
      <c r="H272" s="14" t="s">
        <v>3994</v>
      </c>
      <c r="I272" s="15" t="s">
        <v>3117</v>
      </c>
      <c r="J272" s="16">
        <v>26000000</v>
      </c>
      <c r="K272" s="17">
        <v>43742</v>
      </c>
      <c r="L272" s="16" t="s">
        <v>8374</v>
      </c>
      <c r="M272" s="16">
        <v>26000000</v>
      </c>
      <c r="N272" s="14" t="s">
        <v>5040</v>
      </c>
      <c r="O272" s="13">
        <v>4</v>
      </c>
      <c r="P272" s="17">
        <v>44003</v>
      </c>
      <c r="Q272" s="14" t="s">
        <v>5052</v>
      </c>
      <c r="R272" s="17">
        <v>43754</v>
      </c>
      <c r="S272" s="17">
        <v>43742</v>
      </c>
      <c r="T272" s="14" t="s">
        <v>6645</v>
      </c>
      <c r="U272" s="14" t="s">
        <v>8119</v>
      </c>
      <c r="V272" s="14" t="s">
        <v>8375</v>
      </c>
      <c r="W272" s="14"/>
      <c r="X272" s="14" t="s">
        <v>8376</v>
      </c>
      <c r="Y272" s="14"/>
      <c r="Z272" s="14" t="s">
        <v>8377</v>
      </c>
      <c r="AA272" s="14"/>
      <c r="AB272" s="14" t="s">
        <v>3994</v>
      </c>
      <c r="AC272" s="14" t="s">
        <v>8378</v>
      </c>
      <c r="AD272" s="14" t="s">
        <v>8379</v>
      </c>
      <c r="AE272" s="14" t="s">
        <v>8380</v>
      </c>
      <c r="AF272" s="14" t="s">
        <v>8381</v>
      </c>
      <c r="AG272" s="14" t="s">
        <v>8382</v>
      </c>
      <c r="AH272" s="18" t="s">
        <v>8383</v>
      </c>
      <c r="AI272" s="16">
        <v>112473055</v>
      </c>
      <c r="AJ272" s="17">
        <v>43465</v>
      </c>
      <c r="AK272" s="15" t="s">
        <v>3123</v>
      </c>
      <c r="AL272" s="17"/>
      <c r="AM272" s="16"/>
      <c r="AN272" s="14"/>
      <c r="AO272" s="14"/>
      <c r="AP272" s="15" t="s">
        <v>3123</v>
      </c>
      <c r="AQ272" s="14"/>
      <c r="AR272" s="17"/>
      <c r="AS272" s="16"/>
      <c r="AT272" s="14"/>
      <c r="AU272" s="15" t="s">
        <v>3123</v>
      </c>
      <c r="AV272" s="14"/>
      <c r="AW272" s="17"/>
      <c r="AX272" s="16"/>
      <c r="AY272" s="16"/>
      <c r="AZ272" s="16"/>
      <c r="BA272" s="16"/>
      <c r="BB272" s="15" t="s">
        <v>3123</v>
      </c>
      <c r="BC272" s="17"/>
      <c r="BD272" s="14"/>
      <c r="BE272" s="14"/>
      <c r="BF272" s="16"/>
      <c r="BG272" s="16"/>
      <c r="BH272" s="13"/>
      <c r="BI272" s="18" t="s">
        <v>8384</v>
      </c>
      <c r="BJ272" s="13">
        <v>200</v>
      </c>
      <c r="BK272" s="17">
        <v>44121</v>
      </c>
      <c r="BL272" s="18" t="s">
        <v>8385</v>
      </c>
      <c r="BM272" s="18" t="s">
        <v>8386</v>
      </c>
      <c r="BN272" s="18" t="s">
        <v>8387</v>
      </c>
      <c r="BO272" s="18"/>
      <c r="BP272" s="14" t="s">
        <v>8388</v>
      </c>
      <c r="BQ272" s="17">
        <v>43187</v>
      </c>
      <c r="BR272" s="16">
        <v>-2944932</v>
      </c>
      <c r="BS272" s="17">
        <v>43465</v>
      </c>
      <c r="BT272" s="16">
        <v>-2914004</v>
      </c>
      <c r="BU272" s="17">
        <v>43465</v>
      </c>
      <c r="BV272" s="16">
        <v>20000000</v>
      </c>
      <c r="BW272" s="17">
        <v>40806</v>
      </c>
      <c r="BX272" s="16">
        <v>37</v>
      </c>
      <c r="BY272" s="17">
        <v>43921</v>
      </c>
      <c r="BZ272" s="19">
        <v>54.118402034345458</v>
      </c>
      <c r="CA272" s="19"/>
      <c r="CB272" s="17"/>
      <c r="CC272" s="14" t="s">
        <v>5345</v>
      </c>
      <c r="CD272" s="14" t="s">
        <v>5346</v>
      </c>
      <c r="CE272" s="14" t="s">
        <v>5311</v>
      </c>
    </row>
    <row r="273" spans="1:83" ht="26.15" customHeight="1">
      <c r="A273" s="13">
        <v>267</v>
      </c>
      <c r="B273" s="14" t="s">
        <v>1265</v>
      </c>
      <c r="C273" s="14" t="s">
        <v>1266</v>
      </c>
      <c r="D273" s="14" t="s">
        <v>1268</v>
      </c>
      <c r="E273" s="13">
        <v>2011</v>
      </c>
      <c r="F273" s="14" t="s">
        <v>4993</v>
      </c>
      <c r="G273" s="14" t="s">
        <v>4994</v>
      </c>
      <c r="H273" s="14" t="s">
        <v>2057</v>
      </c>
      <c r="I273" s="15" t="s">
        <v>3117</v>
      </c>
      <c r="J273" s="16">
        <v>20000000</v>
      </c>
      <c r="K273" s="17">
        <v>43467</v>
      </c>
      <c r="L273" s="16"/>
      <c r="M273" s="16" t="s">
        <v>50</v>
      </c>
      <c r="N273" s="14" t="s">
        <v>95</v>
      </c>
      <c r="O273" s="13">
        <v>5</v>
      </c>
      <c r="P273" s="17">
        <v>44027</v>
      </c>
      <c r="Q273" s="14"/>
      <c r="R273" s="17"/>
      <c r="S273" s="17"/>
      <c r="T273" s="14" t="s">
        <v>5509</v>
      </c>
      <c r="U273" s="14" t="s">
        <v>5510</v>
      </c>
      <c r="V273" s="14" t="s">
        <v>7886</v>
      </c>
      <c r="W273" s="14"/>
      <c r="X273" s="14" t="s">
        <v>8389</v>
      </c>
      <c r="Y273" s="14"/>
      <c r="Z273" s="14" t="s">
        <v>8390</v>
      </c>
      <c r="AA273" s="14"/>
      <c r="AB273" s="14" t="s">
        <v>2057</v>
      </c>
      <c r="AC273" s="14"/>
      <c r="AD273" s="14"/>
      <c r="AE273" s="14"/>
      <c r="AF273" s="14"/>
      <c r="AG273" s="14"/>
      <c r="AH273" s="18"/>
      <c r="AI273" s="16"/>
      <c r="AJ273" s="17"/>
      <c r="AK273" s="15" t="s">
        <v>3123</v>
      </c>
      <c r="AL273" s="17"/>
      <c r="AM273" s="16"/>
      <c r="AN273" s="14"/>
      <c r="AO273" s="14"/>
      <c r="AP273" s="15" t="s">
        <v>3123</v>
      </c>
      <c r="AQ273" s="14"/>
      <c r="AR273" s="17"/>
      <c r="AS273" s="16"/>
      <c r="AT273" s="14"/>
      <c r="AU273" s="15" t="s">
        <v>3123</v>
      </c>
      <c r="AV273" s="14"/>
      <c r="AW273" s="17"/>
      <c r="AX273" s="16"/>
      <c r="AY273" s="16"/>
      <c r="AZ273" s="16"/>
      <c r="BA273" s="16"/>
      <c r="BB273" s="15" t="s">
        <v>3123</v>
      </c>
      <c r="BC273" s="17"/>
      <c r="BD273" s="14"/>
      <c r="BE273" s="14"/>
      <c r="BF273" s="16"/>
      <c r="BG273" s="16"/>
      <c r="BH273" s="13"/>
      <c r="BI273" s="18" t="s">
        <v>8391</v>
      </c>
      <c r="BJ273" s="13">
        <v>200</v>
      </c>
      <c r="BK273" s="17">
        <v>44121</v>
      </c>
      <c r="BL273" s="18"/>
      <c r="BM273" s="18"/>
      <c r="BN273" s="18"/>
      <c r="BO273" s="18"/>
      <c r="BP273" s="14" t="s">
        <v>8392</v>
      </c>
      <c r="BQ273" s="17">
        <v>42492</v>
      </c>
      <c r="BR273" s="16"/>
      <c r="BS273" s="17"/>
      <c r="BT273" s="16"/>
      <c r="BU273" s="17"/>
      <c r="BV273" s="16"/>
      <c r="BW273" s="17"/>
      <c r="BX273" s="16"/>
      <c r="BY273" s="17"/>
      <c r="BZ273" s="19">
        <v>45.561121317924353</v>
      </c>
      <c r="CA273" s="19"/>
      <c r="CB273" s="17"/>
      <c r="CC273" s="14" t="s">
        <v>6556</v>
      </c>
      <c r="CD273" s="14" t="s">
        <v>6731</v>
      </c>
      <c r="CE273" s="14" t="s">
        <v>6074</v>
      </c>
    </row>
    <row r="274" spans="1:83" ht="26.15" customHeight="1">
      <c r="A274" s="13">
        <v>268</v>
      </c>
      <c r="B274" s="14" t="s">
        <v>1171</v>
      </c>
      <c r="C274" s="14" t="s">
        <v>1172</v>
      </c>
      <c r="D274" s="14" t="s">
        <v>1175</v>
      </c>
      <c r="E274" s="13">
        <v>2008</v>
      </c>
      <c r="F274" s="14" t="s">
        <v>5592</v>
      </c>
      <c r="G274" s="14" t="s">
        <v>5313</v>
      </c>
      <c r="H274" s="14" t="s">
        <v>3994</v>
      </c>
      <c r="I274" s="15" t="s">
        <v>3117</v>
      </c>
      <c r="J274" s="16">
        <v>47182672</v>
      </c>
      <c r="K274" s="17">
        <v>43536</v>
      </c>
      <c r="L274" s="16" t="s">
        <v>7743</v>
      </c>
      <c r="M274" s="16">
        <v>31182200</v>
      </c>
      <c r="N274" s="14" t="s">
        <v>95</v>
      </c>
      <c r="O274" s="13">
        <v>4</v>
      </c>
      <c r="P274" s="17">
        <v>44026</v>
      </c>
      <c r="Q274" s="14" t="s">
        <v>5544</v>
      </c>
      <c r="R274" s="17">
        <v>43649</v>
      </c>
      <c r="S274" s="17">
        <v>43590</v>
      </c>
      <c r="T274" s="14" t="s">
        <v>5493</v>
      </c>
      <c r="U274" s="14" t="s">
        <v>5494</v>
      </c>
      <c r="V274" s="14" t="s">
        <v>8393</v>
      </c>
      <c r="W274" s="14"/>
      <c r="X274" s="14" t="s">
        <v>8394</v>
      </c>
      <c r="Y274" s="14" t="s">
        <v>2973</v>
      </c>
      <c r="Z274" s="14" t="s">
        <v>8395</v>
      </c>
      <c r="AA274" s="14"/>
      <c r="AB274" s="14" t="s">
        <v>3994</v>
      </c>
      <c r="AC274" s="14" t="s">
        <v>8396</v>
      </c>
      <c r="AD274" s="14" t="s">
        <v>8397</v>
      </c>
      <c r="AE274" s="14" t="s">
        <v>8398</v>
      </c>
      <c r="AF274" s="14" t="s">
        <v>8399</v>
      </c>
      <c r="AG274" s="14" t="s">
        <v>8400</v>
      </c>
      <c r="AH274" s="18"/>
      <c r="AI274" s="16">
        <v>11618100</v>
      </c>
      <c r="AJ274" s="17">
        <v>43465</v>
      </c>
      <c r="AK274" s="15" t="s">
        <v>3117</v>
      </c>
      <c r="AL274" s="17">
        <v>39741</v>
      </c>
      <c r="AM274" s="16">
        <v>1986</v>
      </c>
      <c r="AN274" s="14" t="s">
        <v>8401</v>
      </c>
      <c r="AO274" s="14"/>
      <c r="AP274" s="15" t="s">
        <v>3123</v>
      </c>
      <c r="AQ274" s="14"/>
      <c r="AR274" s="17"/>
      <c r="AS274" s="16"/>
      <c r="AT274" s="14"/>
      <c r="AU274" s="15" t="s">
        <v>3123</v>
      </c>
      <c r="AV274" s="14"/>
      <c r="AW274" s="17"/>
      <c r="AX274" s="16"/>
      <c r="AY274" s="16"/>
      <c r="AZ274" s="16"/>
      <c r="BA274" s="16"/>
      <c r="BB274" s="15" t="s">
        <v>3123</v>
      </c>
      <c r="BC274" s="17"/>
      <c r="BD274" s="14" t="s">
        <v>2910</v>
      </c>
      <c r="BE274" s="14"/>
      <c r="BF274" s="16"/>
      <c r="BG274" s="16"/>
      <c r="BH274" s="13"/>
      <c r="BI274" s="18" t="s">
        <v>8402</v>
      </c>
      <c r="BJ274" s="13">
        <v>200</v>
      </c>
      <c r="BK274" s="17">
        <v>44121</v>
      </c>
      <c r="BL274" s="18" t="s">
        <v>8403</v>
      </c>
      <c r="BM274" s="18" t="s">
        <v>8404</v>
      </c>
      <c r="BN274" s="18"/>
      <c r="BO274" s="18" t="s">
        <v>8405</v>
      </c>
      <c r="BP274" s="14" t="s">
        <v>8406</v>
      </c>
      <c r="BQ274" s="17">
        <v>42863</v>
      </c>
      <c r="BR274" s="16">
        <v>-7017200</v>
      </c>
      <c r="BS274" s="17">
        <v>43465</v>
      </c>
      <c r="BT274" s="16">
        <v>-6646400</v>
      </c>
      <c r="BU274" s="17">
        <v>43465</v>
      </c>
      <c r="BV274" s="16">
        <v>100000000</v>
      </c>
      <c r="BW274" s="17">
        <v>43565</v>
      </c>
      <c r="BX274" s="16">
        <v>1020</v>
      </c>
      <c r="BY274" s="17">
        <v>44012</v>
      </c>
      <c r="BZ274" s="19">
        <v>71.493456540584731</v>
      </c>
      <c r="CA274" s="19"/>
      <c r="CB274" s="17"/>
      <c r="CC274" s="14" t="s">
        <v>8407</v>
      </c>
      <c r="CD274" s="14" t="s">
        <v>6629</v>
      </c>
      <c r="CE274" s="14" t="s">
        <v>5004</v>
      </c>
    </row>
    <row r="275" spans="1:83" ht="26.15" customHeight="1">
      <c r="A275" s="13">
        <v>269</v>
      </c>
      <c r="B275" s="14" t="s">
        <v>1094</v>
      </c>
      <c r="C275" s="14" t="s">
        <v>1095</v>
      </c>
      <c r="D275" s="14" t="s">
        <v>1096</v>
      </c>
      <c r="E275" s="13">
        <v>2013</v>
      </c>
      <c r="F275" s="14" t="s">
        <v>4993</v>
      </c>
      <c r="G275" s="14" t="s">
        <v>4994</v>
      </c>
      <c r="H275" s="14" t="s">
        <v>2057</v>
      </c>
      <c r="I275" s="15" t="s">
        <v>3117</v>
      </c>
      <c r="J275" s="16">
        <v>100000</v>
      </c>
      <c r="K275" s="17">
        <v>43559</v>
      </c>
      <c r="L275" s="16" t="s">
        <v>5252</v>
      </c>
      <c r="M275" s="16">
        <v>100000</v>
      </c>
      <c r="N275" s="14" t="s">
        <v>34</v>
      </c>
      <c r="O275" s="13">
        <v>4</v>
      </c>
      <c r="P275" s="17">
        <v>44047</v>
      </c>
      <c r="Q275" s="14"/>
      <c r="R275" s="17"/>
      <c r="S275" s="17"/>
      <c r="T275" s="14" t="s">
        <v>1</v>
      </c>
      <c r="U275" s="14" t="s">
        <v>5007</v>
      </c>
      <c r="V275" s="14" t="s">
        <v>1097</v>
      </c>
      <c r="W275" s="14"/>
      <c r="X275" s="14" t="s">
        <v>8408</v>
      </c>
      <c r="Y275" s="14"/>
      <c r="Z275" s="14" t="s">
        <v>8409</v>
      </c>
      <c r="AA275" s="14"/>
      <c r="AB275" s="14" t="s">
        <v>2057</v>
      </c>
      <c r="AC275" s="14"/>
      <c r="AD275" s="14"/>
      <c r="AE275" s="14" t="s">
        <v>8410</v>
      </c>
      <c r="AF275" s="14" t="s">
        <v>8411</v>
      </c>
      <c r="AG275" s="14" t="s">
        <v>8412</v>
      </c>
      <c r="AH275" s="18" t="s">
        <v>8413</v>
      </c>
      <c r="AI275" s="16"/>
      <c r="AJ275" s="17"/>
      <c r="AK275" s="15" t="s">
        <v>3123</v>
      </c>
      <c r="AL275" s="17"/>
      <c r="AM275" s="16"/>
      <c r="AN275" s="14"/>
      <c r="AO275" s="14"/>
      <c r="AP275" s="15" t="s">
        <v>3123</v>
      </c>
      <c r="AQ275" s="14"/>
      <c r="AR275" s="17"/>
      <c r="AS275" s="16"/>
      <c r="AT275" s="14"/>
      <c r="AU275" s="15" t="s">
        <v>3123</v>
      </c>
      <c r="AV275" s="14"/>
      <c r="AW275" s="17"/>
      <c r="AX275" s="16"/>
      <c r="AY275" s="16"/>
      <c r="AZ275" s="16"/>
      <c r="BA275" s="16"/>
      <c r="BB275" s="15" t="s">
        <v>3123</v>
      </c>
      <c r="BC275" s="17"/>
      <c r="BD275" s="14"/>
      <c r="BE275" s="14"/>
      <c r="BF275" s="16"/>
      <c r="BG275" s="16"/>
      <c r="BH275" s="13"/>
      <c r="BI275" s="18" t="s">
        <v>8414</v>
      </c>
      <c r="BJ275" s="13">
        <v>200</v>
      </c>
      <c r="BK275" s="17">
        <v>44121</v>
      </c>
      <c r="BL275" s="18" t="s">
        <v>8415</v>
      </c>
      <c r="BM275" s="18" t="s">
        <v>8416</v>
      </c>
      <c r="BN275" s="18"/>
      <c r="BO275" s="18"/>
      <c r="BP275" s="14" t="s">
        <v>8417</v>
      </c>
      <c r="BQ275" s="17">
        <v>43021</v>
      </c>
      <c r="BR275" s="16"/>
      <c r="BS275" s="17"/>
      <c r="BT275" s="16"/>
      <c r="BU275" s="17"/>
      <c r="BV275" s="16"/>
      <c r="BW275" s="17"/>
      <c r="BX275" s="16"/>
      <c r="BY275" s="17"/>
      <c r="BZ275" s="19">
        <v>42.64848556484931</v>
      </c>
      <c r="CA275" s="19"/>
      <c r="CB275" s="17"/>
      <c r="CC275" s="14" t="s">
        <v>8418</v>
      </c>
      <c r="CD275" s="14" t="s">
        <v>8419</v>
      </c>
      <c r="CE275" s="14" t="s">
        <v>5521</v>
      </c>
    </row>
    <row r="276" spans="1:83" ht="26.15" customHeight="1">
      <c r="A276" s="13">
        <v>270</v>
      </c>
      <c r="B276" s="14" t="s">
        <v>1312</v>
      </c>
      <c r="C276" s="14" t="s">
        <v>1313</v>
      </c>
      <c r="D276" s="14" t="s">
        <v>1315</v>
      </c>
      <c r="E276" s="13">
        <v>2013</v>
      </c>
      <c r="F276" s="14" t="s">
        <v>5507</v>
      </c>
      <c r="G276" s="14" t="s">
        <v>5507</v>
      </c>
      <c r="H276" s="14" t="s">
        <v>5508</v>
      </c>
      <c r="I276" s="15" t="s">
        <v>3117</v>
      </c>
      <c r="J276" s="16"/>
      <c r="K276" s="17">
        <v>43443</v>
      </c>
      <c r="L276" s="16"/>
      <c r="M276" s="16" t="s">
        <v>50</v>
      </c>
      <c r="N276" s="14" t="s">
        <v>34</v>
      </c>
      <c r="O276" s="13">
        <v>4</v>
      </c>
      <c r="P276" s="17">
        <v>44063</v>
      </c>
      <c r="Q276" s="14"/>
      <c r="R276" s="17"/>
      <c r="S276" s="17"/>
      <c r="T276" s="14" t="s">
        <v>8102</v>
      </c>
      <c r="U276" s="14" t="s">
        <v>8420</v>
      </c>
      <c r="V276" s="14" t="s">
        <v>8421</v>
      </c>
      <c r="W276" s="14"/>
      <c r="X276" s="14" t="s">
        <v>8422</v>
      </c>
      <c r="Y276" s="14"/>
      <c r="Z276" s="14" t="s">
        <v>8423</v>
      </c>
      <c r="AA276" s="14"/>
      <c r="AB276" s="14" t="s">
        <v>5508</v>
      </c>
      <c r="AC276" s="14" t="s">
        <v>8424</v>
      </c>
      <c r="AD276" s="14"/>
      <c r="AE276" s="14" t="s">
        <v>8425</v>
      </c>
      <c r="AF276" s="14" t="s">
        <v>8426</v>
      </c>
      <c r="AG276" s="14" t="s">
        <v>8427</v>
      </c>
      <c r="AH276" s="18"/>
      <c r="AI276" s="16"/>
      <c r="AJ276" s="17"/>
      <c r="AK276" s="15" t="s">
        <v>3123</v>
      </c>
      <c r="AL276" s="17"/>
      <c r="AM276" s="16"/>
      <c r="AN276" s="14"/>
      <c r="AO276" s="14"/>
      <c r="AP276" s="15" t="s">
        <v>3123</v>
      </c>
      <c r="AQ276" s="14"/>
      <c r="AR276" s="17"/>
      <c r="AS276" s="16"/>
      <c r="AT276" s="14"/>
      <c r="AU276" s="15" t="s">
        <v>3123</v>
      </c>
      <c r="AV276" s="14"/>
      <c r="AW276" s="17"/>
      <c r="AX276" s="16"/>
      <c r="AY276" s="16"/>
      <c r="AZ276" s="16"/>
      <c r="BA276" s="16"/>
      <c r="BB276" s="15" t="s">
        <v>3123</v>
      </c>
      <c r="BC276" s="17"/>
      <c r="BD276" s="14"/>
      <c r="BE276" s="14"/>
      <c r="BF276" s="16"/>
      <c r="BG276" s="16"/>
      <c r="BH276" s="13"/>
      <c r="BI276" s="18" t="s">
        <v>8428</v>
      </c>
      <c r="BJ276" s="13">
        <v>200</v>
      </c>
      <c r="BK276" s="17">
        <v>44121</v>
      </c>
      <c r="BL276" s="18"/>
      <c r="BM276" s="18" t="s">
        <v>8429</v>
      </c>
      <c r="BN276" s="18" t="s">
        <v>8430</v>
      </c>
      <c r="BO276" s="18"/>
      <c r="BP276" s="14" t="s">
        <v>8431</v>
      </c>
      <c r="BQ276" s="17">
        <v>42934</v>
      </c>
      <c r="BR276" s="16"/>
      <c r="BS276" s="17"/>
      <c r="BT276" s="16"/>
      <c r="BU276" s="17"/>
      <c r="BV276" s="16"/>
      <c r="BW276" s="17"/>
      <c r="BX276" s="16"/>
      <c r="BY276" s="17"/>
      <c r="BZ276" s="19">
        <v>40.589010179588598</v>
      </c>
      <c r="CA276" s="19"/>
      <c r="CB276" s="17"/>
      <c r="CC276" s="14" t="s">
        <v>8432</v>
      </c>
      <c r="CD276" s="14" t="s">
        <v>6266</v>
      </c>
      <c r="CE276" s="14" t="s">
        <v>5311</v>
      </c>
    </row>
    <row r="277" spans="1:83" ht="26.15" customHeight="1">
      <c r="A277" s="13">
        <v>271</v>
      </c>
      <c r="B277" s="14" t="s">
        <v>701</v>
      </c>
      <c r="C277" s="14" t="s">
        <v>702</v>
      </c>
      <c r="D277" s="14" t="s">
        <v>705</v>
      </c>
      <c r="E277" s="13">
        <v>2016</v>
      </c>
      <c r="F277" s="14" t="s">
        <v>5507</v>
      </c>
      <c r="G277" s="14" t="s">
        <v>5507</v>
      </c>
      <c r="H277" s="14" t="s">
        <v>5508</v>
      </c>
      <c r="I277" s="15" t="s">
        <v>3117</v>
      </c>
      <c r="J277" s="16"/>
      <c r="K277" s="17">
        <v>43769</v>
      </c>
      <c r="L277" s="16"/>
      <c r="M277" s="16" t="s">
        <v>50</v>
      </c>
      <c r="N277" s="14" t="s">
        <v>5040</v>
      </c>
      <c r="O277" s="13">
        <v>3</v>
      </c>
      <c r="P277" s="17">
        <v>44055</v>
      </c>
      <c r="Q277" s="14"/>
      <c r="R277" s="17"/>
      <c r="S277" s="17"/>
      <c r="T277" s="14" t="s">
        <v>8433</v>
      </c>
      <c r="U277" s="14" t="s">
        <v>8434</v>
      </c>
      <c r="V277" s="14" t="s">
        <v>8435</v>
      </c>
      <c r="W277" s="14"/>
      <c r="X277" s="14" t="s">
        <v>8436</v>
      </c>
      <c r="Y277" s="14"/>
      <c r="Z277" s="14" t="s">
        <v>8437</v>
      </c>
      <c r="AA277" s="14"/>
      <c r="AB277" s="14" t="s">
        <v>5508</v>
      </c>
      <c r="AC277" s="14" t="s">
        <v>8438</v>
      </c>
      <c r="AD277" s="14"/>
      <c r="AE277" s="14" t="s">
        <v>8439</v>
      </c>
      <c r="AF277" s="14" t="s">
        <v>8440</v>
      </c>
      <c r="AG277" s="14" t="s">
        <v>8441</v>
      </c>
      <c r="AH277" s="18"/>
      <c r="AI277" s="16"/>
      <c r="AJ277" s="17"/>
      <c r="AK277" s="15" t="s">
        <v>3123</v>
      </c>
      <c r="AL277" s="17"/>
      <c r="AM277" s="16"/>
      <c r="AN277" s="14"/>
      <c r="AO277" s="14"/>
      <c r="AP277" s="15" t="s">
        <v>3123</v>
      </c>
      <c r="AQ277" s="14"/>
      <c r="AR277" s="17"/>
      <c r="AS277" s="16"/>
      <c r="AT277" s="14"/>
      <c r="AU277" s="15" t="s">
        <v>3123</v>
      </c>
      <c r="AV277" s="14"/>
      <c r="AW277" s="17"/>
      <c r="AX277" s="16"/>
      <c r="AY277" s="16"/>
      <c r="AZ277" s="16"/>
      <c r="BA277" s="16"/>
      <c r="BB277" s="15" t="s">
        <v>3123</v>
      </c>
      <c r="BC277" s="17"/>
      <c r="BD277" s="14"/>
      <c r="BE277" s="14"/>
      <c r="BF277" s="16"/>
      <c r="BG277" s="16"/>
      <c r="BH277" s="13"/>
      <c r="BI277" s="18" t="s">
        <v>8442</v>
      </c>
      <c r="BJ277" s="13">
        <v>200</v>
      </c>
      <c r="BK277" s="17">
        <v>44120</v>
      </c>
      <c r="BL277" s="18" t="s">
        <v>8443</v>
      </c>
      <c r="BM277" s="18"/>
      <c r="BN277" s="18" t="s">
        <v>8444</v>
      </c>
      <c r="BO277" s="18"/>
      <c r="BP277" s="14" t="s">
        <v>8445</v>
      </c>
      <c r="BQ277" s="17">
        <v>42891</v>
      </c>
      <c r="BR277" s="16"/>
      <c r="BS277" s="17"/>
      <c r="BT277" s="16"/>
      <c r="BU277" s="17"/>
      <c r="BV277" s="16"/>
      <c r="BW277" s="17"/>
      <c r="BX277" s="16"/>
      <c r="BY277" s="17"/>
      <c r="BZ277" s="19">
        <v>24.694001813381014</v>
      </c>
      <c r="CA277" s="19"/>
      <c r="CB277" s="17"/>
      <c r="CC277" s="14" t="s">
        <v>7009</v>
      </c>
      <c r="CD277" s="14" t="s">
        <v>6002</v>
      </c>
      <c r="CE277" s="14" t="s">
        <v>8446</v>
      </c>
    </row>
    <row r="278" spans="1:83" ht="26.15" customHeight="1">
      <c r="A278" s="13">
        <v>272</v>
      </c>
      <c r="B278" s="14" t="s">
        <v>210</v>
      </c>
      <c r="C278" s="14" t="s">
        <v>211</v>
      </c>
      <c r="D278" s="14" t="s">
        <v>215</v>
      </c>
      <c r="E278" s="13">
        <v>2013</v>
      </c>
      <c r="F278" s="14" t="s">
        <v>8447</v>
      </c>
      <c r="G278" s="14" t="s">
        <v>5276</v>
      </c>
      <c r="H278" s="14" t="s">
        <v>5277</v>
      </c>
      <c r="I278" s="15" t="s">
        <v>3117</v>
      </c>
      <c r="J278" s="16">
        <v>4000000</v>
      </c>
      <c r="K278" s="17">
        <v>44055</v>
      </c>
      <c r="L278" s="16"/>
      <c r="M278" s="16" t="s">
        <v>50</v>
      </c>
      <c r="N278" s="14" t="s">
        <v>25</v>
      </c>
      <c r="O278" s="13">
        <v>5</v>
      </c>
      <c r="P278" s="17">
        <v>44057</v>
      </c>
      <c r="Q278" s="14" t="s">
        <v>5052</v>
      </c>
      <c r="R278" s="17">
        <v>44060</v>
      </c>
      <c r="S278" s="17">
        <v>42255</v>
      </c>
      <c r="T278" s="14" t="s">
        <v>5041</v>
      </c>
      <c r="U278" s="14" t="s">
        <v>6243</v>
      </c>
      <c r="V278" s="14" t="s">
        <v>8448</v>
      </c>
      <c r="W278" s="14"/>
      <c r="X278" s="14" t="s">
        <v>8449</v>
      </c>
      <c r="Y278" s="14"/>
      <c r="Z278" s="14" t="s">
        <v>8450</v>
      </c>
      <c r="AA278" s="14"/>
      <c r="AB278" s="14" t="s">
        <v>5277</v>
      </c>
      <c r="AC278" s="14"/>
      <c r="AD278" s="14"/>
      <c r="AE278" s="14" t="s">
        <v>8451</v>
      </c>
      <c r="AF278" s="14" t="s">
        <v>8452</v>
      </c>
      <c r="AG278" s="14" t="s">
        <v>8453</v>
      </c>
      <c r="AH278" s="18" t="s">
        <v>8454</v>
      </c>
      <c r="AI278" s="16"/>
      <c r="AJ278" s="17"/>
      <c r="AK278" s="15" t="s">
        <v>3123</v>
      </c>
      <c r="AL278" s="17"/>
      <c r="AM278" s="16"/>
      <c r="AN278" s="14"/>
      <c r="AO278" s="14"/>
      <c r="AP278" s="15" t="s">
        <v>3123</v>
      </c>
      <c r="AQ278" s="14"/>
      <c r="AR278" s="17"/>
      <c r="AS278" s="16"/>
      <c r="AT278" s="14"/>
      <c r="AU278" s="15" t="s">
        <v>3123</v>
      </c>
      <c r="AV278" s="14"/>
      <c r="AW278" s="17"/>
      <c r="AX278" s="16"/>
      <c r="AY278" s="16"/>
      <c r="AZ278" s="16"/>
      <c r="BA278" s="16"/>
      <c r="BB278" s="15" t="s">
        <v>3123</v>
      </c>
      <c r="BC278" s="17"/>
      <c r="BD278" s="14" t="s">
        <v>8455</v>
      </c>
      <c r="BE278" s="14"/>
      <c r="BF278" s="16"/>
      <c r="BG278" s="16"/>
      <c r="BH278" s="13"/>
      <c r="BI278" s="18" t="s">
        <v>8456</v>
      </c>
      <c r="BJ278" s="13">
        <v>200</v>
      </c>
      <c r="BK278" s="17">
        <v>44120</v>
      </c>
      <c r="BL278" s="18" t="s">
        <v>8457</v>
      </c>
      <c r="BM278" s="18" t="s">
        <v>8458</v>
      </c>
      <c r="BN278" s="18" t="s">
        <v>8459</v>
      </c>
      <c r="BO278" s="18" t="s">
        <v>8460</v>
      </c>
      <c r="BP278" s="14" t="s">
        <v>8461</v>
      </c>
      <c r="BQ278" s="17">
        <v>42934</v>
      </c>
      <c r="BR278" s="16"/>
      <c r="BS278" s="17"/>
      <c r="BT278" s="16"/>
      <c r="BU278" s="17"/>
      <c r="BV278" s="16"/>
      <c r="BW278" s="17"/>
      <c r="BX278" s="16"/>
      <c r="BY278" s="17"/>
      <c r="BZ278" s="19">
        <v>43.53418106271176</v>
      </c>
      <c r="CA278" s="19"/>
      <c r="CB278" s="17"/>
      <c r="CC278" s="14" t="s">
        <v>5048</v>
      </c>
      <c r="CD278" s="14" t="s">
        <v>8462</v>
      </c>
      <c r="CE278" s="14" t="s">
        <v>5004</v>
      </c>
    </row>
    <row r="279" spans="1:83" ht="26.15" customHeight="1">
      <c r="A279" s="13">
        <v>273</v>
      </c>
      <c r="B279" s="14" t="s">
        <v>458</v>
      </c>
      <c r="C279" s="14" t="s">
        <v>459</v>
      </c>
      <c r="D279" s="14" t="s">
        <v>463</v>
      </c>
      <c r="E279" s="13">
        <v>2012</v>
      </c>
      <c r="F279" s="14" t="s">
        <v>8463</v>
      </c>
      <c r="G279" s="14" t="s">
        <v>5605</v>
      </c>
      <c r="H279" s="14" t="s">
        <v>3994</v>
      </c>
      <c r="I279" s="15" t="s">
        <v>3117</v>
      </c>
      <c r="J279" s="16">
        <v>16507907</v>
      </c>
      <c r="K279" s="17">
        <v>43927</v>
      </c>
      <c r="L279" s="16" t="s">
        <v>5224</v>
      </c>
      <c r="M279" s="16">
        <v>12000000</v>
      </c>
      <c r="N279" s="14" t="s">
        <v>109</v>
      </c>
      <c r="O279" s="13">
        <v>4</v>
      </c>
      <c r="P279" s="17">
        <v>44074</v>
      </c>
      <c r="Q279" s="14" t="s">
        <v>5052</v>
      </c>
      <c r="R279" s="17">
        <v>44027</v>
      </c>
      <c r="S279" s="17">
        <v>43542</v>
      </c>
      <c r="T279" s="14" t="s">
        <v>1</v>
      </c>
      <c r="U279" s="14" t="s">
        <v>5007</v>
      </c>
      <c r="V279" s="14" t="s">
        <v>257</v>
      </c>
      <c r="W279" s="14"/>
      <c r="X279" s="14" t="s">
        <v>8464</v>
      </c>
      <c r="Y279" s="14" t="s">
        <v>1169</v>
      </c>
      <c r="Z279" s="14" t="s">
        <v>8465</v>
      </c>
      <c r="AA279" s="14"/>
      <c r="AB279" s="14" t="s">
        <v>3994</v>
      </c>
      <c r="AC279" s="14"/>
      <c r="AD279" s="14"/>
      <c r="AE279" s="14" t="s">
        <v>8466</v>
      </c>
      <c r="AF279" s="14" t="s">
        <v>8467</v>
      </c>
      <c r="AG279" s="14" t="s">
        <v>8468</v>
      </c>
      <c r="AH279" s="18"/>
      <c r="AI279" s="16">
        <v>5417400</v>
      </c>
      <c r="AJ279" s="17">
        <v>43465</v>
      </c>
      <c r="AK279" s="15" t="s">
        <v>3117</v>
      </c>
      <c r="AL279" s="17">
        <v>40945</v>
      </c>
      <c r="AM279" s="16">
        <v>2022</v>
      </c>
      <c r="AN279" s="14" t="s">
        <v>8469</v>
      </c>
      <c r="AO279" s="14" t="s">
        <v>8470</v>
      </c>
      <c r="AP279" s="15" t="s">
        <v>3123</v>
      </c>
      <c r="AQ279" s="14"/>
      <c r="AR279" s="17"/>
      <c r="AS279" s="16"/>
      <c r="AT279" s="14"/>
      <c r="AU279" s="15" t="s">
        <v>3123</v>
      </c>
      <c r="AV279" s="14"/>
      <c r="AW279" s="17"/>
      <c r="AX279" s="16"/>
      <c r="AY279" s="16"/>
      <c r="AZ279" s="16"/>
      <c r="BA279" s="16"/>
      <c r="BB279" s="15" t="s">
        <v>3123</v>
      </c>
      <c r="BC279" s="17"/>
      <c r="BD279" s="14"/>
      <c r="BE279" s="14"/>
      <c r="BF279" s="16"/>
      <c r="BG279" s="16"/>
      <c r="BH279" s="13"/>
      <c r="BI279" s="18" t="s">
        <v>8471</v>
      </c>
      <c r="BJ279" s="13">
        <v>200</v>
      </c>
      <c r="BK279" s="17">
        <v>44120</v>
      </c>
      <c r="BL279" s="18" t="s">
        <v>8472</v>
      </c>
      <c r="BM279" s="18" t="s">
        <v>8473</v>
      </c>
      <c r="BN279" s="18"/>
      <c r="BO279" s="18"/>
      <c r="BP279" s="14" t="s">
        <v>8474</v>
      </c>
      <c r="BQ279" s="17">
        <v>43063</v>
      </c>
      <c r="BR279" s="16">
        <v>-273200</v>
      </c>
      <c r="BS279" s="17">
        <v>43465</v>
      </c>
      <c r="BT279" s="16">
        <v>-279200</v>
      </c>
      <c r="BU279" s="17">
        <v>43465</v>
      </c>
      <c r="BV279" s="16">
        <v>35000000</v>
      </c>
      <c r="BW279" s="17">
        <v>43921</v>
      </c>
      <c r="BX279" s="16">
        <v>243</v>
      </c>
      <c r="BY279" s="17">
        <v>44012</v>
      </c>
      <c r="BZ279" s="19">
        <v>64.821383044680346</v>
      </c>
      <c r="CA279" s="19"/>
      <c r="CB279" s="17"/>
      <c r="CC279" s="14" t="s">
        <v>8475</v>
      </c>
      <c r="CD279" s="14" t="s">
        <v>8476</v>
      </c>
      <c r="CE279" s="14" t="s">
        <v>5004</v>
      </c>
    </row>
    <row r="280" spans="1:83" ht="26.15" hidden="1" customHeight="1">
      <c r="A280" s="13">
        <v>274</v>
      </c>
      <c r="B280" s="14" t="s">
        <v>1970</v>
      </c>
      <c r="C280" s="14" t="s">
        <v>1971</v>
      </c>
      <c r="D280" s="14" t="s">
        <v>1973</v>
      </c>
      <c r="E280" s="13">
        <v>2012</v>
      </c>
      <c r="F280" s="14" t="s">
        <v>6978</v>
      </c>
      <c r="G280" s="14" t="s">
        <v>6979</v>
      </c>
      <c r="H280" s="14" t="s">
        <v>4343</v>
      </c>
      <c r="I280" s="15" t="s">
        <v>3117</v>
      </c>
      <c r="J280" s="16">
        <v>3000000</v>
      </c>
      <c r="K280" s="17">
        <v>42992</v>
      </c>
      <c r="L280" s="16" t="s">
        <v>5022</v>
      </c>
      <c r="M280" s="16">
        <v>2000000</v>
      </c>
      <c r="N280" s="14" t="s">
        <v>34</v>
      </c>
      <c r="O280" s="13">
        <v>5</v>
      </c>
      <c r="P280" s="17">
        <v>43970</v>
      </c>
      <c r="Q280" s="14"/>
      <c r="R280" s="17"/>
      <c r="S280" s="17"/>
      <c r="T280" s="14" t="s">
        <v>5315</v>
      </c>
      <c r="U280" s="14" t="s">
        <v>5316</v>
      </c>
      <c r="V280" s="14" t="s">
        <v>5317</v>
      </c>
      <c r="W280" s="14"/>
      <c r="X280" s="14" t="s">
        <v>8477</v>
      </c>
      <c r="Y280" s="14"/>
      <c r="Z280" s="14" t="s">
        <v>8478</v>
      </c>
      <c r="AA280" s="14"/>
      <c r="AB280" s="14" t="s">
        <v>4343</v>
      </c>
      <c r="AC280" s="14"/>
      <c r="AD280" s="14"/>
      <c r="AE280" s="14" t="s">
        <v>8479</v>
      </c>
      <c r="AF280" s="14" t="s">
        <v>8480</v>
      </c>
      <c r="AG280" s="14" t="s">
        <v>8481</v>
      </c>
      <c r="AH280" s="18"/>
      <c r="AI280" s="16"/>
      <c r="AJ280" s="17"/>
      <c r="AK280" s="15" t="s">
        <v>3123</v>
      </c>
      <c r="AL280" s="17"/>
      <c r="AM280" s="16"/>
      <c r="AN280" s="14"/>
      <c r="AO280" s="14"/>
      <c r="AP280" s="15" t="s">
        <v>3123</v>
      </c>
      <c r="AQ280" s="14"/>
      <c r="AR280" s="17"/>
      <c r="AS280" s="16"/>
      <c r="AT280" s="14"/>
      <c r="AU280" s="15" t="s">
        <v>3123</v>
      </c>
      <c r="AV280" s="14"/>
      <c r="AW280" s="17"/>
      <c r="AX280" s="16"/>
      <c r="AY280" s="16"/>
      <c r="AZ280" s="16"/>
      <c r="BA280" s="16"/>
      <c r="BB280" s="15" t="s">
        <v>3123</v>
      </c>
      <c r="BC280" s="17"/>
      <c r="BD280" s="14"/>
      <c r="BE280" s="14"/>
      <c r="BF280" s="16"/>
      <c r="BG280" s="16"/>
      <c r="BH280" s="13"/>
      <c r="BI280" s="18" t="s">
        <v>8482</v>
      </c>
      <c r="BJ280" s="13">
        <v>200</v>
      </c>
      <c r="BK280" s="17">
        <v>44120</v>
      </c>
      <c r="BL280" s="18" t="s">
        <v>8483</v>
      </c>
      <c r="BM280" s="18"/>
      <c r="BN280" s="18"/>
      <c r="BO280" s="18"/>
      <c r="BP280" s="14" t="s">
        <v>8484</v>
      </c>
      <c r="BQ280" s="17">
        <v>43032</v>
      </c>
      <c r="BR280" s="16"/>
      <c r="BS280" s="17"/>
      <c r="BT280" s="16"/>
      <c r="BU280" s="17"/>
      <c r="BV280" s="16"/>
      <c r="BW280" s="17"/>
      <c r="BX280" s="16"/>
      <c r="BY280" s="17"/>
      <c r="BZ280" s="19">
        <v>35.047822688902471</v>
      </c>
      <c r="CA280" s="19"/>
      <c r="CB280" s="17"/>
      <c r="CC280" s="14" t="s">
        <v>5345</v>
      </c>
      <c r="CD280" s="14" t="s">
        <v>7272</v>
      </c>
      <c r="CE280" s="14" t="s">
        <v>5945</v>
      </c>
    </row>
    <row r="281" spans="1:83" ht="26.15" customHeight="1">
      <c r="A281" s="13">
        <v>275</v>
      </c>
      <c r="B281" s="14" t="s">
        <v>749</v>
      </c>
      <c r="C281" s="14" t="s">
        <v>750</v>
      </c>
      <c r="D281" s="14" t="s">
        <v>751</v>
      </c>
      <c r="E281" s="13">
        <v>2012</v>
      </c>
      <c r="F281" s="14" t="s">
        <v>5038</v>
      </c>
      <c r="G281" s="14" t="s">
        <v>5039</v>
      </c>
      <c r="H281" s="14" t="s">
        <v>3994</v>
      </c>
      <c r="I281" s="15" t="s">
        <v>3117</v>
      </c>
      <c r="J281" s="16">
        <v>2740519</v>
      </c>
      <c r="K281" s="17">
        <v>43747</v>
      </c>
      <c r="L281" s="16" t="s">
        <v>8485</v>
      </c>
      <c r="M281" s="16">
        <v>394129</v>
      </c>
      <c r="N281" s="14" t="s">
        <v>34</v>
      </c>
      <c r="O281" s="13">
        <v>3</v>
      </c>
      <c r="P281" s="17">
        <v>44104</v>
      </c>
      <c r="Q281" s="14"/>
      <c r="R281" s="17"/>
      <c r="S281" s="17"/>
      <c r="T281" s="14" t="s">
        <v>8486</v>
      </c>
      <c r="U281" s="14" t="s">
        <v>8487</v>
      </c>
      <c r="V281" s="14" t="s">
        <v>8488</v>
      </c>
      <c r="W281" s="14"/>
      <c r="X281" s="14" t="s">
        <v>8489</v>
      </c>
      <c r="Y281" s="14"/>
      <c r="Z281" s="14" t="s">
        <v>8490</v>
      </c>
      <c r="AA281" s="14"/>
      <c r="AB281" s="14" t="s">
        <v>3994</v>
      </c>
      <c r="AC281" s="14" t="s">
        <v>8491</v>
      </c>
      <c r="AD281" s="14" t="s">
        <v>8492</v>
      </c>
      <c r="AE281" s="14" t="s">
        <v>8493</v>
      </c>
      <c r="AF281" s="14" t="s">
        <v>8494</v>
      </c>
      <c r="AG281" s="14" t="s">
        <v>8495</v>
      </c>
      <c r="AH281" s="18" t="s">
        <v>8496</v>
      </c>
      <c r="AI281" s="16">
        <v>149100</v>
      </c>
      <c r="AJ281" s="17">
        <v>43465</v>
      </c>
      <c r="AK281" s="15" t="s">
        <v>3117</v>
      </c>
      <c r="AL281" s="17">
        <v>41081</v>
      </c>
      <c r="AM281" s="16">
        <v>89006</v>
      </c>
      <c r="AN281" s="14" t="s">
        <v>8497</v>
      </c>
      <c r="AO281" s="14"/>
      <c r="AP281" s="15" t="s">
        <v>3123</v>
      </c>
      <c r="AQ281" s="14"/>
      <c r="AR281" s="17"/>
      <c r="AS281" s="16"/>
      <c r="AT281" s="14"/>
      <c r="AU281" s="15" t="s">
        <v>3123</v>
      </c>
      <c r="AV281" s="14"/>
      <c r="AW281" s="17"/>
      <c r="AX281" s="16"/>
      <c r="AY281" s="16"/>
      <c r="AZ281" s="16"/>
      <c r="BA281" s="16"/>
      <c r="BB281" s="15" t="s">
        <v>3123</v>
      </c>
      <c r="BC281" s="17"/>
      <c r="BD281" s="14"/>
      <c r="BE281" s="14"/>
      <c r="BF281" s="16"/>
      <c r="BG281" s="16"/>
      <c r="BH281" s="13"/>
      <c r="BI281" s="18" t="s">
        <v>8498</v>
      </c>
      <c r="BJ281" s="13">
        <v>200</v>
      </c>
      <c r="BK281" s="17">
        <v>44120</v>
      </c>
      <c r="BL281" s="18" t="s">
        <v>8499</v>
      </c>
      <c r="BM281" s="18"/>
      <c r="BN281" s="18"/>
      <c r="BO281" s="18"/>
      <c r="BP281" s="14" t="s">
        <v>8500</v>
      </c>
      <c r="BQ281" s="17">
        <v>43144</v>
      </c>
      <c r="BR281" s="16">
        <v>-281100</v>
      </c>
      <c r="BS281" s="17">
        <v>43465</v>
      </c>
      <c r="BT281" s="16">
        <v>-257900</v>
      </c>
      <c r="BU281" s="17">
        <v>43465</v>
      </c>
      <c r="BV281" s="16">
        <v>10000000</v>
      </c>
      <c r="BW281" s="17">
        <v>43747</v>
      </c>
      <c r="BX281" s="16">
        <v>53</v>
      </c>
      <c r="BY281" s="17">
        <v>43921</v>
      </c>
      <c r="BZ281" s="19">
        <v>35.825025289298893</v>
      </c>
      <c r="CA281" s="19"/>
      <c r="CB281" s="17"/>
      <c r="CC281" s="14" t="s">
        <v>6119</v>
      </c>
      <c r="CD281" s="14" t="s">
        <v>6557</v>
      </c>
      <c r="CE281" s="14" t="s">
        <v>7714</v>
      </c>
    </row>
    <row r="282" spans="1:83" ht="26.15" customHeight="1">
      <c r="A282" s="13">
        <v>276</v>
      </c>
      <c r="B282" s="14" t="s">
        <v>897</v>
      </c>
      <c r="C282" s="14" t="s">
        <v>898</v>
      </c>
      <c r="D282" s="14" t="s">
        <v>903</v>
      </c>
      <c r="E282" s="13">
        <v>2016</v>
      </c>
      <c r="F282" s="14" t="s">
        <v>8501</v>
      </c>
      <c r="G282" s="14" t="s">
        <v>8502</v>
      </c>
      <c r="H282" s="14" t="s">
        <v>3994</v>
      </c>
      <c r="I282" s="15" t="s">
        <v>3117</v>
      </c>
      <c r="J282" s="16">
        <v>8062080</v>
      </c>
      <c r="K282" s="17">
        <v>43683</v>
      </c>
      <c r="L282" s="16" t="s">
        <v>5456</v>
      </c>
      <c r="M282" s="16">
        <v>3500000</v>
      </c>
      <c r="N282" s="14" t="s">
        <v>109</v>
      </c>
      <c r="O282" s="13">
        <v>4</v>
      </c>
      <c r="P282" s="17">
        <v>44022</v>
      </c>
      <c r="Q282" s="14" t="s">
        <v>5052</v>
      </c>
      <c r="R282" s="17">
        <v>43738</v>
      </c>
      <c r="S282" s="17">
        <v>43565</v>
      </c>
      <c r="T282" s="14" t="s">
        <v>1</v>
      </c>
      <c r="U282" s="14" t="s">
        <v>5007</v>
      </c>
      <c r="V282" s="14" t="s">
        <v>8503</v>
      </c>
      <c r="W282" s="14"/>
      <c r="X282" s="14" t="s">
        <v>8504</v>
      </c>
      <c r="Y282" s="14" t="s">
        <v>8505</v>
      </c>
      <c r="Z282" s="14" t="s">
        <v>8506</v>
      </c>
      <c r="AA282" s="14"/>
      <c r="AB282" s="14" t="s">
        <v>3994</v>
      </c>
      <c r="AC282" s="14" t="s">
        <v>8507</v>
      </c>
      <c r="AD282" s="14" t="s">
        <v>8508</v>
      </c>
      <c r="AE282" s="14" t="s">
        <v>8509</v>
      </c>
      <c r="AF282" s="14" t="s">
        <v>8510</v>
      </c>
      <c r="AG282" s="14" t="s">
        <v>8511</v>
      </c>
      <c r="AH282" s="18"/>
      <c r="AI282" s="16">
        <v>578400</v>
      </c>
      <c r="AJ282" s="17">
        <v>43465</v>
      </c>
      <c r="AK282" s="15" t="s">
        <v>3117</v>
      </c>
      <c r="AL282" s="17">
        <v>42513</v>
      </c>
      <c r="AM282" s="16">
        <v>1480</v>
      </c>
      <c r="AN282" s="14" t="s">
        <v>8512</v>
      </c>
      <c r="AO282" s="14"/>
      <c r="AP282" s="15" t="s">
        <v>3123</v>
      </c>
      <c r="AQ282" s="14"/>
      <c r="AR282" s="17"/>
      <c r="AS282" s="16"/>
      <c r="AT282" s="14"/>
      <c r="AU282" s="15" t="s">
        <v>3123</v>
      </c>
      <c r="AV282" s="14"/>
      <c r="AW282" s="17"/>
      <c r="AX282" s="16"/>
      <c r="AY282" s="16"/>
      <c r="AZ282" s="16"/>
      <c r="BA282" s="16"/>
      <c r="BB282" s="15" t="s">
        <v>3123</v>
      </c>
      <c r="BC282" s="17"/>
      <c r="BD282" s="14"/>
      <c r="BE282" s="14"/>
      <c r="BF282" s="16"/>
      <c r="BG282" s="16"/>
      <c r="BH282" s="13"/>
      <c r="BI282" s="18" t="s">
        <v>8513</v>
      </c>
      <c r="BJ282" s="13">
        <v>200</v>
      </c>
      <c r="BK282" s="17">
        <v>44121</v>
      </c>
      <c r="BL282" s="18" t="s">
        <v>8514</v>
      </c>
      <c r="BM282" s="18" t="s">
        <v>8515</v>
      </c>
      <c r="BN282" s="18" t="s">
        <v>8516</v>
      </c>
      <c r="BO282" s="18"/>
      <c r="BP282" s="14" t="s">
        <v>8517</v>
      </c>
      <c r="BQ282" s="17">
        <v>43145</v>
      </c>
      <c r="BR282" s="16">
        <v>-386400</v>
      </c>
      <c r="BS282" s="17">
        <v>43465</v>
      </c>
      <c r="BT282" s="16">
        <v>-456900</v>
      </c>
      <c r="BU282" s="17">
        <v>43465</v>
      </c>
      <c r="BV282" s="16">
        <v>10000000</v>
      </c>
      <c r="BW282" s="17">
        <v>43565</v>
      </c>
      <c r="BX282" s="16">
        <v>295</v>
      </c>
      <c r="BY282" s="17">
        <v>44012</v>
      </c>
      <c r="BZ282" s="19">
        <v>61.577732158381693</v>
      </c>
      <c r="CA282" s="19"/>
      <c r="CB282" s="17"/>
      <c r="CC282" s="14" t="s">
        <v>5082</v>
      </c>
      <c r="CD282" s="14" t="s">
        <v>5083</v>
      </c>
      <c r="CE282" s="14" t="s">
        <v>5004</v>
      </c>
    </row>
    <row r="283" spans="1:83" ht="26.15" customHeight="1">
      <c r="A283" s="13">
        <v>277</v>
      </c>
      <c r="B283" s="14" t="s">
        <v>1296</v>
      </c>
      <c r="C283" s="14" t="s">
        <v>1297</v>
      </c>
      <c r="D283" s="14" t="s">
        <v>1301</v>
      </c>
      <c r="E283" s="13">
        <v>2009</v>
      </c>
      <c r="F283" s="14" t="s">
        <v>8518</v>
      </c>
      <c r="G283" s="14" t="s">
        <v>8518</v>
      </c>
      <c r="H283" s="14" t="s">
        <v>3570</v>
      </c>
      <c r="I283" s="15" t="s">
        <v>3117</v>
      </c>
      <c r="J283" s="16"/>
      <c r="K283" s="17">
        <v>43448</v>
      </c>
      <c r="L283" s="16"/>
      <c r="M283" s="16" t="s">
        <v>50</v>
      </c>
      <c r="N283" s="14" t="s">
        <v>34</v>
      </c>
      <c r="O283" s="13">
        <v>4</v>
      </c>
      <c r="P283" s="17">
        <v>44081</v>
      </c>
      <c r="Q283" s="14"/>
      <c r="R283" s="17"/>
      <c r="S283" s="17"/>
      <c r="T283" s="14" t="s">
        <v>1</v>
      </c>
      <c r="U283" s="14" t="s">
        <v>5135</v>
      </c>
      <c r="V283" s="14" t="s">
        <v>8519</v>
      </c>
      <c r="W283" s="14"/>
      <c r="X283" s="14" t="s">
        <v>8520</v>
      </c>
      <c r="Y283" s="14"/>
      <c r="Z283" s="14" t="s">
        <v>8521</v>
      </c>
      <c r="AA283" s="14"/>
      <c r="AB283" s="14" t="s">
        <v>3570</v>
      </c>
      <c r="AC283" s="14"/>
      <c r="AD283" s="14"/>
      <c r="AE283" s="14" t="s">
        <v>8522</v>
      </c>
      <c r="AF283" s="14" t="s">
        <v>8523</v>
      </c>
      <c r="AG283" s="14" t="s">
        <v>8524</v>
      </c>
      <c r="AH283" s="18"/>
      <c r="AI283" s="16"/>
      <c r="AJ283" s="17"/>
      <c r="AK283" s="15" t="s">
        <v>3123</v>
      </c>
      <c r="AL283" s="17"/>
      <c r="AM283" s="16"/>
      <c r="AN283" s="14"/>
      <c r="AO283" s="14"/>
      <c r="AP283" s="15" t="s">
        <v>3123</v>
      </c>
      <c r="AQ283" s="14"/>
      <c r="AR283" s="17"/>
      <c r="AS283" s="16"/>
      <c r="AT283" s="14"/>
      <c r="AU283" s="15" t="s">
        <v>3123</v>
      </c>
      <c r="AV283" s="14"/>
      <c r="AW283" s="17"/>
      <c r="AX283" s="16"/>
      <c r="AY283" s="16"/>
      <c r="AZ283" s="16"/>
      <c r="BA283" s="16"/>
      <c r="BB283" s="15" t="s">
        <v>3123</v>
      </c>
      <c r="BC283" s="17"/>
      <c r="BD283" s="14"/>
      <c r="BE283" s="14"/>
      <c r="BF283" s="16"/>
      <c r="BG283" s="16"/>
      <c r="BH283" s="13"/>
      <c r="BI283" s="18" t="s">
        <v>8525</v>
      </c>
      <c r="BJ283" s="13">
        <v>200</v>
      </c>
      <c r="BK283" s="17">
        <v>44120</v>
      </c>
      <c r="BL283" s="18" t="s">
        <v>8526</v>
      </c>
      <c r="BM283" s="18"/>
      <c r="BN283" s="18"/>
      <c r="BO283" s="18"/>
      <c r="BP283" s="14" t="s">
        <v>8527</v>
      </c>
      <c r="BQ283" s="17">
        <v>43033</v>
      </c>
      <c r="BR283" s="16"/>
      <c r="BS283" s="17"/>
      <c r="BT283" s="16"/>
      <c r="BU283" s="17"/>
      <c r="BV283" s="16"/>
      <c r="BW283" s="17"/>
      <c r="BX283" s="16"/>
      <c r="BY283" s="17"/>
      <c r="BZ283" s="19">
        <v>23.498708948126474</v>
      </c>
      <c r="CA283" s="19"/>
      <c r="CB283" s="17"/>
      <c r="CC283" s="14" t="s">
        <v>5541</v>
      </c>
      <c r="CD283" s="14" t="s">
        <v>6523</v>
      </c>
      <c r="CE283" s="14" t="s">
        <v>5945</v>
      </c>
    </row>
    <row r="284" spans="1:83" ht="26.15" customHeight="1">
      <c r="A284" s="13">
        <v>278</v>
      </c>
      <c r="B284" s="14" t="s">
        <v>1754</v>
      </c>
      <c r="C284" s="14" t="s">
        <v>1755</v>
      </c>
      <c r="D284" s="14" t="s">
        <v>1758</v>
      </c>
      <c r="E284" s="13">
        <v>2013</v>
      </c>
      <c r="F284" s="14" t="s">
        <v>5312</v>
      </c>
      <c r="G284" s="14" t="s">
        <v>5313</v>
      </c>
      <c r="H284" s="14" t="s">
        <v>3994</v>
      </c>
      <c r="I284" s="15" t="s">
        <v>3117</v>
      </c>
      <c r="J284" s="16">
        <v>1437605</v>
      </c>
      <c r="K284" s="17">
        <v>43193</v>
      </c>
      <c r="L284" s="16" t="s">
        <v>8528</v>
      </c>
      <c r="M284" s="16">
        <v>460973</v>
      </c>
      <c r="N284" s="14" t="s">
        <v>34</v>
      </c>
      <c r="O284" s="13">
        <v>4</v>
      </c>
      <c r="P284" s="17">
        <v>44088</v>
      </c>
      <c r="Q284" s="14"/>
      <c r="R284" s="17"/>
      <c r="S284" s="17"/>
      <c r="T284" s="14" t="s">
        <v>1</v>
      </c>
      <c r="U284" s="14" t="s">
        <v>5007</v>
      </c>
      <c r="V284" s="14" t="s">
        <v>8529</v>
      </c>
      <c r="W284" s="14"/>
      <c r="X284" s="14" t="s">
        <v>8530</v>
      </c>
      <c r="Y284" s="14" t="s">
        <v>8531</v>
      </c>
      <c r="Z284" s="14" t="s">
        <v>8532</v>
      </c>
      <c r="AA284" s="14"/>
      <c r="AB284" s="14" t="s">
        <v>3994</v>
      </c>
      <c r="AC284" s="14" t="s">
        <v>8533</v>
      </c>
      <c r="AD284" s="14" t="s">
        <v>8534</v>
      </c>
      <c r="AE284" s="14" t="s">
        <v>8535</v>
      </c>
      <c r="AF284" s="14" t="s">
        <v>8536</v>
      </c>
      <c r="AG284" s="14" t="s">
        <v>8537</v>
      </c>
      <c r="AH284" s="18"/>
      <c r="AI284" s="16">
        <v>228000</v>
      </c>
      <c r="AJ284" s="17">
        <v>43465</v>
      </c>
      <c r="AK284" s="15" t="s">
        <v>3117</v>
      </c>
      <c r="AL284" s="17">
        <v>41293</v>
      </c>
      <c r="AM284" s="16">
        <v>1854</v>
      </c>
      <c r="AN284" s="14" t="s">
        <v>8538</v>
      </c>
      <c r="AO284" s="14"/>
      <c r="AP284" s="15" t="s">
        <v>3123</v>
      </c>
      <c r="AQ284" s="14"/>
      <c r="AR284" s="17"/>
      <c r="AS284" s="16"/>
      <c r="AT284" s="14"/>
      <c r="AU284" s="15" t="s">
        <v>3123</v>
      </c>
      <c r="AV284" s="14"/>
      <c r="AW284" s="17"/>
      <c r="AX284" s="16"/>
      <c r="AY284" s="16"/>
      <c r="AZ284" s="16"/>
      <c r="BA284" s="16"/>
      <c r="BB284" s="15" t="s">
        <v>3123</v>
      </c>
      <c r="BC284" s="17"/>
      <c r="BD284" s="14"/>
      <c r="BE284" s="14"/>
      <c r="BF284" s="16"/>
      <c r="BG284" s="16"/>
      <c r="BH284" s="13"/>
      <c r="BI284" s="18" t="s">
        <v>8539</v>
      </c>
      <c r="BJ284" s="13">
        <v>200</v>
      </c>
      <c r="BK284" s="17">
        <v>44120</v>
      </c>
      <c r="BL284" s="18" t="s">
        <v>8540</v>
      </c>
      <c r="BM284" s="18" t="s">
        <v>8541</v>
      </c>
      <c r="BN284" s="18" t="s">
        <v>8542</v>
      </c>
      <c r="BO284" s="18"/>
      <c r="BP284" s="14" t="s">
        <v>8543</v>
      </c>
      <c r="BQ284" s="17">
        <v>43565</v>
      </c>
      <c r="BR284" s="16">
        <v>-399300</v>
      </c>
      <c r="BS284" s="17">
        <v>43465</v>
      </c>
      <c r="BT284" s="16">
        <v>-390300</v>
      </c>
      <c r="BU284" s="17">
        <v>43465</v>
      </c>
      <c r="BV284" s="16"/>
      <c r="BW284" s="17"/>
      <c r="BX284" s="16"/>
      <c r="BY284" s="17"/>
      <c r="BZ284" s="19">
        <v>46.768544694101593</v>
      </c>
      <c r="CA284" s="19"/>
      <c r="CB284" s="17"/>
      <c r="CC284" s="14" t="s">
        <v>5345</v>
      </c>
      <c r="CD284" s="14" t="s">
        <v>8544</v>
      </c>
      <c r="CE284" s="14" t="s">
        <v>5311</v>
      </c>
    </row>
    <row r="285" spans="1:83" ht="26.15" customHeight="1">
      <c r="A285" s="13">
        <v>279</v>
      </c>
      <c r="B285" s="14" t="s">
        <v>1685</v>
      </c>
      <c r="C285" s="14" t="s">
        <v>1686</v>
      </c>
      <c r="D285" s="14" t="s">
        <v>1690</v>
      </c>
      <c r="E285" s="13">
        <v>2013</v>
      </c>
      <c r="F285" s="14" t="s">
        <v>5038</v>
      </c>
      <c r="G285" s="14" t="s">
        <v>5039</v>
      </c>
      <c r="H285" s="14" t="s">
        <v>3994</v>
      </c>
      <c r="I285" s="15" t="s">
        <v>3117</v>
      </c>
      <c r="J285" s="16">
        <v>2257449</v>
      </c>
      <c r="K285" s="17">
        <v>43225</v>
      </c>
      <c r="L285" s="16" t="s">
        <v>8545</v>
      </c>
      <c r="M285" s="16">
        <v>716422</v>
      </c>
      <c r="N285" s="14" t="s">
        <v>34</v>
      </c>
      <c r="O285" s="13">
        <v>4</v>
      </c>
      <c r="P285" s="17">
        <v>44062</v>
      </c>
      <c r="Q285" s="14"/>
      <c r="R285" s="17"/>
      <c r="S285" s="17"/>
      <c r="T285" s="14" t="s">
        <v>4995</v>
      </c>
      <c r="U285" s="14" t="s">
        <v>5578</v>
      </c>
      <c r="V285" s="14" t="s">
        <v>8546</v>
      </c>
      <c r="W285" s="14"/>
      <c r="X285" s="14" t="s">
        <v>8547</v>
      </c>
      <c r="Y285" s="14" t="s">
        <v>8548</v>
      </c>
      <c r="Z285" s="14" t="s">
        <v>8549</v>
      </c>
      <c r="AA285" s="14"/>
      <c r="AB285" s="14" t="s">
        <v>3994</v>
      </c>
      <c r="AC285" s="14"/>
      <c r="AD285" s="14"/>
      <c r="AE285" s="14" t="s">
        <v>8550</v>
      </c>
      <c r="AF285" s="14" t="s">
        <v>8551</v>
      </c>
      <c r="AG285" s="14" t="s">
        <v>8552</v>
      </c>
      <c r="AH285" s="18" t="s">
        <v>8553</v>
      </c>
      <c r="AI285" s="16">
        <v>865274</v>
      </c>
      <c r="AJ285" s="17">
        <v>43465</v>
      </c>
      <c r="AK285" s="15" t="s">
        <v>3123</v>
      </c>
      <c r="AL285" s="17"/>
      <c r="AM285" s="16"/>
      <c r="AN285" s="14"/>
      <c r="AO285" s="14"/>
      <c r="AP285" s="15" t="s">
        <v>3123</v>
      </c>
      <c r="AQ285" s="14"/>
      <c r="AR285" s="17"/>
      <c r="AS285" s="16"/>
      <c r="AT285" s="14"/>
      <c r="AU285" s="15" t="s">
        <v>3123</v>
      </c>
      <c r="AV285" s="14"/>
      <c r="AW285" s="17"/>
      <c r="AX285" s="16"/>
      <c r="AY285" s="16"/>
      <c r="AZ285" s="16"/>
      <c r="BA285" s="16"/>
      <c r="BB285" s="15" t="s">
        <v>3123</v>
      </c>
      <c r="BC285" s="17"/>
      <c r="BD285" s="14"/>
      <c r="BE285" s="14"/>
      <c r="BF285" s="16"/>
      <c r="BG285" s="16"/>
      <c r="BH285" s="13"/>
      <c r="BI285" s="18" t="s">
        <v>8554</v>
      </c>
      <c r="BJ285" s="13">
        <v>200</v>
      </c>
      <c r="BK285" s="17">
        <v>44120</v>
      </c>
      <c r="BL285" s="18" t="s">
        <v>8555</v>
      </c>
      <c r="BM285" s="18"/>
      <c r="BN285" s="18" t="s">
        <v>8556</v>
      </c>
      <c r="BO285" s="18" t="s">
        <v>8557</v>
      </c>
      <c r="BP285" s="14" t="s">
        <v>8558</v>
      </c>
      <c r="BQ285" s="17">
        <v>42681</v>
      </c>
      <c r="BR285" s="16">
        <v>-691053</v>
      </c>
      <c r="BS285" s="17">
        <v>43465</v>
      </c>
      <c r="BT285" s="16">
        <v>-446635</v>
      </c>
      <c r="BU285" s="17">
        <v>43465</v>
      </c>
      <c r="BV285" s="16">
        <v>5000000</v>
      </c>
      <c r="BW285" s="17">
        <v>43644</v>
      </c>
      <c r="BX285" s="16">
        <v>50</v>
      </c>
      <c r="BY285" s="17">
        <v>43465</v>
      </c>
      <c r="BZ285" s="19">
        <v>41.828166028872509</v>
      </c>
      <c r="CA285" s="19"/>
      <c r="CB285" s="17"/>
      <c r="CC285" s="14" t="s">
        <v>6487</v>
      </c>
      <c r="CD285" s="14" t="s">
        <v>5944</v>
      </c>
      <c r="CE285" s="14" t="s">
        <v>5945</v>
      </c>
    </row>
    <row r="286" spans="1:83" ht="26.15" customHeight="1">
      <c r="A286" s="13">
        <v>280</v>
      </c>
      <c r="B286" s="14" t="s">
        <v>432</v>
      </c>
      <c r="C286" s="14" t="s">
        <v>433</v>
      </c>
      <c r="D286" s="14" t="s">
        <v>434</v>
      </c>
      <c r="E286" s="13">
        <v>1997</v>
      </c>
      <c r="F286" s="14" t="s">
        <v>4993</v>
      </c>
      <c r="G286" s="14" t="s">
        <v>4994</v>
      </c>
      <c r="H286" s="14" t="s">
        <v>2057</v>
      </c>
      <c r="I286" s="15" t="s">
        <v>3117</v>
      </c>
      <c r="J286" s="16"/>
      <c r="K286" s="17">
        <v>43936</v>
      </c>
      <c r="L286" s="16" t="s">
        <v>6740</v>
      </c>
      <c r="M286" s="16">
        <v>19520500</v>
      </c>
      <c r="N286" s="14" t="s">
        <v>5314</v>
      </c>
      <c r="O286" s="13">
        <v>3</v>
      </c>
      <c r="P286" s="17">
        <v>43973</v>
      </c>
      <c r="Q286" s="14"/>
      <c r="R286" s="17"/>
      <c r="S286" s="17"/>
      <c r="T286" s="14" t="s">
        <v>1</v>
      </c>
      <c r="U286" s="14" t="s">
        <v>5007</v>
      </c>
      <c r="V286" s="14" t="s">
        <v>6482</v>
      </c>
      <c r="W286" s="14"/>
      <c r="X286" s="14"/>
      <c r="Y286" s="14"/>
      <c r="Z286" s="14" t="s">
        <v>8559</v>
      </c>
      <c r="AA286" s="14"/>
      <c r="AB286" s="14" t="s">
        <v>2057</v>
      </c>
      <c r="AC286" s="14"/>
      <c r="AD286" s="14"/>
      <c r="AE286" s="14" t="s">
        <v>8560</v>
      </c>
      <c r="AF286" s="14" t="s">
        <v>8561</v>
      </c>
      <c r="AG286" s="14" t="s">
        <v>8562</v>
      </c>
      <c r="AH286" s="18" t="s">
        <v>8563</v>
      </c>
      <c r="AI286" s="16"/>
      <c r="AJ286" s="17"/>
      <c r="AK286" s="15" t="s">
        <v>3123</v>
      </c>
      <c r="AL286" s="17"/>
      <c r="AM286" s="16"/>
      <c r="AN286" s="14"/>
      <c r="AO286" s="14"/>
      <c r="AP286" s="15" t="s">
        <v>3123</v>
      </c>
      <c r="AQ286" s="14"/>
      <c r="AR286" s="17"/>
      <c r="AS286" s="16"/>
      <c r="AT286" s="14"/>
      <c r="AU286" s="15" t="s">
        <v>3117</v>
      </c>
      <c r="AV286" s="14" t="s">
        <v>8564</v>
      </c>
      <c r="AW286" s="17">
        <v>38079</v>
      </c>
      <c r="AX286" s="16"/>
      <c r="AY286" s="16"/>
      <c r="AZ286" s="16"/>
      <c r="BA286" s="16"/>
      <c r="BB286" s="15" t="s">
        <v>3123</v>
      </c>
      <c r="BC286" s="17"/>
      <c r="BD286" s="14"/>
      <c r="BE286" s="14"/>
      <c r="BF286" s="16"/>
      <c r="BG286" s="16"/>
      <c r="BH286" s="13"/>
      <c r="BI286" s="18" t="s">
        <v>8565</v>
      </c>
      <c r="BJ286" s="13">
        <v>200</v>
      </c>
      <c r="BK286" s="17">
        <v>44120</v>
      </c>
      <c r="BL286" s="18" t="s">
        <v>8566</v>
      </c>
      <c r="BM286" s="18"/>
      <c r="BN286" s="18"/>
      <c r="BO286" s="18"/>
      <c r="BP286" s="14" t="s">
        <v>8567</v>
      </c>
      <c r="BQ286" s="17">
        <v>43032</v>
      </c>
      <c r="BR286" s="16"/>
      <c r="BS286" s="17"/>
      <c r="BT286" s="16"/>
      <c r="BU286" s="17"/>
      <c r="BV286" s="16"/>
      <c r="BW286" s="17"/>
      <c r="BX286" s="16"/>
      <c r="BY286" s="17"/>
      <c r="BZ286" s="19">
        <v>26.922093211503448</v>
      </c>
      <c r="CA286" s="19"/>
      <c r="CB286" s="17"/>
      <c r="CC286" s="14" t="s">
        <v>5345</v>
      </c>
      <c r="CD286" s="14" t="s">
        <v>7272</v>
      </c>
      <c r="CE286" s="14" t="s">
        <v>5945</v>
      </c>
    </row>
    <row r="287" spans="1:83" ht="26.15" customHeight="1">
      <c r="A287" s="13">
        <v>281</v>
      </c>
      <c r="B287" s="14" t="s">
        <v>777</v>
      </c>
      <c r="C287" s="14" t="s">
        <v>778</v>
      </c>
      <c r="D287" s="14" t="s">
        <v>781</v>
      </c>
      <c r="E287" s="13">
        <v>2005</v>
      </c>
      <c r="F287" s="14" t="s">
        <v>5592</v>
      </c>
      <c r="G287" s="14" t="s">
        <v>5313</v>
      </c>
      <c r="H287" s="14" t="s">
        <v>3994</v>
      </c>
      <c r="I287" s="15" t="s">
        <v>3117</v>
      </c>
      <c r="J287" s="16">
        <v>1438880</v>
      </c>
      <c r="K287" s="17">
        <v>43740</v>
      </c>
      <c r="L287" s="16" t="s">
        <v>5134</v>
      </c>
      <c r="M287" s="16">
        <v>1438880</v>
      </c>
      <c r="N287" s="14" t="s">
        <v>109</v>
      </c>
      <c r="O287" s="13">
        <v>4</v>
      </c>
      <c r="P287" s="17">
        <v>44098</v>
      </c>
      <c r="Q287" s="14"/>
      <c r="R287" s="17"/>
      <c r="S287" s="17"/>
      <c r="T287" s="14" t="s">
        <v>5947</v>
      </c>
      <c r="U287" s="14" t="s">
        <v>8568</v>
      </c>
      <c r="V287" s="14" t="s">
        <v>8569</v>
      </c>
      <c r="W287" s="14"/>
      <c r="X287" s="14" t="s">
        <v>780</v>
      </c>
      <c r="Y287" s="14"/>
      <c r="Z287" s="14" t="s">
        <v>8570</v>
      </c>
      <c r="AA287" s="14"/>
      <c r="AB287" s="14" t="s">
        <v>3994</v>
      </c>
      <c r="AC287" s="14"/>
      <c r="AD287" s="14"/>
      <c r="AE287" s="14" t="s">
        <v>8571</v>
      </c>
      <c r="AF287" s="14" t="s">
        <v>8572</v>
      </c>
      <c r="AG287" s="14" t="s">
        <v>8573</v>
      </c>
      <c r="AH287" s="18"/>
      <c r="AI287" s="16">
        <v>311600</v>
      </c>
      <c r="AJ287" s="17">
        <v>43465</v>
      </c>
      <c r="AK287" s="15" t="s">
        <v>3123</v>
      </c>
      <c r="AL287" s="17"/>
      <c r="AM287" s="16"/>
      <c r="AN287" s="14"/>
      <c r="AO287" s="14"/>
      <c r="AP287" s="15" t="s">
        <v>3123</v>
      </c>
      <c r="AQ287" s="14"/>
      <c r="AR287" s="17"/>
      <c r="AS287" s="16"/>
      <c r="AT287" s="14"/>
      <c r="AU287" s="15" t="s">
        <v>3123</v>
      </c>
      <c r="AV287" s="14"/>
      <c r="AW287" s="17"/>
      <c r="AX287" s="16"/>
      <c r="AY287" s="16"/>
      <c r="AZ287" s="16"/>
      <c r="BA287" s="16"/>
      <c r="BB287" s="15" t="s">
        <v>3123</v>
      </c>
      <c r="BC287" s="17"/>
      <c r="BD287" s="14" t="s">
        <v>8574</v>
      </c>
      <c r="BE287" s="14"/>
      <c r="BF287" s="16"/>
      <c r="BG287" s="16"/>
      <c r="BH287" s="13"/>
      <c r="BI287" s="18" t="s">
        <v>8575</v>
      </c>
      <c r="BJ287" s="13">
        <v>200</v>
      </c>
      <c r="BK287" s="17">
        <v>44119</v>
      </c>
      <c r="BL287" s="18"/>
      <c r="BM287" s="18" t="s">
        <v>8576</v>
      </c>
      <c r="BN287" s="18" t="s">
        <v>8577</v>
      </c>
      <c r="BO287" s="18"/>
      <c r="BP287" s="14" t="s">
        <v>8578</v>
      </c>
      <c r="BQ287" s="17">
        <v>42325</v>
      </c>
      <c r="BR287" s="16">
        <v>-103200</v>
      </c>
      <c r="BS287" s="17">
        <v>43465</v>
      </c>
      <c r="BT287" s="16">
        <v>-85000</v>
      </c>
      <c r="BU287" s="17">
        <v>43465</v>
      </c>
      <c r="BV287" s="16">
        <v>4977724.8337352918</v>
      </c>
      <c r="BW287" s="17">
        <v>43740</v>
      </c>
      <c r="BX287" s="16">
        <v>63</v>
      </c>
      <c r="BY287" s="17">
        <v>44012</v>
      </c>
      <c r="BZ287" s="19">
        <v>35.830020439723164</v>
      </c>
      <c r="CA287" s="19"/>
      <c r="CB287" s="17"/>
      <c r="CC287" s="14" t="s">
        <v>6062</v>
      </c>
      <c r="CD287" s="14" t="s">
        <v>6002</v>
      </c>
      <c r="CE287" s="14" t="s">
        <v>5945</v>
      </c>
    </row>
    <row r="288" spans="1:83" ht="26.15" customHeight="1">
      <c r="A288" s="13">
        <v>282</v>
      </c>
      <c r="B288" s="14" t="s">
        <v>290</v>
      </c>
      <c r="C288" s="14" t="s">
        <v>291</v>
      </c>
      <c r="D288" s="14" t="s">
        <v>293</v>
      </c>
      <c r="E288" s="13">
        <v>1983</v>
      </c>
      <c r="F288" s="14" t="s">
        <v>8579</v>
      </c>
      <c r="G288" s="14" t="s">
        <v>8580</v>
      </c>
      <c r="H288" s="14" t="s">
        <v>5333</v>
      </c>
      <c r="I288" s="15" t="s">
        <v>3117</v>
      </c>
      <c r="J288" s="16"/>
      <c r="K288" s="17">
        <v>44013</v>
      </c>
      <c r="L288" s="16" t="s">
        <v>7885</v>
      </c>
      <c r="M288" s="16">
        <v>17000000</v>
      </c>
      <c r="N288" s="14" t="s">
        <v>5335</v>
      </c>
      <c r="O288" s="13">
        <v>4</v>
      </c>
      <c r="P288" s="17">
        <v>43963</v>
      </c>
      <c r="Q288" s="14"/>
      <c r="R288" s="17"/>
      <c r="S288" s="17"/>
      <c r="T288" s="14" t="s">
        <v>1</v>
      </c>
      <c r="U288" s="14" t="s">
        <v>5007</v>
      </c>
      <c r="V288" s="14" t="s">
        <v>5336</v>
      </c>
      <c r="W288" s="14"/>
      <c r="X288" s="14" t="s">
        <v>8581</v>
      </c>
      <c r="Y288" s="14"/>
      <c r="Z288" s="14" t="s">
        <v>8582</v>
      </c>
      <c r="AA288" s="14"/>
      <c r="AB288" s="14" t="s">
        <v>5333</v>
      </c>
      <c r="AC288" s="14"/>
      <c r="AD288" s="14"/>
      <c r="AE288" s="14" t="s">
        <v>8583</v>
      </c>
      <c r="AF288" s="14"/>
      <c r="AG288" s="14"/>
      <c r="AH288" s="18"/>
      <c r="AI288" s="16"/>
      <c r="AJ288" s="17"/>
      <c r="AK288" s="15" t="s">
        <v>3123</v>
      </c>
      <c r="AL288" s="17"/>
      <c r="AM288" s="16"/>
      <c r="AN288" s="14"/>
      <c r="AO288" s="14"/>
      <c r="AP288" s="15" t="s">
        <v>3117</v>
      </c>
      <c r="AQ288" s="14" t="s">
        <v>8584</v>
      </c>
      <c r="AR288" s="17">
        <v>42662</v>
      </c>
      <c r="AS288" s="16"/>
      <c r="AT288" s="14" t="s">
        <v>5342</v>
      </c>
      <c r="AU288" s="15" t="s">
        <v>3123</v>
      </c>
      <c r="AV288" s="14"/>
      <c r="AW288" s="17"/>
      <c r="AX288" s="16"/>
      <c r="AY288" s="16"/>
      <c r="AZ288" s="16"/>
      <c r="BA288" s="16"/>
      <c r="BB288" s="15" t="s">
        <v>3123</v>
      </c>
      <c r="BC288" s="17"/>
      <c r="BD288" s="14"/>
      <c r="BE288" s="14"/>
      <c r="BF288" s="16"/>
      <c r="BG288" s="16"/>
      <c r="BH288" s="13"/>
      <c r="BI288" s="18" t="s">
        <v>8585</v>
      </c>
      <c r="BJ288" s="13">
        <v>200</v>
      </c>
      <c r="BK288" s="17">
        <v>44119</v>
      </c>
      <c r="BL288" s="18" t="s">
        <v>8586</v>
      </c>
      <c r="BM288" s="18" t="s">
        <v>8587</v>
      </c>
      <c r="BN288" s="18" t="s">
        <v>8588</v>
      </c>
      <c r="BO288" s="18"/>
      <c r="BP288" s="14" t="s">
        <v>8589</v>
      </c>
      <c r="BQ288" s="17">
        <v>43579</v>
      </c>
      <c r="BR288" s="16"/>
      <c r="BS288" s="17"/>
      <c r="BT288" s="16"/>
      <c r="BU288" s="17"/>
      <c r="BV288" s="16"/>
      <c r="BW288" s="17"/>
      <c r="BX288" s="16"/>
      <c r="BY288" s="17"/>
      <c r="BZ288" s="19">
        <v>53.355443144948637</v>
      </c>
      <c r="CA288" s="19"/>
      <c r="CB288" s="17"/>
      <c r="CC288" s="14" t="s">
        <v>5345</v>
      </c>
      <c r="CD288" s="14" t="s">
        <v>5361</v>
      </c>
      <c r="CE288" s="14" t="s">
        <v>5311</v>
      </c>
    </row>
    <row r="289" spans="1:83" ht="26.15" customHeight="1">
      <c r="A289" s="13">
        <v>283</v>
      </c>
      <c r="B289" s="14" t="s">
        <v>1539</v>
      </c>
      <c r="C289" s="14" t="s">
        <v>1540</v>
      </c>
      <c r="D289" s="14" t="s">
        <v>1542</v>
      </c>
      <c r="E289" s="13">
        <v>2012</v>
      </c>
      <c r="F289" s="14" t="s">
        <v>5389</v>
      </c>
      <c r="G289" s="14" t="s">
        <v>5390</v>
      </c>
      <c r="H289" s="14" t="s">
        <v>5391</v>
      </c>
      <c r="I289" s="15" t="s">
        <v>3117</v>
      </c>
      <c r="J289" s="16">
        <v>150000</v>
      </c>
      <c r="K289" s="17">
        <v>43304</v>
      </c>
      <c r="L289" s="16"/>
      <c r="M289" s="16" t="s">
        <v>50</v>
      </c>
      <c r="N289" s="14" t="s">
        <v>109</v>
      </c>
      <c r="O289" s="13">
        <v>4</v>
      </c>
      <c r="P289" s="17">
        <v>44050</v>
      </c>
      <c r="Q289" s="14"/>
      <c r="R289" s="17"/>
      <c r="S289" s="17"/>
      <c r="T289" s="14" t="s">
        <v>5791</v>
      </c>
      <c r="U289" s="14" t="s">
        <v>8590</v>
      </c>
      <c r="V289" s="14" t="s">
        <v>8591</v>
      </c>
      <c r="W289" s="14"/>
      <c r="X289" s="14" t="s">
        <v>8592</v>
      </c>
      <c r="Y289" s="14"/>
      <c r="Z289" s="14" t="s">
        <v>8593</v>
      </c>
      <c r="AA289" s="14"/>
      <c r="AB289" s="14" t="s">
        <v>5391</v>
      </c>
      <c r="AC289" s="14" t="s">
        <v>8594</v>
      </c>
      <c r="AD289" s="14" t="s">
        <v>8595</v>
      </c>
      <c r="AE289" s="14" t="s">
        <v>8596</v>
      </c>
      <c r="AF289" s="14" t="s">
        <v>8597</v>
      </c>
      <c r="AG289" s="14" t="s">
        <v>8598</v>
      </c>
      <c r="AH289" s="18"/>
      <c r="AI289" s="16"/>
      <c r="AJ289" s="17"/>
      <c r="AK289" s="15" t="s">
        <v>3123</v>
      </c>
      <c r="AL289" s="17"/>
      <c r="AM289" s="16"/>
      <c r="AN289" s="14"/>
      <c r="AO289" s="14"/>
      <c r="AP289" s="15" t="s">
        <v>3123</v>
      </c>
      <c r="AQ289" s="14"/>
      <c r="AR289" s="17"/>
      <c r="AS289" s="16"/>
      <c r="AT289" s="14"/>
      <c r="AU289" s="15" t="s">
        <v>3123</v>
      </c>
      <c r="AV289" s="14"/>
      <c r="AW289" s="17"/>
      <c r="AX289" s="16"/>
      <c r="AY289" s="16"/>
      <c r="AZ289" s="16"/>
      <c r="BA289" s="16"/>
      <c r="BB289" s="15" t="s">
        <v>3123</v>
      </c>
      <c r="BC289" s="17"/>
      <c r="BD289" s="14"/>
      <c r="BE289" s="14"/>
      <c r="BF289" s="16"/>
      <c r="BG289" s="16"/>
      <c r="BH289" s="13"/>
      <c r="BI289" s="18" t="s">
        <v>8599</v>
      </c>
      <c r="BJ289" s="13">
        <v>200</v>
      </c>
      <c r="BK289" s="17">
        <v>44119</v>
      </c>
      <c r="BL289" s="18" t="s">
        <v>8600</v>
      </c>
      <c r="BM289" s="18" t="s">
        <v>8601</v>
      </c>
      <c r="BN289" s="18"/>
      <c r="BO289" s="18" t="s">
        <v>8602</v>
      </c>
      <c r="BP289" s="14" t="s">
        <v>8603</v>
      </c>
      <c r="BQ289" s="17">
        <v>43031</v>
      </c>
      <c r="BR289" s="16"/>
      <c r="BS289" s="17"/>
      <c r="BT289" s="16"/>
      <c r="BU289" s="17"/>
      <c r="BV289" s="16"/>
      <c r="BW289" s="17"/>
      <c r="BX289" s="16"/>
      <c r="BY289" s="17"/>
      <c r="BZ289" s="19">
        <v>47.048959864080061</v>
      </c>
      <c r="CA289" s="19"/>
      <c r="CB289" s="17"/>
      <c r="CC289" s="14" t="s">
        <v>8604</v>
      </c>
      <c r="CD289" s="14" t="s">
        <v>8605</v>
      </c>
      <c r="CE289" s="14" t="s">
        <v>5311</v>
      </c>
    </row>
    <row r="290" spans="1:83" ht="26.15" customHeight="1">
      <c r="A290" s="13">
        <v>284</v>
      </c>
      <c r="B290" s="14" t="s">
        <v>1500</v>
      </c>
      <c r="C290" s="14" t="s">
        <v>1501</v>
      </c>
      <c r="D290" s="14" t="s">
        <v>1503</v>
      </c>
      <c r="E290" s="13">
        <v>2004</v>
      </c>
      <c r="F290" s="14" t="s">
        <v>5005</v>
      </c>
      <c r="G290" s="14" t="s">
        <v>5006</v>
      </c>
      <c r="H290" s="14" t="s">
        <v>3994</v>
      </c>
      <c r="I290" s="15" t="s">
        <v>3117</v>
      </c>
      <c r="J290" s="16">
        <v>2111924</v>
      </c>
      <c r="K290" s="17">
        <v>43322</v>
      </c>
      <c r="L290" s="16" t="s">
        <v>8606</v>
      </c>
      <c r="M290" s="16">
        <v>611924</v>
      </c>
      <c r="N290" s="14" t="s">
        <v>34</v>
      </c>
      <c r="O290" s="13">
        <v>4</v>
      </c>
      <c r="P290" s="17">
        <v>44098</v>
      </c>
      <c r="Q290" s="14"/>
      <c r="R290" s="17"/>
      <c r="S290" s="17"/>
      <c r="T290" s="14" t="s">
        <v>1</v>
      </c>
      <c r="U290" s="14" t="s">
        <v>5007</v>
      </c>
      <c r="V290" s="14" t="s">
        <v>8607</v>
      </c>
      <c r="W290" s="14"/>
      <c r="X290" s="14" t="s">
        <v>8608</v>
      </c>
      <c r="Y290" s="14" t="s">
        <v>8609</v>
      </c>
      <c r="Z290" s="14" t="s">
        <v>8610</v>
      </c>
      <c r="AA290" s="14"/>
      <c r="AB290" s="14" t="s">
        <v>3994</v>
      </c>
      <c r="AC290" s="14" t="s">
        <v>8611</v>
      </c>
      <c r="AD290" s="14"/>
      <c r="AE290" s="14" t="s">
        <v>8612</v>
      </c>
      <c r="AF290" s="14" t="s">
        <v>8613</v>
      </c>
      <c r="AG290" s="14" t="s">
        <v>8614</v>
      </c>
      <c r="AH290" s="18" t="s">
        <v>8615</v>
      </c>
      <c r="AI290" s="16">
        <v>4151601.4409709414</v>
      </c>
      <c r="AJ290" s="17">
        <v>43465</v>
      </c>
      <c r="AK290" s="15" t="s">
        <v>3117</v>
      </c>
      <c r="AL290" s="17">
        <v>38265</v>
      </c>
      <c r="AM290" s="16">
        <v>2179</v>
      </c>
      <c r="AN290" s="14" t="s">
        <v>8616</v>
      </c>
      <c r="AO290" s="14"/>
      <c r="AP290" s="15" t="s">
        <v>3123</v>
      </c>
      <c r="AQ290" s="14"/>
      <c r="AR290" s="17"/>
      <c r="AS290" s="16"/>
      <c r="AT290" s="14"/>
      <c r="AU290" s="15" t="s">
        <v>3123</v>
      </c>
      <c r="AV290" s="14"/>
      <c r="AW290" s="17"/>
      <c r="AX290" s="16"/>
      <c r="AY290" s="16"/>
      <c r="AZ290" s="16"/>
      <c r="BA290" s="16"/>
      <c r="BB290" s="15" t="s">
        <v>3123</v>
      </c>
      <c r="BC290" s="17"/>
      <c r="BD290" s="14"/>
      <c r="BE290" s="14"/>
      <c r="BF290" s="16"/>
      <c r="BG290" s="16"/>
      <c r="BH290" s="13"/>
      <c r="BI290" s="18" t="s">
        <v>8617</v>
      </c>
      <c r="BJ290" s="13">
        <v>404</v>
      </c>
      <c r="BK290" s="17">
        <v>44119</v>
      </c>
      <c r="BL290" s="18" t="s">
        <v>8618</v>
      </c>
      <c r="BM290" s="18" t="s">
        <v>8619</v>
      </c>
      <c r="BN290" s="18" t="s">
        <v>8620</v>
      </c>
      <c r="BO290" s="18"/>
      <c r="BP290" s="14" t="s">
        <v>8621</v>
      </c>
      <c r="BQ290" s="17">
        <v>42929</v>
      </c>
      <c r="BR290" s="16">
        <v>52407.357979829663</v>
      </c>
      <c r="BS290" s="17">
        <v>43465</v>
      </c>
      <c r="BT290" s="16">
        <v>222259.79617000208</v>
      </c>
      <c r="BU290" s="17">
        <v>43465</v>
      </c>
      <c r="BV290" s="16">
        <v>9000000</v>
      </c>
      <c r="BW290" s="17">
        <v>43322</v>
      </c>
      <c r="BX290" s="16">
        <v>89</v>
      </c>
      <c r="BY290" s="17">
        <v>43738</v>
      </c>
      <c r="BZ290" s="19">
        <v>40.646595234273249</v>
      </c>
      <c r="CA290" s="19"/>
      <c r="CB290" s="17"/>
      <c r="CC290" s="14" t="s">
        <v>7284</v>
      </c>
      <c r="CD290" s="14" t="s">
        <v>6002</v>
      </c>
      <c r="CE290" s="14" t="s">
        <v>5945</v>
      </c>
    </row>
    <row r="291" spans="1:83" ht="26.15" customHeight="1">
      <c r="A291" s="13">
        <v>285</v>
      </c>
      <c r="B291" s="14" t="s">
        <v>1953</v>
      </c>
      <c r="C291" s="14" t="s">
        <v>1954</v>
      </c>
      <c r="D291" s="14" t="s">
        <v>1956</v>
      </c>
      <c r="E291" s="13">
        <v>2008</v>
      </c>
      <c r="F291" s="14" t="s">
        <v>8622</v>
      </c>
      <c r="G291" s="14" t="s">
        <v>5207</v>
      </c>
      <c r="H291" s="14" t="s">
        <v>5208</v>
      </c>
      <c r="I291" s="15" t="s">
        <v>3117</v>
      </c>
      <c r="J291" s="16">
        <v>317198</v>
      </c>
      <c r="K291" s="17">
        <v>43012</v>
      </c>
      <c r="L291" s="16" t="s">
        <v>8623</v>
      </c>
      <c r="M291" s="16">
        <v>317198</v>
      </c>
      <c r="N291" s="14" t="s">
        <v>34</v>
      </c>
      <c r="O291" s="13"/>
      <c r="P291" s="17"/>
      <c r="Q291" s="14"/>
      <c r="R291" s="17"/>
      <c r="S291" s="17"/>
      <c r="T291" s="14" t="s">
        <v>1</v>
      </c>
      <c r="U291" s="14" t="s">
        <v>5007</v>
      </c>
      <c r="V291" s="14" t="s">
        <v>8624</v>
      </c>
      <c r="W291" s="14"/>
      <c r="X291" s="14" t="s">
        <v>4062</v>
      </c>
      <c r="Y291" s="14"/>
      <c r="Z291" s="14" t="s">
        <v>8625</v>
      </c>
      <c r="AA291" s="14"/>
      <c r="AB291" s="14" t="s">
        <v>5208</v>
      </c>
      <c r="AC291" s="14" t="s">
        <v>8626</v>
      </c>
      <c r="AD291" s="14"/>
      <c r="AE291" s="14" t="s">
        <v>8627</v>
      </c>
      <c r="AF291" s="14" t="s">
        <v>8628</v>
      </c>
      <c r="AG291" s="14" t="s">
        <v>8629</v>
      </c>
      <c r="AH291" s="18" t="s">
        <v>8630</v>
      </c>
      <c r="AI291" s="16"/>
      <c r="AJ291" s="17"/>
      <c r="AK291" s="15" t="s">
        <v>3123</v>
      </c>
      <c r="AL291" s="17"/>
      <c r="AM291" s="16"/>
      <c r="AN291" s="14"/>
      <c r="AO291" s="14"/>
      <c r="AP291" s="15" t="s">
        <v>3123</v>
      </c>
      <c r="AQ291" s="14"/>
      <c r="AR291" s="17"/>
      <c r="AS291" s="16"/>
      <c r="AT291" s="14"/>
      <c r="AU291" s="15" t="s">
        <v>3123</v>
      </c>
      <c r="AV291" s="14"/>
      <c r="AW291" s="17"/>
      <c r="AX291" s="16"/>
      <c r="AY291" s="16"/>
      <c r="AZ291" s="16"/>
      <c r="BA291" s="16"/>
      <c r="BB291" s="15" t="s">
        <v>3123</v>
      </c>
      <c r="BC291" s="17"/>
      <c r="BD291" s="14"/>
      <c r="BE291" s="14"/>
      <c r="BF291" s="16"/>
      <c r="BG291" s="16"/>
      <c r="BH291" s="13"/>
      <c r="BI291" s="18" t="s">
        <v>8631</v>
      </c>
      <c r="BJ291" s="13">
        <v>200</v>
      </c>
      <c r="BK291" s="17">
        <v>44118</v>
      </c>
      <c r="BL291" s="18" t="s">
        <v>8632</v>
      </c>
      <c r="BM291" s="18" t="s">
        <v>8633</v>
      </c>
      <c r="BN291" s="18" t="s">
        <v>8634</v>
      </c>
      <c r="BO291" s="18"/>
      <c r="BP291" s="14" t="s">
        <v>8635</v>
      </c>
      <c r="BQ291" s="17">
        <v>43056</v>
      </c>
      <c r="BR291" s="16"/>
      <c r="BS291" s="17"/>
      <c r="BT291" s="16"/>
      <c r="BU291" s="17"/>
      <c r="BV291" s="16"/>
      <c r="BW291" s="17"/>
      <c r="BX291" s="16"/>
      <c r="BY291" s="17"/>
      <c r="BZ291" s="19">
        <v>16.130345432588207</v>
      </c>
      <c r="CA291" s="19"/>
      <c r="CB291" s="17"/>
      <c r="CC291" s="14" t="s">
        <v>5345</v>
      </c>
      <c r="CD291" s="14" t="s">
        <v>7272</v>
      </c>
      <c r="CE291" s="14" t="s">
        <v>5945</v>
      </c>
    </row>
    <row r="292" spans="1:83" ht="26.15" customHeight="1">
      <c r="A292" s="13">
        <v>286</v>
      </c>
      <c r="B292" s="14" t="s">
        <v>1868</v>
      </c>
      <c r="C292" s="14" t="s">
        <v>1869</v>
      </c>
      <c r="D292" s="14" t="s">
        <v>1870</v>
      </c>
      <c r="E292" s="13">
        <v>2003</v>
      </c>
      <c r="F292" s="14" t="s">
        <v>5020</v>
      </c>
      <c r="G292" s="14" t="s">
        <v>5021</v>
      </c>
      <c r="H292" s="14" t="s">
        <v>3994</v>
      </c>
      <c r="I292" s="15" t="s">
        <v>3117</v>
      </c>
      <c r="J292" s="16">
        <v>11768115</v>
      </c>
      <c r="K292" s="17">
        <v>43084</v>
      </c>
      <c r="L292" s="16" t="s">
        <v>6481</v>
      </c>
      <c r="M292" s="16">
        <v>6269920</v>
      </c>
      <c r="N292" s="14" t="s">
        <v>95</v>
      </c>
      <c r="O292" s="13">
        <v>5</v>
      </c>
      <c r="P292" s="17">
        <v>44022</v>
      </c>
      <c r="Q292" s="14" t="s">
        <v>5052</v>
      </c>
      <c r="R292" s="17">
        <v>44027</v>
      </c>
      <c r="S292" s="17">
        <v>42217</v>
      </c>
      <c r="T292" s="14" t="s">
        <v>1</v>
      </c>
      <c r="U292" s="14" t="s">
        <v>5007</v>
      </c>
      <c r="V292" s="14" t="s">
        <v>8607</v>
      </c>
      <c r="W292" s="14"/>
      <c r="X292" s="14" t="s">
        <v>8636</v>
      </c>
      <c r="Y292" s="14"/>
      <c r="Z292" s="14" t="s">
        <v>8637</v>
      </c>
      <c r="AA292" s="14"/>
      <c r="AB292" s="14" t="s">
        <v>3994</v>
      </c>
      <c r="AC292" s="14"/>
      <c r="AD292" s="14" t="s">
        <v>8638</v>
      </c>
      <c r="AE292" s="14" t="s">
        <v>8639</v>
      </c>
      <c r="AF292" s="14" t="s">
        <v>8640</v>
      </c>
      <c r="AG292" s="14" t="s">
        <v>8641</v>
      </c>
      <c r="AH292" s="18" t="s">
        <v>8642</v>
      </c>
      <c r="AI292" s="16">
        <v>5827100</v>
      </c>
      <c r="AJ292" s="17">
        <v>43465</v>
      </c>
      <c r="AK292" s="15" t="s">
        <v>3117</v>
      </c>
      <c r="AL292" s="17">
        <v>38132</v>
      </c>
      <c r="AM292" s="16">
        <v>2205</v>
      </c>
      <c r="AN292" s="14"/>
      <c r="AO292" s="14"/>
      <c r="AP292" s="15" t="s">
        <v>3123</v>
      </c>
      <c r="AQ292" s="14"/>
      <c r="AR292" s="17"/>
      <c r="AS292" s="16"/>
      <c r="AT292" s="14"/>
      <c r="AU292" s="15" t="s">
        <v>3123</v>
      </c>
      <c r="AV292" s="14"/>
      <c r="AW292" s="17"/>
      <c r="AX292" s="16"/>
      <c r="AY292" s="16"/>
      <c r="AZ292" s="16"/>
      <c r="BA292" s="16"/>
      <c r="BB292" s="15" t="s">
        <v>3123</v>
      </c>
      <c r="BC292" s="17"/>
      <c r="BD292" s="14"/>
      <c r="BE292" s="14"/>
      <c r="BF292" s="16"/>
      <c r="BG292" s="16"/>
      <c r="BH292" s="13"/>
      <c r="BI292" s="18" t="s">
        <v>8643</v>
      </c>
      <c r="BJ292" s="13">
        <v>200</v>
      </c>
      <c r="BK292" s="17">
        <v>44118</v>
      </c>
      <c r="BL292" s="18" t="s">
        <v>8644</v>
      </c>
      <c r="BM292" s="18" t="s">
        <v>8645</v>
      </c>
      <c r="BN292" s="18" t="s">
        <v>8646</v>
      </c>
      <c r="BO292" s="18"/>
      <c r="BP292" s="14" t="s">
        <v>8647</v>
      </c>
      <c r="BQ292" s="17">
        <v>43091</v>
      </c>
      <c r="BR292" s="16">
        <v>-893800</v>
      </c>
      <c r="BS292" s="17">
        <v>43465</v>
      </c>
      <c r="BT292" s="16">
        <v>148600</v>
      </c>
      <c r="BU292" s="17">
        <v>43465</v>
      </c>
      <c r="BV292" s="16">
        <v>30000000</v>
      </c>
      <c r="BW292" s="17">
        <v>43084</v>
      </c>
      <c r="BX292" s="16">
        <v>304</v>
      </c>
      <c r="BY292" s="17">
        <v>43921</v>
      </c>
      <c r="BZ292" s="19">
        <v>58.989904437095511</v>
      </c>
      <c r="CA292" s="19"/>
      <c r="CB292" s="17"/>
      <c r="CC292" s="14" t="s">
        <v>5345</v>
      </c>
      <c r="CD292" s="14" t="s">
        <v>7272</v>
      </c>
      <c r="CE292" s="14" t="s">
        <v>5945</v>
      </c>
    </row>
    <row r="293" spans="1:83" ht="26.15" customHeight="1">
      <c r="A293" s="13">
        <v>287</v>
      </c>
      <c r="B293" s="14" t="s">
        <v>266</v>
      </c>
      <c r="C293" s="14" t="s">
        <v>267</v>
      </c>
      <c r="D293" s="14" t="s">
        <v>271</v>
      </c>
      <c r="E293" s="13">
        <v>2008</v>
      </c>
      <c r="F293" s="14" t="s">
        <v>7131</v>
      </c>
      <c r="G293" s="14" t="s">
        <v>7132</v>
      </c>
      <c r="H293" s="14" t="s">
        <v>7133</v>
      </c>
      <c r="I293" s="15" t="s">
        <v>3117</v>
      </c>
      <c r="J293" s="16">
        <v>14000000</v>
      </c>
      <c r="K293" s="17">
        <v>44018</v>
      </c>
      <c r="L293" s="16" t="s">
        <v>5675</v>
      </c>
      <c r="M293" s="16">
        <v>14000000</v>
      </c>
      <c r="N293" s="14" t="s">
        <v>25</v>
      </c>
      <c r="O293" s="13">
        <v>4</v>
      </c>
      <c r="P293" s="17">
        <v>44027</v>
      </c>
      <c r="Q293" s="14" t="s">
        <v>5052</v>
      </c>
      <c r="R293" s="17">
        <v>44026</v>
      </c>
      <c r="S293" s="17">
        <v>44018</v>
      </c>
      <c r="T293" s="14" t="s">
        <v>5976</v>
      </c>
      <c r="U293" s="14" t="s">
        <v>8648</v>
      </c>
      <c r="V293" s="14" t="s">
        <v>8649</v>
      </c>
      <c r="W293" s="14"/>
      <c r="X293" s="14" t="s">
        <v>8650</v>
      </c>
      <c r="Y293" s="14"/>
      <c r="Z293" s="14" t="s">
        <v>8651</v>
      </c>
      <c r="AA293" s="14"/>
      <c r="AB293" s="14" t="s">
        <v>7133</v>
      </c>
      <c r="AC293" s="14" t="s">
        <v>8652</v>
      </c>
      <c r="AD293" s="14" t="s">
        <v>8653</v>
      </c>
      <c r="AE293" s="14" t="s">
        <v>8654</v>
      </c>
      <c r="AF293" s="14" t="s">
        <v>8655</v>
      </c>
      <c r="AG293" s="14" t="s">
        <v>8656</v>
      </c>
      <c r="AH293" s="18" t="s">
        <v>8657</v>
      </c>
      <c r="AI293" s="16"/>
      <c r="AJ293" s="17"/>
      <c r="AK293" s="15" t="s">
        <v>3123</v>
      </c>
      <c r="AL293" s="17"/>
      <c r="AM293" s="16"/>
      <c r="AN293" s="14"/>
      <c r="AO293" s="14"/>
      <c r="AP293" s="15" t="s">
        <v>3123</v>
      </c>
      <c r="AQ293" s="14"/>
      <c r="AR293" s="17"/>
      <c r="AS293" s="16"/>
      <c r="AT293" s="14"/>
      <c r="AU293" s="15" t="s">
        <v>3123</v>
      </c>
      <c r="AV293" s="14"/>
      <c r="AW293" s="17"/>
      <c r="AX293" s="16"/>
      <c r="AY293" s="16"/>
      <c r="AZ293" s="16"/>
      <c r="BA293" s="16"/>
      <c r="BB293" s="15" t="s">
        <v>3123</v>
      </c>
      <c r="BC293" s="17"/>
      <c r="BD293" s="14"/>
      <c r="BE293" s="14"/>
      <c r="BF293" s="16"/>
      <c r="BG293" s="16"/>
      <c r="BH293" s="13"/>
      <c r="BI293" s="18" t="s">
        <v>8658</v>
      </c>
      <c r="BJ293" s="13">
        <v>200</v>
      </c>
      <c r="BK293" s="17">
        <v>44118</v>
      </c>
      <c r="BL293" s="18" t="s">
        <v>8659</v>
      </c>
      <c r="BM293" s="18" t="s">
        <v>8660</v>
      </c>
      <c r="BN293" s="18" t="s">
        <v>8661</v>
      </c>
      <c r="BO293" s="18"/>
      <c r="BP293" s="14" t="s">
        <v>8662</v>
      </c>
      <c r="BQ293" s="17">
        <v>42730</v>
      </c>
      <c r="BR293" s="16"/>
      <c r="BS293" s="17"/>
      <c r="BT293" s="16"/>
      <c r="BU293" s="17"/>
      <c r="BV293" s="16"/>
      <c r="BW293" s="17"/>
      <c r="BX293" s="16"/>
      <c r="BY293" s="17"/>
      <c r="BZ293" s="19">
        <v>53.219330980013048</v>
      </c>
      <c r="CA293" s="19"/>
      <c r="CB293" s="17"/>
      <c r="CC293" s="14" t="s">
        <v>8663</v>
      </c>
      <c r="CD293" s="14" t="s">
        <v>8664</v>
      </c>
      <c r="CE293" s="14" t="s">
        <v>5004</v>
      </c>
    </row>
    <row r="294" spans="1:83" ht="26.15" hidden="1" customHeight="1">
      <c r="A294" s="13">
        <v>288</v>
      </c>
      <c r="B294" s="14" t="s">
        <v>131</v>
      </c>
      <c r="C294" s="14" t="s">
        <v>132</v>
      </c>
      <c r="D294" s="14" t="s">
        <v>136</v>
      </c>
      <c r="E294" s="13">
        <v>1999</v>
      </c>
      <c r="F294" s="14" t="s">
        <v>7608</v>
      </c>
      <c r="G294" s="14" t="s">
        <v>7609</v>
      </c>
      <c r="H294" s="14" t="s">
        <v>4343</v>
      </c>
      <c r="I294" s="15" t="s">
        <v>3117</v>
      </c>
      <c r="J294" s="16">
        <v>37500000</v>
      </c>
      <c r="K294" s="17">
        <v>44096</v>
      </c>
      <c r="L294" s="16" t="s">
        <v>8665</v>
      </c>
      <c r="M294" s="16">
        <v>23500000</v>
      </c>
      <c r="N294" s="14" t="s">
        <v>95</v>
      </c>
      <c r="O294" s="13">
        <v>4</v>
      </c>
      <c r="P294" s="17">
        <v>44103</v>
      </c>
      <c r="Q294" s="14" t="s">
        <v>5052</v>
      </c>
      <c r="R294" s="17">
        <v>44102</v>
      </c>
      <c r="S294" s="17">
        <v>44096</v>
      </c>
      <c r="T294" s="14" t="s">
        <v>5041</v>
      </c>
      <c r="U294" s="14" t="s">
        <v>5042</v>
      </c>
      <c r="V294" s="14" t="s">
        <v>5486</v>
      </c>
      <c r="W294" s="14"/>
      <c r="X294" s="14" t="s">
        <v>8666</v>
      </c>
      <c r="Y294" s="14"/>
      <c r="Z294" s="14" t="s">
        <v>8667</v>
      </c>
      <c r="AA294" s="14"/>
      <c r="AB294" s="14" t="s">
        <v>4343</v>
      </c>
      <c r="AC294" s="14" t="s">
        <v>8668</v>
      </c>
      <c r="AD294" s="14"/>
      <c r="AE294" s="14" t="s">
        <v>8669</v>
      </c>
      <c r="AF294" s="14" t="s">
        <v>8670</v>
      </c>
      <c r="AG294" s="14" t="s">
        <v>8671</v>
      </c>
      <c r="AH294" s="18" t="s">
        <v>8672</v>
      </c>
      <c r="AI294" s="16"/>
      <c r="AJ294" s="17"/>
      <c r="AK294" s="15" t="s">
        <v>3123</v>
      </c>
      <c r="AL294" s="17"/>
      <c r="AM294" s="16"/>
      <c r="AN294" s="14"/>
      <c r="AO294" s="14"/>
      <c r="AP294" s="15" t="s">
        <v>3123</v>
      </c>
      <c r="AQ294" s="14"/>
      <c r="AR294" s="17"/>
      <c r="AS294" s="16"/>
      <c r="AT294" s="14"/>
      <c r="AU294" s="15" t="s">
        <v>3123</v>
      </c>
      <c r="AV294" s="14"/>
      <c r="AW294" s="17"/>
      <c r="AX294" s="16"/>
      <c r="AY294" s="16"/>
      <c r="AZ294" s="16"/>
      <c r="BA294" s="16"/>
      <c r="BB294" s="15" t="s">
        <v>3123</v>
      </c>
      <c r="BC294" s="17"/>
      <c r="BD294" s="14"/>
      <c r="BE294" s="14"/>
      <c r="BF294" s="16"/>
      <c r="BG294" s="16"/>
      <c r="BH294" s="13"/>
      <c r="BI294" s="18" t="s">
        <v>8673</v>
      </c>
      <c r="BJ294" s="13">
        <v>200</v>
      </c>
      <c r="BK294" s="17">
        <v>44118</v>
      </c>
      <c r="BL294" s="18" t="s">
        <v>8674</v>
      </c>
      <c r="BM294" s="18" t="s">
        <v>8675</v>
      </c>
      <c r="BN294" s="18"/>
      <c r="BO294" s="18"/>
      <c r="BP294" s="14" t="s">
        <v>8676</v>
      </c>
      <c r="BQ294" s="17">
        <v>42929</v>
      </c>
      <c r="BR294" s="16"/>
      <c r="BS294" s="17"/>
      <c r="BT294" s="16"/>
      <c r="BU294" s="17"/>
      <c r="BV294" s="16"/>
      <c r="BW294" s="17"/>
      <c r="BX294" s="16"/>
      <c r="BY294" s="17"/>
      <c r="BZ294" s="19">
        <v>55.081785322541194</v>
      </c>
      <c r="CA294" s="19"/>
      <c r="CB294" s="17"/>
      <c r="CC294" s="14" t="s">
        <v>7284</v>
      </c>
      <c r="CD294" s="14" t="s">
        <v>6002</v>
      </c>
      <c r="CE294" s="14" t="s">
        <v>5945</v>
      </c>
    </row>
    <row r="295" spans="1:83" ht="26.15" customHeight="1">
      <c r="A295" s="13">
        <v>289</v>
      </c>
      <c r="B295" s="14" t="s">
        <v>944</v>
      </c>
      <c r="C295" s="14" t="s">
        <v>945</v>
      </c>
      <c r="D295" s="14" t="s">
        <v>948</v>
      </c>
      <c r="E295" s="13">
        <v>2014</v>
      </c>
      <c r="F295" s="14" t="s">
        <v>5592</v>
      </c>
      <c r="G295" s="14" t="s">
        <v>5313</v>
      </c>
      <c r="H295" s="14" t="s">
        <v>3994</v>
      </c>
      <c r="I295" s="15" t="s">
        <v>3117</v>
      </c>
      <c r="J295" s="16">
        <v>492991</v>
      </c>
      <c r="K295" s="17">
        <v>43649</v>
      </c>
      <c r="L295" s="16" t="s">
        <v>8677</v>
      </c>
      <c r="M295" s="16">
        <v>492991</v>
      </c>
      <c r="N295" s="14" t="s">
        <v>34</v>
      </c>
      <c r="O295" s="13">
        <v>4</v>
      </c>
      <c r="P295" s="17">
        <v>44041</v>
      </c>
      <c r="Q295" s="14"/>
      <c r="R295" s="17"/>
      <c r="S295" s="17"/>
      <c r="T295" s="14" t="s">
        <v>1</v>
      </c>
      <c r="U295" s="14" t="s">
        <v>5007</v>
      </c>
      <c r="V295" s="14" t="s">
        <v>8678</v>
      </c>
      <c r="W295" s="14"/>
      <c r="X295" s="14" t="s">
        <v>947</v>
      </c>
      <c r="Y295" s="14"/>
      <c r="Z295" s="14" t="s">
        <v>8679</v>
      </c>
      <c r="AA295" s="14"/>
      <c r="AB295" s="14" t="s">
        <v>3994</v>
      </c>
      <c r="AC295" s="14" t="s">
        <v>8680</v>
      </c>
      <c r="AD295" s="14" t="s">
        <v>8681</v>
      </c>
      <c r="AE295" s="14" t="s">
        <v>8682</v>
      </c>
      <c r="AF295" s="14" t="s">
        <v>8683</v>
      </c>
      <c r="AG295" s="14" t="s">
        <v>8684</v>
      </c>
      <c r="AH295" s="18" t="s">
        <v>8685</v>
      </c>
      <c r="AI295" s="16"/>
      <c r="AJ295" s="17"/>
      <c r="AK295" s="15" t="s">
        <v>3123</v>
      </c>
      <c r="AL295" s="17"/>
      <c r="AM295" s="16"/>
      <c r="AN295" s="14"/>
      <c r="AO295" s="14"/>
      <c r="AP295" s="15" t="s">
        <v>3123</v>
      </c>
      <c r="AQ295" s="14"/>
      <c r="AR295" s="17"/>
      <c r="AS295" s="16"/>
      <c r="AT295" s="14"/>
      <c r="AU295" s="15" t="s">
        <v>3123</v>
      </c>
      <c r="AV295" s="14"/>
      <c r="AW295" s="17"/>
      <c r="AX295" s="16"/>
      <c r="AY295" s="16"/>
      <c r="AZ295" s="16"/>
      <c r="BA295" s="16"/>
      <c r="BB295" s="15" t="s">
        <v>3123</v>
      </c>
      <c r="BC295" s="17"/>
      <c r="BD295" s="14"/>
      <c r="BE295" s="14"/>
      <c r="BF295" s="16"/>
      <c r="BG295" s="16"/>
      <c r="BH295" s="13"/>
      <c r="BI295" s="18" t="s">
        <v>8686</v>
      </c>
      <c r="BJ295" s="13">
        <v>200</v>
      </c>
      <c r="BK295" s="17">
        <v>44117</v>
      </c>
      <c r="BL295" s="18" t="s">
        <v>8687</v>
      </c>
      <c r="BM295" s="18" t="s">
        <v>8688</v>
      </c>
      <c r="BN295" s="18" t="s">
        <v>8689</v>
      </c>
      <c r="BO295" s="18"/>
      <c r="BP295" s="14" t="s">
        <v>8690</v>
      </c>
      <c r="BQ295" s="17">
        <v>43682</v>
      </c>
      <c r="BR295" s="16"/>
      <c r="BS295" s="17"/>
      <c r="BT295" s="16"/>
      <c r="BU295" s="17"/>
      <c r="BV295" s="16">
        <v>1000000</v>
      </c>
      <c r="BW295" s="17">
        <v>43649</v>
      </c>
      <c r="BX295" s="16"/>
      <c r="BY295" s="17"/>
      <c r="BZ295" s="19">
        <v>39.843139602559148</v>
      </c>
      <c r="CA295" s="19"/>
      <c r="CB295" s="17"/>
      <c r="CC295" s="14" t="s">
        <v>6487</v>
      </c>
      <c r="CD295" s="14" t="s">
        <v>5944</v>
      </c>
      <c r="CE295" s="14" t="s">
        <v>5945</v>
      </c>
    </row>
    <row r="296" spans="1:83" ht="26.15" customHeight="1">
      <c r="A296" s="13">
        <v>290</v>
      </c>
      <c r="B296" s="14" t="s">
        <v>1005</v>
      </c>
      <c r="C296" s="14" t="s">
        <v>1006</v>
      </c>
      <c r="D296" s="14" t="s">
        <v>1008</v>
      </c>
      <c r="E296" s="13">
        <v>1965</v>
      </c>
      <c r="F296" s="14" t="s">
        <v>5050</v>
      </c>
      <c r="G296" s="14" t="s">
        <v>5050</v>
      </c>
      <c r="H296" s="14" t="s">
        <v>4343</v>
      </c>
      <c r="I296" s="15" t="s">
        <v>3117</v>
      </c>
      <c r="J296" s="16"/>
      <c r="K296" s="17">
        <v>43608</v>
      </c>
      <c r="L296" s="16" t="s">
        <v>5022</v>
      </c>
      <c r="M296" s="16">
        <v>2010000</v>
      </c>
      <c r="N296" s="14" t="s">
        <v>5335</v>
      </c>
      <c r="O296" s="13">
        <v>5</v>
      </c>
      <c r="P296" s="17">
        <v>44050</v>
      </c>
      <c r="Q296" s="14"/>
      <c r="R296" s="17"/>
      <c r="S296" s="17"/>
      <c r="T296" s="14" t="s">
        <v>1</v>
      </c>
      <c r="U296" s="14" t="s">
        <v>5007</v>
      </c>
      <c r="V296" s="14" t="s">
        <v>6488</v>
      </c>
      <c r="W296" s="14"/>
      <c r="X296" s="14" t="s">
        <v>8691</v>
      </c>
      <c r="Y296" s="14"/>
      <c r="Z296" s="14" t="s">
        <v>8692</v>
      </c>
      <c r="AA296" s="14"/>
      <c r="AB296" s="14" t="s">
        <v>5319</v>
      </c>
      <c r="AC296" s="14"/>
      <c r="AD296" s="14"/>
      <c r="AE296" s="14" t="s">
        <v>8693</v>
      </c>
      <c r="AF296" s="14"/>
      <c r="AG296" s="14"/>
      <c r="AH296" s="18" t="s">
        <v>8694</v>
      </c>
      <c r="AI296" s="16"/>
      <c r="AJ296" s="17"/>
      <c r="AK296" s="15" t="s">
        <v>3123</v>
      </c>
      <c r="AL296" s="17"/>
      <c r="AM296" s="16"/>
      <c r="AN296" s="14"/>
      <c r="AO296" s="14"/>
      <c r="AP296" s="15" t="s">
        <v>3117</v>
      </c>
      <c r="AQ296" s="14" t="s">
        <v>8695</v>
      </c>
      <c r="AR296" s="17">
        <v>42954</v>
      </c>
      <c r="AS296" s="16">
        <v>1900000000</v>
      </c>
      <c r="AT296" s="14" t="s">
        <v>5342</v>
      </c>
      <c r="AU296" s="15" t="s">
        <v>3123</v>
      </c>
      <c r="AV296" s="14"/>
      <c r="AW296" s="17"/>
      <c r="AX296" s="16"/>
      <c r="AY296" s="16"/>
      <c r="AZ296" s="16"/>
      <c r="BA296" s="16"/>
      <c r="BB296" s="15" t="s">
        <v>3123</v>
      </c>
      <c r="BC296" s="17"/>
      <c r="BD296" s="14"/>
      <c r="BE296" s="14"/>
      <c r="BF296" s="16"/>
      <c r="BG296" s="16"/>
      <c r="BH296" s="13"/>
      <c r="BI296" s="18" t="s">
        <v>8696</v>
      </c>
      <c r="BJ296" s="13">
        <v>200</v>
      </c>
      <c r="BK296" s="17">
        <v>44117</v>
      </c>
      <c r="BL296" s="18" t="s">
        <v>8697</v>
      </c>
      <c r="BM296" s="18" t="s">
        <v>8698</v>
      </c>
      <c r="BN296" s="18" t="s">
        <v>8699</v>
      </c>
      <c r="BO296" s="18" t="s">
        <v>8700</v>
      </c>
      <c r="BP296" s="14" t="s">
        <v>8701</v>
      </c>
      <c r="BQ296" s="17">
        <v>43031</v>
      </c>
      <c r="BR296" s="16"/>
      <c r="BS296" s="17"/>
      <c r="BT296" s="16"/>
      <c r="BU296" s="17"/>
      <c r="BV296" s="16"/>
      <c r="BW296" s="17"/>
      <c r="BX296" s="16"/>
      <c r="BY296" s="17"/>
      <c r="BZ296" s="19">
        <v>58.540338432457062</v>
      </c>
      <c r="CA296" s="19"/>
      <c r="CB296" s="17"/>
      <c r="CC296" s="14" t="s">
        <v>5345</v>
      </c>
      <c r="CD296" s="14" t="s">
        <v>7272</v>
      </c>
      <c r="CE296" s="14" t="s">
        <v>5945</v>
      </c>
    </row>
    <row r="297" spans="1:83" ht="26.15" customHeight="1">
      <c r="A297" s="13">
        <v>291</v>
      </c>
      <c r="B297" s="14" t="s">
        <v>74</v>
      </c>
      <c r="C297" s="14" t="s">
        <v>75</v>
      </c>
      <c r="D297" s="14" t="s">
        <v>80</v>
      </c>
      <c r="E297" s="13">
        <v>2015</v>
      </c>
      <c r="F297" s="14" t="s">
        <v>5038</v>
      </c>
      <c r="G297" s="14" t="s">
        <v>5039</v>
      </c>
      <c r="H297" s="14" t="s">
        <v>3994</v>
      </c>
      <c r="I297" s="15" t="s">
        <v>3117</v>
      </c>
      <c r="J297" s="16">
        <v>36362460</v>
      </c>
      <c r="K297" s="17">
        <v>44130</v>
      </c>
      <c r="L297" s="16" t="s">
        <v>7460</v>
      </c>
      <c r="M297" s="16">
        <v>11000000</v>
      </c>
      <c r="N297" s="14" t="s">
        <v>25</v>
      </c>
      <c r="O297" s="13">
        <v>5</v>
      </c>
      <c r="P297" s="17">
        <v>44124</v>
      </c>
      <c r="Q297" s="14" t="s">
        <v>5544</v>
      </c>
      <c r="R297" s="17">
        <v>44139</v>
      </c>
      <c r="S297" s="17">
        <v>44130</v>
      </c>
      <c r="T297" s="14" t="s">
        <v>8702</v>
      </c>
      <c r="U297" s="14" t="s">
        <v>8703</v>
      </c>
      <c r="V297" s="14" t="s">
        <v>8704</v>
      </c>
      <c r="W297" s="14"/>
      <c r="X297" s="14" t="s">
        <v>8705</v>
      </c>
      <c r="Y297" s="14" t="s">
        <v>8706</v>
      </c>
      <c r="Z297" s="14" t="s">
        <v>8707</v>
      </c>
      <c r="AA297" s="14"/>
      <c r="AB297" s="14" t="s">
        <v>3994</v>
      </c>
      <c r="AC297" s="14" t="s">
        <v>8708</v>
      </c>
      <c r="AD297" s="14"/>
      <c r="AE297" s="14" t="s">
        <v>8709</v>
      </c>
      <c r="AF297" s="14" t="s">
        <v>8710</v>
      </c>
      <c r="AG297" s="14" t="s">
        <v>8711</v>
      </c>
      <c r="AH297" s="18" t="s">
        <v>8712</v>
      </c>
      <c r="AI297" s="16">
        <v>29233300</v>
      </c>
      <c r="AJ297" s="17">
        <v>43465</v>
      </c>
      <c r="AK297" s="15" t="s">
        <v>3117</v>
      </c>
      <c r="AL297" s="17">
        <v>42312</v>
      </c>
      <c r="AM297" s="16">
        <v>1523</v>
      </c>
      <c r="AN297" s="14" t="s">
        <v>8713</v>
      </c>
      <c r="AO297" s="14"/>
      <c r="AP297" s="15" t="s">
        <v>3123</v>
      </c>
      <c r="AQ297" s="14"/>
      <c r="AR297" s="17"/>
      <c r="AS297" s="16"/>
      <c r="AT297" s="14"/>
      <c r="AU297" s="15" t="s">
        <v>3123</v>
      </c>
      <c r="AV297" s="14"/>
      <c r="AW297" s="17"/>
      <c r="AX297" s="16"/>
      <c r="AY297" s="16"/>
      <c r="AZ297" s="16"/>
      <c r="BA297" s="16"/>
      <c r="BB297" s="15" t="s">
        <v>3123</v>
      </c>
      <c r="BC297" s="17"/>
      <c r="BD297" s="14"/>
      <c r="BE297" s="14"/>
      <c r="BF297" s="16"/>
      <c r="BG297" s="16"/>
      <c r="BH297" s="13"/>
      <c r="BI297" s="18" t="s">
        <v>8714</v>
      </c>
      <c r="BJ297" s="13">
        <v>200</v>
      </c>
      <c r="BK297" s="17">
        <v>44117</v>
      </c>
      <c r="BL297" s="18" t="s">
        <v>8715</v>
      </c>
      <c r="BM297" s="18"/>
      <c r="BN297" s="18"/>
      <c r="BO297" s="18"/>
      <c r="BP297" s="14" t="s">
        <v>8716</v>
      </c>
      <c r="BQ297" s="17">
        <v>42661</v>
      </c>
      <c r="BR297" s="16">
        <v>-8176500</v>
      </c>
      <c r="BS297" s="17">
        <v>43465</v>
      </c>
      <c r="BT297" s="16">
        <v>-8056000</v>
      </c>
      <c r="BU297" s="17">
        <v>43465</v>
      </c>
      <c r="BV297" s="16">
        <v>80000000</v>
      </c>
      <c r="BW297" s="17">
        <v>43763</v>
      </c>
      <c r="BX297" s="16">
        <v>213</v>
      </c>
      <c r="BY297" s="17">
        <v>44012</v>
      </c>
      <c r="BZ297" s="19">
        <v>60.399154644673651</v>
      </c>
      <c r="CA297" s="19"/>
      <c r="CB297" s="17"/>
      <c r="CC297" s="14" t="s">
        <v>6556</v>
      </c>
      <c r="CD297" s="14" t="s">
        <v>5003</v>
      </c>
      <c r="CE297" s="14" t="s">
        <v>5004</v>
      </c>
    </row>
    <row r="298" spans="1:83" ht="26.15" hidden="1" customHeight="1">
      <c r="A298" s="13">
        <v>292</v>
      </c>
      <c r="B298" s="14" t="s">
        <v>849</v>
      </c>
      <c r="C298" s="14" t="s">
        <v>850</v>
      </c>
      <c r="D298" s="14" t="s">
        <v>854</v>
      </c>
      <c r="E298" s="13">
        <v>2013</v>
      </c>
      <c r="F298" s="14" t="s">
        <v>8717</v>
      </c>
      <c r="G298" s="14" t="s">
        <v>8718</v>
      </c>
      <c r="H298" s="14" t="s">
        <v>5562</v>
      </c>
      <c r="I298" s="15" t="s">
        <v>3117</v>
      </c>
      <c r="J298" s="16">
        <v>18000000</v>
      </c>
      <c r="K298" s="17">
        <v>43713</v>
      </c>
      <c r="L298" s="16" t="s">
        <v>5224</v>
      </c>
      <c r="M298" s="16">
        <v>12000000</v>
      </c>
      <c r="N298" s="14" t="s">
        <v>109</v>
      </c>
      <c r="O298" s="13">
        <v>4</v>
      </c>
      <c r="P298" s="17">
        <v>44057</v>
      </c>
      <c r="Q298" s="14" t="s">
        <v>5052</v>
      </c>
      <c r="R298" s="17">
        <v>43880</v>
      </c>
      <c r="S298" s="17">
        <v>43713</v>
      </c>
      <c r="T298" s="14" t="s">
        <v>5041</v>
      </c>
      <c r="U298" s="14" t="s">
        <v>5042</v>
      </c>
      <c r="V298" s="14" t="s">
        <v>6172</v>
      </c>
      <c r="W298" s="14"/>
      <c r="X298" s="14" t="s">
        <v>8719</v>
      </c>
      <c r="Y298" s="14"/>
      <c r="Z298" s="14" t="s">
        <v>8720</v>
      </c>
      <c r="AA298" s="14"/>
      <c r="AB298" s="14" t="s">
        <v>5562</v>
      </c>
      <c r="AC298" s="14" t="s">
        <v>8721</v>
      </c>
      <c r="AD298" s="14" t="s">
        <v>8722</v>
      </c>
      <c r="AE298" s="14" t="s">
        <v>8723</v>
      </c>
      <c r="AF298" s="14" t="s">
        <v>8724</v>
      </c>
      <c r="AG298" s="14" t="s">
        <v>8725</v>
      </c>
      <c r="AH298" s="18" t="s">
        <v>8726</v>
      </c>
      <c r="AI298" s="16"/>
      <c r="AJ298" s="17"/>
      <c r="AK298" s="15" t="s">
        <v>3123</v>
      </c>
      <c r="AL298" s="17"/>
      <c r="AM298" s="16"/>
      <c r="AN298" s="14"/>
      <c r="AO298" s="14"/>
      <c r="AP298" s="15" t="s">
        <v>3123</v>
      </c>
      <c r="AQ298" s="14"/>
      <c r="AR298" s="17"/>
      <c r="AS298" s="16"/>
      <c r="AT298" s="14"/>
      <c r="AU298" s="15" t="s">
        <v>3123</v>
      </c>
      <c r="AV298" s="14"/>
      <c r="AW298" s="17"/>
      <c r="AX298" s="16"/>
      <c r="AY298" s="16"/>
      <c r="AZ298" s="16"/>
      <c r="BA298" s="16"/>
      <c r="BB298" s="15" t="s">
        <v>3123</v>
      </c>
      <c r="BC298" s="17"/>
      <c r="BD298" s="14"/>
      <c r="BE298" s="14"/>
      <c r="BF298" s="16"/>
      <c r="BG298" s="16"/>
      <c r="BH298" s="13"/>
      <c r="BI298" s="18" t="s">
        <v>8727</v>
      </c>
      <c r="BJ298" s="13">
        <v>200</v>
      </c>
      <c r="BK298" s="17">
        <v>44117</v>
      </c>
      <c r="BL298" s="18" t="s">
        <v>8728</v>
      </c>
      <c r="BM298" s="18" t="s">
        <v>8729</v>
      </c>
      <c r="BN298" s="18" t="s">
        <v>8730</v>
      </c>
      <c r="BO298" s="18" t="s">
        <v>8731</v>
      </c>
      <c r="BP298" s="14" t="s">
        <v>8732</v>
      </c>
      <c r="BQ298" s="17">
        <v>43983</v>
      </c>
      <c r="BR298" s="16"/>
      <c r="BS298" s="17"/>
      <c r="BT298" s="16"/>
      <c r="BU298" s="17"/>
      <c r="BV298" s="16"/>
      <c r="BW298" s="17"/>
      <c r="BX298" s="16"/>
      <c r="BY298" s="17"/>
      <c r="BZ298" s="19">
        <v>51.859025283760971</v>
      </c>
      <c r="CA298" s="19"/>
      <c r="CB298" s="17"/>
      <c r="CC298" s="14" t="s">
        <v>5149</v>
      </c>
      <c r="CD298" s="14" t="s">
        <v>5150</v>
      </c>
      <c r="CE298" s="14" t="s">
        <v>5004</v>
      </c>
    </row>
    <row r="299" spans="1:83" ht="26.15" customHeight="1">
      <c r="A299" s="13">
        <v>293</v>
      </c>
      <c r="B299" s="14" t="s">
        <v>641</v>
      </c>
      <c r="C299" s="14" t="s">
        <v>642</v>
      </c>
      <c r="D299" s="14" t="s">
        <v>645</v>
      </c>
      <c r="E299" s="13">
        <v>2009</v>
      </c>
      <c r="F299" s="14" t="s">
        <v>5592</v>
      </c>
      <c r="G299" s="14" t="s">
        <v>5313</v>
      </c>
      <c r="H299" s="14" t="s">
        <v>3994</v>
      </c>
      <c r="I299" s="15" t="s">
        <v>3117</v>
      </c>
      <c r="J299" s="16">
        <v>10590520</v>
      </c>
      <c r="K299" s="17">
        <v>43811</v>
      </c>
      <c r="L299" s="16" t="s">
        <v>6481</v>
      </c>
      <c r="M299" s="16">
        <v>6000000</v>
      </c>
      <c r="N299" s="14" t="s">
        <v>109</v>
      </c>
      <c r="O299" s="13">
        <v>4</v>
      </c>
      <c r="P299" s="17">
        <v>44050</v>
      </c>
      <c r="Q299" s="14" t="s">
        <v>5052</v>
      </c>
      <c r="R299" s="17">
        <v>43816</v>
      </c>
      <c r="S299" s="17">
        <v>43811</v>
      </c>
      <c r="T299" s="14" t="s">
        <v>5791</v>
      </c>
      <c r="U299" s="14" t="s">
        <v>8590</v>
      </c>
      <c r="V299" s="14" t="s">
        <v>8733</v>
      </c>
      <c r="W299" s="14"/>
      <c r="X299" s="14" t="s">
        <v>8734</v>
      </c>
      <c r="Y299" s="14" t="s">
        <v>8735</v>
      </c>
      <c r="Z299" s="14" t="s">
        <v>8736</v>
      </c>
      <c r="AA299" s="14"/>
      <c r="AB299" s="14" t="s">
        <v>3994</v>
      </c>
      <c r="AC299" s="14" t="s">
        <v>8737</v>
      </c>
      <c r="AD299" s="14" t="s">
        <v>8738</v>
      </c>
      <c r="AE299" s="14" t="s">
        <v>8739</v>
      </c>
      <c r="AF299" s="14" t="s">
        <v>8740</v>
      </c>
      <c r="AG299" s="14" t="s">
        <v>8741</v>
      </c>
      <c r="AH299" s="18" t="s">
        <v>8742</v>
      </c>
      <c r="AI299" s="16">
        <v>9797193</v>
      </c>
      <c r="AJ299" s="17">
        <v>43465</v>
      </c>
      <c r="AK299" s="15" t="s">
        <v>3117</v>
      </c>
      <c r="AL299" s="17">
        <v>40471</v>
      </c>
      <c r="AM299" s="16">
        <v>2703</v>
      </c>
      <c r="AN299" s="14" t="s">
        <v>8743</v>
      </c>
      <c r="AO299" s="14"/>
      <c r="AP299" s="15" t="s">
        <v>3123</v>
      </c>
      <c r="AQ299" s="14"/>
      <c r="AR299" s="17"/>
      <c r="AS299" s="16"/>
      <c r="AT299" s="14"/>
      <c r="AU299" s="15" t="s">
        <v>3123</v>
      </c>
      <c r="AV299" s="14"/>
      <c r="AW299" s="17"/>
      <c r="AX299" s="16"/>
      <c r="AY299" s="16"/>
      <c r="AZ299" s="16"/>
      <c r="BA299" s="16"/>
      <c r="BB299" s="15" t="s">
        <v>3123</v>
      </c>
      <c r="BC299" s="17"/>
      <c r="BD299" s="14"/>
      <c r="BE299" s="14"/>
      <c r="BF299" s="16"/>
      <c r="BG299" s="16"/>
      <c r="BH299" s="13"/>
      <c r="BI299" s="18" t="s">
        <v>8744</v>
      </c>
      <c r="BJ299" s="13">
        <v>200</v>
      </c>
      <c r="BK299" s="17">
        <v>44116</v>
      </c>
      <c r="BL299" s="18" t="s">
        <v>8745</v>
      </c>
      <c r="BM299" s="18" t="s">
        <v>8746</v>
      </c>
      <c r="BN299" s="18" t="s">
        <v>8747</v>
      </c>
      <c r="BO299" s="18"/>
      <c r="BP299" s="14" t="s">
        <v>8748</v>
      </c>
      <c r="BQ299" s="17">
        <v>43031</v>
      </c>
      <c r="BR299" s="16">
        <v>-486610</v>
      </c>
      <c r="BS299" s="17">
        <v>43465</v>
      </c>
      <c r="BT299" s="16">
        <v>-86979</v>
      </c>
      <c r="BU299" s="17">
        <v>43465</v>
      </c>
      <c r="BV299" s="16">
        <v>20000000</v>
      </c>
      <c r="BW299" s="17">
        <v>43803</v>
      </c>
      <c r="BX299" s="16">
        <v>276</v>
      </c>
      <c r="BY299" s="17">
        <v>43921</v>
      </c>
      <c r="BZ299" s="19">
        <v>61.821519399240991</v>
      </c>
      <c r="CA299" s="19"/>
      <c r="CB299" s="17"/>
      <c r="CC299" s="14" t="s">
        <v>6365</v>
      </c>
      <c r="CD299" s="14" t="s">
        <v>8749</v>
      </c>
      <c r="CE299" s="14" t="s">
        <v>5004</v>
      </c>
    </row>
    <row r="300" spans="1:83" ht="26.15" customHeight="1">
      <c r="A300" s="13">
        <v>294</v>
      </c>
      <c r="B300" s="14" t="s">
        <v>1442</v>
      </c>
      <c r="C300" s="14" t="s">
        <v>1443</v>
      </c>
      <c r="D300" s="14" t="s">
        <v>1446</v>
      </c>
      <c r="E300" s="13">
        <v>2001</v>
      </c>
      <c r="F300" s="14" t="s">
        <v>8750</v>
      </c>
      <c r="G300" s="14" t="s">
        <v>8019</v>
      </c>
      <c r="H300" s="14" t="s">
        <v>5208</v>
      </c>
      <c r="I300" s="15" t="s">
        <v>3117</v>
      </c>
      <c r="J300" s="16"/>
      <c r="K300" s="17">
        <v>43356</v>
      </c>
      <c r="L300" s="16"/>
      <c r="M300" s="16" t="s">
        <v>50</v>
      </c>
      <c r="N300" s="14" t="s">
        <v>5040</v>
      </c>
      <c r="O300" s="13">
        <v>2</v>
      </c>
      <c r="P300" s="17">
        <v>44081</v>
      </c>
      <c r="Q300" s="14"/>
      <c r="R300" s="17"/>
      <c r="S300" s="17"/>
      <c r="T300" s="14" t="s">
        <v>1</v>
      </c>
      <c r="U300" s="14" t="s">
        <v>5084</v>
      </c>
      <c r="V300" s="14" t="s">
        <v>6268</v>
      </c>
      <c r="W300" s="14"/>
      <c r="X300" s="14" t="s">
        <v>3978</v>
      </c>
      <c r="Y300" s="14"/>
      <c r="Z300" s="14" t="s">
        <v>8751</v>
      </c>
      <c r="AA300" s="14"/>
      <c r="AB300" s="14" t="s">
        <v>5208</v>
      </c>
      <c r="AC300" s="14" t="s">
        <v>8752</v>
      </c>
      <c r="AD300" s="14" t="s">
        <v>8753</v>
      </c>
      <c r="AE300" s="14" t="s">
        <v>8754</v>
      </c>
      <c r="AF300" s="14" t="s">
        <v>8755</v>
      </c>
      <c r="AG300" s="14" t="s">
        <v>8756</v>
      </c>
      <c r="AH300" s="18" t="s">
        <v>8757</v>
      </c>
      <c r="AI300" s="16"/>
      <c r="AJ300" s="17"/>
      <c r="AK300" s="15" t="s">
        <v>3123</v>
      </c>
      <c r="AL300" s="17"/>
      <c r="AM300" s="16"/>
      <c r="AN300" s="14"/>
      <c r="AO300" s="14"/>
      <c r="AP300" s="15" t="s">
        <v>3123</v>
      </c>
      <c r="AQ300" s="14"/>
      <c r="AR300" s="17"/>
      <c r="AS300" s="16"/>
      <c r="AT300" s="14"/>
      <c r="AU300" s="15" t="s">
        <v>3123</v>
      </c>
      <c r="AV300" s="14"/>
      <c r="AW300" s="17"/>
      <c r="AX300" s="16"/>
      <c r="AY300" s="16"/>
      <c r="AZ300" s="16"/>
      <c r="BA300" s="16"/>
      <c r="BB300" s="15" t="s">
        <v>3123</v>
      </c>
      <c r="BC300" s="17"/>
      <c r="BD300" s="14"/>
      <c r="BE300" s="14"/>
      <c r="BF300" s="16"/>
      <c r="BG300" s="16"/>
      <c r="BH300" s="13"/>
      <c r="BI300" s="18" t="s">
        <v>8758</v>
      </c>
      <c r="BJ300" s="13">
        <v>200</v>
      </c>
      <c r="BK300" s="17">
        <v>44116</v>
      </c>
      <c r="BL300" s="18" t="s">
        <v>8759</v>
      </c>
      <c r="BM300" s="18" t="s">
        <v>8760</v>
      </c>
      <c r="BN300" s="18" t="s">
        <v>8761</v>
      </c>
      <c r="BO300" s="18" t="s">
        <v>8762</v>
      </c>
      <c r="BP300" s="14" t="s">
        <v>8763</v>
      </c>
      <c r="BQ300" s="17">
        <v>43367</v>
      </c>
      <c r="BR300" s="16"/>
      <c r="BS300" s="17"/>
      <c r="BT300" s="16"/>
      <c r="BU300" s="17"/>
      <c r="BV300" s="16"/>
      <c r="BW300" s="17"/>
      <c r="BX300" s="16"/>
      <c r="BY300" s="17"/>
      <c r="BZ300" s="19">
        <v>36.470889949948443</v>
      </c>
      <c r="CA300" s="19"/>
      <c r="CB300" s="17"/>
      <c r="CC300" s="14" t="s">
        <v>5036</v>
      </c>
      <c r="CD300" s="14" t="s">
        <v>5310</v>
      </c>
      <c r="CE300" s="14" t="s">
        <v>5521</v>
      </c>
    </row>
    <row r="301" spans="1:83" ht="26.15" customHeight="1">
      <c r="A301" s="13">
        <v>295</v>
      </c>
      <c r="B301" s="14" t="s">
        <v>1885</v>
      </c>
      <c r="C301" s="14" t="s">
        <v>1886</v>
      </c>
      <c r="D301" s="14" t="s">
        <v>1889</v>
      </c>
      <c r="E301" s="13">
        <v>2013</v>
      </c>
      <c r="F301" s="14" t="s">
        <v>5038</v>
      </c>
      <c r="G301" s="14" t="s">
        <v>5039</v>
      </c>
      <c r="H301" s="14" t="s">
        <v>3994</v>
      </c>
      <c r="I301" s="15" t="s">
        <v>3117</v>
      </c>
      <c r="J301" s="16">
        <v>133229</v>
      </c>
      <c r="K301" s="17">
        <v>43075</v>
      </c>
      <c r="L301" s="16" t="s">
        <v>8764</v>
      </c>
      <c r="M301" s="16">
        <v>69074</v>
      </c>
      <c r="N301" s="14" t="s">
        <v>34</v>
      </c>
      <c r="O301" s="13">
        <v>4</v>
      </c>
      <c r="P301" s="17">
        <v>44057</v>
      </c>
      <c r="Q301" s="14"/>
      <c r="R301" s="17"/>
      <c r="S301" s="17"/>
      <c r="T301" s="14" t="s">
        <v>5041</v>
      </c>
      <c r="U301" s="14" t="s">
        <v>5042</v>
      </c>
      <c r="V301" s="14" t="s">
        <v>5486</v>
      </c>
      <c r="W301" s="14"/>
      <c r="X301" s="14" t="s">
        <v>3639</v>
      </c>
      <c r="Y301" s="14" t="s">
        <v>8765</v>
      </c>
      <c r="Z301" s="14" t="s">
        <v>8766</v>
      </c>
      <c r="AA301" s="14"/>
      <c r="AB301" s="14" t="s">
        <v>3994</v>
      </c>
      <c r="AC301" s="14"/>
      <c r="AD301" s="14"/>
      <c r="AE301" s="14" t="s">
        <v>8767</v>
      </c>
      <c r="AF301" s="14" t="s">
        <v>8768</v>
      </c>
      <c r="AG301" s="14" t="s">
        <v>8769</v>
      </c>
      <c r="AH301" s="18"/>
      <c r="AI301" s="16">
        <v>76500</v>
      </c>
      <c r="AJ301" s="17">
        <v>43100</v>
      </c>
      <c r="AK301" s="15" t="s">
        <v>3117</v>
      </c>
      <c r="AL301" s="17">
        <v>41551</v>
      </c>
      <c r="AM301" s="16">
        <v>1618</v>
      </c>
      <c r="AN301" s="14" t="s">
        <v>8770</v>
      </c>
      <c r="AO301" s="14"/>
      <c r="AP301" s="15" t="s">
        <v>3123</v>
      </c>
      <c r="AQ301" s="14"/>
      <c r="AR301" s="17"/>
      <c r="AS301" s="16"/>
      <c r="AT301" s="14"/>
      <c r="AU301" s="15" t="s">
        <v>3123</v>
      </c>
      <c r="AV301" s="14"/>
      <c r="AW301" s="17"/>
      <c r="AX301" s="16"/>
      <c r="AY301" s="16"/>
      <c r="AZ301" s="16"/>
      <c r="BA301" s="16"/>
      <c r="BB301" s="15" t="s">
        <v>3123</v>
      </c>
      <c r="BC301" s="17"/>
      <c r="BD301" s="14"/>
      <c r="BE301" s="14"/>
      <c r="BF301" s="16"/>
      <c r="BG301" s="16"/>
      <c r="BH301" s="13"/>
      <c r="BI301" s="18" t="s">
        <v>8771</v>
      </c>
      <c r="BJ301" s="13">
        <v>200</v>
      </c>
      <c r="BK301" s="17">
        <v>44116</v>
      </c>
      <c r="BL301" s="18" t="s">
        <v>8772</v>
      </c>
      <c r="BM301" s="18" t="s">
        <v>8773</v>
      </c>
      <c r="BN301" s="18" t="s">
        <v>8774</v>
      </c>
      <c r="BO301" s="18"/>
      <c r="BP301" s="14" t="s">
        <v>8775</v>
      </c>
      <c r="BQ301" s="17">
        <v>42929</v>
      </c>
      <c r="BR301" s="16">
        <v>-20800</v>
      </c>
      <c r="BS301" s="17">
        <v>43100</v>
      </c>
      <c r="BT301" s="16">
        <v>-20800</v>
      </c>
      <c r="BU301" s="17">
        <v>43100</v>
      </c>
      <c r="BV301" s="16"/>
      <c r="BW301" s="17"/>
      <c r="BX301" s="16"/>
      <c r="BY301" s="17"/>
      <c r="BZ301" s="19">
        <v>38.739234556602689</v>
      </c>
      <c r="CA301" s="19"/>
      <c r="CB301" s="17"/>
      <c r="CC301" s="14" t="s">
        <v>5036</v>
      </c>
      <c r="CD301" s="14" t="s">
        <v>5962</v>
      </c>
      <c r="CE301" s="14" t="s">
        <v>5945</v>
      </c>
    </row>
    <row r="302" spans="1:83" ht="26.15" customHeight="1">
      <c r="A302" s="13">
        <v>296</v>
      </c>
      <c r="B302" s="14" t="s">
        <v>1705</v>
      </c>
      <c r="C302" s="14" t="s">
        <v>1706</v>
      </c>
      <c r="D302" s="14" t="s">
        <v>1710</v>
      </c>
      <c r="E302" s="13">
        <v>2012</v>
      </c>
      <c r="F302" s="14" t="s">
        <v>8776</v>
      </c>
      <c r="G302" s="14" t="s">
        <v>6480</v>
      </c>
      <c r="H302" s="14" t="s">
        <v>3994</v>
      </c>
      <c r="I302" s="15" t="s">
        <v>3117</v>
      </c>
      <c r="J302" s="16">
        <v>6780764</v>
      </c>
      <c r="K302" s="17">
        <v>43220</v>
      </c>
      <c r="L302" s="16" t="s">
        <v>5543</v>
      </c>
      <c r="M302" s="16">
        <v>5439750</v>
      </c>
      <c r="N302" s="14" t="s">
        <v>25</v>
      </c>
      <c r="O302" s="13">
        <v>5</v>
      </c>
      <c r="P302" s="17">
        <v>44098</v>
      </c>
      <c r="Q302" s="14"/>
      <c r="R302" s="17"/>
      <c r="S302" s="17"/>
      <c r="T302" s="14" t="s">
        <v>5041</v>
      </c>
      <c r="U302" s="14" t="s">
        <v>6243</v>
      </c>
      <c r="V302" s="14" t="s">
        <v>8777</v>
      </c>
      <c r="W302" s="14"/>
      <c r="X302" s="14" t="s">
        <v>8778</v>
      </c>
      <c r="Y302" s="14"/>
      <c r="Z302" s="14" t="s">
        <v>8779</v>
      </c>
      <c r="AA302" s="14"/>
      <c r="AB302" s="14" t="s">
        <v>3994</v>
      </c>
      <c r="AC302" s="14"/>
      <c r="AD302" s="14"/>
      <c r="AE302" s="14" t="s">
        <v>8780</v>
      </c>
      <c r="AF302" s="14" t="s">
        <v>8781</v>
      </c>
      <c r="AG302" s="14" t="s">
        <v>8782</v>
      </c>
      <c r="AH302" s="18" t="s">
        <v>8783</v>
      </c>
      <c r="AI302" s="16">
        <v>1360200</v>
      </c>
      <c r="AJ302" s="17">
        <v>43465</v>
      </c>
      <c r="AK302" s="15" t="s">
        <v>3117</v>
      </c>
      <c r="AL302" s="17">
        <v>41187</v>
      </c>
      <c r="AM302" s="16">
        <v>1931</v>
      </c>
      <c r="AN302" s="14" t="s">
        <v>8784</v>
      </c>
      <c r="AO302" s="14"/>
      <c r="AP302" s="15" t="s">
        <v>3123</v>
      </c>
      <c r="AQ302" s="14"/>
      <c r="AR302" s="17"/>
      <c r="AS302" s="16"/>
      <c r="AT302" s="14"/>
      <c r="AU302" s="15" t="s">
        <v>3123</v>
      </c>
      <c r="AV302" s="14"/>
      <c r="AW302" s="17"/>
      <c r="AX302" s="16"/>
      <c r="AY302" s="16"/>
      <c r="AZ302" s="16"/>
      <c r="BA302" s="16"/>
      <c r="BB302" s="15" t="s">
        <v>3123</v>
      </c>
      <c r="BC302" s="17"/>
      <c r="BD302" s="14"/>
      <c r="BE302" s="14"/>
      <c r="BF302" s="16"/>
      <c r="BG302" s="16"/>
      <c r="BH302" s="13"/>
      <c r="BI302" s="18" t="s">
        <v>8785</v>
      </c>
      <c r="BJ302" s="13">
        <v>200</v>
      </c>
      <c r="BK302" s="17">
        <v>44116</v>
      </c>
      <c r="BL302" s="18" t="s">
        <v>8786</v>
      </c>
      <c r="BM302" s="18" t="s">
        <v>8787</v>
      </c>
      <c r="BN302" s="18" t="s">
        <v>8788</v>
      </c>
      <c r="BO302" s="18"/>
      <c r="BP302" s="14" t="s">
        <v>8789</v>
      </c>
      <c r="BQ302" s="17">
        <v>42934</v>
      </c>
      <c r="BR302" s="16">
        <v>-270300</v>
      </c>
      <c r="BS302" s="17">
        <v>43100</v>
      </c>
      <c r="BT302" s="16">
        <v>-249400</v>
      </c>
      <c r="BU302" s="17">
        <v>43100</v>
      </c>
      <c r="BV302" s="16">
        <v>20000000</v>
      </c>
      <c r="BW302" s="17">
        <v>43146</v>
      </c>
      <c r="BX302" s="16">
        <v>60</v>
      </c>
      <c r="BY302" s="17">
        <v>44012</v>
      </c>
      <c r="BZ302" s="19">
        <v>53.99806641757668</v>
      </c>
      <c r="CA302" s="19"/>
      <c r="CB302" s="17"/>
      <c r="CC302" s="14" t="s">
        <v>6493</v>
      </c>
      <c r="CD302" s="14" t="s">
        <v>8790</v>
      </c>
      <c r="CE302" s="14" t="s">
        <v>5004</v>
      </c>
    </row>
    <row r="303" spans="1:83" ht="26.15" customHeight="1">
      <c r="A303" s="13">
        <v>297</v>
      </c>
      <c r="B303" s="14" t="s">
        <v>622</v>
      </c>
      <c r="C303" s="14" t="s">
        <v>623</v>
      </c>
      <c r="D303" s="14" t="s">
        <v>625</v>
      </c>
      <c r="E303" s="13">
        <v>2011</v>
      </c>
      <c r="F303" s="14" t="s">
        <v>5038</v>
      </c>
      <c r="G303" s="14" t="s">
        <v>5039</v>
      </c>
      <c r="H303" s="14" t="s">
        <v>3994</v>
      </c>
      <c r="I303" s="15" t="s">
        <v>3117</v>
      </c>
      <c r="J303" s="16">
        <v>3574388</v>
      </c>
      <c r="K303" s="17">
        <v>43817</v>
      </c>
      <c r="L303" s="16" t="s">
        <v>8791</v>
      </c>
      <c r="M303" s="16">
        <v>42235</v>
      </c>
      <c r="N303" s="14" t="s">
        <v>109</v>
      </c>
      <c r="O303" s="13">
        <v>3</v>
      </c>
      <c r="P303" s="17">
        <v>44060</v>
      </c>
      <c r="Q303" s="14"/>
      <c r="R303" s="17"/>
      <c r="S303" s="17"/>
      <c r="T303" s="14" t="s">
        <v>8792</v>
      </c>
      <c r="U303" s="14" t="s">
        <v>8793</v>
      </c>
      <c r="V303" s="14" t="s">
        <v>8794</v>
      </c>
      <c r="W303" s="14"/>
      <c r="X303" s="14" t="s">
        <v>8795</v>
      </c>
      <c r="Y303" s="14" t="s">
        <v>624</v>
      </c>
      <c r="Z303" s="14" t="s">
        <v>8796</v>
      </c>
      <c r="AA303" s="14"/>
      <c r="AB303" s="14" t="s">
        <v>3994</v>
      </c>
      <c r="AC303" s="14" t="s">
        <v>8797</v>
      </c>
      <c r="AD303" s="14" t="s">
        <v>8798</v>
      </c>
      <c r="AE303" s="14" t="s">
        <v>8799</v>
      </c>
      <c r="AF303" s="14" t="s">
        <v>8800</v>
      </c>
      <c r="AG303" s="14" t="s">
        <v>8801</v>
      </c>
      <c r="AH303" s="18" t="s">
        <v>8802</v>
      </c>
      <c r="AI303" s="16">
        <v>1372600</v>
      </c>
      <c r="AJ303" s="17">
        <v>43465</v>
      </c>
      <c r="AK303" s="15" t="s">
        <v>3117</v>
      </c>
      <c r="AL303" s="17">
        <v>40581</v>
      </c>
      <c r="AM303" s="16">
        <v>2153</v>
      </c>
      <c r="AN303" s="14" t="s">
        <v>8803</v>
      </c>
      <c r="AO303" s="14"/>
      <c r="AP303" s="15" t="s">
        <v>3123</v>
      </c>
      <c r="AQ303" s="14"/>
      <c r="AR303" s="17"/>
      <c r="AS303" s="16"/>
      <c r="AT303" s="14"/>
      <c r="AU303" s="15" t="s">
        <v>3123</v>
      </c>
      <c r="AV303" s="14"/>
      <c r="AW303" s="17"/>
      <c r="AX303" s="16"/>
      <c r="AY303" s="16"/>
      <c r="AZ303" s="16"/>
      <c r="BA303" s="16"/>
      <c r="BB303" s="15" t="s">
        <v>3123</v>
      </c>
      <c r="BC303" s="17"/>
      <c r="BD303" s="14"/>
      <c r="BE303" s="14"/>
      <c r="BF303" s="16"/>
      <c r="BG303" s="16"/>
      <c r="BH303" s="13"/>
      <c r="BI303" s="18" t="s">
        <v>8804</v>
      </c>
      <c r="BJ303" s="13">
        <v>200</v>
      </c>
      <c r="BK303" s="17">
        <v>44116</v>
      </c>
      <c r="BL303" s="18" t="s">
        <v>8805</v>
      </c>
      <c r="BM303" s="18" t="s">
        <v>8806</v>
      </c>
      <c r="BN303" s="18" t="s">
        <v>8807</v>
      </c>
      <c r="BO303" s="18"/>
      <c r="BP303" s="14" t="s">
        <v>8808</v>
      </c>
      <c r="BQ303" s="17">
        <v>43056</v>
      </c>
      <c r="BR303" s="16">
        <v>-357600</v>
      </c>
      <c r="BS303" s="17">
        <v>43465</v>
      </c>
      <c r="BT303" s="16">
        <v>-297201</v>
      </c>
      <c r="BU303" s="17">
        <v>43465</v>
      </c>
      <c r="BV303" s="16">
        <v>6000000</v>
      </c>
      <c r="BW303" s="17">
        <v>43389</v>
      </c>
      <c r="BX303" s="16"/>
      <c r="BY303" s="17"/>
      <c r="BZ303" s="19">
        <v>43.24878371902394</v>
      </c>
      <c r="CA303" s="19"/>
      <c r="CB303" s="17"/>
      <c r="CC303" s="14" t="s">
        <v>5345</v>
      </c>
      <c r="CD303" s="14" t="s">
        <v>8809</v>
      </c>
      <c r="CE303" s="14" t="s">
        <v>5311</v>
      </c>
    </row>
    <row r="304" spans="1:83" ht="26.15" customHeight="1">
      <c r="A304" s="13">
        <v>298</v>
      </c>
      <c r="B304" s="14" t="s">
        <v>303</v>
      </c>
      <c r="C304" s="14" t="s">
        <v>304</v>
      </c>
      <c r="D304" s="14" t="s">
        <v>306</v>
      </c>
      <c r="E304" s="13">
        <v>2011</v>
      </c>
      <c r="F304" s="14" t="s">
        <v>5038</v>
      </c>
      <c r="G304" s="14" t="s">
        <v>5039</v>
      </c>
      <c r="H304" s="14" t="s">
        <v>3994</v>
      </c>
      <c r="I304" s="15" t="s">
        <v>3117</v>
      </c>
      <c r="J304" s="16">
        <v>19009146</v>
      </c>
      <c r="K304" s="17">
        <v>43999</v>
      </c>
      <c r="L304" s="16"/>
      <c r="M304" s="16" t="s">
        <v>50</v>
      </c>
      <c r="N304" s="14" t="s">
        <v>25</v>
      </c>
      <c r="O304" s="13">
        <v>4</v>
      </c>
      <c r="P304" s="17">
        <v>44098</v>
      </c>
      <c r="Q304" s="14" t="s">
        <v>5052</v>
      </c>
      <c r="R304" s="17">
        <v>44027</v>
      </c>
      <c r="S304" s="17">
        <v>43112</v>
      </c>
      <c r="T304" s="14" t="s">
        <v>5041</v>
      </c>
      <c r="U304" s="14" t="s">
        <v>7369</v>
      </c>
      <c r="V304" s="14" t="s">
        <v>8810</v>
      </c>
      <c r="W304" s="14"/>
      <c r="X304" s="14" t="s">
        <v>8811</v>
      </c>
      <c r="Y304" s="14" t="s">
        <v>8812</v>
      </c>
      <c r="Z304" s="14" t="s">
        <v>8813</v>
      </c>
      <c r="AA304" s="14"/>
      <c r="AB304" s="14" t="s">
        <v>3994</v>
      </c>
      <c r="AC304" s="14" t="s">
        <v>8814</v>
      </c>
      <c r="AD304" s="14" t="s">
        <v>8815</v>
      </c>
      <c r="AE304" s="14" t="s">
        <v>8816</v>
      </c>
      <c r="AF304" s="14" t="s">
        <v>8817</v>
      </c>
      <c r="AG304" s="14" t="s">
        <v>8818</v>
      </c>
      <c r="AH304" s="18" t="s">
        <v>8819</v>
      </c>
      <c r="AI304" s="16">
        <v>6895700</v>
      </c>
      <c r="AJ304" s="17">
        <v>43465</v>
      </c>
      <c r="AK304" s="15" t="s">
        <v>3117</v>
      </c>
      <c r="AL304" s="17">
        <v>40653</v>
      </c>
      <c r="AM304" s="16">
        <v>2221</v>
      </c>
      <c r="AN304" s="14" t="s">
        <v>8820</v>
      </c>
      <c r="AO304" s="14"/>
      <c r="AP304" s="15" t="s">
        <v>3123</v>
      </c>
      <c r="AQ304" s="14"/>
      <c r="AR304" s="17"/>
      <c r="AS304" s="16"/>
      <c r="AT304" s="14"/>
      <c r="AU304" s="15" t="s">
        <v>3123</v>
      </c>
      <c r="AV304" s="14"/>
      <c r="AW304" s="17"/>
      <c r="AX304" s="16"/>
      <c r="AY304" s="16"/>
      <c r="AZ304" s="16"/>
      <c r="BA304" s="16"/>
      <c r="BB304" s="15" t="s">
        <v>3123</v>
      </c>
      <c r="BC304" s="17"/>
      <c r="BD304" s="14"/>
      <c r="BE304" s="14"/>
      <c r="BF304" s="16"/>
      <c r="BG304" s="16"/>
      <c r="BH304" s="13"/>
      <c r="BI304" s="18" t="s">
        <v>8821</v>
      </c>
      <c r="BJ304" s="13">
        <v>200</v>
      </c>
      <c r="BK304" s="17">
        <v>44116</v>
      </c>
      <c r="BL304" s="18" t="s">
        <v>8822</v>
      </c>
      <c r="BM304" s="18" t="s">
        <v>8823</v>
      </c>
      <c r="BN304" s="18" t="s">
        <v>8824</v>
      </c>
      <c r="BO304" s="18" t="s">
        <v>8825</v>
      </c>
      <c r="BP304" s="14" t="s">
        <v>8826</v>
      </c>
      <c r="BQ304" s="17">
        <v>43965</v>
      </c>
      <c r="BR304" s="16">
        <v>-2338600</v>
      </c>
      <c r="BS304" s="17">
        <v>43465</v>
      </c>
      <c r="BT304" s="16">
        <v>-1763500</v>
      </c>
      <c r="BU304" s="17">
        <v>43465</v>
      </c>
      <c r="BV304" s="16">
        <v>30000000</v>
      </c>
      <c r="BW304" s="17">
        <v>43494</v>
      </c>
      <c r="BX304" s="16">
        <v>346</v>
      </c>
      <c r="BY304" s="17">
        <v>44012</v>
      </c>
      <c r="BZ304" s="19">
        <v>69.991495818041955</v>
      </c>
      <c r="CA304" s="19"/>
      <c r="CB304" s="17"/>
      <c r="CC304" s="14" t="s">
        <v>6493</v>
      </c>
      <c r="CD304" s="14" t="s">
        <v>8790</v>
      </c>
      <c r="CE304" s="14" t="s">
        <v>5004</v>
      </c>
    </row>
    <row r="305" spans="1:83" ht="26.15" customHeight="1">
      <c r="A305" s="13">
        <v>299</v>
      </c>
      <c r="B305" s="14" t="s">
        <v>1115</v>
      </c>
      <c r="C305" s="14" t="s">
        <v>1116</v>
      </c>
      <c r="D305" s="14" t="s">
        <v>1118</v>
      </c>
      <c r="E305" s="13">
        <v>2009</v>
      </c>
      <c r="F305" s="14" t="s">
        <v>5312</v>
      </c>
      <c r="G305" s="14" t="s">
        <v>5313</v>
      </c>
      <c r="H305" s="14" t="s">
        <v>3994</v>
      </c>
      <c r="I305" s="15" t="s">
        <v>3117</v>
      </c>
      <c r="J305" s="16">
        <v>14634837</v>
      </c>
      <c r="K305" s="17">
        <v>43554</v>
      </c>
      <c r="L305" s="16" t="s">
        <v>5134</v>
      </c>
      <c r="M305" s="16">
        <v>1152780</v>
      </c>
      <c r="N305" s="14" t="s">
        <v>109</v>
      </c>
      <c r="O305" s="13">
        <v>4</v>
      </c>
      <c r="P305" s="17">
        <v>44022</v>
      </c>
      <c r="Q305" s="14"/>
      <c r="R305" s="17"/>
      <c r="S305" s="17"/>
      <c r="T305" s="14" t="s">
        <v>1</v>
      </c>
      <c r="U305" s="14" t="s">
        <v>5007</v>
      </c>
      <c r="V305" s="14" t="s">
        <v>257</v>
      </c>
      <c r="W305" s="14"/>
      <c r="X305" s="14" t="s">
        <v>8827</v>
      </c>
      <c r="Y305" s="14" t="s">
        <v>8828</v>
      </c>
      <c r="Z305" s="14" t="s">
        <v>8829</v>
      </c>
      <c r="AA305" s="14"/>
      <c r="AB305" s="14" t="s">
        <v>3994</v>
      </c>
      <c r="AC305" s="14"/>
      <c r="AD305" s="14"/>
      <c r="AE305" s="14" t="s">
        <v>8830</v>
      </c>
      <c r="AF305" s="14" t="s">
        <v>8831</v>
      </c>
      <c r="AG305" s="14" t="s">
        <v>8832</v>
      </c>
      <c r="AH305" s="18" t="s">
        <v>8833</v>
      </c>
      <c r="AI305" s="16">
        <v>14404300</v>
      </c>
      <c r="AJ305" s="17">
        <v>43465</v>
      </c>
      <c r="AK305" s="15" t="s">
        <v>3117</v>
      </c>
      <c r="AL305" s="17">
        <v>40080</v>
      </c>
      <c r="AM305" s="16">
        <v>2074</v>
      </c>
      <c r="AN305" s="14" t="s">
        <v>8834</v>
      </c>
      <c r="AO305" s="14"/>
      <c r="AP305" s="15" t="s">
        <v>3123</v>
      </c>
      <c r="AQ305" s="14"/>
      <c r="AR305" s="17"/>
      <c r="AS305" s="16"/>
      <c r="AT305" s="14"/>
      <c r="AU305" s="15" t="s">
        <v>3123</v>
      </c>
      <c r="AV305" s="14"/>
      <c r="AW305" s="17"/>
      <c r="AX305" s="16"/>
      <c r="AY305" s="16"/>
      <c r="AZ305" s="16"/>
      <c r="BA305" s="16"/>
      <c r="BB305" s="15" t="s">
        <v>3123</v>
      </c>
      <c r="BC305" s="17"/>
      <c r="BD305" s="14"/>
      <c r="BE305" s="14"/>
      <c r="BF305" s="16"/>
      <c r="BG305" s="16"/>
      <c r="BH305" s="13"/>
      <c r="BI305" s="18" t="s">
        <v>8835</v>
      </c>
      <c r="BJ305" s="13">
        <v>200</v>
      </c>
      <c r="BK305" s="17">
        <v>44117</v>
      </c>
      <c r="BL305" s="18" t="s">
        <v>8836</v>
      </c>
      <c r="BM305" s="18"/>
      <c r="BN305" s="18" t="s">
        <v>8837</v>
      </c>
      <c r="BO305" s="18"/>
      <c r="BP305" s="14" t="s">
        <v>8838</v>
      </c>
      <c r="BQ305" s="17">
        <v>42605</v>
      </c>
      <c r="BR305" s="16">
        <v>-881800</v>
      </c>
      <c r="BS305" s="17">
        <v>43465</v>
      </c>
      <c r="BT305" s="16">
        <v>-211700</v>
      </c>
      <c r="BU305" s="17">
        <v>43465</v>
      </c>
      <c r="BV305" s="16">
        <v>27000000</v>
      </c>
      <c r="BW305" s="17">
        <v>43843</v>
      </c>
      <c r="BX305" s="16">
        <v>200</v>
      </c>
      <c r="BY305" s="17">
        <v>44012</v>
      </c>
      <c r="BZ305" s="19">
        <v>51.909019496593189</v>
      </c>
      <c r="CA305" s="19"/>
      <c r="CB305" s="17"/>
      <c r="CC305" s="14" t="s">
        <v>5247</v>
      </c>
      <c r="CD305" s="14" t="s">
        <v>5753</v>
      </c>
      <c r="CE305" s="14" t="s">
        <v>5004</v>
      </c>
    </row>
    <row r="306" spans="1:83" ht="26.15" customHeight="1">
      <c r="A306" s="13">
        <v>300</v>
      </c>
      <c r="B306" s="14" t="s">
        <v>558</v>
      </c>
      <c r="C306" s="14" t="s">
        <v>559</v>
      </c>
      <c r="D306" s="14" t="s">
        <v>563</v>
      </c>
      <c r="E306" s="13">
        <v>2013</v>
      </c>
      <c r="F306" s="14" t="s">
        <v>8839</v>
      </c>
      <c r="G306" s="14" t="s">
        <v>5133</v>
      </c>
      <c r="H306" s="14" t="s">
        <v>3994</v>
      </c>
      <c r="I306" s="15" t="s">
        <v>3117</v>
      </c>
      <c r="J306" s="16">
        <v>575016</v>
      </c>
      <c r="K306" s="17">
        <v>43860</v>
      </c>
      <c r="L306" s="16" t="s">
        <v>8840</v>
      </c>
      <c r="M306" s="16">
        <v>575016</v>
      </c>
      <c r="N306" s="14" t="s">
        <v>34</v>
      </c>
      <c r="O306" s="13">
        <v>3</v>
      </c>
      <c r="P306" s="17">
        <v>44104</v>
      </c>
      <c r="Q306" s="14"/>
      <c r="R306" s="17"/>
      <c r="S306" s="17"/>
      <c r="T306" s="14" t="s">
        <v>5041</v>
      </c>
      <c r="U306" s="14" t="s">
        <v>5042</v>
      </c>
      <c r="V306" s="14" t="s">
        <v>6172</v>
      </c>
      <c r="W306" s="14"/>
      <c r="X306" s="14" t="s">
        <v>8841</v>
      </c>
      <c r="Y306" s="14" t="s">
        <v>8842</v>
      </c>
      <c r="Z306" s="14" t="s">
        <v>8843</v>
      </c>
      <c r="AA306" s="14"/>
      <c r="AB306" s="14" t="s">
        <v>3994</v>
      </c>
      <c r="AC306" s="14"/>
      <c r="AD306" s="14" t="s">
        <v>8844</v>
      </c>
      <c r="AE306" s="14" t="s">
        <v>8845</v>
      </c>
      <c r="AF306" s="14" t="s">
        <v>8846</v>
      </c>
      <c r="AG306" s="14" t="s">
        <v>8847</v>
      </c>
      <c r="AH306" s="18" t="s">
        <v>8848</v>
      </c>
      <c r="AI306" s="16">
        <v>1016560.0359339779</v>
      </c>
      <c r="AJ306" s="17">
        <v>43100</v>
      </c>
      <c r="AK306" s="15" t="s">
        <v>3123</v>
      </c>
      <c r="AL306" s="17"/>
      <c r="AM306" s="16"/>
      <c r="AN306" s="14"/>
      <c r="AO306" s="14"/>
      <c r="AP306" s="15" t="s">
        <v>3123</v>
      </c>
      <c r="AQ306" s="14"/>
      <c r="AR306" s="17"/>
      <c r="AS306" s="16"/>
      <c r="AT306" s="14"/>
      <c r="AU306" s="15" t="s">
        <v>3123</v>
      </c>
      <c r="AV306" s="14"/>
      <c r="AW306" s="17"/>
      <c r="AX306" s="16"/>
      <c r="AY306" s="16"/>
      <c r="AZ306" s="16"/>
      <c r="BA306" s="16"/>
      <c r="BB306" s="15" t="s">
        <v>3123</v>
      </c>
      <c r="BC306" s="17"/>
      <c r="BD306" s="14"/>
      <c r="BE306" s="14"/>
      <c r="BF306" s="16"/>
      <c r="BG306" s="16"/>
      <c r="BH306" s="13"/>
      <c r="BI306" s="18" t="s">
        <v>8849</v>
      </c>
      <c r="BJ306" s="13">
        <v>200</v>
      </c>
      <c r="BK306" s="17">
        <v>44116</v>
      </c>
      <c r="BL306" s="18" t="s">
        <v>8850</v>
      </c>
      <c r="BM306" s="18" t="s">
        <v>8851</v>
      </c>
      <c r="BN306" s="18" t="s">
        <v>8852</v>
      </c>
      <c r="BO306" s="18"/>
      <c r="BP306" s="14" t="s">
        <v>8853</v>
      </c>
      <c r="BQ306" s="17">
        <v>43511</v>
      </c>
      <c r="BR306" s="16">
        <v>4500.0696311603278</v>
      </c>
      <c r="BS306" s="17">
        <v>43100</v>
      </c>
      <c r="BT306" s="16">
        <v>36788.016409835698</v>
      </c>
      <c r="BU306" s="17">
        <v>43100</v>
      </c>
      <c r="BV306" s="16">
        <v>4000000</v>
      </c>
      <c r="BW306" s="17">
        <v>43860</v>
      </c>
      <c r="BX306" s="16"/>
      <c r="BY306" s="17"/>
      <c r="BZ306" s="19">
        <v>33.59909989640736</v>
      </c>
      <c r="CA306" s="19"/>
      <c r="CB306" s="17"/>
      <c r="CC306" s="14" t="s">
        <v>5090</v>
      </c>
      <c r="CD306" s="14" t="s">
        <v>8854</v>
      </c>
      <c r="CE306" s="14" t="s">
        <v>5311</v>
      </c>
    </row>
    <row r="307" spans="1:83" ht="26.15" customHeight="1">
      <c r="A307" s="13">
        <v>301</v>
      </c>
      <c r="B307" s="14" t="s">
        <v>1407</v>
      </c>
      <c r="C307" s="14" t="s">
        <v>1408</v>
      </c>
      <c r="D307" s="14" t="s">
        <v>1409</v>
      </c>
      <c r="E307" s="13">
        <v>1969</v>
      </c>
      <c r="F307" s="14" t="s">
        <v>5312</v>
      </c>
      <c r="G307" s="14" t="s">
        <v>5313</v>
      </c>
      <c r="H307" s="14" t="s">
        <v>3994</v>
      </c>
      <c r="I307" s="15" t="s">
        <v>3117</v>
      </c>
      <c r="J307" s="16"/>
      <c r="K307" s="17">
        <v>43382</v>
      </c>
      <c r="L307" s="16"/>
      <c r="M307" s="16" t="s">
        <v>50</v>
      </c>
      <c r="N307" s="14" t="s">
        <v>5314</v>
      </c>
      <c r="O307" s="13">
        <v>4</v>
      </c>
      <c r="P307" s="17">
        <v>43971</v>
      </c>
      <c r="Q307" s="14"/>
      <c r="R307" s="17"/>
      <c r="S307" s="17"/>
      <c r="T307" s="14" t="s">
        <v>5315</v>
      </c>
      <c r="U307" s="14" t="s">
        <v>5316</v>
      </c>
      <c r="V307" s="14" t="s">
        <v>5317</v>
      </c>
      <c r="W307" s="14"/>
      <c r="X307" s="14"/>
      <c r="Y307" s="14"/>
      <c r="Z307" s="14" t="s">
        <v>5318</v>
      </c>
      <c r="AA307" s="14"/>
      <c r="AB307" s="14" t="s">
        <v>5319</v>
      </c>
      <c r="AC307" s="14" t="s">
        <v>5320</v>
      </c>
      <c r="AD307" s="14" t="s">
        <v>5321</v>
      </c>
      <c r="AE307" s="14" t="s">
        <v>5322</v>
      </c>
      <c r="AF307" s="14"/>
      <c r="AG307" s="14" t="s">
        <v>5323</v>
      </c>
      <c r="AH307" s="18"/>
      <c r="AI307" s="16"/>
      <c r="AJ307" s="17"/>
      <c r="AK307" s="15" t="s">
        <v>3123</v>
      </c>
      <c r="AL307" s="17"/>
      <c r="AM307" s="16"/>
      <c r="AN307" s="14"/>
      <c r="AO307" s="14" t="s">
        <v>5324</v>
      </c>
      <c r="AP307" s="15" t="s">
        <v>3123</v>
      </c>
      <c r="AQ307" s="14"/>
      <c r="AR307" s="17"/>
      <c r="AS307" s="16"/>
      <c r="AT307" s="14"/>
      <c r="AU307" s="15" t="s">
        <v>3117</v>
      </c>
      <c r="AV307" s="14" t="s">
        <v>5325</v>
      </c>
      <c r="AW307" s="17">
        <v>37442</v>
      </c>
      <c r="AX307" s="16"/>
      <c r="AY307" s="16"/>
      <c r="AZ307" s="16"/>
      <c r="BA307" s="16"/>
      <c r="BB307" s="15" t="s">
        <v>3123</v>
      </c>
      <c r="BC307" s="17"/>
      <c r="BD307" s="14"/>
      <c r="BE307" s="14"/>
      <c r="BF307" s="16"/>
      <c r="BG307" s="16"/>
      <c r="BH307" s="13"/>
      <c r="BI307" s="18" t="s">
        <v>5326</v>
      </c>
      <c r="BJ307" s="13">
        <v>200</v>
      </c>
      <c r="BK307" s="17">
        <v>44134</v>
      </c>
      <c r="BL307" s="18" t="s">
        <v>5327</v>
      </c>
      <c r="BM307" s="18" t="s">
        <v>5328</v>
      </c>
      <c r="BN307" s="18" t="s">
        <v>5329</v>
      </c>
      <c r="BO307" s="18"/>
      <c r="BP307" s="14" t="s">
        <v>5330</v>
      </c>
      <c r="BQ307" s="17">
        <v>43686</v>
      </c>
      <c r="BR307" s="16"/>
      <c r="BS307" s="17"/>
      <c r="BT307" s="16"/>
      <c r="BU307" s="17"/>
      <c r="BV307" s="16"/>
      <c r="BW307" s="17"/>
      <c r="BX307" s="16"/>
      <c r="BY307" s="17"/>
      <c r="BZ307" s="19">
        <v>63.625062939826556</v>
      </c>
      <c r="CA307" s="19"/>
      <c r="CB307" s="17"/>
      <c r="CC307" s="14" t="s">
        <v>5104</v>
      </c>
      <c r="CD307" s="14" t="s">
        <v>5037</v>
      </c>
      <c r="CE307" s="14" t="s">
        <v>5004</v>
      </c>
    </row>
    <row r="308" spans="1:83" ht="26.15" customHeight="1">
      <c r="A308" s="13">
        <v>302</v>
      </c>
      <c r="B308" s="14" t="s">
        <v>473</v>
      </c>
      <c r="C308" s="14" t="s">
        <v>474</v>
      </c>
      <c r="D308" s="14" t="s">
        <v>475</v>
      </c>
      <c r="E308" s="13">
        <v>2014</v>
      </c>
      <c r="F308" s="14" t="s">
        <v>5389</v>
      </c>
      <c r="G308" s="14" t="s">
        <v>5390</v>
      </c>
      <c r="H308" s="14" t="s">
        <v>5391</v>
      </c>
      <c r="I308" s="15" t="s">
        <v>3117</v>
      </c>
      <c r="J308" s="16">
        <v>46450000</v>
      </c>
      <c r="K308" s="17">
        <v>43923</v>
      </c>
      <c r="L308" s="16" t="s">
        <v>5543</v>
      </c>
      <c r="M308" s="16">
        <v>5000000</v>
      </c>
      <c r="N308" s="14" t="s">
        <v>95</v>
      </c>
      <c r="O308" s="13">
        <v>4</v>
      </c>
      <c r="P308" s="17">
        <v>44013</v>
      </c>
      <c r="Q308" s="14" t="s">
        <v>5544</v>
      </c>
      <c r="R308" s="17">
        <v>43880</v>
      </c>
      <c r="S308" s="17">
        <v>43766</v>
      </c>
      <c r="T308" s="14" t="s">
        <v>5509</v>
      </c>
      <c r="U308" s="14" t="s">
        <v>5510</v>
      </c>
      <c r="V308" s="14" t="s">
        <v>5545</v>
      </c>
      <c r="W308" s="14"/>
      <c r="X308" s="14" t="s">
        <v>5546</v>
      </c>
      <c r="Y308" s="14" t="s">
        <v>1337</v>
      </c>
      <c r="Z308" s="14" t="s">
        <v>5547</v>
      </c>
      <c r="AA308" s="14"/>
      <c r="AB308" s="14" t="s">
        <v>5391</v>
      </c>
      <c r="AC308" s="14" t="s">
        <v>5548</v>
      </c>
      <c r="AD308" s="14" t="s">
        <v>5549</v>
      </c>
      <c r="AE308" s="14" t="s">
        <v>5550</v>
      </c>
      <c r="AF308" s="14" t="s">
        <v>5551</v>
      </c>
      <c r="AG308" s="14" t="s">
        <v>5552</v>
      </c>
      <c r="AH308" s="18" t="s">
        <v>5553</v>
      </c>
      <c r="AI308" s="16"/>
      <c r="AJ308" s="17"/>
      <c r="AK308" s="15" t="s">
        <v>3123</v>
      </c>
      <c r="AL308" s="17"/>
      <c r="AM308" s="16"/>
      <c r="AN308" s="14"/>
      <c r="AO308" s="14"/>
      <c r="AP308" s="15" t="s">
        <v>3123</v>
      </c>
      <c r="AQ308" s="14"/>
      <c r="AR308" s="17"/>
      <c r="AS308" s="16"/>
      <c r="AT308" s="14"/>
      <c r="AU308" s="15" t="s">
        <v>3123</v>
      </c>
      <c r="AV308" s="14"/>
      <c r="AW308" s="17"/>
      <c r="AX308" s="16"/>
      <c r="AY308" s="16"/>
      <c r="AZ308" s="16"/>
      <c r="BA308" s="16"/>
      <c r="BB308" s="15" t="s">
        <v>3123</v>
      </c>
      <c r="BC308" s="17"/>
      <c r="BD308" s="14"/>
      <c r="BE308" s="14"/>
      <c r="BF308" s="16"/>
      <c r="BG308" s="16"/>
      <c r="BH308" s="13"/>
      <c r="BI308" s="18" t="s">
        <v>5554</v>
      </c>
      <c r="BJ308" s="13">
        <v>301</v>
      </c>
      <c r="BK308" s="17">
        <v>44112</v>
      </c>
      <c r="BL308" s="18" t="s">
        <v>5555</v>
      </c>
      <c r="BM308" s="18" t="s">
        <v>5556</v>
      </c>
      <c r="BN308" s="18" t="s">
        <v>5557</v>
      </c>
      <c r="BO308" s="18"/>
      <c r="BP308" s="14" t="s">
        <v>5558</v>
      </c>
      <c r="BQ308" s="17">
        <v>43342</v>
      </c>
      <c r="BR308" s="16"/>
      <c r="BS308" s="17"/>
      <c r="BT308" s="16"/>
      <c r="BU308" s="17"/>
      <c r="BV308" s="16"/>
      <c r="BW308" s="17"/>
      <c r="BX308" s="16"/>
      <c r="BY308" s="17"/>
      <c r="BZ308" s="19">
        <v>55.138363644326446</v>
      </c>
      <c r="CA308" s="19"/>
      <c r="CB308" s="17"/>
      <c r="CC308" s="14" t="s">
        <v>5002</v>
      </c>
      <c r="CD308" s="14" t="s">
        <v>5559</v>
      </c>
      <c r="CE308" s="14" t="s">
        <v>5004</v>
      </c>
    </row>
    <row r="309" spans="1:83" ht="26.15" customHeight="1">
      <c r="A309" s="13">
        <v>303</v>
      </c>
      <c r="B309" s="14" t="s">
        <v>1763</v>
      </c>
      <c r="C309" s="14" t="s">
        <v>1764</v>
      </c>
      <c r="D309" s="14" t="s">
        <v>1767</v>
      </c>
      <c r="E309" s="13">
        <v>2006</v>
      </c>
      <c r="F309" s="14" t="s">
        <v>5592</v>
      </c>
      <c r="G309" s="14" t="s">
        <v>5313</v>
      </c>
      <c r="H309" s="14" t="s">
        <v>3994</v>
      </c>
      <c r="I309" s="15" t="s">
        <v>3117</v>
      </c>
      <c r="J309" s="16">
        <v>9099055</v>
      </c>
      <c r="K309" s="17">
        <v>43190</v>
      </c>
      <c r="L309" s="16" t="s">
        <v>5593</v>
      </c>
      <c r="M309" s="16">
        <v>215216</v>
      </c>
      <c r="N309" s="14" t="s">
        <v>34</v>
      </c>
      <c r="O309" s="13">
        <v>5</v>
      </c>
      <c r="P309" s="17">
        <v>44022</v>
      </c>
      <c r="Q309" s="14"/>
      <c r="R309" s="17"/>
      <c r="S309" s="17"/>
      <c r="T309" s="14" t="s">
        <v>1</v>
      </c>
      <c r="U309" s="14" t="s">
        <v>5007</v>
      </c>
      <c r="V309" s="14" t="s">
        <v>5594</v>
      </c>
      <c r="W309" s="14"/>
      <c r="X309" s="14" t="s">
        <v>2223</v>
      </c>
      <c r="Y309" s="14" t="s">
        <v>5595</v>
      </c>
      <c r="Z309" s="14" t="s">
        <v>5596</v>
      </c>
      <c r="AA309" s="14"/>
      <c r="AB309" s="14" t="s">
        <v>3994</v>
      </c>
      <c r="AC309" s="14"/>
      <c r="AD309" s="14"/>
      <c r="AE309" s="14" t="s">
        <v>5597</v>
      </c>
      <c r="AF309" s="14" t="s">
        <v>5598</v>
      </c>
      <c r="AG309" s="14" t="s">
        <v>5599</v>
      </c>
      <c r="AH309" s="18"/>
      <c r="AI309" s="16">
        <v>760200</v>
      </c>
      <c r="AJ309" s="17">
        <v>43465</v>
      </c>
      <c r="AK309" s="15" t="s">
        <v>3117</v>
      </c>
      <c r="AL309" s="17">
        <v>39498</v>
      </c>
      <c r="AM309" s="16">
        <v>2505</v>
      </c>
      <c r="AN309" s="14"/>
      <c r="AO309" s="14"/>
      <c r="AP309" s="15" t="s">
        <v>3123</v>
      </c>
      <c r="AQ309" s="14"/>
      <c r="AR309" s="17"/>
      <c r="AS309" s="16"/>
      <c r="AT309" s="14"/>
      <c r="AU309" s="15" t="s">
        <v>3123</v>
      </c>
      <c r="AV309" s="14"/>
      <c r="AW309" s="17"/>
      <c r="AX309" s="16"/>
      <c r="AY309" s="16"/>
      <c r="AZ309" s="16"/>
      <c r="BA309" s="16"/>
      <c r="BB309" s="15" t="s">
        <v>3123</v>
      </c>
      <c r="BC309" s="17"/>
      <c r="BD309" s="14" t="s">
        <v>2221</v>
      </c>
      <c r="BE309" s="14"/>
      <c r="BF309" s="16"/>
      <c r="BG309" s="16"/>
      <c r="BH309" s="13"/>
      <c r="BI309" s="18" t="s">
        <v>5600</v>
      </c>
      <c r="BJ309" s="13">
        <v>200</v>
      </c>
      <c r="BK309" s="17">
        <v>44129</v>
      </c>
      <c r="BL309" s="18" t="s">
        <v>5601</v>
      </c>
      <c r="BM309" s="18"/>
      <c r="BN309" s="18"/>
      <c r="BO309" s="18"/>
      <c r="BP309" s="14" t="s">
        <v>5602</v>
      </c>
      <c r="BQ309" s="17">
        <v>43313</v>
      </c>
      <c r="BR309" s="16">
        <v>17600</v>
      </c>
      <c r="BS309" s="17">
        <v>43465</v>
      </c>
      <c r="BT309" s="16">
        <v>280700</v>
      </c>
      <c r="BU309" s="17">
        <v>43465</v>
      </c>
      <c r="BV309" s="16">
        <v>7000000</v>
      </c>
      <c r="BW309" s="17">
        <v>43190</v>
      </c>
      <c r="BX309" s="16">
        <v>20</v>
      </c>
      <c r="BY309" s="17">
        <v>43738</v>
      </c>
      <c r="BZ309" s="19">
        <v>40.659164380190575</v>
      </c>
      <c r="CA309" s="19"/>
      <c r="CB309" s="17"/>
      <c r="CC309" s="14" t="s">
        <v>5082</v>
      </c>
      <c r="CD309" s="14" t="s">
        <v>5603</v>
      </c>
      <c r="CE309" s="14" t="s">
        <v>5004</v>
      </c>
    </row>
    <row r="310" spans="1:83" ht="26.15" customHeight="1">
      <c r="A310" s="13">
        <v>304</v>
      </c>
      <c r="B310" s="14" t="s">
        <v>2254</v>
      </c>
      <c r="C310" s="14" t="s">
        <v>2255</v>
      </c>
      <c r="D310" s="14" t="s">
        <v>2257</v>
      </c>
      <c r="E310" s="13">
        <v>2016</v>
      </c>
      <c r="F310" s="14" t="s">
        <v>5038</v>
      </c>
      <c r="G310" s="14" t="s">
        <v>5039</v>
      </c>
      <c r="H310" s="14" t="s">
        <v>3994</v>
      </c>
      <c r="I310" s="15" t="s">
        <v>3117</v>
      </c>
      <c r="J310" s="16"/>
      <c r="K310" s="17">
        <v>42675</v>
      </c>
      <c r="L310" s="16"/>
      <c r="M310" s="16" t="s">
        <v>50</v>
      </c>
      <c r="N310" s="14" t="s">
        <v>109</v>
      </c>
      <c r="O310" s="13">
        <v>4</v>
      </c>
      <c r="P310" s="17">
        <v>44013</v>
      </c>
      <c r="Q310" s="14"/>
      <c r="R310" s="17"/>
      <c r="S310" s="17"/>
      <c r="T310" s="14" t="s">
        <v>5509</v>
      </c>
      <c r="U310" s="14" t="s">
        <v>5510</v>
      </c>
      <c r="V310" s="14" t="s">
        <v>8855</v>
      </c>
      <c r="W310" s="14"/>
      <c r="X310" s="14" t="s">
        <v>4462</v>
      </c>
      <c r="Y310" s="14"/>
      <c r="Z310" s="14" t="s">
        <v>8856</v>
      </c>
      <c r="AA310" s="14"/>
      <c r="AB310" s="14" t="s">
        <v>3994</v>
      </c>
      <c r="AC310" s="14"/>
      <c r="AD310" s="14"/>
      <c r="AE310" s="14" t="s">
        <v>8857</v>
      </c>
      <c r="AF310" s="14" t="s">
        <v>8858</v>
      </c>
      <c r="AG310" s="14" t="s">
        <v>8859</v>
      </c>
      <c r="AH310" s="18"/>
      <c r="AI310" s="16">
        <v>5530600</v>
      </c>
      <c r="AJ310" s="17">
        <v>43465</v>
      </c>
      <c r="AK310" s="15" t="s">
        <v>3123</v>
      </c>
      <c r="AL310" s="17"/>
      <c r="AM310" s="16"/>
      <c r="AN310" s="14"/>
      <c r="AO310" s="14"/>
      <c r="AP310" s="15" t="s">
        <v>3123</v>
      </c>
      <c r="AQ310" s="14"/>
      <c r="AR310" s="17"/>
      <c r="AS310" s="16"/>
      <c r="AT310" s="14"/>
      <c r="AU310" s="15" t="s">
        <v>3123</v>
      </c>
      <c r="AV310" s="14"/>
      <c r="AW310" s="17"/>
      <c r="AX310" s="16"/>
      <c r="AY310" s="16"/>
      <c r="AZ310" s="16"/>
      <c r="BA310" s="16"/>
      <c r="BB310" s="15" t="s">
        <v>3123</v>
      </c>
      <c r="BC310" s="17"/>
      <c r="BD310" s="14"/>
      <c r="BE310" s="14"/>
      <c r="BF310" s="16"/>
      <c r="BG310" s="16"/>
      <c r="BH310" s="13"/>
      <c r="BI310" s="18" t="s">
        <v>8860</v>
      </c>
      <c r="BJ310" s="13">
        <v>-1</v>
      </c>
      <c r="BK310" s="17">
        <v>44111</v>
      </c>
      <c r="BL310" s="18" t="s">
        <v>8861</v>
      </c>
      <c r="BM310" s="18"/>
      <c r="BN310" s="18" t="s">
        <v>8862</v>
      </c>
      <c r="BO310" s="18"/>
      <c r="BP310" s="14" t="s">
        <v>8863</v>
      </c>
      <c r="BQ310" s="17">
        <v>43161</v>
      </c>
      <c r="BR310" s="16">
        <v>-1616200</v>
      </c>
      <c r="BS310" s="17">
        <v>43465</v>
      </c>
      <c r="BT310" s="16">
        <v>-1465300</v>
      </c>
      <c r="BU310" s="17">
        <v>43465</v>
      </c>
      <c r="BV310" s="16"/>
      <c r="BW310" s="17"/>
      <c r="BX310" s="16">
        <v>30</v>
      </c>
      <c r="BY310" s="17">
        <v>44012</v>
      </c>
      <c r="BZ310" s="19">
        <v>38.581027849119522</v>
      </c>
      <c r="CA310" s="19"/>
      <c r="CB310" s="17"/>
      <c r="CC310" s="14" t="s">
        <v>5104</v>
      </c>
      <c r="CD310" s="14" t="s">
        <v>5962</v>
      </c>
      <c r="CE310" s="14" t="s">
        <v>5945</v>
      </c>
    </row>
    <row r="311" spans="1:83" ht="26.15" hidden="1" customHeight="1">
      <c r="A311" s="13">
        <v>305</v>
      </c>
      <c r="B311" s="14" t="s">
        <v>753</v>
      </c>
      <c r="C311" s="14" t="s">
        <v>754</v>
      </c>
      <c r="D311" s="14" t="s">
        <v>757</v>
      </c>
      <c r="E311" s="13">
        <v>2017</v>
      </c>
      <c r="F311" s="14" t="s">
        <v>5050</v>
      </c>
      <c r="G311" s="14" t="s">
        <v>5050</v>
      </c>
      <c r="H311" s="14" t="s">
        <v>4343</v>
      </c>
      <c r="I311" s="15" t="s">
        <v>3117</v>
      </c>
      <c r="J311" s="16">
        <v>2200000</v>
      </c>
      <c r="K311" s="17">
        <v>43747</v>
      </c>
      <c r="L311" s="16" t="s">
        <v>5022</v>
      </c>
      <c r="M311" s="16">
        <v>1500000</v>
      </c>
      <c r="N311" s="14" t="s">
        <v>34</v>
      </c>
      <c r="O311" s="13">
        <v>4</v>
      </c>
      <c r="P311" s="17">
        <v>44090</v>
      </c>
      <c r="Q311" s="14"/>
      <c r="R311" s="17"/>
      <c r="S311" s="17"/>
      <c r="T311" s="14" t="s">
        <v>5933</v>
      </c>
      <c r="U311" s="14" t="s">
        <v>5934</v>
      </c>
      <c r="V311" s="14" t="s">
        <v>5935</v>
      </c>
      <c r="W311" s="14"/>
      <c r="X311" s="14" t="s">
        <v>5936</v>
      </c>
      <c r="Y311" s="14"/>
      <c r="Z311" s="14" t="s">
        <v>5937</v>
      </c>
      <c r="AA311" s="14"/>
      <c r="AB311" s="14" t="s">
        <v>4343</v>
      </c>
      <c r="AC311" s="14"/>
      <c r="AD311" s="14"/>
      <c r="AE311" s="14" t="s">
        <v>5938</v>
      </c>
      <c r="AF311" s="14"/>
      <c r="AG311" s="14" t="s">
        <v>5939</v>
      </c>
      <c r="AH311" s="18"/>
      <c r="AI311" s="16"/>
      <c r="AJ311" s="17"/>
      <c r="AK311" s="15" t="s">
        <v>3123</v>
      </c>
      <c r="AL311" s="17"/>
      <c r="AM311" s="16"/>
      <c r="AN311" s="14"/>
      <c r="AO311" s="14"/>
      <c r="AP311" s="15" t="s">
        <v>3123</v>
      </c>
      <c r="AQ311" s="14"/>
      <c r="AR311" s="17"/>
      <c r="AS311" s="16"/>
      <c r="AT311" s="14"/>
      <c r="AU311" s="15" t="s">
        <v>3123</v>
      </c>
      <c r="AV311" s="14"/>
      <c r="AW311" s="17"/>
      <c r="AX311" s="16"/>
      <c r="AY311" s="16"/>
      <c r="AZ311" s="16"/>
      <c r="BA311" s="16"/>
      <c r="BB311" s="15" t="s">
        <v>3123</v>
      </c>
      <c r="BC311" s="17"/>
      <c r="BD311" s="14"/>
      <c r="BE311" s="14"/>
      <c r="BF311" s="16"/>
      <c r="BG311" s="16"/>
      <c r="BH311" s="13"/>
      <c r="BI311" s="18" t="s">
        <v>5940</v>
      </c>
      <c r="BJ311" s="13">
        <v>200</v>
      </c>
      <c r="BK311" s="17">
        <v>44113</v>
      </c>
      <c r="BL311" s="18" t="s">
        <v>5941</v>
      </c>
      <c r="BM311" s="18"/>
      <c r="BN311" s="18" t="s">
        <v>5942</v>
      </c>
      <c r="BO311" s="18"/>
      <c r="BP311" s="14" t="s">
        <v>5943</v>
      </c>
      <c r="BQ311" s="17">
        <v>43209</v>
      </c>
      <c r="BR311" s="16"/>
      <c r="BS311" s="17"/>
      <c r="BT311" s="16"/>
      <c r="BU311" s="17"/>
      <c r="BV311" s="16"/>
      <c r="BW311" s="17"/>
      <c r="BX311" s="16"/>
      <c r="BY311" s="17"/>
      <c r="BZ311" s="19">
        <v>28.173313165104066</v>
      </c>
      <c r="CA311" s="19"/>
      <c r="CB311" s="17"/>
      <c r="CC311" s="14" t="s">
        <v>5082</v>
      </c>
      <c r="CD311" s="14" t="s">
        <v>5944</v>
      </c>
      <c r="CE311" s="14" t="s">
        <v>5945</v>
      </c>
    </row>
    <row r="312" spans="1:83" ht="26.15" customHeight="1">
      <c r="A312" s="13">
        <v>306</v>
      </c>
      <c r="B312" s="14" t="s">
        <v>1999</v>
      </c>
      <c r="C312" s="14" t="s">
        <v>2000</v>
      </c>
      <c r="D312" s="14" t="s">
        <v>2003</v>
      </c>
      <c r="E312" s="13">
        <v>2007</v>
      </c>
      <c r="F312" s="14" t="s">
        <v>5312</v>
      </c>
      <c r="G312" s="14" t="s">
        <v>5313</v>
      </c>
      <c r="H312" s="14" t="s">
        <v>3994</v>
      </c>
      <c r="I312" s="15" t="s">
        <v>3117</v>
      </c>
      <c r="J312" s="16">
        <v>205825</v>
      </c>
      <c r="K312" s="17">
        <v>42972</v>
      </c>
      <c r="L312" s="16" t="s">
        <v>5946</v>
      </c>
      <c r="M312" s="16">
        <v>156019</v>
      </c>
      <c r="N312" s="14" t="s">
        <v>34</v>
      </c>
      <c r="O312" s="13">
        <v>3</v>
      </c>
      <c r="P312" s="17">
        <v>44081</v>
      </c>
      <c r="Q312" s="14"/>
      <c r="R312" s="17"/>
      <c r="S312" s="17"/>
      <c r="T312" s="14" t="s">
        <v>5947</v>
      </c>
      <c r="U312" s="14" t="s">
        <v>5948</v>
      </c>
      <c r="V312" s="14" t="s">
        <v>5949</v>
      </c>
      <c r="W312" s="14"/>
      <c r="X312" s="14" t="s">
        <v>5950</v>
      </c>
      <c r="Y312" s="14" t="s">
        <v>5951</v>
      </c>
      <c r="Z312" s="14" t="s">
        <v>5952</v>
      </c>
      <c r="AA312" s="14"/>
      <c r="AB312" s="14" t="s">
        <v>3994</v>
      </c>
      <c r="AC312" s="14" t="s">
        <v>5953</v>
      </c>
      <c r="AD312" s="14"/>
      <c r="AE312" s="14" t="s">
        <v>5954</v>
      </c>
      <c r="AF312" s="14" t="s">
        <v>5955</v>
      </c>
      <c r="AG312" s="14" t="s">
        <v>5956</v>
      </c>
      <c r="AH312" s="18" t="s">
        <v>5957</v>
      </c>
      <c r="AI312" s="16">
        <v>60400</v>
      </c>
      <c r="AJ312" s="17">
        <v>43465</v>
      </c>
      <c r="AK312" s="15" t="s">
        <v>3117</v>
      </c>
      <c r="AL312" s="17">
        <v>42516</v>
      </c>
      <c r="AM312" s="16">
        <v>1480</v>
      </c>
      <c r="AN312" s="14" t="s">
        <v>5958</v>
      </c>
      <c r="AO312" s="14"/>
      <c r="AP312" s="15" t="s">
        <v>3123</v>
      </c>
      <c r="AQ312" s="14"/>
      <c r="AR312" s="17"/>
      <c r="AS312" s="16"/>
      <c r="AT312" s="14"/>
      <c r="AU312" s="15" t="s">
        <v>3123</v>
      </c>
      <c r="AV312" s="14"/>
      <c r="AW312" s="17"/>
      <c r="AX312" s="16"/>
      <c r="AY312" s="16"/>
      <c r="AZ312" s="16"/>
      <c r="BA312" s="16"/>
      <c r="BB312" s="15" t="s">
        <v>3123</v>
      </c>
      <c r="BC312" s="17"/>
      <c r="BD312" s="14" t="s">
        <v>5959</v>
      </c>
      <c r="BE312" s="14"/>
      <c r="BF312" s="16"/>
      <c r="BG312" s="16"/>
      <c r="BH312" s="13"/>
      <c r="BI312" s="18" t="s">
        <v>5960</v>
      </c>
      <c r="BJ312" s="13">
        <v>200</v>
      </c>
      <c r="BK312" s="17">
        <v>44113</v>
      </c>
      <c r="BL312" s="18"/>
      <c r="BM312" s="18"/>
      <c r="BN312" s="18"/>
      <c r="BO312" s="18"/>
      <c r="BP312" s="14" t="s">
        <v>5961</v>
      </c>
      <c r="BQ312" s="17">
        <v>43077</v>
      </c>
      <c r="BR312" s="16">
        <v>-52300</v>
      </c>
      <c r="BS312" s="17">
        <v>43465</v>
      </c>
      <c r="BT312" s="16">
        <v>-50100</v>
      </c>
      <c r="BU312" s="17">
        <v>43465</v>
      </c>
      <c r="BV312" s="16"/>
      <c r="BW312" s="17"/>
      <c r="BX312" s="16"/>
      <c r="BY312" s="17"/>
      <c r="BZ312" s="19">
        <v>24.10843019481424</v>
      </c>
      <c r="CA312" s="19"/>
      <c r="CB312" s="17"/>
      <c r="CC312" s="14" t="s">
        <v>5036</v>
      </c>
      <c r="CD312" s="14" t="s">
        <v>5962</v>
      </c>
      <c r="CE312" s="14" t="s">
        <v>5945</v>
      </c>
    </row>
    <row r="313" spans="1:83" ht="26.15" customHeight="1">
      <c r="A313" s="13">
        <v>307</v>
      </c>
      <c r="B313" s="14" t="s">
        <v>2914</v>
      </c>
      <c r="C313" s="14" t="s">
        <v>2915</v>
      </c>
      <c r="D313" s="14" t="s">
        <v>2917</v>
      </c>
      <c r="E313" s="13">
        <v>2011</v>
      </c>
      <c r="F313" s="14" t="s">
        <v>5389</v>
      </c>
      <c r="G313" s="14" t="s">
        <v>5390</v>
      </c>
      <c r="H313" s="14" t="s">
        <v>5391</v>
      </c>
      <c r="I313" s="15" t="s">
        <v>3117</v>
      </c>
      <c r="J313" s="16"/>
      <c r="K313" s="17">
        <v>41640</v>
      </c>
      <c r="L313" s="16" t="s">
        <v>8864</v>
      </c>
      <c r="M313" s="16">
        <v>91000</v>
      </c>
      <c r="N313" s="14" t="s">
        <v>5040</v>
      </c>
      <c r="O313" s="13">
        <v>2</v>
      </c>
      <c r="P313" s="17">
        <v>43963</v>
      </c>
      <c r="Q313" s="14"/>
      <c r="R313" s="17"/>
      <c r="S313" s="17"/>
      <c r="T313" s="14" t="s">
        <v>1</v>
      </c>
      <c r="U313" s="14" t="s">
        <v>5007</v>
      </c>
      <c r="V313" s="14" t="s">
        <v>8865</v>
      </c>
      <c r="W313" s="14"/>
      <c r="X313" s="14" t="s">
        <v>2916</v>
      </c>
      <c r="Y313" s="14"/>
      <c r="Z313" s="14" t="s">
        <v>8866</v>
      </c>
      <c r="AA313" s="14"/>
      <c r="AB313" s="14" t="s">
        <v>5391</v>
      </c>
      <c r="AC313" s="14"/>
      <c r="AD313" s="14" t="s">
        <v>8867</v>
      </c>
      <c r="AE313" s="14" t="s">
        <v>8868</v>
      </c>
      <c r="AF313" s="14"/>
      <c r="AG313" s="14" t="s">
        <v>8869</v>
      </c>
      <c r="AH313" s="18"/>
      <c r="AI313" s="16"/>
      <c r="AJ313" s="17"/>
      <c r="AK313" s="15" t="s">
        <v>3123</v>
      </c>
      <c r="AL313" s="17"/>
      <c r="AM313" s="16"/>
      <c r="AN313" s="14"/>
      <c r="AO313" s="14"/>
      <c r="AP313" s="15" t="s">
        <v>3123</v>
      </c>
      <c r="AQ313" s="14"/>
      <c r="AR313" s="17"/>
      <c r="AS313" s="16"/>
      <c r="AT313" s="14"/>
      <c r="AU313" s="15" t="s">
        <v>3123</v>
      </c>
      <c r="AV313" s="14"/>
      <c r="AW313" s="17"/>
      <c r="AX313" s="16"/>
      <c r="AY313" s="16"/>
      <c r="AZ313" s="16"/>
      <c r="BA313" s="16"/>
      <c r="BB313" s="15" t="s">
        <v>3123</v>
      </c>
      <c r="BC313" s="17"/>
      <c r="BD313" s="14"/>
      <c r="BE313" s="14"/>
      <c r="BF313" s="16"/>
      <c r="BG313" s="16"/>
      <c r="BH313" s="13"/>
      <c r="BI313" s="18" t="s">
        <v>8870</v>
      </c>
      <c r="BJ313" s="13">
        <v>301</v>
      </c>
      <c r="BK313" s="17">
        <v>44131</v>
      </c>
      <c r="BL313" s="18"/>
      <c r="BM313" s="18"/>
      <c r="BN313" s="18" t="s">
        <v>8871</v>
      </c>
      <c r="BO313" s="18"/>
      <c r="BP313" s="14" t="s">
        <v>8872</v>
      </c>
      <c r="BQ313" s="17">
        <v>43138</v>
      </c>
      <c r="BR313" s="16"/>
      <c r="BS313" s="17"/>
      <c r="BT313" s="16"/>
      <c r="BU313" s="17"/>
      <c r="BV313" s="16"/>
      <c r="BW313" s="17"/>
      <c r="BX313" s="16"/>
      <c r="BY313" s="17"/>
      <c r="BZ313" s="19">
        <v>14.072771844840485</v>
      </c>
      <c r="CA313" s="19"/>
      <c r="CB313" s="17"/>
      <c r="CC313" s="14" t="s">
        <v>5345</v>
      </c>
      <c r="CD313" s="14" t="s">
        <v>8809</v>
      </c>
      <c r="CE313" s="14" t="s">
        <v>5311</v>
      </c>
    </row>
    <row r="314" spans="1:83" ht="26.15" hidden="1" customHeight="1">
      <c r="A314" s="13">
        <v>308</v>
      </c>
      <c r="B314" s="14" t="s">
        <v>2098</v>
      </c>
      <c r="C314" s="14" t="s">
        <v>2099</v>
      </c>
      <c r="D314" s="14" t="s">
        <v>2100</v>
      </c>
      <c r="E314" s="13">
        <v>2017</v>
      </c>
      <c r="F314" s="14" t="s">
        <v>6978</v>
      </c>
      <c r="G314" s="14" t="s">
        <v>6979</v>
      </c>
      <c r="H314" s="14" t="s">
        <v>4343</v>
      </c>
      <c r="I314" s="15" t="s">
        <v>3117</v>
      </c>
      <c r="J314" s="16"/>
      <c r="K314" s="17">
        <v>42887</v>
      </c>
      <c r="L314" s="16"/>
      <c r="M314" s="16" t="s">
        <v>50</v>
      </c>
      <c r="N314" s="14" t="s">
        <v>34</v>
      </c>
      <c r="O314" s="13">
        <v>3</v>
      </c>
      <c r="P314" s="17">
        <v>44019</v>
      </c>
      <c r="Q314" s="14"/>
      <c r="R314" s="17"/>
      <c r="S314" s="17"/>
      <c r="T314" s="14" t="s">
        <v>5278</v>
      </c>
      <c r="U314" s="14" t="s">
        <v>5657</v>
      </c>
      <c r="V314" s="14" t="s">
        <v>8873</v>
      </c>
      <c r="W314" s="14"/>
      <c r="X314" s="14" t="s">
        <v>1609</v>
      </c>
      <c r="Y314" s="14"/>
      <c r="Z314" s="14" t="s">
        <v>8874</v>
      </c>
      <c r="AA314" s="14"/>
      <c r="AB314" s="14" t="s">
        <v>4343</v>
      </c>
      <c r="AC314" s="14" t="s">
        <v>8875</v>
      </c>
      <c r="AD314" s="14"/>
      <c r="AE314" s="14" t="s">
        <v>8876</v>
      </c>
      <c r="AF314" s="14" t="s">
        <v>8877</v>
      </c>
      <c r="AG314" s="14" t="s">
        <v>8878</v>
      </c>
      <c r="AH314" s="18"/>
      <c r="AI314" s="16"/>
      <c r="AJ314" s="17"/>
      <c r="AK314" s="15" t="s">
        <v>3123</v>
      </c>
      <c r="AL314" s="17"/>
      <c r="AM314" s="16"/>
      <c r="AN314" s="14"/>
      <c r="AO314" s="14"/>
      <c r="AP314" s="15" t="s">
        <v>3123</v>
      </c>
      <c r="AQ314" s="14"/>
      <c r="AR314" s="17"/>
      <c r="AS314" s="16"/>
      <c r="AT314" s="14"/>
      <c r="AU314" s="15" t="s">
        <v>3123</v>
      </c>
      <c r="AV314" s="14"/>
      <c r="AW314" s="17"/>
      <c r="AX314" s="16"/>
      <c r="AY314" s="16"/>
      <c r="AZ314" s="16"/>
      <c r="BA314" s="16"/>
      <c r="BB314" s="15" t="s">
        <v>3123</v>
      </c>
      <c r="BC314" s="17"/>
      <c r="BD314" s="14"/>
      <c r="BE314" s="14"/>
      <c r="BF314" s="16"/>
      <c r="BG314" s="16"/>
      <c r="BH314" s="13"/>
      <c r="BI314" s="18" t="s">
        <v>8879</v>
      </c>
      <c r="BJ314" s="13">
        <v>200</v>
      </c>
      <c r="BK314" s="17">
        <v>44130</v>
      </c>
      <c r="BL314" s="18" t="s">
        <v>8880</v>
      </c>
      <c r="BM314" s="18" t="s">
        <v>8881</v>
      </c>
      <c r="BN314" s="18"/>
      <c r="BO314" s="18" t="s">
        <v>8882</v>
      </c>
      <c r="BP314" s="14" t="s">
        <v>8883</v>
      </c>
      <c r="BQ314" s="17">
        <v>43020</v>
      </c>
      <c r="BR314" s="16"/>
      <c r="BS314" s="17"/>
      <c r="BT314" s="16"/>
      <c r="BU314" s="17"/>
      <c r="BV314" s="16"/>
      <c r="BW314" s="17"/>
      <c r="BX314" s="16"/>
      <c r="BY314" s="17"/>
      <c r="BZ314" s="19">
        <v>41.216660377086505</v>
      </c>
      <c r="CA314" s="19"/>
      <c r="CB314" s="17"/>
      <c r="CC314" s="14" t="s">
        <v>5002</v>
      </c>
      <c r="CD314" s="14" t="s">
        <v>6557</v>
      </c>
      <c r="CE314" s="14" t="s">
        <v>5945</v>
      </c>
    </row>
    <row r="315" spans="1:83" ht="26.15" customHeight="1">
      <c r="A315" s="13">
        <v>309</v>
      </c>
      <c r="B315" s="14" t="s">
        <v>1256</v>
      </c>
      <c r="C315" s="14" t="s">
        <v>1257</v>
      </c>
      <c r="D315" s="14" t="s">
        <v>1259</v>
      </c>
      <c r="E315" s="13">
        <v>2016</v>
      </c>
      <c r="F315" s="14"/>
      <c r="G315" s="14"/>
      <c r="H315" s="14" t="s">
        <v>1258</v>
      </c>
      <c r="I315" s="15" t="s">
        <v>3117</v>
      </c>
      <c r="J315" s="16"/>
      <c r="K315" s="17">
        <v>43480</v>
      </c>
      <c r="L315" s="16" t="s">
        <v>6257</v>
      </c>
      <c r="M315" s="16">
        <v>80000</v>
      </c>
      <c r="N315" s="14" t="s">
        <v>5040</v>
      </c>
      <c r="O315" s="13">
        <v>4</v>
      </c>
      <c r="P315" s="17">
        <v>43994</v>
      </c>
      <c r="Q315" s="14"/>
      <c r="R315" s="17"/>
      <c r="S315" s="17"/>
      <c r="T315" s="14" t="s">
        <v>5976</v>
      </c>
      <c r="U315" s="14" t="s">
        <v>6258</v>
      </c>
      <c r="V315" s="14" t="s">
        <v>6259</v>
      </c>
      <c r="W315" s="14"/>
      <c r="X315" s="14" t="s">
        <v>6260</v>
      </c>
      <c r="Y315" s="14"/>
      <c r="Z315" s="14" t="s">
        <v>6261</v>
      </c>
      <c r="AA315" s="14"/>
      <c r="AB315" s="14" t="s">
        <v>1258</v>
      </c>
      <c r="AC315" s="14" t="s">
        <v>6262</v>
      </c>
      <c r="AD315" s="14" t="s">
        <v>6263</v>
      </c>
      <c r="AE315" s="14"/>
      <c r="AF315" s="14"/>
      <c r="AG315" s="14"/>
      <c r="AH315" s="18"/>
      <c r="AI315" s="16"/>
      <c r="AJ315" s="17"/>
      <c r="AK315" s="15" t="s">
        <v>3123</v>
      </c>
      <c r="AL315" s="17"/>
      <c r="AM315" s="16"/>
      <c r="AN315" s="14"/>
      <c r="AO315" s="14"/>
      <c r="AP315" s="15" t="s">
        <v>3123</v>
      </c>
      <c r="AQ315" s="14"/>
      <c r="AR315" s="17"/>
      <c r="AS315" s="16"/>
      <c r="AT315" s="14"/>
      <c r="AU315" s="15" t="s">
        <v>3123</v>
      </c>
      <c r="AV315" s="14"/>
      <c r="AW315" s="17"/>
      <c r="AX315" s="16"/>
      <c r="AY315" s="16"/>
      <c r="AZ315" s="16"/>
      <c r="BA315" s="16"/>
      <c r="BB315" s="15" t="s">
        <v>3123</v>
      </c>
      <c r="BC315" s="17"/>
      <c r="BD315" s="14"/>
      <c r="BE315" s="14"/>
      <c r="BF315" s="16"/>
      <c r="BG315" s="16"/>
      <c r="BH315" s="13"/>
      <c r="BI315" s="18" t="s">
        <v>6264</v>
      </c>
      <c r="BJ315" s="13">
        <v>200</v>
      </c>
      <c r="BK315" s="17">
        <v>44129</v>
      </c>
      <c r="BL315" s="18"/>
      <c r="BM315" s="18"/>
      <c r="BN315" s="18"/>
      <c r="BO315" s="18"/>
      <c r="BP315" s="14" t="s">
        <v>6265</v>
      </c>
      <c r="BQ315" s="17">
        <v>43629</v>
      </c>
      <c r="BR315" s="16"/>
      <c r="BS315" s="17"/>
      <c r="BT315" s="16"/>
      <c r="BU315" s="17"/>
      <c r="BV315" s="16"/>
      <c r="BW315" s="17"/>
      <c r="BX315" s="16"/>
      <c r="BY315" s="17"/>
      <c r="BZ315" s="19">
        <v>25.566433571913851</v>
      </c>
      <c r="CA315" s="19"/>
      <c r="CB315" s="17"/>
      <c r="CC315" s="14" t="s">
        <v>5048</v>
      </c>
      <c r="CD315" s="14" t="s">
        <v>6266</v>
      </c>
      <c r="CE315" s="14" t="s">
        <v>5311</v>
      </c>
    </row>
    <row r="316" spans="1:83" ht="26.15" customHeight="1">
      <c r="A316" s="13">
        <v>310</v>
      </c>
      <c r="B316" s="14" t="s">
        <v>2697</v>
      </c>
      <c r="C316" s="14" t="s">
        <v>2698</v>
      </c>
      <c r="D316" s="14" t="s">
        <v>2701</v>
      </c>
      <c r="E316" s="13">
        <v>2015</v>
      </c>
      <c r="F316" s="14" t="s">
        <v>8884</v>
      </c>
      <c r="G316" s="14" t="s">
        <v>8884</v>
      </c>
      <c r="H316" s="14" t="s">
        <v>5416</v>
      </c>
      <c r="I316" s="15" t="s">
        <v>3117</v>
      </c>
      <c r="J316" s="16"/>
      <c r="K316" s="17">
        <v>42156</v>
      </c>
      <c r="L316" s="16"/>
      <c r="M316" s="16" t="s">
        <v>50</v>
      </c>
      <c r="N316" s="14" t="s">
        <v>34</v>
      </c>
      <c r="O316" s="13">
        <v>2</v>
      </c>
      <c r="P316" s="17">
        <v>44041</v>
      </c>
      <c r="Q316" s="14"/>
      <c r="R316" s="17"/>
      <c r="S316" s="17"/>
      <c r="T316" s="14" t="s">
        <v>1</v>
      </c>
      <c r="U316" s="14" t="s">
        <v>5007</v>
      </c>
      <c r="V316" s="14" t="s">
        <v>8885</v>
      </c>
      <c r="W316" s="14"/>
      <c r="X316" s="14" t="s">
        <v>8886</v>
      </c>
      <c r="Y316" s="14"/>
      <c r="Z316" s="14" t="s">
        <v>8887</v>
      </c>
      <c r="AA316" s="14"/>
      <c r="AB316" s="14" t="s">
        <v>5416</v>
      </c>
      <c r="AC316" s="14" t="s">
        <v>8888</v>
      </c>
      <c r="AD316" s="14"/>
      <c r="AE316" s="14" t="s">
        <v>8889</v>
      </c>
      <c r="AF316" s="14" t="s">
        <v>8890</v>
      </c>
      <c r="AG316" s="14" t="s">
        <v>8891</v>
      </c>
      <c r="AH316" s="18"/>
      <c r="AI316" s="16"/>
      <c r="AJ316" s="17"/>
      <c r="AK316" s="15" t="s">
        <v>3123</v>
      </c>
      <c r="AL316" s="17"/>
      <c r="AM316" s="16"/>
      <c r="AN316" s="14"/>
      <c r="AO316" s="14"/>
      <c r="AP316" s="15" t="s">
        <v>3123</v>
      </c>
      <c r="AQ316" s="14"/>
      <c r="AR316" s="17"/>
      <c r="AS316" s="16"/>
      <c r="AT316" s="14"/>
      <c r="AU316" s="15" t="s">
        <v>3123</v>
      </c>
      <c r="AV316" s="14"/>
      <c r="AW316" s="17"/>
      <c r="AX316" s="16"/>
      <c r="AY316" s="16"/>
      <c r="AZ316" s="16"/>
      <c r="BA316" s="16"/>
      <c r="BB316" s="15" t="s">
        <v>3123</v>
      </c>
      <c r="BC316" s="17"/>
      <c r="BD316" s="14"/>
      <c r="BE316" s="14"/>
      <c r="BF316" s="16"/>
      <c r="BG316" s="16"/>
      <c r="BH316" s="13"/>
      <c r="BI316" s="18" t="s">
        <v>8892</v>
      </c>
      <c r="BJ316" s="13">
        <v>200</v>
      </c>
      <c r="BK316" s="17">
        <v>44129</v>
      </c>
      <c r="BL316" s="18"/>
      <c r="BM316" s="18"/>
      <c r="BN316" s="18" t="s">
        <v>8893</v>
      </c>
      <c r="BO316" s="18"/>
      <c r="BP316" s="14" t="s">
        <v>8894</v>
      </c>
      <c r="BQ316" s="17">
        <v>43033</v>
      </c>
      <c r="BR316" s="16"/>
      <c r="BS316" s="17"/>
      <c r="BT316" s="16"/>
      <c r="BU316" s="17"/>
      <c r="BV316" s="16"/>
      <c r="BW316" s="17"/>
      <c r="BX316" s="16"/>
      <c r="BY316" s="17"/>
      <c r="BZ316" s="19">
        <v>19.391147644830564</v>
      </c>
      <c r="CA316" s="19"/>
      <c r="CB316" s="17"/>
      <c r="CC316" s="14" t="s">
        <v>5104</v>
      </c>
      <c r="CD316" s="14" t="s">
        <v>5962</v>
      </c>
      <c r="CE316" s="14" t="s">
        <v>5945</v>
      </c>
    </row>
    <row r="317" spans="1:83" ht="26.15" customHeight="1">
      <c r="A317" s="13">
        <v>311</v>
      </c>
      <c r="B317" s="14" t="s">
        <v>329</v>
      </c>
      <c r="C317" s="14" t="s">
        <v>330</v>
      </c>
      <c r="D317" s="14" t="s">
        <v>334</v>
      </c>
      <c r="E317" s="13">
        <v>2015</v>
      </c>
      <c r="F317" s="14" t="s">
        <v>6429</v>
      </c>
      <c r="G317" s="14" t="s">
        <v>5674</v>
      </c>
      <c r="H317" s="14" t="s">
        <v>2057</v>
      </c>
      <c r="I317" s="15" t="s">
        <v>3117</v>
      </c>
      <c r="J317" s="16">
        <v>1489730</v>
      </c>
      <c r="K317" s="17">
        <v>43987</v>
      </c>
      <c r="L317" s="16"/>
      <c r="M317" s="16" t="s">
        <v>50</v>
      </c>
      <c r="N317" s="14" t="s">
        <v>34</v>
      </c>
      <c r="O317" s="13">
        <v>4</v>
      </c>
      <c r="P317" s="17">
        <v>44082</v>
      </c>
      <c r="Q317" s="14"/>
      <c r="R317" s="17"/>
      <c r="S317" s="17"/>
      <c r="T317" s="14" t="s">
        <v>1</v>
      </c>
      <c r="U317" s="14" t="s">
        <v>5007</v>
      </c>
      <c r="V317" s="14" t="s">
        <v>6430</v>
      </c>
      <c r="W317" s="14"/>
      <c r="X317" s="14" t="s">
        <v>6431</v>
      </c>
      <c r="Y317" s="14"/>
      <c r="Z317" s="14" t="s">
        <v>6432</v>
      </c>
      <c r="AA317" s="14"/>
      <c r="AB317" s="14" t="s">
        <v>2057</v>
      </c>
      <c r="AC317" s="14"/>
      <c r="AD317" s="14" t="s">
        <v>6433</v>
      </c>
      <c r="AE317" s="14"/>
      <c r="AF317" s="14"/>
      <c r="AG317" s="14"/>
      <c r="AH317" s="18"/>
      <c r="AI317" s="16"/>
      <c r="AJ317" s="17"/>
      <c r="AK317" s="15" t="s">
        <v>3123</v>
      </c>
      <c r="AL317" s="17"/>
      <c r="AM317" s="16"/>
      <c r="AN317" s="14"/>
      <c r="AO317" s="14"/>
      <c r="AP317" s="15" t="s">
        <v>3123</v>
      </c>
      <c r="AQ317" s="14"/>
      <c r="AR317" s="17"/>
      <c r="AS317" s="16"/>
      <c r="AT317" s="14"/>
      <c r="AU317" s="15" t="s">
        <v>3123</v>
      </c>
      <c r="AV317" s="14"/>
      <c r="AW317" s="17"/>
      <c r="AX317" s="16"/>
      <c r="AY317" s="16"/>
      <c r="AZ317" s="16"/>
      <c r="BA317" s="16"/>
      <c r="BB317" s="15" t="s">
        <v>3123</v>
      </c>
      <c r="BC317" s="17"/>
      <c r="BD317" s="14"/>
      <c r="BE317" s="14"/>
      <c r="BF317" s="16"/>
      <c r="BG317" s="16"/>
      <c r="BH317" s="13"/>
      <c r="BI317" s="18" t="s">
        <v>6434</v>
      </c>
      <c r="BJ317" s="13">
        <v>200</v>
      </c>
      <c r="BK317" s="17">
        <v>44129</v>
      </c>
      <c r="BL317" s="18" t="s">
        <v>6435</v>
      </c>
      <c r="BM317" s="18"/>
      <c r="BN317" s="18"/>
      <c r="BO317" s="18"/>
      <c r="BP317" s="14" t="s">
        <v>6436</v>
      </c>
      <c r="BQ317" s="17">
        <v>43564</v>
      </c>
      <c r="BR317" s="16"/>
      <c r="BS317" s="17"/>
      <c r="BT317" s="16"/>
      <c r="BU317" s="17"/>
      <c r="BV317" s="16"/>
      <c r="BW317" s="17"/>
      <c r="BX317" s="16"/>
      <c r="BY317" s="17"/>
      <c r="BZ317" s="19">
        <v>27.113306612929392</v>
      </c>
      <c r="CA317" s="19"/>
      <c r="CB317" s="17"/>
      <c r="CC317" s="14" t="s">
        <v>5204</v>
      </c>
      <c r="CD317" s="14" t="s">
        <v>6437</v>
      </c>
      <c r="CE317" s="14" t="s">
        <v>5311</v>
      </c>
    </row>
    <row r="318" spans="1:83" ht="26.15" customHeight="1">
      <c r="A318" s="13">
        <v>312</v>
      </c>
      <c r="B318" s="14" t="s">
        <v>2117</v>
      </c>
      <c r="C318" s="14" t="s">
        <v>2118</v>
      </c>
      <c r="D318" s="14" t="s">
        <v>2119</v>
      </c>
      <c r="E318" s="13">
        <v>2011</v>
      </c>
      <c r="F318" s="14" t="s">
        <v>7967</v>
      </c>
      <c r="G318" s="14" t="s">
        <v>5190</v>
      </c>
      <c r="H318" s="14" t="s">
        <v>1258</v>
      </c>
      <c r="I318" s="15" t="s">
        <v>3117</v>
      </c>
      <c r="J318" s="16"/>
      <c r="K318" s="17">
        <v>42860</v>
      </c>
      <c r="L318" s="16"/>
      <c r="M318" s="16" t="s">
        <v>50</v>
      </c>
      <c r="N318" s="14" t="s">
        <v>109</v>
      </c>
      <c r="O318" s="13">
        <v>3</v>
      </c>
      <c r="P318" s="17">
        <v>44089</v>
      </c>
      <c r="Q318" s="14"/>
      <c r="R318" s="17"/>
      <c r="S318" s="17"/>
      <c r="T318" s="14" t="s">
        <v>6586</v>
      </c>
      <c r="U318" s="14" t="s">
        <v>8895</v>
      </c>
      <c r="V318" s="14" t="s">
        <v>8896</v>
      </c>
      <c r="W318" s="14"/>
      <c r="X318" s="14" t="s">
        <v>1486</v>
      </c>
      <c r="Y318" s="14"/>
      <c r="Z318" s="14" t="s">
        <v>8897</v>
      </c>
      <c r="AA318" s="14"/>
      <c r="AB318" s="14" t="s">
        <v>1258</v>
      </c>
      <c r="AC318" s="14" t="s">
        <v>8898</v>
      </c>
      <c r="AD318" s="14" t="s">
        <v>8899</v>
      </c>
      <c r="AE318" s="14" t="s">
        <v>8900</v>
      </c>
      <c r="AF318" s="14"/>
      <c r="AG318" s="14" t="s">
        <v>8901</v>
      </c>
      <c r="AH318" s="18"/>
      <c r="AI318" s="16"/>
      <c r="AJ318" s="17"/>
      <c r="AK318" s="15" t="s">
        <v>3123</v>
      </c>
      <c r="AL318" s="17"/>
      <c r="AM318" s="16"/>
      <c r="AN318" s="14"/>
      <c r="AO318" s="14"/>
      <c r="AP318" s="15" t="s">
        <v>3123</v>
      </c>
      <c r="AQ318" s="14"/>
      <c r="AR318" s="17"/>
      <c r="AS318" s="16"/>
      <c r="AT318" s="14"/>
      <c r="AU318" s="15" t="s">
        <v>3123</v>
      </c>
      <c r="AV318" s="14"/>
      <c r="AW318" s="17"/>
      <c r="AX318" s="16"/>
      <c r="AY318" s="16"/>
      <c r="AZ318" s="16"/>
      <c r="BA318" s="16"/>
      <c r="BB318" s="15" t="s">
        <v>3123</v>
      </c>
      <c r="BC318" s="17"/>
      <c r="BD318" s="14"/>
      <c r="BE318" s="14"/>
      <c r="BF318" s="16"/>
      <c r="BG318" s="16"/>
      <c r="BH318" s="13"/>
      <c r="BI318" s="18" t="s">
        <v>8902</v>
      </c>
      <c r="BJ318" s="13">
        <v>200</v>
      </c>
      <c r="BK318" s="17">
        <v>44128</v>
      </c>
      <c r="BL318" s="18" t="s">
        <v>8903</v>
      </c>
      <c r="BM318" s="18"/>
      <c r="BN318" s="18"/>
      <c r="BO318" s="18"/>
      <c r="BP318" s="14" t="s">
        <v>8904</v>
      </c>
      <c r="BQ318" s="17">
        <v>43984</v>
      </c>
      <c r="BR318" s="16"/>
      <c r="BS318" s="17"/>
      <c r="BT318" s="16"/>
      <c r="BU318" s="17"/>
      <c r="BV318" s="16"/>
      <c r="BW318" s="17"/>
      <c r="BX318" s="16"/>
      <c r="BY318" s="17"/>
      <c r="BZ318" s="19">
        <v>10.766858847875547</v>
      </c>
      <c r="CA318" s="19"/>
      <c r="CB318" s="17"/>
      <c r="CC318" s="14" t="s">
        <v>5104</v>
      </c>
      <c r="CD318" s="14" t="s">
        <v>5439</v>
      </c>
      <c r="CE318" s="14" t="s">
        <v>5311</v>
      </c>
    </row>
    <row r="319" spans="1:83" ht="26.15" customHeight="1">
      <c r="A319" s="13">
        <v>313</v>
      </c>
      <c r="B319" s="14" t="s">
        <v>2414</v>
      </c>
      <c r="C319" s="14" t="s">
        <v>2415</v>
      </c>
      <c r="D319" s="14" t="s">
        <v>2416</v>
      </c>
      <c r="E319" s="13">
        <v>2011</v>
      </c>
      <c r="F319" s="14" t="s">
        <v>4993</v>
      </c>
      <c r="G319" s="14" t="s">
        <v>4994</v>
      </c>
      <c r="H319" s="14" t="s">
        <v>2057</v>
      </c>
      <c r="I319" s="15" t="s">
        <v>3117</v>
      </c>
      <c r="J319" s="16">
        <v>1670019</v>
      </c>
      <c r="K319" s="17">
        <v>42522</v>
      </c>
      <c r="L319" s="16" t="s">
        <v>5022</v>
      </c>
      <c r="M319" s="16">
        <v>1670019</v>
      </c>
      <c r="N319" s="14" t="s">
        <v>34</v>
      </c>
      <c r="O319" s="13">
        <v>2</v>
      </c>
      <c r="P319" s="17">
        <v>44081</v>
      </c>
      <c r="Q319" s="14"/>
      <c r="R319" s="17"/>
      <c r="S319" s="17"/>
      <c r="T319" s="14" t="s">
        <v>1</v>
      </c>
      <c r="U319" s="14" t="s">
        <v>5084</v>
      </c>
      <c r="V319" s="14" t="s">
        <v>6268</v>
      </c>
      <c r="W319" s="14"/>
      <c r="X319" s="14"/>
      <c r="Y319" s="14"/>
      <c r="Z319" s="14" t="s">
        <v>8905</v>
      </c>
      <c r="AA319" s="14"/>
      <c r="AB319" s="14" t="s">
        <v>2057</v>
      </c>
      <c r="AC319" s="14" t="s">
        <v>8906</v>
      </c>
      <c r="AD319" s="14"/>
      <c r="AE319" s="14"/>
      <c r="AF319" s="14"/>
      <c r="AG319" s="14"/>
      <c r="AH319" s="18"/>
      <c r="AI319" s="16"/>
      <c r="AJ319" s="17"/>
      <c r="AK319" s="15" t="s">
        <v>3123</v>
      </c>
      <c r="AL319" s="17"/>
      <c r="AM319" s="16"/>
      <c r="AN319" s="14"/>
      <c r="AO319" s="14"/>
      <c r="AP319" s="15" t="s">
        <v>3123</v>
      </c>
      <c r="AQ319" s="14"/>
      <c r="AR319" s="17"/>
      <c r="AS319" s="16"/>
      <c r="AT319" s="14"/>
      <c r="AU319" s="15" t="s">
        <v>3123</v>
      </c>
      <c r="AV319" s="14"/>
      <c r="AW319" s="17"/>
      <c r="AX319" s="16"/>
      <c r="AY319" s="16"/>
      <c r="AZ319" s="16"/>
      <c r="BA319" s="16"/>
      <c r="BB319" s="15" t="s">
        <v>3123</v>
      </c>
      <c r="BC319" s="17"/>
      <c r="BD319" s="14"/>
      <c r="BE319" s="14"/>
      <c r="BF319" s="16"/>
      <c r="BG319" s="16"/>
      <c r="BH319" s="13"/>
      <c r="BI319" s="18" t="s">
        <v>8907</v>
      </c>
      <c r="BJ319" s="13">
        <v>200</v>
      </c>
      <c r="BK319" s="17">
        <v>44129</v>
      </c>
      <c r="BL319" s="18"/>
      <c r="BM319" s="18" t="s">
        <v>8908</v>
      </c>
      <c r="BN319" s="18"/>
      <c r="BO319" s="18"/>
      <c r="BP319" s="14" t="s">
        <v>8909</v>
      </c>
      <c r="BQ319" s="17">
        <v>42969</v>
      </c>
      <c r="BR319" s="16"/>
      <c r="BS319" s="17"/>
      <c r="BT319" s="16"/>
      <c r="BU319" s="17"/>
      <c r="BV319" s="16"/>
      <c r="BW319" s="17"/>
      <c r="BX319" s="16"/>
      <c r="BY319" s="17"/>
      <c r="BZ319" s="19">
        <v>14.144064527001925</v>
      </c>
      <c r="CA319" s="19"/>
      <c r="CB319" s="17"/>
      <c r="CC319" s="14" t="s">
        <v>5104</v>
      </c>
      <c r="CD319" s="14" t="s">
        <v>5962</v>
      </c>
      <c r="CE319" s="14" t="s">
        <v>5945</v>
      </c>
    </row>
    <row r="320" spans="1:83" ht="26.15" customHeight="1">
      <c r="A320" s="13">
        <v>314</v>
      </c>
      <c r="B320" s="14" t="s">
        <v>185</v>
      </c>
      <c r="C320" s="14" t="s">
        <v>186</v>
      </c>
      <c r="D320" s="14" t="s">
        <v>189</v>
      </c>
      <c r="E320" s="13">
        <v>2015</v>
      </c>
      <c r="F320" s="14" t="s">
        <v>5132</v>
      </c>
      <c r="G320" s="14" t="s">
        <v>5133</v>
      </c>
      <c r="H320" s="14" t="s">
        <v>3994</v>
      </c>
      <c r="I320" s="15" t="s">
        <v>3117</v>
      </c>
      <c r="J320" s="16">
        <v>65736870</v>
      </c>
      <c r="K320" s="17">
        <v>44063</v>
      </c>
      <c r="L320" s="16" t="s">
        <v>6462</v>
      </c>
      <c r="M320" s="16">
        <v>114000</v>
      </c>
      <c r="N320" s="14" t="s">
        <v>95</v>
      </c>
      <c r="O320" s="13">
        <v>4</v>
      </c>
      <c r="P320" s="17">
        <v>44022</v>
      </c>
      <c r="Q320" s="14" t="s">
        <v>5544</v>
      </c>
      <c r="R320" s="17">
        <v>44070</v>
      </c>
      <c r="S320" s="17">
        <v>43867</v>
      </c>
      <c r="T320" s="14" t="s">
        <v>5509</v>
      </c>
      <c r="U320" s="14" t="s">
        <v>5510</v>
      </c>
      <c r="V320" s="14" t="s">
        <v>5696</v>
      </c>
      <c r="W320" s="14"/>
      <c r="X320" s="14" t="s">
        <v>6463</v>
      </c>
      <c r="Y320" s="14" t="s">
        <v>6464</v>
      </c>
      <c r="Z320" s="14" t="s">
        <v>6465</v>
      </c>
      <c r="AA320" s="14"/>
      <c r="AB320" s="14" t="s">
        <v>3994</v>
      </c>
      <c r="AC320" s="14" t="s">
        <v>6466</v>
      </c>
      <c r="AD320" s="14" t="s">
        <v>6467</v>
      </c>
      <c r="AE320" s="14" t="s">
        <v>6468</v>
      </c>
      <c r="AF320" s="14" t="s">
        <v>6469</v>
      </c>
      <c r="AG320" s="14" t="s">
        <v>6470</v>
      </c>
      <c r="AH320" s="18"/>
      <c r="AI320" s="16">
        <v>22692800</v>
      </c>
      <c r="AJ320" s="17">
        <v>43465</v>
      </c>
      <c r="AK320" s="15" t="s">
        <v>3117</v>
      </c>
      <c r="AL320" s="17">
        <v>42186</v>
      </c>
      <c r="AM320" s="16">
        <v>1570</v>
      </c>
      <c r="AN320" s="14" t="s">
        <v>6471</v>
      </c>
      <c r="AO320" s="14" t="s">
        <v>6472</v>
      </c>
      <c r="AP320" s="15" t="s">
        <v>3123</v>
      </c>
      <c r="AQ320" s="14"/>
      <c r="AR320" s="17"/>
      <c r="AS320" s="16"/>
      <c r="AT320" s="14"/>
      <c r="AU320" s="15" t="s">
        <v>3123</v>
      </c>
      <c r="AV320" s="14"/>
      <c r="AW320" s="17"/>
      <c r="AX320" s="16"/>
      <c r="AY320" s="16"/>
      <c r="AZ320" s="16"/>
      <c r="BA320" s="16"/>
      <c r="BB320" s="15" t="s">
        <v>3123</v>
      </c>
      <c r="BC320" s="17"/>
      <c r="BD320" s="14"/>
      <c r="BE320" s="14"/>
      <c r="BF320" s="16"/>
      <c r="BG320" s="16"/>
      <c r="BH320" s="13"/>
      <c r="BI320" s="18" t="s">
        <v>6473</v>
      </c>
      <c r="BJ320" s="13">
        <v>200</v>
      </c>
      <c r="BK320" s="17">
        <v>44129</v>
      </c>
      <c r="BL320" s="18" t="s">
        <v>6474</v>
      </c>
      <c r="BM320" s="18" t="s">
        <v>6475</v>
      </c>
      <c r="BN320" s="18" t="s">
        <v>6476</v>
      </c>
      <c r="BO320" s="18"/>
      <c r="BP320" s="14" t="s">
        <v>6477</v>
      </c>
      <c r="BQ320" s="17">
        <v>43046</v>
      </c>
      <c r="BR320" s="16">
        <v>-6601100</v>
      </c>
      <c r="BS320" s="17">
        <v>43465</v>
      </c>
      <c r="BT320" s="16">
        <v>-5298500</v>
      </c>
      <c r="BU320" s="17">
        <v>43465</v>
      </c>
      <c r="BV320" s="16">
        <v>125000000</v>
      </c>
      <c r="BW320" s="17">
        <v>43868</v>
      </c>
      <c r="BX320" s="16">
        <v>648</v>
      </c>
      <c r="BY320" s="17">
        <v>43921</v>
      </c>
      <c r="BZ320" s="19">
        <v>73.504201534520575</v>
      </c>
      <c r="CA320" s="19"/>
      <c r="CB320" s="17"/>
      <c r="CC320" s="14" t="s">
        <v>5036</v>
      </c>
      <c r="CD320" s="14" t="s">
        <v>6478</v>
      </c>
      <c r="CE320" s="14" t="s">
        <v>5004</v>
      </c>
    </row>
    <row r="321" spans="1:83" ht="26.15" customHeight="1">
      <c r="A321" s="13">
        <v>315</v>
      </c>
      <c r="B321" s="14" t="s">
        <v>1939</v>
      </c>
      <c r="C321" s="14" t="s">
        <v>1940</v>
      </c>
      <c r="D321" s="14" t="s">
        <v>1942</v>
      </c>
      <c r="E321" s="13">
        <v>2015</v>
      </c>
      <c r="F321" s="14" t="s">
        <v>4993</v>
      </c>
      <c r="G321" s="14" t="s">
        <v>4994</v>
      </c>
      <c r="H321" s="14" t="s">
        <v>2057</v>
      </c>
      <c r="I321" s="15" t="s">
        <v>3117</v>
      </c>
      <c r="J321" s="16">
        <v>9356810</v>
      </c>
      <c r="K321" s="17">
        <v>43018</v>
      </c>
      <c r="L321" s="16" t="s">
        <v>6597</v>
      </c>
      <c r="M321" s="16">
        <v>9356810</v>
      </c>
      <c r="N321" s="14" t="s">
        <v>5630</v>
      </c>
      <c r="O321" s="13"/>
      <c r="P321" s="17">
        <v>44003</v>
      </c>
      <c r="Q321" s="14"/>
      <c r="R321" s="17"/>
      <c r="S321" s="17"/>
      <c r="T321" s="14" t="s">
        <v>5253</v>
      </c>
      <c r="U321" s="14" t="s">
        <v>5254</v>
      </c>
      <c r="V321" s="14" t="s">
        <v>6598</v>
      </c>
      <c r="W321" s="14"/>
      <c r="X321" s="14" t="s">
        <v>6599</v>
      </c>
      <c r="Y321" s="14"/>
      <c r="Z321" s="14" t="s">
        <v>6600</v>
      </c>
      <c r="AA321" s="14"/>
      <c r="AB321" s="14" t="s">
        <v>2057</v>
      </c>
      <c r="AC321" s="14"/>
      <c r="AD321" s="14"/>
      <c r="AE321" s="14" t="s">
        <v>6601</v>
      </c>
      <c r="AF321" s="14"/>
      <c r="AG321" s="14"/>
      <c r="AH321" s="18"/>
      <c r="AI321" s="16"/>
      <c r="AJ321" s="17"/>
      <c r="AK321" s="15" t="s">
        <v>3123</v>
      </c>
      <c r="AL321" s="17"/>
      <c r="AM321" s="16"/>
      <c r="AN321" s="14"/>
      <c r="AO321" s="14"/>
      <c r="AP321" s="15" t="s">
        <v>3123</v>
      </c>
      <c r="AQ321" s="14"/>
      <c r="AR321" s="17"/>
      <c r="AS321" s="16"/>
      <c r="AT321" s="14"/>
      <c r="AU321" s="15" t="s">
        <v>3123</v>
      </c>
      <c r="AV321" s="14"/>
      <c r="AW321" s="17"/>
      <c r="AX321" s="16"/>
      <c r="AY321" s="16"/>
      <c r="AZ321" s="16"/>
      <c r="BA321" s="16"/>
      <c r="BB321" s="15" t="s">
        <v>3117</v>
      </c>
      <c r="BC321" s="17"/>
      <c r="BD321" s="14"/>
      <c r="BE321" s="14"/>
      <c r="BF321" s="16"/>
      <c r="BG321" s="16"/>
      <c r="BH321" s="13"/>
      <c r="BI321" s="18" t="s">
        <v>6602</v>
      </c>
      <c r="BJ321" s="13">
        <v>-1</v>
      </c>
      <c r="BK321" s="17">
        <v>44128</v>
      </c>
      <c r="BL321" s="18"/>
      <c r="BM321" s="18"/>
      <c r="BN321" s="18"/>
      <c r="BO321" s="18"/>
      <c r="BP321" s="14" t="s">
        <v>6603</v>
      </c>
      <c r="BQ321" s="17">
        <v>43020</v>
      </c>
      <c r="BR321" s="16"/>
      <c r="BS321" s="17"/>
      <c r="BT321" s="16"/>
      <c r="BU321" s="17"/>
      <c r="BV321" s="16"/>
      <c r="BW321" s="17"/>
      <c r="BX321" s="16"/>
      <c r="BY321" s="17"/>
      <c r="BZ321" s="19">
        <v>25.321140959466341</v>
      </c>
      <c r="CA321" s="19"/>
      <c r="CB321" s="17"/>
      <c r="CC321" s="14" t="s">
        <v>5104</v>
      </c>
      <c r="CD321" s="14" t="s">
        <v>5037</v>
      </c>
      <c r="CE321" s="14" t="s">
        <v>5004</v>
      </c>
    </row>
    <row r="322" spans="1:83" ht="26.15" customHeight="1">
      <c r="A322" s="13">
        <v>316</v>
      </c>
      <c r="B322" s="14" t="s">
        <v>2974</v>
      </c>
      <c r="C322" s="14" t="s">
        <v>2975</v>
      </c>
      <c r="D322" s="14" t="s">
        <v>2979</v>
      </c>
      <c r="E322" s="13">
        <v>2005</v>
      </c>
      <c r="F322" s="14" t="s">
        <v>8910</v>
      </c>
      <c r="G322" s="14" t="s">
        <v>8911</v>
      </c>
      <c r="H322" s="14" t="s">
        <v>2057</v>
      </c>
      <c r="I322" s="15" t="s">
        <v>3117</v>
      </c>
      <c r="J322" s="16"/>
      <c r="K322" s="17">
        <v>41306</v>
      </c>
      <c r="L322" s="16"/>
      <c r="M322" s="16" t="s">
        <v>50</v>
      </c>
      <c r="N322" s="14" t="s">
        <v>5630</v>
      </c>
      <c r="O322" s="13"/>
      <c r="P322" s="17">
        <v>43997</v>
      </c>
      <c r="Q322" s="14"/>
      <c r="R322" s="17"/>
      <c r="S322" s="17"/>
      <c r="T322" s="14" t="s">
        <v>1</v>
      </c>
      <c r="U322" s="14" t="s">
        <v>5007</v>
      </c>
      <c r="V322" s="14" t="s">
        <v>6482</v>
      </c>
      <c r="W322" s="14"/>
      <c r="X322" s="14" t="s">
        <v>2977</v>
      </c>
      <c r="Y322" s="14"/>
      <c r="Z322" s="14" t="s">
        <v>8912</v>
      </c>
      <c r="AA322" s="14"/>
      <c r="AB322" s="14" t="s">
        <v>2057</v>
      </c>
      <c r="AC322" s="14" t="s">
        <v>8913</v>
      </c>
      <c r="AD322" s="14"/>
      <c r="AE322" s="14"/>
      <c r="AF322" s="14"/>
      <c r="AG322" s="14"/>
      <c r="AH322" s="18"/>
      <c r="AI322" s="16"/>
      <c r="AJ322" s="17"/>
      <c r="AK322" s="15" t="s">
        <v>3123</v>
      </c>
      <c r="AL322" s="17"/>
      <c r="AM322" s="16"/>
      <c r="AN322" s="14"/>
      <c r="AO322" s="14"/>
      <c r="AP322" s="15" t="s">
        <v>3123</v>
      </c>
      <c r="AQ322" s="14"/>
      <c r="AR322" s="17"/>
      <c r="AS322" s="16"/>
      <c r="AT322" s="14"/>
      <c r="AU322" s="15" t="s">
        <v>3123</v>
      </c>
      <c r="AV322" s="14"/>
      <c r="AW322" s="17"/>
      <c r="AX322" s="16"/>
      <c r="AY322" s="16"/>
      <c r="AZ322" s="16"/>
      <c r="BA322" s="16"/>
      <c r="BB322" s="15" t="s">
        <v>3117</v>
      </c>
      <c r="BC322" s="17"/>
      <c r="BD322" s="14"/>
      <c r="BE322" s="14"/>
      <c r="BF322" s="16"/>
      <c r="BG322" s="16"/>
      <c r="BH322" s="13"/>
      <c r="BI322" s="18" t="s">
        <v>8914</v>
      </c>
      <c r="BJ322" s="13">
        <v>301</v>
      </c>
      <c r="BK322" s="17">
        <v>44127</v>
      </c>
      <c r="BL322" s="18"/>
      <c r="BM322" s="18"/>
      <c r="BN322" s="18"/>
      <c r="BO322" s="18"/>
      <c r="BP322" s="14" t="s">
        <v>8915</v>
      </c>
      <c r="BQ322" s="17">
        <v>43542</v>
      </c>
      <c r="BR322" s="16"/>
      <c r="BS322" s="17"/>
      <c r="BT322" s="16"/>
      <c r="BU322" s="17"/>
      <c r="BV322" s="16"/>
      <c r="BW322" s="17"/>
      <c r="BX322" s="16"/>
      <c r="BY322" s="17"/>
      <c r="BZ322" s="19">
        <v>9.7805287678689776</v>
      </c>
      <c r="CA322" s="19"/>
      <c r="CB322" s="17"/>
      <c r="CC322" s="14" t="s">
        <v>5345</v>
      </c>
      <c r="CD322" s="14" t="s">
        <v>5361</v>
      </c>
      <c r="CE322" s="14" t="s">
        <v>5311</v>
      </c>
    </row>
    <row r="323" spans="1:83" ht="26.15" customHeight="1">
      <c r="A323" s="13">
        <v>317</v>
      </c>
      <c r="B323" s="14" t="s">
        <v>2189</v>
      </c>
      <c r="C323" s="14" t="s">
        <v>2190</v>
      </c>
      <c r="D323" s="14" t="s">
        <v>2192</v>
      </c>
      <c r="E323" s="13">
        <v>2011</v>
      </c>
      <c r="F323" s="14" t="s">
        <v>5592</v>
      </c>
      <c r="G323" s="14" t="s">
        <v>5313</v>
      </c>
      <c r="H323" s="14" t="s">
        <v>3994</v>
      </c>
      <c r="I323" s="15" t="s">
        <v>3117</v>
      </c>
      <c r="J323" s="16"/>
      <c r="K323" s="17">
        <v>42774</v>
      </c>
      <c r="L323" s="16"/>
      <c r="M323" s="16" t="s">
        <v>50</v>
      </c>
      <c r="N323" s="14" t="s">
        <v>34</v>
      </c>
      <c r="O323" s="13"/>
      <c r="P323" s="17"/>
      <c r="Q323" s="14"/>
      <c r="R323" s="17"/>
      <c r="S323" s="17"/>
      <c r="T323" s="14" t="s">
        <v>5315</v>
      </c>
      <c r="U323" s="14" t="s">
        <v>5316</v>
      </c>
      <c r="V323" s="14" t="s">
        <v>6439</v>
      </c>
      <c r="W323" s="14"/>
      <c r="X323" s="14" t="s">
        <v>8916</v>
      </c>
      <c r="Y323" s="14"/>
      <c r="Z323" s="14" t="s">
        <v>8917</v>
      </c>
      <c r="AA323" s="14"/>
      <c r="AB323" s="14" t="s">
        <v>3994</v>
      </c>
      <c r="AC323" s="14" t="s">
        <v>8918</v>
      </c>
      <c r="AD323" s="14" t="s">
        <v>8919</v>
      </c>
      <c r="AE323" s="14" t="s">
        <v>8920</v>
      </c>
      <c r="AF323" s="14" t="s">
        <v>8921</v>
      </c>
      <c r="AG323" s="14" t="s">
        <v>8922</v>
      </c>
      <c r="AH323" s="18"/>
      <c r="AI323" s="16">
        <v>85800</v>
      </c>
      <c r="AJ323" s="17">
        <v>43465</v>
      </c>
      <c r="AK323" s="15" t="s">
        <v>3117</v>
      </c>
      <c r="AL323" s="17">
        <v>40672</v>
      </c>
      <c r="AM323" s="16">
        <v>2201</v>
      </c>
      <c r="AN323" s="14" t="s">
        <v>8923</v>
      </c>
      <c r="AO323" s="14"/>
      <c r="AP323" s="15" t="s">
        <v>3123</v>
      </c>
      <c r="AQ323" s="14"/>
      <c r="AR323" s="17"/>
      <c r="AS323" s="16"/>
      <c r="AT323" s="14"/>
      <c r="AU323" s="15" t="s">
        <v>3123</v>
      </c>
      <c r="AV323" s="14"/>
      <c r="AW323" s="17"/>
      <c r="AX323" s="16"/>
      <c r="AY323" s="16"/>
      <c r="AZ323" s="16"/>
      <c r="BA323" s="16"/>
      <c r="BB323" s="15" t="s">
        <v>3123</v>
      </c>
      <c r="BC323" s="17"/>
      <c r="BD323" s="14"/>
      <c r="BE323" s="14"/>
      <c r="BF323" s="16"/>
      <c r="BG323" s="16"/>
      <c r="BH323" s="13"/>
      <c r="BI323" s="18" t="s">
        <v>8924</v>
      </c>
      <c r="BJ323" s="13">
        <v>302</v>
      </c>
      <c r="BK323" s="17">
        <v>44126</v>
      </c>
      <c r="BL323" s="18" t="s">
        <v>8925</v>
      </c>
      <c r="BM323" s="18" t="s">
        <v>8926</v>
      </c>
      <c r="BN323" s="18" t="s">
        <v>8927</v>
      </c>
      <c r="BO323" s="18"/>
      <c r="BP323" s="14" t="s">
        <v>8928</v>
      </c>
      <c r="BQ323" s="17">
        <v>43032</v>
      </c>
      <c r="BR323" s="16">
        <v>-42500</v>
      </c>
      <c r="BS323" s="17">
        <v>43465</v>
      </c>
      <c r="BT323" s="16">
        <v>-37500</v>
      </c>
      <c r="BU323" s="17">
        <v>43465</v>
      </c>
      <c r="BV323" s="16"/>
      <c r="BW323" s="17"/>
      <c r="BX323" s="16"/>
      <c r="BY323" s="17"/>
      <c r="BZ323" s="19">
        <v>37.024248680709661</v>
      </c>
      <c r="CA323" s="19"/>
      <c r="CB323" s="17"/>
      <c r="CC323" s="14" t="s">
        <v>5345</v>
      </c>
      <c r="CD323" s="14" t="s">
        <v>7272</v>
      </c>
      <c r="CE323" s="14" t="s">
        <v>5945</v>
      </c>
    </row>
    <row r="324" spans="1:83" ht="26.15" customHeight="1">
      <c r="A324" s="13">
        <v>318</v>
      </c>
      <c r="B324" s="14" t="s">
        <v>664</v>
      </c>
      <c r="C324" s="14" t="s">
        <v>665</v>
      </c>
      <c r="D324" s="14" t="s">
        <v>667</v>
      </c>
      <c r="E324" s="13">
        <v>2015</v>
      </c>
      <c r="F324" s="14" t="s">
        <v>6707</v>
      </c>
      <c r="G324" s="14" t="s">
        <v>6708</v>
      </c>
      <c r="H324" s="14" t="s">
        <v>6297</v>
      </c>
      <c r="I324" s="15" t="s">
        <v>3117</v>
      </c>
      <c r="J324" s="16"/>
      <c r="K324" s="17">
        <v>43795</v>
      </c>
      <c r="L324" s="16" t="s">
        <v>6783</v>
      </c>
      <c r="M324" s="16">
        <v>10000</v>
      </c>
      <c r="N324" s="14" t="s">
        <v>34</v>
      </c>
      <c r="O324" s="13">
        <v>3</v>
      </c>
      <c r="P324" s="17">
        <v>44004</v>
      </c>
      <c r="Q324" s="14"/>
      <c r="R324" s="17"/>
      <c r="S324" s="17"/>
      <c r="T324" s="14" t="s">
        <v>1</v>
      </c>
      <c r="U324" s="14" t="s">
        <v>5007</v>
      </c>
      <c r="V324" s="14" t="s">
        <v>6146</v>
      </c>
      <c r="W324" s="14"/>
      <c r="X324" s="14" t="s">
        <v>6784</v>
      </c>
      <c r="Y324" s="14"/>
      <c r="Z324" s="14" t="s">
        <v>6785</v>
      </c>
      <c r="AA324" s="14"/>
      <c r="AB324" s="14" t="s">
        <v>6297</v>
      </c>
      <c r="AC324" s="14" t="s">
        <v>6786</v>
      </c>
      <c r="AD324" s="14" t="s">
        <v>6787</v>
      </c>
      <c r="AE324" s="14" t="s">
        <v>6788</v>
      </c>
      <c r="AF324" s="14" t="s">
        <v>6789</v>
      </c>
      <c r="AG324" s="14" t="s">
        <v>6790</v>
      </c>
      <c r="AH324" s="18"/>
      <c r="AI324" s="16"/>
      <c r="AJ324" s="17"/>
      <c r="AK324" s="15" t="s">
        <v>3123</v>
      </c>
      <c r="AL324" s="17"/>
      <c r="AM324" s="16"/>
      <c r="AN324" s="14"/>
      <c r="AO324" s="14"/>
      <c r="AP324" s="15" t="s">
        <v>3123</v>
      </c>
      <c r="AQ324" s="14"/>
      <c r="AR324" s="17"/>
      <c r="AS324" s="16"/>
      <c r="AT324" s="14"/>
      <c r="AU324" s="15" t="s">
        <v>3123</v>
      </c>
      <c r="AV324" s="14"/>
      <c r="AW324" s="17"/>
      <c r="AX324" s="16"/>
      <c r="AY324" s="16"/>
      <c r="AZ324" s="16"/>
      <c r="BA324" s="16"/>
      <c r="BB324" s="15" t="s">
        <v>3123</v>
      </c>
      <c r="BC324" s="17"/>
      <c r="BD324" s="14"/>
      <c r="BE324" s="14"/>
      <c r="BF324" s="16"/>
      <c r="BG324" s="16"/>
      <c r="BH324" s="13"/>
      <c r="BI324" s="18" t="s">
        <v>6791</v>
      </c>
      <c r="BJ324" s="13">
        <v>200</v>
      </c>
      <c r="BK324" s="17">
        <v>44126</v>
      </c>
      <c r="BL324" s="18" t="s">
        <v>6792</v>
      </c>
      <c r="BM324" s="18" t="s">
        <v>6793</v>
      </c>
      <c r="BN324" s="18" t="s">
        <v>6794</v>
      </c>
      <c r="BO324" s="18" t="s">
        <v>6795</v>
      </c>
      <c r="BP324" s="14" t="s">
        <v>6796</v>
      </c>
      <c r="BQ324" s="17">
        <v>43426</v>
      </c>
      <c r="BR324" s="16"/>
      <c r="BS324" s="17"/>
      <c r="BT324" s="16"/>
      <c r="BU324" s="17"/>
      <c r="BV324" s="16"/>
      <c r="BW324" s="17"/>
      <c r="BX324" s="16"/>
      <c r="BY324" s="17"/>
      <c r="BZ324" s="19">
        <v>37.965998590869184</v>
      </c>
      <c r="CA324" s="19"/>
      <c r="CB324" s="17"/>
      <c r="CC324" s="14" t="s">
        <v>6797</v>
      </c>
      <c r="CD324" s="14" t="s">
        <v>5205</v>
      </c>
      <c r="CE324" s="14" t="s">
        <v>5004</v>
      </c>
    </row>
    <row r="325" spans="1:83" ht="26.15" customHeight="1">
      <c r="A325" s="13">
        <v>319</v>
      </c>
      <c r="B325" s="14" t="s">
        <v>2198</v>
      </c>
      <c r="C325" s="14" t="s">
        <v>2199</v>
      </c>
      <c r="D325" s="14" t="s">
        <v>2201</v>
      </c>
      <c r="E325" s="13">
        <v>2015</v>
      </c>
      <c r="F325" s="14" t="s">
        <v>8174</v>
      </c>
      <c r="G325" s="14" t="s">
        <v>8174</v>
      </c>
      <c r="H325" s="14" t="s">
        <v>5844</v>
      </c>
      <c r="I325" s="15" t="s">
        <v>3117</v>
      </c>
      <c r="J325" s="16"/>
      <c r="K325" s="17">
        <v>42755</v>
      </c>
      <c r="L325" s="16"/>
      <c r="M325" s="16" t="s">
        <v>50</v>
      </c>
      <c r="N325" s="14" t="s">
        <v>34</v>
      </c>
      <c r="O325" s="13"/>
      <c r="P325" s="17"/>
      <c r="Q325" s="14"/>
      <c r="R325" s="17"/>
      <c r="S325" s="17"/>
      <c r="T325" s="14" t="s">
        <v>6496</v>
      </c>
      <c r="U325" s="14" t="s">
        <v>6497</v>
      </c>
      <c r="V325" s="14" t="s">
        <v>8929</v>
      </c>
      <c r="W325" s="14"/>
      <c r="X325" s="14" t="s">
        <v>4417</v>
      </c>
      <c r="Y325" s="14"/>
      <c r="Z325" s="14" t="s">
        <v>8930</v>
      </c>
      <c r="AA325" s="14"/>
      <c r="AB325" s="14" t="s">
        <v>5844</v>
      </c>
      <c r="AC325" s="14" t="s">
        <v>8931</v>
      </c>
      <c r="AD325" s="14" t="s">
        <v>8932</v>
      </c>
      <c r="AE325" s="14" t="s">
        <v>8933</v>
      </c>
      <c r="AF325" s="14"/>
      <c r="AG325" s="14" t="s">
        <v>8934</v>
      </c>
      <c r="AH325" s="18"/>
      <c r="AI325" s="16"/>
      <c r="AJ325" s="17"/>
      <c r="AK325" s="15" t="s">
        <v>3123</v>
      </c>
      <c r="AL325" s="17"/>
      <c r="AM325" s="16"/>
      <c r="AN325" s="14"/>
      <c r="AO325" s="14"/>
      <c r="AP325" s="15" t="s">
        <v>3123</v>
      </c>
      <c r="AQ325" s="14"/>
      <c r="AR325" s="17"/>
      <c r="AS325" s="16"/>
      <c r="AT325" s="14"/>
      <c r="AU325" s="15" t="s">
        <v>3123</v>
      </c>
      <c r="AV325" s="14"/>
      <c r="AW325" s="17"/>
      <c r="AX325" s="16"/>
      <c r="AY325" s="16"/>
      <c r="AZ325" s="16"/>
      <c r="BA325" s="16"/>
      <c r="BB325" s="15" t="s">
        <v>3123</v>
      </c>
      <c r="BC325" s="17"/>
      <c r="BD325" s="14"/>
      <c r="BE325" s="14"/>
      <c r="BF325" s="16"/>
      <c r="BG325" s="16"/>
      <c r="BH325" s="13"/>
      <c r="BI325" s="18" t="s">
        <v>8935</v>
      </c>
      <c r="BJ325" s="13">
        <v>200</v>
      </c>
      <c r="BK325" s="17">
        <v>44126</v>
      </c>
      <c r="BL325" s="18"/>
      <c r="BM325" s="18"/>
      <c r="BN325" s="18" t="s">
        <v>8936</v>
      </c>
      <c r="BO325" s="18" t="s">
        <v>8937</v>
      </c>
      <c r="BP325" s="14" t="s">
        <v>8938</v>
      </c>
      <c r="BQ325" s="17">
        <v>43019</v>
      </c>
      <c r="BR325" s="16"/>
      <c r="BS325" s="17"/>
      <c r="BT325" s="16"/>
      <c r="BU325" s="17"/>
      <c r="BV325" s="16"/>
      <c r="BW325" s="17"/>
      <c r="BX325" s="16"/>
      <c r="BY325" s="17"/>
      <c r="BZ325" s="19">
        <v>14.920384396712384</v>
      </c>
      <c r="CA325" s="19"/>
      <c r="CB325" s="17"/>
      <c r="CC325" s="14" t="s">
        <v>5036</v>
      </c>
      <c r="CD325" s="14" t="s">
        <v>5962</v>
      </c>
      <c r="CE325" s="14" t="s">
        <v>5945</v>
      </c>
    </row>
    <row r="326" spans="1:83" ht="26.15" customHeight="1">
      <c r="A326" s="13">
        <v>320</v>
      </c>
      <c r="B326" s="14" t="s">
        <v>1239</v>
      </c>
      <c r="C326" s="14" t="s">
        <v>1240</v>
      </c>
      <c r="D326" s="14" t="s">
        <v>1244</v>
      </c>
      <c r="E326" s="13">
        <v>2016</v>
      </c>
      <c r="F326" s="14" t="s">
        <v>6840</v>
      </c>
      <c r="G326" s="14" t="s">
        <v>6543</v>
      </c>
      <c r="H326" s="14" t="s">
        <v>3994</v>
      </c>
      <c r="I326" s="15" t="s">
        <v>3117</v>
      </c>
      <c r="J326" s="16">
        <v>4352191</v>
      </c>
      <c r="K326" s="17">
        <v>43486</v>
      </c>
      <c r="L326" s="16" t="s">
        <v>5022</v>
      </c>
      <c r="M326" s="16">
        <v>2000000</v>
      </c>
      <c r="N326" s="14" t="s">
        <v>34</v>
      </c>
      <c r="O326" s="13">
        <v>4</v>
      </c>
      <c r="P326" s="17">
        <v>44062</v>
      </c>
      <c r="Q326" s="14" t="s">
        <v>5052</v>
      </c>
      <c r="R326" s="17">
        <v>43881</v>
      </c>
      <c r="S326" s="17">
        <v>43486</v>
      </c>
      <c r="T326" s="14" t="s">
        <v>1</v>
      </c>
      <c r="U326" s="14" t="s">
        <v>5007</v>
      </c>
      <c r="V326" s="14" t="s">
        <v>5093</v>
      </c>
      <c r="W326" s="14"/>
      <c r="X326" s="14" t="s">
        <v>6841</v>
      </c>
      <c r="Y326" s="14" t="s">
        <v>6842</v>
      </c>
      <c r="Z326" s="14" t="s">
        <v>6843</v>
      </c>
      <c r="AA326" s="14"/>
      <c r="AB326" s="14" t="s">
        <v>3994</v>
      </c>
      <c r="AC326" s="14" t="s">
        <v>6844</v>
      </c>
      <c r="AD326" s="14" t="s">
        <v>6845</v>
      </c>
      <c r="AE326" s="14" t="s">
        <v>6846</v>
      </c>
      <c r="AF326" s="14" t="s">
        <v>6847</v>
      </c>
      <c r="AG326" s="14" t="s">
        <v>6848</v>
      </c>
      <c r="AH326" s="18"/>
      <c r="AI326" s="16">
        <v>97000</v>
      </c>
      <c r="AJ326" s="17">
        <v>43465</v>
      </c>
      <c r="AK326" s="15" t="s">
        <v>3123</v>
      </c>
      <c r="AL326" s="17"/>
      <c r="AM326" s="16"/>
      <c r="AN326" s="14"/>
      <c r="AO326" s="14"/>
      <c r="AP326" s="15" t="s">
        <v>3123</v>
      </c>
      <c r="AQ326" s="14"/>
      <c r="AR326" s="17"/>
      <c r="AS326" s="16"/>
      <c r="AT326" s="14"/>
      <c r="AU326" s="15" t="s">
        <v>3123</v>
      </c>
      <c r="AV326" s="14"/>
      <c r="AW326" s="17"/>
      <c r="AX326" s="16"/>
      <c r="AY326" s="16"/>
      <c r="AZ326" s="16"/>
      <c r="BA326" s="16"/>
      <c r="BB326" s="15" t="s">
        <v>3123</v>
      </c>
      <c r="BC326" s="17"/>
      <c r="BD326" s="14"/>
      <c r="BE326" s="14"/>
      <c r="BF326" s="16"/>
      <c r="BG326" s="16"/>
      <c r="BH326" s="13"/>
      <c r="BI326" s="18" t="s">
        <v>6849</v>
      </c>
      <c r="BJ326" s="13">
        <v>200</v>
      </c>
      <c r="BK326" s="17">
        <v>44126</v>
      </c>
      <c r="BL326" s="18" t="s">
        <v>6850</v>
      </c>
      <c r="BM326" s="18" t="s">
        <v>6851</v>
      </c>
      <c r="BN326" s="18" t="s">
        <v>6852</v>
      </c>
      <c r="BO326" s="18"/>
      <c r="BP326" s="14" t="s">
        <v>6853</v>
      </c>
      <c r="BQ326" s="17">
        <v>44062</v>
      </c>
      <c r="BR326" s="16">
        <v>-258600</v>
      </c>
      <c r="BS326" s="17">
        <v>43465</v>
      </c>
      <c r="BT326" s="16">
        <v>-252900</v>
      </c>
      <c r="BU326" s="17">
        <v>43465</v>
      </c>
      <c r="BV326" s="16">
        <v>20000000</v>
      </c>
      <c r="BW326" s="17">
        <v>43475</v>
      </c>
      <c r="BX326" s="16">
        <v>53</v>
      </c>
      <c r="BY326" s="17">
        <v>44012</v>
      </c>
      <c r="BZ326" s="19">
        <v>54.118186870606145</v>
      </c>
      <c r="CA326" s="19"/>
      <c r="CB326" s="17"/>
      <c r="CC326" s="14" t="s">
        <v>5018</v>
      </c>
      <c r="CD326" s="14" t="s">
        <v>5019</v>
      </c>
      <c r="CE326" s="14" t="s">
        <v>5004</v>
      </c>
    </row>
    <row r="327" spans="1:83" ht="26.15" customHeight="1">
      <c r="A327" s="13">
        <v>321</v>
      </c>
      <c r="B327" s="14" t="s">
        <v>2135</v>
      </c>
      <c r="C327" s="14" t="s">
        <v>2136</v>
      </c>
      <c r="D327" s="14" t="s">
        <v>2137</v>
      </c>
      <c r="E327" s="13">
        <v>2016</v>
      </c>
      <c r="F327" s="14" t="s">
        <v>4993</v>
      </c>
      <c r="G327" s="14" t="s">
        <v>4994</v>
      </c>
      <c r="H327" s="14" t="s">
        <v>2057</v>
      </c>
      <c r="I327" s="15" t="s">
        <v>3117</v>
      </c>
      <c r="J327" s="16">
        <v>8723870</v>
      </c>
      <c r="K327" s="17">
        <v>42844</v>
      </c>
      <c r="L327" s="16" t="s">
        <v>6597</v>
      </c>
      <c r="M327" s="16">
        <v>8958566</v>
      </c>
      <c r="N327" s="14" t="s">
        <v>109</v>
      </c>
      <c r="O327" s="13">
        <v>3</v>
      </c>
      <c r="P327" s="17">
        <v>44004</v>
      </c>
      <c r="Q327" s="14"/>
      <c r="R327" s="17"/>
      <c r="S327" s="17"/>
      <c r="T327" s="14" t="s">
        <v>1</v>
      </c>
      <c r="U327" s="14" t="s">
        <v>5007</v>
      </c>
      <c r="V327" s="14" t="s">
        <v>5192</v>
      </c>
      <c r="W327" s="14"/>
      <c r="X327" s="14" t="s">
        <v>8939</v>
      </c>
      <c r="Y327" s="14"/>
      <c r="Z327" s="14" t="s">
        <v>8940</v>
      </c>
      <c r="AA327" s="14"/>
      <c r="AB327" s="14" t="s">
        <v>2057</v>
      </c>
      <c r="AC327" s="14" t="s">
        <v>8941</v>
      </c>
      <c r="AD327" s="14" t="s">
        <v>8942</v>
      </c>
      <c r="AE327" s="14" t="s">
        <v>8943</v>
      </c>
      <c r="AF327" s="14"/>
      <c r="AG327" s="14"/>
      <c r="AH327" s="18"/>
      <c r="AI327" s="16"/>
      <c r="AJ327" s="17"/>
      <c r="AK327" s="15" t="s">
        <v>3123</v>
      </c>
      <c r="AL327" s="17"/>
      <c r="AM327" s="16"/>
      <c r="AN327" s="14"/>
      <c r="AO327" s="14"/>
      <c r="AP327" s="15" t="s">
        <v>3123</v>
      </c>
      <c r="AQ327" s="14"/>
      <c r="AR327" s="17"/>
      <c r="AS327" s="16"/>
      <c r="AT327" s="14"/>
      <c r="AU327" s="15" t="s">
        <v>3123</v>
      </c>
      <c r="AV327" s="14"/>
      <c r="AW327" s="17"/>
      <c r="AX327" s="16"/>
      <c r="AY327" s="16"/>
      <c r="AZ327" s="16"/>
      <c r="BA327" s="16"/>
      <c r="BB327" s="15" t="s">
        <v>3123</v>
      </c>
      <c r="BC327" s="17"/>
      <c r="BD327" s="14"/>
      <c r="BE327" s="14"/>
      <c r="BF327" s="16"/>
      <c r="BG327" s="16"/>
      <c r="BH327" s="13"/>
      <c r="BI327" s="18" t="s">
        <v>8944</v>
      </c>
      <c r="BJ327" s="13">
        <v>200</v>
      </c>
      <c r="BK327" s="17">
        <v>44126</v>
      </c>
      <c r="BL327" s="18"/>
      <c r="BM327" s="18"/>
      <c r="BN327" s="18"/>
      <c r="BO327" s="18"/>
      <c r="BP327" s="14" t="s">
        <v>8945</v>
      </c>
      <c r="BQ327" s="17">
        <v>42929</v>
      </c>
      <c r="BR327" s="16"/>
      <c r="BS327" s="17"/>
      <c r="BT327" s="16"/>
      <c r="BU327" s="17"/>
      <c r="BV327" s="16"/>
      <c r="BW327" s="17"/>
      <c r="BX327" s="16"/>
      <c r="BY327" s="17"/>
      <c r="BZ327" s="19">
        <v>31.549077861500816</v>
      </c>
      <c r="CA327" s="19"/>
      <c r="CB327" s="17"/>
      <c r="CC327" s="14" t="s">
        <v>7284</v>
      </c>
      <c r="CD327" s="14" t="s">
        <v>6002</v>
      </c>
      <c r="CE327" s="14" t="s">
        <v>5945</v>
      </c>
    </row>
    <row r="328" spans="1:83" ht="26.15" hidden="1" customHeight="1">
      <c r="A328" s="13">
        <v>322</v>
      </c>
      <c r="B328" s="14" t="s">
        <v>950</v>
      </c>
      <c r="C328" s="14" t="s">
        <v>951</v>
      </c>
      <c r="D328" s="14" t="s">
        <v>955</v>
      </c>
      <c r="E328" s="13">
        <v>2014</v>
      </c>
      <c r="F328" s="14" t="s">
        <v>6978</v>
      </c>
      <c r="G328" s="14" t="s">
        <v>6979</v>
      </c>
      <c r="H328" s="14" t="s">
        <v>4343</v>
      </c>
      <c r="I328" s="15" t="s">
        <v>3117</v>
      </c>
      <c r="J328" s="16"/>
      <c r="K328" s="17">
        <v>43646</v>
      </c>
      <c r="L328" s="16"/>
      <c r="M328" s="16" t="s">
        <v>50</v>
      </c>
      <c r="N328" s="14" t="s">
        <v>109</v>
      </c>
      <c r="O328" s="13">
        <v>4</v>
      </c>
      <c r="P328" s="17">
        <v>44039</v>
      </c>
      <c r="Q328" s="14"/>
      <c r="R328" s="17"/>
      <c r="S328" s="17"/>
      <c r="T328" s="14" t="s">
        <v>5442</v>
      </c>
      <c r="U328" s="14" t="s">
        <v>6980</v>
      </c>
      <c r="V328" s="14" t="s">
        <v>6981</v>
      </c>
      <c r="W328" s="14"/>
      <c r="X328" s="14" t="s">
        <v>6982</v>
      </c>
      <c r="Y328" s="14"/>
      <c r="Z328" s="14" t="s">
        <v>6983</v>
      </c>
      <c r="AA328" s="14"/>
      <c r="AB328" s="14" t="s">
        <v>4343</v>
      </c>
      <c r="AC328" s="14"/>
      <c r="AD328" s="14"/>
      <c r="AE328" s="14" t="s">
        <v>6984</v>
      </c>
      <c r="AF328" s="14" t="s">
        <v>6985</v>
      </c>
      <c r="AG328" s="14" t="s">
        <v>6986</v>
      </c>
      <c r="AH328" s="18"/>
      <c r="AI328" s="16"/>
      <c r="AJ328" s="17"/>
      <c r="AK328" s="15" t="s">
        <v>3123</v>
      </c>
      <c r="AL328" s="17"/>
      <c r="AM328" s="16"/>
      <c r="AN328" s="14"/>
      <c r="AO328" s="14"/>
      <c r="AP328" s="15" t="s">
        <v>3123</v>
      </c>
      <c r="AQ328" s="14"/>
      <c r="AR328" s="17"/>
      <c r="AS328" s="16"/>
      <c r="AT328" s="14"/>
      <c r="AU328" s="15" t="s">
        <v>3123</v>
      </c>
      <c r="AV328" s="14"/>
      <c r="AW328" s="17"/>
      <c r="AX328" s="16"/>
      <c r="AY328" s="16"/>
      <c r="AZ328" s="16"/>
      <c r="BA328" s="16"/>
      <c r="BB328" s="15" t="s">
        <v>3123</v>
      </c>
      <c r="BC328" s="17"/>
      <c r="BD328" s="14"/>
      <c r="BE328" s="14"/>
      <c r="BF328" s="16"/>
      <c r="BG328" s="16"/>
      <c r="BH328" s="13"/>
      <c r="BI328" s="18" t="s">
        <v>6987</v>
      </c>
      <c r="BJ328" s="13">
        <v>200</v>
      </c>
      <c r="BK328" s="17">
        <v>44126</v>
      </c>
      <c r="BL328" s="18" t="s">
        <v>6988</v>
      </c>
      <c r="BM328" s="18"/>
      <c r="BN328" s="18" t="s">
        <v>6989</v>
      </c>
      <c r="BO328" s="18"/>
      <c r="BP328" s="14" t="s">
        <v>6990</v>
      </c>
      <c r="BQ328" s="17">
        <v>43056</v>
      </c>
      <c r="BR328" s="16"/>
      <c r="BS328" s="17"/>
      <c r="BT328" s="16"/>
      <c r="BU328" s="17"/>
      <c r="BV328" s="16"/>
      <c r="BW328" s="17"/>
      <c r="BX328" s="16"/>
      <c r="BY328" s="17"/>
      <c r="BZ328" s="19">
        <v>32.181807291156659</v>
      </c>
      <c r="CA328" s="19"/>
      <c r="CB328" s="17"/>
      <c r="CC328" s="14" t="s">
        <v>5345</v>
      </c>
      <c r="CD328" s="14" t="s">
        <v>6991</v>
      </c>
      <c r="CE328" s="14" t="s">
        <v>5945</v>
      </c>
    </row>
    <row r="329" spans="1:83" ht="26.15" customHeight="1">
      <c r="A329" s="13">
        <v>323</v>
      </c>
      <c r="B329" s="14" t="s">
        <v>385</v>
      </c>
      <c r="C329" s="14" t="s">
        <v>386</v>
      </c>
      <c r="D329" s="14" t="s">
        <v>389</v>
      </c>
      <c r="E329" s="13">
        <v>2016</v>
      </c>
      <c r="F329" s="14" t="s">
        <v>5389</v>
      </c>
      <c r="G329" s="14" t="s">
        <v>5390</v>
      </c>
      <c r="H329" s="14" t="s">
        <v>5391</v>
      </c>
      <c r="I329" s="15" t="s">
        <v>3117</v>
      </c>
      <c r="J329" s="16">
        <v>14260613</v>
      </c>
      <c r="K329" s="17">
        <v>43970</v>
      </c>
      <c r="L329" s="16" t="s">
        <v>6481</v>
      </c>
      <c r="M329" s="16">
        <v>6000000</v>
      </c>
      <c r="N329" s="14" t="s">
        <v>109</v>
      </c>
      <c r="O329" s="13">
        <v>4</v>
      </c>
      <c r="P329" s="17">
        <v>44013</v>
      </c>
      <c r="Q329" s="14" t="s">
        <v>5052</v>
      </c>
      <c r="R329" s="17">
        <v>43854</v>
      </c>
      <c r="S329" s="17">
        <v>43795</v>
      </c>
      <c r="T329" s="14" t="s">
        <v>5426</v>
      </c>
      <c r="U329" s="14" t="s">
        <v>6018</v>
      </c>
      <c r="V329" s="14" t="s">
        <v>7031</v>
      </c>
      <c r="W329" s="14"/>
      <c r="X329" s="14" t="s">
        <v>7032</v>
      </c>
      <c r="Y329" s="14"/>
      <c r="Z329" s="14" t="s">
        <v>7033</v>
      </c>
      <c r="AA329" s="14"/>
      <c r="AB329" s="14" t="s">
        <v>5391</v>
      </c>
      <c r="AC329" s="14" t="s">
        <v>7034</v>
      </c>
      <c r="AD329" s="14"/>
      <c r="AE329" s="14" t="s">
        <v>7035</v>
      </c>
      <c r="AF329" s="14" t="s">
        <v>7036</v>
      </c>
      <c r="AG329" s="14" t="s">
        <v>7037</v>
      </c>
      <c r="AH329" s="18"/>
      <c r="AI329" s="16"/>
      <c r="AJ329" s="17"/>
      <c r="AK329" s="15" t="s">
        <v>3123</v>
      </c>
      <c r="AL329" s="17"/>
      <c r="AM329" s="16"/>
      <c r="AN329" s="14"/>
      <c r="AO329" s="14"/>
      <c r="AP329" s="15" t="s">
        <v>3123</v>
      </c>
      <c r="AQ329" s="14"/>
      <c r="AR329" s="17"/>
      <c r="AS329" s="16"/>
      <c r="AT329" s="14"/>
      <c r="AU329" s="15" t="s">
        <v>3123</v>
      </c>
      <c r="AV329" s="14"/>
      <c r="AW329" s="17"/>
      <c r="AX329" s="16"/>
      <c r="AY329" s="16"/>
      <c r="AZ329" s="16"/>
      <c r="BA329" s="16"/>
      <c r="BB329" s="15" t="s">
        <v>3123</v>
      </c>
      <c r="BC329" s="17"/>
      <c r="BD329" s="14"/>
      <c r="BE329" s="14"/>
      <c r="BF329" s="16"/>
      <c r="BG329" s="16"/>
      <c r="BH329" s="13"/>
      <c r="BI329" s="18" t="s">
        <v>7038</v>
      </c>
      <c r="BJ329" s="13">
        <v>200</v>
      </c>
      <c r="BK329" s="17">
        <v>44126</v>
      </c>
      <c r="BL329" s="18" t="s">
        <v>7039</v>
      </c>
      <c r="BM329" s="18" t="s">
        <v>7040</v>
      </c>
      <c r="BN329" s="18"/>
      <c r="BO329" s="18"/>
      <c r="BP329" s="14" t="s">
        <v>7041</v>
      </c>
      <c r="BQ329" s="17">
        <v>42930</v>
      </c>
      <c r="BR329" s="16"/>
      <c r="BS329" s="17"/>
      <c r="BT329" s="16"/>
      <c r="BU329" s="17"/>
      <c r="BV329" s="16"/>
      <c r="BW329" s="17"/>
      <c r="BX329" s="16"/>
      <c r="BY329" s="17"/>
      <c r="BZ329" s="19">
        <v>56.497013923648538</v>
      </c>
      <c r="CA329" s="19"/>
      <c r="CB329" s="17"/>
      <c r="CC329" s="14" t="s">
        <v>7042</v>
      </c>
      <c r="CD329" s="14" t="s">
        <v>7043</v>
      </c>
      <c r="CE329" s="14" t="s">
        <v>7044</v>
      </c>
    </row>
    <row r="330" spans="1:83" ht="26.15" customHeight="1">
      <c r="A330" s="13">
        <v>324</v>
      </c>
      <c r="B330" s="14" t="s">
        <v>452</v>
      </c>
      <c r="C330" s="14" t="s">
        <v>453</v>
      </c>
      <c r="D330" s="14" t="s">
        <v>456</v>
      </c>
      <c r="E330" s="13">
        <v>2016</v>
      </c>
      <c r="F330" s="14" t="s">
        <v>7085</v>
      </c>
      <c r="G330" s="14" t="s">
        <v>7085</v>
      </c>
      <c r="H330" s="14" t="s">
        <v>7086</v>
      </c>
      <c r="I330" s="15" t="s">
        <v>3117</v>
      </c>
      <c r="J330" s="16">
        <v>28150000</v>
      </c>
      <c r="K330" s="17">
        <v>43927</v>
      </c>
      <c r="L330" s="16" t="s">
        <v>7087</v>
      </c>
      <c r="M330" s="16">
        <v>20600000</v>
      </c>
      <c r="N330" s="14" t="s">
        <v>109</v>
      </c>
      <c r="O330" s="13">
        <v>4</v>
      </c>
      <c r="P330" s="17">
        <v>44055</v>
      </c>
      <c r="Q330" s="14" t="s">
        <v>5052</v>
      </c>
      <c r="R330" s="17">
        <v>44027</v>
      </c>
      <c r="S330" s="17">
        <v>43055</v>
      </c>
      <c r="T330" s="14" t="s">
        <v>1</v>
      </c>
      <c r="U330" s="14" t="s">
        <v>5007</v>
      </c>
      <c r="V330" s="14" t="s">
        <v>5238</v>
      </c>
      <c r="W330" s="14"/>
      <c r="X330" s="14" t="s">
        <v>7088</v>
      </c>
      <c r="Y330" s="14" t="s">
        <v>1912</v>
      </c>
      <c r="Z330" s="14" t="s">
        <v>7089</v>
      </c>
      <c r="AA330" s="14"/>
      <c r="AB330" s="14" t="s">
        <v>7086</v>
      </c>
      <c r="AC330" s="14"/>
      <c r="AD330" s="14"/>
      <c r="AE330" s="14" t="s">
        <v>7090</v>
      </c>
      <c r="AF330" s="14" t="s">
        <v>7091</v>
      </c>
      <c r="AG330" s="14" t="s">
        <v>7092</v>
      </c>
      <c r="AH330" s="18"/>
      <c r="AI330" s="16"/>
      <c r="AJ330" s="17"/>
      <c r="AK330" s="15" t="s">
        <v>3123</v>
      </c>
      <c r="AL330" s="17"/>
      <c r="AM330" s="16"/>
      <c r="AN330" s="14"/>
      <c r="AO330" s="14"/>
      <c r="AP330" s="15" t="s">
        <v>3123</v>
      </c>
      <c r="AQ330" s="14"/>
      <c r="AR330" s="17"/>
      <c r="AS330" s="16"/>
      <c r="AT330" s="14"/>
      <c r="AU330" s="15" t="s">
        <v>3123</v>
      </c>
      <c r="AV330" s="14"/>
      <c r="AW330" s="17"/>
      <c r="AX330" s="16"/>
      <c r="AY330" s="16"/>
      <c r="AZ330" s="16"/>
      <c r="BA330" s="16"/>
      <c r="BB330" s="15" t="s">
        <v>3123</v>
      </c>
      <c r="BC330" s="17"/>
      <c r="BD330" s="14"/>
      <c r="BE330" s="14"/>
      <c r="BF330" s="16"/>
      <c r="BG330" s="16"/>
      <c r="BH330" s="13"/>
      <c r="BI330" s="18" t="s">
        <v>7093</v>
      </c>
      <c r="BJ330" s="13">
        <v>200</v>
      </c>
      <c r="BK330" s="17">
        <v>44125</v>
      </c>
      <c r="BL330" s="18" t="s">
        <v>7094</v>
      </c>
      <c r="BM330" s="18" t="s">
        <v>7095</v>
      </c>
      <c r="BN330" s="18"/>
      <c r="BO330" s="18"/>
      <c r="BP330" s="14" t="s">
        <v>7096</v>
      </c>
      <c r="BQ330" s="17">
        <v>43033</v>
      </c>
      <c r="BR330" s="16"/>
      <c r="BS330" s="17"/>
      <c r="BT330" s="16"/>
      <c r="BU330" s="17"/>
      <c r="BV330" s="16"/>
      <c r="BW330" s="17"/>
      <c r="BX330" s="16"/>
      <c r="BY330" s="17"/>
      <c r="BZ330" s="19">
        <v>50.731528812474473</v>
      </c>
      <c r="CA330" s="19"/>
      <c r="CB330" s="17"/>
      <c r="CC330" s="14" t="s">
        <v>6487</v>
      </c>
      <c r="CD330" s="14" t="s">
        <v>5083</v>
      </c>
      <c r="CE330" s="14" t="s">
        <v>5004</v>
      </c>
    </row>
    <row r="331" spans="1:83" ht="26.15" customHeight="1">
      <c r="A331" s="13">
        <v>325</v>
      </c>
      <c r="B331" s="14" t="s">
        <v>2569</v>
      </c>
      <c r="C331" s="14" t="s">
        <v>2570</v>
      </c>
      <c r="D331" s="14" t="s">
        <v>2572</v>
      </c>
      <c r="E331" s="13">
        <v>2012</v>
      </c>
      <c r="F331" s="14" t="s">
        <v>4993</v>
      </c>
      <c r="G331" s="14" t="s">
        <v>4994</v>
      </c>
      <c r="H331" s="14" t="s">
        <v>2057</v>
      </c>
      <c r="I331" s="15" t="s">
        <v>3117</v>
      </c>
      <c r="J331" s="16"/>
      <c r="K331" s="17">
        <v>42339</v>
      </c>
      <c r="L331" s="16"/>
      <c r="M331" s="16" t="s">
        <v>50</v>
      </c>
      <c r="N331" s="14" t="s">
        <v>34</v>
      </c>
      <c r="O331" s="13"/>
      <c r="P331" s="17"/>
      <c r="Q331" s="14"/>
      <c r="R331" s="17"/>
      <c r="S331" s="17"/>
      <c r="T331" s="14" t="s">
        <v>5426</v>
      </c>
      <c r="U331" s="14" t="s">
        <v>5427</v>
      </c>
      <c r="V331" s="14" t="s">
        <v>5428</v>
      </c>
      <c r="W331" s="14"/>
      <c r="X331" s="14" t="s">
        <v>3733</v>
      </c>
      <c r="Y331" s="14"/>
      <c r="Z331" s="14" t="s">
        <v>8946</v>
      </c>
      <c r="AA331" s="14"/>
      <c r="AB331" s="14" t="s">
        <v>2057</v>
      </c>
      <c r="AC331" s="14"/>
      <c r="AD331" s="14"/>
      <c r="AE331" s="14" t="s">
        <v>8947</v>
      </c>
      <c r="AF331" s="14"/>
      <c r="AG331" s="14" t="s">
        <v>8948</v>
      </c>
      <c r="AH331" s="18"/>
      <c r="AI331" s="16"/>
      <c r="AJ331" s="17"/>
      <c r="AK331" s="15" t="s">
        <v>3123</v>
      </c>
      <c r="AL331" s="17"/>
      <c r="AM331" s="16"/>
      <c r="AN331" s="14"/>
      <c r="AO331" s="14"/>
      <c r="AP331" s="15" t="s">
        <v>3123</v>
      </c>
      <c r="AQ331" s="14"/>
      <c r="AR331" s="17"/>
      <c r="AS331" s="16"/>
      <c r="AT331" s="14"/>
      <c r="AU331" s="15" t="s">
        <v>3123</v>
      </c>
      <c r="AV331" s="14"/>
      <c r="AW331" s="17"/>
      <c r="AX331" s="16"/>
      <c r="AY331" s="16"/>
      <c r="AZ331" s="16"/>
      <c r="BA331" s="16"/>
      <c r="BB331" s="15" t="s">
        <v>3123</v>
      </c>
      <c r="BC331" s="17"/>
      <c r="BD331" s="14"/>
      <c r="BE331" s="14"/>
      <c r="BF331" s="16"/>
      <c r="BG331" s="16"/>
      <c r="BH331" s="13"/>
      <c r="BI331" s="18" t="s">
        <v>8949</v>
      </c>
      <c r="BJ331" s="13">
        <v>-1</v>
      </c>
      <c r="BK331" s="17">
        <v>44125</v>
      </c>
      <c r="BL331" s="18"/>
      <c r="BM331" s="18"/>
      <c r="BN331" s="18"/>
      <c r="BO331" s="18"/>
      <c r="BP331" s="14" t="s">
        <v>8950</v>
      </c>
      <c r="BQ331" s="17">
        <v>42930</v>
      </c>
      <c r="BR331" s="16"/>
      <c r="BS331" s="17"/>
      <c r="BT331" s="16"/>
      <c r="BU331" s="17"/>
      <c r="BV331" s="16"/>
      <c r="BW331" s="17"/>
      <c r="BX331" s="16"/>
      <c r="BY331" s="17"/>
      <c r="BZ331" s="19">
        <v>16.405882267851617</v>
      </c>
      <c r="CA331" s="19"/>
      <c r="CB331" s="17"/>
      <c r="CC331" s="14" t="s">
        <v>5345</v>
      </c>
      <c r="CD331" s="14" t="s">
        <v>7272</v>
      </c>
      <c r="CE331" s="14" t="s">
        <v>5945</v>
      </c>
    </row>
    <row r="332" spans="1:83" ht="26.15" customHeight="1">
      <c r="A332" s="13">
        <v>326</v>
      </c>
      <c r="B332" s="14" t="s">
        <v>404</v>
      </c>
      <c r="C332" s="14" t="s">
        <v>405</v>
      </c>
      <c r="D332" s="14" t="s">
        <v>408</v>
      </c>
      <c r="E332" s="13">
        <v>2016</v>
      </c>
      <c r="F332" s="14" t="s">
        <v>5038</v>
      </c>
      <c r="G332" s="14" t="s">
        <v>5039</v>
      </c>
      <c r="H332" s="14" t="s">
        <v>3994</v>
      </c>
      <c r="I332" s="15" t="s">
        <v>3117</v>
      </c>
      <c r="J332" s="16">
        <v>8750809</v>
      </c>
      <c r="K332" s="17">
        <v>43964</v>
      </c>
      <c r="L332" s="16" t="s">
        <v>6481</v>
      </c>
      <c r="M332" s="16">
        <v>5900000</v>
      </c>
      <c r="N332" s="14" t="s">
        <v>109</v>
      </c>
      <c r="O332" s="13">
        <v>4</v>
      </c>
      <c r="P332" s="17">
        <v>44098</v>
      </c>
      <c r="Q332" s="14" t="s">
        <v>5052</v>
      </c>
      <c r="R332" s="17">
        <v>43977</v>
      </c>
      <c r="S332" s="17">
        <v>43964</v>
      </c>
      <c r="T332" s="14" t="s">
        <v>7114</v>
      </c>
      <c r="U332" s="14" t="s">
        <v>7115</v>
      </c>
      <c r="V332" s="14" t="s">
        <v>7116</v>
      </c>
      <c r="W332" s="14"/>
      <c r="X332" s="14" t="s">
        <v>7117</v>
      </c>
      <c r="Y332" s="14" t="s">
        <v>7118</v>
      </c>
      <c r="Z332" s="14" t="s">
        <v>7119</v>
      </c>
      <c r="AA332" s="14"/>
      <c r="AB332" s="14" t="s">
        <v>3994</v>
      </c>
      <c r="AC332" s="14" t="s">
        <v>7120</v>
      </c>
      <c r="AD332" s="14"/>
      <c r="AE332" s="14" t="s">
        <v>7121</v>
      </c>
      <c r="AF332" s="14" t="s">
        <v>7122</v>
      </c>
      <c r="AG332" s="14" t="s">
        <v>7123</v>
      </c>
      <c r="AH332" s="18"/>
      <c r="AI332" s="16">
        <v>157400</v>
      </c>
      <c r="AJ332" s="17">
        <v>43465</v>
      </c>
      <c r="AK332" s="15" t="s">
        <v>3117</v>
      </c>
      <c r="AL332" s="17">
        <v>42524</v>
      </c>
      <c r="AM332" s="16">
        <v>1483</v>
      </c>
      <c r="AN332" s="14" t="s">
        <v>7124</v>
      </c>
      <c r="AO332" s="14"/>
      <c r="AP332" s="15" t="s">
        <v>3123</v>
      </c>
      <c r="AQ332" s="14"/>
      <c r="AR332" s="17"/>
      <c r="AS332" s="16"/>
      <c r="AT332" s="14"/>
      <c r="AU332" s="15" t="s">
        <v>3123</v>
      </c>
      <c r="AV332" s="14"/>
      <c r="AW332" s="17"/>
      <c r="AX332" s="16"/>
      <c r="AY332" s="16"/>
      <c r="AZ332" s="16"/>
      <c r="BA332" s="16"/>
      <c r="BB332" s="15" t="s">
        <v>3123</v>
      </c>
      <c r="BC332" s="17"/>
      <c r="BD332" s="14"/>
      <c r="BE332" s="14"/>
      <c r="BF332" s="16"/>
      <c r="BG332" s="16"/>
      <c r="BH332" s="13"/>
      <c r="BI332" s="18" t="s">
        <v>7125</v>
      </c>
      <c r="BJ332" s="13">
        <v>200</v>
      </c>
      <c r="BK332" s="17">
        <v>44125</v>
      </c>
      <c r="BL332" s="18" t="s">
        <v>7126</v>
      </c>
      <c r="BM332" s="18" t="s">
        <v>7127</v>
      </c>
      <c r="BN332" s="18" t="s">
        <v>7128</v>
      </c>
      <c r="BO332" s="18"/>
      <c r="BP332" s="14" t="s">
        <v>7129</v>
      </c>
      <c r="BQ332" s="17">
        <v>43066</v>
      </c>
      <c r="BR332" s="16">
        <v>-268000</v>
      </c>
      <c r="BS332" s="17">
        <v>43465</v>
      </c>
      <c r="BT332" s="16">
        <v>-358400</v>
      </c>
      <c r="BU332" s="17">
        <v>43465</v>
      </c>
      <c r="BV332" s="16">
        <v>20000000</v>
      </c>
      <c r="BW332" s="17">
        <v>43957</v>
      </c>
      <c r="BX332" s="16">
        <v>139</v>
      </c>
      <c r="BY332" s="17">
        <v>44012</v>
      </c>
      <c r="BZ332" s="19">
        <v>59.918933372163892</v>
      </c>
      <c r="CA332" s="19"/>
      <c r="CB332" s="17"/>
      <c r="CC332" s="14" t="s">
        <v>6241</v>
      </c>
      <c r="CD332" s="14" t="s">
        <v>7130</v>
      </c>
      <c r="CE332" s="14" t="s">
        <v>5004</v>
      </c>
    </row>
    <row r="333" spans="1:83" ht="26.15" customHeight="1">
      <c r="A333" s="13">
        <v>327</v>
      </c>
      <c r="B333" s="14" t="s">
        <v>2103</v>
      </c>
      <c r="C333" s="14" t="s">
        <v>2104</v>
      </c>
      <c r="D333" s="14" t="s">
        <v>2105</v>
      </c>
      <c r="E333" s="13">
        <v>2015</v>
      </c>
      <c r="F333" s="14" t="s">
        <v>5389</v>
      </c>
      <c r="G333" s="14" t="s">
        <v>5390</v>
      </c>
      <c r="H333" s="14" t="s">
        <v>5391</v>
      </c>
      <c r="I333" s="15" t="s">
        <v>3117</v>
      </c>
      <c r="J333" s="16"/>
      <c r="K333" s="17">
        <v>42878</v>
      </c>
      <c r="L333" s="16"/>
      <c r="M333" s="16" t="s">
        <v>50</v>
      </c>
      <c r="N333" s="14" t="s">
        <v>5630</v>
      </c>
      <c r="O333" s="13"/>
      <c r="P333" s="17">
        <v>44081</v>
      </c>
      <c r="Q333" s="14"/>
      <c r="R333" s="17"/>
      <c r="S333" s="17"/>
      <c r="T333" s="14" t="s">
        <v>5442</v>
      </c>
      <c r="U333" s="14" t="s">
        <v>8951</v>
      </c>
      <c r="V333" s="14" t="s">
        <v>8952</v>
      </c>
      <c r="W333" s="14"/>
      <c r="X333" s="14" t="s">
        <v>1609</v>
      </c>
      <c r="Y333" s="14"/>
      <c r="Z333" s="14" t="s">
        <v>8953</v>
      </c>
      <c r="AA333" s="14"/>
      <c r="AB333" s="14" t="s">
        <v>5391</v>
      </c>
      <c r="AC333" s="14" t="s">
        <v>8954</v>
      </c>
      <c r="AD333" s="14"/>
      <c r="AE333" s="14" t="s">
        <v>8955</v>
      </c>
      <c r="AF333" s="14" t="s">
        <v>8956</v>
      </c>
      <c r="AG333" s="14" t="s">
        <v>8957</v>
      </c>
      <c r="AH333" s="18"/>
      <c r="AI333" s="16"/>
      <c r="AJ333" s="17"/>
      <c r="AK333" s="15" t="s">
        <v>3123</v>
      </c>
      <c r="AL333" s="17"/>
      <c r="AM333" s="16"/>
      <c r="AN333" s="14"/>
      <c r="AO333" s="14"/>
      <c r="AP333" s="15" t="s">
        <v>3123</v>
      </c>
      <c r="AQ333" s="14"/>
      <c r="AR333" s="17"/>
      <c r="AS333" s="16"/>
      <c r="AT333" s="14"/>
      <c r="AU333" s="15" t="s">
        <v>3123</v>
      </c>
      <c r="AV333" s="14"/>
      <c r="AW333" s="17"/>
      <c r="AX333" s="16"/>
      <c r="AY333" s="16"/>
      <c r="AZ333" s="16"/>
      <c r="BA333" s="16"/>
      <c r="BB333" s="15" t="s">
        <v>3117</v>
      </c>
      <c r="BC333" s="17">
        <v>43252</v>
      </c>
      <c r="BD333" s="14"/>
      <c r="BE333" s="14"/>
      <c r="BF333" s="16"/>
      <c r="BG333" s="16"/>
      <c r="BH333" s="13"/>
      <c r="BI333" s="18" t="s">
        <v>8958</v>
      </c>
      <c r="BJ333" s="13">
        <v>200</v>
      </c>
      <c r="BK333" s="17">
        <v>44125</v>
      </c>
      <c r="BL333" s="18" t="s">
        <v>8959</v>
      </c>
      <c r="BM333" s="18" t="s">
        <v>8960</v>
      </c>
      <c r="BN333" s="18" t="s">
        <v>8961</v>
      </c>
      <c r="BO333" s="18"/>
      <c r="BP333" s="14" t="s">
        <v>8962</v>
      </c>
      <c r="BQ333" s="17">
        <v>43033</v>
      </c>
      <c r="BR333" s="16"/>
      <c r="BS333" s="17"/>
      <c r="BT333" s="16"/>
      <c r="BU333" s="17"/>
      <c r="BV333" s="16"/>
      <c r="BW333" s="17"/>
      <c r="BX333" s="16"/>
      <c r="BY333" s="17"/>
      <c r="BZ333" s="19">
        <v>16.724277705541635</v>
      </c>
      <c r="CA333" s="19"/>
      <c r="CB333" s="17"/>
      <c r="CC333" s="14" t="s">
        <v>5345</v>
      </c>
      <c r="CD333" s="14" t="s">
        <v>7272</v>
      </c>
      <c r="CE333" s="14" t="s">
        <v>5945</v>
      </c>
    </row>
    <row r="334" spans="1:83" ht="26.15" customHeight="1">
      <c r="A334" s="13">
        <v>328</v>
      </c>
      <c r="B334" s="14" t="s">
        <v>2181</v>
      </c>
      <c r="C334" s="14" t="s">
        <v>2182</v>
      </c>
      <c r="D334" s="14" t="s">
        <v>2184</v>
      </c>
      <c r="E334" s="13">
        <v>2016</v>
      </c>
      <c r="F334" s="14" t="s">
        <v>5005</v>
      </c>
      <c r="G334" s="14" t="s">
        <v>5006</v>
      </c>
      <c r="H334" s="14" t="s">
        <v>3994</v>
      </c>
      <c r="I334" s="15" t="s">
        <v>3117</v>
      </c>
      <c r="J334" s="16"/>
      <c r="K334" s="17">
        <v>42794</v>
      </c>
      <c r="L334" s="16"/>
      <c r="M334" s="16" t="s">
        <v>50</v>
      </c>
      <c r="N334" s="14" t="s">
        <v>5630</v>
      </c>
      <c r="O334" s="13"/>
      <c r="P334" s="17">
        <v>44081</v>
      </c>
      <c r="Q334" s="14"/>
      <c r="R334" s="17"/>
      <c r="S334" s="17"/>
      <c r="T334" s="14" t="s">
        <v>4995</v>
      </c>
      <c r="U334" s="14" t="s">
        <v>5578</v>
      </c>
      <c r="V334" s="14" t="s">
        <v>8546</v>
      </c>
      <c r="W334" s="14"/>
      <c r="X334" s="14"/>
      <c r="Y334" s="14" t="s">
        <v>8963</v>
      </c>
      <c r="Z334" s="14" t="s">
        <v>8964</v>
      </c>
      <c r="AA334" s="14"/>
      <c r="AB334" s="14" t="s">
        <v>3994</v>
      </c>
      <c r="AC334" s="14" t="s">
        <v>8965</v>
      </c>
      <c r="AD334" s="14"/>
      <c r="AE334" s="14" t="s">
        <v>8966</v>
      </c>
      <c r="AF334" s="14" t="s">
        <v>8967</v>
      </c>
      <c r="AG334" s="14" t="s">
        <v>8968</v>
      </c>
      <c r="AH334" s="18"/>
      <c r="AI334" s="16"/>
      <c r="AJ334" s="17"/>
      <c r="AK334" s="15" t="s">
        <v>3123</v>
      </c>
      <c r="AL334" s="17"/>
      <c r="AM334" s="16"/>
      <c r="AN334" s="14"/>
      <c r="AO334" s="14"/>
      <c r="AP334" s="15" t="s">
        <v>3123</v>
      </c>
      <c r="AQ334" s="14"/>
      <c r="AR334" s="17"/>
      <c r="AS334" s="16"/>
      <c r="AT334" s="14"/>
      <c r="AU334" s="15" t="s">
        <v>3123</v>
      </c>
      <c r="AV334" s="14"/>
      <c r="AW334" s="17"/>
      <c r="AX334" s="16"/>
      <c r="AY334" s="16"/>
      <c r="AZ334" s="16"/>
      <c r="BA334" s="16"/>
      <c r="BB334" s="15" t="s">
        <v>3117</v>
      </c>
      <c r="BC334" s="17">
        <v>43070</v>
      </c>
      <c r="BD334" s="14"/>
      <c r="BE334" s="14"/>
      <c r="BF334" s="16"/>
      <c r="BG334" s="16"/>
      <c r="BH334" s="13"/>
      <c r="BI334" s="18" t="s">
        <v>8969</v>
      </c>
      <c r="BJ334" s="13">
        <v>200</v>
      </c>
      <c r="BK334" s="17">
        <v>44125</v>
      </c>
      <c r="BL334" s="18" t="s">
        <v>8970</v>
      </c>
      <c r="BM334" s="18" t="s">
        <v>8971</v>
      </c>
      <c r="BN334" s="18" t="s">
        <v>8972</v>
      </c>
      <c r="BO334" s="18"/>
      <c r="BP334" s="14" t="s">
        <v>8973</v>
      </c>
      <c r="BQ334" s="17">
        <v>42685</v>
      </c>
      <c r="BR334" s="16"/>
      <c r="BS334" s="17"/>
      <c r="BT334" s="16"/>
      <c r="BU334" s="17"/>
      <c r="BV334" s="16"/>
      <c r="BW334" s="17"/>
      <c r="BX334" s="16"/>
      <c r="BY334" s="17"/>
      <c r="BZ334" s="19">
        <v>26.106818979281606</v>
      </c>
      <c r="CA334" s="19"/>
      <c r="CB334" s="17"/>
      <c r="CC334" s="14" t="s">
        <v>6487</v>
      </c>
      <c r="CD334" s="14" t="s">
        <v>5944</v>
      </c>
      <c r="CE334" s="14" t="s">
        <v>5945</v>
      </c>
    </row>
    <row r="335" spans="1:83" ht="26.15" customHeight="1">
      <c r="A335" s="13">
        <v>329</v>
      </c>
      <c r="B335" s="14" t="s">
        <v>2406</v>
      </c>
      <c r="C335" s="14" t="s">
        <v>2407</v>
      </c>
      <c r="D335" s="14" t="s">
        <v>2409</v>
      </c>
      <c r="E335" s="13">
        <v>2014</v>
      </c>
      <c r="F335" s="14" t="s">
        <v>4993</v>
      </c>
      <c r="G335" s="14" t="s">
        <v>4994</v>
      </c>
      <c r="H335" s="14" t="s">
        <v>2057</v>
      </c>
      <c r="I335" s="15" t="s">
        <v>3117</v>
      </c>
      <c r="J335" s="16"/>
      <c r="K335" s="17">
        <v>42522</v>
      </c>
      <c r="L335" s="16"/>
      <c r="M335" s="16" t="s">
        <v>50</v>
      </c>
      <c r="N335" s="14" t="s">
        <v>5630</v>
      </c>
      <c r="O335" s="13"/>
      <c r="P335" s="17"/>
      <c r="Q335" s="14"/>
      <c r="R335" s="17"/>
      <c r="S335" s="17"/>
      <c r="T335" s="14" t="s">
        <v>5509</v>
      </c>
      <c r="U335" s="14" t="s">
        <v>5510</v>
      </c>
      <c r="V335" s="14" t="s">
        <v>5696</v>
      </c>
      <c r="W335" s="14"/>
      <c r="X335" s="14" t="s">
        <v>4557</v>
      </c>
      <c r="Y335" s="14"/>
      <c r="Z335" s="14" t="s">
        <v>8974</v>
      </c>
      <c r="AA335" s="14"/>
      <c r="AB335" s="14" t="s">
        <v>2057</v>
      </c>
      <c r="AC335" s="14"/>
      <c r="AD335" s="14"/>
      <c r="AE335" s="14"/>
      <c r="AF335" s="14"/>
      <c r="AG335" s="14"/>
      <c r="AH335" s="18"/>
      <c r="AI335" s="16"/>
      <c r="AJ335" s="17"/>
      <c r="AK335" s="15" t="s">
        <v>3123</v>
      </c>
      <c r="AL335" s="17"/>
      <c r="AM335" s="16"/>
      <c r="AN335" s="14"/>
      <c r="AO335" s="14"/>
      <c r="AP335" s="15" t="s">
        <v>3123</v>
      </c>
      <c r="AQ335" s="14"/>
      <c r="AR335" s="17"/>
      <c r="AS335" s="16"/>
      <c r="AT335" s="14"/>
      <c r="AU335" s="15" t="s">
        <v>3123</v>
      </c>
      <c r="AV335" s="14"/>
      <c r="AW335" s="17"/>
      <c r="AX335" s="16"/>
      <c r="AY335" s="16"/>
      <c r="AZ335" s="16"/>
      <c r="BA335" s="16"/>
      <c r="BB335" s="15" t="s">
        <v>3117</v>
      </c>
      <c r="BC335" s="17"/>
      <c r="BD335" s="14"/>
      <c r="BE335" s="14"/>
      <c r="BF335" s="16"/>
      <c r="BG335" s="16"/>
      <c r="BH335" s="13"/>
      <c r="BI335" s="18" t="s">
        <v>8975</v>
      </c>
      <c r="BJ335" s="13">
        <v>-1</v>
      </c>
      <c r="BK335" s="17">
        <v>44125</v>
      </c>
      <c r="BL335" s="18"/>
      <c r="BM335" s="18"/>
      <c r="BN335" s="18"/>
      <c r="BO335" s="18"/>
      <c r="BP335" s="14" t="s">
        <v>8976</v>
      </c>
      <c r="BQ335" s="17">
        <v>42730</v>
      </c>
      <c r="BR335" s="16"/>
      <c r="BS335" s="17"/>
      <c r="BT335" s="16"/>
      <c r="BU335" s="17"/>
      <c r="BV335" s="16"/>
      <c r="BW335" s="17"/>
      <c r="BX335" s="16"/>
      <c r="BY335" s="17"/>
      <c r="BZ335" s="19">
        <v>5.1959379817054492</v>
      </c>
      <c r="CA335" s="19"/>
      <c r="CB335" s="17"/>
      <c r="CC335" s="14" t="s">
        <v>5036</v>
      </c>
      <c r="CD335" s="14" t="s">
        <v>7249</v>
      </c>
      <c r="CE335" s="14" t="s">
        <v>6074</v>
      </c>
    </row>
    <row r="336" spans="1:83" ht="26.15" customHeight="1">
      <c r="A336" s="13">
        <v>330</v>
      </c>
      <c r="B336" s="14" t="s">
        <v>1983</v>
      </c>
      <c r="C336" s="14" t="s">
        <v>1984</v>
      </c>
      <c r="D336" s="14" t="s">
        <v>1986</v>
      </c>
      <c r="E336" s="13">
        <v>2013</v>
      </c>
      <c r="F336" s="14" t="s">
        <v>5389</v>
      </c>
      <c r="G336" s="14" t="s">
        <v>5390</v>
      </c>
      <c r="H336" s="14" t="s">
        <v>5391</v>
      </c>
      <c r="I336" s="15" t="s">
        <v>3117</v>
      </c>
      <c r="J336" s="16"/>
      <c r="K336" s="17">
        <v>42986</v>
      </c>
      <c r="L336" s="16"/>
      <c r="M336" s="16" t="s">
        <v>50</v>
      </c>
      <c r="N336" s="14" t="s">
        <v>109</v>
      </c>
      <c r="O336" s="13">
        <v>3</v>
      </c>
      <c r="P336" s="17">
        <v>44139</v>
      </c>
      <c r="Q336" s="14"/>
      <c r="R336" s="17"/>
      <c r="S336" s="17"/>
      <c r="T336" s="14" t="s">
        <v>1</v>
      </c>
      <c r="U336" s="14" t="s">
        <v>5007</v>
      </c>
      <c r="V336" s="14" t="s">
        <v>7273</v>
      </c>
      <c r="W336" s="14"/>
      <c r="X336" s="14" t="s">
        <v>7274</v>
      </c>
      <c r="Y336" s="14"/>
      <c r="Z336" s="14" t="s">
        <v>7275</v>
      </c>
      <c r="AA336" s="14"/>
      <c r="AB336" s="14" t="s">
        <v>5391</v>
      </c>
      <c r="AC336" s="14" t="s">
        <v>7276</v>
      </c>
      <c r="AD336" s="14" t="s">
        <v>7277</v>
      </c>
      <c r="AE336" s="14" t="s">
        <v>7278</v>
      </c>
      <c r="AF336" s="14" t="s">
        <v>7279</v>
      </c>
      <c r="AG336" s="14" t="s">
        <v>7280</v>
      </c>
      <c r="AH336" s="18"/>
      <c r="AI336" s="16"/>
      <c r="AJ336" s="17"/>
      <c r="AK336" s="15" t="s">
        <v>3123</v>
      </c>
      <c r="AL336" s="17"/>
      <c r="AM336" s="16"/>
      <c r="AN336" s="14"/>
      <c r="AO336" s="14"/>
      <c r="AP336" s="15" t="s">
        <v>3123</v>
      </c>
      <c r="AQ336" s="14"/>
      <c r="AR336" s="17"/>
      <c r="AS336" s="16"/>
      <c r="AT336" s="14"/>
      <c r="AU336" s="15" t="s">
        <v>3123</v>
      </c>
      <c r="AV336" s="14"/>
      <c r="AW336" s="17"/>
      <c r="AX336" s="16"/>
      <c r="AY336" s="16"/>
      <c r="AZ336" s="16"/>
      <c r="BA336" s="16"/>
      <c r="BB336" s="15" t="s">
        <v>3123</v>
      </c>
      <c r="BC336" s="17"/>
      <c r="BD336" s="14"/>
      <c r="BE336" s="14"/>
      <c r="BF336" s="16"/>
      <c r="BG336" s="16"/>
      <c r="BH336" s="13"/>
      <c r="BI336" s="18" t="s">
        <v>7281</v>
      </c>
      <c r="BJ336" s="13">
        <v>200</v>
      </c>
      <c r="BK336" s="17">
        <v>44125</v>
      </c>
      <c r="BL336" s="18" t="s">
        <v>7282</v>
      </c>
      <c r="BM336" s="18"/>
      <c r="BN336" s="18"/>
      <c r="BO336" s="18"/>
      <c r="BP336" s="14" t="s">
        <v>7283</v>
      </c>
      <c r="BQ336" s="17">
        <v>44067</v>
      </c>
      <c r="BR336" s="16"/>
      <c r="BS336" s="17"/>
      <c r="BT336" s="16"/>
      <c r="BU336" s="17"/>
      <c r="BV336" s="16"/>
      <c r="BW336" s="17"/>
      <c r="BX336" s="16"/>
      <c r="BY336" s="17"/>
      <c r="BZ336" s="19">
        <v>23.541051810371226</v>
      </c>
      <c r="CA336" s="19"/>
      <c r="CB336" s="17"/>
      <c r="CC336" s="14" t="s">
        <v>7284</v>
      </c>
      <c r="CD336" s="14" t="s">
        <v>6002</v>
      </c>
      <c r="CE336" s="14" t="s">
        <v>5945</v>
      </c>
    </row>
    <row r="337" spans="1:83" ht="26.15" customHeight="1">
      <c r="A337" s="13">
        <v>331</v>
      </c>
      <c r="B337" s="14" t="s">
        <v>829</v>
      </c>
      <c r="C337" s="14" t="s">
        <v>830</v>
      </c>
      <c r="D337" s="14" t="s">
        <v>833</v>
      </c>
      <c r="E337" s="13">
        <v>2015</v>
      </c>
      <c r="F337" s="14" t="s">
        <v>7285</v>
      </c>
      <c r="G337" s="14" t="s">
        <v>7285</v>
      </c>
      <c r="H337" s="14" t="s">
        <v>5277</v>
      </c>
      <c r="I337" s="15" t="s">
        <v>3117</v>
      </c>
      <c r="J337" s="16">
        <v>1070000</v>
      </c>
      <c r="K337" s="17">
        <v>43728</v>
      </c>
      <c r="L337" s="16" t="s">
        <v>5134</v>
      </c>
      <c r="M337" s="16">
        <v>1000000</v>
      </c>
      <c r="N337" s="14" t="s">
        <v>34</v>
      </c>
      <c r="O337" s="13">
        <v>4</v>
      </c>
      <c r="P337" s="17">
        <v>44012</v>
      </c>
      <c r="Q337" s="14"/>
      <c r="R337" s="17"/>
      <c r="S337" s="17"/>
      <c r="T337" s="14" t="s">
        <v>5426</v>
      </c>
      <c r="U337" s="14" t="s">
        <v>5427</v>
      </c>
      <c r="V337" s="14" t="s">
        <v>5428</v>
      </c>
      <c r="W337" s="14"/>
      <c r="X337" s="14" t="s">
        <v>7286</v>
      </c>
      <c r="Y337" s="14"/>
      <c r="Z337" s="14" t="s">
        <v>7287</v>
      </c>
      <c r="AA337" s="14"/>
      <c r="AB337" s="14" t="s">
        <v>5277</v>
      </c>
      <c r="AC337" s="14" t="s">
        <v>7288</v>
      </c>
      <c r="AD337" s="14"/>
      <c r="AE337" s="14" t="s">
        <v>7289</v>
      </c>
      <c r="AF337" s="14" t="s">
        <v>7290</v>
      </c>
      <c r="AG337" s="14" t="s">
        <v>7291</v>
      </c>
      <c r="AH337" s="18"/>
      <c r="AI337" s="16"/>
      <c r="AJ337" s="17"/>
      <c r="AK337" s="15" t="s">
        <v>3123</v>
      </c>
      <c r="AL337" s="17"/>
      <c r="AM337" s="16"/>
      <c r="AN337" s="14"/>
      <c r="AO337" s="14"/>
      <c r="AP337" s="15" t="s">
        <v>3123</v>
      </c>
      <c r="AQ337" s="14"/>
      <c r="AR337" s="17"/>
      <c r="AS337" s="16"/>
      <c r="AT337" s="14"/>
      <c r="AU337" s="15" t="s">
        <v>3123</v>
      </c>
      <c r="AV337" s="14"/>
      <c r="AW337" s="17"/>
      <c r="AX337" s="16"/>
      <c r="AY337" s="16"/>
      <c r="AZ337" s="16"/>
      <c r="BA337" s="16"/>
      <c r="BB337" s="15" t="s">
        <v>3123</v>
      </c>
      <c r="BC337" s="17"/>
      <c r="BD337" s="14"/>
      <c r="BE337" s="14"/>
      <c r="BF337" s="16"/>
      <c r="BG337" s="16"/>
      <c r="BH337" s="13"/>
      <c r="BI337" s="18" t="s">
        <v>7292</v>
      </c>
      <c r="BJ337" s="13">
        <v>200</v>
      </c>
      <c r="BK337" s="17">
        <v>44125</v>
      </c>
      <c r="BL337" s="18" t="s">
        <v>7293</v>
      </c>
      <c r="BM337" s="18" t="s">
        <v>7294</v>
      </c>
      <c r="BN337" s="18"/>
      <c r="BO337" s="18"/>
      <c r="BP337" s="14" t="s">
        <v>7295</v>
      </c>
      <c r="BQ337" s="17">
        <v>42822</v>
      </c>
      <c r="BR337" s="16"/>
      <c r="BS337" s="17"/>
      <c r="BT337" s="16"/>
      <c r="BU337" s="17"/>
      <c r="BV337" s="16"/>
      <c r="BW337" s="17"/>
      <c r="BX337" s="16"/>
      <c r="BY337" s="17"/>
      <c r="BZ337" s="19">
        <v>42.236802368544751</v>
      </c>
      <c r="CA337" s="19"/>
      <c r="CB337" s="17"/>
      <c r="CC337" s="14" t="s">
        <v>5036</v>
      </c>
      <c r="CD337" s="14" t="s">
        <v>5962</v>
      </c>
      <c r="CE337" s="14" t="s">
        <v>5945</v>
      </c>
    </row>
    <row r="338" spans="1:83" ht="26.15" hidden="1" customHeight="1">
      <c r="A338" s="13">
        <v>332</v>
      </c>
      <c r="B338" s="14" t="s">
        <v>2130</v>
      </c>
      <c r="C338" s="14" t="s">
        <v>2131</v>
      </c>
      <c r="D338" s="14" t="s">
        <v>2132</v>
      </c>
      <c r="E338" s="13">
        <v>2016</v>
      </c>
      <c r="F338" s="14" t="s">
        <v>5050</v>
      </c>
      <c r="G338" s="14" t="s">
        <v>5050</v>
      </c>
      <c r="H338" s="14" t="s">
        <v>4343</v>
      </c>
      <c r="I338" s="15" t="s">
        <v>3117</v>
      </c>
      <c r="J338" s="16">
        <v>20000</v>
      </c>
      <c r="K338" s="17">
        <v>42846</v>
      </c>
      <c r="L338" s="16" t="s">
        <v>6298</v>
      </c>
      <c r="M338" s="16">
        <v>20000</v>
      </c>
      <c r="N338" s="14" t="s">
        <v>34</v>
      </c>
      <c r="O338" s="13"/>
      <c r="P338" s="17"/>
      <c r="Q338" s="14"/>
      <c r="R338" s="17"/>
      <c r="S338" s="17"/>
      <c r="T338" s="14" t="s">
        <v>8977</v>
      </c>
      <c r="U338" s="14" t="s">
        <v>8978</v>
      </c>
      <c r="V338" s="14" t="s">
        <v>8979</v>
      </c>
      <c r="W338" s="14"/>
      <c r="X338" s="14" t="s">
        <v>798</v>
      </c>
      <c r="Y338" s="14"/>
      <c r="Z338" s="14" t="s">
        <v>8980</v>
      </c>
      <c r="AA338" s="14"/>
      <c r="AB338" s="14" t="s">
        <v>4343</v>
      </c>
      <c r="AC338" s="14" t="s">
        <v>8981</v>
      </c>
      <c r="AD338" s="14"/>
      <c r="AE338" s="14" t="s">
        <v>8982</v>
      </c>
      <c r="AF338" s="14" t="s">
        <v>8983</v>
      </c>
      <c r="AG338" s="14" t="s">
        <v>8984</v>
      </c>
      <c r="AH338" s="18"/>
      <c r="AI338" s="16"/>
      <c r="AJ338" s="17"/>
      <c r="AK338" s="15" t="s">
        <v>3123</v>
      </c>
      <c r="AL338" s="17"/>
      <c r="AM338" s="16"/>
      <c r="AN338" s="14"/>
      <c r="AO338" s="14"/>
      <c r="AP338" s="15" t="s">
        <v>3123</v>
      </c>
      <c r="AQ338" s="14"/>
      <c r="AR338" s="17"/>
      <c r="AS338" s="16"/>
      <c r="AT338" s="14"/>
      <c r="AU338" s="15" t="s">
        <v>3123</v>
      </c>
      <c r="AV338" s="14"/>
      <c r="AW338" s="17"/>
      <c r="AX338" s="16"/>
      <c r="AY338" s="16"/>
      <c r="AZ338" s="16"/>
      <c r="BA338" s="16"/>
      <c r="BB338" s="15" t="s">
        <v>3123</v>
      </c>
      <c r="BC338" s="17"/>
      <c r="BD338" s="14"/>
      <c r="BE338" s="14"/>
      <c r="BF338" s="16"/>
      <c r="BG338" s="16"/>
      <c r="BH338" s="13"/>
      <c r="BI338" s="18" t="s">
        <v>8985</v>
      </c>
      <c r="BJ338" s="13">
        <v>200</v>
      </c>
      <c r="BK338" s="17">
        <v>44125</v>
      </c>
      <c r="BL338" s="18" t="s">
        <v>8986</v>
      </c>
      <c r="BM338" s="18"/>
      <c r="BN338" s="18"/>
      <c r="BO338" s="18"/>
      <c r="BP338" s="14" t="s">
        <v>8987</v>
      </c>
      <c r="BQ338" s="17">
        <v>43020</v>
      </c>
      <c r="BR338" s="16"/>
      <c r="BS338" s="17"/>
      <c r="BT338" s="16"/>
      <c r="BU338" s="17"/>
      <c r="BV338" s="16"/>
      <c r="BW338" s="17"/>
      <c r="BX338" s="16"/>
      <c r="BY338" s="17"/>
      <c r="BZ338" s="19">
        <v>21.02863261132817</v>
      </c>
      <c r="CA338" s="19"/>
      <c r="CB338" s="17"/>
      <c r="CC338" s="14" t="s">
        <v>8988</v>
      </c>
      <c r="CD338" s="14" t="s">
        <v>6557</v>
      </c>
      <c r="CE338" s="14" t="s">
        <v>8989</v>
      </c>
    </row>
    <row r="339" spans="1:83" ht="26.15" customHeight="1">
      <c r="A339" s="13">
        <v>333</v>
      </c>
      <c r="B339" s="14" t="s">
        <v>2732</v>
      </c>
      <c r="C339" s="14" t="s">
        <v>2733</v>
      </c>
      <c r="D339" s="14" t="s">
        <v>2734</v>
      </c>
      <c r="E339" s="13">
        <v>2014</v>
      </c>
      <c r="F339" s="14" t="s">
        <v>7260</v>
      </c>
      <c r="G339" s="14" t="s">
        <v>7261</v>
      </c>
      <c r="H339" s="14" t="s">
        <v>2057</v>
      </c>
      <c r="I339" s="15" t="s">
        <v>3117</v>
      </c>
      <c r="J339" s="16">
        <v>1500000</v>
      </c>
      <c r="K339" s="17">
        <v>42131</v>
      </c>
      <c r="L339" s="16" t="s">
        <v>5022</v>
      </c>
      <c r="M339" s="16">
        <v>1500000</v>
      </c>
      <c r="N339" s="14" t="s">
        <v>5630</v>
      </c>
      <c r="O339" s="13"/>
      <c r="P339" s="17"/>
      <c r="Q339" s="14"/>
      <c r="R339" s="17"/>
      <c r="S339" s="17"/>
      <c r="T339" s="14" t="s">
        <v>1</v>
      </c>
      <c r="U339" s="14" t="s">
        <v>5084</v>
      </c>
      <c r="V339" s="14" t="s">
        <v>8990</v>
      </c>
      <c r="W339" s="14"/>
      <c r="X339" s="14"/>
      <c r="Y339" s="14"/>
      <c r="Z339" s="14" t="s">
        <v>8991</v>
      </c>
      <c r="AA339" s="14"/>
      <c r="AB339" s="14" t="s">
        <v>2057</v>
      </c>
      <c r="AC339" s="14"/>
      <c r="AD339" s="14"/>
      <c r="AE339" s="14"/>
      <c r="AF339" s="14"/>
      <c r="AG339" s="14"/>
      <c r="AH339" s="18"/>
      <c r="AI339" s="16"/>
      <c r="AJ339" s="17"/>
      <c r="AK339" s="15" t="s">
        <v>3123</v>
      </c>
      <c r="AL339" s="17"/>
      <c r="AM339" s="16"/>
      <c r="AN339" s="14"/>
      <c r="AO339" s="14"/>
      <c r="AP339" s="15" t="s">
        <v>3123</v>
      </c>
      <c r="AQ339" s="14"/>
      <c r="AR339" s="17"/>
      <c r="AS339" s="16"/>
      <c r="AT339" s="14"/>
      <c r="AU339" s="15" t="s">
        <v>3123</v>
      </c>
      <c r="AV339" s="14"/>
      <c r="AW339" s="17"/>
      <c r="AX339" s="16"/>
      <c r="AY339" s="16"/>
      <c r="AZ339" s="16"/>
      <c r="BA339" s="16"/>
      <c r="BB339" s="15" t="s">
        <v>3117</v>
      </c>
      <c r="BC339" s="17"/>
      <c r="BD339" s="14"/>
      <c r="BE339" s="14"/>
      <c r="BF339" s="16"/>
      <c r="BG339" s="16"/>
      <c r="BH339" s="13"/>
      <c r="BI339" s="18" t="s">
        <v>8992</v>
      </c>
      <c r="BJ339" s="13">
        <v>-1</v>
      </c>
      <c r="BK339" s="17">
        <v>44125</v>
      </c>
      <c r="BL339" s="18"/>
      <c r="BM339" s="18"/>
      <c r="BN339" s="18"/>
      <c r="BO339" s="18"/>
      <c r="BP339" s="14" t="s">
        <v>8993</v>
      </c>
      <c r="BQ339" s="17">
        <v>42909</v>
      </c>
      <c r="BR339" s="16"/>
      <c r="BS339" s="17"/>
      <c r="BT339" s="16"/>
      <c r="BU339" s="17"/>
      <c r="BV339" s="16"/>
      <c r="BW339" s="17"/>
      <c r="BX339" s="16"/>
      <c r="BY339" s="17"/>
      <c r="BZ339" s="19">
        <v>9.1323116275168701</v>
      </c>
      <c r="CA339" s="19"/>
      <c r="CB339" s="17"/>
      <c r="CC339" s="14" t="s">
        <v>6487</v>
      </c>
      <c r="CD339" s="14" t="s">
        <v>5944</v>
      </c>
      <c r="CE339" s="14" t="s">
        <v>5945</v>
      </c>
    </row>
    <row r="340" spans="1:83" ht="26.15" customHeight="1">
      <c r="A340" s="13">
        <v>334</v>
      </c>
      <c r="B340" s="14" t="s">
        <v>2092</v>
      </c>
      <c r="C340" s="14" t="s">
        <v>2093</v>
      </c>
      <c r="D340" s="14" t="s">
        <v>2094</v>
      </c>
      <c r="E340" s="13">
        <v>2015</v>
      </c>
      <c r="F340" s="14" t="s">
        <v>5522</v>
      </c>
      <c r="G340" s="14" t="s">
        <v>5523</v>
      </c>
      <c r="H340" s="14" t="s">
        <v>5524</v>
      </c>
      <c r="I340" s="15" t="s">
        <v>3117</v>
      </c>
      <c r="J340" s="16">
        <v>120000</v>
      </c>
      <c r="K340" s="17">
        <v>42887</v>
      </c>
      <c r="L340" s="16" t="s">
        <v>7149</v>
      </c>
      <c r="M340" s="16">
        <v>120000</v>
      </c>
      <c r="N340" s="14" t="s">
        <v>34</v>
      </c>
      <c r="O340" s="13"/>
      <c r="P340" s="17"/>
      <c r="Q340" s="14"/>
      <c r="R340" s="17"/>
      <c r="S340" s="17"/>
      <c r="T340" s="14" t="s">
        <v>5225</v>
      </c>
      <c r="U340" s="14" t="s">
        <v>8994</v>
      </c>
      <c r="V340" s="14" t="s">
        <v>8995</v>
      </c>
      <c r="W340" s="14"/>
      <c r="X340" s="14" t="s">
        <v>480</v>
      </c>
      <c r="Y340" s="14"/>
      <c r="Z340" s="14" t="s">
        <v>8996</v>
      </c>
      <c r="AA340" s="14"/>
      <c r="AB340" s="14" t="s">
        <v>5524</v>
      </c>
      <c r="AC340" s="14" t="s">
        <v>8997</v>
      </c>
      <c r="AD340" s="14"/>
      <c r="AE340" s="14" t="s">
        <v>8998</v>
      </c>
      <c r="AF340" s="14" t="s">
        <v>8999</v>
      </c>
      <c r="AG340" s="14" t="s">
        <v>9000</v>
      </c>
      <c r="AH340" s="18"/>
      <c r="AI340" s="16"/>
      <c r="AJ340" s="17"/>
      <c r="AK340" s="15" t="s">
        <v>3123</v>
      </c>
      <c r="AL340" s="17"/>
      <c r="AM340" s="16"/>
      <c r="AN340" s="14"/>
      <c r="AO340" s="14"/>
      <c r="AP340" s="15" t="s">
        <v>3123</v>
      </c>
      <c r="AQ340" s="14"/>
      <c r="AR340" s="17"/>
      <c r="AS340" s="16"/>
      <c r="AT340" s="14"/>
      <c r="AU340" s="15" t="s">
        <v>3123</v>
      </c>
      <c r="AV340" s="14"/>
      <c r="AW340" s="17"/>
      <c r="AX340" s="16"/>
      <c r="AY340" s="16"/>
      <c r="AZ340" s="16"/>
      <c r="BA340" s="16"/>
      <c r="BB340" s="15" t="s">
        <v>3123</v>
      </c>
      <c r="BC340" s="17"/>
      <c r="BD340" s="14"/>
      <c r="BE340" s="14"/>
      <c r="BF340" s="16"/>
      <c r="BG340" s="16"/>
      <c r="BH340" s="13"/>
      <c r="BI340" s="18" t="s">
        <v>9001</v>
      </c>
      <c r="BJ340" s="13">
        <v>200</v>
      </c>
      <c r="BK340" s="17">
        <v>44125</v>
      </c>
      <c r="BL340" s="18" t="s">
        <v>9002</v>
      </c>
      <c r="BM340" s="18" t="s">
        <v>9003</v>
      </c>
      <c r="BN340" s="18"/>
      <c r="BO340" s="18" t="s">
        <v>9004</v>
      </c>
      <c r="BP340" s="14" t="s">
        <v>9005</v>
      </c>
      <c r="BQ340" s="17">
        <v>43020</v>
      </c>
      <c r="BR340" s="16"/>
      <c r="BS340" s="17"/>
      <c r="BT340" s="16"/>
      <c r="BU340" s="17"/>
      <c r="BV340" s="16"/>
      <c r="BW340" s="17"/>
      <c r="BX340" s="16"/>
      <c r="BY340" s="17"/>
      <c r="BZ340" s="19">
        <v>27.403588402043439</v>
      </c>
      <c r="CA340" s="19"/>
      <c r="CB340" s="17"/>
      <c r="CC340" s="14" t="s">
        <v>5345</v>
      </c>
      <c r="CD340" s="14" t="s">
        <v>7272</v>
      </c>
      <c r="CE340" s="14" t="s">
        <v>5945</v>
      </c>
    </row>
    <row r="341" spans="1:83" ht="26.15" customHeight="1">
      <c r="A341" s="13">
        <v>335</v>
      </c>
      <c r="B341" s="14" t="s">
        <v>1728</v>
      </c>
      <c r="C341" s="14" t="s">
        <v>1729</v>
      </c>
      <c r="D341" s="14" t="s">
        <v>1733</v>
      </c>
      <c r="E341" s="13">
        <v>2015</v>
      </c>
      <c r="F341" s="14" t="s">
        <v>7307</v>
      </c>
      <c r="G341" s="14" t="s">
        <v>5267</v>
      </c>
      <c r="H341" s="14" t="s">
        <v>2057</v>
      </c>
      <c r="I341" s="15" t="s">
        <v>3117</v>
      </c>
      <c r="J341" s="16"/>
      <c r="K341" s="17">
        <v>43208</v>
      </c>
      <c r="L341" s="16"/>
      <c r="M341" s="16" t="s">
        <v>50</v>
      </c>
      <c r="N341" s="14" t="s">
        <v>109</v>
      </c>
      <c r="O341" s="13">
        <v>2</v>
      </c>
      <c r="P341" s="17">
        <v>44081</v>
      </c>
      <c r="Q341" s="14"/>
      <c r="R341" s="17"/>
      <c r="S341" s="17"/>
      <c r="T341" s="14" t="s">
        <v>1</v>
      </c>
      <c r="U341" s="14" t="s">
        <v>5084</v>
      </c>
      <c r="V341" s="14" t="s">
        <v>6268</v>
      </c>
      <c r="W341" s="14"/>
      <c r="X341" s="14" t="s">
        <v>7308</v>
      </c>
      <c r="Y341" s="14"/>
      <c r="Z341" s="14" t="s">
        <v>7309</v>
      </c>
      <c r="AA341" s="14"/>
      <c r="AB341" s="14" t="s">
        <v>2057</v>
      </c>
      <c r="AC341" s="14"/>
      <c r="AD341" s="14"/>
      <c r="AE341" s="14" t="s">
        <v>7310</v>
      </c>
      <c r="AF341" s="14"/>
      <c r="AG341" s="14"/>
      <c r="AH341" s="18"/>
      <c r="AI341" s="16"/>
      <c r="AJ341" s="17"/>
      <c r="AK341" s="15" t="s">
        <v>3123</v>
      </c>
      <c r="AL341" s="17"/>
      <c r="AM341" s="16"/>
      <c r="AN341" s="14"/>
      <c r="AO341" s="14"/>
      <c r="AP341" s="15" t="s">
        <v>3123</v>
      </c>
      <c r="AQ341" s="14"/>
      <c r="AR341" s="17"/>
      <c r="AS341" s="16"/>
      <c r="AT341" s="14"/>
      <c r="AU341" s="15" t="s">
        <v>3123</v>
      </c>
      <c r="AV341" s="14"/>
      <c r="AW341" s="17"/>
      <c r="AX341" s="16"/>
      <c r="AY341" s="16"/>
      <c r="AZ341" s="16"/>
      <c r="BA341" s="16"/>
      <c r="BB341" s="15" t="s">
        <v>3123</v>
      </c>
      <c r="BC341" s="17"/>
      <c r="BD341" s="14"/>
      <c r="BE341" s="14"/>
      <c r="BF341" s="16"/>
      <c r="BG341" s="16"/>
      <c r="BH341" s="13"/>
      <c r="BI341" s="18" t="s">
        <v>7311</v>
      </c>
      <c r="BJ341" s="13">
        <v>200</v>
      </c>
      <c r="BK341" s="17">
        <v>44125</v>
      </c>
      <c r="BL341" s="18"/>
      <c r="BM341" s="18"/>
      <c r="BN341" s="18"/>
      <c r="BO341" s="18"/>
      <c r="BP341" s="14" t="s">
        <v>7312</v>
      </c>
      <c r="BQ341" s="17">
        <v>42969</v>
      </c>
      <c r="BR341" s="16"/>
      <c r="BS341" s="17"/>
      <c r="BT341" s="16"/>
      <c r="BU341" s="17"/>
      <c r="BV341" s="16"/>
      <c r="BW341" s="17"/>
      <c r="BX341" s="16"/>
      <c r="BY341" s="17"/>
      <c r="BZ341" s="19">
        <v>14.789998799106609</v>
      </c>
      <c r="CA341" s="19"/>
      <c r="CB341" s="17"/>
      <c r="CC341" s="14" t="s">
        <v>5104</v>
      </c>
      <c r="CD341" s="14" t="s">
        <v>5962</v>
      </c>
      <c r="CE341" s="14" t="s">
        <v>5945</v>
      </c>
    </row>
    <row r="342" spans="1:83" ht="26.15" customHeight="1">
      <c r="A342" s="13">
        <v>336</v>
      </c>
      <c r="B342" s="14" t="s">
        <v>1448</v>
      </c>
      <c r="C342" s="14" t="s">
        <v>1449</v>
      </c>
      <c r="D342" s="14" t="s">
        <v>1451</v>
      </c>
      <c r="E342" s="13">
        <v>2016</v>
      </c>
      <c r="F342" s="14" t="s">
        <v>7313</v>
      </c>
      <c r="G342" s="14" t="s">
        <v>5039</v>
      </c>
      <c r="H342" s="14" t="s">
        <v>3994</v>
      </c>
      <c r="I342" s="15" t="s">
        <v>3117</v>
      </c>
      <c r="J342" s="16">
        <v>114859</v>
      </c>
      <c r="K342" s="17">
        <v>43355</v>
      </c>
      <c r="L342" s="16"/>
      <c r="M342" s="16" t="s">
        <v>50</v>
      </c>
      <c r="N342" s="14" t="s">
        <v>34</v>
      </c>
      <c r="O342" s="13">
        <v>4</v>
      </c>
      <c r="P342" s="17">
        <v>44018</v>
      </c>
      <c r="Q342" s="14"/>
      <c r="R342" s="17"/>
      <c r="S342" s="17"/>
      <c r="T342" s="14" t="s">
        <v>4995</v>
      </c>
      <c r="U342" s="14" t="s">
        <v>5578</v>
      </c>
      <c r="V342" s="14" t="s">
        <v>7314</v>
      </c>
      <c r="W342" s="14"/>
      <c r="X342" s="14" t="s">
        <v>7315</v>
      </c>
      <c r="Y342" s="14" t="s">
        <v>1925</v>
      </c>
      <c r="Z342" s="14" t="s">
        <v>7316</v>
      </c>
      <c r="AA342" s="14"/>
      <c r="AB342" s="14" t="s">
        <v>3994</v>
      </c>
      <c r="AC342" s="14" t="s">
        <v>7317</v>
      </c>
      <c r="AD342" s="14" t="s">
        <v>7318</v>
      </c>
      <c r="AE342" s="14" t="s">
        <v>7319</v>
      </c>
      <c r="AF342" s="14" t="s">
        <v>7320</v>
      </c>
      <c r="AG342" s="14" t="s">
        <v>7321</v>
      </c>
      <c r="AH342" s="18"/>
      <c r="AI342" s="16">
        <v>647200</v>
      </c>
      <c r="AJ342" s="17">
        <v>43100</v>
      </c>
      <c r="AK342" s="15" t="s">
        <v>3117</v>
      </c>
      <c r="AL342" s="17">
        <v>42598</v>
      </c>
      <c r="AM342" s="16">
        <v>1493</v>
      </c>
      <c r="AN342" s="14" t="s">
        <v>7322</v>
      </c>
      <c r="AO342" s="14" t="s">
        <v>7323</v>
      </c>
      <c r="AP342" s="15" t="s">
        <v>3123</v>
      </c>
      <c r="AQ342" s="14"/>
      <c r="AR342" s="17"/>
      <c r="AS342" s="16"/>
      <c r="AT342" s="14"/>
      <c r="AU342" s="15" t="s">
        <v>3123</v>
      </c>
      <c r="AV342" s="14"/>
      <c r="AW342" s="17"/>
      <c r="AX342" s="16"/>
      <c r="AY342" s="16"/>
      <c r="AZ342" s="16"/>
      <c r="BA342" s="16"/>
      <c r="BB342" s="15" t="s">
        <v>3123</v>
      </c>
      <c r="BC342" s="17"/>
      <c r="BD342" s="14"/>
      <c r="BE342" s="14"/>
      <c r="BF342" s="16"/>
      <c r="BG342" s="16"/>
      <c r="BH342" s="13"/>
      <c r="BI342" s="18" t="s">
        <v>7324</v>
      </c>
      <c r="BJ342" s="13">
        <v>200</v>
      </c>
      <c r="BK342" s="17">
        <v>44125</v>
      </c>
      <c r="BL342" s="18" t="s">
        <v>7325</v>
      </c>
      <c r="BM342" s="18" t="s">
        <v>7326</v>
      </c>
      <c r="BN342" s="18" t="s">
        <v>7327</v>
      </c>
      <c r="BO342" s="18"/>
      <c r="BP342" s="14" t="s">
        <v>7328</v>
      </c>
      <c r="BQ342" s="17">
        <v>43335</v>
      </c>
      <c r="BR342" s="16">
        <v>-27600</v>
      </c>
      <c r="BS342" s="17">
        <v>43100</v>
      </c>
      <c r="BT342" s="16">
        <v>-20800</v>
      </c>
      <c r="BU342" s="17">
        <v>43100</v>
      </c>
      <c r="BV342" s="16"/>
      <c r="BW342" s="17"/>
      <c r="BX342" s="16"/>
      <c r="BY342" s="17"/>
      <c r="BZ342" s="19">
        <v>38.555205465746276</v>
      </c>
      <c r="CA342" s="19"/>
      <c r="CB342" s="17"/>
      <c r="CC342" s="14" t="s">
        <v>6487</v>
      </c>
      <c r="CD342" s="14" t="s">
        <v>7329</v>
      </c>
      <c r="CE342" s="14" t="s">
        <v>5004</v>
      </c>
    </row>
    <row r="343" spans="1:83" ht="26.15" customHeight="1">
      <c r="A343" s="13">
        <v>337</v>
      </c>
      <c r="B343" s="14" t="s">
        <v>610</v>
      </c>
      <c r="C343" s="14" t="s">
        <v>611</v>
      </c>
      <c r="D343" s="14" t="s">
        <v>613</v>
      </c>
      <c r="E343" s="13">
        <v>2011</v>
      </c>
      <c r="F343" s="14" t="s">
        <v>7330</v>
      </c>
      <c r="G343" s="14" t="s">
        <v>7331</v>
      </c>
      <c r="H343" s="14" t="s">
        <v>2057</v>
      </c>
      <c r="I343" s="15" t="s">
        <v>3117</v>
      </c>
      <c r="J343" s="16">
        <v>1577228</v>
      </c>
      <c r="K343" s="17">
        <v>43823</v>
      </c>
      <c r="L343" s="16"/>
      <c r="M343" s="16" t="s">
        <v>50</v>
      </c>
      <c r="N343" s="14" t="s">
        <v>25</v>
      </c>
      <c r="O343" s="13">
        <v>3</v>
      </c>
      <c r="P343" s="17">
        <v>44081</v>
      </c>
      <c r="Q343" s="14"/>
      <c r="R343" s="17"/>
      <c r="S343" s="17"/>
      <c r="T343" s="14" t="s">
        <v>5041</v>
      </c>
      <c r="U343" s="14" t="s">
        <v>5042</v>
      </c>
      <c r="V343" s="14" t="s">
        <v>7332</v>
      </c>
      <c r="W343" s="14"/>
      <c r="X343" s="14" t="s">
        <v>7333</v>
      </c>
      <c r="Y343" s="14"/>
      <c r="Z343" s="14" t="s">
        <v>7334</v>
      </c>
      <c r="AA343" s="14"/>
      <c r="AB343" s="14" t="s">
        <v>2057</v>
      </c>
      <c r="AC343" s="14"/>
      <c r="AD343" s="14"/>
      <c r="AE343" s="14"/>
      <c r="AF343" s="14"/>
      <c r="AG343" s="14"/>
      <c r="AH343" s="18"/>
      <c r="AI343" s="16"/>
      <c r="AJ343" s="17"/>
      <c r="AK343" s="15" t="s">
        <v>3123</v>
      </c>
      <c r="AL343" s="17"/>
      <c r="AM343" s="16"/>
      <c r="AN343" s="14"/>
      <c r="AO343" s="14"/>
      <c r="AP343" s="15" t="s">
        <v>3123</v>
      </c>
      <c r="AQ343" s="14"/>
      <c r="AR343" s="17"/>
      <c r="AS343" s="16"/>
      <c r="AT343" s="14"/>
      <c r="AU343" s="15" t="s">
        <v>3123</v>
      </c>
      <c r="AV343" s="14"/>
      <c r="AW343" s="17"/>
      <c r="AX343" s="16"/>
      <c r="AY343" s="16"/>
      <c r="AZ343" s="16"/>
      <c r="BA343" s="16"/>
      <c r="BB343" s="15" t="s">
        <v>3123</v>
      </c>
      <c r="BC343" s="17"/>
      <c r="BD343" s="14"/>
      <c r="BE343" s="14"/>
      <c r="BF343" s="16"/>
      <c r="BG343" s="16"/>
      <c r="BH343" s="13"/>
      <c r="BI343" s="18" t="s">
        <v>7335</v>
      </c>
      <c r="BJ343" s="13">
        <v>200</v>
      </c>
      <c r="BK343" s="17">
        <v>44125</v>
      </c>
      <c r="BL343" s="18" t="s">
        <v>7336</v>
      </c>
      <c r="BM343" s="18"/>
      <c r="BN343" s="18"/>
      <c r="BO343" s="18"/>
      <c r="BP343" s="14" t="s">
        <v>7337</v>
      </c>
      <c r="BQ343" s="17">
        <v>42929</v>
      </c>
      <c r="BR343" s="16"/>
      <c r="BS343" s="17"/>
      <c r="BT343" s="16"/>
      <c r="BU343" s="17"/>
      <c r="BV343" s="16"/>
      <c r="BW343" s="17"/>
      <c r="BX343" s="16"/>
      <c r="BY343" s="17"/>
      <c r="BZ343" s="19">
        <v>28.412474731814701</v>
      </c>
      <c r="CA343" s="19"/>
      <c r="CB343" s="17"/>
      <c r="CC343" s="14" t="s">
        <v>5036</v>
      </c>
      <c r="CD343" s="14" t="s">
        <v>5962</v>
      </c>
      <c r="CE343" s="14" t="s">
        <v>5945</v>
      </c>
    </row>
    <row r="344" spans="1:83" ht="26.15" hidden="1" customHeight="1">
      <c r="A344" s="13">
        <v>338</v>
      </c>
      <c r="B344" s="14" t="s">
        <v>3081</v>
      </c>
      <c r="C344" s="14" t="s">
        <v>3082</v>
      </c>
      <c r="D344" s="14" t="s">
        <v>3083</v>
      </c>
      <c r="E344" s="13">
        <v>2008</v>
      </c>
      <c r="F344" s="14" t="s">
        <v>7344</v>
      </c>
      <c r="G344" s="14" t="s">
        <v>5050</v>
      </c>
      <c r="H344" s="14" t="s">
        <v>4343</v>
      </c>
      <c r="I344" s="15" t="s">
        <v>3117</v>
      </c>
      <c r="J344" s="16"/>
      <c r="K344" s="17">
        <v>40330</v>
      </c>
      <c r="L344" s="16" t="s">
        <v>9006</v>
      </c>
      <c r="M344" s="16">
        <v>640000</v>
      </c>
      <c r="N344" s="14" t="s">
        <v>5040</v>
      </c>
      <c r="O344" s="13"/>
      <c r="P344" s="17"/>
      <c r="Q344" s="14"/>
      <c r="R344" s="17"/>
      <c r="S344" s="17"/>
      <c r="T344" s="14" t="s">
        <v>1</v>
      </c>
      <c r="U344" s="14" t="s">
        <v>5007</v>
      </c>
      <c r="V344" s="14" t="s">
        <v>5192</v>
      </c>
      <c r="W344" s="14"/>
      <c r="X344" s="14" t="s">
        <v>156</v>
      </c>
      <c r="Y344" s="14"/>
      <c r="Z344" s="14" t="s">
        <v>9007</v>
      </c>
      <c r="AA344" s="14"/>
      <c r="AB344" s="14" t="s">
        <v>4343</v>
      </c>
      <c r="AC344" s="14"/>
      <c r="AD344" s="14"/>
      <c r="AE344" s="14" t="s">
        <v>9008</v>
      </c>
      <c r="AF344" s="14" t="s">
        <v>9009</v>
      </c>
      <c r="AG344" s="14" t="s">
        <v>7350</v>
      </c>
      <c r="AH344" s="18"/>
      <c r="AI344" s="16"/>
      <c r="AJ344" s="17"/>
      <c r="AK344" s="15" t="s">
        <v>3123</v>
      </c>
      <c r="AL344" s="17"/>
      <c r="AM344" s="16"/>
      <c r="AN344" s="14"/>
      <c r="AO344" s="14"/>
      <c r="AP344" s="15" t="s">
        <v>3123</v>
      </c>
      <c r="AQ344" s="14"/>
      <c r="AR344" s="17"/>
      <c r="AS344" s="16"/>
      <c r="AT344" s="14"/>
      <c r="AU344" s="15" t="s">
        <v>3123</v>
      </c>
      <c r="AV344" s="14"/>
      <c r="AW344" s="17"/>
      <c r="AX344" s="16"/>
      <c r="AY344" s="16"/>
      <c r="AZ344" s="16"/>
      <c r="BA344" s="16"/>
      <c r="BB344" s="15" t="s">
        <v>3123</v>
      </c>
      <c r="BC344" s="17"/>
      <c r="BD344" s="14"/>
      <c r="BE344" s="14"/>
      <c r="BF344" s="16"/>
      <c r="BG344" s="16"/>
      <c r="BH344" s="13"/>
      <c r="BI344" s="18" t="s">
        <v>9010</v>
      </c>
      <c r="BJ344" s="13">
        <v>301</v>
      </c>
      <c r="BK344" s="17">
        <v>44125</v>
      </c>
      <c r="BL344" s="18"/>
      <c r="BM344" s="18"/>
      <c r="BN344" s="18"/>
      <c r="BO344" s="18"/>
      <c r="BP344" s="14" t="s">
        <v>9011</v>
      </c>
      <c r="BQ344" s="17">
        <v>42929</v>
      </c>
      <c r="BR344" s="16"/>
      <c r="BS344" s="17"/>
      <c r="BT344" s="16"/>
      <c r="BU344" s="17"/>
      <c r="BV344" s="16"/>
      <c r="BW344" s="17"/>
      <c r="BX344" s="16"/>
      <c r="BY344" s="17"/>
      <c r="BZ344" s="19">
        <v>19.011560798114374</v>
      </c>
      <c r="CA344" s="19"/>
      <c r="CB344" s="17"/>
      <c r="CC344" s="14" t="s">
        <v>5345</v>
      </c>
      <c r="CD344" s="14" t="s">
        <v>7272</v>
      </c>
      <c r="CE344" s="14" t="s">
        <v>5945</v>
      </c>
    </row>
    <row r="345" spans="1:83" ht="26.15" customHeight="1">
      <c r="A345" s="13">
        <v>339</v>
      </c>
      <c r="B345" s="14" t="s">
        <v>2215</v>
      </c>
      <c r="C345" s="14" t="s">
        <v>2216</v>
      </c>
      <c r="D345" s="14" t="s">
        <v>2218</v>
      </c>
      <c r="E345" s="13">
        <v>2015</v>
      </c>
      <c r="F345" s="14" t="s">
        <v>4993</v>
      </c>
      <c r="G345" s="14" t="s">
        <v>4994</v>
      </c>
      <c r="H345" s="14" t="s">
        <v>2057</v>
      </c>
      <c r="I345" s="15" t="s">
        <v>3117</v>
      </c>
      <c r="J345" s="16">
        <v>434828</v>
      </c>
      <c r="K345" s="17">
        <v>42736</v>
      </c>
      <c r="L345" s="16" t="s">
        <v>9012</v>
      </c>
      <c r="M345" s="16">
        <v>434828</v>
      </c>
      <c r="N345" s="14" t="s">
        <v>5630</v>
      </c>
      <c r="O345" s="13"/>
      <c r="P345" s="17">
        <v>44081</v>
      </c>
      <c r="Q345" s="14"/>
      <c r="R345" s="17"/>
      <c r="S345" s="17"/>
      <c r="T345" s="14" t="s">
        <v>5947</v>
      </c>
      <c r="U345" s="14" t="s">
        <v>9013</v>
      </c>
      <c r="V345" s="14" t="s">
        <v>9014</v>
      </c>
      <c r="W345" s="14"/>
      <c r="X345" s="14" t="s">
        <v>4426</v>
      </c>
      <c r="Y345" s="14"/>
      <c r="Z345" s="14" t="s">
        <v>9015</v>
      </c>
      <c r="AA345" s="14"/>
      <c r="AB345" s="14" t="s">
        <v>2057</v>
      </c>
      <c r="AC345" s="14"/>
      <c r="AD345" s="14"/>
      <c r="AE345" s="14"/>
      <c r="AF345" s="14"/>
      <c r="AG345" s="14"/>
      <c r="AH345" s="18"/>
      <c r="AI345" s="16"/>
      <c r="AJ345" s="17"/>
      <c r="AK345" s="15" t="s">
        <v>3123</v>
      </c>
      <c r="AL345" s="17"/>
      <c r="AM345" s="16"/>
      <c r="AN345" s="14"/>
      <c r="AO345" s="14"/>
      <c r="AP345" s="15" t="s">
        <v>3123</v>
      </c>
      <c r="AQ345" s="14"/>
      <c r="AR345" s="17"/>
      <c r="AS345" s="16"/>
      <c r="AT345" s="14"/>
      <c r="AU345" s="15" t="s">
        <v>3123</v>
      </c>
      <c r="AV345" s="14"/>
      <c r="AW345" s="17"/>
      <c r="AX345" s="16"/>
      <c r="AY345" s="16"/>
      <c r="AZ345" s="16"/>
      <c r="BA345" s="16"/>
      <c r="BB345" s="15" t="s">
        <v>3117</v>
      </c>
      <c r="BC345" s="17"/>
      <c r="BD345" s="14"/>
      <c r="BE345" s="14"/>
      <c r="BF345" s="16"/>
      <c r="BG345" s="16"/>
      <c r="BH345" s="13"/>
      <c r="BI345" s="18" t="s">
        <v>9016</v>
      </c>
      <c r="BJ345" s="13">
        <v>404</v>
      </c>
      <c r="BK345" s="17">
        <v>44125</v>
      </c>
      <c r="BL345" s="18"/>
      <c r="BM345" s="18"/>
      <c r="BN345" s="18"/>
      <c r="BO345" s="18"/>
      <c r="BP345" s="14" t="s">
        <v>9017</v>
      </c>
      <c r="BQ345" s="17">
        <v>42947</v>
      </c>
      <c r="BR345" s="16"/>
      <c r="BS345" s="17"/>
      <c r="BT345" s="16"/>
      <c r="BU345" s="17"/>
      <c r="BV345" s="16"/>
      <c r="BW345" s="17"/>
      <c r="BX345" s="16"/>
      <c r="BY345" s="17"/>
      <c r="BZ345" s="19">
        <v>6.6262238856708668</v>
      </c>
      <c r="CA345" s="19"/>
      <c r="CB345" s="17"/>
      <c r="CC345" s="14" t="s">
        <v>6001</v>
      </c>
      <c r="CD345" s="14" t="s">
        <v>6002</v>
      </c>
      <c r="CE345" s="14" t="s">
        <v>5945</v>
      </c>
    </row>
    <row r="346" spans="1:83" ht="26.15" customHeight="1">
      <c r="A346" s="13">
        <v>340</v>
      </c>
      <c r="B346" s="14" t="s">
        <v>2588</v>
      </c>
      <c r="C346" s="14" t="s">
        <v>2589</v>
      </c>
      <c r="D346" s="14" t="s">
        <v>2590</v>
      </c>
      <c r="E346" s="13">
        <v>2013</v>
      </c>
      <c r="F346" s="14" t="s">
        <v>6819</v>
      </c>
      <c r="G346" s="14" t="s">
        <v>5720</v>
      </c>
      <c r="H346" s="14" t="s">
        <v>2057</v>
      </c>
      <c r="I346" s="15" t="s">
        <v>3117</v>
      </c>
      <c r="J346" s="16">
        <v>530000</v>
      </c>
      <c r="K346" s="17">
        <v>42328</v>
      </c>
      <c r="L346" s="16" t="s">
        <v>9018</v>
      </c>
      <c r="M346" s="16">
        <v>530000</v>
      </c>
      <c r="N346" s="14" t="s">
        <v>34</v>
      </c>
      <c r="O346" s="13"/>
      <c r="P346" s="17"/>
      <c r="Q346" s="14"/>
      <c r="R346" s="17"/>
      <c r="S346" s="17"/>
      <c r="T346" s="14" t="s">
        <v>5509</v>
      </c>
      <c r="U346" s="14" t="s">
        <v>5510</v>
      </c>
      <c r="V346" s="14" t="s">
        <v>7886</v>
      </c>
      <c r="W346" s="14"/>
      <c r="X346" s="14"/>
      <c r="Y346" s="14"/>
      <c r="Z346" s="14" t="s">
        <v>9019</v>
      </c>
      <c r="AA346" s="14"/>
      <c r="AB346" s="14" t="s">
        <v>2057</v>
      </c>
      <c r="AC346" s="14"/>
      <c r="AD346" s="14"/>
      <c r="AE346" s="14"/>
      <c r="AF346" s="14"/>
      <c r="AG346" s="14"/>
      <c r="AH346" s="18"/>
      <c r="AI346" s="16"/>
      <c r="AJ346" s="17"/>
      <c r="AK346" s="15" t="s">
        <v>3123</v>
      </c>
      <c r="AL346" s="17"/>
      <c r="AM346" s="16"/>
      <c r="AN346" s="14"/>
      <c r="AO346" s="14"/>
      <c r="AP346" s="15" t="s">
        <v>3123</v>
      </c>
      <c r="AQ346" s="14"/>
      <c r="AR346" s="17"/>
      <c r="AS346" s="16"/>
      <c r="AT346" s="14"/>
      <c r="AU346" s="15" t="s">
        <v>3123</v>
      </c>
      <c r="AV346" s="14"/>
      <c r="AW346" s="17"/>
      <c r="AX346" s="16"/>
      <c r="AY346" s="16"/>
      <c r="AZ346" s="16"/>
      <c r="BA346" s="16"/>
      <c r="BB346" s="15" t="s">
        <v>3123</v>
      </c>
      <c r="BC346" s="17"/>
      <c r="BD346" s="14"/>
      <c r="BE346" s="14"/>
      <c r="BF346" s="16"/>
      <c r="BG346" s="16"/>
      <c r="BH346" s="13"/>
      <c r="BI346" s="18" t="s">
        <v>9020</v>
      </c>
      <c r="BJ346" s="13">
        <v>200</v>
      </c>
      <c r="BK346" s="17">
        <v>44125</v>
      </c>
      <c r="BL346" s="18"/>
      <c r="BM346" s="18"/>
      <c r="BN346" s="18"/>
      <c r="BO346" s="18"/>
      <c r="BP346" s="14" t="s">
        <v>9021</v>
      </c>
      <c r="BQ346" s="17">
        <v>42643</v>
      </c>
      <c r="BR346" s="16"/>
      <c r="BS346" s="17"/>
      <c r="BT346" s="16"/>
      <c r="BU346" s="17"/>
      <c r="BV346" s="16"/>
      <c r="BW346" s="17"/>
      <c r="BX346" s="16"/>
      <c r="BY346" s="17"/>
      <c r="BZ346" s="19">
        <v>12.578026327642704</v>
      </c>
      <c r="CA346" s="19"/>
      <c r="CB346" s="17"/>
      <c r="CC346" s="14" t="s">
        <v>6556</v>
      </c>
      <c r="CD346" s="14" t="s">
        <v>6557</v>
      </c>
      <c r="CE346" s="14" t="s">
        <v>5945</v>
      </c>
    </row>
    <row r="347" spans="1:83" ht="26.15" customHeight="1">
      <c r="A347" s="13">
        <v>341</v>
      </c>
      <c r="B347" s="14" t="s">
        <v>2574</v>
      </c>
      <c r="C347" s="14" t="s">
        <v>2575</v>
      </c>
      <c r="D347" s="14" t="s">
        <v>2576</v>
      </c>
      <c r="E347" s="13">
        <v>2014</v>
      </c>
      <c r="F347" s="14" t="s">
        <v>5181</v>
      </c>
      <c r="G347" s="14" t="s">
        <v>5182</v>
      </c>
      <c r="H347" s="14" t="s">
        <v>2057</v>
      </c>
      <c r="I347" s="15" t="s">
        <v>3117</v>
      </c>
      <c r="J347" s="16"/>
      <c r="K347" s="17">
        <v>42335</v>
      </c>
      <c r="L347" s="16"/>
      <c r="M347" s="16" t="s">
        <v>50</v>
      </c>
      <c r="N347" s="14" t="s">
        <v>5630</v>
      </c>
      <c r="O347" s="13"/>
      <c r="P347" s="17"/>
      <c r="Q347" s="14"/>
      <c r="R347" s="17"/>
      <c r="S347" s="17"/>
      <c r="T347" s="14" t="s">
        <v>6886</v>
      </c>
      <c r="U347" s="14" t="s">
        <v>9022</v>
      </c>
      <c r="V347" s="14" t="s">
        <v>9023</v>
      </c>
      <c r="W347" s="14"/>
      <c r="X347" s="14"/>
      <c r="Y347" s="14"/>
      <c r="Z347" s="14" t="s">
        <v>9024</v>
      </c>
      <c r="AA347" s="14"/>
      <c r="AB347" s="14" t="s">
        <v>2057</v>
      </c>
      <c r="AC347" s="14"/>
      <c r="AD347" s="14"/>
      <c r="AE347" s="14"/>
      <c r="AF347" s="14"/>
      <c r="AG347" s="14"/>
      <c r="AH347" s="18"/>
      <c r="AI347" s="16"/>
      <c r="AJ347" s="17"/>
      <c r="AK347" s="15" t="s">
        <v>3123</v>
      </c>
      <c r="AL347" s="17"/>
      <c r="AM347" s="16"/>
      <c r="AN347" s="14"/>
      <c r="AO347" s="14"/>
      <c r="AP347" s="15" t="s">
        <v>3123</v>
      </c>
      <c r="AQ347" s="14"/>
      <c r="AR347" s="17"/>
      <c r="AS347" s="16"/>
      <c r="AT347" s="14"/>
      <c r="AU347" s="15" t="s">
        <v>3123</v>
      </c>
      <c r="AV347" s="14"/>
      <c r="AW347" s="17"/>
      <c r="AX347" s="16"/>
      <c r="AY347" s="16"/>
      <c r="AZ347" s="16"/>
      <c r="BA347" s="16"/>
      <c r="BB347" s="15" t="s">
        <v>3117</v>
      </c>
      <c r="BC347" s="17"/>
      <c r="BD347" s="14"/>
      <c r="BE347" s="14"/>
      <c r="BF347" s="16"/>
      <c r="BG347" s="16"/>
      <c r="BH347" s="13"/>
      <c r="BI347" s="18" t="s">
        <v>9025</v>
      </c>
      <c r="BJ347" s="13">
        <v>200</v>
      </c>
      <c r="BK347" s="17">
        <v>44125</v>
      </c>
      <c r="BL347" s="18"/>
      <c r="BM347" s="18"/>
      <c r="BN347" s="18"/>
      <c r="BO347" s="18"/>
      <c r="BP347" s="14" t="s">
        <v>9026</v>
      </c>
      <c r="BQ347" s="17">
        <v>42620</v>
      </c>
      <c r="BR347" s="16"/>
      <c r="BS347" s="17"/>
      <c r="BT347" s="16"/>
      <c r="BU347" s="17"/>
      <c r="BV347" s="16"/>
      <c r="BW347" s="17"/>
      <c r="BX347" s="16"/>
      <c r="BY347" s="17"/>
      <c r="BZ347" s="19">
        <v>5.5516449722401795</v>
      </c>
      <c r="CA347" s="19"/>
      <c r="CB347" s="17"/>
      <c r="CC347" s="14" t="s">
        <v>7606</v>
      </c>
      <c r="CD347" s="14" t="s">
        <v>7607</v>
      </c>
      <c r="CE347" s="14" t="s">
        <v>5945</v>
      </c>
    </row>
    <row r="348" spans="1:83" ht="26.15" customHeight="1">
      <c r="A348" s="13">
        <v>342</v>
      </c>
      <c r="B348" s="14" t="s">
        <v>2298</v>
      </c>
      <c r="C348" s="14" t="s">
        <v>2299</v>
      </c>
      <c r="D348" s="14" t="s">
        <v>2303</v>
      </c>
      <c r="E348" s="13">
        <v>2016</v>
      </c>
      <c r="F348" s="14" t="s">
        <v>9027</v>
      </c>
      <c r="G348" s="14" t="s">
        <v>9028</v>
      </c>
      <c r="H348" s="14" t="s">
        <v>5416</v>
      </c>
      <c r="I348" s="15" t="s">
        <v>3117</v>
      </c>
      <c r="J348" s="16">
        <v>300000</v>
      </c>
      <c r="K348" s="17">
        <v>42605</v>
      </c>
      <c r="L348" s="16" t="s">
        <v>6526</v>
      </c>
      <c r="M348" s="16">
        <v>300000</v>
      </c>
      <c r="N348" s="14" t="s">
        <v>34</v>
      </c>
      <c r="O348" s="13">
        <v>4</v>
      </c>
      <c r="P348" s="17">
        <v>44026</v>
      </c>
      <c r="Q348" s="14"/>
      <c r="R348" s="17"/>
      <c r="S348" s="17"/>
      <c r="T348" s="14" t="s">
        <v>5509</v>
      </c>
      <c r="U348" s="14" t="s">
        <v>5510</v>
      </c>
      <c r="V348" s="14" t="s">
        <v>9029</v>
      </c>
      <c r="W348" s="14"/>
      <c r="X348" s="14" t="s">
        <v>9030</v>
      </c>
      <c r="Y348" s="14"/>
      <c r="Z348" s="14" t="s">
        <v>9031</v>
      </c>
      <c r="AA348" s="14"/>
      <c r="AB348" s="14" t="s">
        <v>5416</v>
      </c>
      <c r="AC348" s="14" t="s">
        <v>9032</v>
      </c>
      <c r="AD348" s="14"/>
      <c r="AE348" s="14" t="s">
        <v>9033</v>
      </c>
      <c r="AF348" s="14" t="s">
        <v>9034</v>
      </c>
      <c r="AG348" s="14" t="s">
        <v>9035</v>
      </c>
      <c r="AH348" s="18"/>
      <c r="AI348" s="16"/>
      <c r="AJ348" s="17"/>
      <c r="AK348" s="15" t="s">
        <v>3123</v>
      </c>
      <c r="AL348" s="17"/>
      <c r="AM348" s="16"/>
      <c r="AN348" s="14"/>
      <c r="AO348" s="14"/>
      <c r="AP348" s="15" t="s">
        <v>3123</v>
      </c>
      <c r="AQ348" s="14"/>
      <c r="AR348" s="17"/>
      <c r="AS348" s="16"/>
      <c r="AT348" s="14"/>
      <c r="AU348" s="15" t="s">
        <v>3123</v>
      </c>
      <c r="AV348" s="14"/>
      <c r="AW348" s="17"/>
      <c r="AX348" s="16"/>
      <c r="AY348" s="16"/>
      <c r="AZ348" s="16"/>
      <c r="BA348" s="16"/>
      <c r="BB348" s="15" t="s">
        <v>3123</v>
      </c>
      <c r="BC348" s="17"/>
      <c r="BD348" s="14"/>
      <c r="BE348" s="14"/>
      <c r="BF348" s="16"/>
      <c r="BG348" s="16"/>
      <c r="BH348" s="13"/>
      <c r="BI348" s="18" t="s">
        <v>9036</v>
      </c>
      <c r="BJ348" s="13">
        <v>200</v>
      </c>
      <c r="BK348" s="17">
        <v>44125</v>
      </c>
      <c r="BL348" s="18" t="s">
        <v>9037</v>
      </c>
      <c r="BM348" s="18" t="s">
        <v>9038</v>
      </c>
      <c r="BN348" s="18" t="s">
        <v>9039</v>
      </c>
      <c r="BO348" s="18" t="s">
        <v>9040</v>
      </c>
      <c r="BP348" s="14" t="s">
        <v>9041</v>
      </c>
      <c r="BQ348" s="17">
        <v>42627</v>
      </c>
      <c r="BR348" s="16"/>
      <c r="BS348" s="17"/>
      <c r="BT348" s="16"/>
      <c r="BU348" s="17"/>
      <c r="BV348" s="16"/>
      <c r="BW348" s="17"/>
      <c r="BX348" s="16"/>
      <c r="BY348" s="17"/>
      <c r="BZ348" s="19">
        <v>35.502779542047641</v>
      </c>
      <c r="CA348" s="19"/>
      <c r="CB348" s="17"/>
      <c r="CC348" s="14" t="s">
        <v>6556</v>
      </c>
      <c r="CD348" s="14" t="s">
        <v>5003</v>
      </c>
      <c r="CE348" s="14" t="s">
        <v>5004</v>
      </c>
    </row>
    <row r="349" spans="1:83" ht="26.15" customHeight="1">
      <c r="A349" s="13">
        <v>343</v>
      </c>
      <c r="B349" s="14" t="s">
        <v>2073</v>
      </c>
      <c r="C349" s="14" t="s">
        <v>2074</v>
      </c>
      <c r="D349" s="14" t="s">
        <v>2076</v>
      </c>
      <c r="E349" s="13">
        <v>2015</v>
      </c>
      <c r="F349" s="14" t="s">
        <v>7378</v>
      </c>
      <c r="G349" s="14" t="s">
        <v>7379</v>
      </c>
      <c r="H349" s="14" t="s">
        <v>3468</v>
      </c>
      <c r="I349" s="15" t="s">
        <v>3117</v>
      </c>
      <c r="J349" s="16">
        <v>170000</v>
      </c>
      <c r="K349" s="17">
        <v>42887</v>
      </c>
      <c r="L349" s="16" t="s">
        <v>7149</v>
      </c>
      <c r="M349" s="16">
        <v>120000</v>
      </c>
      <c r="N349" s="14" t="s">
        <v>34</v>
      </c>
      <c r="O349" s="13">
        <v>4</v>
      </c>
      <c r="P349" s="17">
        <v>44057</v>
      </c>
      <c r="Q349" s="14"/>
      <c r="R349" s="17"/>
      <c r="S349" s="17"/>
      <c r="T349" s="14" t="s">
        <v>7380</v>
      </c>
      <c r="U349" s="14" t="s">
        <v>7381</v>
      </c>
      <c r="V349" s="14" t="s">
        <v>7382</v>
      </c>
      <c r="W349" s="14"/>
      <c r="X349" s="14" t="s">
        <v>7383</v>
      </c>
      <c r="Y349" s="14"/>
      <c r="Z349" s="14" t="s">
        <v>7384</v>
      </c>
      <c r="AA349" s="14"/>
      <c r="AB349" s="14" t="s">
        <v>3468</v>
      </c>
      <c r="AC349" s="14" t="s">
        <v>7385</v>
      </c>
      <c r="AD349" s="14"/>
      <c r="AE349" s="14" t="s">
        <v>7386</v>
      </c>
      <c r="AF349" s="14" t="s">
        <v>7387</v>
      </c>
      <c r="AG349" s="14" t="s">
        <v>7388</v>
      </c>
      <c r="AH349" s="18"/>
      <c r="AI349" s="16"/>
      <c r="AJ349" s="17"/>
      <c r="AK349" s="15" t="s">
        <v>3123</v>
      </c>
      <c r="AL349" s="17"/>
      <c r="AM349" s="16"/>
      <c r="AN349" s="14"/>
      <c r="AO349" s="14"/>
      <c r="AP349" s="15" t="s">
        <v>3123</v>
      </c>
      <c r="AQ349" s="14"/>
      <c r="AR349" s="17"/>
      <c r="AS349" s="16"/>
      <c r="AT349" s="14"/>
      <c r="AU349" s="15" t="s">
        <v>3123</v>
      </c>
      <c r="AV349" s="14"/>
      <c r="AW349" s="17"/>
      <c r="AX349" s="16"/>
      <c r="AY349" s="16"/>
      <c r="AZ349" s="16"/>
      <c r="BA349" s="16"/>
      <c r="BB349" s="15" t="s">
        <v>3123</v>
      </c>
      <c r="BC349" s="17"/>
      <c r="BD349" s="14"/>
      <c r="BE349" s="14"/>
      <c r="BF349" s="16"/>
      <c r="BG349" s="16"/>
      <c r="BH349" s="13"/>
      <c r="BI349" s="18" t="s">
        <v>7389</v>
      </c>
      <c r="BJ349" s="13">
        <v>200</v>
      </c>
      <c r="BK349" s="17">
        <v>44125</v>
      </c>
      <c r="BL349" s="18" t="s">
        <v>7390</v>
      </c>
      <c r="BM349" s="18" t="s">
        <v>7391</v>
      </c>
      <c r="BN349" s="18" t="s">
        <v>7392</v>
      </c>
      <c r="BO349" s="18"/>
      <c r="BP349" s="14" t="s">
        <v>7393</v>
      </c>
      <c r="BQ349" s="17">
        <v>42888</v>
      </c>
      <c r="BR349" s="16"/>
      <c r="BS349" s="17"/>
      <c r="BT349" s="16"/>
      <c r="BU349" s="17"/>
      <c r="BV349" s="16"/>
      <c r="BW349" s="17"/>
      <c r="BX349" s="16"/>
      <c r="BY349" s="17"/>
      <c r="BZ349" s="19">
        <v>42.539428447828634</v>
      </c>
      <c r="CA349" s="19"/>
      <c r="CB349" s="17"/>
      <c r="CC349" s="14" t="s">
        <v>5036</v>
      </c>
      <c r="CD349" s="14" t="s">
        <v>5962</v>
      </c>
      <c r="CE349" s="14" t="s">
        <v>5945</v>
      </c>
    </row>
    <row r="350" spans="1:83" ht="26.15" customHeight="1">
      <c r="A350" s="13">
        <v>344</v>
      </c>
      <c r="B350" s="14" t="s">
        <v>2288</v>
      </c>
      <c r="C350" s="14" t="s">
        <v>2288</v>
      </c>
      <c r="D350" s="14" t="s">
        <v>2289</v>
      </c>
      <c r="E350" s="13">
        <v>2016</v>
      </c>
      <c r="F350" s="14" t="s">
        <v>5522</v>
      </c>
      <c r="G350" s="14" t="s">
        <v>5523</v>
      </c>
      <c r="H350" s="14" t="s">
        <v>5524</v>
      </c>
      <c r="I350" s="15" t="s">
        <v>3117</v>
      </c>
      <c r="J350" s="16">
        <v>50000</v>
      </c>
      <c r="K350" s="17">
        <v>42620</v>
      </c>
      <c r="L350" s="16" t="s">
        <v>5425</v>
      </c>
      <c r="M350" s="16">
        <v>50000</v>
      </c>
      <c r="N350" s="14" t="s">
        <v>34</v>
      </c>
      <c r="O350" s="13"/>
      <c r="P350" s="17"/>
      <c r="Q350" s="14"/>
      <c r="R350" s="17"/>
      <c r="S350" s="17"/>
      <c r="T350" s="14" t="s">
        <v>1</v>
      </c>
      <c r="U350" s="14" t="s">
        <v>5007</v>
      </c>
      <c r="V350" s="14" t="s">
        <v>5192</v>
      </c>
      <c r="W350" s="14"/>
      <c r="X350" s="14" t="s">
        <v>9042</v>
      </c>
      <c r="Y350" s="14"/>
      <c r="Z350" s="14" t="s">
        <v>9043</v>
      </c>
      <c r="AA350" s="14"/>
      <c r="AB350" s="14" t="s">
        <v>5524</v>
      </c>
      <c r="AC350" s="14" t="s">
        <v>9044</v>
      </c>
      <c r="AD350" s="14"/>
      <c r="AE350" s="14" t="s">
        <v>9045</v>
      </c>
      <c r="AF350" s="14" t="s">
        <v>9046</v>
      </c>
      <c r="AG350" s="14" t="s">
        <v>9047</v>
      </c>
      <c r="AH350" s="18"/>
      <c r="AI350" s="16"/>
      <c r="AJ350" s="17"/>
      <c r="AK350" s="15" t="s">
        <v>3123</v>
      </c>
      <c r="AL350" s="17"/>
      <c r="AM350" s="16"/>
      <c r="AN350" s="14"/>
      <c r="AO350" s="14"/>
      <c r="AP350" s="15" t="s">
        <v>3123</v>
      </c>
      <c r="AQ350" s="14"/>
      <c r="AR350" s="17"/>
      <c r="AS350" s="16"/>
      <c r="AT350" s="14"/>
      <c r="AU350" s="15" t="s">
        <v>3123</v>
      </c>
      <c r="AV350" s="14"/>
      <c r="AW350" s="17"/>
      <c r="AX350" s="16"/>
      <c r="AY350" s="16"/>
      <c r="AZ350" s="16"/>
      <c r="BA350" s="16"/>
      <c r="BB350" s="15" t="s">
        <v>3123</v>
      </c>
      <c r="BC350" s="17"/>
      <c r="BD350" s="14"/>
      <c r="BE350" s="14"/>
      <c r="BF350" s="16"/>
      <c r="BG350" s="16"/>
      <c r="BH350" s="13"/>
      <c r="BI350" s="18" t="s">
        <v>9048</v>
      </c>
      <c r="BJ350" s="13">
        <v>200</v>
      </c>
      <c r="BK350" s="17">
        <v>44125</v>
      </c>
      <c r="BL350" s="18"/>
      <c r="BM350" s="18" t="s">
        <v>9049</v>
      </c>
      <c r="BN350" s="18" t="s">
        <v>9050</v>
      </c>
      <c r="BO350" s="18"/>
      <c r="BP350" s="14" t="s">
        <v>9051</v>
      </c>
      <c r="BQ350" s="17">
        <v>42930</v>
      </c>
      <c r="BR350" s="16"/>
      <c r="BS350" s="17"/>
      <c r="BT350" s="16"/>
      <c r="BU350" s="17"/>
      <c r="BV350" s="16"/>
      <c r="BW350" s="17"/>
      <c r="BX350" s="16"/>
      <c r="BY350" s="17"/>
      <c r="BZ350" s="19">
        <v>24.496738229963075</v>
      </c>
      <c r="CA350" s="19"/>
      <c r="CB350" s="17"/>
      <c r="CC350" s="14" t="s">
        <v>5345</v>
      </c>
      <c r="CD350" s="14" t="s">
        <v>7272</v>
      </c>
      <c r="CE350" s="14" t="s">
        <v>5945</v>
      </c>
    </row>
    <row r="351" spans="1:83" ht="26.15" customHeight="1">
      <c r="A351" s="13">
        <v>345</v>
      </c>
      <c r="B351" s="14" t="s">
        <v>259</v>
      </c>
      <c r="C351" s="14" t="s">
        <v>260</v>
      </c>
      <c r="D351" s="14" t="s">
        <v>264</v>
      </c>
      <c r="E351" s="13">
        <v>2013</v>
      </c>
      <c r="F351" s="14" t="s">
        <v>5038</v>
      </c>
      <c r="G351" s="14" t="s">
        <v>5039</v>
      </c>
      <c r="H351" s="14" t="s">
        <v>3994</v>
      </c>
      <c r="I351" s="15" t="s">
        <v>3117</v>
      </c>
      <c r="J351" s="16">
        <v>5345286</v>
      </c>
      <c r="K351" s="17">
        <v>44019</v>
      </c>
      <c r="L351" s="16" t="s">
        <v>5022</v>
      </c>
      <c r="M351" s="16">
        <v>2000000</v>
      </c>
      <c r="N351" s="14" t="s">
        <v>34</v>
      </c>
      <c r="O351" s="13">
        <v>4</v>
      </c>
      <c r="P351" s="17">
        <v>44022</v>
      </c>
      <c r="Q351" s="14" t="s">
        <v>5052</v>
      </c>
      <c r="R351" s="17">
        <v>43537</v>
      </c>
      <c r="S351" s="17">
        <v>43525</v>
      </c>
      <c r="T351" s="14" t="s">
        <v>1</v>
      </c>
      <c r="U351" s="14" t="s">
        <v>5007</v>
      </c>
      <c r="V351" s="14" t="s">
        <v>5192</v>
      </c>
      <c r="W351" s="14"/>
      <c r="X351" s="14" t="s">
        <v>7394</v>
      </c>
      <c r="Y351" s="14" t="s">
        <v>7395</v>
      </c>
      <c r="Z351" s="14" t="s">
        <v>7396</v>
      </c>
      <c r="AA351" s="14"/>
      <c r="AB351" s="14" t="s">
        <v>3994</v>
      </c>
      <c r="AC351" s="14" t="s">
        <v>7397</v>
      </c>
      <c r="AD351" s="14" t="s">
        <v>7398</v>
      </c>
      <c r="AE351" s="14" t="s">
        <v>7399</v>
      </c>
      <c r="AF351" s="14" t="s">
        <v>7400</v>
      </c>
      <c r="AG351" s="14" t="s">
        <v>7401</v>
      </c>
      <c r="AH351" s="18"/>
      <c r="AI351" s="16">
        <v>244200</v>
      </c>
      <c r="AJ351" s="17">
        <v>43465</v>
      </c>
      <c r="AK351" s="15" t="s">
        <v>3117</v>
      </c>
      <c r="AL351" s="17">
        <v>41597</v>
      </c>
      <c r="AM351" s="16">
        <v>1599</v>
      </c>
      <c r="AN351" s="14" t="s">
        <v>7402</v>
      </c>
      <c r="AO351" s="14"/>
      <c r="AP351" s="15" t="s">
        <v>3123</v>
      </c>
      <c r="AQ351" s="14"/>
      <c r="AR351" s="17"/>
      <c r="AS351" s="16"/>
      <c r="AT351" s="14"/>
      <c r="AU351" s="15" t="s">
        <v>3123</v>
      </c>
      <c r="AV351" s="14"/>
      <c r="AW351" s="17"/>
      <c r="AX351" s="16"/>
      <c r="AY351" s="16"/>
      <c r="AZ351" s="16"/>
      <c r="BA351" s="16"/>
      <c r="BB351" s="15" t="s">
        <v>3123</v>
      </c>
      <c r="BC351" s="17"/>
      <c r="BD351" s="14"/>
      <c r="BE351" s="14"/>
      <c r="BF351" s="16"/>
      <c r="BG351" s="16"/>
      <c r="BH351" s="13"/>
      <c r="BI351" s="18" t="s">
        <v>7403</v>
      </c>
      <c r="BJ351" s="13">
        <v>200</v>
      </c>
      <c r="BK351" s="17">
        <v>44125</v>
      </c>
      <c r="BL351" s="18" t="s">
        <v>7404</v>
      </c>
      <c r="BM351" s="18" t="s">
        <v>7405</v>
      </c>
      <c r="BN351" s="18" t="s">
        <v>7406</v>
      </c>
      <c r="BO351" s="18" t="s">
        <v>7407</v>
      </c>
      <c r="BP351" s="14" t="s">
        <v>7408</v>
      </c>
      <c r="BQ351" s="17">
        <v>43019</v>
      </c>
      <c r="BR351" s="16">
        <v>-739100</v>
      </c>
      <c r="BS351" s="17">
        <v>43465</v>
      </c>
      <c r="BT351" s="16">
        <v>-662800</v>
      </c>
      <c r="BU351" s="17">
        <v>43465</v>
      </c>
      <c r="BV351" s="16">
        <v>11999320.973009994</v>
      </c>
      <c r="BW351" s="17">
        <v>44019</v>
      </c>
      <c r="BX351" s="16">
        <v>115</v>
      </c>
      <c r="BY351" s="17">
        <v>43921</v>
      </c>
      <c r="BZ351" s="19">
        <v>47.561983158256794</v>
      </c>
      <c r="CA351" s="19"/>
      <c r="CB351" s="17"/>
      <c r="CC351" s="14" t="s">
        <v>7409</v>
      </c>
      <c r="CD351" s="14" t="s">
        <v>7272</v>
      </c>
      <c r="CE351" s="14" t="s">
        <v>7194</v>
      </c>
    </row>
    <row r="352" spans="1:83" ht="26.15" hidden="1" customHeight="1">
      <c r="A352" s="13">
        <v>346</v>
      </c>
      <c r="B352" s="14" t="s">
        <v>426</v>
      </c>
      <c r="C352" s="14" t="s">
        <v>427</v>
      </c>
      <c r="D352" s="14" t="s">
        <v>430</v>
      </c>
      <c r="E352" s="13">
        <v>2014</v>
      </c>
      <c r="F352" s="14" t="s">
        <v>7250</v>
      </c>
      <c r="G352" s="14" t="s">
        <v>6004</v>
      </c>
      <c r="H352" s="14" t="s">
        <v>4343</v>
      </c>
      <c r="I352" s="15" t="s">
        <v>3117</v>
      </c>
      <c r="J352" s="16">
        <v>5000000</v>
      </c>
      <c r="K352" s="17">
        <v>43937</v>
      </c>
      <c r="L352" s="16" t="s">
        <v>5069</v>
      </c>
      <c r="M352" s="16">
        <v>3000000</v>
      </c>
      <c r="N352" s="14" t="s">
        <v>109</v>
      </c>
      <c r="O352" s="13">
        <v>5</v>
      </c>
      <c r="P352" s="17">
        <v>44081</v>
      </c>
      <c r="Q352" s="14"/>
      <c r="R352" s="17"/>
      <c r="S352" s="17"/>
      <c r="T352" s="14" t="s">
        <v>4995</v>
      </c>
      <c r="U352" s="14" t="s">
        <v>7423</v>
      </c>
      <c r="V352" s="14" t="s">
        <v>7424</v>
      </c>
      <c r="W352" s="14"/>
      <c r="X352" s="14" t="s">
        <v>7425</v>
      </c>
      <c r="Y352" s="14"/>
      <c r="Z352" s="14" t="s">
        <v>7426</v>
      </c>
      <c r="AA352" s="14"/>
      <c r="AB352" s="14" t="s">
        <v>4343</v>
      </c>
      <c r="AC352" s="14"/>
      <c r="AD352" s="14"/>
      <c r="AE352" s="14" t="s">
        <v>7427</v>
      </c>
      <c r="AF352" s="14" t="s">
        <v>7428</v>
      </c>
      <c r="AG352" s="14" t="s">
        <v>7429</v>
      </c>
      <c r="AH352" s="18" t="s">
        <v>7430</v>
      </c>
      <c r="AI352" s="16"/>
      <c r="AJ352" s="17"/>
      <c r="AK352" s="15" t="s">
        <v>3123</v>
      </c>
      <c r="AL352" s="17"/>
      <c r="AM352" s="16"/>
      <c r="AN352" s="14"/>
      <c r="AO352" s="14"/>
      <c r="AP352" s="15" t="s">
        <v>3123</v>
      </c>
      <c r="AQ352" s="14"/>
      <c r="AR352" s="17"/>
      <c r="AS352" s="16"/>
      <c r="AT352" s="14"/>
      <c r="AU352" s="15" t="s">
        <v>3123</v>
      </c>
      <c r="AV352" s="14"/>
      <c r="AW352" s="17"/>
      <c r="AX352" s="16"/>
      <c r="AY352" s="16"/>
      <c r="AZ352" s="16"/>
      <c r="BA352" s="16"/>
      <c r="BB352" s="15" t="s">
        <v>3123</v>
      </c>
      <c r="BC352" s="17"/>
      <c r="BD352" s="14"/>
      <c r="BE352" s="14"/>
      <c r="BF352" s="16"/>
      <c r="BG352" s="16"/>
      <c r="BH352" s="13"/>
      <c r="BI352" s="18" t="s">
        <v>7431</v>
      </c>
      <c r="BJ352" s="13">
        <v>200</v>
      </c>
      <c r="BK352" s="17">
        <v>44125</v>
      </c>
      <c r="BL352" s="18" t="s">
        <v>7432</v>
      </c>
      <c r="BM352" s="18" t="s">
        <v>7433</v>
      </c>
      <c r="BN352" s="18"/>
      <c r="BO352" s="18"/>
      <c r="BP352" s="14" t="s">
        <v>7434</v>
      </c>
      <c r="BQ352" s="17">
        <v>42936</v>
      </c>
      <c r="BR352" s="16"/>
      <c r="BS352" s="17"/>
      <c r="BT352" s="16"/>
      <c r="BU352" s="17"/>
      <c r="BV352" s="16"/>
      <c r="BW352" s="17"/>
      <c r="BX352" s="16"/>
      <c r="BY352" s="17"/>
      <c r="BZ352" s="19">
        <v>53.078719283078989</v>
      </c>
      <c r="CA352" s="19"/>
      <c r="CB352" s="17"/>
      <c r="CC352" s="14" t="s">
        <v>5104</v>
      </c>
      <c r="CD352" s="14" t="s">
        <v>5962</v>
      </c>
      <c r="CE352" s="14" t="s">
        <v>5945</v>
      </c>
    </row>
    <row r="353" spans="1:83" ht="26.15" customHeight="1">
      <c r="A353" s="13">
        <v>347</v>
      </c>
      <c r="B353" s="14" t="s">
        <v>2502</v>
      </c>
      <c r="C353" s="14" t="s">
        <v>2503</v>
      </c>
      <c r="D353" s="14" t="s">
        <v>2505</v>
      </c>
      <c r="E353" s="13">
        <v>2015</v>
      </c>
      <c r="F353" s="14" t="s">
        <v>4993</v>
      </c>
      <c r="G353" s="14" t="s">
        <v>4994</v>
      </c>
      <c r="H353" s="14" t="s">
        <v>2057</v>
      </c>
      <c r="I353" s="15" t="s">
        <v>3117</v>
      </c>
      <c r="J353" s="16">
        <v>781000</v>
      </c>
      <c r="K353" s="17">
        <v>42431</v>
      </c>
      <c r="L353" s="16"/>
      <c r="M353" s="16" t="s">
        <v>50</v>
      </c>
      <c r="N353" s="14" t="s">
        <v>5630</v>
      </c>
      <c r="O353" s="13"/>
      <c r="P353" s="17"/>
      <c r="Q353" s="14"/>
      <c r="R353" s="17"/>
      <c r="S353" s="17"/>
      <c r="T353" s="14" t="s">
        <v>5509</v>
      </c>
      <c r="U353" s="14" t="s">
        <v>5510</v>
      </c>
      <c r="V353" s="14" t="s">
        <v>9052</v>
      </c>
      <c r="W353" s="14"/>
      <c r="X353" s="14" t="s">
        <v>9053</v>
      </c>
      <c r="Y353" s="14"/>
      <c r="Z353" s="14" t="s">
        <v>9054</v>
      </c>
      <c r="AA353" s="14"/>
      <c r="AB353" s="14" t="s">
        <v>2057</v>
      </c>
      <c r="AC353" s="14"/>
      <c r="AD353" s="14"/>
      <c r="AE353" s="14" t="s">
        <v>9055</v>
      </c>
      <c r="AF353" s="14"/>
      <c r="AG353" s="14"/>
      <c r="AH353" s="18"/>
      <c r="AI353" s="16"/>
      <c r="AJ353" s="17"/>
      <c r="AK353" s="15" t="s">
        <v>3123</v>
      </c>
      <c r="AL353" s="17"/>
      <c r="AM353" s="16"/>
      <c r="AN353" s="14"/>
      <c r="AO353" s="14"/>
      <c r="AP353" s="15" t="s">
        <v>3123</v>
      </c>
      <c r="AQ353" s="14"/>
      <c r="AR353" s="17"/>
      <c r="AS353" s="16"/>
      <c r="AT353" s="14"/>
      <c r="AU353" s="15" t="s">
        <v>3123</v>
      </c>
      <c r="AV353" s="14"/>
      <c r="AW353" s="17"/>
      <c r="AX353" s="16"/>
      <c r="AY353" s="16"/>
      <c r="AZ353" s="16"/>
      <c r="BA353" s="16"/>
      <c r="BB353" s="15" t="s">
        <v>3117</v>
      </c>
      <c r="BC353" s="17"/>
      <c r="BD353" s="14"/>
      <c r="BE353" s="14"/>
      <c r="BF353" s="16"/>
      <c r="BG353" s="16"/>
      <c r="BH353" s="13"/>
      <c r="BI353" s="18" t="s">
        <v>9056</v>
      </c>
      <c r="BJ353" s="13">
        <v>-1</v>
      </c>
      <c r="BK353" s="17">
        <v>44125</v>
      </c>
      <c r="BL353" s="18" t="s">
        <v>9057</v>
      </c>
      <c r="BM353" s="18"/>
      <c r="BN353" s="18"/>
      <c r="BO353" s="18"/>
      <c r="BP353" s="14" t="s">
        <v>9058</v>
      </c>
      <c r="BQ353" s="17">
        <v>42643</v>
      </c>
      <c r="BR353" s="16"/>
      <c r="BS353" s="17"/>
      <c r="BT353" s="16"/>
      <c r="BU353" s="17"/>
      <c r="BV353" s="16"/>
      <c r="BW353" s="17"/>
      <c r="BX353" s="16"/>
      <c r="BY353" s="17"/>
      <c r="BZ353" s="19">
        <v>21.778961375921735</v>
      </c>
      <c r="CA353" s="19"/>
      <c r="CB353" s="17"/>
      <c r="CC353" s="14" t="s">
        <v>6556</v>
      </c>
      <c r="CD353" s="14" t="s">
        <v>9059</v>
      </c>
      <c r="CE353" s="14" t="s">
        <v>5311</v>
      </c>
    </row>
    <row r="354" spans="1:83" ht="26.15" customHeight="1">
      <c r="A354" s="13">
        <v>348</v>
      </c>
      <c r="B354" s="14" t="s">
        <v>2487</v>
      </c>
      <c r="C354" s="14" t="s">
        <v>2488</v>
      </c>
      <c r="D354" s="14" t="s">
        <v>2489</v>
      </c>
      <c r="E354" s="13">
        <v>2015</v>
      </c>
      <c r="F354" s="14" t="s">
        <v>5995</v>
      </c>
      <c r="G354" s="14" t="s">
        <v>5674</v>
      </c>
      <c r="H354" s="14" t="s">
        <v>2057</v>
      </c>
      <c r="I354" s="15" t="s">
        <v>3117</v>
      </c>
      <c r="J354" s="16">
        <v>2990000</v>
      </c>
      <c r="K354" s="17">
        <v>42459</v>
      </c>
      <c r="L354" s="16" t="s">
        <v>5069</v>
      </c>
      <c r="M354" s="16">
        <v>2994729</v>
      </c>
      <c r="N354" s="14" t="s">
        <v>34</v>
      </c>
      <c r="O354" s="13"/>
      <c r="P354" s="17"/>
      <c r="Q354" s="14"/>
      <c r="R354" s="17"/>
      <c r="S354" s="17"/>
      <c r="T354" s="14" t="s">
        <v>5041</v>
      </c>
      <c r="U354" s="14" t="s">
        <v>5042</v>
      </c>
      <c r="V354" s="14" t="s">
        <v>5486</v>
      </c>
      <c r="W354" s="14"/>
      <c r="X354" s="14"/>
      <c r="Y354" s="14"/>
      <c r="Z354" s="14" t="s">
        <v>9060</v>
      </c>
      <c r="AA354" s="14"/>
      <c r="AB354" s="14" t="s">
        <v>2057</v>
      </c>
      <c r="AC354" s="14"/>
      <c r="AD354" s="14"/>
      <c r="AE354" s="14"/>
      <c r="AF354" s="14"/>
      <c r="AG354" s="14"/>
      <c r="AH354" s="18"/>
      <c r="AI354" s="16"/>
      <c r="AJ354" s="17"/>
      <c r="AK354" s="15" t="s">
        <v>3123</v>
      </c>
      <c r="AL354" s="17"/>
      <c r="AM354" s="16"/>
      <c r="AN354" s="14"/>
      <c r="AO354" s="14"/>
      <c r="AP354" s="15" t="s">
        <v>3123</v>
      </c>
      <c r="AQ354" s="14"/>
      <c r="AR354" s="17"/>
      <c r="AS354" s="16"/>
      <c r="AT354" s="14"/>
      <c r="AU354" s="15" t="s">
        <v>3123</v>
      </c>
      <c r="AV354" s="14"/>
      <c r="AW354" s="17"/>
      <c r="AX354" s="16"/>
      <c r="AY354" s="16"/>
      <c r="AZ354" s="16"/>
      <c r="BA354" s="16"/>
      <c r="BB354" s="15" t="s">
        <v>3123</v>
      </c>
      <c r="BC354" s="17"/>
      <c r="BD354" s="14"/>
      <c r="BE354" s="14"/>
      <c r="BF354" s="16"/>
      <c r="BG354" s="16"/>
      <c r="BH354" s="13"/>
      <c r="BI354" s="18" t="s">
        <v>9061</v>
      </c>
      <c r="BJ354" s="13">
        <v>200</v>
      </c>
      <c r="BK354" s="17">
        <v>44125</v>
      </c>
      <c r="BL354" s="18"/>
      <c r="BM354" s="18"/>
      <c r="BN354" s="18"/>
      <c r="BO354" s="18"/>
      <c r="BP354" s="14" t="s">
        <v>9062</v>
      </c>
      <c r="BQ354" s="17">
        <v>42929</v>
      </c>
      <c r="BR354" s="16"/>
      <c r="BS354" s="17"/>
      <c r="BT354" s="16"/>
      <c r="BU354" s="17"/>
      <c r="BV354" s="16"/>
      <c r="BW354" s="17"/>
      <c r="BX354" s="16"/>
      <c r="BY354" s="17"/>
      <c r="BZ354" s="19">
        <v>17.730877940052888</v>
      </c>
      <c r="CA354" s="19"/>
      <c r="CB354" s="17"/>
      <c r="CC354" s="14" t="s">
        <v>5036</v>
      </c>
      <c r="CD354" s="14" t="s">
        <v>5962</v>
      </c>
      <c r="CE354" s="14" t="s">
        <v>5945</v>
      </c>
    </row>
    <row r="355" spans="1:83" ht="26.15" customHeight="1">
      <c r="A355" s="13">
        <v>349</v>
      </c>
      <c r="B355" s="14" t="s">
        <v>2139</v>
      </c>
      <c r="C355" s="14" t="s">
        <v>2140</v>
      </c>
      <c r="D355" s="14" t="s">
        <v>2142</v>
      </c>
      <c r="E355" s="13">
        <v>2015</v>
      </c>
      <c r="F355" s="14" t="s">
        <v>5995</v>
      </c>
      <c r="G355" s="14" t="s">
        <v>5674</v>
      </c>
      <c r="H355" s="14" t="s">
        <v>2057</v>
      </c>
      <c r="I355" s="15" t="s">
        <v>3117</v>
      </c>
      <c r="J355" s="16">
        <v>3100000</v>
      </c>
      <c r="K355" s="17">
        <v>42844</v>
      </c>
      <c r="L355" s="16" t="s">
        <v>5134</v>
      </c>
      <c r="M355" s="16">
        <v>1453980</v>
      </c>
      <c r="N355" s="14" t="s">
        <v>34</v>
      </c>
      <c r="O355" s="13"/>
      <c r="P355" s="17"/>
      <c r="Q355" s="14"/>
      <c r="R355" s="17"/>
      <c r="S355" s="17"/>
      <c r="T355" s="14" t="s">
        <v>5509</v>
      </c>
      <c r="U355" s="14" t="s">
        <v>5510</v>
      </c>
      <c r="V355" s="14" t="s">
        <v>7819</v>
      </c>
      <c r="W355" s="14"/>
      <c r="X355" s="14" t="s">
        <v>4360</v>
      </c>
      <c r="Y355" s="14"/>
      <c r="Z355" s="14" t="s">
        <v>9063</v>
      </c>
      <c r="AA355" s="14"/>
      <c r="AB355" s="14" t="s">
        <v>2057</v>
      </c>
      <c r="AC355" s="14"/>
      <c r="AD355" s="14"/>
      <c r="AE355" s="14"/>
      <c r="AF355" s="14"/>
      <c r="AG355" s="14"/>
      <c r="AH355" s="18"/>
      <c r="AI355" s="16"/>
      <c r="AJ355" s="17"/>
      <c r="AK355" s="15" t="s">
        <v>3123</v>
      </c>
      <c r="AL355" s="17"/>
      <c r="AM355" s="16"/>
      <c r="AN355" s="14"/>
      <c r="AO355" s="14"/>
      <c r="AP355" s="15" t="s">
        <v>3123</v>
      </c>
      <c r="AQ355" s="14"/>
      <c r="AR355" s="17"/>
      <c r="AS355" s="16"/>
      <c r="AT355" s="14"/>
      <c r="AU355" s="15" t="s">
        <v>3123</v>
      </c>
      <c r="AV355" s="14"/>
      <c r="AW355" s="17"/>
      <c r="AX355" s="16"/>
      <c r="AY355" s="16"/>
      <c r="AZ355" s="16"/>
      <c r="BA355" s="16"/>
      <c r="BB355" s="15" t="s">
        <v>3123</v>
      </c>
      <c r="BC355" s="17"/>
      <c r="BD355" s="14"/>
      <c r="BE355" s="14"/>
      <c r="BF355" s="16"/>
      <c r="BG355" s="16"/>
      <c r="BH355" s="13"/>
      <c r="BI355" s="18" t="s">
        <v>9064</v>
      </c>
      <c r="BJ355" s="13">
        <v>200</v>
      </c>
      <c r="BK355" s="17">
        <v>44125</v>
      </c>
      <c r="BL355" s="18"/>
      <c r="BM355" s="18"/>
      <c r="BN355" s="18"/>
      <c r="BO355" s="18"/>
      <c r="BP355" s="14" t="s">
        <v>9065</v>
      </c>
      <c r="BQ355" s="17">
        <v>42643</v>
      </c>
      <c r="BR355" s="16"/>
      <c r="BS355" s="17"/>
      <c r="BT355" s="16"/>
      <c r="BU355" s="17"/>
      <c r="BV355" s="16"/>
      <c r="BW355" s="17"/>
      <c r="BX355" s="16"/>
      <c r="BY355" s="17"/>
      <c r="BZ355" s="19">
        <v>13.161170222833769</v>
      </c>
      <c r="CA355" s="19"/>
      <c r="CB355" s="17"/>
      <c r="CC355" s="14" t="s">
        <v>6556</v>
      </c>
      <c r="CD355" s="14" t="s">
        <v>6731</v>
      </c>
      <c r="CE355" s="14" t="s">
        <v>6074</v>
      </c>
    </row>
    <row r="356" spans="1:83" ht="26.15" customHeight="1">
      <c r="A356" s="13">
        <v>350</v>
      </c>
      <c r="B356" s="14" t="s">
        <v>2194</v>
      </c>
      <c r="C356" s="14" t="s">
        <v>2195</v>
      </c>
      <c r="D356" s="14" t="s">
        <v>2196</v>
      </c>
      <c r="E356" s="13">
        <v>2016</v>
      </c>
      <c r="F356" s="14" t="s">
        <v>5067</v>
      </c>
      <c r="G356" s="14" t="s">
        <v>5068</v>
      </c>
      <c r="H356" s="14" t="s">
        <v>3994</v>
      </c>
      <c r="I356" s="15" t="s">
        <v>3117</v>
      </c>
      <c r="J356" s="16">
        <v>100000</v>
      </c>
      <c r="K356" s="17">
        <v>42755</v>
      </c>
      <c r="L356" s="16" t="s">
        <v>5252</v>
      </c>
      <c r="M356" s="16">
        <v>100000</v>
      </c>
      <c r="N356" s="14" t="s">
        <v>5630</v>
      </c>
      <c r="O356" s="13"/>
      <c r="P356" s="17">
        <v>44081</v>
      </c>
      <c r="Q356" s="14"/>
      <c r="R356" s="17"/>
      <c r="S356" s="17"/>
      <c r="T356" s="14" t="s">
        <v>1</v>
      </c>
      <c r="U356" s="14" t="s">
        <v>5135</v>
      </c>
      <c r="V356" s="14" t="s">
        <v>9066</v>
      </c>
      <c r="W356" s="14"/>
      <c r="X356" s="14"/>
      <c r="Y356" s="14"/>
      <c r="Z356" s="14" t="s">
        <v>9067</v>
      </c>
      <c r="AA356" s="14"/>
      <c r="AB356" s="14" t="s">
        <v>3994</v>
      </c>
      <c r="AC356" s="14"/>
      <c r="AD356" s="14" t="s">
        <v>9068</v>
      </c>
      <c r="AE356" s="14" t="s">
        <v>9069</v>
      </c>
      <c r="AF356" s="14" t="s">
        <v>9070</v>
      </c>
      <c r="AG356" s="14" t="s">
        <v>9071</v>
      </c>
      <c r="AH356" s="18"/>
      <c r="AI356" s="16"/>
      <c r="AJ356" s="17"/>
      <c r="AK356" s="15" t="s">
        <v>3123</v>
      </c>
      <c r="AL356" s="17"/>
      <c r="AM356" s="16"/>
      <c r="AN356" s="14"/>
      <c r="AO356" s="14"/>
      <c r="AP356" s="15" t="s">
        <v>3123</v>
      </c>
      <c r="AQ356" s="14"/>
      <c r="AR356" s="17"/>
      <c r="AS356" s="16"/>
      <c r="AT356" s="14"/>
      <c r="AU356" s="15" t="s">
        <v>3123</v>
      </c>
      <c r="AV356" s="14"/>
      <c r="AW356" s="17"/>
      <c r="AX356" s="16"/>
      <c r="AY356" s="16"/>
      <c r="AZ356" s="16"/>
      <c r="BA356" s="16"/>
      <c r="BB356" s="15" t="s">
        <v>3117</v>
      </c>
      <c r="BC356" s="17"/>
      <c r="BD356" s="14"/>
      <c r="BE356" s="14"/>
      <c r="BF356" s="16"/>
      <c r="BG356" s="16"/>
      <c r="BH356" s="13"/>
      <c r="BI356" s="18" t="s">
        <v>9072</v>
      </c>
      <c r="BJ356" s="13">
        <v>200</v>
      </c>
      <c r="BK356" s="17">
        <v>44126</v>
      </c>
      <c r="BL356" s="18"/>
      <c r="BM356" s="18"/>
      <c r="BN356" s="18"/>
      <c r="BO356" s="18"/>
      <c r="BP356" s="14" t="s">
        <v>9073</v>
      </c>
      <c r="BQ356" s="17">
        <v>42935</v>
      </c>
      <c r="BR356" s="16"/>
      <c r="BS356" s="17"/>
      <c r="BT356" s="16"/>
      <c r="BU356" s="17"/>
      <c r="BV356" s="16"/>
      <c r="BW356" s="17"/>
      <c r="BX356" s="16"/>
      <c r="BY356" s="17"/>
      <c r="BZ356" s="19">
        <v>6.367537405309835</v>
      </c>
      <c r="CA356" s="19"/>
      <c r="CB356" s="17"/>
      <c r="CC356" s="14" t="s">
        <v>6556</v>
      </c>
      <c r="CD356" s="14" t="s">
        <v>6557</v>
      </c>
      <c r="CE356" s="14" t="s">
        <v>5945</v>
      </c>
    </row>
    <row r="357" spans="1:83" ht="26.15" hidden="1" customHeight="1">
      <c r="A357" s="13">
        <v>351</v>
      </c>
      <c r="B357" s="14" t="s">
        <v>2804</v>
      </c>
      <c r="C357" s="14" t="s">
        <v>2805</v>
      </c>
      <c r="D357" s="14" t="s">
        <v>2807</v>
      </c>
      <c r="E357" s="13">
        <v>2008</v>
      </c>
      <c r="F357" s="14" t="s">
        <v>9074</v>
      </c>
      <c r="G357" s="14" t="s">
        <v>6004</v>
      </c>
      <c r="H357" s="14" t="s">
        <v>4343</v>
      </c>
      <c r="I357" s="15" t="s">
        <v>3117</v>
      </c>
      <c r="J357" s="16"/>
      <c r="K357" s="17">
        <v>41974</v>
      </c>
      <c r="L357" s="16"/>
      <c r="M357" s="16" t="s">
        <v>50</v>
      </c>
      <c r="N357" s="14" t="s">
        <v>5040</v>
      </c>
      <c r="O357" s="13">
        <v>2</v>
      </c>
      <c r="P357" s="17">
        <v>44000</v>
      </c>
      <c r="Q357" s="14"/>
      <c r="R357" s="17"/>
      <c r="S357" s="17"/>
      <c r="T357" s="14" t="s">
        <v>6586</v>
      </c>
      <c r="U357" s="14" t="s">
        <v>6587</v>
      </c>
      <c r="V357" s="14" t="s">
        <v>6588</v>
      </c>
      <c r="W357" s="14"/>
      <c r="X357" s="14" t="s">
        <v>3420</v>
      </c>
      <c r="Y357" s="14"/>
      <c r="Z357" s="14" t="s">
        <v>9075</v>
      </c>
      <c r="AA357" s="14"/>
      <c r="AB357" s="14" t="s">
        <v>4343</v>
      </c>
      <c r="AC357" s="14"/>
      <c r="AD357" s="14"/>
      <c r="AE357" s="14" t="s">
        <v>9076</v>
      </c>
      <c r="AF357" s="14" t="s">
        <v>9077</v>
      </c>
      <c r="AG357" s="14" t="s">
        <v>9078</v>
      </c>
      <c r="AH357" s="18"/>
      <c r="AI357" s="16"/>
      <c r="AJ357" s="17"/>
      <c r="AK357" s="15" t="s">
        <v>3123</v>
      </c>
      <c r="AL357" s="17"/>
      <c r="AM357" s="16"/>
      <c r="AN357" s="14"/>
      <c r="AO357" s="14"/>
      <c r="AP357" s="15" t="s">
        <v>3123</v>
      </c>
      <c r="AQ357" s="14"/>
      <c r="AR357" s="17"/>
      <c r="AS357" s="16"/>
      <c r="AT357" s="14"/>
      <c r="AU357" s="15" t="s">
        <v>3123</v>
      </c>
      <c r="AV357" s="14"/>
      <c r="AW357" s="17"/>
      <c r="AX357" s="16"/>
      <c r="AY357" s="16"/>
      <c r="AZ357" s="16"/>
      <c r="BA357" s="16"/>
      <c r="BB357" s="15" t="s">
        <v>3123</v>
      </c>
      <c r="BC357" s="17"/>
      <c r="BD357" s="14"/>
      <c r="BE357" s="14"/>
      <c r="BF357" s="16"/>
      <c r="BG357" s="16"/>
      <c r="BH357" s="13"/>
      <c r="BI357" s="18" t="s">
        <v>9079</v>
      </c>
      <c r="BJ357" s="13">
        <v>200</v>
      </c>
      <c r="BK357" s="17">
        <v>44124</v>
      </c>
      <c r="BL357" s="18"/>
      <c r="BM357" s="18"/>
      <c r="BN357" s="18"/>
      <c r="BO357" s="18"/>
      <c r="BP357" s="14" t="s">
        <v>9080</v>
      </c>
      <c r="BQ357" s="17">
        <v>43167</v>
      </c>
      <c r="BR357" s="16"/>
      <c r="BS357" s="17"/>
      <c r="BT357" s="16"/>
      <c r="BU357" s="17"/>
      <c r="BV357" s="16"/>
      <c r="BW357" s="17"/>
      <c r="BX357" s="16"/>
      <c r="BY357" s="17"/>
      <c r="BZ357" s="19">
        <v>14.759273757488257</v>
      </c>
      <c r="CA357" s="19"/>
      <c r="CB357" s="17"/>
      <c r="CC357" s="14" t="s">
        <v>5345</v>
      </c>
      <c r="CD357" s="14" t="s">
        <v>8809</v>
      </c>
      <c r="CE357" s="14" t="s">
        <v>5311</v>
      </c>
    </row>
    <row r="358" spans="1:83" ht="26.15" hidden="1" customHeight="1">
      <c r="A358" s="13">
        <v>352</v>
      </c>
      <c r="B358" s="14" t="s">
        <v>2854</v>
      </c>
      <c r="C358" s="14" t="s">
        <v>2855</v>
      </c>
      <c r="D358" s="14" t="s">
        <v>2856</v>
      </c>
      <c r="E358" s="13">
        <v>2009</v>
      </c>
      <c r="F358" s="14" t="s">
        <v>7250</v>
      </c>
      <c r="G358" s="14" t="s">
        <v>6004</v>
      </c>
      <c r="H358" s="14" t="s">
        <v>4343</v>
      </c>
      <c r="I358" s="15" t="s">
        <v>3117</v>
      </c>
      <c r="J358" s="16"/>
      <c r="K358" s="17">
        <v>41791</v>
      </c>
      <c r="L358" s="16" t="s">
        <v>6298</v>
      </c>
      <c r="M358" s="16">
        <v>20000</v>
      </c>
      <c r="N358" s="14" t="s">
        <v>5040</v>
      </c>
      <c r="O358" s="13"/>
      <c r="P358" s="17"/>
      <c r="Q358" s="14"/>
      <c r="R358" s="17"/>
      <c r="S358" s="17"/>
      <c r="T358" s="14" t="s">
        <v>1</v>
      </c>
      <c r="U358" s="14" t="s">
        <v>5007</v>
      </c>
      <c r="V358" s="14" t="s">
        <v>9081</v>
      </c>
      <c r="W358" s="14"/>
      <c r="X358" s="14" t="s">
        <v>4797</v>
      </c>
      <c r="Y358" s="14"/>
      <c r="Z358" s="14" t="s">
        <v>9082</v>
      </c>
      <c r="AA358" s="14"/>
      <c r="AB358" s="14" t="s">
        <v>4343</v>
      </c>
      <c r="AC358" s="14" t="s">
        <v>9083</v>
      </c>
      <c r="AD358" s="14"/>
      <c r="AE358" s="14" t="s">
        <v>9084</v>
      </c>
      <c r="AF358" s="14" t="s">
        <v>9085</v>
      </c>
      <c r="AG358" s="14" t="s">
        <v>9086</v>
      </c>
      <c r="AH358" s="18"/>
      <c r="AI358" s="16"/>
      <c r="AJ358" s="17"/>
      <c r="AK358" s="15" t="s">
        <v>3123</v>
      </c>
      <c r="AL358" s="17"/>
      <c r="AM358" s="16"/>
      <c r="AN358" s="14"/>
      <c r="AO358" s="14"/>
      <c r="AP358" s="15" t="s">
        <v>3123</v>
      </c>
      <c r="AQ358" s="14"/>
      <c r="AR358" s="17"/>
      <c r="AS358" s="16"/>
      <c r="AT358" s="14"/>
      <c r="AU358" s="15" t="s">
        <v>3123</v>
      </c>
      <c r="AV358" s="14"/>
      <c r="AW358" s="17"/>
      <c r="AX358" s="16"/>
      <c r="AY358" s="16"/>
      <c r="AZ358" s="16"/>
      <c r="BA358" s="16"/>
      <c r="BB358" s="15" t="s">
        <v>3123</v>
      </c>
      <c r="BC358" s="17"/>
      <c r="BD358" s="14"/>
      <c r="BE358" s="14"/>
      <c r="BF358" s="16"/>
      <c r="BG358" s="16"/>
      <c r="BH358" s="13"/>
      <c r="BI358" s="18" t="s">
        <v>9087</v>
      </c>
      <c r="BJ358" s="13">
        <v>200</v>
      </c>
      <c r="BK358" s="17">
        <v>44124</v>
      </c>
      <c r="BL358" s="18" t="s">
        <v>9088</v>
      </c>
      <c r="BM358" s="18"/>
      <c r="BN358" s="18" t="s">
        <v>9089</v>
      </c>
      <c r="BO358" s="18"/>
      <c r="BP358" s="14" t="s">
        <v>9090</v>
      </c>
      <c r="BQ358" s="17">
        <v>43033</v>
      </c>
      <c r="BR358" s="16"/>
      <c r="BS358" s="17"/>
      <c r="BT358" s="16"/>
      <c r="BU358" s="17"/>
      <c r="BV358" s="16"/>
      <c r="BW358" s="17"/>
      <c r="BX358" s="16"/>
      <c r="BY358" s="17"/>
      <c r="BZ358" s="19">
        <v>11.576633611752166</v>
      </c>
      <c r="CA358" s="19"/>
      <c r="CB358" s="17"/>
      <c r="CC358" s="14" t="s">
        <v>5541</v>
      </c>
      <c r="CD358" s="14" t="s">
        <v>6523</v>
      </c>
      <c r="CE358" s="14" t="s">
        <v>5945</v>
      </c>
    </row>
    <row r="359" spans="1:83" ht="26.15" customHeight="1">
      <c r="A359" s="13">
        <v>353</v>
      </c>
      <c r="B359" s="14" t="s">
        <v>160</v>
      </c>
      <c r="C359" s="14" t="s">
        <v>161</v>
      </c>
      <c r="D359" s="14" t="s">
        <v>164</v>
      </c>
      <c r="E359" s="13">
        <v>2016</v>
      </c>
      <c r="F359" s="14" t="s">
        <v>5222</v>
      </c>
      <c r="G359" s="14" t="s">
        <v>5223</v>
      </c>
      <c r="H359" s="14" t="s">
        <v>3994</v>
      </c>
      <c r="I359" s="15" t="s">
        <v>3117</v>
      </c>
      <c r="J359" s="16">
        <v>5866696</v>
      </c>
      <c r="K359" s="17">
        <v>44067</v>
      </c>
      <c r="L359" s="16" t="s">
        <v>5134</v>
      </c>
      <c r="M359" s="16">
        <v>1000000</v>
      </c>
      <c r="N359" s="14" t="s">
        <v>34</v>
      </c>
      <c r="O359" s="13">
        <v>4</v>
      </c>
      <c r="P359" s="17">
        <v>44131</v>
      </c>
      <c r="Q359" s="14" t="s">
        <v>5052</v>
      </c>
      <c r="R359" s="17">
        <v>44076</v>
      </c>
      <c r="S359" s="17">
        <v>43984</v>
      </c>
      <c r="T359" s="14" t="s">
        <v>5509</v>
      </c>
      <c r="U359" s="14" t="s">
        <v>5510</v>
      </c>
      <c r="V359" s="14" t="s">
        <v>5696</v>
      </c>
      <c r="W359" s="14"/>
      <c r="X359" s="14" t="s">
        <v>7495</v>
      </c>
      <c r="Y359" s="14" t="s">
        <v>7496</v>
      </c>
      <c r="Z359" s="14" t="s">
        <v>7497</v>
      </c>
      <c r="AA359" s="14"/>
      <c r="AB359" s="14" t="s">
        <v>3994</v>
      </c>
      <c r="AC359" s="14" t="s">
        <v>7498</v>
      </c>
      <c r="AD359" s="14" t="s">
        <v>7499</v>
      </c>
      <c r="AE359" s="14" t="s">
        <v>5584</v>
      </c>
      <c r="AF359" s="14" t="s">
        <v>5585</v>
      </c>
      <c r="AG359" s="14" t="s">
        <v>5586</v>
      </c>
      <c r="AH359" s="18"/>
      <c r="AI359" s="16">
        <v>1476300</v>
      </c>
      <c r="AJ359" s="17">
        <v>43465</v>
      </c>
      <c r="AK359" s="15" t="s">
        <v>3117</v>
      </c>
      <c r="AL359" s="17">
        <v>42504</v>
      </c>
      <c r="AM359" s="16">
        <v>1494</v>
      </c>
      <c r="AN359" s="14" t="s">
        <v>7500</v>
      </c>
      <c r="AO359" s="14"/>
      <c r="AP359" s="15" t="s">
        <v>3123</v>
      </c>
      <c r="AQ359" s="14"/>
      <c r="AR359" s="17"/>
      <c r="AS359" s="16"/>
      <c r="AT359" s="14"/>
      <c r="AU359" s="15" t="s">
        <v>3123</v>
      </c>
      <c r="AV359" s="14"/>
      <c r="AW359" s="17"/>
      <c r="AX359" s="16"/>
      <c r="AY359" s="16"/>
      <c r="AZ359" s="16"/>
      <c r="BA359" s="16"/>
      <c r="BB359" s="15" t="s">
        <v>3123</v>
      </c>
      <c r="BC359" s="17"/>
      <c r="BD359" s="14"/>
      <c r="BE359" s="14"/>
      <c r="BF359" s="16"/>
      <c r="BG359" s="16"/>
      <c r="BH359" s="13"/>
      <c r="BI359" s="18" t="s">
        <v>7501</v>
      </c>
      <c r="BJ359" s="13">
        <v>200</v>
      </c>
      <c r="BK359" s="17">
        <v>44124</v>
      </c>
      <c r="BL359" s="18" t="s">
        <v>7502</v>
      </c>
      <c r="BM359" s="18" t="s">
        <v>7503</v>
      </c>
      <c r="BN359" s="18" t="s">
        <v>7504</v>
      </c>
      <c r="BO359" s="18"/>
      <c r="BP359" s="14" t="s">
        <v>7505</v>
      </c>
      <c r="BQ359" s="17">
        <v>42734</v>
      </c>
      <c r="BR359" s="16">
        <v>-640800</v>
      </c>
      <c r="BS359" s="17">
        <v>43465</v>
      </c>
      <c r="BT359" s="16">
        <v>-618600</v>
      </c>
      <c r="BU359" s="17">
        <v>43465</v>
      </c>
      <c r="BV359" s="16">
        <v>12027711.793546043</v>
      </c>
      <c r="BW359" s="17">
        <v>44029</v>
      </c>
      <c r="BX359" s="16">
        <v>68</v>
      </c>
      <c r="BY359" s="17">
        <v>43921</v>
      </c>
      <c r="BZ359" s="19">
        <v>57.69134519474359</v>
      </c>
      <c r="CA359" s="19"/>
      <c r="CB359" s="17"/>
      <c r="CC359" s="14" t="s">
        <v>7259</v>
      </c>
      <c r="CD359" s="14" t="s">
        <v>7506</v>
      </c>
      <c r="CE359" s="14" t="s">
        <v>5004</v>
      </c>
    </row>
    <row r="360" spans="1:83" ht="26.15" customHeight="1">
      <c r="A360" s="13">
        <v>354</v>
      </c>
      <c r="B360" s="14" t="s">
        <v>2377</v>
      </c>
      <c r="C360" s="14" t="s">
        <v>2378</v>
      </c>
      <c r="D360" s="14" t="s">
        <v>2380</v>
      </c>
      <c r="E360" s="13">
        <v>2014</v>
      </c>
      <c r="F360" s="14" t="s">
        <v>5689</v>
      </c>
      <c r="G360" s="14" t="s">
        <v>5674</v>
      </c>
      <c r="H360" s="14" t="s">
        <v>2057</v>
      </c>
      <c r="I360" s="15" t="s">
        <v>3117</v>
      </c>
      <c r="J360" s="16">
        <v>5000000</v>
      </c>
      <c r="K360" s="17">
        <v>42527</v>
      </c>
      <c r="L360" s="16" t="s">
        <v>5543</v>
      </c>
      <c r="M360" s="16">
        <v>5000000</v>
      </c>
      <c r="N360" s="14" t="s">
        <v>109</v>
      </c>
      <c r="O360" s="13"/>
      <c r="P360" s="17"/>
      <c r="Q360" s="14"/>
      <c r="R360" s="17"/>
      <c r="S360" s="17"/>
      <c r="T360" s="14" t="s">
        <v>5509</v>
      </c>
      <c r="U360" s="14" t="s">
        <v>5510</v>
      </c>
      <c r="V360" s="14" t="s">
        <v>9091</v>
      </c>
      <c r="W360" s="14"/>
      <c r="X360" s="14" t="s">
        <v>9092</v>
      </c>
      <c r="Y360" s="14"/>
      <c r="Z360" s="14" t="s">
        <v>9093</v>
      </c>
      <c r="AA360" s="14"/>
      <c r="AB360" s="14" t="s">
        <v>2057</v>
      </c>
      <c r="AC360" s="14"/>
      <c r="AD360" s="14"/>
      <c r="AE360" s="14"/>
      <c r="AF360" s="14"/>
      <c r="AG360" s="14"/>
      <c r="AH360" s="18"/>
      <c r="AI360" s="16"/>
      <c r="AJ360" s="17"/>
      <c r="AK360" s="15" t="s">
        <v>3123</v>
      </c>
      <c r="AL360" s="17"/>
      <c r="AM360" s="16"/>
      <c r="AN360" s="14"/>
      <c r="AO360" s="14"/>
      <c r="AP360" s="15" t="s">
        <v>3123</v>
      </c>
      <c r="AQ360" s="14"/>
      <c r="AR360" s="17"/>
      <c r="AS360" s="16"/>
      <c r="AT360" s="14"/>
      <c r="AU360" s="15" t="s">
        <v>3123</v>
      </c>
      <c r="AV360" s="14"/>
      <c r="AW360" s="17"/>
      <c r="AX360" s="16"/>
      <c r="AY360" s="16"/>
      <c r="AZ360" s="16"/>
      <c r="BA360" s="16"/>
      <c r="BB360" s="15" t="s">
        <v>3123</v>
      </c>
      <c r="BC360" s="17"/>
      <c r="BD360" s="14" t="s">
        <v>1477</v>
      </c>
      <c r="BE360" s="14"/>
      <c r="BF360" s="16"/>
      <c r="BG360" s="16"/>
      <c r="BH360" s="13"/>
      <c r="BI360" s="18" t="s">
        <v>9094</v>
      </c>
      <c r="BJ360" s="13">
        <v>-1</v>
      </c>
      <c r="BK360" s="17">
        <v>44124</v>
      </c>
      <c r="BL360" s="18"/>
      <c r="BM360" s="18"/>
      <c r="BN360" s="18"/>
      <c r="BO360" s="18"/>
      <c r="BP360" s="14" t="s">
        <v>9095</v>
      </c>
      <c r="BQ360" s="17">
        <v>42643</v>
      </c>
      <c r="BR360" s="16"/>
      <c r="BS360" s="17"/>
      <c r="BT360" s="16"/>
      <c r="BU360" s="17"/>
      <c r="BV360" s="16"/>
      <c r="BW360" s="17"/>
      <c r="BX360" s="16"/>
      <c r="BY360" s="17"/>
      <c r="BZ360" s="19">
        <v>29.117664601955507</v>
      </c>
      <c r="CA360" s="19"/>
      <c r="CB360" s="17"/>
      <c r="CC360" s="14" t="s">
        <v>6556</v>
      </c>
      <c r="CD360" s="14" t="s">
        <v>6731</v>
      </c>
      <c r="CE360" s="14" t="s">
        <v>6074</v>
      </c>
    </row>
    <row r="361" spans="1:83" ht="26.15" customHeight="1">
      <c r="A361" s="13">
        <v>355</v>
      </c>
      <c r="B361" s="14" t="s">
        <v>2279</v>
      </c>
      <c r="C361" s="14" t="s">
        <v>2280</v>
      </c>
      <c r="D361" s="14" t="s">
        <v>2281</v>
      </c>
      <c r="E361" s="13">
        <v>2016</v>
      </c>
      <c r="F361" s="14" t="s">
        <v>5522</v>
      </c>
      <c r="G361" s="14" t="s">
        <v>5523</v>
      </c>
      <c r="H361" s="14" t="s">
        <v>5524</v>
      </c>
      <c r="I361" s="15" t="s">
        <v>3117</v>
      </c>
      <c r="J361" s="16">
        <v>50000</v>
      </c>
      <c r="K361" s="17">
        <v>42643</v>
      </c>
      <c r="L361" s="16" t="s">
        <v>5425</v>
      </c>
      <c r="M361" s="16">
        <v>50000</v>
      </c>
      <c r="N361" s="14" t="s">
        <v>34</v>
      </c>
      <c r="O361" s="13">
        <v>4</v>
      </c>
      <c r="P361" s="17">
        <v>44007</v>
      </c>
      <c r="Q361" s="14"/>
      <c r="R361" s="17"/>
      <c r="S361" s="17"/>
      <c r="T361" s="14" t="s">
        <v>9096</v>
      </c>
      <c r="U361" s="14" t="s">
        <v>9097</v>
      </c>
      <c r="V361" s="14" t="s">
        <v>9098</v>
      </c>
      <c r="W361" s="14"/>
      <c r="X361" s="14" t="s">
        <v>9042</v>
      </c>
      <c r="Y361" s="14"/>
      <c r="Z361" s="14" t="s">
        <v>9099</v>
      </c>
      <c r="AA361" s="14"/>
      <c r="AB361" s="14" t="s">
        <v>5524</v>
      </c>
      <c r="AC361" s="14" t="s">
        <v>9100</v>
      </c>
      <c r="AD361" s="14" t="s">
        <v>9101</v>
      </c>
      <c r="AE361" s="14" t="s">
        <v>9102</v>
      </c>
      <c r="AF361" s="14" t="s">
        <v>9103</v>
      </c>
      <c r="AG361" s="14" t="s">
        <v>9104</v>
      </c>
      <c r="AH361" s="18"/>
      <c r="AI361" s="16"/>
      <c r="AJ361" s="17"/>
      <c r="AK361" s="15" t="s">
        <v>3123</v>
      </c>
      <c r="AL361" s="17"/>
      <c r="AM361" s="16"/>
      <c r="AN361" s="14"/>
      <c r="AO361" s="14"/>
      <c r="AP361" s="15" t="s">
        <v>3123</v>
      </c>
      <c r="AQ361" s="14"/>
      <c r="AR361" s="17"/>
      <c r="AS361" s="16"/>
      <c r="AT361" s="14"/>
      <c r="AU361" s="15" t="s">
        <v>3123</v>
      </c>
      <c r="AV361" s="14"/>
      <c r="AW361" s="17"/>
      <c r="AX361" s="16"/>
      <c r="AY361" s="16"/>
      <c r="AZ361" s="16"/>
      <c r="BA361" s="16"/>
      <c r="BB361" s="15" t="s">
        <v>3123</v>
      </c>
      <c r="BC361" s="17"/>
      <c r="BD361" s="14"/>
      <c r="BE361" s="14"/>
      <c r="BF361" s="16"/>
      <c r="BG361" s="16"/>
      <c r="BH361" s="13"/>
      <c r="BI361" s="18" t="s">
        <v>9105</v>
      </c>
      <c r="BJ361" s="13">
        <v>200</v>
      </c>
      <c r="BK361" s="17">
        <v>44124</v>
      </c>
      <c r="BL361" s="18"/>
      <c r="BM361" s="18" t="s">
        <v>9106</v>
      </c>
      <c r="BN361" s="18" t="s">
        <v>9107</v>
      </c>
      <c r="BO361" s="18"/>
      <c r="BP361" s="14" t="s">
        <v>9108</v>
      </c>
      <c r="BQ361" s="17">
        <v>42933</v>
      </c>
      <c r="BR361" s="16"/>
      <c r="BS361" s="17"/>
      <c r="BT361" s="16"/>
      <c r="BU361" s="17"/>
      <c r="BV361" s="16"/>
      <c r="BW361" s="17"/>
      <c r="BX361" s="16"/>
      <c r="BY361" s="17"/>
      <c r="BZ361" s="19">
        <v>38.93946643807157</v>
      </c>
      <c r="CA361" s="19"/>
      <c r="CB361" s="17"/>
      <c r="CC361" s="14" t="s">
        <v>6556</v>
      </c>
      <c r="CD361" s="14" t="s">
        <v>6557</v>
      </c>
      <c r="CE361" s="14" t="s">
        <v>5945</v>
      </c>
    </row>
    <row r="362" spans="1:83" ht="26.15" customHeight="1">
      <c r="A362" s="13">
        <v>356</v>
      </c>
      <c r="B362" s="14" t="s">
        <v>251</v>
      </c>
      <c r="C362" s="14" t="s">
        <v>252</v>
      </c>
      <c r="D362" s="14" t="s">
        <v>256</v>
      </c>
      <c r="E362" s="13">
        <v>2006</v>
      </c>
      <c r="F362" s="14" t="s">
        <v>7523</v>
      </c>
      <c r="G362" s="14" t="s">
        <v>7524</v>
      </c>
      <c r="H362" s="14" t="s">
        <v>5391</v>
      </c>
      <c r="I362" s="15" t="s">
        <v>3117</v>
      </c>
      <c r="J362" s="16">
        <v>37911025</v>
      </c>
      <c r="K362" s="17">
        <v>44026</v>
      </c>
      <c r="L362" s="16" t="s">
        <v>7525</v>
      </c>
      <c r="M362" s="16">
        <v>28000000</v>
      </c>
      <c r="N362" s="14" t="s">
        <v>25</v>
      </c>
      <c r="O362" s="13">
        <v>4</v>
      </c>
      <c r="P362" s="17">
        <v>44139</v>
      </c>
      <c r="Q362" s="14" t="s">
        <v>5544</v>
      </c>
      <c r="R362" s="17">
        <v>44138</v>
      </c>
      <c r="S362" s="17">
        <v>44026</v>
      </c>
      <c r="T362" s="14" t="s">
        <v>1</v>
      </c>
      <c r="U362" s="14" t="s">
        <v>5007</v>
      </c>
      <c r="V362" s="14" t="s">
        <v>257</v>
      </c>
      <c r="W362" s="14"/>
      <c r="X362" s="14" t="s">
        <v>7526</v>
      </c>
      <c r="Y362" s="14"/>
      <c r="Z362" s="14" t="s">
        <v>7527</v>
      </c>
      <c r="AA362" s="14"/>
      <c r="AB362" s="14" t="s">
        <v>5391</v>
      </c>
      <c r="AC362" s="14" t="s">
        <v>7528</v>
      </c>
      <c r="AD362" s="14" t="s">
        <v>7529</v>
      </c>
      <c r="AE362" s="14" t="s">
        <v>7530</v>
      </c>
      <c r="AF362" s="14" t="s">
        <v>7531</v>
      </c>
      <c r="AG362" s="14" t="s">
        <v>7532</v>
      </c>
      <c r="AH362" s="18" t="s">
        <v>7533</v>
      </c>
      <c r="AI362" s="16"/>
      <c r="AJ362" s="17"/>
      <c r="AK362" s="15" t="s">
        <v>3123</v>
      </c>
      <c r="AL362" s="17"/>
      <c r="AM362" s="16"/>
      <c r="AN362" s="14"/>
      <c r="AO362" s="14"/>
      <c r="AP362" s="15" t="s">
        <v>3123</v>
      </c>
      <c r="AQ362" s="14"/>
      <c r="AR362" s="17"/>
      <c r="AS362" s="16"/>
      <c r="AT362" s="14"/>
      <c r="AU362" s="15" t="s">
        <v>3123</v>
      </c>
      <c r="AV362" s="14"/>
      <c r="AW362" s="17"/>
      <c r="AX362" s="16"/>
      <c r="AY362" s="16"/>
      <c r="AZ362" s="16"/>
      <c r="BA362" s="16"/>
      <c r="BB362" s="15" t="s">
        <v>3123</v>
      </c>
      <c r="BC362" s="17"/>
      <c r="BD362" s="14"/>
      <c r="BE362" s="14"/>
      <c r="BF362" s="16"/>
      <c r="BG362" s="16"/>
      <c r="BH362" s="13"/>
      <c r="BI362" s="18" t="s">
        <v>7534</v>
      </c>
      <c r="BJ362" s="13">
        <v>200</v>
      </c>
      <c r="BK362" s="17">
        <v>44126</v>
      </c>
      <c r="BL362" s="18" t="s">
        <v>7535</v>
      </c>
      <c r="BM362" s="18" t="s">
        <v>7536</v>
      </c>
      <c r="BN362" s="18" t="s">
        <v>7537</v>
      </c>
      <c r="BO362" s="18"/>
      <c r="BP362" s="14" t="s">
        <v>7538</v>
      </c>
      <c r="BQ362" s="17">
        <v>44138</v>
      </c>
      <c r="BR362" s="16"/>
      <c r="BS362" s="17"/>
      <c r="BT362" s="16"/>
      <c r="BU362" s="17"/>
      <c r="BV362" s="16"/>
      <c r="BW362" s="17"/>
      <c r="BX362" s="16"/>
      <c r="BY362" s="17"/>
      <c r="BZ362" s="19">
        <v>43.73103563786362</v>
      </c>
      <c r="CA362" s="19"/>
      <c r="CB362" s="17"/>
      <c r="CC362" s="14" t="s">
        <v>7409</v>
      </c>
      <c r="CD362" s="14" t="s">
        <v>7539</v>
      </c>
      <c r="CE362" s="14" t="s">
        <v>7194</v>
      </c>
    </row>
    <row r="363" spans="1:83" ht="26.15" customHeight="1">
      <c r="A363" s="13">
        <v>357</v>
      </c>
      <c r="B363" s="14" t="s">
        <v>1724</v>
      </c>
      <c r="C363" s="14" t="s">
        <v>1725</v>
      </c>
      <c r="D363" s="14" t="s">
        <v>1726</v>
      </c>
      <c r="E363" s="13">
        <v>2015</v>
      </c>
      <c r="F363" s="14" t="s">
        <v>6105</v>
      </c>
      <c r="G363" s="14" t="s">
        <v>5804</v>
      </c>
      <c r="H363" s="14" t="s">
        <v>5208</v>
      </c>
      <c r="I363" s="15" t="s">
        <v>3117</v>
      </c>
      <c r="J363" s="16">
        <v>810223</v>
      </c>
      <c r="K363" s="17">
        <v>43208</v>
      </c>
      <c r="L363" s="16" t="s">
        <v>5252</v>
      </c>
      <c r="M363" s="16">
        <v>100000</v>
      </c>
      <c r="N363" s="14" t="s">
        <v>34</v>
      </c>
      <c r="O363" s="13"/>
      <c r="P363" s="17"/>
      <c r="Q363" s="14"/>
      <c r="R363" s="17"/>
      <c r="S363" s="17"/>
      <c r="T363" s="14" t="s">
        <v>5976</v>
      </c>
      <c r="U363" s="14" t="s">
        <v>7540</v>
      </c>
      <c r="V363" s="14" t="s">
        <v>7541</v>
      </c>
      <c r="W363" s="14"/>
      <c r="X363" s="14" t="s">
        <v>7542</v>
      </c>
      <c r="Y363" s="14"/>
      <c r="Z363" s="14" t="s">
        <v>7543</v>
      </c>
      <c r="AA363" s="14"/>
      <c r="AB363" s="14" t="s">
        <v>5208</v>
      </c>
      <c r="AC363" s="14"/>
      <c r="AD363" s="14"/>
      <c r="AE363" s="14" t="s">
        <v>7544</v>
      </c>
      <c r="AF363" s="14" t="s">
        <v>7545</v>
      </c>
      <c r="AG363" s="14" t="s">
        <v>7546</v>
      </c>
      <c r="AH363" s="18"/>
      <c r="AI363" s="16"/>
      <c r="AJ363" s="17"/>
      <c r="AK363" s="15" t="s">
        <v>3123</v>
      </c>
      <c r="AL363" s="17"/>
      <c r="AM363" s="16"/>
      <c r="AN363" s="14"/>
      <c r="AO363" s="14"/>
      <c r="AP363" s="15" t="s">
        <v>3123</v>
      </c>
      <c r="AQ363" s="14"/>
      <c r="AR363" s="17"/>
      <c r="AS363" s="16"/>
      <c r="AT363" s="14"/>
      <c r="AU363" s="15" t="s">
        <v>3123</v>
      </c>
      <c r="AV363" s="14"/>
      <c r="AW363" s="17"/>
      <c r="AX363" s="16"/>
      <c r="AY363" s="16"/>
      <c r="AZ363" s="16"/>
      <c r="BA363" s="16"/>
      <c r="BB363" s="15" t="s">
        <v>3123</v>
      </c>
      <c r="BC363" s="17"/>
      <c r="BD363" s="14"/>
      <c r="BE363" s="14"/>
      <c r="BF363" s="16"/>
      <c r="BG363" s="16"/>
      <c r="BH363" s="13"/>
      <c r="BI363" s="18" t="s">
        <v>7547</v>
      </c>
      <c r="BJ363" s="13">
        <v>200</v>
      </c>
      <c r="BK363" s="17">
        <v>44124</v>
      </c>
      <c r="BL363" s="18" t="s">
        <v>7548</v>
      </c>
      <c r="BM363" s="18" t="s">
        <v>7549</v>
      </c>
      <c r="BN363" s="18"/>
      <c r="BO363" s="18"/>
      <c r="BP363" s="14" t="s">
        <v>7550</v>
      </c>
      <c r="BQ363" s="17">
        <v>42929</v>
      </c>
      <c r="BR363" s="16"/>
      <c r="BS363" s="17"/>
      <c r="BT363" s="16"/>
      <c r="BU363" s="17"/>
      <c r="BV363" s="16"/>
      <c r="BW363" s="17"/>
      <c r="BX363" s="16"/>
      <c r="BY363" s="17"/>
      <c r="BZ363" s="19">
        <v>39.992324357257338</v>
      </c>
      <c r="CA363" s="19"/>
      <c r="CB363" s="17"/>
      <c r="CC363" s="14" t="s">
        <v>7551</v>
      </c>
      <c r="CD363" s="14" t="s">
        <v>6002</v>
      </c>
      <c r="CE363" s="14" t="s">
        <v>6074</v>
      </c>
    </row>
    <row r="364" spans="1:83" ht="26.15" hidden="1" customHeight="1">
      <c r="A364" s="13">
        <v>358</v>
      </c>
      <c r="B364" s="14" t="s">
        <v>2775</v>
      </c>
      <c r="C364" s="14" t="s">
        <v>2776</v>
      </c>
      <c r="D364" s="14" t="s">
        <v>2778</v>
      </c>
      <c r="E364" s="13">
        <v>2015</v>
      </c>
      <c r="F364" s="14" t="s">
        <v>7250</v>
      </c>
      <c r="G364" s="14" t="s">
        <v>6004</v>
      </c>
      <c r="H364" s="14" t="s">
        <v>4343</v>
      </c>
      <c r="I364" s="15" t="s">
        <v>3117</v>
      </c>
      <c r="J364" s="16">
        <v>550000</v>
      </c>
      <c r="K364" s="17">
        <v>42005</v>
      </c>
      <c r="L364" s="16" t="s">
        <v>9109</v>
      </c>
      <c r="M364" s="16">
        <v>550000</v>
      </c>
      <c r="N364" s="14" t="s">
        <v>34</v>
      </c>
      <c r="O364" s="13"/>
      <c r="P364" s="17"/>
      <c r="Q364" s="14"/>
      <c r="R364" s="17"/>
      <c r="S364" s="17"/>
      <c r="T364" s="14" t="s">
        <v>1</v>
      </c>
      <c r="U364" s="14" t="s">
        <v>5135</v>
      </c>
      <c r="V364" s="14" t="s">
        <v>2779</v>
      </c>
      <c r="W364" s="14"/>
      <c r="X364" s="14" t="s">
        <v>4779</v>
      </c>
      <c r="Y364" s="14"/>
      <c r="Z364" s="14" t="s">
        <v>9110</v>
      </c>
      <c r="AA364" s="14"/>
      <c r="AB364" s="14" t="s">
        <v>4343</v>
      </c>
      <c r="AC364" s="14"/>
      <c r="AD364" s="14"/>
      <c r="AE364" s="14" t="s">
        <v>9111</v>
      </c>
      <c r="AF364" s="14" t="s">
        <v>9112</v>
      </c>
      <c r="AG364" s="14" t="s">
        <v>9113</v>
      </c>
      <c r="AH364" s="18"/>
      <c r="AI364" s="16"/>
      <c r="AJ364" s="17"/>
      <c r="AK364" s="15" t="s">
        <v>3123</v>
      </c>
      <c r="AL364" s="17"/>
      <c r="AM364" s="16"/>
      <c r="AN364" s="14"/>
      <c r="AO364" s="14"/>
      <c r="AP364" s="15" t="s">
        <v>3123</v>
      </c>
      <c r="AQ364" s="14"/>
      <c r="AR364" s="17"/>
      <c r="AS364" s="16"/>
      <c r="AT364" s="14"/>
      <c r="AU364" s="15" t="s">
        <v>3123</v>
      </c>
      <c r="AV364" s="14"/>
      <c r="AW364" s="17"/>
      <c r="AX364" s="16"/>
      <c r="AY364" s="16"/>
      <c r="AZ364" s="16"/>
      <c r="BA364" s="16"/>
      <c r="BB364" s="15" t="s">
        <v>3123</v>
      </c>
      <c r="BC364" s="17"/>
      <c r="BD364" s="14"/>
      <c r="BE364" s="14"/>
      <c r="BF364" s="16"/>
      <c r="BG364" s="16"/>
      <c r="BH364" s="13"/>
      <c r="BI364" s="18" t="s">
        <v>9114</v>
      </c>
      <c r="BJ364" s="13">
        <v>-1</v>
      </c>
      <c r="BK364" s="17">
        <v>44124</v>
      </c>
      <c r="BL364" s="18" t="s">
        <v>9115</v>
      </c>
      <c r="BM364" s="18"/>
      <c r="BN364" s="18" t="s">
        <v>9116</v>
      </c>
      <c r="BO364" s="18"/>
      <c r="BP364" s="14" t="s">
        <v>9117</v>
      </c>
      <c r="BQ364" s="17">
        <v>42934</v>
      </c>
      <c r="BR364" s="16"/>
      <c r="BS364" s="17"/>
      <c r="BT364" s="16"/>
      <c r="BU364" s="17"/>
      <c r="BV364" s="16"/>
      <c r="BW364" s="17"/>
      <c r="BX364" s="16"/>
      <c r="BY364" s="17"/>
      <c r="BZ364" s="19">
        <v>14.37300178442889</v>
      </c>
      <c r="CA364" s="19"/>
      <c r="CB364" s="17"/>
      <c r="CC364" s="14" t="s">
        <v>5345</v>
      </c>
      <c r="CD364" s="14" t="s">
        <v>7272</v>
      </c>
      <c r="CE364" s="14" t="s">
        <v>5945</v>
      </c>
    </row>
    <row r="365" spans="1:83" ht="26.15" customHeight="1">
      <c r="A365" s="13">
        <v>359</v>
      </c>
      <c r="B365" s="14" t="s">
        <v>2220</v>
      </c>
      <c r="C365" s="14" t="s">
        <v>2221</v>
      </c>
      <c r="D365" s="14" t="s">
        <v>2224</v>
      </c>
      <c r="E365" s="13">
        <v>2007</v>
      </c>
      <c r="F365" s="14" t="s">
        <v>5312</v>
      </c>
      <c r="G365" s="14" t="s">
        <v>5313</v>
      </c>
      <c r="H365" s="14" t="s">
        <v>3994</v>
      </c>
      <c r="I365" s="15" t="s">
        <v>3117</v>
      </c>
      <c r="J365" s="16">
        <v>4000000</v>
      </c>
      <c r="K365" s="17">
        <v>42736</v>
      </c>
      <c r="L365" s="16" t="s">
        <v>5456</v>
      </c>
      <c r="M365" s="16">
        <v>4000000</v>
      </c>
      <c r="N365" s="14" t="s">
        <v>109</v>
      </c>
      <c r="O365" s="13">
        <v>5</v>
      </c>
      <c r="P365" s="17">
        <v>44018</v>
      </c>
      <c r="Q365" s="14"/>
      <c r="R365" s="17"/>
      <c r="S365" s="17"/>
      <c r="T365" s="14" t="s">
        <v>1</v>
      </c>
      <c r="U365" s="14" t="s">
        <v>5007</v>
      </c>
      <c r="V365" s="14" t="s">
        <v>968</v>
      </c>
      <c r="W365" s="14"/>
      <c r="X365" s="14" t="s">
        <v>2223</v>
      </c>
      <c r="Y365" s="14"/>
      <c r="Z365" s="14" t="s">
        <v>9118</v>
      </c>
      <c r="AA365" s="14"/>
      <c r="AB365" s="14" t="s">
        <v>3994</v>
      </c>
      <c r="AC365" s="14" t="s">
        <v>9119</v>
      </c>
      <c r="AD365" s="14" t="s">
        <v>9120</v>
      </c>
      <c r="AE365" s="14" t="s">
        <v>9121</v>
      </c>
      <c r="AF365" s="14" t="s">
        <v>9122</v>
      </c>
      <c r="AG365" s="14" t="s">
        <v>9123</v>
      </c>
      <c r="AH365" s="18"/>
      <c r="AI365" s="16">
        <v>779068</v>
      </c>
      <c r="AJ365" s="17">
        <v>43465</v>
      </c>
      <c r="AK365" s="15" t="s">
        <v>3123</v>
      </c>
      <c r="AL365" s="17"/>
      <c r="AM365" s="16"/>
      <c r="AN365" s="14"/>
      <c r="AO365" s="14"/>
      <c r="AP365" s="15" t="s">
        <v>3123</v>
      </c>
      <c r="AQ365" s="14"/>
      <c r="AR365" s="17"/>
      <c r="AS365" s="16"/>
      <c r="AT365" s="14"/>
      <c r="AU365" s="15" t="s">
        <v>3123</v>
      </c>
      <c r="AV365" s="14"/>
      <c r="AW365" s="17"/>
      <c r="AX365" s="16"/>
      <c r="AY365" s="16"/>
      <c r="AZ365" s="16"/>
      <c r="BA365" s="16"/>
      <c r="BB365" s="15" t="s">
        <v>3123</v>
      </c>
      <c r="BC365" s="17"/>
      <c r="BD365" s="14"/>
      <c r="BE365" s="14"/>
      <c r="BF365" s="16"/>
      <c r="BG365" s="16"/>
      <c r="BH365" s="13"/>
      <c r="BI365" s="18" t="s">
        <v>9124</v>
      </c>
      <c r="BJ365" s="13">
        <v>200</v>
      </c>
      <c r="BK365" s="17">
        <v>44127</v>
      </c>
      <c r="BL365" s="18"/>
      <c r="BM365" s="18" t="s">
        <v>9125</v>
      </c>
      <c r="BN365" s="18" t="s">
        <v>9126</v>
      </c>
      <c r="BO365" s="18"/>
      <c r="BP365" s="14" t="s">
        <v>9127</v>
      </c>
      <c r="BQ365" s="17">
        <v>43467</v>
      </c>
      <c r="BR365" s="16">
        <v>14063</v>
      </c>
      <c r="BS365" s="17">
        <v>43465</v>
      </c>
      <c r="BT365" s="16">
        <v>273415</v>
      </c>
      <c r="BU365" s="17">
        <v>43465</v>
      </c>
      <c r="BV365" s="16"/>
      <c r="BW365" s="17"/>
      <c r="BX365" s="16">
        <v>17</v>
      </c>
      <c r="BY365" s="17">
        <v>43830</v>
      </c>
      <c r="BZ365" s="19">
        <v>33.904401189615811</v>
      </c>
      <c r="CA365" s="19"/>
      <c r="CB365" s="17"/>
      <c r="CC365" s="14" t="s">
        <v>5104</v>
      </c>
      <c r="CD365" s="14" t="s">
        <v>5439</v>
      </c>
      <c r="CE365" s="14" t="s">
        <v>5311</v>
      </c>
    </row>
    <row r="366" spans="1:83" ht="26.15" customHeight="1">
      <c r="A366" s="13">
        <v>360</v>
      </c>
      <c r="B366" s="14" t="s">
        <v>2546</v>
      </c>
      <c r="C366" s="14" t="s">
        <v>2547</v>
      </c>
      <c r="D366" s="14" t="s">
        <v>2549</v>
      </c>
      <c r="E366" s="13">
        <v>2014</v>
      </c>
      <c r="F366" s="14" t="s">
        <v>4993</v>
      </c>
      <c r="G366" s="14" t="s">
        <v>4994</v>
      </c>
      <c r="H366" s="14" t="s">
        <v>2057</v>
      </c>
      <c r="I366" s="15" t="s">
        <v>3117</v>
      </c>
      <c r="J366" s="16"/>
      <c r="K366" s="17">
        <v>42359</v>
      </c>
      <c r="L366" s="16"/>
      <c r="M366" s="16" t="s">
        <v>50</v>
      </c>
      <c r="N366" s="14" t="s">
        <v>5630</v>
      </c>
      <c r="O366" s="13"/>
      <c r="P366" s="17"/>
      <c r="Q366" s="14"/>
      <c r="R366" s="17"/>
      <c r="S366" s="17"/>
      <c r="T366" s="14" t="s">
        <v>5509</v>
      </c>
      <c r="U366" s="14" t="s">
        <v>5510</v>
      </c>
      <c r="V366" s="14" t="s">
        <v>7819</v>
      </c>
      <c r="W366" s="14"/>
      <c r="X366" s="14" t="s">
        <v>4667</v>
      </c>
      <c r="Y366" s="14"/>
      <c r="Z366" s="14" t="s">
        <v>9128</v>
      </c>
      <c r="AA366" s="14"/>
      <c r="AB366" s="14" t="s">
        <v>2057</v>
      </c>
      <c r="AC366" s="14"/>
      <c r="AD366" s="14"/>
      <c r="AE366" s="14"/>
      <c r="AF366" s="14"/>
      <c r="AG366" s="14"/>
      <c r="AH366" s="18"/>
      <c r="AI366" s="16"/>
      <c r="AJ366" s="17"/>
      <c r="AK366" s="15" t="s">
        <v>3123</v>
      </c>
      <c r="AL366" s="17"/>
      <c r="AM366" s="16"/>
      <c r="AN366" s="14"/>
      <c r="AO366" s="14"/>
      <c r="AP366" s="15" t="s">
        <v>3123</v>
      </c>
      <c r="AQ366" s="14"/>
      <c r="AR366" s="17"/>
      <c r="AS366" s="16"/>
      <c r="AT366" s="14"/>
      <c r="AU366" s="15" t="s">
        <v>3123</v>
      </c>
      <c r="AV366" s="14"/>
      <c r="AW366" s="17"/>
      <c r="AX366" s="16"/>
      <c r="AY366" s="16"/>
      <c r="AZ366" s="16"/>
      <c r="BA366" s="16"/>
      <c r="BB366" s="15" t="s">
        <v>3117</v>
      </c>
      <c r="BC366" s="17"/>
      <c r="BD366" s="14"/>
      <c r="BE366" s="14"/>
      <c r="BF366" s="16"/>
      <c r="BG366" s="16"/>
      <c r="BH366" s="13"/>
      <c r="BI366" s="18" t="s">
        <v>9129</v>
      </c>
      <c r="BJ366" s="13">
        <v>403</v>
      </c>
      <c r="BK366" s="17">
        <v>44124</v>
      </c>
      <c r="BL366" s="18"/>
      <c r="BM366" s="18"/>
      <c r="BN366" s="18"/>
      <c r="BO366" s="18"/>
      <c r="BP366" s="14" t="s">
        <v>9130</v>
      </c>
      <c r="BQ366" s="17">
        <v>42643</v>
      </c>
      <c r="BR366" s="16"/>
      <c r="BS366" s="17"/>
      <c r="BT366" s="16"/>
      <c r="BU366" s="17"/>
      <c r="BV366" s="16"/>
      <c r="BW366" s="17"/>
      <c r="BX366" s="16"/>
      <c r="BY366" s="17"/>
      <c r="BZ366" s="19">
        <v>4.3620067639029978</v>
      </c>
      <c r="CA366" s="19"/>
      <c r="CB366" s="17"/>
      <c r="CC366" s="14" t="s">
        <v>6556</v>
      </c>
      <c r="CD366" s="14" t="s">
        <v>6731</v>
      </c>
      <c r="CE366" s="14" t="s">
        <v>6074</v>
      </c>
    </row>
    <row r="367" spans="1:83" ht="26.15" customHeight="1">
      <c r="A367" s="13">
        <v>361</v>
      </c>
      <c r="B367" s="14" t="s">
        <v>2745</v>
      </c>
      <c r="C367" s="14" t="s">
        <v>2746</v>
      </c>
      <c r="D367" s="14" t="s">
        <v>2748</v>
      </c>
      <c r="E367" s="13">
        <v>2014</v>
      </c>
      <c r="F367" s="14" t="s">
        <v>7307</v>
      </c>
      <c r="G367" s="14" t="s">
        <v>5267</v>
      </c>
      <c r="H367" s="14" t="s">
        <v>2057</v>
      </c>
      <c r="I367" s="15" t="s">
        <v>3117</v>
      </c>
      <c r="J367" s="16"/>
      <c r="K367" s="17">
        <v>42083</v>
      </c>
      <c r="L367" s="16"/>
      <c r="M367" s="16" t="s">
        <v>50</v>
      </c>
      <c r="N367" s="14" t="s">
        <v>5630</v>
      </c>
      <c r="O367" s="13"/>
      <c r="P367" s="17"/>
      <c r="Q367" s="14"/>
      <c r="R367" s="17"/>
      <c r="S367" s="17"/>
      <c r="T367" s="14" t="s">
        <v>5509</v>
      </c>
      <c r="U367" s="14" t="s">
        <v>5510</v>
      </c>
      <c r="V367" s="14" t="s">
        <v>9131</v>
      </c>
      <c r="W367" s="14"/>
      <c r="X367" s="14" t="s">
        <v>4760</v>
      </c>
      <c r="Y367" s="14"/>
      <c r="Z367" s="14" t="s">
        <v>9132</v>
      </c>
      <c r="AA367" s="14"/>
      <c r="AB367" s="14" t="s">
        <v>2057</v>
      </c>
      <c r="AC367" s="14"/>
      <c r="AD367" s="14"/>
      <c r="AE367" s="14"/>
      <c r="AF367" s="14"/>
      <c r="AG367" s="14"/>
      <c r="AH367" s="18"/>
      <c r="AI367" s="16"/>
      <c r="AJ367" s="17"/>
      <c r="AK367" s="15" t="s">
        <v>3123</v>
      </c>
      <c r="AL367" s="17"/>
      <c r="AM367" s="16"/>
      <c r="AN367" s="14"/>
      <c r="AO367" s="14"/>
      <c r="AP367" s="15" t="s">
        <v>3123</v>
      </c>
      <c r="AQ367" s="14"/>
      <c r="AR367" s="17"/>
      <c r="AS367" s="16"/>
      <c r="AT367" s="14"/>
      <c r="AU367" s="15" t="s">
        <v>3123</v>
      </c>
      <c r="AV367" s="14"/>
      <c r="AW367" s="17"/>
      <c r="AX367" s="16"/>
      <c r="AY367" s="16"/>
      <c r="AZ367" s="16"/>
      <c r="BA367" s="16"/>
      <c r="BB367" s="15" t="s">
        <v>3117</v>
      </c>
      <c r="BC367" s="17"/>
      <c r="BD367" s="14"/>
      <c r="BE367" s="14"/>
      <c r="BF367" s="16"/>
      <c r="BG367" s="16"/>
      <c r="BH367" s="13"/>
      <c r="BI367" s="18" t="s">
        <v>9133</v>
      </c>
      <c r="BJ367" s="13">
        <v>-1</v>
      </c>
      <c r="BK367" s="17">
        <v>44124</v>
      </c>
      <c r="BL367" s="18"/>
      <c r="BM367" s="18"/>
      <c r="BN367" s="18"/>
      <c r="BO367" s="18"/>
      <c r="BP367" s="14" t="s">
        <v>9134</v>
      </c>
      <c r="BQ367" s="17">
        <v>42643</v>
      </c>
      <c r="BR367" s="16"/>
      <c r="BS367" s="17"/>
      <c r="BT367" s="16"/>
      <c r="BU367" s="17"/>
      <c r="BV367" s="16"/>
      <c r="BW367" s="17"/>
      <c r="BX367" s="16"/>
      <c r="BY367" s="17"/>
      <c r="BZ367" s="19">
        <v>5.3900053995502422</v>
      </c>
      <c r="CA367" s="19"/>
      <c r="CB367" s="17"/>
      <c r="CC367" s="14" t="s">
        <v>6556</v>
      </c>
      <c r="CD367" s="14" t="s">
        <v>6731</v>
      </c>
      <c r="CE367" s="14" t="s">
        <v>6074</v>
      </c>
    </row>
    <row r="368" spans="1:83" ht="26.15" customHeight="1">
      <c r="A368" s="13">
        <v>362</v>
      </c>
      <c r="B368" s="14" t="s">
        <v>2126</v>
      </c>
      <c r="C368" s="14" t="s">
        <v>2127</v>
      </c>
      <c r="D368" s="14" t="s">
        <v>2128</v>
      </c>
      <c r="E368" s="13">
        <v>2015</v>
      </c>
      <c r="F368" s="14" t="s">
        <v>4993</v>
      </c>
      <c r="G368" s="14" t="s">
        <v>4994</v>
      </c>
      <c r="H368" s="14" t="s">
        <v>2057</v>
      </c>
      <c r="I368" s="15" t="s">
        <v>3117</v>
      </c>
      <c r="J368" s="16">
        <v>2907110</v>
      </c>
      <c r="K368" s="17">
        <v>42849</v>
      </c>
      <c r="L368" s="16" t="s">
        <v>5069</v>
      </c>
      <c r="M368" s="16">
        <v>2907110</v>
      </c>
      <c r="N368" s="14" t="s">
        <v>34</v>
      </c>
      <c r="O368" s="13">
        <v>4</v>
      </c>
      <c r="P368" s="17">
        <v>44021</v>
      </c>
      <c r="Q368" s="14"/>
      <c r="R368" s="17"/>
      <c r="S368" s="17"/>
      <c r="T368" s="14" t="s">
        <v>1</v>
      </c>
      <c r="U368" s="14" t="s">
        <v>5007</v>
      </c>
      <c r="V368" s="14" t="s">
        <v>968</v>
      </c>
      <c r="W368" s="14"/>
      <c r="X368" s="14"/>
      <c r="Y368" s="14"/>
      <c r="Z368" s="14" t="s">
        <v>9135</v>
      </c>
      <c r="AA368" s="14"/>
      <c r="AB368" s="14" t="s">
        <v>2057</v>
      </c>
      <c r="AC368" s="14"/>
      <c r="AD368" s="14"/>
      <c r="AE368" s="14"/>
      <c r="AF368" s="14"/>
      <c r="AG368" s="14"/>
      <c r="AH368" s="18"/>
      <c r="AI368" s="16"/>
      <c r="AJ368" s="17"/>
      <c r="AK368" s="15" t="s">
        <v>3123</v>
      </c>
      <c r="AL368" s="17"/>
      <c r="AM368" s="16"/>
      <c r="AN368" s="14"/>
      <c r="AO368" s="14"/>
      <c r="AP368" s="15" t="s">
        <v>3123</v>
      </c>
      <c r="AQ368" s="14"/>
      <c r="AR368" s="17"/>
      <c r="AS368" s="16"/>
      <c r="AT368" s="14"/>
      <c r="AU368" s="15" t="s">
        <v>3123</v>
      </c>
      <c r="AV368" s="14"/>
      <c r="AW368" s="17"/>
      <c r="AX368" s="16"/>
      <c r="AY368" s="16"/>
      <c r="AZ368" s="16"/>
      <c r="BA368" s="16"/>
      <c r="BB368" s="15" t="s">
        <v>3123</v>
      </c>
      <c r="BC368" s="17"/>
      <c r="BD368" s="14"/>
      <c r="BE368" s="14"/>
      <c r="BF368" s="16"/>
      <c r="BG368" s="16"/>
      <c r="BH368" s="13"/>
      <c r="BI368" s="18" t="s">
        <v>9136</v>
      </c>
      <c r="BJ368" s="13">
        <v>-1</v>
      </c>
      <c r="BK368" s="17">
        <v>44124</v>
      </c>
      <c r="BL368" s="18" t="s">
        <v>9137</v>
      </c>
      <c r="BM368" s="18"/>
      <c r="BN368" s="18"/>
      <c r="BO368" s="18"/>
      <c r="BP368" s="14" t="s">
        <v>9138</v>
      </c>
      <c r="BQ368" s="17">
        <v>43032</v>
      </c>
      <c r="BR368" s="16"/>
      <c r="BS368" s="17"/>
      <c r="BT368" s="16"/>
      <c r="BU368" s="17"/>
      <c r="BV368" s="16"/>
      <c r="BW368" s="17"/>
      <c r="BX368" s="16"/>
      <c r="BY368" s="17"/>
      <c r="BZ368" s="19">
        <v>23.13476400951787</v>
      </c>
      <c r="CA368" s="19"/>
      <c r="CB368" s="17"/>
      <c r="CC368" s="14" t="s">
        <v>6487</v>
      </c>
      <c r="CD368" s="14" t="s">
        <v>5944</v>
      </c>
      <c r="CE368" s="14" t="s">
        <v>5945</v>
      </c>
    </row>
    <row r="369" spans="1:83" ht="26.15" customHeight="1">
      <c r="A369" s="13">
        <v>363</v>
      </c>
      <c r="B369" s="14" t="s">
        <v>2832</v>
      </c>
      <c r="C369" s="14" t="s">
        <v>2833</v>
      </c>
      <c r="D369" s="14" t="s">
        <v>2836</v>
      </c>
      <c r="E369" s="13">
        <v>2013</v>
      </c>
      <c r="F369" s="14" t="s">
        <v>9139</v>
      </c>
      <c r="G369" s="14" t="s">
        <v>5119</v>
      </c>
      <c r="H369" s="14" t="s">
        <v>3994</v>
      </c>
      <c r="I369" s="15" t="s">
        <v>3117</v>
      </c>
      <c r="J369" s="16"/>
      <c r="K369" s="17">
        <v>41883</v>
      </c>
      <c r="L369" s="16"/>
      <c r="M369" s="16" t="s">
        <v>50</v>
      </c>
      <c r="N369" s="14" t="s">
        <v>5040</v>
      </c>
      <c r="O369" s="13">
        <v>2</v>
      </c>
      <c r="P369" s="17">
        <v>44039</v>
      </c>
      <c r="Q369" s="14"/>
      <c r="R369" s="17"/>
      <c r="S369" s="17"/>
      <c r="T369" s="14" t="s">
        <v>9140</v>
      </c>
      <c r="U369" s="14" t="s">
        <v>9141</v>
      </c>
      <c r="V369" s="14" t="s">
        <v>9142</v>
      </c>
      <c r="W369" s="14"/>
      <c r="X369" s="14" t="s">
        <v>9143</v>
      </c>
      <c r="Y369" s="14"/>
      <c r="Z369" s="14" t="s">
        <v>9144</v>
      </c>
      <c r="AA369" s="14"/>
      <c r="AB369" s="14" t="s">
        <v>3994</v>
      </c>
      <c r="AC369" s="14" t="s">
        <v>9145</v>
      </c>
      <c r="AD369" s="14"/>
      <c r="AE369" s="14"/>
      <c r="AF369" s="14"/>
      <c r="AG369" s="14"/>
      <c r="AH369" s="18"/>
      <c r="AI369" s="16">
        <v>144300</v>
      </c>
      <c r="AJ369" s="17">
        <v>43100</v>
      </c>
      <c r="AK369" s="15" t="s">
        <v>3123</v>
      </c>
      <c r="AL369" s="17"/>
      <c r="AM369" s="16"/>
      <c r="AN369" s="14"/>
      <c r="AO369" s="14"/>
      <c r="AP369" s="15" t="s">
        <v>3123</v>
      </c>
      <c r="AQ369" s="14"/>
      <c r="AR369" s="17"/>
      <c r="AS369" s="16"/>
      <c r="AT369" s="14"/>
      <c r="AU369" s="15" t="s">
        <v>3123</v>
      </c>
      <c r="AV369" s="14"/>
      <c r="AW369" s="17"/>
      <c r="AX369" s="16"/>
      <c r="AY369" s="16"/>
      <c r="AZ369" s="16"/>
      <c r="BA369" s="16"/>
      <c r="BB369" s="15" t="s">
        <v>3123</v>
      </c>
      <c r="BC369" s="17"/>
      <c r="BD369" s="14"/>
      <c r="BE369" s="14"/>
      <c r="BF369" s="16"/>
      <c r="BG369" s="16"/>
      <c r="BH369" s="13"/>
      <c r="BI369" s="18" t="s">
        <v>9146</v>
      </c>
      <c r="BJ369" s="13">
        <v>200</v>
      </c>
      <c r="BK369" s="17">
        <v>44124</v>
      </c>
      <c r="BL369" s="18"/>
      <c r="BM369" s="18"/>
      <c r="BN369" s="18"/>
      <c r="BO369" s="18" t="s">
        <v>9147</v>
      </c>
      <c r="BP369" s="14" t="s">
        <v>9148</v>
      </c>
      <c r="BQ369" s="17">
        <v>42902</v>
      </c>
      <c r="BR369" s="16">
        <v>812</v>
      </c>
      <c r="BS369" s="17">
        <v>43100</v>
      </c>
      <c r="BT369" s="16">
        <v>9700</v>
      </c>
      <c r="BU369" s="17">
        <v>43100</v>
      </c>
      <c r="BV369" s="16"/>
      <c r="BW369" s="17"/>
      <c r="BX369" s="16"/>
      <c r="BY369" s="17"/>
      <c r="BZ369" s="19">
        <v>31.03471218865236</v>
      </c>
      <c r="CA369" s="19"/>
      <c r="CB369" s="17"/>
      <c r="CC369" s="14" t="s">
        <v>5036</v>
      </c>
      <c r="CD369" s="14" t="s">
        <v>6050</v>
      </c>
      <c r="CE369" s="14" t="s">
        <v>5994</v>
      </c>
    </row>
    <row r="370" spans="1:83" ht="26.15" customHeight="1">
      <c r="A370" s="13">
        <v>364</v>
      </c>
      <c r="B370" s="14" t="s">
        <v>1476</v>
      </c>
      <c r="C370" s="14" t="s">
        <v>1477</v>
      </c>
      <c r="D370" s="14" t="s">
        <v>1480</v>
      </c>
      <c r="E370" s="13">
        <v>2014</v>
      </c>
      <c r="F370" s="14" t="s">
        <v>7581</v>
      </c>
      <c r="G370" s="14" t="s">
        <v>7582</v>
      </c>
      <c r="H370" s="14" t="s">
        <v>2057</v>
      </c>
      <c r="I370" s="15" t="s">
        <v>3117</v>
      </c>
      <c r="J370" s="16">
        <v>6141730</v>
      </c>
      <c r="K370" s="17">
        <v>43335</v>
      </c>
      <c r="L370" s="16"/>
      <c r="M370" s="16" t="s">
        <v>50</v>
      </c>
      <c r="N370" s="14" t="s">
        <v>25</v>
      </c>
      <c r="O370" s="13"/>
      <c r="P370" s="17"/>
      <c r="Q370" s="14"/>
      <c r="R370" s="17"/>
      <c r="S370" s="17"/>
      <c r="T370" s="14" t="s">
        <v>5493</v>
      </c>
      <c r="U370" s="14" t="s">
        <v>5494</v>
      </c>
      <c r="V370" s="14" t="s">
        <v>6764</v>
      </c>
      <c r="W370" s="14"/>
      <c r="X370" s="14" t="s">
        <v>7583</v>
      </c>
      <c r="Y370" s="14"/>
      <c r="Z370" s="14" t="s">
        <v>7584</v>
      </c>
      <c r="AA370" s="14"/>
      <c r="AB370" s="14" t="s">
        <v>2057</v>
      </c>
      <c r="AC370" s="14"/>
      <c r="AD370" s="14" t="s">
        <v>7585</v>
      </c>
      <c r="AE370" s="14" t="s">
        <v>7586</v>
      </c>
      <c r="AF370" s="14"/>
      <c r="AG370" s="14"/>
      <c r="AH370" s="18"/>
      <c r="AI370" s="16"/>
      <c r="AJ370" s="17"/>
      <c r="AK370" s="15" t="s">
        <v>3123</v>
      </c>
      <c r="AL370" s="17"/>
      <c r="AM370" s="16"/>
      <c r="AN370" s="14"/>
      <c r="AO370" s="14"/>
      <c r="AP370" s="15" t="s">
        <v>3123</v>
      </c>
      <c r="AQ370" s="14"/>
      <c r="AR370" s="17"/>
      <c r="AS370" s="16"/>
      <c r="AT370" s="14"/>
      <c r="AU370" s="15" t="s">
        <v>3123</v>
      </c>
      <c r="AV370" s="14"/>
      <c r="AW370" s="17"/>
      <c r="AX370" s="16"/>
      <c r="AY370" s="16"/>
      <c r="AZ370" s="16"/>
      <c r="BA370" s="16"/>
      <c r="BB370" s="15" t="s">
        <v>3123</v>
      </c>
      <c r="BC370" s="17"/>
      <c r="BD370" s="14"/>
      <c r="BE370" s="14"/>
      <c r="BF370" s="16"/>
      <c r="BG370" s="16"/>
      <c r="BH370" s="13"/>
      <c r="BI370" s="18" t="s">
        <v>7587</v>
      </c>
      <c r="BJ370" s="13">
        <v>-1</v>
      </c>
      <c r="BK370" s="17">
        <v>44124</v>
      </c>
      <c r="BL370" s="18"/>
      <c r="BM370" s="18"/>
      <c r="BN370" s="18"/>
      <c r="BO370" s="18"/>
      <c r="BP370" s="14" t="s">
        <v>7588</v>
      </c>
      <c r="BQ370" s="17">
        <v>43020</v>
      </c>
      <c r="BR370" s="16"/>
      <c r="BS370" s="17"/>
      <c r="BT370" s="16"/>
      <c r="BU370" s="17"/>
      <c r="BV370" s="16"/>
      <c r="BW370" s="17"/>
      <c r="BX370" s="16"/>
      <c r="BY370" s="17"/>
      <c r="BZ370" s="19">
        <v>27.545533698751679</v>
      </c>
      <c r="CA370" s="19"/>
      <c r="CB370" s="17"/>
      <c r="CC370" s="14" t="s">
        <v>6556</v>
      </c>
      <c r="CD370" s="14" t="s">
        <v>6557</v>
      </c>
      <c r="CE370" s="14" t="s">
        <v>5945</v>
      </c>
    </row>
    <row r="371" spans="1:83" ht="26.15" customHeight="1">
      <c r="A371" s="13">
        <v>365</v>
      </c>
      <c r="B371" s="14" t="s">
        <v>2290</v>
      </c>
      <c r="C371" s="14" t="s">
        <v>2291</v>
      </c>
      <c r="D371" s="14" t="s">
        <v>2293</v>
      </c>
      <c r="E371" s="13">
        <v>2012</v>
      </c>
      <c r="F371" s="14" t="s">
        <v>9149</v>
      </c>
      <c r="G371" s="14" t="s">
        <v>5720</v>
      </c>
      <c r="H371" s="14" t="s">
        <v>2057</v>
      </c>
      <c r="I371" s="15" t="s">
        <v>3117</v>
      </c>
      <c r="J371" s="16"/>
      <c r="K371" s="17">
        <v>42614</v>
      </c>
      <c r="L371" s="16"/>
      <c r="M371" s="16" t="s">
        <v>50</v>
      </c>
      <c r="N371" s="14" t="s">
        <v>25</v>
      </c>
      <c r="O371" s="13"/>
      <c r="P371" s="17"/>
      <c r="Q371" s="14"/>
      <c r="R371" s="17"/>
      <c r="S371" s="17"/>
      <c r="T371" s="14" t="s">
        <v>1</v>
      </c>
      <c r="U371" s="14" t="s">
        <v>5135</v>
      </c>
      <c r="V371" s="14" t="s">
        <v>9150</v>
      </c>
      <c r="W371" s="14"/>
      <c r="X371" s="14"/>
      <c r="Y371" s="14"/>
      <c r="Z371" s="14" t="s">
        <v>9151</v>
      </c>
      <c r="AA371" s="14"/>
      <c r="AB371" s="14" t="s">
        <v>2057</v>
      </c>
      <c r="AC371" s="14"/>
      <c r="AD371" s="14"/>
      <c r="AE371" s="14"/>
      <c r="AF371" s="14"/>
      <c r="AG371" s="14"/>
      <c r="AH371" s="18"/>
      <c r="AI371" s="16"/>
      <c r="AJ371" s="17"/>
      <c r="AK371" s="15" t="s">
        <v>3123</v>
      </c>
      <c r="AL371" s="17"/>
      <c r="AM371" s="16"/>
      <c r="AN371" s="14"/>
      <c r="AO371" s="14"/>
      <c r="AP371" s="15" t="s">
        <v>3123</v>
      </c>
      <c r="AQ371" s="14"/>
      <c r="AR371" s="17"/>
      <c r="AS371" s="16"/>
      <c r="AT371" s="14"/>
      <c r="AU371" s="15" t="s">
        <v>3123</v>
      </c>
      <c r="AV371" s="14"/>
      <c r="AW371" s="17"/>
      <c r="AX371" s="16"/>
      <c r="AY371" s="16"/>
      <c r="AZ371" s="16"/>
      <c r="BA371" s="16"/>
      <c r="BB371" s="15" t="s">
        <v>3123</v>
      </c>
      <c r="BC371" s="17"/>
      <c r="BD371" s="14"/>
      <c r="BE371" s="14"/>
      <c r="BF371" s="16"/>
      <c r="BG371" s="16"/>
      <c r="BH371" s="13"/>
      <c r="BI371" s="18" t="s">
        <v>9152</v>
      </c>
      <c r="BJ371" s="13">
        <v>200</v>
      </c>
      <c r="BK371" s="17">
        <v>44124</v>
      </c>
      <c r="BL371" s="18"/>
      <c r="BM371" s="18"/>
      <c r="BN371" s="18"/>
      <c r="BO371" s="18"/>
      <c r="BP371" s="14" t="s">
        <v>9153</v>
      </c>
      <c r="BQ371" s="17">
        <v>42935</v>
      </c>
      <c r="BR371" s="16"/>
      <c r="BS371" s="17"/>
      <c r="BT371" s="16"/>
      <c r="BU371" s="17"/>
      <c r="BV371" s="16"/>
      <c r="BW371" s="17"/>
      <c r="BX371" s="16"/>
      <c r="BY371" s="17"/>
      <c r="BZ371" s="19">
        <v>11.410302343734307</v>
      </c>
      <c r="CA371" s="19"/>
      <c r="CB371" s="17"/>
      <c r="CC371" s="14" t="s">
        <v>7606</v>
      </c>
      <c r="CD371" s="14" t="s">
        <v>7607</v>
      </c>
      <c r="CE371" s="14" t="s">
        <v>5945</v>
      </c>
    </row>
    <row r="372" spans="1:83" ht="26.15" customHeight="1">
      <c r="A372" s="13">
        <v>366</v>
      </c>
      <c r="B372" s="14" t="s">
        <v>1126</v>
      </c>
      <c r="C372" s="14" t="s">
        <v>1127</v>
      </c>
      <c r="D372" s="14" t="s">
        <v>1130</v>
      </c>
      <c r="E372" s="13">
        <v>2013</v>
      </c>
      <c r="F372" s="14" t="s">
        <v>5592</v>
      </c>
      <c r="G372" s="14" t="s">
        <v>5313</v>
      </c>
      <c r="H372" s="14" t="s">
        <v>3994</v>
      </c>
      <c r="I372" s="15" t="s">
        <v>3117</v>
      </c>
      <c r="J372" s="16">
        <v>264994</v>
      </c>
      <c r="K372" s="17">
        <v>43552</v>
      </c>
      <c r="L372" s="16" t="s">
        <v>7589</v>
      </c>
      <c r="M372" s="16">
        <v>216833</v>
      </c>
      <c r="N372" s="14" t="s">
        <v>34</v>
      </c>
      <c r="O372" s="13">
        <v>3</v>
      </c>
      <c r="P372" s="17">
        <v>44022</v>
      </c>
      <c r="Q372" s="14"/>
      <c r="R372" s="17"/>
      <c r="S372" s="17"/>
      <c r="T372" s="14" t="s">
        <v>1</v>
      </c>
      <c r="U372" s="14" t="s">
        <v>5007</v>
      </c>
      <c r="V372" s="14" t="s">
        <v>968</v>
      </c>
      <c r="W372" s="14"/>
      <c r="X372" s="14" t="s">
        <v>1129</v>
      </c>
      <c r="Y372" s="14" t="s">
        <v>7590</v>
      </c>
      <c r="Z372" s="14" t="s">
        <v>7591</v>
      </c>
      <c r="AA372" s="14"/>
      <c r="AB372" s="14" t="s">
        <v>3994</v>
      </c>
      <c r="AC372" s="14" t="s">
        <v>7592</v>
      </c>
      <c r="AD372" s="14"/>
      <c r="AE372" s="14" t="s">
        <v>7593</v>
      </c>
      <c r="AF372" s="14" t="s">
        <v>7594</v>
      </c>
      <c r="AG372" s="14" t="s">
        <v>7595</v>
      </c>
      <c r="AH372" s="18"/>
      <c r="AI372" s="16">
        <v>33100</v>
      </c>
      <c r="AJ372" s="17">
        <v>43465</v>
      </c>
      <c r="AK372" s="15" t="s">
        <v>3123</v>
      </c>
      <c r="AL372" s="17"/>
      <c r="AM372" s="16"/>
      <c r="AN372" s="14"/>
      <c r="AO372" s="14"/>
      <c r="AP372" s="15" t="s">
        <v>3123</v>
      </c>
      <c r="AQ372" s="14"/>
      <c r="AR372" s="17"/>
      <c r="AS372" s="16"/>
      <c r="AT372" s="14"/>
      <c r="AU372" s="15" t="s">
        <v>3123</v>
      </c>
      <c r="AV372" s="14"/>
      <c r="AW372" s="17"/>
      <c r="AX372" s="16"/>
      <c r="AY372" s="16"/>
      <c r="AZ372" s="16"/>
      <c r="BA372" s="16"/>
      <c r="BB372" s="15" t="s">
        <v>3123</v>
      </c>
      <c r="BC372" s="17"/>
      <c r="BD372" s="14"/>
      <c r="BE372" s="14"/>
      <c r="BF372" s="16"/>
      <c r="BG372" s="16"/>
      <c r="BH372" s="13"/>
      <c r="BI372" s="18" t="s">
        <v>7596</v>
      </c>
      <c r="BJ372" s="13">
        <v>200</v>
      </c>
      <c r="BK372" s="17">
        <v>44124</v>
      </c>
      <c r="BL372" s="18" t="s">
        <v>7597</v>
      </c>
      <c r="BM372" s="18" t="s">
        <v>7598</v>
      </c>
      <c r="BN372" s="18"/>
      <c r="BO372" s="18"/>
      <c r="BP372" s="14" t="s">
        <v>7599</v>
      </c>
      <c r="BQ372" s="17">
        <v>43032</v>
      </c>
      <c r="BR372" s="16">
        <v>-38700</v>
      </c>
      <c r="BS372" s="17">
        <v>43465</v>
      </c>
      <c r="BT372" s="16">
        <v>-36600</v>
      </c>
      <c r="BU372" s="17">
        <v>43465</v>
      </c>
      <c r="BV372" s="16">
        <v>1000000</v>
      </c>
      <c r="BW372" s="17">
        <v>43552</v>
      </c>
      <c r="BX372" s="16">
        <v>62</v>
      </c>
      <c r="BY372" s="17">
        <v>43921</v>
      </c>
      <c r="BZ372" s="19">
        <v>22.520556200848389</v>
      </c>
      <c r="CA372" s="19"/>
      <c r="CB372" s="17"/>
      <c r="CC372" s="14" t="s">
        <v>5345</v>
      </c>
      <c r="CD372" s="14" t="s">
        <v>7272</v>
      </c>
      <c r="CE372" s="14" t="s">
        <v>5945</v>
      </c>
    </row>
    <row r="373" spans="1:83" ht="26.15" customHeight="1">
      <c r="A373" s="13">
        <v>367</v>
      </c>
      <c r="B373" s="14" t="s">
        <v>1748</v>
      </c>
      <c r="C373" s="14" t="s">
        <v>1749</v>
      </c>
      <c r="D373" s="14" t="s">
        <v>1752</v>
      </c>
      <c r="E373" s="13">
        <v>2014</v>
      </c>
      <c r="F373" s="14" t="s">
        <v>5719</v>
      </c>
      <c r="G373" s="14" t="s">
        <v>5720</v>
      </c>
      <c r="H373" s="14" t="s">
        <v>2057</v>
      </c>
      <c r="I373" s="15" t="s">
        <v>3117</v>
      </c>
      <c r="J373" s="16">
        <v>14470000</v>
      </c>
      <c r="K373" s="17">
        <v>43202</v>
      </c>
      <c r="L373" s="16"/>
      <c r="M373" s="16" t="s">
        <v>50</v>
      </c>
      <c r="N373" s="14" t="s">
        <v>95</v>
      </c>
      <c r="O373" s="13">
        <v>4</v>
      </c>
      <c r="P373" s="17">
        <v>44013</v>
      </c>
      <c r="Q373" s="14"/>
      <c r="R373" s="17"/>
      <c r="S373" s="17"/>
      <c r="T373" s="14" t="s">
        <v>5426</v>
      </c>
      <c r="U373" s="14" t="s">
        <v>6018</v>
      </c>
      <c r="V373" s="14" t="s">
        <v>7600</v>
      </c>
      <c r="W373" s="14"/>
      <c r="X373" s="14" t="s">
        <v>7601</v>
      </c>
      <c r="Y373" s="14"/>
      <c r="Z373" s="14" t="s">
        <v>7602</v>
      </c>
      <c r="AA373" s="14"/>
      <c r="AB373" s="14" t="s">
        <v>2057</v>
      </c>
      <c r="AC373" s="14"/>
      <c r="AD373" s="14"/>
      <c r="AE373" s="14" t="s">
        <v>7603</v>
      </c>
      <c r="AF373" s="14"/>
      <c r="AG373" s="14"/>
      <c r="AH373" s="18"/>
      <c r="AI373" s="16"/>
      <c r="AJ373" s="17"/>
      <c r="AK373" s="15" t="s">
        <v>3123</v>
      </c>
      <c r="AL373" s="17"/>
      <c r="AM373" s="16"/>
      <c r="AN373" s="14"/>
      <c r="AO373" s="14"/>
      <c r="AP373" s="15" t="s">
        <v>3123</v>
      </c>
      <c r="AQ373" s="14"/>
      <c r="AR373" s="17"/>
      <c r="AS373" s="16"/>
      <c r="AT373" s="14"/>
      <c r="AU373" s="15" t="s">
        <v>3123</v>
      </c>
      <c r="AV373" s="14"/>
      <c r="AW373" s="17"/>
      <c r="AX373" s="16"/>
      <c r="AY373" s="16"/>
      <c r="AZ373" s="16"/>
      <c r="BA373" s="16"/>
      <c r="BB373" s="15" t="s">
        <v>3123</v>
      </c>
      <c r="BC373" s="17"/>
      <c r="BD373" s="14"/>
      <c r="BE373" s="14"/>
      <c r="BF373" s="16"/>
      <c r="BG373" s="16"/>
      <c r="BH373" s="13"/>
      <c r="BI373" s="18" t="s">
        <v>7604</v>
      </c>
      <c r="BJ373" s="13">
        <v>200</v>
      </c>
      <c r="BK373" s="17">
        <v>44124</v>
      </c>
      <c r="BL373" s="18"/>
      <c r="BM373" s="18"/>
      <c r="BN373" s="18"/>
      <c r="BO373" s="18"/>
      <c r="BP373" s="14" t="s">
        <v>7605</v>
      </c>
      <c r="BQ373" s="17">
        <v>42768</v>
      </c>
      <c r="BR373" s="16"/>
      <c r="BS373" s="17"/>
      <c r="BT373" s="16"/>
      <c r="BU373" s="17"/>
      <c r="BV373" s="16"/>
      <c r="BW373" s="17"/>
      <c r="BX373" s="16"/>
      <c r="BY373" s="17"/>
      <c r="BZ373" s="19">
        <v>41.255255272855273</v>
      </c>
      <c r="CA373" s="19"/>
      <c r="CB373" s="17"/>
      <c r="CC373" s="14" t="s">
        <v>7606</v>
      </c>
      <c r="CD373" s="14" t="s">
        <v>7607</v>
      </c>
      <c r="CE373" s="14" t="s">
        <v>5945</v>
      </c>
    </row>
    <row r="374" spans="1:83" ht="26.15" hidden="1" customHeight="1">
      <c r="A374" s="13">
        <v>368</v>
      </c>
      <c r="B374" s="14" t="s">
        <v>1679</v>
      </c>
      <c r="C374" s="14" t="s">
        <v>1680</v>
      </c>
      <c r="D374" s="14" t="s">
        <v>1683</v>
      </c>
      <c r="E374" s="13">
        <v>2006</v>
      </c>
      <c r="F374" s="14" t="s">
        <v>7608</v>
      </c>
      <c r="G374" s="14" t="s">
        <v>7609</v>
      </c>
      <c r="H374" s="14" t="s">
        <v>4343</v>
      </c>
      <c r="I374" s="15" t="s">
        <v>3117</v>
      </c>
      <c r="J374" s="16">
        <v>40000000</v>
      </c>
      <c r="K374" s="17">
        <v>43227</v>
      </c>
      <c r="L374" s="16" t="s">
        <v>5165</v>
      </c>
      <c r="M374" s="16">
        <v>10000000</v>
      </c>
      <c r="N374" s="14" t="s">
        <v>95</v>
      </c>
      <c r="O374" s="13">
        <v>4</v>
      </c>
      <c r="P374" s="17">
        <v>43977</v>
      </c>
      <c r="Q374" s="14"/>
      <c r="R374" s="17"/>
      <c r="S374" s="17"/>
      <c r="T374" s="14" t="s">
        <v>1</v>
      </c>
      <c r="U374" s="14" t="s">
        <v>5007</v>
      </c>
      <c r="V374" s="14" t="s">
        <v>1684</v>
      </c>
      <c r="W374" s="14"/>
      <c r="X374" s="14" t="s">
        <v>7610</v>
      </c>
      <c r="Y374" s="14"/>
      <c r="Z374" s="14" t="s">
        <v>7611</v>
      </c>
      <c r="AA374" s="14"/>
      <c r="AB374" s="14" t="s">
        <v>4343</v>
      </c>
      <c r="AC374" s="14"/>
      <c r="AD374" s="14"/>
      <c r="AE374" s="14" t="s">
        <v>7612</v>
      </c>
      <c r="AF374" s="14" t="s">
        <v>7613</v>
      </c>
      <c r="AG374" s="14" t="s">
        <v>7614</v>
      </c>
      <c r="AH374" s="18"/>
      <c r="AI374" s="16"/>
      <c r="AJ374" s="17"/>
      <c r="AK374" s="15" t="s">
        <v>3123</v>
      </c>
      <c r="AL374" s="17"/>
      <c r="AM374" s="16"/>
      <c r="AN374" s="14"/>
      <c r="AO374" s="14"/>
      <c r="AP374" s="15" t="s">
        <v>3123</v>
      </c>
      <c r="AQ374" s="14"/>
      <c r="AR374" s="17"/>
      <c r="AS374" s="16"/>
      <c r="AT374" s="14"/>
      <c r="AU374" s="15" t="s">
        <v>3123</v>
      </c>
      <c r="AV374" s="14"/>
      <c r="AW374" s="17"/>
      <c r="AX374" s="16"/>
      <c r="AY374" s="16"/>
      <c r="AZ374" s="16"/>
      <c r="BA374" s="16"/>
      <c r="BB374" s="15" t="s">
        <v>3123</v>
      </c>
      <c r="BC374" s="17"/>
      <c r="BD374" s="14"/>
      <c r="BE374" s="14"/>
      <c r="BF374" s="16"/>
      <c r="BG374" s="16"/>
      <c r="BH374" s="13"/>
      <c r="BI374" s="18" t="s">
        <v>7615</v>
      </c>
      <c r="BJ374" s="13">
        <v>200</v>
      </c>
      <c r="BK374" s="17">
        <v>44124</v>
      </c>
      <c r="BL374" s="18" t="s">
        <v>7616</v>
      </c>
      <c r="BM374" s="18"/>
      <c r="BN374" s="18"/>
      <c r="BO374" s="18"/>
      <c r="BP374" s="14" t="s">
        <v>7617</v>
      </c>
      <c r="BQ374" s="17">
        <v>42983</v>
      </c>
      <c r="BR374" s="16"/>
      <c r="BS374" s="17"/>
      <c r="BT374" s="16"/>
      <c r="BU374" s="17"/>
      <c r="BV374" s="16"/>
      <c r="BW374" s="17"/>
      <c r="BX374" s="16"/>
      <c r="BY374" s="17"/>
      <c r="BZ374" s="19">
        <v>39.768229759844118</v>
      </c>
      <c r="CA374" s="19"/>
      <c r="CB374" s="17"/>
      <c r="CC374" s="14" t="s">
        <v>5345</v>
      </c>
      <c r="CD374" s="14" t="s">
        <v>7272</v>
      </c>
      <c r="CE374" s="14" t="s">
        <v>5945</v>
      </c>
    </row>
    <row r="375" spans="1:83" ht="26.15" customHeight="1">
      <c r="A375" s="13">
        <v>369</v>
      </c>
      <c r="B375" s="14" t="s">
        <v>203</v>
      </c>
      <c r="C375" s="14" t="s">
        <v>204</v>
      </c>
      <c r="D375" s="14" t="s">
        <v>208</v>
      </c>
      <c r="E375" s="13">
        <v>2016</v>
      </c>
      <c r="F375" s="14" t="s">
        <v>7285</v>
      </c>
      <c r="G375" s="14" t="s">
        <v>7285</v>
      </c>
      <c r="H375" s="14" t="s">
        <v>5277</v>
      </c>
      <c r="I375" s="15" t="s">
        <v>3117</v>
      </c>
      <c r="J375" s="16">
        <v>5500000</v>
      </c>
      <c r="K375" s="17">
        <v>44055</v>
      </c>
      <c r="L375" s="16" t="s">
        <v>6481</v>
      </c>
      <c r="M375" s="16">
        <v>5500000</v>
      </c>
      <c r="N375" s="14" t="s">
        <v>109</v>
      </c>
      <c r="O375" s="13">
        <v>4</v>
      </c>
      <c r="P375" s="17">
        <v>44081</v>
      </c>
      <c r="Q375" s="14" t="s">
        <v>5052</v>
      </c>
      <c r="R375" s="17">
        <v>44060</v>
      </c>
      <c r="S375" s="17">
        <v>44055</v>
      </c>
      <c r="T375" s="14" t="s">
        <v>1</v>
      </c>
      <c r="U375" s="14" t="s">
        <v>5135</v>
      </c>
      <c r="V375" s="14" t="s">
        <v>7629</v>
      </c>
      <c r="W375" s="14"/>
      <c r="X375" s="14" t="s">
        <v>7630</v>
      </c>
      <c r="Y375" s="14"/>
      <c r="Z375" s="14" t="s">
        <v>7631</v>
      </c>
      <c r="AA375" s="14"/>
      <c r="AB375" s="14" t="s">
        <v>5277</v>
      </c>
      <c r="AC375" s="14"/>
      <c r="AD375" s="14"/>
      <c r="AE375" s="14" t="s">
        <v>7632</v>
      </c>
      <c r="AF375" s="14" t="s">
        <v>7633</v>
      </c>
      <c r="AG375" s="14" t="s">
        <v>7634</v>
      </c>
      <c r="AH375" s="18"/>
      <c r="AI375" s="16"/>
      <c r="AJ375" s="17"/>
      <c r="AK375" s="15" t="s">
        <v>3123</v>
      </c>
      <c r="AL375" s="17"/>
      <c r="AM375" s="16"/>
      <c r="AN375" s="14"/>
      <c r="AO375" s="14"/>
      <c r="AP375" s="15" t="s">
        <v>3123</v>
      </c>
      <c r="AQ375" s="14"/>
      <c r="AR375" s="17"/>
      <c r="AS375" s="16"/>
      <c r="AT375" s="14"/>
      <c r="AU375" s="15" t="s">
        <v>3123</v>
      </c>
      <c r="AV375" s="14"/>
      <c r="AW375" s="17"/>
      <c r="AX375" s="16"/>
      <c r="AY375" s="16"/>
      <c r="AZ375" s="16"/>
      <c r="BA375" s="16"/>
      <c r="BB375" s="15" t="s">
        <v>3123</v>
      </c>
      <c r="BC375" s="17"/>
      <c r="BD375" s="14"/>
      <c r="BE375" s="14"/>
      <c r="BF375" s="16"/>
      <c r="BG375" s="16"/>
      <c r="BH375" s="13"/>
      <c r="BI375" s="18" t="s">
        <v>7635</v>
      </c>
      <c r="BJ375" s="13">
        <v>200</v>
      </c>
      <c r="BK375" s="17">
        <v>44124</v>
      </c>
      <c r="BL375" s="18" t="s">
        <v>7636</v>
      </c>
      <c r="BM375" s="18"/>
      <c r="BN375" s="18"/>
      <c r="BO375" s="18"/>
      <c r="BP375" s="14" t="s">
        <v>7637</v>
      </c>
      <c r="BQ375" s="17">
        <v>43140</v>
      </c>
      <c r="BR375" s="16"/>
      <c r="BS375" s="17"/>
      <c r="BT375" s="16"/>
      <c r="BU375" s="17"/>
      <c r="BV375" s="16"/>
      <c r="BW375" s="17"/>
      <c r="BX375" s="16"/>
      <c r="BY375" s="17"/>
      <c r="BZ375" s="19">
        <v>41.994332667315881</v>
      </c>
      <c r="CA375" s="19"/>
      <c r="CB375" s="17"/>
      <c r="CC375" s="14" t="s">
        <v>7284</v>
      </c>
      <c r="CD375" s="14" t="s">
        <v>6002</v>
      </c>
      <c r="CE375" s="14" t="s">
        <v>5945</v>
      </c>
    </row>
    <row r="376" spans="1:83" ht="26.15" customHeight="1">
      <c r="A376" s="13">
        <v>370</v>
      </c>
      <c r="B376" s="14" t="s">
        <v>2491</v>
      </c>
      <c r="C376" s="14" t="s">
        <v>2492</v>
      </c>
      <c r="D376" s="14" t="s">
        <v>2494</v>
      </c>
      <c r="E376" s="13">
        <v>2016</v>
      </c>
      <c r="F376" s="14" t="s">
        <v>5189</v>
      </c>
      <c r="G376" s="14" t="s">
        <v>5190</v>
      </c>
      <c r="H376" s="14" t="s">
        <v>1258</v>
      </c>
      <c r="I376" s="15" t="s">
        <v>3117</v>
      </c>
      <c r="J376" s="16">
        <v>75000</v>
      </c>
      <c r="K376" s="17">
        <v>42459</v>
      </c>
      <c r="L376" s="16" t="s">
        <v>6885</v>
      </c>
      <c r="M376" s="16">
        <v>75000</v>
      </c>
      <c r="N376" s="14" t="s">
        <v>34</v>
      </c>
      <c r="O376" s="13"/>
      <c r="P376" s="17"/>
      <c r="Q376" s="14"/>
      <c r="R376" s="17"/>
      <c r="S376" s="17"/>
      <c r="T376" s="14" t="s">
        <v>9154</v>
      </c>
      <c r="U376" s="14" t="s">
        <v>9155</v>
      </c>
      <c r="V376" s="14" t="s">
        <v>9156</v>
      </c>
      <c r="W376" s="14"/>
      <c r="X376" s="14" t="s">
        <v>9157</v>
      </c>
      <c r="Y376" s="14"/>
      <c r="Z376" s="14" t="s">
        <v>9158</v>
      </c>
      <c r="AA376" s="14"/>
      <c r="AB376" s="14" t="s">
        <v>1258</v>
      </c>
      <c r="AC376" s="14"/>
      <c r="AD376" s="14"/>
      <c r="AE376" s="14" t="s">
        <v>9159</v>
      </c>
      <c r="AF376" s="14" t="s">
        <v>9160</v>
      </c>
      <c r="AG376" s="14" t="s">
        <v>9161</v>
      </c>
      <c r="AH376" s="18"/>
      <c r="AI376" s="16"/>
      <c r="AJ376" s="17"/>
      <c r="AK376" s="15" t="s">
        <v>3123</v>
      </c>
      <c r="AL376" s="17"/>
      <c r="AM376" s="16"/>
      <c r="AN376" s="14"/>
      <c r="AO376" s="14"/>
      <c r="AP376" s="15" t="s">
        <v>3123</v>
      </c>
      <c r="AQ376" s="14"/>
      <c r="AR376" s="17"/>
      <c r="AS376" s="16"/>
      <c r="AT376" s="14"/>
      <c r="AU376" s="15" t="s">
        <v>3123</v>
      </c>
      <c r="AV376" s="14"/>
      <c r="AW376" s="17"/>
      <c r="AX376" s="16"/>
      <c r="AY376" s="16"/>
      <c r="AZ376" s="16"/>
      <c r="BA376" s="16"/>
      <c r="BB376" s="15" t="s">
        <v>3123</v>
      </c>
      <c r="BC376" s="17"/>
      <c r="BD376" s="14"/>
      <c r="BE376" s="14"/>
      <c r="BF376" s="16"/>
      <c r="BG376" s="16"/>
      <c r="BH376" s="13"/>
      <c r="BI376" s="18" t="s">
        <v>9162</v>
      </c>
      <c r="BJ376" s="13">
        <v>200</v>
      </c>
      <c r="BK376" s="17">
        <v>44124</v>
      </c>
      <c r="BL376" s="18"/>
      <c r="BM376" s="18" t="s">
        <v>9163</v>
      </c>
      <c r="BN376" s="18"/>
      <c r="BO376" s="18"/>
      <c r="BP376" s="14" t="s">
        <v>9164</v>
      </c>
      <c r="BQ376" s="17">
        <v>42888</v>
      </c>
      <c r="BR376" s="16"/>
      <c r="BS376" s="17"/>
      <c r="BT376" s="16"/>
      <c r="BU376" s="17"/>
      <c r="BV376" s="16"/>
      <c r="BW376" s="17"/>
      <c r="BX376" s="16"/>
      <c r="BY376" s="17"/>
      <c r="BZ376" s="19">
        <v>29.752285815712884</v>
      </c>
      <c r="CA376" s="19"/>
      <c r="CB376" s="17"/>
      <c r="CC376" s="14" t="s">
        <v>5036</v>
      </c>
      <c r="CD376" s="14" t="s">
        <v>5962</v>
      </c>
      <c r="CE376" s="14" t="s">
        <v>5945</v>
      </c>
    </row>
    <row r="377" spans="1:83" ht="26.15" customHeight="1">
      <c r="A377" s="13">
        <v>371</v>
      </c>
      <c r="B377" s="14" t="s">
        <v>2107</v>
      </c>
      <c r="C377" s="14" t="s">
        <v>2108</v>
      </c>
      <c r="D377" s="14" t="s">
        <v>2109</v>
      </c>
      <c r="E377" s="13">
        <v>2016</v>
      </c>
      <c r="F377" s="14" t="s">
        <v>8313</v>
      </c>
      <c r="G377" s="14" t="s">
        <v>6884</v>
      </c>
      <c r="H377" s="14" t="s">
        <v>5333</v>
      </c>
      <c r="I377" s="15" t="s">
        <v>3117</v>
      </c>
      <c r="J377" s="16"/>
      <c r="K377" s="17">
        <v>42867</v>
      </c>
      <c r="L377" s="16" t="s">
        <v>5191</v>
      </c>
      <c r="M377" s="16">
        <v>30000</v>
      </c>
      <c r="N377" s="14" t="s">
        <v>5040</v>
      </c>
      <c r="O377" s="13"/>
      <c r="P377" s="17"/>
      <c r="Q377" s="14"/>
      <c r="R377" s="17"/>
      <c r="S377" s="17"/>
      <c r="T377" s="14" t="s">
        <v>5426</v>
      </c>
      <c r="U377" s="14" t="s">
        <v>5427</v>
      </c>
      <c r="V377" s="14" t="s">
        <v>5428</v>
      </c>
      <c r="W377" s="14"/>
      <c r="X377" s="14" t="s">
        <v>3689</v>
      </c>
      <c r="Y377" s="14"/>
      <c r="Z377" s="14" t="s">
        <v>9165</v>
      </c>
      <c r="AA377" s="14"/>
      <c r="AB377" s="14" t="s">
        <v>5333</v>
      </c>
      <c r="AC377" s="14" t="s">
        <v>9166</v>
      </c>
      <c r="AD377" s="14"/>
      <c r="AE377" s="14" t="s">
        <v>9167</v>
      </c>
      <c r="AF377" s="14" t="s">
        <v>9168</v>
      </c>
      <c r="AG377" s="14" t="s">
        <v>9169</v>
      </c>
      <c r="AH377" s="18"/>
      <c r="AI377" s="16"/>
      <c r="AJ377" s="17"/>
      <c r="AK377" s="15" t="s">
        <v>3123</v>
      </c>
      <c r="AL377" s="17"/>
      <c r="AM377" s="16"/>
      <c r="AN377" s="14"/>
      <c r="AO377" s="14"/>
      <c r="AP377" s="15" t="s">
        <v>3123</v>
      </c>
      <c r="AQ377" s="14"/>
      <c r="AR377" s="17"/>
      <c r="AS377" s="16"/>
      <c r="AT377" s="14"/>
      <c r="AU377" s="15" t="s">
        <v>3123</v>
      </c>
      <c r="AV377" s="14"/>
      <c r="AW377" s="17"/>
      <c r="AX377" s="16"/>
      <c r="AY377" s="16"/>
      <c r="AZ377" s="16"/>
      <c r="BA377" s="16"/>
      <c r="BB377" s="15" t="s">
        <v>3123</v>
      </c>
      <c r="BC377" s="17"/>
      <c r="BD377" s="14"/>
      <c r="BE377" s="14"/>
      <c r="BF377" s="16"/>
      <c r="BG377" s="16"/>
      <c r="BH377" s="13"/>
      <c r="BI377" s="18" t="s">
        <v>9170</v>
      </c>
      <c r="BJ377" s="13">
        <v>301</v>
      </c>
      <c r="BK377" s="17">
        <v>44124</v>
      </c>
      <c r="BL377" s="18"/>
      <c r="BM377" s="18" t="s">
        <v>9171</v>
      </c>
      <c r="BN377" s="18"/>
      <c r="BO377" s="18"/>
      <c r="BP377" s="14" t="s">
        <v>9172</v>
      </c>
      <c r="BQ377" s="17">
        <v>42529</v>
      </c>
      <c r="BR377" s="16"/>
      <c r="BS377" s="17"/>
      <c r="BT377" s="16"/>
      <c r="BU377" s="17"/>
      <c r="BV377" s="16"/>
      <c r="BW377" s="17"/>
      <c r="BX377" s="16"/>
      <c r="BY377" s="17"/>
      <c r="BZ377" s="19">
        <v>22.418781440251482</v>
      </c>
      <c r="CA377" s="19"/>
      <c r="CB377" s="17"/>
      <c r="CC377" s="14" t="s">
        <v>5036</v>
      </c>
      <c r="CD377" s="14" t="s">
        <v>5962</v>
      </c>
      <c r="CE377" s="14" t="s">
        <v>5945</v>
      </c>
    </row>
    <row r="378" spans="1:83" ht="26.15" customHeight="1">
      <c r="A378" s="13">
        <v>372</v>
      </c>
      <c r="B378" s="14" t="s">
        <v>2454</v>
      </c>
      <c r="C378" s="14" t="s">
        <v>2455</v>
      </c>
      <c r="D378" s="14" t="s">
        <v>2456</v>
      </c>
      <c r="E378" s="13">
        <v>2015</v>
      </c>
      <c r="F378" s="14" t="s">
        <v>7648</v>
      </c>
      <c r="G378" s="14" t="s">
        <v>5152</v>
      </c>
      <c r="H378" s="14" t="s">
        <v>2057</v>
      </c>
      <c r="I378" s="15" t="s">
        <v>3117</v>
      </c>
      <c r="J378" s="16">
        <v>920000</v>
      </c>
      <c r="K378" s="17">
        <v>42475</v>
      </c>
      <c r="L378" s="16" t="s">
        <v>9173</v>
      </c>
      <c r="M378" s="16">
        <v>920000</v>
      </c>
      <c r="N378" s="14" t="s">
        <v>5630</v>
      </c>
      <c r="O378" s="13"/>
      <c r="P378" s="17"/>
      <c r="Q378" s="14"/>
      <c r="R378" s="17"/>
      <c r="S378" s="17"/>
      <c r="T378" s="14" t="s">
        <v>5509</v>
      </c>
      <c r="U378" s="14" t="s">
        <v>5510</v>
      </c>
      <c r="V378" s="14" t="s">
        <v>9174</v>
      </c>
      <c r="W378" s="14"/>
      <c r="X378" s="14"/>
      <c r="Y378" s="14"/>
      <c r="Z378" s="14" t="s">
        <v>9175</v>
      </c>
      <c r="AA378" s="14"/>
      <c r="AB378" s="14" t="s">
        <v>2057</v>
      </c>
      <c r="AC378" s="14"/>
      <c r="AD378" s="14"/>
      <c r="AE378" s="14"/>
      <c r="AF378" s="14"/>
      <c r="AG378" s="14"/>
      <c r="AH378" s="18"/>
      <c r="AI378" s="16"/>
      <c r="AJ378" s="17"/>
      <c r="AK378" s="15" t="s">
        <v>3123</v>
      </c>
      <c r="AL378" s="17"/>
      <c r="AM378" s="16"/>
      <c r="AN378" s="14"/>
      <c r="AO378" s="14"/>
      <c r="AP378" s="15" t="s">
        <v>3123</v>
      </c>
      <c r="AQ378" s="14"/>
      <c r="AR378" s="17"/>
      <c r="AS378" s="16"/>
      <c r="AT378" s="14"/>
      <c r="AU378" s="15" t="s">
        <v>3123</v>
      </c>
      <c r="AV378" s="14"/>
      <c r="AW378" s="17"/>
      <c r="AX378" s="16"/>
      <c r="AY378" s="16"/>
      <c r="AZ378" s="16"/>
      <c r="BA378" s="16"/>
      <c r="BB378" s="15" t="s">
        <v>3117</v>
      </c>
      <c r="BC378" s="17"/>
      <c r="BD378" s="14"/>
      <c r="BE378" s="14"/>
      <c r="BF378" s="16"/>
      <c r="BG378" s="16"/>
      <c r="BH378" s="13"/>
      <c r="BI378" s="18" t="s">
        <v>9176</v>
      </c>
      <c r="BJ378" s="13">
        <v>-1</v>
      </c>
      <c r="BK378" s="17">
        <v>44124</v>
      </c>
      <c r="BL378" s="18"/>
      <c r="BM378" s="18"/>
      <c r="BN378" s="18"/>
      <c r="BO378" s="18"/>
      <c r="BP378" s="14" t="s">
        <v>9177</v>
      </c>
      <c r="BQ378" s="17">
        <v>42516</v>
      </c>
      <c r="BR378" s="16"/>
      <c r="BS378" s="17"/>
      <c r="BT378" s="16"/>
      <c r="BU378" s="17"/>
      <c r="BV378" s="16"/>
      <c r="BW378" s="17"/>
      <c r="BX378" s="16"/>
      <c r="BY378" s="17"/>
      <c r="BZ378" s="19">
        <v>8.3180422659819566</v>
      </c>
      <c r="CA378" s="19"/>
      <c r="CB378" s="17"/>
      <c r="CC378" s="14" t="s">
        <v>7606</v>
      </c>
      <c r="CD378" s="14" t="s">
        <v>7607</v>
      </c>
      <c r="CE378" s="14" t="s">
        <v>5945</v>
      </c>
    </row>
    <row r="379" spans="1:83" ht="26.15" customHeight="1">
      <c r="A379" s="13">
        <v>373</v>
      </c>
      <c r="B379" s="14" t="s">
        <v>2472</v>
      </c>
      <c r="C379" s="14" t="s">
        <v>2473</v>
      </c>
      <c r="D379" s="14" t="s">
        <v>2476</v>
      </c>
      <c r="E379" s="13">
        <v>2014</v>
      </c>
      <c r="F379" s="14" t="s">
        <v>4993</v>
      </c>
      <c r="G379" s="14" t="s">
        <v>4994</v>
      </c>
      <c r="H379" s="14" t="s">
        <v>2057</v>
      </c>
      <c r="I379" s="15" t="s">
        <v>3117</v>
      </c>
      <c r="J379" s="16">
        <v>4632223</v>
      </c>
      <c r="K379" s="17">
        <v>42461</v>
      </c>
      <c r="L379" s="16" t="s">
        <v>5543</v>
      </c>
      <c r="M379" s="16">
        <v>4632223</v>
      </c>
      <c r="N379" s="14" t="s">
        <v>109</v>
      </c>
      <c r="O379" s="13"/>
      <c r="P379" s="17"/>
      <c r="Q379" s="14"/>
      <c r="R379" s="17"/>
      <c r="S379" s="17"/>
      <c r="T379" s="14" t="s">
        <v>5509</v>
      </c>
      <c r="U379" s="14" t="s">
        <v>5510</v>
      </c>
      <c r="V379" s="14" t="s">
        <v>9174</v>
      </c>
      <c r="W379" s="14"/>
      <c r="X379" s="14" t="s">
        <v>2475</v>
      </c>
      <c r="Y379" s="14"/>
      <c r="Z379" s="14" t="s">
        <v>9178</v>
      </c>
      <c r="AA379" s="14"/>
      <c r="AB379" s="14" t="s">
        <v>2057</v>
      </c>
      <c r="AC379" s="14"/>
      <c r="AD379" s="14"/>
      <c r="AE379" s="14" t="s">
        <v>9179</v>
      </c>
      <c r="AF379" s="14"/>
      <c r="AG379" s="14"/>
      <c r="AH379" s="18"/>
      <c r="AI379" s="16"/>
      <c r="AJ379" s="17"/>
      <c r="AK379" s="15" t="s">
        <v>3123</v>
      </c>
      <c r="AL379" s="17"/>
      <c r="AM379" s="16"/>
      <c r="AN379" s="14"/>
      <c r="AO379" s="14"/>
      <c r="AP379" s="15" t="s">
        <v>3123</v>
      </c>
      <c r="AQ379" s="14"/>
      <c r="AR379" s="17"/>
      <c r="AS379" s="16"/>
      <c r="AT379" s="14"/>
      <c r="AU379" s="15" t="s">
        <v>3123</v>
      </c>
      <c r="AV379" s="14"/>
      <c r="AW379" s="17"/>
      <c r="AX379" s="16"/>
      <c r="AY379" s="16"/>
      <c r="AZ379" s="16"/>
      <c r="BA379" s="16"/>
      <c r="BB379" s="15" t="s">
        <v>3123</v>
      </c>
      <c r="BC379" s="17"/>
      <c r="BD379" s="14"/>
      <c r="BE379" s="14"/>
      <c r="BF379" s="16"/>
      <c r="BG379" s="16"/>
      <c r="BH379" s="13"/>
      <c r="BI379" s="18" t="s">
        <v>9180</v>
      </c>
      <c r="BJ379" s="13">
        <v>200</v>
      </c>
      <c r="BK379" s="17">
        <v>44124</v>
      </c>
      <c r="BL379" s="18"/>
      <c r="BM379" s="18"/>
      <c r="BN379" s="18"/>
      <c r="BO379" s="18"/>
      <c r="BP379" s="14" t="s">
        <v>9181</v>
      </c>
      <c r="BQ379" s="17">
        <v>42510</v>
      </c>
      <c r="BR379" s="16"/>
      <c r="BS379" s="17"/>
      <c r="BT379" s="16"/>
      <c r="BU379" s="17"/>
      <c r="BV379" s="16"/>
      <c r="BW379" s="17"/>
      <c r="BX379" s="16"/>
      <c r="BY379" s="17"/>
      <c r="BZ379" s="19">
        <v>25.765498585949235</v>
      </c>
      <c r="CA379" s="19"/>
      <c r="CB379" s="17"/>
      <c r="CC379" s="14" t="s">
        <v>6556</v>
      </c>
      <c r="CD379" s="14" t="s">
        <v>6731</v>
      </c>
      <c r="CE379" s="14" t="s">
        <v>6074</v>
      </c>
    </row>
    <row r="380" spans="1:83" ht="26.15" customHeight="1">
      <c r="A380" s="13">
        <v>374</v>
      </c>
      <c r="B380" s="14" t="s">
        <v>2532</v>
      </c>
      <c r="C380" s="14" t="s">
        <v>2533</v>
      </c>
      <c r="D380" s="14" t="s">
        <v>2534</v>
      </c>
      <c r="E380" s="13">
        <v>2016</v>
      </c>
      <c r="F380" s="14" t="s">
        <v>5038</v>
      </c>
      <c r="G380" s="14" t="s">
        <v>5039</v>
      </c>
      <c r="H380" s="14" t="s">
        <v>3994</v>
      </c>
      <c r="I380" s="15" t="s">
        <v>3117</v>
      </c>
      <c r="J380" s="16">
        <v>15000</v>
      </c>
      <c r="K380" s="17">
        <v>42370</v>
      </c>
      <c r="L380" s="16" t="s">
        <v>5485</v>
      </c>
      <c r="M380" s="16">
        <v>15000</v>
      </c>
      <c r="N380" s="14" t="s">
        <v>5630</v>
      </c>
      <c r="O380" s="13"/>
      <c r="P380" s="17"/>
      <c r="Q380" s="14"/>
      <c r="R380" s="17"/>
      <c r="S380" s="17"/>
      <c r="T380" s="14" t="s">
        <v>5493</v>
      </c>
      <c r="U380" s="14" t="s">
        <v>5494</v>
      </c>
      <c r="V380" s="14" t="s">
        <v>9182</v>
      </c>
      <c r="W380" s="14"/>
      <c r="X380" s="14"/>
      <c r="Y380" s="14"/>
      <c r="Z380" s="14" t="s">
        <v>9183</v>
      </c>
      <c r="AA380" s="14"/>
      <c r="AB380" s="14" t="s">
        <v>3994</v>
      </c>
      <c r="AC380" s="14"/>
      <c r="AD380" s="14"/>
      <c r="AE380" s="14" t="s">
        <v>9184</v>
      </c>
      <c r="AF380" s="14" t="s">
        <v>9185</v>
      </c>
      <c r="AG380" s="14" t="s">
        <v>9186</v>
      </c>
      <c r="AH380" s="18"/>
      <c r="AI380" s="16"/>
      <c r="AJ380" s="17"/>
      <c r="AK380" s="15" t="s">
        <v>3123</v>
      </c>
      <c r="AL380" s="17"/>
      <c r="AM380" s="16"/>
      <c r="AN380" s="14"/>
      <c r="AO380" s="14"/>
      <c r="AP380" s="15" t="s">
        <v>3123</v>
      </c>
      <c r="AQ380" s="14"/>
      <c r="AR380" s="17"/>
      <c r="AS380" s="16"/>
      <c r="AT380" s="14"/>
      <c r="AU380" s="15" t="s">
        <v>3123</v>
      </c>
      <c r="AV380" s="14"/>
      <c r="AW380" s="17"/>
      <c r="AX380" s="16"/>
      <c r="AY380" s="16"/>
      <c r="AZ380" s="16"/>
      <c r="BA380" s="16"/>
      <c r="BB380" s="15" t="s">
        <v>3117</v>
      </c>
      <c r="BC380" s="17">
        <v>43252</v>
      </c>
      <c r="BD380" s="14"/>
      <c r="BE380" s="14"/>
      <c r="BF380" s="16"/>
      <c r="BG380" s="16"/>
      <c r="BH380" s="13"/>
      <c r="BI380" s="18" t="s">
        <v>9187</v>
      </c>
      <c r="BJ380" s="13">
        <v>-1</v>
      </c>
      <c r="BK380" s="17">
        <v>44124</v>
      </c>
      <c r="BL380" s="18" t="s">
        <v>9188</v>
      </c>
      <c r="BM380" s="18" t="s">
        <v>9189</v>
      </c>
      <c r="BN380" s="18"/>
      <c r="BO380" s="18"/>
      <c r="BP380" s="14" t="s">
        <v>9190</v>
      </c>
      <c r="BQ380" s="17">
        <v>42863</v>
      </c>
      <c r="BR380" s="16"/>
      <c r="BS380" s="17"/>
      <c r="BT380" s="16"/>
      <c r="BU380" s="17"/>
      <c r="BV380" s="16"/>
      <c r="BW380" s="17"/>
      <c r="BX380" s="16">
        <v>20</v>
      </c>
      <c r="BY380" s="17">
        <v>43921</v>
      </c>
      <c r="BZ380" s="19">
        <v>30.108563847001506</v>
      </c>
      <c r="CA380" s="19"/>
      <c r="CB380" s="17"/>
      <c r="CC380" s="14" t="s">
        <v>5036</v>
      </c>
      <c r="CD380" s="14" t="s">
        <v>5962</v>
      </c>
      <c r="CE380" s="14" t="s">
        <v>5945</v>
      </c>
    </row>
    <row r="381" spans="1:83" ht="26.15" customHeight="1">
      <c r="A381" s="13">
        <v>375</v>
      </c>
      <c r="B381" s="14" t="s">
        <v>500</v>
      </c>
      <c r="C381" s="14" t="s">
        <v>501</v>
      </c>
      <c r="D381" s="14" t="s">
        <v>505</v>
      </c>
      <c r="E381" s="13">
        <v>2015</v>
      </c>
      <c r="F381" s="14" t="s">
        <v>5005</v>
      </c>
      <c r="G381" s="14" t="s">
        <v>5006</v>
      </c>
      <c r="H381" s="14" t="s">
        <v>3994</v>
      </c>
      <c r="I381" s="15" t="s">
        <v>3117</v>
      </c>
      <c r="J381" s="16">
        <v>3493115</v>
      </c>
      <c r="K381" s="17">
        <v>43908</v>
      </c>
      <c r="L381" s="16" t="s">
        <v>5069</v>
      </c>
      <c r="M381" s="16">
        <v>3373115</v>
      </c>
      <c r="N381" s="14" t="s">
        <v>34</v>
      </c>
      <c r="O381" s="13">
        <v>4</v>
      </c>
      <c r="P381" s="17">
        <v>44015</v>
      </c>
      <c r="Q381" s="14" t="s">
        <v>5052</v>
      </c>
      <c r="R381" s="17">
        <v>43494</v>
      </c>
      <c r="S381" s="17">
        <v>43282</v>
      </c>
      <c r="T381" s="14" t="s">
        <v>5278</v>
      </c>
      <c r="U381" s="14" t="s">
        <v>7684</v>
      </c>
      <c r="V381" s="14" t="s">
        <v>7685</v>
      </c>
      <c r="W381" s="14"/>
      <c r="X381" s="14" t="s">
        <v>7686</v>
      </c>
      <c r="Y381" s="14" t="s">
        <v>503</v>
      </c>
      <c r="Z381" s="14" t="s">
        <v>7687</v>
      </c>
      <c r="AA381" s="14"/>
      <c r="AB381" s="14" t="s">
        <v>3994</v>
      </c>
      <c r="AC381" s="14" t="s">
        <v>7688</v>
      </c>
      <c r="AD381" s="14" t="s">
        <v>7689</v>
      </c>
      <c r="AE381" s="14" t="s">
        <v>7690</v>
      </c>
      <c r="AF381" s="14" t="s">
        <v>7691</v>
      </c>
      <c r="AG381" s="14" t="s">
        <v>7692</v>
      </c>
      <c r="AH381" s="18"/>
      <c r="AI381" s="16">
        <v>859162</v>
      </c>
      <c r="AJ381" s="17">
        <v>43465</v>
      </c>
      <c r="AK381" s="15" t="s">
        <v>3117</v>
      </c>
      <c r="AL381" s="17">
        <v>42240</v>
      </c>
      <c r="AM381" s="16">
        <v>15073</v>
      </c>
      <c r="AN381" s="14" t="s">
        <v>7693</v>
      </c>
      <c r="AO381" s="14"/>
      <c r="AP381" s="15" t="s">
        <v>3123</v>
      </c>
      <c r="AQ381" s="14"/>
      <c r="AR381" s="17"/>
      <c r="AS381" s="16"/>
      <c r="AT381" s="14"/>
      <c r="AU381" s="15" t="s">
        <v>3123</v>
      </c>
      <c r="AV381" s="14"/>
      <c r="AW381" s="17"/>
      <c r="AX381" s="16"/>
      <c r="AY381" s="16"/>
      <c r="AZ381" s="16"/>
      <c r="BA381" s="16"/>
      <c r="BB381" s="15" t="s">
        <v>3123</v>
      </c>
      <c r="BC381" s="17"/>
      <c r="BD381" s="14"/>
      <c r="BE381" s="14"/>
      <c r="BF381" s="16"/>
      <c r="BG381" s="16"/>
      <c r="BH381" s="13"/>
      <c r="BI381" s="18" t="s">
        <v>7694</v>
      </c>
      <c r="BJ381" s="13">
        <v>200</v>
      </c>
      <c r="BK381" s="17">
        <v>44124</v>
      </c>
      <c r="BL381" s="18" t="s">
        <v>7695</v>
      </c>
      <c r="BM381" s="18" t="s">
        <v>7696</v>
      </c>
      <c r="BN381" s="18"/>
      <c r="BO381" s="18"/>
      <c r="BP381" s="14" t="s">
        <v>7697</v>
      </c>
      <c r="BQ381" s="17">
        <v>42950</v>
      </c>
      <c r="BR381" s="16">
        <v>-309963</v>
      </c>
      <c r="BS381" s="17">
        <v>43465</v>
      </c>
      <c r="BT381" s="16">
        <v>-308885</v>
      </c>
      <c r="BU381" s="17">
        <v>43465</v>
      </c>
      <c r="BV381" s="16"/>
      <c r="BW381" s="17"/>
      <c r="BX381" s="16">
        <v>21</v>
      </c>
      <c r="BY381" s="17">
        <v>43921</v>
      </c>
      <c r="BZ381" s="19">
        <v>49.66228832280644</v>
      </c>
      <c r="CA381" s="19"/>
      <c r="CB381" s="17"/>
      <c r="CC381" s="14" t="s">
        <v>6556</v>
      </c>
      <c r="CD381" s="14" t="s">
        <v>6557</v>
      </c>
      <c r="CE381" s="14" t="s">
        <v>5945</v>
      </c>
    </row>
    <row r="382" spans="1:83" ht="26.15" customHeight="1">
      <c r="A382" s="13">
        <v>376</v>
      </c>
      <c r="B382" s="14" t="s">
        <v>991</v>
      </c>
      <c r="C382" s="14" t="s">
        <v>992</v>
      </c>
      <c r="D382" s="14" t="s">
        <v>994</v>
      </c>
      <c r="E382" s="13">
        <v>2014</v>
      </c>
      <c r="F382" s="14" t="s">
        <v>5222</v>
      </c>
      <c r="G382" s="14" t="s">
        <v>5223</v>
      </c>
      <c r="H382" s="14" t="s">
        <v>3994</v>
      </c>
      <c r="I382" s="15" t="s">
        <v>3117</v>
      </c>
      <c r="J382" s="16">
        <v>1570818</v>
      </c>
      <c r="K382" s="17">
        <v>43615</v>
      </c>
      <c r="L382" s="16" t="s">
        <v>7698</v>
      </c>
      <c r="M382" s="16">
        <v>157428</v>
      </c>
      <c r="N382" s="14" t="s">
        <v>34</v>
      </c>
      <c r="O382" s="13">
        <v>4</v>
      </c>
      <c r="P382" s="17">
        <v>44098</v>
      </c>
      <c r="Q382" s="14"/>
      <c r="R382" s="17"/>
      <c r="S382" s="17"/>
      <c r="T382" s="14" t="s">
        <v>7699</v>
      </c>
      <c r="U382" s="14" t="s">
        <v>7700</v>
      </c>
      <c r="V382" s="14" t="s">
        <v>7701</v>
      </c>
      <c r="W382" s="14"/>
      <c r="X382" s="14" t="s">
        <v>7702</v>
      </c>
      <c r="Y382" s="14" t="s">
        <v>7703</v>
      </c>
      <c r="Z382" s="14" t="s">
        <v>7704</v>
      </c>
      <c r="AA382" s="14"/>
      <c r="AB382" s="14" t="s">
        <v>3994</v>
      </c>
      <c r="AC382" s="14"/>
      <c r="AD382" s="14" t="s">
        <v>7705</v>
      </c>
      <c r="AE382" s="14" t="s">
        <v>7706</v>
      </c>
      <c r="AF382" s="14" t="s">
        <v>7707</v>
      </c>
      <c r="AG382" s="14" t="s">
        <v>7708</v>
      </c>
      <c r="AH382" s="18"/>
      <c r="AI382" s="16">
        <v>157200</v>
      </c>
      <c r="AJ382" s="17">
        <v>43465</v>
      </c>
      <c r="AK382" s="15" t="s">
        <v>3117</v>
      </c>
      <c r="AL382" s="17">
        <v>42450</v>
      </c>
      <c r="AM382" s="16">
        <v>1502</v>
      </c>
      <c r="AN382" s="14" t="s">
        <v>7709</v>
      </c>
      <c r="AO382" s="14"/>
      <c r="AP382" s="15" t="s">
        <v>3123</v>
      </c>
      <c r="AQ382" s="14"/>
      <c r="AR382" s="17"/>
      <c r="AS382" s="16"/>
      <c r="AT382" s="14"/>
      <c r="AU382" s="15" t="s">
        <v>3123</v>
      </c>
      <c r="AV382" s="14"/>
      <c r="AW382" s="17"/>
      <c r="AX382" s="16"/>
      <c r="AY382" s="16"/>
      <c r="AZ382" s="16"/>
      <c r="BA382" s="16"/>
      <c r="BB382" s="15" t="s">
        <v>3123</v>
      </c>
      <c r="BC382" s="17"/>
      <c r="BD382" s="14"/>
      <c r="BE382" s="14"/>
      <c r="BF382" s="16"/>
      <c r="BG382" s="16"/>
      <c r="BH382" s="13"/>
      <c r="BI382" s="18" t="s">
        <v>7710</v>
      </c>
      <c r="BJ382" s="13">
        <v>200</v>
      </c>
      <c r="BK382" s="17">
        <v>44124</v>
      </c>
      <c r="BL382" s="18"/>
      <c r="BM382" s="18" t="s">
        <v>7711</v>
      </c>
      <c r="BN382" s="18"/>
      <c r="BO382" s="18"/>
      <c r="BP382" s="14" t="s">
        <v>7712</v>
      </c>
      <c r="BQ382" s="17">
        <v>42578</v>
      </c>
      <c r="BR382" s="16">
        <v>-454500</v>
      </c>
      <c r="BS382" s="17">
        <v>43465</v>
      </c>
      <c r="BT382" s="16">
        <v>-431600</v>
      </c>
      <c r="BU382" s="17">
        <v>43465</v>
      </c>
      <c r="BV382" s="16">
        <v>10000000</v>
      </c>
      <c r="BW382" s="17">
        <v>43323</v>
      </c>
      <c r="BX382" s="16">
        <v>44</v>
      </c>
      <c r="BY382" s="17">
        <v>43738</v>
      </c>
      <c r="BZ382" s="19">
        <v>38.372003453168574</v>
      </c>
      <c r="CA382" s="19"/>
      <c r="CB382" s="17"/>
      <c r="CC382" s="14" t="s">
        <v>7713</v>
      </c>
      <c r="CD382" s="14"/>
      <c r="CE382" s="14" t="s">
        <v>7714</v>
      </c>
    </row>
    <row r="383" spans="1:83" ht="26.15" customHeight="1">
      <c r="A383" s="13">
        <v>377</v>
      </c>
      <c r="B383" s="14" t="s">
        <v>2672</v>
      </c>
      <c r="C383" s="14" t="s">
        <v>2673</v>
      </c>
      <c r="D383" s="14" t="s">
        <v>2677</v>
      </c>
      <c r="E383" s="13">
        <v>2014</v>
      </c>
      <c r="F383" s="14" t="s">
        <v>9191</v>
      </c>
      <c r="G383" s="14" t="s">
        <v>9192</v>
      </c>
      <c r="H383" s="14" t="s">
        <v>9193</v>
      </c>
      <c r="I383" s="15" t="s">
        <v>3117</v>
      </c>
      <c r="J383" s="16"/>
      <c r="K383" s="17">
        <v>42195</v>
      </c>
      <c r="L383" s="16"/>
      <c r="M383" s="16" t="s">
        <v>50</v>
      </c>
      <c r="N383" s="14" t="s">
        <v>34</v>
      </c>
      <c r="O383" s="13">
        <v>3</v>
      </c>
      <c r="P383" s="17">
        <v>43994</v>
      </c>
      <c r="Q383" s="14"/>
      <c r="R383" s="17"/>
      <c r="S383" s="17"/>
      <c r="T383" s="14" t="s">
        <v>1</v>
      </c>
      <c r="U383" s="14" t="s">
        <v>5007</v>
      </c>
      <c r="V383" s="14" t="s">
        <v>2678</v>
      </c>
      <c r="W383" s="14"/>
      <c r="X383" s="14" t="s">
        <v>2675</v>
      </c>
      <c r="Y383" s="14"/>
      <c r="Z383" s="14" t="s">
        <v>9194</v>
      </c>
      <c r="AA383" s="14"/>
      <c r="AB383" s="14" t="s">
        <v>9193</v>
      </c>
      <c r="AC383" s="14"/>
      <c r="AD383" s="14"/>
      <c r="AE383" s="14" t="s">
        <v>9195</v>
      </c>
      <c r="AF383" s="14" t="s">
        <v>9196</v>
      </c>
      <c r="AG383" s="14" t="s">
        <v>9197</v>
      </c>
      <c r="AH383" s="18"/>
      <c r="AI383" s="16"/>
      <c r="AJ383" s="17"/>
      <c r="AK383" s="15" t="s">
        <v>3123</v>
      </c>
      <c r="AL383" s="17"/>
      <c r="AM383" s="16"/>
      <c r="AN383" s="14"/>
      <c r="AO383" s="14"/>
      <c r="AP383" s="15" t="s">
        <v>3123</v>
      </c>
      <c r="AQ383" s="14"/>
      <c r="AR383" s="17"/>
      <c r="AS383" s="16"/>
      <c r="AT383" s="14"/>
      <c r="AU383" s="15" t="s">
        <v>3123</v>
      </c>
      <c r="AV383" s="14"/>
      <c r="AW383" s="17"/>
      <c r="AX383" s="16"/>
      <c r="AY383" s="16"/>
      <c r="AZ383" s="16"/>
      <c r="BA383" s="16"/>
      <c r="BB383" s="15" t="s">
        <v>3123</v>
      </c>
      <c r="BC383" s="17"/>
      <c r="BD383" s="14"/>
      <c r="BE383" s="14"/>
      <c r="BF383" s="16"/>
      <c r="BG383" s="16"/>
      <c r="BH383" s="13"/>
      <c r="BI383" s="18" t="s">
        <v>9198</v>
      </c>
      <c r="BJ383" s="13">
        <v>200</v>
      </c>
      <c r="BK383" s="17">
        <v>44124</v>
      </c>
      <c r="BL383" s="18" t="s">
        <v>9199</v>
      </c>
      <c r="BM383" s="18" t="s">
        <v>9200</v>
      </c>
      <c r="BN383" s="18" t="s">
        <v>9201</v>
      </c>
      <c r="BO383" s="18"/>
      <c r="BP383" s="14" t="s">
        <v>9202</v>
      </c>
      <c r="BQ383" s="17">
        <v>43032</v>
      </c>
      <c r="BR383" s="16"/>
      <c r="BS383" s="17"/>
      <c r="BT383" s="16"/>
      <c r="BU383" s="17"/>
      <c r="BV383" s="16"/>
      <c r="BW383" s="17"/>
      <c r="BX383" s="16"/>
      <c r="BY383" s="17"/>
      <c r="BZ383" s="19">
        <v>11.038889019045428</v>
      </c>
      <c r="CA383" s="19"/>
      <c r="CB383" s="17"/>
      <c r="CC383" s="14" t="s">
        <v>5345</v>
      </c>
      <c r="CD383" s="14" t="s">
        <v>7272</v>
      </c>
      <c r="CE383" s="14" t="s">
        <v>5945</v>
      </c>
    </row>
    <row r="384" spans="1:83" ht="26.15" hidden="1" customHeight="1">
      <c r="A384" s="13">
        <v>378</v>
      </c>
      <c r="B384" s="14" t="s">
        <v>2782</v>
      </c>
      <c r="C384" s="14" t="s">
        <v>2783</v>
      </c>
      <c r="D384" s="14" t="s">
        <v>2784</v>
      </c>
      <c r="E384" s="13">
        <v>2015</v>
      </c>
      <c r="F384" s="14" t="s">
        <v>6826</v>
      </c>
      <c r="G384" s="14" t="s">
        <v>6004</v>
      </c>
      <c r="H384" s="14" t="s">
        <v>4343</v>
      </c>
      <c r="I384" s="15" t="s">
        <v>3117</v>
      </c>
      <c r="J384" s="16"/>
      <c r="K384" s="17">
        <v>42005</v>
      </c>
      <c r="L384" s="16"/>
      <c r="M384" s="16" t="s">
        <v>50</v>
      </c>
      <c r="N384" s="14" t="s">
        <v>5630</v>
      </c>
      <c r="O384" s="13"/>
      <c r="P384" s="17">
        <v>44089</v>
      </c>
      <c r="Q384" s="14"/>
      <c r="R384" s="17"/>
      <c r="S384" s="17"/>
      <c r="T384" s="14" t="s">
        <v>1</v>
      </c>
      <c r="U384" s="14" t="s">
        <v>5007</v>
      </c>
      <c r="V384" s="14" t="s">
        <v>9203</v>
      </c>
      <c r="W384" s="14"/>
      <c r="X384" s="14" t="s">
        <v>356</v>
      </c>
      <c r="Y384" s="14"/>
      <c r="Z384" s="14" t="s">
        <v>9204</v>
      </c>
      <c r="AA384" s="14"/>
      <c r="AB384" s="14" t="s">
        <v>4343</v>
      </c>
      <c r="AC384" s="14" t="s">
        <v>9205</v>
      </c>
      <c r="AD384" s="14"/>
      <c r="AE384" s="14" t="s">
        <v>9206</v>
      </c>
      <c r="AF384" s="14" t="s">
        <v>9207</v>
      </c>
      <c r="AG384" s="14" t="s">
        <v>9208</v>
      </c>
      <c r="AH384" s="18"/>
      <c r="AI384" s="16"/>
      <c r="AJ384" s="17"/>
      <c r="AK384" s="15" t="s">
        <v>3123</v>
      </c>
      <c r="AL384" s="17"/>
      <c r="AM384" s="16"/>
      <c r="AN384" s="14"/>
      <c r="AO384" s="14"/>
      <c r="AP384" s="15" t="s">
        <v>3123</v>
      </c>
      <c r="AQ384" s="14"/>
      <c r="AR384" s="17"/>
      <c r="AS384" s="16"/>
      <c r="AT384" s="14"/>
      <c r="AU384" s="15" t="s">
        <v>3123</v>
      </c>
      <c r="AV384" s="14"/>
      <c r="AW384" s="17"/>
      <c r="AX384" s="16"/>
      <c r="AY384" s="16"/>
      <c r="AZ384" s="16"/>
      <c r="BA384" s="16"/>
      <c r="BB384" s="15" t="s">
        <v>3117</v>
      </c>
      <c r="BC384" s="17">
        <v>42461</v>
      </c>
      <c r="BD384" s="14"/>
      <c r="BE384" s="14"/>
      <c r="BF384" s="16"/>
      <c r="BG384" s="16"/>
      <c r="BH384" s="13"/>
      <c r="BI384" s="18" t="s">
        <v>9209</v>
      </c>
      <c r="BJ384" s="13">
        <v>-1</v>
      </c>
      <c r="BK384" s="17">
        <v>44124</v>
      </c>
      <c r="BL384" s="18"/>
      <c r="BM384" s="18"/>
      <c r="BN384" s="18"/>
      <c r="BO384" s="18"/>
      <c r="BP384" s="14" t="s">
        <v>9210</v>
      </c>
      <c r="BQ384" s="17">
        <v>42957</v>
      </c>
      <c r="BR384" s="16"/>
      <c r="BS384" s="17"/>
      <c r="BT384" s="16"/>
      <c r="BU384" s="17"/>
      <c r="BV384" s="16"/>
      <c r="BW384" s="17"/>
      <c r="BX384" s="16"/>
      <c r="BY384" s="17"/>
      <c r="BZ384" s="19">
        <v>12.889770166316492</v>
      </c>
      <c r="CA384" s="19"/>
      <c r="CB384" s="17"/>
      <c r="CC384" s="14" t="s">
        <v>5345</v>
      </c>
      <c r="CD384" s="14" t="s">
        <v>7272</v>
      </c>
      <c r="CE384" s="14" t="s">
        <v>5945</v>
      </c>
    </row>
    <row r="385" spans="1:83" ht="26.15" hidden="1" customHeight="1">
      <c r="A385" s="13">
        <v>379</v>
      </c>
      <c r="B385" s="14" t="s">
        <v>1900</v>
      </c>
      <c r="C385" s="14" t="s">
        <v>1901</v>
      </c>
      <c r="D385" s="14" t="s">
        <v>1903</v>
      </c>
      <c r="E385" s="13">
        <v>2015</v>
      </c>
      <c r="F385" s="14" t="s">
        <v>5829</v>
      </c>
      <c r="G385" s="14" t="s">
        <v>5164</v>
      </c>
      <c r="H385" s="14" t="s">
        <v>4343</v>
      </c>
      <c r="I385" s="15" t="s">
        <v>3117</v>
      </c>
      <c r="J385" s="16">
        <v>1500000</v>
      </c>
      <c r="K385" s="17">
        <v>43066</v>
      </c>
      <c r="L385" s="16" t="s">
        <v>5022</v>
      </c>
      <c r="M385" s="16">
        <v>1500000</v>
      </c>
      <c r="N385" s="14" t="s">
        <v>34</v>
      </c>
      <c r="O385" s="13">
        <v>3</v>
      </c>
      <c r="P385" s="17">
        <v>44081</v>
      </c>
      <c r="Q385" s="14"/>
      <c r="R385" s="17"/>
      <c r="S385" s="17"/>
      <c r="T385" s="14" t="s">
        <v>1</v>
      </c>
      <c r="U385" s="14" t="s">
        <v>5135</v>
      </c>
      <c r="V385" s="14" t="s">
        <v>7725</v>
      </c>
      <c r="W385" s="14"/>
      <c r="X385" s="14" t="s">
        <v>7726</v>
      </c>
      <c r="Y385" s="14"/>
      <c r="Z385" s="14" t="s">
        <v>7727</v>
      </c>
      <c r="AA385" s="14"/>
      <c r="AB385" s="14" t="s">
        <v>4343</v>
      </c>
      <c r="AC385" s="14"/>
      <c r="AD385" s="14"/>
      <c r="AE385" s="14" t="s">
        <v>7728</v>
      </c>
      <c r="AF385" s="14" t="s">
        <v>7729</v>
      </c>
      <c r="AG385" s="14" t="s">
        <v>7730</v>
      </c>
      <c r="AH385" s="18"/>
      <c r="AI385" s="16"/>
      <c r="AJ385" s="17"/>
      <c r="AK385" s="15" t="s">
        <v>3123</v>
      </c>
      <c r="AL385" s="17"/>
      <c r="AM385" s="16"/>
      <c r="AN385" s="14"/>
      <c r="AO385" s="14"/>
      <c r="AP385" s="15" t="s">
        <v>3123</v>
      </c>
      <c r="AQ385" s="14"/>
      <c r="AR385" s="17"/>
      <c r="AS385" s="16"/>
      <c r="AT385" s="14"/>
      <c r="AU385" s="15" t="s">
        <v>3123</v>
      </c>
      <c r="AV385" s="14"/>
      <c r="AW385" s="17"/>
      <c r="AX385" s="16"/>
      <c r="AY385" s="16"/>
      <c r="AZ385" s="16"/>
      <c r="BA385" s="16"/>
      <c r="BB385" s="15" t="s">
        <v>3123</v>
      </c>
      <c r="BC385" s="17"/>
      <c r="BD385" s="14"/>
      <c r="BE385" s="14"/>
      <c r="BF385" s="16"/>
      <c r="BG385" s="16"/>
      <c r="BH385" s="13"/>
      <c r="BI385" s="18" t="s">
        <v>7731</v>
      </c>
      <c r="BJ385" s="13">
        <v>301</v>
      </c>
      <c r="BK385" s="17">
        <v>44124</v>
      </c>
      <c r="BL385" s="18"/>
      <c r="BM385" s="18"/>
      <c r="BN385" s="18"/>
      <c r="BO385" s="18"/>
      <c r="BP385" s="14" t="s">
        <v>7732</v>
      </c>
      <c r="BQ385" s="17">
        <v>42934</v>
      </c>
      <c r="BR385" s="16"/>
      <c r="BS385" s="17"/>
      <c r="BT385" s="16"/>
      <c r="BU385" s="17"/>
      <c r="BV385" s="16"/>
      <c r="BW385" s="17"/>
      <c r="BX385" s="16"/>
      <c r="BY385" s="17"/>
      <c r="BZ385" s="19">
        <v>32.213476435824575</v>
      </c>
      <c r="CA385" s="19"/>
      <c r="CB385" s="17"/>
      <c r="CC385" s="14" t="s">
        <v>5345</v>
      </c>
      <c r="CD385" s="14" t="s">
        <v>7272</v>
      </c>
      <c r="CE385" s="14" t="s">
        <v>5945</v>
      </c>
    </row>
    <row r="386" spans="1:83" ht="26.15" hidden="1" customHeight="1">
      <c r="A386" s="13">
        <v>380</v>
      </c>
      <c r="B386" s="14" t="s">
        <v>634</v>
      </c>
      <c r="C386" s="14" t="s">
        <v>635</v>
      </c>
      <c r="D386" s="14" t="s">
        <v>639</v>
      </c>
      <c r="E386" s="13">
        <v>2012</v>
      </c>
      <c r="F386" s="14" t="s">
        <v>6826</v>
      </c>
      <c r="G386" s="14" t="s">
        <v>6004</v>
      </c>
      <c r="H386" s="14" t="s">
        <v>4343</v>
      </c>
      <c r="I386" s="15" t="s">
        <v>3117</v>
      </c>
      <c r="J386" s="16">
        <v>17600000</v>
      </c>
      <c r="K386" s="17">
        <v>43812</v>
      </c>
      <c r="L386" s="16" t="s">
        <v>5165</v>
      </c>
      <c r="M386" s="16">
        <v>10000000</v>
      </c>
      <c r="N386" s="14" t="s">
        <v>25</v>
      </c>
      <c r="O386" s="13">
        <v>4</v>
      </c>
      <c r="P386" s="17">
        <v>44003</v>
      </c>
      <c r="Q386" s="14"/>
      <c r="R386" s="17"/>
      <c r="S386" s="17"/>
      <c r="T386" s="14" t="s">
        <v>6586</v>
      </c>
      <c r="U386" s="14" t="s">
        <v>6587</v>
      </c>
      <c r="V386" s="14" t="s">
        <v>7733</v>
      </c>
      <c r="W386" s="14"/>
      <c r="X386" s="14" t="s">
        <v>7734</v>
      </c>
      <c r="Y386" s="14"/>
      <c r="Z386" s="14" t="s">
        <v>7735</v>
      </c>
      <c r="AA386" s="14"/>
      <c r="AB386" s="14" t="s">
        <v>4343</v>
      </c>
      <c r="AC386" s="14"/>
      <c r="AD386" s="14"/>
      <c r="AE386" s="14" t="s">
        <v>7736</v>
      </c>
      <c r="AF386" s="14" t="s">
        <v>7737</v>
      </c>
      <c r="AG386" s="14" t="s">
        <v>7738</v>
      </c>
      <c r="AH386" s="18"/>
      <c r="AI386" s="16"/>
      <c r="AJ386" s="17"/>
      <c r="AK386" s="15" t="s">
        <v>3123</v>
      </c>
      <c r="AL386" s="17"/>
      <c r="AM386" s="16"/>
      <c r="AN386" s="14"/>
      <c r="AO386" s="14"/>
      <c r="AP386" s="15" t="s">
        <v>3123</v>
      </c>
      <c r="AQ386" s="14"/>
      <c r="AR386" s="17"/>
      <c r="AS386" s="16"/>
      <c r="AT386" s="14"/>
      <c r="AU386" s="15" t="s">
        <v>3123</v>
      </c>
      <c r="AV386" s="14"/>
      <c r="AW386" s="17"/>
      <c r="AX386" s="16"/>
      <c r="AY386" s="16"/>
      <c r="AZ386" s="16"/>
      <c r="BA386" s="16"/>
      <c r="BB386" s="15" t="s">
        <v>3123</v>
      </c>
      <c r="BC386" s="17"/>
      <c r="BD386" s="14"/>
      <c r="BE386" s="14"/>
      <c r="BF386" s="16"/>
      <c r="BG386" s="16"/>
      <c r="BH386" s="13"/>
      <c r="BI386" s="18" t="s">
        <v>7739</v>
      </c>
      <c r="BJ386" s="13">
        <v>200</v>
      </c>
      <c r="BK386" s="17">
        <v>44124</v>
      </c>
      <c r="BL386" s="18"/>
      <c r="BM386" s="18"/>
      <c r="BN386" s="18"/>
      <c r="BO386" s="18"/>
      <c r="BP386" s="14" t="s">
        <v>7740</v>
      </c>
      <c r="BQ386" s="17">
        <v>42685</v>
      </c>
      <c r="BR386" s="16"/>
      <c r="BS386" s="17"/>
      <c r="BT386" s="16"/>
      <c r="BU386" s="17"/>
      <c r="BV386" s="16"/>
      <c r="BW386" s="17"/>
      <c r="BX386" s="16"/>
      <c r="BY386" s="17"/>
      <c r="BZ386" s="19">
        <v>46.383035809497812</v>
      </c>
      <c r="CA386" s="19"/>
      <c r="CB386" s="17"/>
      <c r="CC386" s="14" t="s">
        <v>5345</v>
      </c>
      <c r="CD386" s="14" t="s">
        <v>7741</v>
      </c>
      <c r="CE386" s="14" t="s">
        <v>5521</v>
      </c>
    </row>
    <row r="387" spans="1:83" ht="26.15" customHeight="1">
      <c r="A387" s="13">
        <v>381</v>
      </c>
      <c r="B387" s="14" t="s">
        <v>1652</v>
      </c>
      <c r="C387" s="14" t="s">
        <v>1653</v>
      </c>
      <c r="D387" s="14" t="s">
        <v>1656</v>
      </c>
      <c r="E387" s="13">
        <v>2015</v>
      </c>
      <c r="F387" s="14" t="s">
        <v>7742</v>
      </c>
      <c r="G387" s="14" t="s">
        <v>6065</v>
      </c>
      <c r="H387" s="14" t="s">
        <v>2057</v>
      </c>
      <c r="I387" s="15" t="s">
        <v>3117</v>
      </c>
      <c r="J387" s="16">
        <v>41586600</v>
      </c>
      <c r="K387" s="17">
        <v>43238</v>
      </c>
      <c r="L387" s="16" t="s">
        <v>7743</v>
      </c>
      <c r="M387" s="16">
        <v>31408700</v>
      </c>
      <c r="N387" s="14" t="s">
        <v>95</v>
      </c>
      <c r="O387" s="13">
        <v>4</v>
      </c>
      <c r="P387" s="17">
        <v>44081</v>
      </c>
      <c r="Q387" s="14"/>
      <c r="R387" s="17"/>
      <c r="S387" s="17"/>
      <c r="T387" s="14" t="s">
        <v>5509</v>
      </c>
      <c r="U387" s="14" t="s">
        <v>7744</v>
      </c>
      <c r="V387" s="14" t="s">
        <v>7745</v>
      </c>
      <c r="W387" s="14"/>
      <c r="X387" s="14" t="s">
        <v>7746</v>
      </c>
      <c r="Y387" s="14"/>
      <c r="Z387" s="14" t="s">
        <v>7747</v>
      </c>
      <c r="AA387" s="14"/>
      <c r="AB387" s="14" t="s">
        <v>2057</v>
      </c>
      <c r="AC387" s="14" t="s">
        <v>7748</v>
      </c>
      <c r="AD387" s="14"/>
      <c r="AE387" s="14"/>
      <c r="AF387" s="14"/>
      <c r="AG387" s="14"/>
      <c r="AH387" s="18"/>
      <c r="AI387" s="16"/>
      <c r="AJ387" s="17"/>
      <c r="AK387" s="15" t="s">
        <v>3123</v>
      </c>
      <c r="AL387" s="17"/>
      <c r="AM387" s="16"/>
      <c r="AN387" s="14"/>
      <c r="AO387" s="14"/>
      <c r="AP387" s="15" t="s">
        <v>3123</v>
      </c>
      <c r="AQ387" s="14"/>
      <c r="AR387" s="17"/>
      <c r="AS387" s="16"/>
      <c r="AT387" s="14"/>
      <c r="AU387" s="15" t="s">
        <v>3123</v>
      </c>
      <c r="AV387" s="14"/>
      <c r="AW387" s="17"/>
      <c r="AX387" s="16"/>
      <c r="AY387" s="16"/>
      <c r="AZ387" s="16"/>
      <c r="BA387" s="16"/>
      <c r="BB387" s="15" t="s">
        <v>3123</v>
      </c>
      <c r="BC387" s="17"/>
      <c r="BD387" s="14"/>
      <c r="BE387" s="14"/>
      <c r="BF387" s="16"/>
      <c r="BG387" s="16"/>
      <c r="BH387" s="13"/>
      <c r="BI387" s="18" t="s">
        <v>7749</v>
      </c>
      <c r="BJ387" s="13">
        <v>200</v>
      </c>
      <c r="BK387" s="17">
        <v>44124</v>
      </c>
      <c r="BL387" s="18"/>
      <c r="BM387" s="18"/>
      <c r="BN387" s="18"/>
      <c r="BO387" s="18"/>
      <c r="BP387" s="14" t="s">
        <v>7750</v>
      </c>
      <c r="BQ387" s="17">
        <v>42492</v>
      </c>
      <c r="BR387" s="16"/>
      <c r="BS387" s="17"/>
      <c r="BT387" s="16"/>
      <c r="BU387" s="17"/>
      <c r="BV387" s="16"/>
      <c r="BW387" s="17"/>
      <c r="BX387" s="16"/>
      <c r="BY387" s="17"/>
      <c r="BZ387" s="19">
        <v>35.924320010272815</v>
      </c>
      <c r="CA387" s="19"/>
      <c r="CB387" s="17"/>
      <c r="CC387" s="14" t="s">
        <v>5002</v>
      </c>
      <c r="CD387" s="14" t="s">
        <v>7751</v>
      </c>
      <c r="CE387" s="14" t="s">
        <v>6074</v>
      </c>
    </row>
    <row r="388" spans="1:83" ht="26.15" customHeight="1">
      <c r="A388" s="13">
        <v>382</v>
      </c>
      <c r="B388" s="14" t="s">
        <v>2226</v>
      </c>
      <c r="C388" s="14" t="s">
        <v>2227</v>
      </c>
      <c r="D388" s="14" t="s">
        <v>2228</v>
      </c>
      <c r="E388" s="13">
        <v>2016</v>
      </c>
      <c r="F388" s="14" t="s">
        <v>6212</v>
      </c>
      <c r="G388" s="14" t="s">
        <v>6212</v>
      </c>
      <c r="H388" s="14" t="s">
        <v>6213</v>
      </c>
      <c r="I388" s="15" t="s">
        <v>3117</v>
      </c>
      <c r="J388" s="16">
        <v>9460000</v>
      </c>
      <c r="K388" s="17">
        <v>42726</v>
      </c>
      <c r="L388" s="16" t="s">
        <v>6597</v>
      </c>
      <c r="M388" s="16">
        <v>9460000</v>
      </c>
      <c r="N388" s="14" t="s">
        <v>109</v>
      </c>
      <c r="O388" s="13">
        <v>4</v>
      </c>
      <c r="P388" s="17">
        <v>44057</v>
      </c>
      <c r="Q388" s="14"/>
      <c r="R388" s="17"/>
      <c r="S388" s="17"/>
      <c r="T388" s="14" t="s">
        <v>5509</v>
      </c>
      <c r="U388" s="14" t="s">
        <v>5510</v>
      </c>
      <c r="V388" s="14" t="s">
        <v>9211</v>
      </c>
      <c r="W388" s="14"/>
      <c r="X388" s="14"/>
      <c r="Y388" s="14"/>
      <c r="Z388" s="14" t="s">
        <v>9212</v>
      </c>
      <c r="AA388" s="14"/>
      <c r="AB388" s="14" t="s">
        <v>6213</v>
      </c>
      <c r="AC388" s="14" t="s">
        <v>9213</v>
      </c>
      <c r="AD388" s="14"/>
      <c r="AE388" s="14" t="s">
        <v>9214</v>
      </c>
      <c r="AF388" s="14"/>
      <c r="AG388" s="14" t="s">
        <v>9215</v>
      </c>
      <c r="AH388" s="18"/>
      <c r="AI388" s="16"/>
      <c r="AJ388" s="17"/>
      <c r="AK388" s="15" t="s">
        <v>3123</v>
      </c>
      <c r="AL388" s="17"/>
      <c r="AM388" s="16"/>
      <c r="AN388" s="14"/>
      <c r="AO388" s="14"/>
      <c r="AP388" s="15" t="s">
        <v>3123</v>
      </c>
      <c r="AQ388" s="14"/>
      <c r="AR388" s="17"/>
      <c r="AS388" s="16"/>
      <c r="AT388" s="14"/>
      <c r="AU388" s="15" t="s">
        <v>3123</v>
      </c>
      <c r="AV388" s="14"/>
      <c r="AW388" s="17"/>
      <c r="AX388" s="16"/>
      <c r="AY388" s="16"/>
      <c r="AZ388" s="16"/>
      <c r="BA388" s="16"/>
      <c r="BB388" s="15" t="s">
        <v>3123</v>
      </c>
      <c r="BC388" s="17"/>
      <c r="BD388" s="14"/>
      <c r="BE388" s="14"/>
      <c r="BF388" s="16"/>
      <c r="BG388" s="16"/>
      <c r="BH388" s="13"/>
      <c r="BI388" s="18" t="s">
        <v>9216</v>
      </c>
      <c r="BJ388" s="13">
        <v>-1</v>
      </c>
      <c r="BK388" s="17">
        <v>44124</v>
      </c>
      <c r="BL388" s="18" t="s">
        <v>9217</v>
      </c>
      <c r="BM388" s="18" t="s">
        <v>9218</v>
      </c>
      <c r="BN388" s="18" t="s">
        <v>9219</v>
      </c>
      <c r="BO388" s="18"/>
      <c r="BP388" s="14" t="s">
        <v>9220</v>
      </c>
      <c r="BQ388" s="17">
        <v>42878</v>
      </c>
      <c r="BR388" s="16"/>
      <c r="BS388" s="17"/>
      <c r="BT388" s="16"/>
      <c r="BU388" s="17"/>
      <c r="BV388" s="16"/>
      <c r="BW388" s="17"/>
      <c r="BX388" s="16"/>
      <c r="BY388" s="17"/>
      <c r="BZ388" s="19">
        <v>31.529488329289496</v>
      </c>
      <c r="CA388" s="19"/>
      <c r="CB388" s="17"/>
      <c r="CC388" s="14" t="s">
        <v>6838</v>
      </c>
      <c r="CD388" s="14" t="s">
        <v>6839</v>
      </c>
      <c r="CE388" s="14" t="s">
        <v>5945</v>
      </c>
    </row>
    <row r="389" spans="1:83" ht="26.15" customHeight="1">
      <c r="A389" s="13">
        <v>383</v>
      </c>
      <c r="B389" s="14" t="s">
        <v>2393</v>
      </c>
      <c r="C389" s="14" t="s">
        <v>2394</v>
      </c>
      <c r="D389" s="14" t="s">
        <v>2396</v>
      </c>
      <c r="E389" s="13">
        <v>2015</v>
      </c>
      <c r="F389" s="14" t="s">
        <v>5389</v>
      </c>
      <c r="G389" s="14" t="s">
        <v>5390</v>
      </c>
      <c r="H389" s="14" t="s">
        <v>5391</v>
      </c>
      <c r="I389" s="15" t="s">
        <v>3117</v>
      </c>
      <c r="J389" s="16"/>
      <c r="K389" s="17">
        <v>42526</v>
      </c>
      <c r="L389" s="16" t="s">
        <v>9221</v>
      </c>
      <c r="M389" s="16">
        <v>3000</v>
      </c>
      <c r="N389" s="14" t="s">
        <v>5040</v>
      </c>
      <c r="O389" s="13"/>
      <c r="P389" s="17"/>
      <c r="Q389" s="14"/>
      <c r="R389" s="17"/>
      <c r="S389" s="17"/>
      <c r="T389" s="14" t="s">
        <v>1</v>
      </c>
      <c r="U389" s="14" t="s">
        <v>5007</v>
      </c>
      <c r="V389" s="14" t="s">
        <v>2397</v>
      </c>
      <c r="W389" s="14"/>
      <c r="X389" s="14" t="s">
        <v>4553</v>
      </c>
      <c r="Y389" s="14"/>
      <c r="Z389" s="14" t="s">
        <v>9222</v>
      </c>
      <c r="AA389" s="14"/>
      <c r="AB389" s="14" t="s">
        <v>5391</v>
      </c>
      <c r="AC389" s="14" t="s">
        <v>9223</v>
      </c>
      <c r="AD389" s="14"/>
      <c r="AE389" s="14" t="s">
        <v>9224</v>
      </c>
      <c r="AF389" s="14" t="s">
        <v>9225</v>
      </c>
      <c r="AG389" s="14"/>
      <c r="AH389" s="18"/>
      <c r="AI389" s="16"/>
      <c r="AJ389" s="17"/>
      <c r="AK389" s="15" t="s">
        <v>3123</v>
      </c>
      <c r="AL389" s="17"/>
      <c r="AM389" s="16"/>
      <c r="AN389" s="14"/>
      <c r="AO389" s="14"/>
      <c r="AP389" s="15" t="s">
        <v>3123</v>
      </c>
      <c r="AQ389" s="14"/>
      <c r="AR389" s="17"/>
      <c r="AS389" s="16"/>
      <c r="AT389" s="14"/>
      <c r="AU389" s="15" t="s">
        <v>3123</v>
      </c>
      <c r="AV389" s="14"/>
      <c r="AW389" s="17"/>
      <c r="AX389" s="16"/>
      <c r="AY389" s="16"/>
      <c r="AZ389" s="16"/>
      <c r="BA389" s="16"/>
      <c r="BB389" s="15" t="s">
        <v>3123</v>
      </c>
      <c r="BC389" s="17"/>
      <c r="BD389" s="14"/>
      <c r="BE389" s="14"/>
      <c r="BF389" s="16"/>
      <c r="BG389" s="16"/>
      <c r="BH389" s="13"/>
      <c r="BI389" s="18" t="s">
        <v>9226</v>
      </c>
      <c r="BJ389" s="13">
        <v>-1</v>
      </c>
      <c r="BK389" s="17">
        <v>44124</v>
      </c>
      <c r="BL389" s="18"/>
      <c r="BM389" s="18" t="s">
        <v>9227</v>
      </c>
      <c r="BN389" s="18" t="s">
        <v>9228</v>
      </c>
      <c r="BO389" s="18"/>
      <c r="BP389" s="14" t="s">
        <v>9229</v>
      </c>
      <c r="BQ389" s="17">
        <v>43033</v>
      </c>
      <c r="BR389" s="16"/>
      <c r="BS389" s="17"/>
      <c r="BT389" s="16"/>
      <c r="BU389" s="17"/>
      <c r="BV389" s="16"/>
      <c r="BW389" s="17"/>
      <c r="BX389" s="16"/>
      <c r="BY389" s="17"/>
      <c r="BZ389" s="19">
        <v>23.42437725998747</v>
      </c>
      <c r="CA389" s="19"/>
      <c r="CB389" s="17"/>
      <c r="CC389" s="14" t="s">
        <v>5541</v>
      </c>
      <c r="CD389" s="14" t="s">
        <v>6523</v>
      </c>
      <c r="CE389" s="14" t="s">
        <v>5945</v>
      </c>
    </row>
    <row r="390" spans="1:83" ht="26.15" customHeight="1">
      <c r="A390" s="13">
        <v>384</v>
      </c>
      <c r="B390" s="14" t="s">
        <v>724</v>
      </c>
      <c r="C390" s="14" t="s">
        <v>725</v>
      </c>
      <c r="D390" s="14" t="s">
        <v>728</v>
      </c>
      <c r="E390" s="13">
        <v>2015</v>
      </c>
      <c r="F390" s="14" t="s">
        <v>5222</v>
      </c>
      <c r="G390" s="14" t="s">
        <v>5223</v>
      </c>
      <c r="H390" s="14" t="s">
        <v>3994</v>
      </c>
      <c r="I390" s="15" t="s">
        <v>3117</v>
      </c>
      <c r="J390" s="16">
        <v>739765</v>
      </c>
      <c r="K390" s="17">
        <v>43761</v>
      </c>
      <c r="L390" s="16" t="s">
        <v>7752</v>
      </c>
      <c r="M390" s="16">
        <v>494497</v>
      </c>
      <c r="N390" s="14" t="s">
        <v>34</v>
      </c>
      <c r="O390" s="13">
        <v>4</v>
      </c>
      <c r="P390" s="17">
        <v>44022</v>
      </c>
      <c r="Q390" s="14"/>
      <c r="R390" s="17"/>
      <c r="S390" s="17"/>
      <c r="T390" s="14" t="s">
        <v>5426</v>
      </c>
      <c r="U390" s="14" t="s">
        <v>6018</v>
      </c>
      <c r="V390" s="14" t="s">
        <v>7753</v>
      </c>
      <c r="W390" s="14"/>
      <c r="X390" s="14" t="s">
        <v>7754</v>
      </c>
      <c r="Y390" s="14" t="s">
        <v>7755</v>
      </c>
      <c r="Z390" s="14" t="s">
        <v>7756</v>
      </c>
      <c r="AA390" s="14"/>
      <c r="AB390" s="14" t="s">
        <v>3994</v>
      </c>
      <c r="AC390" s="14"/>
      <c r="AD390" s="14"/>
      <c r="AE390" s="14" t="s">
        <v>7757</v>
      </c>
      <c r="AF390" s="14" t="s">
        <v>7758</v>
      </c>
      <c r="AG390" s="14" t="s">
        <v>7759</v>
      </c>
      <c r="AH390" s="18"/>
      <c r="AI390" s="16">
        <v>35000</v>
      </c>
      <c r="AJ390" s="17">
        <v>43465</v>
      </c>
      <c r="AK390" s="15" t="s">
        <v>3123</v>
      </c>
      <c r="AL390" s="17"/>
      <c r="AM390" s="16"/>
      <c r="AN390" s="14"/>
      <c r="AO390" s="14"/>
      <c r="AP390" s="15" t="s">
        <v>3123</v>
      </c>
      <c r="AQ390" s="14"/>
      <c r="AR390" s="17"/>
      <c r="AS390" s="16"/>
      <c r="AT390" s="14"/>
      <c r="AU390" s="15" t="s">
        <v>3123</v>
      </c>
      <c r="AV390" s="14"/>
      <c r="AW390" s="17"/>
      <c r="AX390" s="16"/>
      <c r="AY390" s="16"/>
      <c r="AZ390" s="16"/>
      <c r="BA390" s="16"/>
      <c r="BB390" s="15" t="s">
        <v>3123</v>
      </c>
      <c r="BC390" s="17"/>
      <c r="BD390" s="14"/>
      <c r="BE390" s="14"/>
      <c r="BF390" s="16"/>
      <c r="BG390" s="16"/>
      <c r="BH390" s="13"/>
      <c r="BI390" s="18" t="s">
        <v>7760</v>
      </c>
      <c r="BJ390" s="13">
        <v>200</v>
      </c>
      <c r="BK390" s="17">
        <v>44124</v>
      </c>
      <c r="BL390" s="18" t="s">
        <v>7761</v>
      </c>
      <c r="BM390" s="18" t="s">
        <v>7762</v>
      </c>
      <c r="BN390" s="18" t="s">
        <v>7763</v>
      </c>
      <c r="BO390" s="18"/>
      <c r="BP390" s="14" t="s">
        <v>7764</v>
      </c>
      <c r="BQ390" s="17">
        <v>42933</v>
      </c>
      <c r="BR390" s="16">
        <v>-118900</v>
      </c>
      <c r="BS390" s="17">
        <v>43465</v>
      </c>
      <c r="BT390" s="16">
        <v>-128700</v>
      </c>
      <c r="BU390" s="17">
        <v>43465</v>
      </c>
      <c r="BV390" s="16">
        <v>4000000</v>
      </c>
      <c r="BW390" s="17">
        <v>43761</v>
      </c>
      <c r="BX390" s="16"/>
      <c r="BY390" s="17"/>
      <c r="BZ390" s="19">
        <v>50.432904887484881</v>
      </c>
      <c r="CA390" s="19"/>
      <c r="CB390" s="17"/>
      <c r="CC390" s="14" t="s">
        <v>7606</v>
      </c>
      <c r="CD390" s="14" t="s">
        <v>7607</v>
      </c>
      <c r="CE390" s="14" t="s">
        <v>5945</v>
      </c>
    </row>
    <row r="391" spans="1:83" ht="26.15" customHeight="1">
      <c r="A391" s="13">
        <v>385</v>
      </c>
      <c r="B391" s="14" t="s">
        <v>2341</v>
      </c>
      <c r="C391" s="14" t="s">
        <v>2342</v>
      </c>
      <c r="D391" s="14" t="s">
        <v>2345</v>
      </c>
      <c r="E391" s="13">
        <v>2015</v>
      </c>
      <c r="F391" s="14" t="s">
        <v>5689</v>
      </c>
      <c r="G391" s="14" t="s">
        <v>5674</v>
      </c>
      <c r="H391" s="14" t="s">
        <v>2057</v>
      </c>
      <c r="I391" s="15" t="s">
        <v>3117</v>
      </c>
      <c r="J391" s="16">
        <v>5971680</v>
      </c>
      <c r="K391" s="17">
        <v>42571</v>
      </c>
      <c r="L391" s="16" t="s">
        <v>6481</v>
      </c>
      <c r="M391" s="16">
        <v>5971680</v>
      </c>
      <c r="N391" s="14" t="s">
        <v>109</v>
      </c>
      <c r="O391" s="13">
        <v>5</v>
      </c>
      <c r="P391" s="17">
        <v>44013</v>
      </c>
      <c r="Q391" s="14" t="s">
        <v>5052</v>
      </c>
      <c r="R391" s="17">
        <v>44027</v>
      </c>
      <c r="S391" s="17">
        <v>42552</v>
      </c>
      <c r="T391" s="14" t="s">
        <v>5426</v>
      </c>
      <c r="U391" s="14" t="s">
        <v>6018</v>
      </c>
      <c r="V391" s="14" t="s">
        <v>6091</v>
      </c>
      <c r="W391" s="14"/>
      <c r="X391" s="14" t="s">
        <v>2344</v>
      </c>
      <c r="Y391" s="14"/>
      <c r="Z391" s="14" t="s">
        <v>9230</v>
      </c>
      <c r="AA391" s="14"/>
      <c r="AB391" s="14" t="s">
        <v>2057</v>
      </c>
      <c r="AC391" s="14" t="s">
        <v>9231</v>
      </c>
      <c r="AD391" s="14" t="s">
        <v>9232</v>
      </c>
      <c r="AE391" s="14" t="s">
        <v>9233</v>
      </c>
      <c r="AF391" s="14" t="s">
        <v>9234</v>
      </c>
      <c r="AG391" s="14"/>
      <c r="AH391" s="18"/>
      <c r="AI391" s="16"/>
      <c r="AJ391" s="17"/>
      <c r="AK391" s="15" t="s">
        <v>3123</v>
      </c>
      <c r="AL391" s="17"/>
      <c r="AM391" s="16"/>
      <c r="AN391" s="14"/>
      <c r="AO391" s="14"/>
      <c r="AP391" s="15" t="s">
        <v>3123</v>
      </c>
      <c r="AQ391" s="14"/>
      <c r="AR391" s="17"/>
      <c r="AS391" s="16"/>
      <c r="AT391" s="14"/>
      <c r="AU391" s="15" t="s">
        <v>3123</v>
      </c>
      <c r="AV391" s="14"/>
      <c r="AW391" s="17"/>
      <c r="AX391" s="16"/>
      <c r="AY391" s="16"/>
      <c r="AZ391" s="16"/>
      <c r="BA391" s="16"/>
      <c r="BB391" s="15" t="s">
        <v>3123</v>
      </c>
      <c r="BC391" s="17"/>
      <c r="BD391" s="14"/>
      <c r="BE391" s="14"/>
      <c r="BF391" s="16"/>
      <c r="BG391" s="16"/>
      <c r="BH391" s="13"/>
      <c r="BI391" s="18" t="s">
        <v>9235</v>
      </c>
      <c r="BJ391" s="13">
        <v>200</v>
      </c>
      <c r="BK391" s="17">
        <v>44124</v>
      </c>
      <c r="BL391" s="18" t="s">
        <v>9236</v>
      </c>
      <c r="BM391" s="18"/>
      <c r="BN391" s="18"/>
      <c r="BO391" s="18"/>
      <c r="BP391" s="14" t="s">
        <v>9237</v>
      </c>
      <c r="BQ391" s="17">
        <v>42458</v>
      </c>
      <c r="BR391" s="16"/>
      <c r="BS391" s="17"/>
      <c r="BT391" s="16"/>
      <c r="BU391" s="17"/>
      <c r="BV391" s="16"/>
      <c r="BW391" s="17"/>
      <c r="BX391" s="16"/>
      <c r="BY391" s="17"/>
      <c r="BZ391" s="19">
        <v>22.20412609598894</v>
      </c>
      <c r="CA391" s="19"/>
      <c r="CB391" s="17"/>
      <c r="CC391" s="14" t="s">
        <v>5401</v>
      </c>
      <c r="CD391" s="14" t="s">
        <v>8145</v>
      </c>
      <c r="CE391" s="14" t="s">
        <v>5004</v>
      </c>
    </row>
    <row r="392" spans="1:83" ht="26.15" hidden="1" customHeight="1">
      <c r="A392" s="13">
        <v>386</v>
      </c>
      <c r="B392" s="14" t="s">
        <v>3090</v>
      </c>
      <c r="C392" s="14" t="s">
        <v>3091</v>
      </c>
      <c r="D392" s="14" t="s">
        <v>3093</v>
      </c>
      <c r="E392" s="13">
        <v>2004</v>
      </c>
      <c r="F392" s="14" t="s">
        <v>9238</v>
      </c>
      <c r="G392" s="14" t="s">
        <v>5164</v>
      </c>
      <c r="H392" s="14" t="s">
        <v>4343</v>
      </c>
      <c r="I392" s="15" t="s">
        <v>3117</v>
      </c>
      <c r="J392" s="16">
        <v>4179999</v>
      </c>
      <c r="K392" s="17">
        <v>40299</v>
      </c>
      <c r="L392" s="16" t="s">
        <v>5022</v>
      </c>
      <c r="M392" s="16">
        <v>2080000</v>
      </c>
      <c r="N392" s="14" t="s">
        <v>5314</v>
      </c>
      <c r="O392" s="13"/>
      <c r="P392" s="17"/>
      <c r="Q392" s="14"/>
      <c r="R392" s="17"/>
      <c r="S392" s="17"/>
      <c r="T392" s="14" t="s">
        <v>1</v>
      </c>
      <c r="U392" s="14" t="s">
        <v>5007</v>
      </c>
      <c r="V392" s="14" t="s">
        <v>3094</v>
      </c>
      <c r="W392" s="14"/>
      <c r="X392" s="14" t="s">
        <v>9239</v>
      </c>
      <c r="Y392" s="14"/>
      <c r="Z392" s="14" t="s">
        <v>9240</v>
      </c>
      <c r="AA392" s="14"/>
      <c r="AB392" s="14" t="s">
        <v>4343</v>
      </c>
      <c r="AC392" s="14" t="s">
        <v>9241</v>
      </c>
      <c r="AD392" s="14"/>
      <c r="AE392" s="14" t="s">
        <v>9242</v>
      </c>
      <c r="AF392" s="14" t="s">
        <v>9243</v>
      </c>
      <c r="AG392" s="14" t="s">
        <v>9244</v>
      </c>
      <c r="AH392" s="18"/>
      <c r="AI392" s="16"/>
      <c r="AJ392" s="17"/>
      <c r="AK392" s="15" t="s">
        <v>3123</v>
      </c>
      <c r="AL392" s="17"/>
      <c r="AM392" s="16"/>
      <c r="AN392" s="14"/>
      <c r="AO392" s="14"/>
      <c r="AP392" s="15" t="s">
        <v>3123</v>
      </c>
      <c r="AQ392" s="14"/>
      <c r="AR392" s="17"/>
      <c r="AS392" s="16"/>
      <c r="AT392" s="14"/>
      <c r="AU392" s="15" t="s">
        <v>3117</v>
      </c>
      <c r="AV392" s="14"/>
      <c r="AW392" s="17"/>
      <c r="AX392" s="16"/>
      <c r="AY392" s="16"/>
      <c r="AZ392" s="16"/>
      <c r="BA392" s="16"/>
      <c r="BB392" s="15" t="s">
        <v>3123</v>
      </c>
      <c r="BC392" s="17"/>
      <c r="BD392" s="14"/>
      <c r="BE392" s="14"/>
      <c r="BF392" s="16"/>
      <c r="BG392" s="16"/>
      <c r="BH392" s="13"/>
      <c r="BI392" s="18" t="s">
        <v>9245</v>
      </c>
      <c r="BJ392" s="13">
        <v>301</v>
      </c>
      <c r="BK392" s="17">
        <v>44124</v>
      </c>
      <c r="BL392" s="18" t="s">
        <v>9246</v>
      </c>
      <c r="BM392" s="18"/>
      <c r="BN392" s="18"/>
      <c r="BO392" s="18"/>
      <c r="BP392" s="14" t="s">
        <v>9247</v>
      </c>
      <c r="BQ392" s="17">
        <v>43033</v>
      </c>
      <c r="BR392" s="16"/>
      <c r="BS392" s="17"/>
      <c r="BT392" s="16"/>
      <c r="BU392" s="17"/>
      <c r="BV392" s="16"/>
      <c r="BW392" s="17"/>
      <c r="BX392" s="16"/>
      <c r="BY392" s="17"/>
      <c r="BZ392" s="19">
        <v>26.970606667471884</v>
      </c>
      <c r="CA392" s="19"/>
      <c r="CB392" s="17"/>
      <c r="CC392" s="14" t="s">
        <v>5345</v>
      </c>
      <c r="CD392" s="14" t="s">
        <v>7272</v>
      </c>
      <c r="CE392" s="14" t="s">
        <v>5945</v>
      </c>
    </row>
    <row r="393" spans="1:83" ht="26.15" hidden="1" customHeight="1">
      <c r="A393" s="13">
        <v>387</v>
      </c>
      <c r="B393" s="14" t="s">
        <v>353</v>
      </c>
      <c r="C393" s="14" t="s">
        <v>354</v>
      </c>
      <c r="D393" s="14" t="s">
        <v>358</v>
      </c>
      <c r="E393" s="13">
        <v>2013</v>
      </c>
      <c r="F393" s="14" t="s">
        <v>5829</v>
      </c>
      <c r="G393" s="14" t="s">
        <v>5164</v>
      </c>
      <c r="H393" s="14" t="s">
        <v>4343</v>
      </c>
      <c r="I393" s="15" t="s">
        <v>3117</v>
      </c>
      <c r="J393" s="16">
        <v>9700000</v>
      </c>
      <c r="K393" s="17">
        <v>43978</v>
      </c>
      <c r="L393" s="16" t="s">
        <v>5069</v>
      </c>
      <c r="M393" s="16">
        <v>3000000</v>
      </c>
      <c r="N393" s="14" t="s">
        <v>109</v>
      </c>
      <c r="O393" s="13">
        <v>4</v>
      </c>
      <c r="P393" s="17">
        <v>44057</v>
      </c>
      <c r="Q393" s="14" t="s">
        <v>5052</v>
      </c>
      <c r="R393" s="17">
        <v>43984</v>
      </c>
      <c r="S393" s="17">
        <v>43157</v>
      </c>
      <c r="T393" s="14" t="s">
        <v>5041</v>
      </c>
      <c r="U393" s="14" t="s">
        <v>5042</v>
      </c>
      <c r="V393" s="14" t="s">
        <v>7413</v>
      </c>
      <c r="W393" s="14"/>
      <c r="X393" s="14" t="s">
        <v>7765</v>
      </c>
      <c r="Y393" s="14" t="s">
        <v>1810</v>
      </c>
      <c r="Z393" s="14" t="s">
        <v>7766</v>
      </c>
      <c r="AA393" s="14"/>
      <c r="AB393" s="14" t="s">
        <v>4343</v>
      </c>
      <c r="AC393" s="14"/>
      <c r="AD393" s="14"/>
      <c r="AE393" s="14" t="s">
        <v>7767</v>
      </c>
      <c r="AF393" s="14" t="s">
        <v>7768</v>
      </c>
      <c r="AG393" s="14" t="s">
        <v>7769</v>
      </c>
      <c r="AH393" s="18"/>
      <c r="AI393" s="16"/>
      <c r="AJ393" s="17"/>
      <c r="AK393" s="15" t="s">
        <v>3123</v>
      </c>
      <c r="AL393" s="17"/>
      <c r="AM393" s="16"/>
      <c r="AN393" s="14"/>
      <c r="AO393" s="14"/>
      <c r="AP393" s="15" t="s">
        <v>3123</v>
      </c>
      <c r="AQ393" s="14"/>
      <c r="AR393" s="17"/>
      <c r="AS393" s="16"/>
      <c r="AT393" s="14"/>
      <c r="AU393" s="15" t="s">
        <v>3123</v>
      </c>
      <c r="AV393" s="14"/>
      <c r="AW393" s="17"/>
      <c r="AX393" s="16"/>
      <c r="AY393" s="16"/>
      <c r="AZ393" s="16"/>
      <c r="BA393" s="16"/>
      <c r="BB393" s="15" t="s">
        <v>3123</v>
      </c>
      <c r="BC393" s="17"/>
      <c r="BD393" s="14"/>
      <c r="BE393" s="14"/>
      <c r="BF393" s="16"/>
      <c r="BG393" s="16"/>
      <c r="BH393" s="13"/>
      <c r="BI393" s="18" t="s">
        <v>7770</v>
      </c>
      <c r="BJ393" s="13">
        <v>200</v>
      </c>
      <c r="BK393" s="17">
        <v>44124</v>
      </c>
      <c r="BL393" s="18" t="s">
        <v>7771</v>
      </c>
      <c r="BM393" s="18" t="s">
        <v>7772</v>
      </c>
      <c r="BN393" s="18" t="s">
        <v>7773</v>
      </c>
      <c r="BO393" s="18"/>
      <c r="BP393" s="14" t="s">
        <v>7774</v>
      </c>
      <c r="BQ393" s="17">
        <v>43019</v>
      </c>
      <c r="BR393" s="16"/>
      <c r="BS393" s="17"/>
      <c r="BT393" s="16"/>
      <c r="BU393" s="17"/>
      <c r="BV393" s="16"/>
      <c r="BW393" s="17"/>
      <c r="BX393" s="16"/>
      <c r="BY393" s="17"/>
      <c r="BZ393" s="19">
        <v>58.43433964758146</v>
      </c>
      <c r="CA393" s="19"/>
      <c r="CB393" s="17"/>
      <c r="CC393" s="14" t="s">
        <v>5036</v>
      </c>
      <c r="CD393" s="14" t="s">
        <v>5962</v>
      </c>
      <c r="CE393" s="14" t="s">
        <v>5945</v>
      </c>
    </row>
    <row r="394" spans="1:83" ht="26.15" customHeight="1">
      <c r="A394" s="13">
        <v>388</v>
      </c>
      <c r="B394" s="14" t="s">
        <v>2661</v>
      </c>
      <c r="C394" s="14" t="s">
        <v>2662</v>
      </c>
      <c r="D394" s="14" t="s">
        <v>2663</v>
      </c>
      <c r="E394" s="13">
        <v>2015</v>
      </c>
      <c r="F394" s="14" t="s">
        <v>4993</v>
      </c>
      <c r="G394" s="14" t="s">
        <v>4994</v>
      </c>
      <c r="H394" s="14" t="s">
        <v>2057</v>
      </c>
      <c r="I394" s="15" t="s">
        <v>3117</v>
      </c>
      <c r="J394" s="16"/>
      <c r="K394" s="17">
        <v>42217</v>
      </c>
      <c r="L394" s="16"/>
      <c r="M394" s="16" t="s">
        <v>50</v>
      </c>
      <c r="N394" s="14" t="s">
        <v>5630</v>
      </c>
      <c r="O394" s="13"/>
      <c r="P394" s="17"/>
      <c r="Q394" s="14"/>
      <c r="R394" s="17"/>
      <c r="S394" s="17"/>
      <c r="T394" s="14" t="s">
        <v>5509</v>
      </c>
      <c r="U394" s="14" t="s">
        <v>5510</v>
      </c>
      <c r="V394" s="14" t="s">
        <v>9029</v>
      </c>
      <c r="W394" s="14"/>
      <c r="X394" s="14" t="s">
        <v>9248</v>
      </c>
      <c r="Y394" s="14"/>
      <c r="Z394" s="14" t="s">
        <v>9249</v>
      </c>
      <c r="AA394" s="14"/>
      <c r="AB394" s="14" t="s">
        <v>2057</v>
      </c>
      <c r="AC394" s="14"/>
      <c r="AD394" s="14"/>
      <c r="AE394" s="14"/>
      <c r="AF394" s="14"/>
      <c r="AG394" s="14"/>
      <c r="AH394" s="18"/>
      <c r="AI394" s="16"/>
      <c r="AJ394" s="17"/>
      <c r="AK394" s="15" t="s">
        <v>3123</v>
      </c>
      <c r="AL394" s="17"/>
      <c r="AM394" s="16"/>
      <c r="AN394" s="14"/>
      <c r="AO394" s="14"/>
      <c r="AP394" s="15" t="s">
        <v>3123</v>
      </c>
      <c r="AQ394" s="14"/>
      <c r="AR394" s="17"/>
      <c r="AS394" s="16"/>
      <c r="AT394" s="14"/>
      <c r="AU394" s="15" t="s">
        <v>3123</v>
      </c>
      <c r="AV394" s="14"/>
      <c r="AW394" s="17"/>
      <c r="AX394" s="16"/>
      <c r="AY394" s="16"/>
      <c r="AZ394" s="16"/>
      <c r="BA394" s="16"/>
      <c r="BB394" s="15" t="s">
        <v>3117</v>
      </c>
      <c r="BC394" s="17"/>
      <c r="BD394" s="14"/>
      <c r="BE394" s="14"/>
      <c r="BF394" s="16"/>
      <c r="BG394" s="16"/>
      <c r="BH394" s="13"/>
      <c r="BI394" s="18" t="s">
        <v>9250</v>
      </c>
      <c r="BJ394" s="13">
        <v>-1</v>
      </c>
      <c r="BK394" s="17">
        <v>44124</v>
      </c>
      <c r="BL394" s="18"/>
      <c r="BM394" s="18"/>
      <c r="BN394" s="18"/>
      <c r="BO394" s="18"/>
      <c r="BP394" s="14" t="s">
        <v>9251</v>
      </c>
      <c r="BQ394" s="17">
        <v>42643</v>
      </c>
      <c r="BR394" s="16"/>
      <c r="BS394" s="17"/>
      <c r="BT394" s="16"/>
      <c r="BU394" s="17"/>
      <c r="BV394" s="16"/>
      <c r="BW394" s="17"/>
      <c r="BX394" s="16"/>
      <c r="BY394" s="17"/>
      <c r="BZ394" s="19">
        <v>19.155195444678039</v>
      </c>
      <c r="CA394" s="19"/>
      <c r="CB394" s="17"/>
      <c r="CC394" s="14" t="s">
        <v>5002</v>
      </c>
      <c r="CD394" s="14" t="s">
        <v>9252</v>
      </c>
      <c r="CE394" s="14" t="s">
        <v>5311</v>
      </c>
    </row>
    <row r="395" spans="1:83" ht="26.15" customHeight="1">
      <c r="A395" s="13">
        <v>389</v>
      </c>
      <c r="B395" s="14" t="s">
        <v>2814</v>
      </c>
      <c r="C395" s="14" t="s">
        <v>2815</v>
      </c>
      <c r="D395" s="14" t="s">
        <v>2816</v>
      </c>
      <c r="E395" s="13">
        <v>2014</v>
      </c>
      <c r="F395" s="14" t="s">
        <v>4993</v>
      </c>
      <c r="G395" s="14" t="s">
        <v>4994</v>
      </c>
      <c r="H395" s="14" t="s">
        <v>2057</v>
      </c>
      <c r="I395" s="15" t="s">
        <v>3117</v>
      </c>
      <c r="J395" s="16"/>
      <c r="K395" s="17">
        <v>41936</v>
      </c>
      <c r="L395" s="16"/>
      <c r="M395" s="16" t="s">
        <v>50</v>
      </c>
      <c r="N395" s="14" t="s">
        <v>5630</v>
      </c>
      <c r="O395" s="13"/>
      <c r="P395" s="17"/>
      <c r="Q395" s="14"/>
      <c r="R395" s="17"/>
      <c r="S395" s="17"/>
      <c r="T395" s="14" t="s">
        <v>5509</v>
      </c>
      <c r="U395" s="14" t="s">
        <v>5510</v>
      </c>
      <c r="V395" s="14" t="s">
        <v>9029</v>
      </c>
      <c r="W395" s="14"/>
      <c r="X395" s="14"/>
      <c r="Y395" s="14"/>
      <c r="Z395" s="14" t="s">
        <v>9253</v>
      </c>
      <c r="AA395" s="14"/>
      <c r="AB395" s="14" t="s">
        <v>2057</v>
      </c>
      <c r="AC395" s="14"/>
      <c r="AD395" s="14"/>
      <c r="AE395" s="14" t="s">
        <v>9254</v>
      </c>
      <c r="AF395" s="14"/>
      <c r="AG395" s="14" t="s">
        <v>9255</v>
      </c>
      <c r="AH395" s="18"/>
      <c r="AI395" s="16"/>
      <c r="AJ395" s="17"/>
      <c r="AK395" s="15" t="s">
        <v>3123</v>
      </c>
      <c r="AL395" s="17"/>
      <c r="AM395" s="16"/>
      <c r="AN395" s="14"/>
      <c r="AO395" s="14"/>
      <c r="AP395" s="15" t="s">
        <v>3123</v>
      </c>
      <c r="AQ395" s="14"/>
      <c r="AR395" s="17"/>
      <c r="AS395" s="16"/>
      <c r="AT395" s="14"/>
      <c r="AU395" s="15" t="s">
        <v>3123</v>
      </c>
      <c r="AV395" s="14"/>
      <c r="AW395" s="17"/>
      <c r="AX395" s="16"/>
      <c r="AY395" s="16"/>
      <c r="AZ395" s="16"/>
      <c r="BA395" s="16"/>
      <c r="BB395" s="15" t="s">
        <v>3117</v>
      </c>
      <c r="BC395" s="17"/>
      <c r="BD395" s="14"/>
      <c r="BE395" s="14"/>
      <c r="BF395" s="16"/>
      <c r="BG395" s="16"/>
      <c r="BH395" s="13"/>
      <c r="BI395" s="18" t="s">
        <v>9256</v>
      </c>
      <c r="BJ395" s="13">
        <v>-1</v>
      </c>
      <c r="BK395" s="17">
        <v>44124</v>
      </c>
      <c r="BL395" s="18" t="s">
        <v>9257</v>
      </c>
      <c r="BM395" s="18"/>
      <c r="BN395" s="18"/>
      <c r="BO395" s="18"/>
      <c r="BP395" s="14" t="s">
        <v>9258</v>
      </c>
      <c r="BQ395" s="17">
        <v>42643</v>
      </c>
      <c r="BR395" s="16"/>
      <c r="BS395" s="17"/>
      <c r="BT395" s="16"/>
      <c r="BU395" s="17"/>
      <c r="BV395" s="16"/>
      <c r="BW395" s="17"/>
      <c r="BX395" s="16"/>
      <c r="BY395" s="17"/>
      <c r="BZ395" s="19">
        <v>5.5516449722401795</v>
      </c>
      <c r="CA395" s="19"/>
      <c r="CB395" s="17"/>
      <c r="CC395" s="14" t="s">
        <v>5002</v>
      </c>
      <c r="CD395" s="14" t="s">
        <v>6731</v>
      </c>
      <c r="CE395" s="14" t="s">
        <v>6074</v>
      </c>
    </row>
    <row r="396" spans="1:83" ht="26.15" hidden="1" customHeight="1">
      <c r="A396" s="13">
        <v>390</v>
      </c>
      <c r="B396" s="14" t="s">
        <v>228</v>
      </c>
      <c r="C396" s="14" t="s">
        <v>229</v>
      </c>
      <c r="D396" s="14" t="s">
        <v>234</v>
      </c>
      <c r="E396" s="13">
        <v>2015</v>
      </c>
      <c r="F396" s="14" t="s">
        <v>7787</v>
      </c>
      <c r="G396" s="14" t="s">
        <v>7788</v>
      </c>
      <c r="H396" s="14" t="s">
        <v>7789</v>
      </c>
      <c r="I396" s="15" t="s">
        <v>3117</v>
      </c>
      <c r="J396" s="16">
        <v>60000000</v>
      </c>
      <c r="K396" s="17">
        <v>44033</v>
      </c>
      <c r="L396" s="16" t="s">
        <v>7790</v>
      </c>
      <c r="M396" s="16">
        <v>30000000</v>
      </c>
      <c r="N396" s="14" t="s">
        <v>95</v>
      </c>
      <c r="O396" s="13">
        <v>5</v>
      </c>
      <c r="P396" s="17">
        <v>44057</v>
      </c>
      <c r="Q396" s="14" t="s">
        <v>5544</v>
      </c>
      <c r="R396" s="17">
        <v>44039</v>
      </c>
      <c r="S396" s="17">
        <v>43410</v>
      </c>
      <c r="T396" s="14" t="s">
        <v>1</v>
      </c>
      <c r="U396" s="14" t="s">
        <v>5007</v>
      </c>
      <c r="V396" s="14" t="s">
        <v>5192</v>
      </c>
      <c r="W396" s="14"/>
      <c r="X396" s="14" t="s">
        <v>7791</v>
      </c>
      <c r="Y396" s="14" t="s">
        <v>7792</v>
      </c>
      <c r="Z396" s="14" t="s">
        <v>7793</v>
      </c>
      <c r="AA396" s="14"/>
      <c r="AB396" s="14" t="s">
        <v>4343</v>
      </c>
      <c r="AC396" s="14" t="s">
        <v>7794</v>
      </c>
      <c r="AD396" s="14"/>
      <c r="AE396" s="14" t="s">
        <v>7795</v>
      </c>
      <c r="AF396" s="14" t="s">
        <v>7796</v>
      </c>
      <c r="AG396" s="14" t="s">
        <v>7797</v>
      </c>
      <c r="AH396" s="18"/>
      <c r="AI396" s="16"/>
      <c r="AJ396" s="17"/>
      <c r="AK396" s="15" t="s">
        <v>3123</v>
      </c>
      <c r="AL396" s="17"/>
      <c r="AM396" s="16"/>
      <c r="AN396" s="14"/>
      <c r="AO396" s="14" t="s">
        <v>7798</v>
      </c>
      <c r="AP396" s="15" t="s">
        <v>3123</v>
      </c>
      <c r="AQ396" s="14"/>
      <c r="AR396" s="17"/>
      <c r="AS396" s="16"/>
      <c r="AT396" s="14"/>
      <c r="AU396" s="15" t="s">
        <v>3123</v>
      </c>
      <c r="AV396" s="14"/>
      <c r="AW396" s="17"/>
      <c r="AX396" s="16"/>
      <c r="AY396" s="16"/>
      <c r="AZ396" s="16"/>
      <c r="BA396" s="16"/>
      <c r="BB396" s="15" t="s">
        <v>3123</v>
      </c>
      <c r="BC396" s="17"/>
      <c r="BD396" s="14"/>
      <c r="BE396" s="14"/>
      <c r="BF396" s="16"/>
      <c r="BG396" s="16"/>
      <c r="BH396" s="13"/>
      <c r="BI396" s="18" t="s">
        <v>7799</v>
      </c>
      <c r="BJ396" s="13">
        <v>200</v>
      </c>
      <c r="BK396" s="17">
        <v>44124</v>
      </c>
      <c r="BL396" s="18" t="s">
        <v>7800</v>
      </c>
      <c r="BM396" s="18" t="s">
        <v>7801</v>
      </c>
      <c r="BN396" s="18" t="s">
        <v>7802</v>
      </c>
      <c r="BO396" s="18" t="s">
        <v>7803</v>
      </c>
      <c r="BP396" s="14" t="s">
        <v>7804</v>
      </c>
      <c r="BQ396" s="17">
        <v>42929</v>
      </c>
      <c r="BR396" s="16"/>
      <c r="BS396" s="17"/>
      <c r="BT396" s="16"/>
      <c r="BU396" s="17"/>
      <c r="BV396" s="16"/>
      <c r="BW396" s="17"/>
      <c r="BX396" s="16"/>
      <c r="BY396" s="17"/>
      <c r="BZ396" s="19">
        <v>59.139031802193053</v>
      </c>
      <c r="CA396" s="19"/>
      <c r="CB396" s="17"/>
      <c r="CC396" s="14" t="s">
        <v>7805</v>
      </c>
      <c r="CD396" s="14" t="s">
        <v>7806</v>
      </c>
      <c r="CE396" s="14" t="s">
        <v>5004</v>
      </c>
    </row>
    <row r="397" spans="1:83" ht="26.15" customHeight="1">
      <c r="A397" s="13">
        <v>391</v>
      </c>
      <c r="B397" s="14" t="s">
        <v>2363</v>
      </c>
      <c r="C397" s="14" t="s">
        <v>2364</v>
      </c>
      <c r="D397" s="14" t="s">
        <v>2367</v>
      </c>
      <c r="E397" s="13">
        <v>2014</v>
      </c>
      <c r="F397" s="14" t="s">
        <v>6366</v>
      </c>
      <c r="G397" s="14" t="s">
        <v>5276</v>
      </c>
      <c r="H397" s="14" t="s">
        <v>5277</v>
      </c>
      <c r="I397" s="15" t="s">
        <v>3117</v>
      </c>
      <c r="J397" s="16">
        <v>125000</v>
      </c>
      <c r="K397" s="17">
        <v>42545</v>
      </c>
      <c r="L397" s="16"/>
      <c r="M397" s="16" t="s">
        <v>50</v>
      </c>
      <c r="N397" s="14" t="s">
        <v>34</v>
      </c>
      <c r="O397" s="13">
        <v>4</v>
      </c>
      <c r="P397" s="17">
        <v>44011</v>
      </c>
      <c r="Q397" s="14"/>
      <c r="R397" s="17"/>
      <c r="S397" s="17"/>
      <c r="T397" s="14" t="s">
        <v>9259</v>
      </c>
      <c r="U397" s="14" t="s">
        <v>9260</v>
      </c>
      <c r="V397" s="14" t="s">
        <v>9261</v>
      </c>
      <c r="W397" s="14"/>
      <c r="X397" s="14" t="s">
        <v>9262</v>
      </c>
      <c r="Y397" s="14"/>
      <c r="Z397" s="14" t="s">
        <v>9263</v>
      </c>
      <c r="AA397" s="14"/>
      <c r="AB397" s="14" t="s">
        <v>5277</v>
      </c>
      <c r="AC397" s="14" t="s">
        <v>9264</v>
      </c>
      <c r="AD397" s="14"/>
      <c r="AE397" s="14" t="s">
        <v>9265</v>
      </c>
      <c r="AF397" s="14" t="s">
        <v>9266</v>
      </c>
      <c r="AG397" s="14" t="s">
        <v>9267</v>
      </c>
      <c r="AH397" s="18"/>
      <c r="AI397" s="16"/>
      <c r="AJ397" s="17"/>
      <c r="AK397" s="15" t="s">
        <v>3123</v>
      </c>
      <c r="AL397" s="17"/>
      <c r="AM397" s="16"/>
      <c r="AN397" s="14"/>
      <c r="AO397" s="14"/>
      <c r="AP397" s="15" t="s">
        <v>3123</v>
      </c>
      <c r="AQ397" s="14"/>
      <c r="AR397" s="17"/>
      <c r="AS397" s="16"/>
      <c r="AT397" s="14"/>
      <c r="AU397" s="15" t="s">
        <v>3123</v>
      </c>
      <c r="AV397" s="14"/>
      <c r="AW397" s="17"/>
      <c r="AX397" s="16"/>
      <c r="AY397" s="16"/>
      <c r="AZ397" s="16"/>
      <c r="BA397" s="16"/>
      <c r="BB397" s="15" t="s">
        <v>3123</v>
      </c>
      <c r="BC397" s="17"/>
      <c r="BD397" s="14"/>
      <c r="BE397" s="14"/>
      <c r="BF397" s="16"/>
      <c r="BG397" s="16"/>
      <c r="BH397" s="13"/>
      <c r="BI397" s="18" t="s">
        <v>9268</v>
      </c>
      <c r="BJ397" s="13">
        <v>200</v>
      </c>
      <c r="BK397" s="17">
        <v>44124</v>
      </c>
      <c r="BL397" s="18" t="s">
        <v>9269</v>
      </c>
      <c r="BM397" s="18" t="s">
        <v>9270</v>
      </c>
      <c r="BN397" s="18" t="s">
        <v>9271</v>
      </c>
      <c r="BO397" s="18" t="s">
        <v>9272</v>
      </c>
      <c r="BP397" s="14" t="s">
        <v>9273</v>
      </c>
      <c r="BQ397" s="17">
        <v>42440</v>
      </c>
      <c r="BR397" s="16"/>
      <c r="BS397" s="17"/>
      <c r="BT397" s="16"/>
      <c r="BU397" s="17"/>
      <c r="BV397" s="16"/>
      <c r="BW397" s="17"/>
      <c r="BX397" s="16"/>
      <c r="BY397" s="17"/>
      <c r="BZ397" s="19">
        <v>54.34961705579984</v>
      </c>
      <c r="CA397" s="19"/>
      <c r="CB397" s="17"/>
      <c r="CC397" s="14" t="s">
        <v>6487</v>
      </c>
      <c r="CD397" s="14" t="s">
        <v>5424</v>
      </c>
      <c r="CE397" s="14" t="s">
        <v>5311</v>
      </c>
    </row>
    <row r="398" spans="1:83" ht="26.15" customHeight="1">
      <c r="A398" s="13">
        <v>392</v>
      </c>
      <c r="B398" s="14" t="s">
        <v>2516</v>
      </c>
      <c r="C398" s="14" t="s">
        <v>2517</v>
      </c>
      <c r="D398" s="14" t="s">
        <v>2518</v>
      </c>
      <c r="E398" s="13">
        <v>2015</v>
      </c>
      <c r="F398" s="14" t="s">
        <v>7648</v>
      </c>
      <c r="G398" s="14" t="s">
        <v>5152</v>
      </c>
      <c r="H398" s="14" t="s">
        <v>2057</v>
      </c>
      <c r="I398" s="15" t="s">
        <v>3117</v>
      </c>
      <c r="J398" s="16">
        <v>152000</v>
      </c>
      <c r="K398" s="17">
        <v>42398</v>
      </c>
      <c r="L398" s="16" t="s">
        <v>9274</v>
      </c>
      <c r="M398" s="16">
        <v>152000</v>
      </c>
      <c r="N398" s="14" t="s">
        <v>5630</v>
      </c>
      <c r="O398" s="13"/>
      <c r="P398" s="17"/>
      <c r="Q398" s="14"/>
      <c r="R398" s="17"/>
      <c r="S398" s="17"/>
      <c r="T398" s="14" t="s">
        <v>5509</v>
      </c>
      <c r="U398" s="14" t="s">
        <v>7744</v>
      </c>
      <c r="V398" s="14" t="s">
        <v>7745</v>
      </c>
      <c r="W398" s="14"/>
      <c r="X398" s="14"/>
      <c r="Y398" s="14"/>
      <c r="Z398" s="14" t="s">
        <v>9275</v>
      </c>
      <c r="AA398" s="14"/>
      <c r="AB398" s="14" t="s">
        <v>2057</v>
      </c>
      <c r="AC398" s="14"/>
      <c r="AD398" s="14"/>
      <c r="AE398" s="14" t="s">
        <v>9276</v>
      </c>
      <c r="AF398" s="14"/>
      <c r="AG398" s="14"/>
      <c r="AH398" s="18"/>
      <c r="AI398" s="16"/>
      <c r="AJ398" s="17"/>
      <c r="AK398" s="15" t="s">
        <v>3123</v>
      </c>
      <c r="AL398" s="17"/>
      <c r="AM398" s="16"/>
      <c r="AN398" s="14"/>
      <c r="AO398" s="14"/>
      <c r="AP398" s="15" t="s">
        <v>3123</v>
      </c>
      <c r="AQ398" s="14"/>
      <c r="AR398" s="17"/>
      <c r="AS398" s="16"/>
      <c r="AT398" s="14"/>
      <c r="AU398" s="15" t="s">
        <v>3123</v>
      </c>
      <c r="AV398" s="14"/>
      <c r="AW398" s="17"/>
      <c r="AX398" s="16"/>
      <c r="AY398" s="16"/>
      <c r="AZ398" s="16"/>
      <c r="BA398" s="16"/>
      <c r="BB398" s="15" t="s">
        <v>3117</v>
      </c>
      <c r="BC398" s="17"/>
      <c r="BD398" s="14"/>
      <c r="BE398" s="14"/>
      <c r="BF398" s="16"/>
      <c r="BG398" s="16"/>
      <c r="BH398" s="13"/>
      <c r="BI398" s="18" t="s">
        <v>9277</v>
      </c>
      <c r="BJ398" s="13">
        <v>200</v>
      </c>
      <c r="BK398" s="17">
        <v>44124</v>
      </c>
      <c r="BL398" s="18"/>
      <c r="BM398" s="18"/>
      <c r="BN398" s="18"/>
      <c r="BO398" s="18"/>
      <c r="BP398" s="14" t="s">
        <v>9278</v>
      </c>
      <c r="BQ398" s="17">
        <v>42516</v>
      </c>
      <c r="BR398" s="16"/>
      <c r="BS398" s="17"/>
      <c r="BT398" s="16"/>
      <c r="BU398" s="17"/>
      <c r="BV398" s="16"/>
      <c r="BW398" s="17"/>
      <c r="BX398" s="16"/>
      <c r="BY398" s="17"/>
      <c r="BZ398" s="19">
        <v>6.7087241268761835</v>
      </c>
      <c r="CA398" s="19"/>
      <c r="CB398" s="17"/>
      <c r="CC398" s="14" t="s">
        <v>7816</v>
      </c>
      <c r="CD398" s="14" t="s">
        <v>7522</v>
      </c>
      <c r="CE398" s="14" t="s">
        <v>5945</v>
      </c>
    </row>
    <row r="399" spans="1:83" ht="26.15" customHeight="1">
      <c r="A399" s="13">
        <v>393</v>
      </c>
      <c r="B399" s="14" t="s">
        <v>1120</v>
      </c>
      <c r="C399" s="14" t="s">
        <v>1121</v>
      </c>
      <c r="D399" s="14" t="s">
        <v>1124</v>
      </c>
      <c r="E399" s="13">
        <v>2014</v>
      </c>
      <c r="F399" s="14" t="s">
        <v>5689</v>
      </c>
      <c r="G399" s="14" t="s">
        <v>5674</v>
      </c>
      <c r="H399" s="14" t="s">
        <v>2057</v>
      </c>
      <c r="I399" s="15" t="s">
        <v>3117</v>
      </c>
      <c r="J399" s="16">
        <v>73326732</v>
      </c>
      <c r="K399" s="17">
        <v>43553</v>
      </c>
      <c r="L399" s="16"/>
      <c r="M399" s="16" t="s">
        <v>50</v>
      </c>
      <c r="N399" s="14" t="s">
        <v>95</v>
      </c>
      <c r="O399" s="13">
        <v>4</v>
      </c>
      <c r="P399" s="17">
        <v>44028</v>
      </c>
      <c r="Q399" s="14" t="s">
        <v>5544</v>
      </c>
      <c r="R399" s="17">
        <v>44027</v>
      </c>
      <c r="S399" s="17">
        <v>43525</v>
      </c>
      <c r="T399" s="14" t="s">
        <v>5493</v>
      </c>
      <c r="U399" s="14" t="s">
        <v>5494</v>
      </c>
      <c r="V399" s="14" t="s">
        <v>7807</v>
      </c>
      <c r="W399" s="14"/>
      <c r="X399" s="14" t="s">
        <v>7808</v>
      </c>
      <c r="Y399" s="14"/>
      <c r="Z399" s="14" t="s">
        <v>7809</v>
      </c>
      <c r="AA399" s="14"/>
      <c r="AB399" s="14" t="s">
        <v>2057</v>
      </c>
      <c r="AC399" s="14" t="s">
        <v>7810</v>
      </c>
      <c r="AD399" s="14" t="s">
        <v>7811</v>
      </c>
      <c r="AE399" s="14" t="s">
        <v>7812</v>
      </c>
      <c r="AF399" s="14" t="s">
        <v>7813</v>
      </c>
      <c r="AG399" s="14"/>
      <c r="AH399" s="18"/>
      <c r="AI399" s="16"/>
      <c r="AJ399" s="17"/>
      <c r="AK399" s="15" t="s">
        <v>3123</v>
      </c>
      <c r="AL399" s="17"/>
      <c r="AM399" s="16"/>
      <c r="AN399" s="14"/>
      <c r="AO399" s="14"/>
      <c r="AP399" s="15" t="s">
        <v>3123</v>
      </c>
      <c r="AQ399" s="14"/>
      <c r="AR399" s="17"/>
      <c r="AS399" s="16"/>
      <c r="AT399" s="14"/>
      <c r="AU399" s="15" t="s">
        <v>3123</v>
      </c>
      <c r="AV399" s="14"/>
      <c r="AW399" s="17"/>
      <c r="AX399" s="16"/>
      <c r="AY399" s="16"/>
      <c r="AZ399" s="16"/>
      <c r="BA399" s="16"/>
      <c r="BB399" s="15" t="s">
        <v>3123</v>
      </c>
      <c r="BC399" s="17"/>
      <c r="BD399" s="14"/>
      <c r="BE399" s="14"/>
      <c r="BF399" s="16"/>
      <c r="BG399" s="16"/>
      <c r="BH399" s="13"/>
      <c r="BI399" s="18" t="s">
        <v>7814</v>
      </c>
      <c r="BJ399" s="13">
        <v>200</v>
      </c>
      <c r="BK399" s="17">
        <v>44124</v>
      </c>
      <c r="BL399" s="18"/>
      <c r="BM399" s="18"/>
      <c r="BN399" s="18"/>
      <c r="BO399" s="18"/>
      <c r="BP399" s="14" t="s">
        <v>7815</v>
      </c>
      <c r="BQ399" s="17">
        <v>42506</v>
      </c>
      <c r="BR399" s="16"/>
      <c r="BS399" s="17"/>
      <c r="BT399" s="16"/>
      <c r="BU399" s="17"/>
      <c r="BV399" s="16"/>
      <c r="BW399" s="17"/>
      <c r="BX399" s="16"/>
      <c r="BY399" s="17"/>
      <c r="BZ399" s="19">
        <v>35.680792853474685</v>
      </c>
      <c r="CA399" s="19"/>
      <c r="CB399" s="17"/>
      <c r="CC399" s="14" t="s">
        <v>7816</v>
      </c>
      <c r="CD399" s="14" t="s">
        <v>7817</v>
      </c>
      <c r="CE399" s="14" t="s">
        <v>5004</v>
      </c>
    </row>
    <row r="400" spans="1:83" ht="26.15" customHeight="1">
      <c r="A400" s="13">
        <v>394</v>
      </c>
      <c r="B400" s="14" t="s">
        <v>2526</v>
      </c>
      <c r="C400" s="14" t="s">
        <v>2527</v>
      </c>
      <c r="D400" s="14" t="s">
        <v>2528</v>
      </c>
      <c r="E400" s="13">
        <v>2015</v>
      </c>
      <c r="F400" s="14" t="s">
        <v>4993</v>
      </c>
      <c r="G400" s="14" t="s">
        <v>4994</v>
      </c>
      <c r="H400" s="14" t="s">
        <v>2057</v>
      </c>
      <c r="I400" s="15" t="s">
        <v>3117</v>
      </c>
      <c r="J400" s="16">
        <v>751000</v>
      </c>
      <c r="K400" s="17">
        <v>42389</v>
      </c>
      <c r="L400" s="16" t="s">
        <v>9279</v>
      </c>
      <c r="M400" s="16">
        <v>751000</v>
      </c>
      <c r="N400" s="14" t="s">
        <v>34</v>
      </c>
      <c r="O400" s="13"/>
      <c r="P400" s="17"/>
      <c r="Q400" s="14"/>
      <c r="R400" s="17"/>
      <c r="S400" s="17"/>
      <c r="T400" s="14" t="s">
        <v>8325</v>
      </c>
      <c r="U400" s="14" t="s">
        <v>9280</v>
      </c>
      <c r="V400" s="14" t="s">
        <v>9281</v>
      </c>
      <c r="W400" s="14"/>
      <c r="X400" s="14"/>
      <c r="Y400" s="14"/>
      <c r="Z400" s="14" t="s">
        <v>9282</v>
      </c>
      <c r="AA400" s="14"/>
      <c r="AB400" s="14" t="s">
        <v>2057</v>
      </c>
      <c r="AC400" s="14"/>
      <c r="AD400" s="14"/>
      <c r="AE400" s="14" t="s">
        <v>9283</v>
      </c>
      <c r="AF400" s="14"/>
      <c r="AG400" s="14"/>
      <c r="AH400" s="18"/>
      <c r="AI400" s="16"/>
      <c r="AJ400" s="17"/>
      <c r="AK400" s="15" t="s">
        <v>3123</v>
      </c>
      <c r="AL400" s="17"/>
      <c r="AM400" s="16"/>
      <c r="AN400" s="14"/>
      <c r="AO400" s="14"/>
      <c r="AP400" s="15" t="s">
        <v>3123</v>
      </c>
      <c r="AQ400" s="14"/>
      <c r="AR400" s="17"/>
      <c r="AS400" s="16"/>
      <c r="AT400" s="14"/>
      <c r="AU400" s="15" t="s">
        <v>3123</v>
      </c>
      <c r="AV400" s="14"/>
      <c r="AW400" s="17"/>
      <c r="AX400" s="16"/>
      <c r="AY400" s="16"/>
      <c r="AZ400" s="16"/>
      <c r="BA400" s="16"/>
      <c r="BB400" s="15" t="s">
        <v>3123</v>
      </c>
      <c r="BC400" s="17"/>
      <c r="BD400" s="14"/>
      <c r="BE400" s="14"/>
      <c r="BF400" s="16"/>
      <c r="BG400" s="16"/>
      <c r="BH400" s="13"/>
      <c r="BI400" s="18" t="s">
        <v>9284</v>
      </c>
      <c r="BJ400" s="13">
        <v>301</v>
      </c>
      <c r="BK400" s="17">
        <v>44124</v>
      </c>
      <c r="BL400" s="18"/>
      <c r="BM400" s="18"/>
      <c r="BN400" s="18"/>
      <c r="BO400" s="18"/>
      <c r="BP400" s="14" t="s">
        <v>9285</v>
      </c>
      <c r="BQ400" s="17">
        <v>42620</v>
      </c>
      <c r="BR400" s="16"/>
      <c r="BS400" s="17"/>
      <c r="BT400" s="16"/>
      <c r="BU400" s="17"/>
      <c r="BV400" s="16"/>
      <c r="BW400" s="17"/>
      <c r="BX400" s="16"/>
      <c r="BY400" s="17"/>
      <c r="BZ400" s="19">
        <v>12.953382976256261</v>
      </c>
      <c r="CA400" s="19"/>
      <c r="CB400" s="17"/>
      <c r="CC400" s="14" t="s">
        <v>7606</v>
      </c>
      <c r="CD400" s="14" t="s">
        <v>7607</v>
      </c>
      <c r="CE400" s="14" t="s">
        <v>5945</v>
      </c>
    </row>
    <row r="401" spans="1:83" ht="26.15" customHeight="1">
      <c r="A401" s="13">
        <v>395</v>
      </c>
      <c r="B401" s="14" t="s">
        <v>1544</v>
      </c>
      <c r="C401" s="14" t="s">
        <v>1545</v>
      </c>
      <c r="D401" s="14" t="s">
        <v>1547</v>
      </c>
      <c r="E401" s="13">
        <v>2015</v>
      </c>
      <c r="F401" s="14" t="s">
        <v>6064</v>
      </c>
      <c r="G401" s="14" t="s">
        <v>6065</v>
      </c>
      <c r="H401" s="14" t="s">
        <v>2057</v>
      </c>
      <c r="I401" s="15" t="s">
        <v>3117</v>
      </c>
      <c r="J401" s="16">
        <v>62610600</v>
      </c>
      <c r="K401" s="17">
        <v>43301</v>
      </c>
      <c r="L401" s="16" t="s">
        <v>7818</v>
      </c>
      <c r="M401" s="16">
        <v>26610600</v>
      </c>
      <c r="N401" s="14" t="s">
        <v>25</v>
      </c>
      <c r="O401" s="13"/>
      <c r="P401" s="17"/>
      <c r="Q401" s="14"/>
      <c r="R401" s="17"/>
      <c r="S401" s="17"/>
      <c r="T401" s="14" t="s">
        <v>5509</v>
      </c>
      <c r="U401" s="14" t="s">
        <v>5510</v>
      </c>
      <c r="V401" s="14" t="s">
        <v>7819</v>
      </c>
      <c r="W401" s="14"/>
      <c r="X401" s="14" t="s">
        <v>7820</v>
      </c>
      <c r="Y401" s="14"/>
      <c r="Z401" s="14" t="s">
        <v>7821</v>
      </c>
      <c r="AA401" s="14"/>
      <c r="AB401" s="14" t="s">
        <v>2057</v>
      </c>
      <c r="AC401" s="14" t="s">
        <v>7822</v>
      </c>
      <c r="AD401" s="14" t="s">
        <v>7823</v>
      </c>
      <c r="AE401" s="14" t="s">
        <v>7824</v>
      </c>
      <c r="AF401" s="14"/>
      <c r="AG401" s="14"/>
      <c r="AH401" s="18"/>
      <c r="AI401" s="16"/>
      <c r="AJ401" s="17"/>
      <c r="AK401" s="15" t="s">
        <v>3123</v>
      </c>
      <c r="AL401" s="17"/>
      <c r="AM401" s="16"/>
      <c r="AN401" s="14"/>
      <c r="AO401" s="14"/>
      <c r="AP401" s="15" t="s">
        <v>3123</v>
      </c>
      <c r="AQ401" s="14"/>
      <c r="AR401" s="17"/>
      <c r="AS401" s="16"/>
      <c r="AT401" s="14"/>
      <c r="AU401" s="15" t="s">
        <v>3123</v>
      </c>
      <c r="AV401" s="14"/>
      <c r="AW401" s="17"/>
      <c r="AX401" s="16"/>
      <c r="AY401" s="16"/>
      <c r="AZ401" s="16"/>
      <c r="BA401" s="16"/>
      <c r="BB401" s="15" t="s">
        <v>3123</v>
      </c>
      <c r="BC401" s="17"/>
      <c r="BD401" s="14"/>
      <c r="BE401" s="14"/>
      <c r="BF401" s="16"/>
      <c r="BG401" s="16"/>
      <c r="BH401" s="13"/>
      <c r="BI401" s="18" t="s">
        <v>7825</v>
      </c>
      <c r="BJ401" s="13">
        <v>200</v>
      </c>
      <c r="BK401" s="17">
        <v>44124</v>
      </c>
      <c r="BL401" s="18"/>
      <c r="BM401" s="18"/>
      <c r="BN401" s="18"/>
      <c r="BO401" s="18"/>
      <c r="BP401" s="14" t="s">
        <v>7826</v>
      </c>
      <c r="BQ401" s="17">
        <v>42685</v>
      </c>
      <c r="BR401" s="16"/>
      <c r="BS401" s="17"/>
      <c r="BT401" s="16"/>
      <c r="BU401" s="17"/>
      <c r="BV401" s="16"/>
      <c r="BW401" s="17"/>
      <c r="BX401" s="16"/>
      <c r="BY401" s="17"/>
      <c r="BZ401" s="19">
        <v>34.687787406085839</v>
      </c>
      <c r="CA401" s="19"/>
      <c r="CB401" s="17"/>
      <c r="CC401" s="14" t="s">
        <v>5036</v>
      </c>
      <c r="CD401" s="14" t="s">
        <v>7827</v>
      </c>
      <c r="CE401" s="14" t="s">
        <v>5004</v>
      </c>
    </row>
    <row r="402" spans="1:83" ht="26.15" customHeight="1">
      <c r="A402" s="13">
        <v>396</v>
      </c>
      <c r="B402" s="14" t="s">
        <v>2767</v>
      </c>
      <c r="C402" s="14" t="s">
        <v>2768</v>
      </c>
      <c r="D402" s="14" t="s">
        <v>2770</v>
      </c>
      <c r="E402" s="13">
        <v>2015</v>
      </c>
      <c r="F402" s="14" t="s">
        <v>9286</v>
      </c>
      <c r="G402" s="14" t="s">
        <v>9287</v>
      </c>
      <c r="H402" s="14" t="s">
        <v>9288</v>
      </c>
      <c r="I402" s="15" t="s">
        <v>3117</v>
      </c>
      <c r="J402" s="16">
        <v>150000</v>
      </c>
      <c r="K402" s="17">
        <v>42012</v>
      </c>
      <c r="L402" s="16" t="s">
        <v>5105</v>
      </c>
      <c r="M402" s="16">
        <v>150000</v>
      </c>
      <c r="N402" s="14" t="s">
        <v>34</v>
      </c>
      <c r="O402" s="13"/>
      <c r="P402" s="17"/>
      <c r="Q402" s="14"/>
      <c r="R402" s="17"/>
      <c r="S402" s="17"/>
      <c r="T402" s="14" t="s">
        <v>5041</v>
      </c>
      <c r="U402" s="14" t="s">
        <v>5042</v>
      </c>
      <c r="V402" s="14" t="s">
        <v>7413</v>
      </c>
      <c r="W402" s="14"/>
      <c r="X402" s="14"/>
      <c r="Y402" s="14"/>
      <c r="Z402" s="14" t="s">
        <v>9289</v>
      </c>
      <c r="AA402" s="14"/>
      <c r="AB402" s="14" t="s">
        <v>9288</v>
      </c>
      <c r="AC402" s="14"/>
      <c r="AD402" s="14"/>
      <c r="AE402" s="14" t="s">
        <v>9290</v>
      </c>
      <c r="AF402" s="14" t="s">
        <v>9291</v>
      </c>
      <c r="AG402" s="14" t="s">
        <v>9292</v>
      </c>
      <c r="AH402" s="18"/>
      <c r="AI402" s="16"/>
      <c r="AJ402" s="17"/>
      <c r="AK402" s="15" t="s">
        <v>3123</v>
      </c>
      <c r="AL402" s="17"/>
      <c r="AM402" s="16"/>
      <c r="AN402" s="14"/>
      <c r="AO402" s="14"/>
      <c r="AP402" s="15" t="s">
        <v>3123</v>
      </c>
      <c r="AQ402" s="14"/>
      <c r="AR402" s="17"/>
      <c r="AS402" s="16"/>
      <c r="AT402" s="14"/>
      <c r="AU402" s="15" t="s">
        <v>3123</v>
      </c>
      <c r="AV402" s="14"/>
      <c r="AW402" s="17"/>
      <c r="AX402" s="16"/>
      <c r="AY402" s="16"/>
      <c r="AZ402" s="16"/>
      <c r="BA402" s="16"/>
      <c r="BB402" s="15" t="s">
        <v>3123</v>
      </c>
      <c r="BC402" s="17"/>
      <c r="BD402" s="14" t="s">
        <v>9293</v>
      </c>
      <c r="BE402" s="14"/>
      <c r="BF402" s="16"/>
      <c r="BG402" s="16"/>
      <c r="BH402" s="13"/>
      <c r="BI402" s="18" t="s">
        <v>9294</v>
      </c>
      <c r="BJ402" s="13">
        <v>200</v>
      </c>
      <c r="BK402" s="17">
        <v>44124</v>
      </c>
      <c r="BL402" s="18"/>
      <c r="BM402" s="18"/>
      <c r="BN402" s="18"/>
      <c r="BO402" s="18"/>
      <c r="BP402" s="14" t="s">
        <v>9295</v>
      </c>
      <c r="BQ402" s="17">
        <v>42929</v>
      </c>
      <c r="BR402" s="16"/>
      <c r="BS402" s="17"/>
      <c r="BT402" s="16"/>
      <c r="BU402" s="17"/>
      <c r="BV402" s="16"/>
      <c r="BW402" s="17"/>
      <c r="BX402" s="16"/>
      <c r="BY402" s="17"/>
      <c r="BZ402" s="19">
        <v>11.537381199420054</v>
      </c>
      <c r="CA402" s="19"/>
      <c r="CB402" s="17"/>
      <c r="CC402" s="14" t="s">
        <v>5036</v>
      </c>
      <c r="CD402" s="14" t="s">
        <v>5962</v>
      </c>
      <c r="CE402" s="14" t="s">
        <v>5945</v>
      </c>
    </row>
    <row r="403" spans="1:83" ht="26.15" customHeight="1">
      <c r="A403" s="13">
        <v>397</v>
      </c>
      <c r="B403" s="14" t="s">
        <v>2681</v>
      </c>
      <c r="C403" s="14" t="s">
        <v>2682</v>
      </c>
      <c r="D403" s="14" t="s">
        <v>2684</v>
      </c>
      <c r="E403" s="13">
        <v>2015</v>
      </c>
      <c r="F403" s="14" t="s">
        <v>4993</v>
      </c>
      <c r="G403" s="14" t="s">
        <v>4994</v>
      </c>
      <c r="H403" s="14" t="s">
        <v>2057</v>
      </c>
      <c r="I403" s="15" t="s">
        <v>3117</v>
      </c>
      <c r="J403" s="16"/>
      <c r="K403" s="17">
        <v>42169</v>
      </c>
      <c r="L403" s="16"/>
      <c r="M403" s="16" t="s">
        <v>50</v>
      </c>
      <c r="N403" s="14" t="s">
        <v>5630</v>
      </c>
      <c r="O403" s="13"/>
      <c r="P403" s="17"/>
      <c r="Q403" s="14"/>
      <c r="R403" s="17"/>
      <c r="S403" s="17"/>
      <c r="T403" s="14" t="s">
        <v>5493</v>
      </c>
      <c r="U403" s="14" t="s">
        <v>5494</v>
      </c>
      <c r="V403" s="14" t="s">
        <v>9296</v>
      </c>
      <c r="W403" s="14"/>
      <c r="X403" s="14" t="s">
        <v>9297</v>
      </c>
      <c r="Y403" s="14"/>
      <c r="Z403" s="14" t="s">
        <v>9298</v>
      </c>
      <c r="AA403" s="14"/>
      <c r="AB403" s="14" t="s">
        <v>2057</v>
      </c>
      <c r="AC403" s="14"/>
      <c r="AD403" s="14"/>
      <c r="AE403" s="14"/>
      <c r="AF403" s="14"/>
      <c r="AG403" s="14"/>
      <c r="AH403" s="18"/>
      <c r="AI403" s="16"/>
      <c r="AJ403" s="17"/>
      <c r="AK403" s="15" t="s">
        <v>3123</v>
      </c>
      <c r="AL403" s="17"/>
      <c r="AM403" s="16"/>
      <c r="AN403" s="14"/>
      <c r="AO403" s="14"/>
      <c r="AP403" s="15" t="s">
        <v>3123</v>
      </c>
      <c r="AQ403" s="14"/>
      <c r="AR403" s="17"/>
      <c r="AS403" s="16"/>
      <c r="AT403" s="14"/>
      <c r="AU403" s="15" t="s">
        <v>3123</v>
      </c>
      <c r="AV403" s="14"/>
      <c r="AW403" s="17"/>
      <c r="AX403" s="16"/>
      <c r="AY403" s="16"/>
      <c r="AZ403" s="16"/>
      <c r="BA403" s="16"/>
      <c r="BB403" s="15" t="s">
        <v>3117</v>
      </c>
      <c r="BC403" s="17"/>
      <c r="BD403" s="14"/>
      <c r="BE403" s="14"/>
      <c r="BF403" s="16"/>
      <c r="BG403" s="16"/>
      <c r="BH403" s="13"/>
      <c r="BI403" s="18" t="s">
        <v>9299</v>
      </c>
      <c r="BJ403" s="13">
        <v>200</v>
      </c>
      <c r="BK403" s="17">
        <v>44124</v>
      </c>
      <c r="BL403" s="18"/>
      <c r="BM403" s="18"/>
      <c r="BN403" s="18"/>
      <c r="BO403" s="18"/>
      <c r="BP403" s="14" t="s">
        <v>9300</v>
      </c>
      <c r="BQ403" s="17">
        <v>42499</v>
      </c>
      <c r="BR403" s="16"/>
      <c r="BS403" s="17"/>
      <c r="BT403" s="16"/>
      <c r="BU403" s="17"/>
      <c r="BV403" s="16"/>
      <c r="BW403" s="17"/>
      <c r="BX403" s="16"/>
      <c r="BY403" s="17"/>
      <c r="BZ403" s="19">
        <v>14.442603550617024</v>
      </c>
      <c r="CA403" s="19"/>
      <c r="CB403" s="17"/>
      <c r="CC403" s="14" t="s">
        <v>9301</v>
      </c>
      <c r="CD403" s="14" t="s">
        <v>7751</v>
      </c>
      <c r="CE403" s="14" t="s">
        <v>6074</v>
      </c>
    </row>
    <row r="404" spans="1:83" ht="26.15" customHeight="1">
      <c r="A404" s="13">
        <v>398</v>
      </c>
      <c r="B404" s="14" t="s">
        <v>2762</v>
      </c>
      <c r="C404" s="14" t="s">
        <v>2763</v>
      </c>
      <c r="D404" s="14" t="s">
        <v>2765</v>
      </c>
      <c r="E404" s="13">
        <v>2014</v>
      </c>
      <c r="F404" s="14" t="s">
        <v>4993</v>
      </c>
      <c r="G404" s="14" t="s">
        <v>4994</v>
      </c>
      <c r="H404" s="14" t="s">
        <v>2057</v>
      </c>
      <c r="I404" s="15" t="s">
        <v>3117</v>
      </c>
      <c r="J404" s="16">
        <v>500000</v>
      </c>
      <c r="K404" s="17">
        <v>42020</v>
      </c>
      <c r="L404" s="16" t="s">
        <v>5656</v>
      </c>
      <c r="M404" s="16">
        <v>500000</v>
      </c>
      <c r="N404" s="14" t="s">
        <v>34</v>
      </c>
      <c r="O404" s="13"/>
      <c r="P404" s="17"/>
      <c r="Q404" s="14"/>
      <c r="R404" s="17"/>
      <c r="S404" s="17"/>
      <c r="T404" s="14" t="s">
        <v>5426</v>
      </c>
      <c r="U404" s="14" t="s">
        <v>9302</v>
      </c>
      <c r="V404" s="14" t="s">
        <v>9303</v>
      </c>
      <c r="W404" s="14"/>
      <c r="X404" s="14" t="s">
        <v>4606</v>
      </c>
      <c r="Y404" s="14"/>
      <c r="Z404" s="14" t="s">
        <v>9304</v>
      </c>
      <c r="AA404" s="14"/>
      <c r="AB404" s="14" t="s">
        <v>2057</v>
      </c>
      <c r="AC404" s="14"/>
      <c r="AD404" s="14"/>
      <c r="AE404" s="14"/>
      <c r="AF404" s="14"/>
      <c r="AG404" s="14"/>
      <c r="AH404" s="18"/>
      <c r="AI404" s="16"/>
      <c r="AJ404" s="17"/>
      <c r="AK404" s="15" t="s">
        <v>3123</v>
      </c>
      <c r="AL404" s="17"/>
      <c r="AM404" s="16"/>
      <c r="AN404" s="14"/>
      <c r="AO404" s="14"/>
      <c r="AP404" s="15" t="s">
        <v>3123</v>
      </c>
      <c r="AQ404" s="14"/>
      <c r="AR404" s="17"/>
      <c r="AS404" s="16"/>
      <c r="AT404" s="14"/>
      <c r="AU404" s="15" t="s">
        <v>3123</v>
      </c>
      <c r="AV404" s="14"/>
      <c r="AW404" s="17"/>
      <c r="AX404" s="16"/>
      <c r="AY404" s="16"/>
      <c r="AZ404" s="16"/>
      <c r="BA404" s="16"/>
      <c r="BB404" s="15" t="s">
        <v>3123</v>
      </c>
      <c r="BC404" s="17"/>
      <c r="BD404" s="14"/>
      <c r="BE404" s="14"/>
      <c r="BF404" s="16"/>
      <c r="BG404" s="16"/>
      <c r="BH404" s="13"/>
      <c r="BI404" s="18" t="s">
        <v>9305</v>
      </c>
      <c r="BJ404" s="13">
        <v>200</v>
      </c>
      <c r="BK404" s="17">
        <v>44124</v>
      </c>
      <c r="BL404" s="18"/>
      <c r="BM404" s="18"/>
      <c r="BN404" s="18"/>
      <c r="BO404" s="18"/>
      <c r="BP404" s="14" t="s">
        <v>9306</v>
      </c>
      <c r="BQ404" s="17">
        <v>43031</v>
      </c>
      <c r="BR404" s="16"/>
      <c r="BS404" s="17"/>
      <c r="BT404" s="16"/>
      <c r="BU404" s="17"/>
      <c r="BV404" s="16"/>
      <c r="BW404" s="17"/>
      <c r="BX404" s="16"/>
      <c r="BY404" s="17"/>
      <c r="BZ404" s="19">
        <v>14.522877891757506</v>
      </c>
      <c r="CA404" s="19"/>
      <c r="CB404" s="17"/>
      <c r="CC404" s="14"/>
      <c r="CD404" s="14" t="s">
        <v>6508</v>
      </c>
      <c r="CE404" s="14" t="s">
        <v>6509</v>
      </c>
    </row>
    <row r="405" spans="1:83" ht="26.15" customHeight="1">
      <c r="A405" s="13">
        <v>399</v>
      </c>
      <c r="B405" s="14" t="s">
        <v>2540</v>
      </c>
      <c r="C405" s="14" t="s">
        <v>2541</v>
      </c>
      <c r="D405" s="14" t="s">
        <v>2543</v>
      </c>
      <c r="E405" s="13">
        <v>2015</v>
      </c>
      <c r="F405" s="14" t="s">
        <v>7307</v>
      </c>
      <c r="G405" s="14" t="s">
        <v>5267</v>
      </c>
      <c r="H405" s="14" t="s">
        <v>2057</v>
      </c>
      <c r="I405" s="15" t="s">
        <v>3117</v>
      </c>
      <c r="J405" s="16"/>
      <c r="K405" s="17">
        <v>42366</v>
      </c>
      <c r="L405" s="16"/>
      <c r="M405" s="16" t="s">
        <v>50</v>
      </c>
      <c r="N405" s="14" t="s">
        <v>5630</v>
      </c>
      <c r="O405" s="13"/>
      <c r="P405" s="17"/>
      <c r="Q405" s="14"/>
      <c r="R405" s="17"/>
      <c r="S405" s="17"/>
      <c r="T405" s="14" t="s">
        <v>5509</v>
      </c>
      <c r="U405" s="14" t="s">
        <v>5510</v>
      </c>
      <c r="V405" s="14" t="s">
        <v>7886</v>
      </c>
      <c r="W405" s="14"/>
      <c r="X405" s="14" t="s">
        <v>4658</v>
      </c>
      <c r="Y405" s="14"/>
      <c r="Z405" s="14" t="s">
        <v>9307</v>
      </c>
      <c r="AA405" s="14"/>
      <c r="AB405" s="14" t="s">
        <v>2057</v>
      </c>
      <c r="AC405" s="14"/>
      <c r="AD405" s="14"/>
      <c r="AE405" s="14"/>
      <c r="AF405" s="14"/>
      <c r="AG405" s="14"/>
      <c r="AH405" s="18"/>
      <c r="AI405" s="16"/>
      <c r="AJ405" s="17"/>
      <c r="AK405" s="15" t="s">
        <v>3123</v>
      </c>
      <c r="AL405" s="17"/>
      <c r="AM405" s="16"/>
      <c r="AN405" s="14"/>
      <c r="AO405" s="14"/>
      <c r="AP405" s="15" t="s">
        <v>3123</v>
      </c>
      <c r="AQ405" s="14"/>
      <c r="AR405" s="17"/>
      <c r="AS405" s="16"/>
      <c r="AT405" s="14"/>
      <c r="AU405" s="15" t="s">
        <v>3123</v>
      </c>
      <c r="AV405" s="14"/>
      <c r="AW405" s="17"/>
      <c r="AX405" s="16"/>
      <c r="AY405" s="16"/>
      <c r="AZ405" s="16"/>
      <c r="BA405" s="16"/>
      <c r="BB405" s="15" t="s">
        <v>3117</v>
      </c>
      <c r="BC405" s="17"/>
      <c r="BD405" s="14"/>
      <c r="BE405" s="14"/>
      <c r="BF405" s="16"/>
      <c r="BG405" s="16"/>
      <c r="BH405" s="13"/>
      <c r="BI405" s="18" t="s">
        <v>9308</v>
      </c>
      <c r="BJ405" s="13">
        <v>-1</v>
      </c>
      <c r="BK405" s="17">
        <v>44124</v>
      </c>
      <c r="BL405" s="18"/>
      <c r="BM405" s="18"/>
      <c r="BN405" s="18"/>
      <c r="BO405" s="18"/>
      <c r="BP405" s="14" t="s">
        <v>9309</v>
      </c>
      <c r="BQ405" s="17">
        <v>42643</v>
      </c>
      <c r="BR405" s="16"/>
      <c r="BS405" s="17"/>
      <c r="BT405" s="16"/>
      <c r="BU405" s="17"/>
      <c r="BV405" s="16"/>
      <c r="BW405" s="17"/>
      <c r="BX405" s="16"/>
      <c r="BY405" s="17"/>
      <c r="BZ405" s="19">
        <v>10.66558113288985</v>
      </c>
      <c r="CA405" s="19"/>
      <c r="CB405" s="17"/>
      <c r="CC405" s="14" t="s">
        <v>6556</v>
      </c>
      <c r="CD405" s="14" t="s">
        <v>6731</v>
      </c>
      <c r="CE405" s="14" t="s">
        <v>6074</v>
      </c>
    </row>
    <row r="406" spans="1:83" ht="26.15" customHeight="1">
      <c r="A406" s="13">
        <v>400</v>
      </c>
      <c r="B406" s="14" t="s">
        <v>2426</v>
      </c>
      <c r="C406" s="14" t="s">
        <v>2427</v>
      </c>
      <c r="D406" s="14" t="s">
        <v>2428</v>
      </c>
      <c r="E406" s="13">
        <v>2016</v>
      </c>
      <c r="F406" s="14" t="s">
        <v>7285</v>
      </c>
      <c r="G406" s="14"/>
      <c r="H406" s="14" t="s">
        <v>5277</v>
      </c>
      <c r="I406" s="15" t="s">
        <v>3117</v>
      </c>
      <c r="J406" s="16"/>
      <c r="K406" s="17">
        <v>42514</v>
      </c>
      <c r="L406" s="16"/>
      <c r="M406" s="16" t="s">
        <v>50</v>
      </c>
      <c r="N406" s="14" t="s">
        <v>5335</v>
      </c>
      <c r="O406" s="13">
        <v>4</v>
      </c>
      <c r="P406" s="17">
        <v>44013</v>
      </c>
      <c r="Q406" s="14"/>
      <c r="R406" s="17"/>
      <c r="S406" s="17"/>
      <c r="T406" s="14" t="s">
        <v>4995</v>
      </c>
      <c r="U406" s="14" t="s">
        <v>5578</v>
      </c>
      <c r="V406" s="14" t="s">
        <v>6813</v>
      </c>
      <c r="W406" s="14"/>
      <c r="X406" s="14" t="s">
        <v>9310</v>
      </c>
      <c r="Y406" s="14"/>
      <c r="Z406" s="14" t="s">
        <v>9311</v>
      </c>
      <c r="AA406" s="14"/>
      <c r="AB406" s="14" t="s">
        <v>5277</v>
      </c>
      <c r="AC406" s="14"/>
      <c r="AD406" s="14"/>
      <c r="AE406" s="14" t="s">
        <v>9312</v>
      </c>
      <c r="AF406" s="14" t="s">
        <v>9313</v>
      </c>
      <c r="AG406" s="14" t="s">
        <v>9314</v>
      </c>
      <c r="AH406" s="18"/>
      <c r="AI406" s="16"/>
      <c r="AJ406" s="17"/>
      <c r="AK406" s="15" t="s">
        <v>3123</v>
      </c>
      <c r="AL406" s="17"/>
      <c r="AM406" s="16"/>
      <c r="AN406" s="14"/>
      <c r="AO406" s="14"/>
      <c r="AP406" s="15" t="s">
        <v>3117</v>
      </c>
      <c r="AQ406" s="14" t="s">
        <v>9315</v>
      </c>
      <c r="AR406" s="17">
        <v>43523</v>
      </c>
      <c r="AS406" s="16"/>
      <c r="AT406" s="14" t="s">
        <v>5342</v>
      </c>
      <c r="AU406" s="15" t="s">
        <v>3123</v>
      </c>
      <c r="AV406" s="14"/>
      <c r="AW406" s="17"/>
      <c r="AX406" s="16"/>
      <c r="AY406" s="16"/>
      <c r="AZ406" s="16"/>
      <c r="BA406" s="16"/>
      <c r="BB406" s="15" t="s">
        <v>3123</v>
      </c>
      <c r="BC406" s="17"/>
      <c r="BD406" s="14"/>
      <c r="BE406" s="14"/>
      <c r="BF406" s="16"/>
      <c r="BG406" s="16"/>
      <c r="BH406" s="13"/>
      <c r="BI406" s="18" t="s">
        <v>9316</v>
      </c>
      <c r="BJ406" s="13">
        <v>-1</v>
      </c>
      <c r="BK406" s="17">
        <v>44123</v>
      </c>
      <c r="BL406" s="18"/>
      <c r="BM406" s="18" t="s">
        <v>9317</v>
      </c>
      <c r="BN406" s="18"/>
      <c r="BO406" s="18"/>
      <c r="BP406" s="14" t="s">
        <v>9318</v>
      </c>
      <c r="BQ406" s="17">
        <v>42535</v>
      </c>
      <c r="BR406" s="16"/>
      <c r="BS406" s="17"/>
      <c r="BT406" s="16"/>
      <c r="BU406" s="17"/>
      <c r="BV406" s="16"/>
      <c r="BW406" s="17"/>
      <c r="BX406" s="16"/>
      <c r="BY406" s="17"/>
      <c r="BZ406" s="19">
        <v>41.566695676466693</v>
      </c>
      <c r="CA406" s="19"/>
      <c r="CB406" s="17"/>
      <c r="CC406" s="14" t="s">
        <v>7816</v>
      </c>
      <c r="CD406" s="14" t="s">
        <v>9319</v>
      </c>
      <c r="CE406" s="14" t="s">
        <v>5521</v>
      </c>
    </row>
    <row r="407" spans="1:83" ht="26.15" customHeight="1">
      <c r="A407" s="13">
        <v>401</v>
      </c>
      <c r="B407" s="14" t="s">
        <v>2284</v>
      </c>
      <c r="C407" s="14" t="s">
        <v>2285</v>
      </c>
      <c r="D407" s="14" t="s">
        <v>2286</v>
      </c>
      <c r="E407" s="13">
        <v>2015</v>
      </c>
      <c r="F407" s="14" t="s">
        <v>5592</v>
      </c>
      <c r="G407" s="14" t="s">
        <v>5313</v>
      </c>
      <c r="H407" s="14" t="s">
        <v>3994</v>
      </c>
      <c r="I407" s="15" t="s">
        <v>3117</v>
      </c>
      <c r="J407" s="16">
        <v>446647</v>
      </c>
      <c r="K407" s="17">
        <v>42634</v>
      </c>
      <c r="L407" s="16" t="s">
        <v>9320</v>
      </c>
      <c r="M407" s="16">
        <v>446647</v>
      </c>
      <c r="N407" s="14" t="s">
        <v>34</v>
      </c>
      <c r="O407" s="13"/>
      <c r="P407" s="17"/>
      <c r="Q407" s="14"/>
      <c r="R407" s="17"/>
      <c r="S407" s="17"/>
      <c r="T407" s="14" t="s">
        <v>5493</v>
      </c>
      <c r="U407" s="14" t="s">
        <v>9321</v>
      </c>
      <c r="V407" s="14" t="s">
        <v>9322</v>
      </c>
      <c r="W407" s="14"/>
      <c r="X407" s="14"/>
      <c r="Y407" s="14"/>
      <c r="Z407" s="14" t="s">
        <v>9323</v>
      </c>
      <c r="AA407" s="14"/>
      <c r="AB407" s="14" t="s">
        <v>3994</v>
      </c>
      <c r="AC407" s="14" t="s">
        <v>9324</v>
      </c>
      <c r="AD407" s="14" t="s">
        <v>9325</v>
      </c>
      <c r="AE407" s="14" t="s">
        <v>9326</v>
      </c>
      <c r="AF407" s="14" t="s">
        <v>9327</v>
      </c>
      <c r="AG407" s="14" t="s">
        <v>9328</v>
      </c>
      <c r="AH407" s="18"/>
      <c r="AI407" s="16">
        <v>3237900</v>
      </c>
      <c r="AJ407" s="17">
        <v>43465</v>
      </c>
      <c r="AK407" s="15" t="s">
        <v>3123</v>
      </c>
      <c r="AL407" s="17"/>
      <c r="AM407" s="16"/>
      <c r="AN407" s="14"/>
      <c r="AO407" s="14"/>
      <c r="AP407" s="15" t="s">
        <v>3123</v>
      </c>
      <c r="AQ407" s="14"/>
      <c r="AR407" s="17"/>
      <c r="AS407" s="16"/>
      <c r="AT407" s="14"/>
      <c r="AU407" s="15" t="s">
        <v>3123</v>
      </c>
      <c r="AV407" s="14"/>
      <c r="AW407" s="17"/>
      <c r="AX407" s="16"/>
      <c r="AY407" s="16"/>
      <c r="AZ407" s="16"/>
      <c r="BA407" s="16"/>
      <c r="BB407" s="15" t="s">
        <v>3123</v>
      </c>
      <c r="BC407" s="17"/>
      <c r="BD407" s="14" t="s">
        <v>9329</v>
      </c>
      <c r="BE407" s="14"/>
      <c r="BF407" s="16"/>
      <c r="BG407" s="16"/>
      <c r="BH407" s="13"/>
      <c r="BI407" s="18" t="s">
        <v>9330</v>
      </c>
      <c r="BJ407" s="13">
        <v>200</v>
      </c>
      <c r="BK407" s="17">
        <v>44123</v>
      </c>
      <c r="BL407" s="18" t="s">
        <v>9331</v>
      </c>
      <c r="BM407" s="18" t="s">
        <v>9332</v>
      </c>
      <c r="BN407" s="18" t="s">
        <v>9333</v>
      </c>
      <c r="BO407" s="18" t="s">
        <v>9334</v>
      </c>
      <c r="BP407" s="14" t="s">
        <v>9335</v>
      </c>
      <c r="BQ407" s="17">
        <v>43021</v>
      </c>
      <c r="BR407" s="16">
        <v>-204000</v>
      </c>
      <c r="BS407" s="17">
        <v>43465</v>
      </c>
      <c r="BT407" s="16">
        <v>-113800</v>
      </c>
      <c r="BU407" s="17">
        <v>43465</v>
      </c>
      <c r="BV407" s="16"/>
      <c r="BW407" s="17"/>
      <c r="BX407" s="16">
        <v>29</v>
      </c>
      <c r="BY407" s="17">
        <v>43921</v>
      </c>
      <c r="BZ407" s="19">
        <v>45.582158047789569</v>
      </c>
      <c r="CA407" s="19"/>
      <c r="CB407" s="17"/>
      <c r="CC407" s="14" t="s">
        <v>6487</v>
      </c>
      <c r="CD407" s="14" t="s">
        <v>9336</v>
      </c>
      <c r="CE407" s="14" t="s">
        <v>5004</v>
      </c>
    </row>
    <row r="408" spans="1:83" ht="26.15" customHeight="1">
      <c r="A408" s="13">
        <v>402</v>
      </c>
      <c r="B408" s="14" t="s">
        <v>2578</v>
      </c>
      <c r="C408" s="14" t="s">
        <v>2579</v>
      </c>
      <c r="D408" s="14" t="s">
        <v>2581</v>
      </c>
      <c r="E408" s="13">
        <v>2014</v>
      </c>
      <c r="F408" s="14" t="s">
        <v>4993</v>
      </c>
      <c r="G408" s="14" t="s">
        <v>4994</v>
      </c>
      <c r="H408" s="14" t="s">
        <v>2057</v>
      </c>
      <c r="I408" s="15" t="s">
        <v>3117</v>
      </c>
      <c r="J408" s="16"/>
      <c r="K408" s="17">
        <v>42333</v>
      </c>
      <c r="L408" s="16"/>
      <c r="M408" s="16" t="s">
        <v>50</v>
      </c>
      <c r="N408" s="14" t="s">
        <v>109</v>
      </c>
      <c r="O408" s="13"/>
      <c r="P408" s="17"/>
      <c r="Q408" s="14"/>
      <c r="R408" s="17"/>
      <c r="S408" s="17"/>
      <c r="T408" s="14" t="s">
        <v>5509</v>
      </c>
      <c r="U408" s="14" t="s">
        <v>5510</v>
      </c>
      <c r="V408" s="14" t="s">
        <v>9337</v>
      </c>
      <c r="W408" s="14"/>
      <c r="X408" s="14" t="s">
        <v>9338</v>
      </c>
      <c r="Y408" s="14"/>
      <c r="Z408" s="14" t="s">
        <v>9339</v>
      </c>
      <c r="AA408" s="14"/>
      <c r="AB408" s="14" t="s">
        <v>2057</v>
      </c>
      <c r="AC408" s="14"/>
      <c r="AD408" s="14"/>
      <c r="AE408" s="14"/>
      <c r="AF408" s="14"/>
      <c r="AG408" s="14"/>
      <c r="AH408" s="18"/>
      <c r="AI408" s="16"/>
      <c r="AJ408" s="17"/>
      <c r="AK408" s="15" t="s">
        <v>3123</v>
      </c>
      <c r="AL408" s="17"/>
      <c r="AM408" s="16"/>
      <c r="AN408" s="14"/>
      <c r="AO408" s="14"/>
      <c r="AP408" s="15" t="s">
        <v>3123</v>
      </c>
      <c r="AQ408" s="14"/>
      <c r="AR408" s="17"/>
      <c r="AS408" s="16"/>
      <c r="AT408" s="14"/>
      <c r="AU408" s="15" t="s">
        <v>3123</v>
      </c>
      <c r="AV408" s="14"/>
      <c r="AW408" s="17"/>
      <c r="AX408" s="16"/>
      <c r="AY408" s="16"/>
      <c r="AZ408" s="16"/>
      <c r="BA408" s="16"/>
      <c r="BB408" s="15" t="s">
        <v>3123</v>
      </c>
      <c r="BC408" s="17"/>
      <c r="BD408" s="14"/>
      <c r="BE408" s="14"/>
      <c r="BF408" s="16"/>
      <c r="BG408" s="16"/>
      <c r="BH408" s="13"/>
      <c r="BI408" s="18" t="s">
        <v>9340</v>
      </c>
      <c r="BJ408" s="13">
        <v>200</v>
      </c>
      <c r="BK408" s="17">
        <v>44123</v>
      </c>
      <c r="BL408" s="18"/>
      <c r="BM408" s="18"/>
      <c r="BN408" s="18"/>
      <c r="BO408" s="18"/>
      <c r="BP408" s="14" t="s">
        <v>9341</v>
      </c>
      <c r="BQ408" s="17">
        <v>42543</v>
      </c>
      <c r="BR408" s="16"/>
      <c r="BS408" s="17"/>
      <c r="BT408" s="16"/>
      <c r="BU408" s="17"/>
      <c r="BV408" s="16"/>
      <c r="BW408" s="17"/>
      <c r="BX408" s="16"/>
      <c r="BY408" s="17"/>
      <c r="BZ408" s="19">
        <v>22.840338709025421</v>
      </c>
      <c r="CA408" s="19"/>
      <c r="CB408" s="17"/>
      <c r="CC408" s="14" t="s">
        <v>6556</v>
      </c>
      <c r="CD408" s="14" t="s">
        <v>6731</v>
      </c>
      <c r="CE408" s="14" t="s">
        <v>6074</v>
      </c>
    </row>
    <row r="409" spans="1:83" ht="26.15" customHeight="1">
      <c r="A409" s="13">
        <v>403</v>
      </c>
      <c r="B409" s="14" t="s">
        <v>2560</v>
      </c>
      <c r="C409" s="14" t="s">
        <v>2561</v>
      </c>
      <c r="D409" s="14" t="s">
        <v>2562</v>
      </c>
      <c r="E409" s="13">
        <v>2015</v>
      </c>
      <c r="F409" s="14" t="s">
        <v>4993</v>
      </c>
      <c r="G409" s="14" t="s">
        <v>4994</v>
      </c>
      <c r="H409" s="14" t="s">
        <v>2057</v>
      </c>
      <c r="I409" s="15" t="s">
        <v>3117</v>
      </c>
      <c r="J409" s="16">
        <v>1730000</v>
      </c>
      <c r="K409" s="17">
        <v>42345</v>
      </c>
      <c r="L409" s="16" t="s">
        <v>5022</v>
      </c>
      <c r="M409" s="16">
        <v>1580000</v>
      </c>
      <c r="N409" s="14" t="s">
        <v>5630</v>
      </c>
      <c r="O409" s="13"/>
      <c r="P409" s="17"/>
      <c r="Q409" s="14"/>
      <c r="R409" s="17"/>
      <c r="S409" s="17"/>
      <c r="T409" s="14" t="s">
        <v>5509</v>
      </c>
      <c r="U409" s="14" t="s">
        <v>6725</v>
      </c>
      <c r="V409" s="14" t="s">
        <v>6726</v>
      </c>
      <c r="W409" s="14"/>
      <c r="X409" s="14"/>
      <c r="Y409" s="14"/>
      <c r="Z409" s="14" t="s">
        <v>9342</v>
      </c>
      <c r="AA409" s="14"/>
      <c r="AB409" s="14" t="s">
        <v>2057</v>
      </c>
      <c r="AC409" s="14"/>
      <c r="AD409" s="14"/>
      <c r="AE409" s="14"/>
      <c r="AF409" s="14"/>
      <c r="AG409" s="14"/>
      <c r="AH409" s="18"/>
      <c r="AI409" s="16"/>
      <c r="AJ409" s="17"/>
      <c r="AK409" s="15" t="s">
        <v>3123</v>
      </c>
      <c r="AL409" s="17"/>
      <c r="AM409" s="16"/>
      <c r="AN409" s="14"/>
      <c r="AO409" s="14"/>
      <c r="AP409" s="15" t="s">
        <v>3123</v>
      </c>
      <c r="AQ409" s="14"/>
      <c r="AR409" s="17"/>
      <c r="AS409" s="16"/>
      <c r="AT409" s="14"/>
      <c r="AU409" s="15" t="s">
        <v>3123</v>
      </c>
      <c r="AV409" s="14"/>
      <c r="AW409" s="17"/>
      <c r="AX409" s="16"/>
      <c r="AY409" s="16"/>
      <c r="AZ409" s="16"/>
      <c r="BA409" s="16"/>
      <c r="BB409" s="15" t="s">
        <v>3117</v>
      </c>
      <c r="BC409" s="17"/>
      <c r="BD409" s="14"/>
      <c r="BE409" s="14"/>
      <c r="BF409" s="16"/>
      <c r="BG409" s="16"/>
      <c r="BH409" s="13"/>
      <c r="BI409" s="18" t="s">
        <v>9343</v>
      </c>
      <c r="BJ409" s="13">
        <v>-1</v>
      </c>
      <c r="BK409" s="17">
        <v>44123</v>
      </c>
      <c r="BL409" s="18" t="s">
        <v>9344</v>
      </c>
      <c r="BM409" s="18"/>
      <c r="BN409" s="18"/>
      <c r="BO409" s="18"/>
      <c r="BP409" s="14" t="s">
        <v>9345</v>
      </c>
      <c r="BQ409" s="17">
        <v>42501</v>
      </c>
      <c r="BR409" s="16"/>
      <c r="BS409" s="17"/>
      <c r="BT409" s="16"/>
      <c r="BU409" s="17"/>
      <c r="BV409" s="16"/>
      <c r="BW409" s="17"/>
      <c r="BX409" s="16"/>
      <c r="BY409" s="17"/>
      <c r="BZ409" s="19">
        <v>10.990963548661624</v>
      </c>
      <c r="CA409" s="19"/>
      <c r="CB409" s="17"/>
      <c r="CC409" s="14" t="s">
        <v>5036</v>
      </c>
      <c r="CD409" s="14" t="s">
        <v>7249</v>
      </c>
      <c r="CE409" s="14" t="s">
        <v>6074</v>
      </c>
    </row>
    <row r="410" spans="1:83" ht="26.15" customHeight="1">
      <c r="A410" s="13">
        <v>404</v>
      </c>
      <c r="B410" s="14" t="s">
        <v>2691</v>
      </c>
      <c r="C410" s="14" t="s">
        <v>2692</v>
      </c>
      <c r="D410" s="14" t="s">
        <v>2694</v>
      </c>
      <c r="E410" s="13">
        <v>2012</v>
      </c>
      <c r="F410" s="14" t="s">
        <v>4993</v>
      </c>
      <c r="G410" s="14" t="s">
        <v>4994</v>
      </c>
      <c r="H410" s="14" t="s">
        <v>2057</v>
      </c>
      <c r="I410" s="15" t="s">
        <v>3117</v>
      </c>
      <c r="J410" s="16"/>
      <c r="K410" s="17">
        <v>42156</v>
      </c>
      <c r="L410" s="16"/>
      <c r="M410" s="16" t="s">
        <v>50</v>
      </c>
      <c r="N410" s="14" t="s">
        <v>25</v>
      </c>
      <c r="O410" s="13">
        <v>3</v>
      </c>
      <c r="P410" s="17">
        <v>44028</v>
      </c>
      <c r="Q410" s="14"/>
      <c r="R410" s="17"/>
      <c r="S410" s="17"/>
      <c r="T410" s="14" t="s">
        <v>5509</v>
      </c>
      <c r="U410" s="14" t="s">
        <v>5510</v>
      </c>
      <c r="V410" s="14" t="s">
        <v>9346</v>
      </c>
      <c r="W410" s="14"/>
      <c r="X410" s="14" t="s">
        <v>9347</v>
      </c>
      <c r="Y410" s="14"/>
      <c r="Z410" s="14" t="s">
        <v>9348</v>
      </c>
      <c r="AA410" s="14"/>
      <c r="AB410" s="14" t="s">
        <v>2057</v>
      </c>
      <c r="AC410" s="14"/>
      <c r="AD410" s="14"/>
      <c r="AE410" s="14"/>
      <c r="AF410" s="14"/>
      <c r="AG410" s="14"/>
      <c r="AH410" s="18"/>
      <c r="AI410" s="16"/>
      <c r="AJ410" s="17"/>
      <c r="AK410" s="15" t="s">
        <v>3123</v>
      </c>
      <c r="AL410" s="17"/>
      <c r="AM410" s="16"/>
      <c r="AN410" s="14"/>
      <c r="AO410" s="14"/>
      <c r="AP410" s="15" t="s">
        <v>3123</v>
      </c>
      <c r="AQ410" s="14"/>
      <c r="AR410" s="17"/>
      <c r="AS410" s="16"/>
      <c r="AT410" s="14"/>
      <c r="AU410" s="15" t="s">
        <v>3123</v>
      </c>
      <c r="AV410" s="14"/>
      <c r="AW410" s="17"/>
      <c r="AX410" s="16"/>
      <c r="AY410" s="16"/>
      <c r="AZ410" s="16"/>
      <c r="BA410" s="16"/>
      <c r="BB410" s="15" t="s">
        <v>3123</v>
      </c>
      <c r="BC410" s="17"/>
      <c r="BD410" s="14"/>
      <c r="BE410" s="14"/>
      <c r="BF410" s="16"/>
      <c r="BG410" s="16"/>
      <c r="BH410" s="13"/>
      <c r="BI410" s="18" t="s">
        <v>9349</v>
      </c>
      <c r="BJ410" s="13">
        <v>200</v>
      </c>
      <c r="BK410" s="17">
        <v>44123</v>
      </c>
      <c r="BL410" s="18"/>
      <c r="BM410" s="18"/>
      <c r="BN410" s="18"/>
      <c r="BO410" s="18"/>
      <c r="BP410" s="14" t="s">
        <v>9350</v>
      </c>
      <c r="BQ410" s="17">
        <v>42492</v>
      </c>
      <c r="BR410" s="16"/>
      <c r="BS410" s="17"/>
      <c r="BT410" s="16"/>
      <c r="BU410" s="17"/>
      <c r="BV410" s="16"/>
      <c r="BW410" s="17"/>
      <c r="BX410" s="16"/>
      <c r="BY410" s="17"/>
      <c r="BZ410" s="19">
        <v>20.751118614764383</v>
      </c>
      <c r="CA410" s="19"/>
      <c r="CB410" s="17"/>
      <c r="CC410" s="14" t="s">
        <v>6556</v>
      </c>
      <c r="CD410" s="14" t="s">
        <v>6731</v>
      </c>
      <c r="CE410" s="14" t="s">
        <v>6074</v>
      </c>
    </row>
    <row r="411" spans="1:83" ht="26.15" customHeight="1">
      <c r="A411" s="13">
        <v>405</v>
      </c>
      <c r="B411" s="14" t="s">
        <v>2324</v>
      </c>
      <c r="C411" s="14" t="s">
        <v>2325</v>
      </c>
      <c r="D411" s="14" t="s">
        <v>2327</v>
      </c>
      <c r="E411" s="13">
        <v>2015</v>
      </c>
      <c r="F411" s="14"/>
      <c r="G411" s="14" t="s">
        <v>5276</v>
      </c>
      <c r="H411" s="14" t="s">
        <v>5277</v>
      </c>
      <c r="I411" s="15" t="s">
        <v>3117</v>
      </c>
      <c r="J411" s="16"/>
      <c r="K411" s="17">
        <v>42572</v>
      </c>
      <c r="L411" s="16"/>
      <c r="M411" s="16" t="s">
        <v>50</v>
      </c>
      <c r="N411" s="14" t="s">
        <v>34</v>
      </c>
      <c r="O411" s="13">
        <v>2</v>
      </c>
      <c r="P411" s="17">
        <v>44083</v>
      </c>
      <c r="Q411" s="14"/>
      <c r="R411" s="17"/>
      <c r="S411" s="17"/>
      <c r="T411" s="14" t="s">
        <v>5947</v>
      </c>
      <c r="U411" s="14" t="s">
        <v>6335</v>
      </c>
      <c r="V411" s="14" t="s">
        <v>6336</v>
      </c>
      <c r="W411" s="14"/>
      <c r="X411" s="14" t="s">
        <v>206</v>
      </c>
      <c r="Y411" s="14"/>
      <c r="Z411" s="14" t="s">
        <v>9351</v>
      </c>
      <c r="AA411" s="14"/>
      <c r="AB411" s="14" t="s">
        <v>5277</v>
      </c>
      <c r="AC411" s="14"/>
      <c r="AD411" s="14"/>
      <c r="AE411" s="14" t="s">
        <v>9352</v>
      </c>
      <c r="AF411" s="14" t="s">
        <v>9353</v>
      </c>
      <c r="AG411" s="14" t="s">
        <v>9354</v>
      </c>
      <c r="AH411" s="18"/>
      <c r="AI411" s="16"/>
      <c r="AJ411" s="17"/>
      <c r="AK411" s="15" t="s">
        <v>3123</v>
      </c>
      <c r="AL411" s="17"/>
      <c r="AM411" s="16"/>
      <c r="AN411" s="14"/>
      <c r="AO411" s="14"/>
      <c r="AP411" s="15" t="s">
        <v>3123</v>
      </c>
      <c r="AQ411" s="14"/>
      <c r="AR411" s="17"/>
      <c r="AS411" s="16"/>
      <c r="AT411" s="14"/>
      <c r="AU411" s="15" t="s">
        <v>3123</v>
      </c>
      <c r="AV411" s="14"/>
      <c r="AW411" s="17"/>
      <c r="AX411" s="16"/>
      <c r="AY411" s="16"/>
      <c r="AZ411" s="16"/>
      <c r="BA411" s="16"/>
      <c r="BB411" s="15" t="s">
        <v>3123</v>
      </c>
      <c r="BC411" s="17"/>
      <c r="BD411" s="14"/>
      <c r="BE411" s="14"/>
      <c r="BF411" s="16"/>
      <c r="BG411" s="16"/>
      <c r="BH411" s="13"/>
      <c r="BI411" s="18" t="s">
        <v>9355</v>
      </c>
      <c r="BJ411" s="13">
        <v>200</v>
      </c>
      <c r="BK411" s="17">
        <v>44123</v>
      </c>
      <c r="BL411" s="18"/>
      <c r="BM411" s="18" t="s">
        <v>9356</v>
      </c>
      <c r="BN411" s="18" t="s">
        <v>9357</v>
      </c>
      <c r="BO411" s="18"/>
      <c r="BP411" s="14" t="s">
        <v>9358</v>
      </c>
      <c r="BQ411" s="17">
        <v>43201</v>
      </c>
      <c r="BR411" s="16"/>
      <c r="BS411" s="17"/>
      <c r="BT411" s="16"/>
      <c r="BU411" s="17"/>
      <c r="BV411" s="16"/>
      <c r="BW411" s="17"/>
      <c r="BX411" s="16"/>
      <c r="BY411" s="17"/>
      <c r="BZ411" s="19">
        <v>30.831149528217704</v>
      </c>
      <c r="CA411" s="19"/>
      <c r="CB411" s="17"/>
      <c r="CC411" s="14" t="s">
        <v>5036</v>
      </c>
      <c r="CD411" s="14" t="s">
        <v>5962</v>
      </c>
      <c r="CE411" s="14" t="s">
        <v>5945</v>
      </c>
    </row>
    <row r="412" spans="1:83" ht="26.15" customHeight="1">
      <c r="A412" s="13">
        <v>406</v>
      </c>
      <c r="B412" s="14" t="s">
        <v>980</v>
      </c>
      <c r="C412" s="14" t="s">
        <v>981</v>
      </c>
      <c r="D412" s="14" t="s">
        <v>984</v>
      </c>
      <c r="E412" s="13">
        <v>2012</v>
      </c>
      <c r="F412" s="14" t="s">
        <v>5067</v>
      </c>
      <c r="G412" s="14" t="s">
        <v>5068</v>
      </c>
      <c r="H412" s="14" t="s">
        <v>3994</v>
      </c>
      <c r="I412" s="15" t="s">
        <v>3117</v>
      </c>
      <c r="J412" s="16">
        <v>987327</v>
      </c>
      <c r="K412" s="17">
        <v>43615</v>
      </c>
      <c r="L412" s="16"/>
      <c r="M412" s="16" t="s">
        <v>50</v>
      </c>
      <c r="N412" s="14" t="s">
        <v>5335</v>
      </c>
      <c r="O412" s="13">
        <v>4</v>
      </c>
      <c r="P412" s="17">
        <v>44003</v>
      </c>
      <c r="Q412" s="14"/>
      <c r="R412" s="17"/>
      <c r="S412" s="17"/>
      <c r="T412" s="14" t="s">
        <v>1</v>
      </c>
      <c r="U412" s="14" t="s">
        <v>5007</v>
      </c>
      <c r="V412" s="14" t="s">
        <v>6482</v>
      </c>
      <c r="W412" s="14"/>
      <c r="X412" s="14" t="s">
        <v>7840</v>
      </c>
      <c r="Y412" s="14" t="s">
        <v>7841</v>
      </c>
      <c r="Z412" s="14" t="s">
        <v>7842</v>
      </c>
      <c r="AA412" s="14"/>
      <c r="AB412" s="14" t="s">
        <v>3994</v>
      </c>
      <c r="AC412" s="14"/>
      <c r="AD412" s="14"/>
      <c r="AE412" s="14" t="s">
        <v>7843</v>
      </c>
      <c r="AF412" s="14" t="s">
        <v>7844</v>
      </c>
      <c r="AG412" s="14" t="s">
        <v>7845</v>
      </c>
      <c r="AH412" s="18"/>
      <c r="AI412" s="16"/>
      <c r="AJ412" s="17"/>
      <c r="AK412" s="15" t="s">
        <v>3123</v>
      </c>
      <c r="AL412" s="17"/>
      <c r="AM412" s="16"/>
      <c r="AN412" s="14"/>
      <c r="AO412" s="14"/>
      <c r="AP412" s="15" t="s">
        <v>3117</v>
      </c>
      <c r="AQ412" s="14" t="s">
        <v>3669</v>
      </c>
      <c r="AR412" s="17">
        <v>43910</v>
      </c>
      <c r="AS412" s="16"/>
      <c r="AT412" s="14" t="s">
        <v>5342</v>
      </c>
      <c r="AU412" s="15" t="s">
        <v>3123</v>
      </c>
      <c r="AV412" s="14"/>
      <c r="AW412" s="17"/>
      <c r="AX412" s="16"/>
      <c r="AY412" s="16"/>
      <c r="AZ412" s="16"/>
      <c r="BA412" s="16"/>
      <c r="BB412" s="15" t="s">
        <v>3123</v>
      </c>
      <c r="BC412" s="17"/>
      <c r="BD412" s="14"/>
      <c r="BE412" s="14"/>
      <c r="BF412" s="16"/>
      <c r="BG412" s="16"/>
      <c r="BH412" s="13"/>
      <c r="BI412" s="18" t="s">
        <v>7846</v>
      </c>
      <c r="BJ412" s="13">
        <v>200</v>
      </c>
      <c r="BK412" s="17">
        <v>44138</v>
      </c>
      <c r="BL412" s="18"/>
      <c r="BM412" s="18"/>
      <c r="BN412" s="18" t="s">
        <v>7847</v>
      </c>
      <c r="BO412" s="18"/>
      <c r="BP412" s="14" t="s">
        <v>7848</v>
      </c>
      <c r="BQ412" s="17">
        <v>42933</v>
      </c>
      <c r="BR412" s="16"/>
      <c r="BS412" s="17"/>
      <c r="BT412" s="16"/>
      <c r="BU412" s="17"/>
      <c r="BV412" s="16">
        <v>15000000</v>
      </c>
      <c r="BW412" s="17">
        <v>42346</v>
      </c>
      <c r="BX412" s="16">
        <v>15</v>
      </c>
      <c r="BY412" s="17">
        <v>43646</v>
      </c>
      <c r="BZ412" s="19">
        <v>33.540308478202768</v>
      </c>
      <c r="CA412" s="19"/>
      <c r="CB412" s="17"/>
      <c r="CC412" s="14" t="s">
        <v>5345</v>
      </c>
      <c r="CD412" s="14" t="s">
        <v>7221</v>
      </c>
      <c r="CE412" s="14" t="s">
        <v>5945</v>
      </c>
    </row>
    <row r="413" spans="1:83" ht="26.15" customHeight="1">
      <c r="A413" s="13">
        <v>407</v>
      </c>
      <c r="B413" s="14" t="s">
        <v>2625</v>
      </c>
      <c r="C413" s="14" t="s">
        <v>2626</v>
      </c>
      <c r="D413" s="14" t="s">
        <v>2628</v>
      </c>
      <c r="E413" s="13">
        <v>2013</v>
      </c>
      <c r="F413" s="14" t="s">
        <v>7307</v>
      </c>
      <c r="G413" s="14" t="s">
        <v>5267</v>
      </c>
      <c r="H413" s="14" t="s">
        <v>2057</v>
      </c>
      <c r="I413" s="15" t="s">
        <v>3117</v>
      </c>
      <c r="J413" s="16">
        <v>7200000</v>
      </c>
      <c r="K413" s="17">
        <v>42261</v>
      </c>
      <c r="L413" s="16" t="s">
        <v>5051</v>
      </c>
      <c r="M413" s="16">
        <v>7200000</v>
      </c>
      <c r="N413" s="14" t="s">
        <v>109</v>
      </c>
      <c r="O413" s="13"/>
      <c r="P413" s="17"/>
      <c r="Q413" s="14"/>
      <c r="R413" s="17"/>
      <c r="S413" s="17"/>
      <c r="T413" s="14" t="s">
        <v>5509</v>
      </c>
      <c r="U413" s="14" t="s">
        <v>5510</v>
      </c>
      <c r="V413" s="14" t="s">
        <v>5696</v>
      </c>
      <c r="W413" s="14"/>
      <c r="X413" s="14" t="s">
        <v>9359</v>
      </c>
      <c r="Y413" s="14"/>
      <c r="Z413" s="14" t="s">
        <v>9360</v>
      </c>
      <c r="AA413" s="14"/>
      <c r="AB413" s="14" t="s">
        <v>2057</v>
      </c>
      <c r="AC413" s="14"/>
      <c r="AD413" s="14"/>
      <c r="AE413" s="14"/>
      <c r="AF413" s="14"/>
      <c r="AG413" s="14"/>
      <c r="AH413" s="18"/>
      <c r="AI413" s="16"/>
      <c r="AJ413" s="17"/>
      <c r="AK413" s="15" t="s">
        <v>3123</v>
      </c>
      <c r="AL413" s="17"/>
      <c r="AM413" s="16"/>
      <c r="AN413" s="14"/>
      <c r="AO413" s="14"/>
      <c r="AP413" s="15" t="s">
        <v>3123</v>
      </c>
      <c r="AQ413" s="14"/>
      <c r="AR413" s="17"/>
      <c r="AS413" s="16"/>
      <c r="AT413" s="14"/>
      <c r="AU413" s="15" t="s">
        <v>3123</v>
      </c>
      <c r="AV413" s="14"/>
      <c r="AW413" s="17"/>
      <c r="AX413" s="16"/>
      <c r="AY413" s="16"/>
      <c r="AZ413" s="16"/>
      <c r="BA413" s="16"/>
      <c r="BB413" s="15" t="s">
        <v>3123</v>
      </c>
      <c r="BC413" s="17"/>
      <c r="BD413" s="14"/>
      <c r="BE413" s="14"/>
      <c r="BF413" s="16"/>
      <c r="BG413" s="16"/>
      <c r="BH413" s="13"/>
      <c r="BI413" s="18" t="s">
        <v>9361</v>
      </c>
      <c r="BJ413" s="13">
        <v>-1</v>
      </c>
      <c r="BK413" s="17">
        <v>44123</v>
      </c>
      <c r="BL413" s="18"/>
      <c r="BM413" s="18"/>
      <c r="BN413" s="18"/>
      <c r="BO413" s="18"/>
      <c r="BP413" s="14" t="s">
        <v>9362</v>
      </c>
      <c r="BQ413" s="17">
        <v>42643</v>
      </c>
      <c r="BR413" s="16"/>
      <c r="BS413" s="17"/>
      <c r="BT413" s="16"/>
      <c r="BU413" s="17"/>
      <c r="BV413" s="16"/>
      <c r="BW413" s="17"/>
      <c r="BX413" s="16"/>
      <c r="BY413" s="17"/>
      <c r="BZ413" s="19">
        <v>27.180996107642393</v>
      </c>
      <c r="CA413" s="19"/>
      <c r="CB413" s="17"/>
      <c r="CC413" s="14" t="s">
        <v>5104</v>
      </c>
      <c r="CD413" s="14" t="s">
        <v>7249</v>
      </c>
      <c r="CE413" s="14" t="s">
        <v>6074</v>
      </c>
    </row>
    <row r="414" spans="1:83" ht="26.15" customHeight="1">
      <c r="A414" s="13">
        <v>408</v>
      </c>
      <c r="B414" s="14" t="s">
        <v>2583</v>
      </c>
      <c r="C414" s="14" t="s">
        <v>2584</v>
      </c>
      <c r="D414" s="14" t="s">
        <v>2586</v>
      </c>
      <c r="E414" s="13">
        <v>2015</v>
      </c>
      <c r="F414" s="14" t="s">
        <v>9363</v>
      </c>
      <c r="G414" s="14" t="s">
        <v>9364</v>
      </c>
      <c r="H414" s="14" t="s">
        <v>9288</v>
      </c>
      <c r="I414" s="15" t="s">
        <v>3117</v>
      </c>
      <c r="J414" s="16"/>
      <c r="K414" s="17">
        <v>42328</v>
      </c>
      <c r="L414" s="16"/>
      <c r="M414" s="16" t="s">
        <v>50</v>
      </c>
      <c r="N414" s="14" t="s">
        <v>5630</v>
      </c>
      <c r="O414" s="13"/>
      <c r="P414" s="17"/>
      <c r="Q414" s="14"/>
      <c r="R414" s="17"/>
      <c r="S414" s="17"/>
      <c r="T414" s="14" t="s">
        <v>5509</v>
      </c>
      <c r="U414" s="14" t="s">
        <v>5510</v>
      </c>
      <c r="V414" s="14" t="s">
        <v>7819</v>
      </c>
      <c r="W414" s="14"/>
      <c r="X414" s="14" t="s">
        <v>4679</v>
      </c>
      <c r="Y414" s="14"/>
      <c r="Z414" s="14" t="s">
        <v>9365</v>
      </c>
      <c r="AA414" s="14"/>
      <c r="AB414" s="14" t="s">
        <v>9288</v>
      </c>
      <c r="AC414" s="14"/>
      <c r="AD414" s="14"/>
      <c r="AE414" s="14" t="s">
        <v>9366</v>
      </c>
      <c r="AF414" s="14" t="s">
        <v>9367</v>
      </c>
      <c r="AG414" s="14" t="s">
        <v>9368</v>
      </c>
      <c r="AH414" s="18"/>
      <c r="AI414" s="16"/>
      <c r="AJ414" s="17"/>
      <c r="AK414" s="15" t="s">
        <v>3123</v>
      </c>
      <c r="AL414" s="17"/>
      <c r="AM414" s="16"/>
      <c r="AN414" s="14"/>
      <c r="AO414" s="14"/>
      <c r="AP414" s="15" t="s">
        <v>3123</v>
      </c>
      <c r="AQ414" s="14"/>
      <c r="AR414" s="17"/>
      <c r="AS414" s="16"/>
      <c r="AT414" s="14"/>
      <c r="AU414" s="15" t="s">
        <v>3123</v>
      </c>
      <c r="AV414" s="14"/>
      <c r="AW414" s="17"/>
      <c r="AX414" s="16"/>
      <c r="AY414" s="16"/>
      <c r="AZ414" s="16"/>
      <c r="BA414" s="16"/>
      <c r="BB414" s="15" t="s">
        <v>3117</v>
      </c>
      <c r="BC414" s="17">
        <v>42461</v>
      </c>
      <c r="BD414" s="14"/>
      <c r="BE414" s="14"/>
      <c r="BF414" s="16"/>
      <c r="BG414" s="16"/>
      <c r="BH414" s="13"/>
      <c r="BI414" s="18" t="s">
        <v>9369</v>
      </c>
      <c r="BJ414" s="13">
        <v>200</v>
      </c>
      <c r="BK414" s="17">
        <v>44123</v>
      </c>
      <c r="BL414" s="18"/>
      <c r="BM414" s="18"/>
      <c r="BN414" s="18" t="s">
        <v>9370</v>
      </c>
      <c r="BO414" s="18"/>
      <c r="BP414" s="14" t="s">
        <v>9371</v>
      </c>
      <c r="BQ414" s="17">
        <v>42391</v>
      </c>
      <c r="BR414" s="16"/>
      <c r="BS414" s="17"/>
      <c r="BT414" s="16"/>
      <c r="BU414" s="17"/>
      <c r="BV414" s="16"/>
      <c r="BW414" s="17"/>
      <c r="BX414" s="16"/>
      <c r="BY414" s="17"/>
      <c r="BZ414" s="19">
        <v>13.681534644208877</v>
      </c>
      <c r="CA414" s="19"/>
      <c r="CB414" s="17"/>
      <c r="CC414" s="14" t="s">
        <v>5036</v>
      </c>
      <c r="CD414" s="14" t="s">
        <v>9372</v>
      </c>
      <c r="CE414" s="14" t="s">
        <v>5945</v>
      </c>
    </row>
    <row r="415" spans="1:83" ht="26.15" customHeight="1">
      <c r="A415" s="13">
        <v>409</v>
      </c>
      <c r="B415" s="14" t="s">
        <v>2597</v>
      </c>
      <c r="C415" s="14" t="s">
        <v>2598</v>
      </c>
      <c r="D415" s="14" t="s">
        <v>2599</v>
      </c>
      <c r="E415" s="13">
        <v>2015</v>
      </c>
      <c r="F415" s="14" t="s">
        <v>4993</v>
      </c>
      <c r="G415" s="14" t="s">
        <v>4994</v>
      </c>
      <c r="H415" s="14" t="s">
        <v>2057</v>
      </c>
      <c r="I415" s="15" t="s">
        <v>3117</v>
      </c>
      <c r="J415" s="16">
        <v>4600000</v>
      </c>
      <c r="K415" s="17">
        <v>42321</v>
      </c>
      <c r="L415" s="16" t="s">
        <v>5543</v>
      </c>
      <c r="M415" s="16">
        <v>4600000</v>
      </c>
      <c r="N415" s="14" t="s">
        <v>109</v>
      </c>
      <c r="O415" s="13"/>
      <c r="P415" s="17"/>
      <c r="Q415" s="14"/>
      <c r="R415" s="17"/>
      <c r="S415" s="17"/>
      <c r="T415" s="14" t="s">
        <v>1</v>
      </c>
      <c r="U415" s="14" t="s">
        <v>5084</v>
      </c>
      <c r="V415" s="14" t="s">
        <v>2600</v>
      </c>
      <c r="W415" s="14"/>
      <c r="X415" s="14"/>
      <c r="Y415" s="14"/>
      <c r="Z415" s="14" t="s">
        <v>9373</v>
      </c>
      <c r="AA415" s="14"/>
      <c r="AB415" s="14" t="s">
        <v>2057</v>
      </c>
      <c r="AC415" s="14"/>
      <c r="AD415" s="14"/>
      <c r="AE415" s="14"/>
      <c r="AF415" s="14"/>
      <c r="AG415" s="14"/>
      <c r="AH415" s="18"/>
      <c r="AI415" s="16"/>
      <c r="AJ415" s="17"/>
      <c r="AK415" s="15" t="s">
        <v>3123</v>
      </c>
      <c r="AL415" s="17"/>
      <c r="AM415" s="16"/>
      <c r="AN415" s="14"/>
      <c r="AO415" s="14"/>
      <c r="AP415" s="15" t="s">
        <v>3123</v>
      </c>
      <c r="AQ415" s="14"/>
      <c r="AR415" s="17"/>
      <c r="AS415" s="16"/>
      <c r="AT415" s="14"/>
      <c r="AU415" s="15" t="s">
        <v>3123</v>
      </c>
      <c r="AV415" s="14"/>
      <c r="AW415" s="17"/>
      <c r="AX415" s="16"/>
      <c r="AY415" s="16"/>
      <c r="AZ415" s="16"/>
      <c r="BA415" s="16"/>
      <c r="BB415" s="15" t="s">
        <v>3123</v>
      </c>
      <c r="BC415" s="17"/>
      <c r="BD415" s="14"/>
      <c r="BE415" s="14"/>
      <c r="BF415" s="16"/>
      <c r="BG415" s="16"/>
      <c r="BH415" s="13"/>
      <c r="BI415" s="18" t="s">
        <v>9374</v>
      </c>
      <c r="BJ415" s="13">
        <v>200</v>
      </c>
      <c r="BK415" s="17">
        <v>44123</v>
      </c>
      <c r="BL415" s="18"/>
      <c r="BM415" s="18"/>
      <c r="BN415" s="18"/>
      <c r="BO415" s="18"/>
      <c r="BP415" s="14" t="s">
        <v>9375</v>
      </c>
      <c r="BQ415" s="17">
        <v>43031</v>
      </c>
      <c r="BR415" s="16"/>
      <c r="BS415" s="17"/>
      <c r="BT415" s="16"/>
      <c r="BU415" s="17"/>
      <c r="BV415" s="16"/>
      <c r="BW415" s="17"/>
      <c r="BX415" s="16"/>
      <c r="BY415" s="17"/>
      <c r="BZ415" s="19">
        <v>19.192421657393197</v>
      </c>
      <c r="CA415" s="19"/>
      <c r="CB415" s="17"/>
      <c r="CC415" s="14"/>
      <c r="CD415" s="14" t="s">
        <v>6508</v>
      </c>
      <c r="CE415" s="14" t="s">
        <v>6509</v>
      </c>
    </row>
    <row r="416" spans="1:83" ht="26.15" customHeight="1">
      <c r="A416" s="13">
        <v>410</v>
      </c>
      <c r="B416" s="14" t="s">
        <v>2551</v>
      </c>
      <c r="C416" s="14" t="s">
        <v>2552</v>
      </c>
      <c r="D416" s="14" t="s">
        <v>2553</v>
      </c>
      <c r="E416" s="13">
        <v>2015</v>
      </c>
      <c r="F416" s="14" t="s">
        <v>5189</v>
      </c>
      <c r="G416" s="14" t="s">
        <v>5190</v>
      </c>
      <c r="H416" s="14" t="s">
        <v>1258</v>
      </c>
      <c r="I416" s="15" t="s">
        <v>3117</v>
      </c>
      <c r="J416" s="16"/>
      <c r="K416" s="17">
        <v>42356</v>
      </c>
      <c r="L416" s="16" t="s">
        <v>9376</v>
      </c>
      <c r="M416" s="16">
        <v>33000</v>
      </c>
      <c r="N416" s="14" t="s">
        <v>5630</v>
      </c>
      <c r="O416" s="13"/>
      <c r="P416" s="17"/>
      <c r="Q416" s="14"/>
      <c r="R416" s="17"/>
      <c r="S416" s="17"/>
      <c r="T416" s="14" t="s">
        <v>1</v>
      </c>
      <c r="U416" s="14" t="s">
        <v>5007</v>
      </c>
      <c r="V416" s="14" t="s">
        <v>6157</v>
      </c>
      <c r="W416" s="14"/>
      <c r="X416" s="14" t="s">
        <v>3689</v>
      </c>
      <c r="Y416" s="14"/>
      <c r="Z416" s="14" t="s">
        <v>9377</v>
      </c>
      <c r="AA416" s="14"/>
      <c r="AB416" s="14" t="s">
        <v>1258</v>
      </c>
      <c r="AC416" s="14" t="s">
        <v>9378</v>
      </c>
      <c r="AD416" s="14"/>
      <c r="AE416" s="14" t="s">
        <v>9379</v>
      </c>
      <c r="AF416" s="14" t="s">
        <v>9380</v>
      </c>
      <c r="AG416" s="14" t="s">
        <v>9381</v>
      </c>
      <c r="AH416" s="18"/>
      <c r="AI416" s="16"/>
      <c r="AJ416" s="17"/>
      <c r="AK416" s="15" t="s">
        <v>3123</v>
      </c>
      <c r="AL416" s="17"/>
      <c r="AM416" s="16"/>
      <c r="AN416" s="14"/>
      <c r="AO416" s="14"/>
      <c r="AP416" s="15" t="s">
        <v>3123</v>
      </c>
      <c r="AQ416" s="14"/>
      <c r="AR416" s="17"/>
      <c r="AS416" s="16"/>
      <c r="AT416" s="14"/>
      <c r="AU416" s="15" t="s">
        <v>3123</v>
      </c>
      <c r="AV416" s="14"/>
      <c r="AW416" s="17"/>
      <c r="AX416" s="16"/>
      <c r="AY416" s="16"/>
      <c r="AZ416" s="16"/>
      <c r="BA416" s="16"/>
      <c r="BB416" s="15" t="s">
        <v>3117</v>
      </c>
      <c r="BC416" s="17">
        <v>42795</v>
      </c>
      <c r="BD416" s="14"/>
      <c r="BE416" s="14"/>
      <c r="BF416" s="16"/>
      <c r="BG416" s="16"/>
      <c r="BH416" s="13"/>
      <c r="BI416" s="18" t="s">
        <v>9382</v>
      </c>
      <c r="BJ416" s="13">
        <v>-1</v>
      </c>
      <c r="BK416" s="17">
        <v>44123</v>
      </c>
      <c r="BL416" s="18" t="s">
        <v>9383</v>
      </c>
      <c r="BM416" s="18" t="s">
        <v>9384</v>
      </c>
      <c r="BN416" s="18" t="s">
        <v>9385</v>
      </c>
      <c r="BO416" s="18" t="s">
        <v>9386</v>
      </c>
      <c r="BP416" s="14" t="s">
        <v>9387</v>
      </c>
      <c r="BQ416" s="17">
        <v>43021</v>
      </c>
      <c r="BR416" s="16"/>
      <c r="BS416" s="17"/>
      <c r="BT416" s="16"/>
      <c r="BU416" s="17"/>
      <c r="BV416" s="16"/>
      <c r="BW416" s="17"/>
      <c r="BX416" s="16"/>
      <c r="BY416" s="17"/>
      <c r="BZ416" s="19">
        <v>20.206738174290006</v>
      </c>
      <c r="CA416" s="19"/>
      <c r="CB416" s="17"/>
      <c r="CC416" s="14" t="s">
        <v>6556</v>
      </c>
      <c r="CD416" s="14" t="s">
        <v>6557</v>
      </c>
      <c r="CE416" s="14" t="s">
        <v>5945</v>
      </c>
    </row>
    <row r="417" spans="1:83" ht="26.15" customHeight="1">
      <c r="A417" s="13">
        <v>411</v>
      </c>
      <c r="B417" s="14" t="s">
        <v>2827</v>
      </c>
      <c r="C417" s="14" t="s">
        <v>2828</v>
      </c>
      <c r="D417" s="14" t="s">
        <v>2830</v>
      </c>
      <c r="E417" s="13">
        <v>2014</v>
      </c>
      <c r="F417" s="14" t="s">
        <v>4993</v>
      </c>
      <c r="G417" s="14" t="s">
        <v>4994</v>
      </c>
      <c r="H417" s="14" t="s">
        <v>2057</v>
      </c>
      <c r="I417" s="15" t="s">
        <v>3117</v>
      </c>
      <c r="J417" s="16"/>
      <c r="K417" s="17">
        <v>41883</v>
      </c>
      <c r="L417" s="16"/>
      <c r="M417" s="16" t="s">
        <v>50</v>
      </c>
      <c r="N417" s="14" t="s">
        <v>34</v>
      </c>
      <c r="O417" s="13">
        <v>5</v>
      </c>
      <c r="P417" s="17">
        <v>44018</v>
      </c>
      <c r="Q417" s="14" t="s">
        <v>5052</v>
      </c>
      <c r="R417" s="17">
        <v>42916</v>
      </c>
      <c r="S417" s="17">
        <v>42278</v>
      </c>
      <c r="T417" s="14" t="s">
        <v>9388</v>
      </c>
      <c r="U417" s="14" t="s">
        <v>9389</v>
      </c>
      <c r="V417" s="14" t="s">
        <v>9390</v>
      </c>
      <c r="W417" s="14"/>
      <c r="X417" s="14" t="s">
        <v>9391</v>
      </c>
      <c r="Y417" s="14"/>
      <c r="Z417" s="14" t="s">
        <v>9392</v>
      </c>
      <c r="AA417" s="14"/>
      <c r="AB417" s="14" t="s">
        <v>2057</v>
      </c>
      <c r="AC417" s="14"/>
      <c r="AD417" s="14"/>
      <c r="AE417" s="14"/>
      <c r="AF417" s="14"/>
      <c r="AG417" s="14"/>
      <c r="AH417" s="18"/>
      <c r="AI417" s="16"/>
      <c r="AJ417" s="17"/>
      <c r="AK417" s="15" t="s">
        <v>3123</v>
      </c>
      <c r="AL417" s="17"/>
      <c r="AM417" s="16"/>
      <c r="AN417" s="14"/>
      <c r="AO417" s="14"/>
      <c r="AP417" s="15" t="s">
        <v>3123</v>
      </c>
      <c r="AQ417" s="14"/>
      <c r="AR417" s="17"/>
      <c r="AS417" s="16"/>
      <c r="AT417" s="14"/>
      <c r="AU417" s="15" t="s">
        <v>3123</v>
      </c>
      <c r="AV417" s="14"/>
      <c r="AW417" s="17"/>
      <c r="AX417" s="16"/>
      <c r="AY417" s="16"/>
      <c r="AZ417" s="16"/>
      <c r="BA417" s="16"/>
      <c r="BB417" s="15" t="s">
        <v>3123</v>
      </c>
      <c r="BC417" s="17"/>
      <c r="BD417" s="14"/>
      <c r="BE417" s="14"/>
      <c r="BF417" s="16"/>
      <c r="BG417" s="16"/>
      <c r="BH417" s="13"/>
      <c r="BI417" s="18" t="s">
        <v>9393</v>
      </c>
      <c r="BJ417" s="13">
        <v>-1</v>
      </c>
      <c r="BK417" s="17">
        <v>44123</v>
      </c>
      <c r="BL417" s="18"/>
      <c r="BM417" s="18"/>
      <c r="BN417" s="18"/>
      <c r="BO417" s="18"/>
      <c r="BP417" s="14" t="s">
        <v>9394</v>
      </c>
      <c r="BQ417" s="17">
        <v>42361</v>
      </c>
      <c r="BR417" s="16"/>
      <c r="BS417" s="17"/>
      <c r="BT417" s="16"/>
      <c r="BU417" s="17"/>
      <c r="BV417" s="16"/>
      <c r="BW417" s="17"/>
      <c r="BX417" s="16"/>
      <c r="BY417" s="17"/>
      <c r="BZ417" s="19">
        <v>28.883648396792122</v>
      </c>
      <c r="CA417" s="19"/>
      <c r="CB417" s="17"/>
      <c r="CC417" s="14" t="s">
        <v>7816</v>
      </c>
      <c r="CD417" s="14" t="s">
        <v>7522</v>
      </c>
      <c r="CE417" s="14" t="s">
        <v>5945</v>
      </c>
    </row>
    <row r="418" spans="1:83" ht="26.15" customHeight="1">
      <c r="A418" s="13">
        <v>412</v>
      </c>
      <c r="B418" s="14" t="s">
        <v>2419</v>
      </c>
      <c r="C418" s="14" t="s">
        <v>2420</v>
      </c>
      <c r="D418" s="14" t="s">
        <v>2422</v>
      </c>
      <c r="E418" s="13">
        <v>2014</v>
      </c>
      <c r="F418" s="14" t="s">
        <v>8174</v>
      </c>
      <c r="G418" s="14" t="s">
        <v>8174</v>
      </c>
      <c r="H418" s="14" t="s">
        <v>5844</v>
      </c>
      <c r="I418" s="15" t="s">
        <v>3117</v>
      </c>
      <c r="J418" s="16">
        <v>1000000</v>
      </c>
      <c r="K418" s="17">
        <v>42521</v>
      </c>
      <c r="L418" s="16" t="s">
        <v>5134</v>
      </c>
      <c r="M418" s="16">
        <v>1000000</v>
      </c>
      <c r="N418" s="14" t="s">
        <v>34</v>
      </c>
      <c r="O418" s="13"/>
      <c r="P418" s="17"/>
      <c r="Q418" s="14"/>
      <c r="R418" s="17"/>
      <c r="S418" s="17"/>
      <c r="T418" s="14" t="s">
        <v>5041</v>
      </c>
      <c r="U418" s="14" t="s">
        <v>5042</v>
      </c>
      <c r="V418" s="14" t="s">
        <v>7413</v>
      </c>
      <c r="W418" s="14"/>
      <c r="X418" s="14" t="s">
        <v>9395</v>
      </c>
      <c r="Y418" s="14"/>
      <c r="Z418" s="14" t="s">
        <v>9396</v>
      </c>
      <c r="AA418" s="14"/>
      <c r="AB418" s="14" t="s">
        <v>5844</v>
      </c>
      <c r="AC418" s="14" t="s">
        <v>9397</v>
      </c>
      <c r="AD418" s="14"/>
      <c r="AE418" s="14" t="s">
        <v>9398</v>
      </c>
      <c r="AF418" s="14" t="s">
        <v>9399</v>
      </c>
      <c r="AG418" s="14" t="s">
        <v>9400</v>
      </c>
      <c r="AH418" s="18"/>
      <c r="AI418" s="16"/>
      <c r="AJ418" s="17"/>
      <c r="AK418" s="15" t="s">
        <v>3123</v>
      </c>
      <c r="AL418" s="17"/>
      <c r="AM418" s="16"/>
      <c r="AN418" s="14"/>
      <c r="AO418" s="14"/>
      <c r="AP418" s="15" t="s">
        <v>3123</v>
      </c>
      <c r="AQ418" s="14"/>
      <c r="AR418" s="17"/>
      <c r="AS418" s="16"/>
      <c r="AT418" s="14"/>
      <c r="AU418" s="15" t="s">
        <v>3123</v>
      </c>
      <c r="AV418" s="14"/>
      <c r="AW418" s="17"/>
      <c r="AX418" s="16"/>
      <c r="AY418" s="16"/>
      <c r="AZ418" s="16"/>
      <c r="BA418" s="16"/>
      <c r="BB418" s="15" t="s">
        <v>3123</v>
      </c>
      <c r="BC418" s="17"/>
      <c r="BD418" s="14"/>
      <c r="BE418" s="14"/>
      <c r="BF418" s="16"/>
      <c r="BG418" s="16"/>
      <c r="BH418" s="13"/>
      <c r="BI418" s="18" t="s">
        <v>9401</v>
      </c>
      <c r="BJ418" s="13">
        <v>200</v>
      </c>
      <c r="BK418" s="17">
        <v>44123</v>
      </c>
      <c r="BL418" s="18"/>
      <c r="BM418" s="18"/>
      <c r="BN418" s="18" t="s">
        <v>9402</v>
      </c>
      <c r="BO418" s="18"/>
      <c r="BP418" s="14" t="s">
        <v>9403</v>
      </c>
      <c r="BQ418" s="17">
        <v>42929</v>
      </c>
      <c r="BR418" s="16"/>
      <c r="BS418" s="17"/>
      <c r="BT418" s="16"/>
      <c r="BU418" s="17"/>
      <c r="BV418" s="16"/>
      <c r="BW418" s="17"/>
      <c r="BX418" s="16"/>
      <c r="BY418" s="17"/>
      <c r="BZ418" s="19">
        <v>35.838434883098962</v>
      </c>
      <c r="CA418" s="19"/>
      <c r="CB418" s="17"/>
      <c r="CC418" s="14" t="s">
        <v>7284</v>
      </c>
      <c r="CD418" s="14" t="s">
        <v>6002</v>
      </c>
      <c r="CE418" s="14" t="s">
        <v>5945</v>
      </c>
    </row>
    <row r="419" spans="1:83" ht="26.15" customHeight="1">
      <c r="A419" s="13">
        <v>413</v>
      </c>
      <c r="B419" s="14" t="s">
        <v>2246</v>
      </c>
      <c r="C419" s="14" t="s">
        <v>2247</v>
      </c>
      <c r="D419" s="14" t="s">
        <v>2250</v>
      </c>
      <c r="E419" s="13">
        <v>2014</v>
      </c>
      <c r="F419" s="14" t="s">
        <v>7307</v>
      </c>
      <c r="G419" s="14" t="s">
        <v>5267</v>
      </c>
      <c r="H419" s="14" t="s">
        <v>2057</v>
      </c>
      <c r="I419" s="15" t="s">
        <v>3117</v>
      </c>
      <c r="J419" s="16">
        <v>20000000</v>
      </c>
      <c r="K419" s="17">
        <v>42678</v>
      </c>
      <c r="L419" s="16" t="s">
        <v>6740</v>
      </c>
      <c r="M419" s="16">
        <v>20000000</v>
      </c>
      <c r="N419" s="14" t="s">
        <v>109</v>
      </c>
      <c r="O419" s="13"/>
      <c r="P419" s="17"/>
      <c r="Q419" s="14"/>
      <c r="R419" s="17"/>
      <c r="S419" s="17"/>
      <c r="T419" s="14" t="s">
        <v>5509</v>
      </c>
      <c r="U419" s="14" t="s">
        <v>7744</v>
      </c>
      <c r="V419" s="14" t="s">
        <v>7745</v>
      </c>
      <c r="W419" s="14"/>
      <c r="X419" s="14" t="s">
        <v>2249</v>
      </c>
      <c r="Y419" s="14"/>
      <c r="Z419" s="14" t="s">
        <v>9404</v>
      </c>
      <c r="AA419" s="14"/>
      <c r="AB419" s="14" t="s">
        <v>2057</v>
      </c>
      <c r="AC419" s="14"/>
      <c r="AD419" s="14"/>
      <c r="AE419" s="14"/>
      <c r="AF419" s="14"/>
      <c r="AG419" s="14"/>
      <c r="AH419" s="18"/>
      <c r="AI419" s="16"/>
      <c r="AJ419" s="17"/>
      <c r="AK419" s="15" t="s">
        <v>3123</v>
      </c>
      <c r="AL419" s="17"/>
      <c r="AM419" s="16"/>
      <c r="AN419" s="14"/>
      <c r="AO419" s="14"/>
      <c r="AP419" s="15" t="s">
        <v>3123</v>
      </c>
      <c r="AQ419" s="14"/>
      <c r="AR419" s="17"/>
      <c r="AS419" s="16"/>
      <c r="AT419" s="14"/>
      <c r="AU419" s="15" t="s">
        <v>3123</v>
      </c>
      <c r="AV419" s="14"/>
      <c r="AW419" s="17"/>
      <c r="AX419" s="16"/>
      <c r="AY419" s="16"/>
      <c r="AZ419" s="16"/>
      <c r="BA419" s="16"/>
      <c r="BB419" s="15" t="s">
        <v>3123</v>
      </c>
      <c r="BC419" s="17"/>
      <c r="BD419" s="14"/>
      <c r="BE419" s="14"/>
      <c r="BF419" s="16"/>
      <c r="BG419" s="16"/>
      <c r="BH419" s="13"/>
      <c r="BI419" s="18" t="s">
        <v>9405</v>
      </c>
      <c r="BJ419" s="13">
        <v>200</v>
      </c>
      <c r="BK419" s="17">
        <v>44123</v>
      </c>
      <c r="BL419" s="18" t="s">
        <v>9406</v>
      </c>
      <c r="BM419" s="18" t="s">
        <v>9407</v>
      </c>
      <c r="BN419" s="18" t="s">
        <v>9408</v>
      </c>
      <c r="BO419" s="18"/>
      <c r="BP419" s="14" t="s">
        <v>9409</v>
      </c>
      <c r="BQ419" s="17">
        <v>42935</v>
      </c>
      <c r="BR419" s="16"/>
      <c r="BS419" s="17"/>
      <c r="BT419" s="16"/>
      <c r="BU419" s="17"/>
      <c r="BV419" s="16"/>
      <c r="BW419" s="17"/>
      <c r="BX419" s="16"/>
      <c r="BY419" s="17"/>
      <c r="BZ419" s="19">
        <v>33.790510199621941</v>
      </c>
      <c r="CA419" s="19"/>
      <c r="CB419" s="17"/>
      <c r="CC419" s="14" t="s">
        <v>7606</v>
      </c>
      <c r="CD419" s="14" t="s">
        <v>7607</v>
      </c>
      <c r="CE419" s="14" t="s">
        <v>5945</v>
      </c>
    </row>
    <row r="420" spans="1:83" ht="26.15" customHeight="1">
      <c r="A420" s="13">
        <v>414</v>
      </c>
      <c r="B420" s="14" t="s">
        <v>2335</v>
      </c>
      <c r="C420" s="14" t="s">
        <v>2336</v>
      </c>
      <c r="D420" s="14" t="s">
        <v>2339</v>
      </c>
      <c r="E420" s="13">
        <v>2015</v>
      </c>
      <c r="F420" s="14" t="s">
        <v>9363</v>
      </c>
      <c r="G420" s="14" t="s">
        <v>9364</v>
      </c>
      <c r="H420" s="14" t="s">
        <v>9288</v>
      </c>
      <c r="I420" s="15" t="s">
        <v>3117</v>
      </c>
      <c r="J420" s="16"/>
      <c r="K420" s="17">
        <v>42571</v>
      </c>
      <c r="L420" s="16" t="s">
        <v>9410</v>
      </c>
      <c r="M420" s="16">
        <v>21400</v>
      </c>
      <c r="N420" s="14" t="s">
        <v>5040</v>
      </c>
      <c r="O420" s="13"/>
      <c r="P420" s="17"/>
      <c r="Q420" s="14"/>
      <c r="R420" s="17"/>
      <c r="S420" s="17"/>
      <c r="T420" s="14" t="s">
        <v>5426</v>
      </c>
      <c r="U420" s="14" t="s">
        <v>5427</v>
      </c>
      <c r="V420" s="14" t="s">
        <v>5428</v>
      </c>
      <c r="W420" s="14"/>
      <c r="X420" s="14" t="s">
        <v>4520</v>
      </c>
      <c r="Y420" s="14"/>
      <c r="Z420" s="14" t="s">
        <v>9411</v>
      </c>
      <c r="AA420" s="14"/>
      <c r="AB420" s="14" t="s">
        <v>9288</v>
      </c>
      <c r="AC420" s="14" t="s">
        <v>9412</v>
      </c>
      <c r="AD420" s="14"/>
      <c r="AE420" s="14" t="s">
        <v>9413</v>
      </c>
      <c r="AF420" s="14" t="s">
        <v>9414</v>
      </c>
      <c r="AG420" s="14" t="s">
        <v>9415</v>
      </c>
      <c r="AH420" s="18"/>
      <c r="AI420" s="16"/>
      <c r="AJ420" s="17"/>
      <c r="AK420" s="15" t="s">
        <v>3123</v>
      </c>
      <c r="AL420" s="17"/>
      <c r="AM420" s="16"/>
      <c r="AN420" s="14"/>
      <c r="AO420" s="14"/>
      <c r="AP420" s="15" t="s">
        <v>3123</v>
      </c>
      <c r="AQ420" s="14"/>
      <c r="AR420" s="17"/>
      <c r="AS420" s="16"/>
      <c r="AT420" s="14"/>
      <c r="AU420" s="15" t="s">
        <v>3123</v>
      </c>
      <c r="AV420" s="14"/>
      <c r="AW420" s="17"/>
      <c r="AX420" s="16"/>
      <c r="AY420" s="16"/>
      <c r="AZ420" s="16"/>
      <c r="BA420" s="16"/>
      <c r="BB420" s="15" t="s">
        <v>3123</v>
      </c>
      <c r="BC420" s="17"/>
      <c r="BD420" s="14"/>
      <c r="BE420" s="14"/>
      <c r="BF420" s="16"/>
      <c r="BG420" s="16"/>
      <c r="BH420" s="13"/>
      <c r="BI420" s="18" t="s">
        <v>9416</v>
      </c>
      <c r="BJ420" s="13">
        <v>200</v>
      </c>
      <c r="BK420" s="17">
        <v>44123</v>
      </c>
      <c r="BL420" s="18"/>
      <c r="BM420" s="18"/>
      <c r="BN420" s="18" t="s">
        <v>9417</v>
      </c>
      <c r="BO420" s="18"/>
      <c r="BP420" s="14" t="s">
        <v>9418</v>
      </c>
      <c r="BQ420" s="17">
        <v>42404</v>
      </c>
      <c r="BR420" s="16"/>
      <c r="BS420" s="17"/>
      <c r="BT420" s="16"/>
      <c r="BU420" s="17"/>
      <c r="BV420" s="16"/>
      <c r="BW420" s="17"/>
      <c r="BX420" s="16"/>
      <c r="BY420" s="17"/>
      <c r="BZ420" s="19">
        <v>20.54299189664501</v>
      </c>
      <c r="CA420" s="19"/>
      <c r="CB420" s="17"/>
      <c r="CC420" s="14" t="s">
        <v>6487</v>
      </c>
      <c r="CD420" s="14" t="s">
        <v>5944</v>
      </c>
      <c r="CE420" s="14" t="s">
        <v>5945</v>
      </c>
    </row>
    <row r="421" spans="1:83" ht="26.15" hidden="1" customHeight="1">
      <c r="A421" s="13">
        <v>415</v>
      </c>
      <c r="B421" s="14" t="s">
        <v>2564</v>
      </c>
      <c r="C421" s="14" t="s">
        <v>2565</v>
      </c>
      <c r="D421" s="14" t="s">
        <v>2567</v>
      </c>
      <c r="E421" s="13">
        <v>2013</v>
      </c>
      <c r="F421" s="14" t="s">
        <v>6380</v>
      </c>
      <c r="G421" s="14" t="s">
        <v>6381</v>
      </c>
      <c r="H421" s="14" t="s">
        <v>4343</v>
      </c>
      <c r="I421" s="15" t="s">
        <v>3117</v>
      </c>
      <c r="J421" s="16"/>
      <c r="K421" s="17">
        <v>42339</v>
      </c>
      <c r="L421" s="16" t="s">
        <v>5134</v>
      </c>
      <c r="M421" s="16">
        <v>1000000</v>
      </c>
      <c r="N421" s="14" t="s">
        <v>5040</v>
      </c>
      <c r="O421" s="13">
        <v>2</v>
      </c>
      <c r="P421" s="17">
        <v>44097</v>
      </c>
      <c r="Q421" s="14"/>
      <c r="R421" s="17"/>
      <c r="S421" s="17"/>
      <c r="T421" s="14" t="s">
        <v>6645</v>
      </c>
      <c r="U421" s="14" t="s">
        <v>8119</v>
      </c>
      <c r="V421" s="14" t="s">
        <v>9419</v>
      </c>
      <c r="W421" s="14"/>
      <c r="X421" s="14" t="s">
        <v>9420</v>
      </c>
      <c r="Y421" s="14"/>
      <c r="Z421" s="14" t="s">
        <v>9421</v>
      </c>
      <c r="AA421" s="14"/>
      <c r="AB421" s="14" t="s">
        <v>4343</v>
      </c>
      <c r="AC421" s="14"/>
      <c r="AD421" s="14"/>
      <c r="AE421" s="14" t="s">
        <v>9422</v>
      </c>
      <c r="AF421" s="14" t="s">
        <v>9423</v>
      </c>
      <c r="AG421" s="14" t="s">
        <v>9424</v>
      </c>
      <c r="AH421" s="18"/>
      <c r="AI421" s="16"/>
      <c r="AJ421" s="17"/>
      <c r="AK421" s="15" t="s">
        <v>3123</v>
      </c>
      <c r="AL421" s="17"/>
      <c r="AM421" s="16"/>
      <c r="AN421" s="14"/>
      <c r="AO421" s="14"/>
      <c r="AP421" s="15" t="s">
        <v>3123</v>
      </c>
      <c r="AQ421" s="14"/>
      <c r="AR421" s="17"/>
      <c r="AS421" s="16"/>
      <c r="AT421" s="14"/>
      <c r="AU421" s="15" t="s">
        <v>3123</v>
      </c>
      <c r="AV421" s="14"/>
      <c r="AW421" s="17"/>
      <c r="AX421" s="16"/>
      <c r="AY421" s="16"/>
      <c r="AZ421" s="16"/>
      <c r="BA421" s="16"/>
      <c r="BB421" s="15" t="s">
        <v>3123</v>
      </c>
      <c r="BC421" s="17"/>
      <c r="BD421" s="14"/>
      <c r="BE421" s="14"/>
      <c r="BF421" s="16"/>
      <c r="BG421" s="16"/>
      <c r="BH421" s="13"/>
      <c r="BI421" s="18" t="s">
        <v>9425</v>
      </c>
      <c r="BJ421" s="13">
        <v>200</v>
      </c>
      <c r="BK421" s="17">
        <v>44123</v>
      </c>
      <c r="BL421" s="18"/>
      <c r="BM421" s="18" t="s">
        <v>9426</v>
      </c>
      <c r="BN421" s="18"/>
      <c r="BO421" s="18"/>
      <c r="BP421" s="14" t="s">
        <v>9427</v>
      </c>
      <c r="BQ421" s="17">
        <v>43313</v>
      </c>
      <c r="BR421" s="16"/>
      <c r="BS421" s="17"/>
      <c r="BT421" s="16"/>
      <c r="BU421" s="17"/>
      <c r="BV421" s="16"/>
      <c r="BW421" s="17"/>
      <c r="BX421" s="16"/>
      <c r="BY421" s="17"/>
      <c r="BZ421" s="19">
        <v>28.252287739011429</v>
      </c>
      <c r="CA421" s="19"/>
      <c r="CB421" s="17"/>
      <c r="CC421" s="14" t="s">
        <v>5345</v>
      </c>
      <c r="CD421" s="14" t="s">
        <v>9428</v>
      </c>
      <c r="CE421" s="14" t="s">
        <v>5620</v>
      </c>
    </row>
    <row r="422" spans="1:83" ht="26.15" customHeight="1">
      <c r="A422" s="13">
        <v>416</v>
      </c>
      <c r="B422" s="14" t="s">
        <v>1802</v>
      </c>
      <c r="C422" s="14" t="s">
        <v>1803</v>
      </c>
      <c r="D422" s="14" t="s">
        <v>1806</v>
      </c>
      <c r="E422" s="13">
        <v>2015</v>
      </c>
      <c r="F422" s="14" t="s">
        <v>5050</v>
      </c>
      <c r="G422" s="14" t="s">
        <v>5050</v>
      </c>
      <c r="H422" s="14" t="s">
        <v>4343</v>
      </c>
      <c r="I422" s="15" t="s">
        <v>3117</v>
      </c>
      <c r="J422" s="16">
        <v>910000</v>
      </c>
      <c r="K422" s="17">
        <v>43160</v>
      </c>
      <c r="L422" s="16" t="s">
        <v>7918</v>
      </c>
      <c r="M422" s="16">
        <v>110000</v>
      </c>
      <c r="N422" s="14" t="s">
        <v>34</v>
      </c>
      <c r="O422" s="13">
        <v>4</v>
      </c>
      <c r="P422" s="17">
        <v>44057</v>
      </c>
      <c r="Q422" s="14"/>
      <c r="R422" s="17"/>
      <c r="S422" s="17"/>
      <c r="T422" s="14" t="s">
        <v>1</v>
      </c>
      <c r="U422" s="14" t="s">
        <v>5007</v>
      </c>
      <c r="V422" s="14" t="s">
        <v>5053</v>
      </c>
      <c r="W422" s="14"/>
      <c r="X422" s="14" t="s">
        <v>7919</v>
      </c>
      <c r="Y422" s="14"/>
      <c r="Z422" s="14" t="s">
        <v>7920</v>
      </c>
      <c r="AA422" s="14"/>
      <c r="AB422" s="14" t="s">
        <v>5319</v>
      </c>
      <c r="AC422" s="14" t="s">
        <v>7921</v>
      </c>
      <c r="AD422" s="14"/>
      <c r="AE422" s="14" t="s">
        <v>7922</v>
      </c>
      <c r="AF422" s="14" t="s">
        <v>7923</v>
      </c>
      <c r="AG422" s="14" t="s">
        <v>7924</v>
      </c>
      <c r="AH422" s="18" t="s">
        <v>7925</v>
      </c>
      <c r="AI422" s="16"/>
      <c r="AJ422" s="17"/>
      <c r="AK422" s="15" t="s">
        <v>3123</v>
      </c>
      <c r="AL422" s="17"/>
      <c r="AM422" s="16"/>
      <c r="AN422" s="14"/>
      <c r="AO422" s="14"/>
      <c r="AP422" s="15" t="s">
        <v>3123</v>
      </c>
      <c r="AQ422" s="14"/>
      <c r="AR422" s="17"/>
      <c r="AS422" s="16"/>
      <c r="AT422" s="14"/>
      <c r="AU422" s="15" t="s">
        <v>3123</v>
      </c>
      <c r="AV422" s="14"/>
      <c r="AW422" s="17"/>
      <c r="AX422" s="16"/>
      <c r="AY422" s="16"/>
      <c r="AZ422" s="16"/>
      <c r="BA422" s="16"/>
      <c r="BB422" s="15" t="s">
        <v>3123</v>
      </c>
      <c r="BC422" s="17"/>
      <c r="BD422" s="14"/>
      <c r="BE422" s="14"/>
      <c r="BF422" s="16"/>
      <c r="BG422" s="16"/>
      <c r="BH422" s="13"/>
      <c r="BI422" s="18" t="s">
        <v>7926</v>
      </c>
      <c r="BJ422" s="13">
        <v>200</v>
      </c>
      <c r="BK422" s="17">
        <v>44123</v>
      </c>
      <c r="BL422" s="18" t="s">
        <v>7927</v>
      </c>
      <c r="BM422" s="18" t="s">
        <v>7928</v>
      </c>
      <c r="BN422" s="18" t="s">
        <v>7929</v>
      </c>
      <c r="BO422" s="18" t="s">
        <v>7930</v>
      </c>
      <c r="BP422" s="14" t="s">
        <v>7931</v>
      </c>
      <c r="BQ422" s="17">
        <v>43973</v>
      </c>
      <c r="BR422" s="16"/>
      <c r="BS422" s="17"/>
      <c r="BT422" s="16"/>
      <c r="BU422" s="17"/>
      <c r="BV422" s="16"/>
      <c r="BW422" s="17"/>
      <c r="BX422" s="16"/>
      <c r="BY422" s="17"/>
      <c r="BZ422" s="19">
        <v>41.457566891446191</v>
      </c>
      <c r="CA422" s="19"/>
      <c r="CB422" s="17"/>
      <c r="CC422" s="14" t="s">
        <v>6797</v>
      </c>
      <c r="CD422" s="14" t="s">
        <v>5205</v>
      </c>
      <c r="CE422" s="14" t="s">
        <v>5004</v>
      </c>
    </row>
    <row r="423" spans="1:83" ht="26.15" customHeight="1">
      <c r="A423" s="13">
        <v>417</v>
      </c>
      <c r="B423" s="14" t="s">
        <v>2347</v>
      </c>
      <c r="C423" s="14" t="s">
        <v>2348</v>
      </c>
      <c r="D423" s="14" t="s">
        <v>2350</v>
      </c>
      <c r="E423" s="13">
        <v>2010</v>
      </c>
      <c r="F423" s="14" t="s">
        <v>6762</v>
      </c>
      <c r="G423" s="14" t="s">
        <v>6763</v>
      </c>
      <c r="H423" s="14" t="s">
        <v>5333</v>
      </c>
      <c r="I423" s="15" t="s">
        <v>3117</v>
      </c>
      <c r="J423" s="16">
        <v>2500000</v>
      </c>
      <c r="K423" s="17">
        <v>42570</v>
      </c>
      <c r="L423" s="16" t="s">
        <v>5134</v>
      </c>
      <c r="M423" s="16">
        <v>1200000</v>
      </c>
      <c r="N423" s="14" t="s">
        <v>109</v>
      </c>
      <c r="O423" s="13">
        <v>4</v>
      </c>
      <c r="P423" s="17">
        <v>43994</v>
      </c>
      <c r="Q423" s="14"/>
      <c r="R423" s="17"/>
      <c r="S423" s="17"/>
      <c r="T423" s="14" t="s">
        <v>1</v>
      </c>
      <c r="U423" s="14" t="s">
        <v>5007</v>
      </c>
      <c r="V423" s="14" t="s">
        <v>8624</v>
      </c>
      <c r="W423" s="14"/>
      <c r="X423" s="14" t="s">
        <v>9429</v>
      </c>
      <c r="Y423" s="14"/>
      <c r="Z423" s="14" t="s">
        <v>9430</v>
      </c>
      <c r="AA423" s="14"/>
      <c r="AB423" s="14" t="s">
        <v>5333</v>
      </c>
      <c r="AC423" s="14"/>
      <c r="AD423" s="14"/>
      <c r="AE423" s="14" t="s">
        <v>9431</v>
      </c>
      <c r="AF423" s="14"/>
      <c r="AG423" s="14" t="s">
        <v>9432</v>
      </c>
      <c r="AH423" s="18" t="s">
        <v>9433</v>
      </c>
      <c r="AI423" s="16"/>
      <c r="AJ423" s="17"/>
      <c r="AK423" s="15" t="s">
        <v>3123</v>
      </c>
      <c r="AL423" s="17"/>
      <c r="AM423" s="16"/>
      <c r="AN423" s="14"/>
      <c r="AO423" s="14"/>
      <c r="AP423" s="15" t="s">
        <v>3123</v>
      </c>
      <c r="AQ423" s="14"/>
      <c r="AR423" s="17"/>
      <c r="AS423" s="16"/>
      <c r="AT423" s="14"/>
      <c r="AU423" s="15" t="s">
        <v>3123</v>
      </c>
      <c r="AV423" s="14"/>
      <c r="AW423" s="17"/>
      <c r="AX423" s="16"/>
      <c r="AY423" s="16"/>
      <c r="AZ423" s="16"/>
      <c r="BA423" s="16"/>
      <c r="BB423" s="15" t="s">
        <v>3123</v>
      </c>
      <c r="BC423" s="17"/>
      <c r="BD423" s="14"/>
      <c r="BE423" s="14"/>
      <c r="BF423" s="16"/>
      <c r="BG423" s="16"/>
      <c r="BH423" s="13"/>
      <c r="BI423" s="18" t="s">
        <v>9434</v>
      </c>
      <c r="BJ423" s="13">
        <v>200</v>
      </c>
      <c r="BK423" s="17">
        <v>44123</v>
      </c>
      <c r="BL423" s="18"/>
      <c r="BM423" s="18" t="s">
        <v>9435</v>
      </c>
      <c r="BN423" s="18"/>
      <c r="BO423" s="18"/>
      <c r="BP423" s="14" t="s">
        <v>9436</v>
      </c>
      <c r="BQ423" s="17">
        <v>43019</v>
      </c>
      <c r="BR423" s="16"/>
      <c r="BS423" s="17"/>
      <c r="BT423" s="16"/>
      <c r="BU423" s="17"/>
      <c r="BV423" s="16"/>
      <c r="BW423" s="17"/>
      <c r="BX423" s="16"/>
      <c r="BY423" s="17"/>
      <c r="BZ423" s="19">
        <v>41.993311451856314</v>
      </c>
      <c r="CA423" s="19"/>
      <c r="CB423" s="17"/>
      <c r="CC423" s="14" t="s">
        <v>5036</v>
      </c>
      <c r="CD423" s="14" t="s">
        <v>5962</v>
      </c>
      <c r="CE423" s="14" t="s">
        <v>5945</v>
      </c>
    </row>
    <row r="424" spans="1:83" ht="26.15" customHeight="1">
      <c r="A424" s="13">
        <v>418</v>
      </c>
      <c r="B424" s="14" t="s">
        <v>2703</v>
      </c>
      <c r="C424" s="14" t="s">
        <v>2704</v>
      </c>
      <c r="D424" s="14" t="s">
        <v>2705</v>
      </c>
      <c r="E424" s="13">
        <v>2014</v>
      </c>
      <c r="F424" s="14" t="s">
        <v>5389</v>
      </c>
      <c r="G424" s="14" t="s">
        <v>5390</v>
      </c>
      <c r="H424" s="14" t="s">
        <v>5391</v>
      </c>
      <c r="I424" s="15" t="s">
        <v>3117</v>
      </c>
      <c r="J424" s="16">
        <v>50000</v>
      </c>
      <c r="K424" s="17">
        <v>42156</v>
      </c>
      <c r="L424" s="16" t="s">
        <v>5425</v>
      </c>
      <c r="M424" s="16">
        <v>50000</v>
      </c>
      <c r="N424" s="14" t="s">
        <v>5630</v>
      </c>
      <c r="O424" s="13"/>
      <c r="P424" s="17"/>
      <c r="Q424" s="14"/>
      <c r="R424" s="17"/>
      <c r="S424" s="17"/>
      <c r="T424" s="14" t="s">
        <v>1</v>
      </c>
      <c r="U424" s="14" t="s">
        <v>5084</v>
      </c>
      <c r="V424" s="14" t="s">
        <v>9437</v>
      </c>
      <c r="W424" s="14"/>
      <c r="X424" s="14" t="s">
        <v>1395</v>
      </c>
      <c r="Y424" s="14"/>
      <c r="Z424" s="14" t="s">
        <v>9438</v>
      </c>
      <c r="AA424" s="14"/>
      <c r="AB424" s="14" t="s">
        <v>5391</v>
      </c>
      <c r="AC424" s="14"/>
      <c r="AD424" s="14"/>
      <c r="AE424" s="14" t="s">
        <v>9439</v>
      </c>
      <c r="AF424" s="14" t="s">
        <v>9440</v>
      </c>
      <c r="AG424" s="14" t="s">
        <v>9441</v>
      </c>
      <c r="AH424" s="18"/>
      <c r="AI424" s="16"/>
      <c r="AJ424" s="17"/>
      <c r="AK424" s="15" t="s">
        <v>3123</v>
      </c>
      <c r="AL424" s="17"/>
      <c r="AM424" s="16"/>
      <c r="AN424" s="14"/>
      <c r="AO424" s="14"/>
      <c r="AP424" s="15" t="s">
        <v>3123</v>
      </c>
      <c r="AQ424" s="14"/>
      <c r="AR424" s="17"/>
      <c r="AS424" s="16"/>
      <c r="AT424" s="14"/>
      <c r="AU424" s="15" t="s">
        <v>3123</v>
      </c>
      <c r="AV424" s="14"/>
      <c r="AW424" s="17"/>
      <c r="AX424" s="16"/>
      <c r="AY424" s="16"/>
      <c r="AZ424" s="16"/>
      <c r="BA424" s="16"/>
      <c r="BB424" s="15" t="s">
        <v>3117</v>
      </c>
      <c r="BC424" s="17">
        <v>42461</v>
      </c>
      <c r="BD424" s="14"/>
      <c r="BE424" s="14"/>
      <c r="BF424" s="16"/>
      <c r="BG424" s="16"/>
      <c r="BH424" s="13"/>
      <c r="BI424" s="18" t="s">
        <v>9442</v>
      </c>
      <c r="BJ424" s="13">
        <v>-1</v>
      </c>
      <c r="BK424" s="17">
        <v>44123</v>
      </c>
      <c r="BL424" s="18"/>
      <c r="BM424" s="18" t="s">
        <v>9443</v>
      </c>
      <c r="BN424" s="18"/>
      <c r="BO424" s="18"/>
      <c r="BP424" s="14" t="s">
        <v>9444</v>
      </c>
      <c r="BQ424" s="17">
        <v>42894</v>
      </c>
      <c r="BR424" s="16"/>
      <c r="BS424" s="17"/>
      <c r="BT424" s="16"/>
      <c r="BU424" s="17"/>
      <c r="BV424" s="16"/>
      <c r="BW424" s="17"/>
      <c r="BX424" s="16"/>
      <c r="BY424" s="17"/>
      <c r="BZ424" s="19">
        <v>31.546541457574889</v>
      </c>
      <c r="CA424" s="19"/>
      <c r="CB424" s="17"/>
      <c r="CC424" s="14" t="s">
        <v>9445</v>
      </c>
      <c r="CD424" s="14" t="s">
        <v>6557</v>
      </c>
      <c r="CE424" s="14" t="s">
        <v>7194</v>
      </c>
    </row>
    <row r="425" spans="1:83" ht="26.15" customHeight="1">
      <c r="A425" s="13">
        <v>419</v>
      </c>
      <c r="B425" s="14" t="s">
        <v>1946</v>
      </c>
      <c r="C425" s="14" t="s">
        <v>1947</v>
      </c>
      <c r="D425" s="14" t="s">
        <v>1951</v>
      </c>
      <c r="E425" s="13">
        <v>2015</v>
      </c>
      <c r="F425" s="14" t="s">
        <v>5038</v>
      </c>
      <c r="G425" s="14" t="s">
        <v>5039</v>
      </c>
      <c r="H425" s="14" t="s">
        <v>3994</v>
      </c>
      <c r="I425" s="15" t="s">
        <v>3117</v>
      </c>
      <c r="J425" s="16">
        <v>10693115</v>
      </c>
      <c r="K425" s="17">
        <v>43013</v>
      </c>
      <c r="L425" s="16" t="s">
        <v>7941</v>
      </c>
      <c r="M425" s="16">
        <v>8000000</v>
      </c>
      <c r="N425" s="14" t="s">
        <v>109</v>
      </c>
      <c r="O425" s="13">
        <v>4</v>
      </c>
      <c r="P425" s="17">
        <v>44013</v>
      </c>
      <c r="Q425" s="14"/>
      <c r="R425" s="17"/>
      <c r="S425" s="17"/>
      <c r="T425" s="14" t="s">
        <v>5509</v>
      </c>
      <c r="U425" s="14" t="s">
        <v>5510</v>
      </c>
      <c r="V425" s="14" t="s">
        <v>5696</v>
      </c>
      <c r="W425" s="14"/>
      <c r="X425" s="14" t="s">
        <v>7942</v>
      </c>
      <c r="Y425" s="14" t="s">
        <v>7943</v>
      </c>
      <c r="Z425" s="14" t="s">
        <v>7944</v>
      </c>
      <c r="AA425" s="14"/>
      <c r="AB425" s="14" t="s">
        <v>3994</v>
      </c>
      <c r="AC425" s="14" t="s">
        <v>7945</v>
      </c>
      <c r="AD425" s="14" t="s">
        <v>7946</v>
      </c>
      <c r="AE425" s="14" t="s">
        <v>7947</v>
      </c>
      <c r="AF425" s="14" t="s">
        <v>7948</v>
      </c>
      <c r="AG425" s="14" t="s">
        <v>7949</v>
      </c>
      <c r="AH425" s="18" t="s">
        <v>7950</v>
      </c>
      <c r="AI425" s="16">
        <v>3025053.8572877548</v>
      </c>
      <c r="AJ425" s="17">
        <v>43465</v>
      </c>
      <c r="AK425" s="15" t="s">
        <v>3117</v>
      </c>
      <c r="AL425" s="17">
        <v>42181</v>
      </c>
      <c r="AM425" s="16">
        <v>16985</v>
      </c>
      <c r="AN425" s="14" t="s">
        <v>7951</v>
      </c>
      <c r="AO425" s="14"/>
      <c r="AP425" s="15" t="s">
        <v>3123</v>
      </c>
      <c r="AQ425" s="14"/>
      <c r="AR425" s="17"/>
      <c r="AS425" s="16"/>
      <c r="AT425" s="14"/>
      <c r="AU425" s="15" t="s">
        <v>3123</v>
      </c>
      <c r="AV425" s="14"/>
      <c r="AW425" s="17"/>
      <c r="AX425" s="16"/>
      <c r="AY425" s="16"/>
      <c r="AZ425" s="16"/>
      <c r="BA425" s="16"/>
      <c r="BB425" s="15" t="s">
        <v>3123</v>
      </c>
      <c r="BC425" s="17"/>
      <c r="BD425" s="14"/>
      <c r="BE425" s="14"/>
      <c r="BF425" s="16"/>
      <c r="BG425" s="16"/>
      <c r="BH425" s="13"/>
      <c r="BI425" s="18" t="s">
        <v>7952</v>
      </c>
      <c r="BJ425" s="13">
        <v>200</v>
      </c>
      <c r="BK425" s="17">
        <v>44123</v>
      </c>
      <c r="BL425" s="18"/>
      <c r="BM425" s="18"/>
      <c r="BN425" s="18"/>
      <c r="BO425" s="18"/>
      <c r="BP425" s="14" t="s">
        <v>7953</v>
      </c>
      <c r="BQ425" s="17">
        <v>42572</v>
      </c>
      <c r="BR425" s="16">
        <v>-1817777.6512987397</v>
      </c>
      <c r="BS425" s="17">
        <v>43465</v>
      </c>
      <c r="BT425" s="16">
        <v>-1644788.3796747874</v>
      </c>
      <c r="BU425" s="17">
        <v>43465</v>
      </c>
      <c r="BV425" s="16"/>
      <c r="BW425" s="17"/>
      <c r="BX425" s="16">
        <v>36</v>
      </c>
      <c r="BY425" s="17">
        <v>44012</v>
      </c>
      <c r="BZ425" s="19">
        <v>34.208530577255488</v>
      </c>
      <c r="CA425" s="19"/>
      <c r="CB425" s="17"/>
      <c r="CC425" s="14" t="s">
        <v>5345</v>
      </c>
      <c r="CD425" s="14" t="s">
        <v>7221</v>
      </c>
      <c r="CE425" s="14" t="s">
        <v>5945</v>
      </c>
    </row>
    <row r="426" spans="1:83" ht="26.15" customHeight="1">
      <c r="A426" s="13">
        <v>420</v>
      </c>
      <c r="B426" s="14" t="s">
        <v>2651</v>
      </c>
      <c r="C426" s="14" t="s">
        <v>2652</v>
      </c>
      <c r="D426" s="14" t="s">
        <v>2656</v>
      </c>
      <c r="E426" s="13">
        <v>2010</v>
      </c>
      <c r="F426" s="14" t="s">
        <v>5038</v>
      </c>
      <c r="G426" s="14" t="s">
        <v>5039</v>
      </c>
      <c r="H426" s="14" t="s">
        <v>3994</v>
      </c>
      <c r="I426" s="15" t="s">
        <v>3117</v>
      </c>
      <c r="J426" s="16">
        <v>8883505</v>
      </c>
      <c r="K426" s="17">
        <v>42230</v>
      </c>
      <c r="L426" s="16" t="s">
        <v>5051</v>
      </c>
      <c r="M426" s="16">
        <v>6632060</v>
      </c>
      <c r="N426" s="14" t="s">
        <v>109</v>
      </c>
      <c r="O426" s="13">
        <v>4</v>
      </c>
      <c r="P426" s="17">
        <v>44081</v>
      </c>
      <c r="Q426" s="14" t="s">
        <v>5052</v>
      </c>
      <c r="R426" s="17">
        <v>42921</v>
      </c>
      <c r="S426" s="17">
        <v>42231</v>
      </c>
      <c r="T426" s="14" t="s">
        <v>6645</v>
      </c>
      <c r="U426" s="14" t="s">
        <v>9446</v>
      </c>
      <c r="V426" s="14" t="s">
        <v>9447</v>
      </c>
      <c r="W426" s="14"/>
      <c r="X426" s="14" t="s">
        <v>9448</v>
      </c>
      <c r="Y426" s="14" t="s">
        <v>9449</v>
      </c>
      <c r="Z426" s="14" t="s">
        <v>9450</v>
      </c>
      <c r="AA426" s="14"/>
      <c r="AB426" s="14" t="s">
        <v>3994</v>
      </c>
      <c r="AC426" s="14" t="s">
        <v>9451</v>
      </c>
      <c r="AD426" s="14" t="s">
        <v>9452</v>
      </c>
      <c r="AE426" s="14" t="s">
        <v>9453</v>
      </c>
      <c r="AF426" s="14" t="s">
        <v>9454</v>
      </c>
      <c r="AG426" s="14" t="s">
        <v>9455</v>
      </c>
      <c r="AH426" s="18"/>
      <c r="AI426" s="16">
        <v>2148200</v>
      </c>
      <c r="AJ426" s="17">
        <v>43100</v>
      </c>
      <c r="AK426" s="15" t="s">
        <v>3117</v>
      </c>
      <c r="AL426" s="17">
        <v>40385</v>
      </c>
      <c r="AM426" s="16">
        <v>2112</v>
      </c>
      <c r="AN426" s="14" t="s">
        <v>9456</v>
      </c>
      <c r="AO426" s="14"/>
      <c r="AP426" s="15" t="s">
        <v>3123</v>
      </c>
      <c r="AQ426" s="14"/>
      <c r="AR426" s="17"/>
      <c r="AS426" s="16"/>
      <c r="AT426" s="14"/>
      <c r="AU426" s="15" t="s">
        <v>3123</v>
      </c>
      <c r="AV426" s="14"/>
      <c r="AW426" s="17"/>
      <c r="AX426" s="16"/>
      <c r="AY426" s="16"/>
      <c r="AZ426" s="16"/>
      <c r="BA426" s="16"/>
      <c r="BB426" s="15" t="s">
        <v>3123</v>
      </c>
      <c r="BC426" s="17"/>
      <c r="BD426" s="14"/>
      <c r="BE426" s="14"/>
      <c r="BF426" s="16"/>
      <c r="BG426" s="16"/>
      <c r="BH426" s="13"/>
      <c r="BI426" s="18" t="s">
        <v>9457</v>
      </c>
      <c r="BJ426" s="13">
        <v>200</v>
      </c>
      <c r="BK426" s="17">
        <v>44123</v>
      </c>
      <c r="BL426" s="18"/>
      <c r="BM426" s="18" t="s">
        <v>9458</v>
      </c>
      <c r="BN426" s="18"/>
      <c r="BO426" s="18"/>
      <c r="BP426" s="14" t="s">
        <v>9459</v>
      </c>
      <c r="BQ426" s="17">
        <v>42431</v>
      </c>
      <c r="BR426" s="16">
        <v>99100</v>
      </c>
      <c r="BS426" s="17">
        <v>43100</v>
      </c>
      <c r="BT426" s="16">
        <v>58100</v>
      </c>
      <c r="BU426" s="17">
        <v>43100</v>
      </c>
      <c r="BV426" s="16"/>
      <c r="BW426" s="17"/>
      <c r="BX426" s="16">
        <v>61</v>
      </c>
      <c r="BY426" s="17">
        <v>44012</v>
      </c>
      <c r="BZ426" s="19">
        <v>50.486825805668538</v>
      </c>
      <c r="CA426" s="19"/>
      <c r="CB426" s="17"/>
      <c r="CC426" s="14" t="s">
        <v>5345</v>
      </c>
      <c r="CD426" s="14" t="s">
        <v>7272</v>
      </c>
      <c r="CE426" s="14" t="s">
        <v>5945</v>
      </c>
    </row>
    <row r="427" spans="1:83" ht="26.15" customHeight="1">
      <c r="A427" s="13">
        <v>421</v>
      </c>
      <c r="B427" s="14" t="s">
        <v>1846</v>
      </c>
      <c r="C427" s="14" t="s">
        <v>1847</v>
      </c>
      <c r="D427" s="14" t="s">
        <v>1850</v>
      </c>
      <c r="E427" s="13">
        <v>2014</v>
      </c>
      <c r="F427" s="14" t="s">
        <v>5038</v>
      </c>
      <c r="G427" s="14" t="s">
        <v>5039</v>
      </c>
      <c r="H427" s="14" t="s">
        <v>3994</v>
      </c>
      <c r="I427" s="15" t="s">
        <v>3117</v>
      </c>
      <c r="J427" s="16">
        <v>214702</v>
      </c>
      <c r="K427" s="17">
        <v>43104</v>
      </c>
      <c r="L427" s="16" t="s">
        <v>7954</v>
      </c>
      <c r="M427" s="16">
        <v>39403</v>
      </c>
      <c r="N427" s="14" t="s">
        <v>34</v>
      </c>
      <c r="O427" s="13">
        <v>2</v>
      </c>
      <c r="P427" s="17">
        <v>44004</v>
      </c>
      <c r="Q427" s="14"/>
      <c r="R427" s="17"/>
      <c r="S427" s="17"/>
      <c r="T427" s="14" t="s">
        <v>4995</v>
      </c>
      <c r="U427" s="14" t="s">
        <v>4996</v>
      </c>
      <c r="V427" s="14" t="s">
        <v>5418</v>
      </c>
      <c r="W427" s="14"/>
      <c r="X427" s="14" t="s">
        <v>2514</v>
      </c>
      <c r="Y427" s="14" t="s">
        <v>7955</v>
      </c>
      <c r="Z427" s="14" t="s">
        <v>7956</v>
      </c>
      <c r="AA427" s="14"/>
      <c r="AB427" s="14" t="s">
        <v>3994</v>
      </c>
      <c r="AC427" s="14" t="s">
        <v>7957</v>
      </c>
      <c r="AD427" s="14"/>
      <c r="AE427" s="14" t="s">
        <v>7958</v>
      </c>
      <c r="AF427" s="14" t="s">
        <v>7959</v>
      </c>
      <c r="AG427" s="14" t="s">
        <v>7960</v>
      </c>
      <c r="AH427" s="18"/>
      <c r="AI427" s="16">
        <v>303</v>
      </c>
      <c r="AJ427" s="17">
        <v>42004</v>
      </c>
      <c r="AK427" s="15" t="s">
        <v>3117</v>
      </c>
      <c r="AL427" s="17">
        <v>41990</v>
      </c>
      <c r="AM427" s="16">
        <v>1566</v>
      </c>
      <c r="AN427" s="14" t="s">
        <v>7961</v>
      </c>
      <c r="AO427" s="14"/>
      <c r="AP427" s="15" t="s">
        <v>3123</v>
      </c>
      <c r="AQ427" s="14"/>
      <c r="AR427" s="17"/>
      <c r="AS427" s="16"/>
      <c r="AT427" s="14"/>
      <c r="AU427" s="15" t="s">
        <v>3123</v>
      </c>
      <c r="AV427" s="14"/>
      <c r="AW427" s="17"/>
      <c r="AX427" s="16"/>
      <c r="AY427" s="16"/>
      <c r="AZ427" s="16"/>
      <c r="BA427" s="16"/>
      <c r="BB427" s="15" t="s">
        <v>3123</v>
      </c>
      <c r="BC427" s="17"/>
      <c r="BD427" s="14"/>
      <c r="BE427" s="14"/>
      <c r="BF427" s="16"/>
      <c r="BG427" s="16"/>
      <c r="BH427" s="13"/>
      <c r="BI427" s="18" t="s">
        <v>7962</v>
      </c>
      <c r="BJ427" s="13">
        <v>521</v>
      </c>
      <c r="BK427" s="17">
        <v>44123</v>
      </c>
      <c r="BL427" s="18"/>
      <c r="BM427" s="18" t="s">
        <v>7963</v>
      </c>
      <c r="BN427" s="18" t="s">
        <v>7964</v>
      </c>
      <c r="BO427" s="18"/>
      <c r="BP427" s="14" t="s">
        <v>7965</v>
      </c>
      <c r="BQ427" s="17">
        <v>42685</v>
      </c>
      <c r="BR427" s="16">
        <v>-11400</v>
      </c>
      <c r="BS427" s="17">
        <v>42004</v>
      </c>
      <c r="BT427" s="16">
        <v>-10400</v>
      </c>
      <c r="BU427" s="17">
        <v>42004</v>
      </c>
      <c r="BV427" s="16"/>
      <c r="BW427" s="17"/>
      <c r="BX427" s="16"/>
      <c r="BY427" s="17"/>
      <c r="BZ427" s="19">
        <v>19.927879732593524</v>
      </c>
      <c r="CA427" s="19"/>
      <c r="CB427" s="17"/>
      <c r="CC427" s="14" t="s">
        <v>5082</v>
      </c>
      <c r="CD427" s="14"/>
      <c r="CE427" s="14" t="s">
        <v>7966</v>
      </c>
    </row>
    <row r="428" spans="1:83" ht="26.15" customHeight="1">
      <c r="A428" s="13">
        <v>422</v>
      </c>
      <c r="B428" s="14" t="s">
        <v>628</v>
      </c>
      <c r="C428" s="14" t="s">
        <v>629</v>
      </c>
      <c r="D428" s="14" t="s">
        <v>632</v>
      </c>
      <c r="E428" s="13">
        <v>2015</v>
      </c>
      <c r="F428" s="14" t="s">
        <v>5038</v>
      </c>
      <c r="G428" s="14" t="s">
        <v>5039</v>
      </c>
      <c r="H428" s="14" t="s">
        <v>3994</v>
      </c>
      <c r="I428" s="15" t="s">
        <v>3117</v>
      </c>
      <c r="J428" s="16">
        <v>94500000</v>
      </c>
      <c r="K428" s="17">
        <v>43815</v>
      </c>
      <c r="L428" s="16" t="s">
        <v>7790</v>
      </c>
      <c r="M428" s="16">
        <v>30000000</v>
      </c>
      <c r="N428" s="14" t="s">
        <v>627</v>
      </c>
      <c r="O428" s="13">
        <v>5</v>
      </c>
      <c r="P428" s="17">
        <v>44033</v>
      </c>
      <c r="Q428" s="14" t="s">
        <v>5544</v>
      </c>
      <c r="R428" s="17">
        <v>43829</v>
      </c>
      <c r="S428" s="17">
        <v>43369</v>
      </c>
      <c r="T428" s="14" t="s">
        <v>4995</v>
      </c>
      <c r="U428" s="14" t="s">
        <v>4996</v>
      </c>
      <c r="V428" s="14" t="s">
        <v>5418</v>
      </c>
      <c r="W428" s="14"/>
      <c r="X428" s="14" t="s">
        <v>7982</v>
      </c>
      <c r="Y428" s="14" t="s">
        <v>7983</v>
      </c>
      <c r="Z428" s="14" t="s">
        <v>7984</v>
      </c>
      <c r="AA428" s="14"/>
      <c r="AB428" s="14" t="s">
        <v>3994</v>
      </c>
      <c r="AC428" s="14" t="s">
        <v>7985</v>
      </c>
      <c r="AD428" s="14" t="s">
        <v>7986</v>
      </c>
      <c r="AE428" s="14" t="s">
        <v>7987</v>
      </c>
      <c r="AF428" s="14" t="s">
        <v>7988</v>
      </c>
      <c r="AG428" s="14" t="s">
        <v>7989</v>
      </c>
      <c r="AH428" s="18"/>
      <c r="AI428" s="16">
        <v>9133000</v>
      </c>
      <c r="AJ428" s="17">
        <v>43465</v>
      </c>
      <c r="AK428" s="15" t="s">
        <v>3117</v>
      </c>
      <c r="AL428" s="17">
        <v>42137</v>
      </c>
      <c r="AM428" s="16">
        <v>1555</v>
      </c>
      <c r="AN428" s="14" t="s">
        <v>7990</v>
      </c>
      <c r="AO428" s="14"/>
      <c r="AP428" s="15" t="s">
        <v>3123</v>
      </c>
      <c r="AQ428" s="14"/>
      <c r="AR428" s="17"/>
      <c r="AS428" s="16"/>
      <c r="AT428" s="14"/>
      <c r="AU428" s="15" t="s">
        <v>3123</v>
      </c>
      <c r="AV428" s="14"/>
      <c r="AW428" s="17"/>
      <c r="AX428" s="16"/>
      <c r="AY428" s="16"/>
      <c r="AZ428" s="16"/>
      <c r="BA428" s="16"/>
      <c r="BB428" s="15" t="s">
        <v>3123</v>
      </c>
      <c r="BC428" s="17"/>
      <c r="BD428" s="14"/>
      <c r="BE428" s="14"/>
      <c r="BF428" s="16"/>
      <c r="BG428" s="16"/>
      <c r="BH428" s="13"/>
      <c r="BI428" s="18" t="s">
        <v>7991</v>
      </c>
      <c r="BJ428" s="13">
        <v>200</v>
      </c>
      <c r="BK428" s="17">
        <v>44123</v>
      </c>
      <c r="BL428" s="18" t="s">
        <v>7992</v>
      </c>
      <c r="BM428" s="18" t="s">
        <v>7993</v>
      </c>
      <c r="BN428" s="18" t="s">
        <v>7994</v>
      </c>
      <c r="BO428" s="18" t="s">
        <v>7995</v>
      </c>
      <c r="BP428" s="14" t="s">
        <v>7996</v>
      </c>
      <c r="BQ428" s="17">
        <v>42535</v>
      </c>
      <c r="BR428" s="16">
        <v>-9494600</v>
      </c>
      <c r="BS428" s="17">
        <v>43465</v>
      </c>
      <c r="BT428" s="16">
        <v>-9015700</v>
      </c>
      <c r="BU428" s="17">
        <v>43465</v>
      </c>
      <c r="BV428" s="16">
        <v>300000000</v>
      </c>
      <c r="BW428" s="17">
        <v>43819</v>
      </c>
      <c r="BX428" s="16">
        <v>1814</v>
      </c>
      <c r="BY428" s="17">
        <v>44012</v>
      </c>
      <c r="BZ428" s="19">
        <v>74.588492157169654</v>
      </c>
      <c r="CA428" s="19"/>
      <c r="CB428" s="17"/>
      <c r="CC428" s="14" t="s">
        <v>6487</v>
      </c>
      <c r="CD428" s="14" t="s">
        <v>7997</v>
      </c>
      <c r="CE428" s="14" t="s">
        <v>7998</v>
      </c>
    </row>
    <row r="429" spans="1:83" ht="26.15" customHeight="1">
      <c r="A429" s="13">
        <v>423</v>
      </c>
      <c r="B429" s="14" t="s">
        <v>1990</v>
      </c>
      <c r="C429" s="14" t="s">
        <v>1991</v>
      </c>
      <c r="D429" s="14" t="s">
        <v>1992</v>
      </c>
      <c r="E429" s="13">
        <v>2014</v>
      </c>
      <c r="F429" s="14" t="s">
        <v>5038</v>
      </c>
      <c r="G429" s="14" t="s">
        <v>5039</v>
      </c>
      <c r="H429" s="14" t="s">
        <v>3994</v>
      </c>
      <c r="I429" s="15" t="s">
        <v>3117</v>
      </c>
      <c r="J429" s="16"/>
      <c r="K429" s="17">
        <v>42977</v>
      </c>
      <c r="L429" s="16"/>
      <c r="M429" s="16" t="s">
        <v>50</v>
      </c>
      <c r="N429" s="14" t="s">
        <v>34</v>
      </c>
      <c r="O429" s="13">
        <v>3</v>
      </c>
      <c r="P429" s="17">
        <v>44003</v>
      </c>
      <c r="Q429" s="14"/>
      <c r="R429" s="17"/>
      <c r="S429" s="17"/>
      <c r="T429" s="14" t="s">
        <v>5976</v>
      </c>
      <c r="U429" s="14" t="s">
        <v>7999</v>
      </c>
      <c r="V429" s="14" t="s">
        <v>8000</v>
      </c>
      <c r="W429" s="14"/>
      <c r="X429" s="14" t="s">
        <v>8001</v>
      </c>
      <c r="Y429" s="14"/>
      <c r="Z429" s="14" t="s">
        <v>8002</v>
      </c>
      <c r="AA429" s="14"/>
      <c r="AB429" s="14" t="s">
        <v>3994</v>
      </c>
      <c r="AC429" s="14"/>
      <c r="AD429" s="14"/>
      <c r="AE429" s="14" t="s">
        <v>8003</v>
      </c>
      <c r="AF429" s="14" t="s">
        <v>8004</v>
      </c>
      <c r="AG429" s="14" t="s">
        <v>8005</v>
      </c>
      <c r="AH429" s="18" t="s">
        <v>8006</v>
      </c>
      <c r="AI429" s="16">
        <v>9</v>
      </c>
      <c r="AJ429" s="17">
        <v>43465</v>
      </c>
      <c r="AK429" s="15" t="s">
        <v>3117</v>
      </c>
      <c r="AL429" s="17">
        <v>41851</v>
      </c>
      <c r="AM429" s="16">
        <v>9966</v>
      </c>
      <c r="AN429" s="14" t="s">
        <v>8007</v>
      </c>
      <c r="AO429" s="14"/>
      <c r="AP429" s="15" t="s">
        <v>3123</v>
      </c>
      <c r="AQ429" s="14"/>
      <c r="AR429" s="17"/>
      <c r="AS429" s="16"/>
      <c r="AT429" s="14"/>
      <c r="AU429" s="15" t="s">
        <v>3123</v>
      </c>
      <c r="AV429" s="14"/>
      <c r="AW429" s="17"/>
      <c r="AX429" s="16"/>
      <c r="AY429" s="16"/>
      <c r="AZ429" s="16"/>
      <c r="BA429" s="16"/>
      <c r="BB429" s="15" t="s">
        <v>3123</v>
      </c>
      <c r="BC429" s="17"/>
      <c r="BD429" s="14"/>
      <c r="BE429" s="14"/>
      <c r="BF429" s="16"/>
      <c r="BG429" s="16"/>
      <c r="BH429" s="13"/>
      <c r="BI429" s="18" t="s">
        <v>8008</v>
      </c>
      <c r="BJ429" s="13">
        <v>200</v>
      </c>
      <c r="BK429" s="17">
        <v>44137</v>
      </c>
      <c r="BL429" s="18" t="s">
        <v>8009</v>
      </c>
      <c r="BM429" s="18"/>
      <c r="BN429" s="18" t="s">
        <v>8010</v>
      </c>
      <c r="BO429" s="18"/>
      <c r="BP429" s="14" t="s">
        <v>8011</v>
      </c>
      <c r="BQ429" s="17">
        <v>42614</v>
      </c>
      <c r="BR429" s="16">
        <v>-8700</v>
      </c>
      <c r="BS429" s="17">
        <v>43465</v>
      </c>
      <c r="BT429" s="16">
        <v>-9500</v>
      </c>
      <c r="BU429" s="17">
        <v>43465</v>
      </c>
      <c r="BV429" s="16"/>
      <c r="BW429" s="17"/>
      <c r="BX429" s="16"/>
      <c r="BY429" s="17"/>
      <c r="BZ429" s="19">
        <v>22.414119982037011</v>
      </c>
      <c r="CA429" s="19"/>
      <c r="CB429" s="17"/>
      <c r="CC429" s="14" t="s">
        <v>7647</v>
      </c>
      <c r="CD429" s="14" t="s">
        <v>7249</v>
      </c>
      <c r="CE429" s="14" t="s">
        <v>5620</v>
      </c>
    </row>
    <row r="430" spans="1:83" ht="26.15" customHeight="1">
      <c r="A430" s="13">
        <v>424</v>
      </c>
      <c r="B430" s="14" t="s">
        <v>2754</v>
      </c>
      <c r="C430" s="14" t="s">
        <v>2755</v>
      </c>
      <c r="D430" s="14" t="s">
        <v>2757</v>
      </c>
      <c r="E430" s="13">
        <v>2015</v>
      </c>
      <c r="F430" s="14" t="s">
        <v>9460</v>
      </c>
      <c r="G430" s="14" t="s">
        <v>9461</v>
      </c>
      <c r="H430" s="14" t="s">
        <v>9462</v>
      </c>
      <c r="I430" s="15" t="s">
        <v>3117</v>
      </c>
      <c r="J430" s="16"/>
      <c r="K430" s="17">
        <v>42064</v>
      </c>
      <c r="L430" s="16" t="s">
        <v>5252</v>
      </c>
      <c r="M430" s="16">
        <v>100000</v>
      </c>
      <c r="N430" s="14" t="s">
        <v>5630</v>
      </c>
      <c r="O430" s="13"/>
      <c r="P430" s="17"/>
      <c r="Q430" s="14"/>
      <c r="R430" s="17"/>
      <c r="S430" s="17"/>
      <c r="T430" s="14" t="s">
        <v>1</v>
      </c>
      <c r="U430" s="14" t="s">
        <v>5007</v>
      </c>
      <c r="V430" s="14" t="s">
        <v>968</v>
      </c>
      <c r="W430" s="14"/>
      <c r="X430" s="14" t="s">
        <v>156</v>
      </c>
      <c r="Y430" s="14"/>
      <c r="Z430" s="14" t="s">
        <v>9463</v>
      </c>
      <c r="AA430" s="14"/>
      <c r="AB430" s="14" t="s">
        <v>9462</v>
      </c>
      <c r="AC430" s="14"/>
      <c r="AD430" s="14"/>
      <c r="AE430" s="14" t="s">
        <v>9464</v>
      </c>
      <c r="AF430" s="14" t="s">
        <v>9465</v>
      </c>
      <c r="AG430" s="14" t="s">
        <v>9466</v>
      </c>
      <c r="AH430" s="18" t="s">
        <v>9467</v>
      </c>
      <c r="AI430" s="16"/>
      <c r="AJ430" s="17"/>
      <c r="AK430" s="15" t="s">
        <v>3123</v>
      </c>
      <c r="AL430" s="17"/>
      <c r="AM430" s="16"/>
      <c r="AN430" s="14"/>
      <c r="AO430" s="14"/>
      <c r="AP430" s="15" t="s">
        <v>3123</v>
      </c>
      <c r="AQ430" s="14"/>
      <c r="AR430" s="17"/>
      <c r="AS430" s="16"/>
      <c r="AT430" s="14"/>
      <c r="AU430" s="15" t="s">
        <v>3123</v>
      </c>
      <c r="AV430" s="14"/>
      <c r="AW430" s="17"/>
      <c r="AX430" s="16"/>
      <c r="AY430" s="16"/>
      <c r="AZ430" s="16"/>
      <c r="BA430" s="16"/>
      <c r="BB430" s="15" t="s">
        <v>3117</v>
      </c>
      <c r="BC430" s="17">
        <v>42522</v>
      </c>
      <c r="BD430" s="14"/>
      <c r="BE430" s="14"/>
      <c r="BF430" s="16"/>
      <c r="BG430" s="16"/>
      <c r="BH430" s="13"/>
      <c r="BI430" s="18" t="s">
        <v>9468</v>
      </c>
      <c r="BJ430" s="13">
        <v>-1</v>
      </c>
      <c r="BK430" s="17">
        <v>44123</v>
      </c>
      <c r="BL430" s="18" t="s">
        <v>9469</v>
      </c>
      <c r="BM430" s="18" t="s">
        <v>9470</v>
      </c>
      <c r="BN430" s="18" t="s">
        <v>9471</v>
      </c>
      <c r="BO430" s="18"/>
      <c r="BP430" s="14" t="s">
        <v>9472</v>
      </c>
      <c r="BQ430" s="17">
        <v>43032</v>
      </c>
      <c r="BR430" s="16"/>
      <c r="BS430" s="17"/>
      <c r="BT430" s="16"/>
      <c r="BU430" s="17"/>
      <c r="BV430" s="16"/>
      <c r="BW430" s="17"/>
      <c r="BX430" s="16"/>
      <c r="BY430" s="17"/>
      <c r="BZ430" s="19">
        <v>23.862321109283162</v>
      </c>
      <c r="CA430" s="19"/>
      <c r="CB430" s="17"/>
      <c r="CC430" s="14" t="s">
        <v>5345</v>
      </c>
      <c r="CD430" s="14" t="s">
        <v>7272</v>
      </c>
      <c r="CE430" s="14" t="s">
        <v>5945</v>
      </c>
    </row>
    <row r="431" spans="1:83" ht="26.15" customHeight="1">
      <c r="A431" s="13">
        <v>425</v>
      </c>
      <c r="B431" s="14" t="s">
        <v>2723</v>
      </c>
      <c r="C431" s="14" t="s">
        <v>2724</v>
      </c>
      <c r="D431" s="14" t="s">
        <v>2728</v>
      </c>
      <c r="E431" s="13">
        <v>2015</v>
      </c>
      <c r="F431" s="14" t="s">
        <v>9473</v>
      </c>
      <c r="G431" s="14" t="s">
        <v>9473</v>
      </c>
      <c r="H431" s="14" t="s">
        <v>5208</v>
      </c>
      <c r="I431" s="15" t="s">
        <v>3117</v>
      </c>
      <c r="J431" s="16">
        <v>7014810</v>
      </c>
      <c r="K431" s="17">
        <v>42144</v>
      </c>
      <c r="L431" s="16" t="s">
        <v>5051</v>
      </c>
      <c r="M431" s="16">
        <v>7014810</v>
      </c>
      <c r="N431" s="14" t="s">
        <v>109</v>
      </c>
      <c r="O431" s="13">
        <v>4</v>
      </c>
      <c r="P431" s="17">
        <v>44099</v>
      </c>
      <c r="Q431" s="14" t="s">
        <v>5052</v>
      </c>
      <c r="R431" s="17">
        <v>44027</v>
      </c>
      <c r="S431" s="17">
        <v>42144</v>
      </c>
      <c r="T431" s="14" t="s">
        <v>6645</v>
      </c>
      <c r="U431" s="14" t="s">
        <v>9474</v>
      </c>
      <c r="V431" s="14" t="s">
        <v>9475</v>
      </c>
      <c r="W431" s="14"/>
      <c r="X431" s="14" t="s">
        <v>2726</v>
      </c>
      <c r="Y431" s="14"/>
      <c r="Z431" s="14" t="s">
        <v>9476</v>
      </c>
      <c r="AA431" s="14"/>
      <c r="AB431" s="14" t="s">
        <v>9477</v>
      </c>
      <c r="AC431" s="14"/>
      <c r="AD431" s="14"/>
      <c r="AE431" s="14" t="s">
        <v>9478</v>
      </c>
      <c r="AF431" s="14" t="s">
        <v>9479</v>
      </c>
      <c r="AG431" s="14" t="s">
        <v>9480</v>
      </c>
      <c r="AH431" s="18"/>
      <c r="AI431" s="16"/>
      <c r="AJ431" s="17"/>
      <c r="AK431" s="15" t="s">
        <v>3123</v>
      </c>
      <c r="AL431" s="17"/>
      <c r="AM431" s="16"/>
      <c r="AN431" s="14"/>
      <c r="AO431" s="14"/>
      <c r="AP431" s="15" t="s">
        <v>3123</v>
      </c>
      <c r="AQ431" s="14"/>
      <c r="AR431" s="17"/>
      <c r="AS431" s="16"/>
      <c r="AT431" s="14"/>
      <c r="AU431" s="15" t="s">
        <v>3123</v>
      </c>
      <c r="AV431" s="14"/>
      <c r="AW431" s="17"/>
      <c r="AX431" s="16"/>
      <c r="AY431" s="16"/>
      <c r="AZ431" s="16"/>
      <c r="BA431" s="16"/>
      <c r="BB431" s="15" t="s">
        <v>3123</v>
      </c>
      <c r="BC431" s="17"/>
      <c r="BD431" s="14"/>
      <c r="BE431" s="14"/>
      <c r="BF431" s="16"/>
      <c r="BG431" s="16"/>
      <c r="BH431" s="13"/>
      <c r="BI431" s="18" t="s">
        <v>9481</v>
      </c>
      <c r="BJ431" s="13">
        <v>200</v>
      </c>
      <c r="BK431" s="17">
        <v>44123</v>
      </c>
      <c r="BL431" s="18" t="s">
        <v>9482</v>
      </c>
      <c r="BM431" s="18" t="s">
        <v>9483</v>
      </c>
      <c r="BN431" s="18"/>
      <c r="BO431" s="18"/>
      <c r="BP431" s="14" t="s">
        <v>9484</v>
      </c>
      <c r="BQ431" s="17">
        <v>43851</v>
      </c>
      <c r="BR431" s="16"/>
      <c r="BS431" s="17"/>
      <c r="BT431" s="16"/>
      <c r="BU431" s="17"/>
      <c r="BV431" s="16"/>
      <c r="BW431" s="17"/>
      <c r="BX431" s="16"/>
      <c r="BY431" s="17"/>
      <c r="BZ431" s="19">
        <v>42.503142389050005</v>
      </c>
      <c r="CA431" s="19"/>
      <c r="CB431" s="17"/>
      <c r="CC431" s="14" t="s">
        <v>5309</v>
      </c>
      <c r="CD431" s="14" t="s">
        <v>9485</v>
      </c>
      <c r="CE431" s="14" t="s">
        <v>5004</v>
      </c>
    </row>
    <row r="432" spans="1:83" ht="26.15" hidden="1" customHeight="1">
      <c r="A432" s="13">
        <v>426</v>
      </c>
      <c r="B432" s="14" t="s">
        <v>1045</v>
      </c>
      <c r="C432" s="14" t="s">
        <v>1046</v>
      </c>
      <c r="D432" s="14" t="s">
        <v>1050</v>
      </c>
      <c r="E432" s="13">
        <v>2016</v>
      </c>
      <c r="F432" s="14" t="s">
        <v>5050</v>
      </c>
      <c r="G432" s="14" t="s">
        <v>5050</v>
      </c>
      <c r="H432" s="14" t="s">
        <v>4343</v>
      </c>
      <c r="I432" s="15" t="s">
        <v>3117</v>
      </c>
      <c r="J432" s="16">
        <v>9004795</v>
      </c>
      <c r="K432" s="17">
        <v>43591</v>
      </c>
      <c r="L432" s="16" t="s">
        <v>5543</v>
      </c>
      <c r="M432" s="16">
        <v>4500000</v>
      </c>
      <c r="N432" s="14" t="s">
        <v>109</v>
      </c>
      <c r="O432" s="13">
        <v>4</v>
      </c>
      <c r="P432" s="17">
        <v>44048</v>
      </c>
      <c r="Q432" s="14" t="s">
        <v>5052</v>
      </c>
      <c r="R432" s="17">
        <v>43697</v>
      </c>
      <c r="S432" s="17">
        <v>43591</v>
      </c>
      <c r="T432" s="14" t="s">
        <v>5041</v>
      </c>
      <c r="U432" s="14" t="s">
        <v>8049</v>
      </c>
      <c r="V432" s="14" t="s">
        <v>8050</v>
      </c>
      <c r="W432" s="14"/>
      <c r="X432" s="14" t="s">
        <v>8051</v>
      </c>
      <c r="Y432" s="14" t="s">
        <v>8052</v>
      </c>
      <c r="Z432" s="14" t="s">
        <v>8053</v>
      </c>
      <c r="AA432" s="14"/>
      <c r="AB432" s="14" t="s">
        <v>4343</v>
      </c>
      <c r="AC432" s="14"/>
      <c r="AD432" s="14"/>
      <c r="AE432" s="14" t="s">
        <v>8054</v>
      </c>
      <c r="AF432" s="14" t="s">
        <v>8055</v>
      </c>
      <c r="AG432" s="14" t="s">
        <v>8056</v>
      </c>
      <c r="AH432" s="18" t="s">
        <v>8057</v>
      </c>
      <c r="AI432" s="16"/>
      <c r="AJ432" s="17"/>
      <c r="AK432" s="15" t="s">
        <v>3123</v>
      </c>
      <c r="AL432" s="17"/>
      <c r="AM432" s="16"/>
      <c r="AN432" s="14"/>
      <c r="AO432" s="14"/>
      <c r="AP432" s="15" t="s">
        <v>3123</v>
      </c>
      <c r="AQ432" s="14"/>
      <c r="AR432" s="17"/>
      <c r="AS432" s="16"/>
      <c r="AT432" s="14"/>
      <c r="AU432" s="15" t="s">
        <v>3123</v>
      </c>
      <c r="AV432" s="14"/>
      <c r="AW432" s="17"/>
      <c r="AX432" s="16"/>
      <c r="AY432" s="16"/>
      <c r="AZ432" s="16"/>
      <c r="BA432" s="16"/>
      <c r="BB432" s="15" t="s">
        <v>3123</v>
      </c>
      <c r="BC432" s="17"/>
      <c r="BD432" s="14"/>
      <c r="BE432" s="14"/>
      <c r="BF432" s="16"/>
      <c r="BG432" s="16"/>
      <c r="BH432" s="13"/>
      <c r="BI432" s="18" t="s">
        <v>8058</v>
      </c>
      <c r="BJ432" s="13">
        <v>200</v>
      </c>
      <c r="BK432" s="17">
        <v>44123</v>
      </c>
      <c r="BL432" s="18" t="s">
        <v>8059</v>
      </c>
      <c r="BM432" s="18" t="s">
        <v>8060</v>
      </c>
      <c r="BN432" s="18" t="s">
        <v>8061</v>
      </c>
      <c r="BO432" s="18"/>
      <c r="BP432" s="14" t="s">
        <v>8062</v>
      </c>
      <c r="BQ432" s="17">
        <v>42814</v>
      </c>
      <c r="BR432" s="16"/>
      <c r="BS432" s="17"/>
      <c r="BT432" s="16"/>
      <c r="BU432" s="17"/>
      <c r="BV432" s="16"/>
      <c r="BW432" s="17"/>
      <c r="BX432" s="16"/>
      <c r="BY432" s="17"/>
      <c r="BZ432" s="19">
        <v>47.958594775044169</v>
      </c>
      <c r="CA432" s="19"/>
      <c r="CB432" s="17"/>
      <c r="CC432" s="14" t="s">
        <v>6487</v>
      </c>
      <c r="CD432" s="14" t="s">
        <v>5944</v>
      </c>
      <c r="CE432" s="14" t="s">
        <v>5945</v>
      </c>
    </row>
    <row r="433" spans="1:83" ht="26.15" customHeight="1">
      <c r="A433" s="13">
        <v>427</v>
      </c>
      <c r="B433" s="14" t="s">
        <v>1505</v>
      </c>
      <c r="C433" s="14" t="s">
        <v>1506</v>
      </c>
      <c r="D433" s="14" t="s">
        <v>1508</v>
      </c>
      <c r="E433" s="13">
        <v>2014</v>
      </c>
      <c r="F433" s="14" t="s">
        <v>8063</v>
      </c>
      <c r="G433" s="14" t="s">
        <v>8064</v>
      </c>
      <c r="H433" s="14" t="s">
        <v>6213</v>
      </c>
      <c r="I433" s="15" t="s">
        <v>3117</v>
      </c>
      <c r="J433" s="16"/>
      <c r="K433" s="17">
        <v>43315</v>
      </c>
      <c r="L433" s="16"/>
      <c r="M433" s="16" t="s">
        <v>50</v>
      </c>
      <c r="N433" s="14" t="s">
        <v>34</v>
      </c>
      <c r="O433" s="13">
        <v>3</v>
      </c>
      <c r="P433" s="17">
        <v>44081</v>
      </c>
      <c r="Q433" s="14"/>
      <c r="R433" s="17"/>
      <c r="S433" s="17"/>
      <c r="T433" s="14" t="s">
        <v>7470</v>
      </c>
      <c r="U433" s="14" t="s">
        <v>7471</v>
      </c>
      <c r="V433" s="14" t="s">
        <v>8065</v>
      </c>
      <c r="W433" s="14"/>
      <c r="X433" s="14" t="s">
        <v>8066</v>
      </c>
      <c r="Y433" s="14"/>
      <c r="Z433" s="14" t="s">
        <v>8067</v>
      </c>
      <c r="AA433" s="14"/>
      <c r="AB433" s="14" t="s">
        <v>6213</v>
      </c>
      <c r="AC433" s="14" t="s">
        <v>8068</v>
      </c>
      <c r="AD433" s="14"/>
      <c r="AE433" s="14" t="s">
        <v>8069</v>
      </c>
      <c r="AF433" s="14" t="s">
        <v>8070</v>
      </c>
      <c r="AG433" s="14" t="s">
        <v>8071</v>
      </c>
      <c r="AH433" s="18"/>
      <c r="AI433" s="16"/>
      <c r="AJ433" s="17"/>
      <c r="AK433" s="15" t="s">
        <v>3123</v>
      </c>
      <c r="AL433" s="17"/>
      <c r="AM433" s="16"/>
      <c r="AN433" s="14"/>
      <c r="AO433" s="14"/>
      <c r="AP433" s="15" t="s">
        <v>3123</v>
      </c>
      <c r="AQ433" s="14"/>
      <c r="AR433" s="17"/>
      <c r="AS433" s="16"/>
      <c r="AT433" s="14"/>
      <c r="AU433" s="15" t="s">
        <v>3123</v>
      </c>
      <c r="AV433" s="14"/>
      <c r="AW433" s="17"/>
      <c r="AX433" s="16"/>
      <c r="AY433" s="16"/>
      <c r="AZ433" s="16"/>
      <c r="BA433" s="16"/>
      <c r="BB433" s="15" t="s">
        <v>3123</v>
      </c>
      <c r="BC433" s="17"/>
      <c r="BD433" s="14"/>
      <c r="BE433" s="14"/>
      <c r="BF433" s="16"/>
      <c r="BG433" s="16"/>
      <c r="BH433" s="13"/>
      <c r="BI433" s="18" t="s">
        <v>8072</v>
      </c>
      <c r="BJ433" s="13">
        <v>200</v>
      </c>
      <c r="BK433" s="17">
        <v>44123</v>
      </c>
      <c r="BL433" s="18"/>
      <c r="BM433" s="18" t="s">
        <v>8073</v>
      </c>
      <c r="BN433" s="18"/>
      <c r="BO433" s="18"/>
      <c r="BP433" s="14" t="s">
        <v>8074</v>
      </c>
      <c r="BQ433" s="17">
        <v>42447</v>
      </c>
      <c r="BR433" s="16"/>
      <c r="BS433" s="17"/>
      <c r="BT433" s="16"/>
      <c r="BU433" s="17"/>
      <c r="BV433" s="16"/>
      <c r="BW433" s="17"/>
      <c r="BX433" s="16"/>
      <c r="BY433" s="17"/>
      <c r="BZ433" s="19">
        <v>35.602425067175879</v>
      </c>
      <c r="CA433" s="19"/>
      <c r="CB433" s="17"/>
      <c r="CC433" s="14" t="s">
        <v>7409</v>
      </c>
      <c r="CD433" s="14" t="s">
        <v>7272</v>
      </c>
      <c r="CE433" s="14" t="s">
        <v>7194</v>
      </c>
    </row>
    <row r="434" spans="1:83" ht="26.15" customHeight="1">
      <c r="A434" s="13">
        <v>428</v>
      </c>
      <c r="B434" s="14" t="s">
        <v>2736</v>
      </c>
      <c r="C434" s="14" t="s">
        <v>2737</v>
      </c>
      <c r="D434" s="14" t="s">
        <v>2740</v>
      </c>
      <c r="E434" s="13">
        <v>2014</v>
      </c>
      <c r="F434" s="14" t="s">
        <v>9486</v>
      </c>
      <c r="G434" s="14" t="s">
        <v>9487</v>
      </c>
      <c r="H434" s="14" t="s">
        <v>5818</v>
      </c>
      <c r="I434" s="15" t="s">
        <v>3117</v>
      </c>
      <c r="J434" s="16"/>
      <c r="K434" s="17">
        <v>42095</v>
      </c>
      <c r="L434" s="16"/>
      <c r="M434" s="16" t="s">
        <v>50</v>
      </c>
      <c r="N434" s="14" t="s">
        <v>34</v>
      </c>
      <c r="O434" s="13">
        <v>3</v>
      </c>
      <c r="P434" s="17">
        <v>44081</v>
      </c>
      <c r="Q434" s="14"/>
      <c r="R434" s="17"/>
      <c r="S434" s="17"/>
      <c r="T434" s="14" t="s">
        <v>5493</v>
      </c>
      <c r="U434" s="14" t="s">
        <v>5494</v>
      </c>
      <c r="V434" s="14" t="s">
        <v>9488</v>
      </c>
      <c r="W434" s="14"/>
      <c r="X434" s="14" t="s">
        <v>4754</v>
      </c>
      <c r="Y434" s="14"/>
      <c r="Z434" s="14" t="s">
        <v>9489</v>
      </c>
      <c r="AA434" s="14"/>
      <c r="AB434" s="14" t="s">
        <v>5818</v>
      </c>
      <c r="AC434" s="14" t="s">
        <v>9490</v>
      </c>
      <c r="AD434" s="14" t="s">
        <v>9491</v>
      </c>
      <c r="AE434" s="14" t="s">
        <v>9492</v>
      </c>
      <c r="AF434" s="14" t="s">
        <v>9493</v>
      </c>
      <c r="AG434" s="14" t="s">
        <v>9494</v>
      </c>
      <c r="AH434" s="18"/>
      <c r="AI434" s="16"/>
      <c r="AJ434" s="17"/>
      <c r="AK434" s="15" t="s">
        <v>3123</v>
      </c>
      <c r="AL434" s="17"/>
      <c r="AM434" s="16"/>
      <c r="AN434" s="14"/>
      <c r="AO434" s="14"/>
      <c r="AP434" s="15" t="s">
        <v>3123</v>
      </c>
      <c r="AQ434" s="14"/>
      <c r="AR434" s="17"/>
      <c r="AS434" s="16"/>
      <c r="AT434" s="14"/>
      <c r="AU434" s="15" t="s">
        <v>3123</v>
      </c>
      <c r="AV434" s="14"/>
      <c r="AW434" s="17"/>
      <c r="AX434" s="16"/>
      <c r="AY434" s="16"/>
      <c r="AZ434" s="16"/>
      <c r="BA434" s="16"/>
      <c r="BB434" s="15" t="s">
        <v>3123</v>
      </c>
      <c r="BC434" s="17"/>
      <c r="BD434" s="14"/>
      <c r="BE434" s="14"/>
      <c r="BF434" s="16"/>
      <c r="BG434" s="16"/>
      <c r="BH434" s="13"/>
      <c r="BI434" s="18" t="s">
        <v>9495</v>
      </c>
      <c r="BJ434" s="13">
        <v>200</v>
      </c>
      <c r="BK434" s="17">
        <v>44098</v>
      </c>
      <c r="BL434" s="18"/>
      <c r="BM434" s="18" t="s">
        <v>9496</v>
      </c>
      <c r="BN434" s="18" t="s">
        <v>9497</v>
      </c>
      <c r="BO434" s="18" t="s">
        <v>9498</v>
      </c>
      <c r="BP434" s="14" t="s">
        <v>9499</v>
      </c>
      <c r="BQ434" s="17">
        <v>43020</v>
      </c>
      <c r="BR434" s="16"/>
      <c r="BS434" s="17"/>
      <c r="BT434" s="16"/>
      <c r="BU434" s="17"/>
      <c r="BV434" s="16"/>
      <c r="BW434" s="17"/>
      <c r="BX434" s="16"/>
      <c r="BY434" s="17"/>
      <c r="BZ434" s="19">
        <v>27.137758524563203</v>
      </c>
      <c r="CA434" s="19"/>
      <c r="CB434" s="17"/>
      <c r="CC434" s="14" t="s">
        <v>5104</v>
      </c>
      <c r="CD434" s="14" t="s">
        <v>5962</v>
      </c>
      <c r="CE434" s="14" t="s">
        <v>5945</v>
      </c>
    </row>
    <row r="435" spans="1:83" ht="26.15" customHeight="1">
      <c r="A435" s="13">
        <v>429</v>
      </c>
      <c r="B435" s="14" t="s">
        <v>2859</v>
      </c>
      <c r="C435" s="14" t="s">
        <v>2860</v>
      </c>
      <c r="D435" s="14" t="s">
        <v>2861</v>
      </c>
      <c r="E435" s="13">
        <v>2013</v>
      </c>
      <c r="F435" s="14" t="s">
        <v>5189</v>
      </c>
      <c r="G435" s="14" t="s">
        <v>5190</v>
      </c>
      <c r="H435" s="14" t="s">
        <v>1258</v>
      </c>
      <c r="I435" s="15" t="s">
        <v>3117</v>
      </c>
      <c r="J435" s="16">
        <v>40000</v>
      </c>
      <c r="K435" s="17">
        <v>41791</v>
      </c>
      <c r="L435" s="16" t="s">
        <v>5896</v>
      </c>
      <c r="M435" s="16">
        <v>40000</v>
      </c>
      <c r="N435" s="14" t="s">
        <v>34</v>
      </c>
      <c r="O435" s="13"/>
      <c r="P435" s="17"/>
      <c r="Q435" s="14"/>
      <c r="R435" s="17"/>
      <c r="S435" s="17"/>
      <c r="T435" s="14" t="s">
        <v>5947</v>
      </c>
      <c r="U435" s="14" t="s">
        <v>6335</v>
      </c>
      <c r="V435" s="14" t="s">
        <v>6336</v>
      </c>
      <c r="W435" s="14"/>
      <c r="X435" s="14" t="s">
        <v>3689</v>
      </c>
      <c r="Y435" s="14"/>
      <c r="Z435" s="14" t="s">
        <v>9500</v>
      </c>
      <c r="AA435" s="14"/>
      <c r="AB435" s="14" t="s">
        <v>1258</v>
      </c>
      <c r="AC435" s="14"/>
      <c r="AD435" s="14"/>
      <c r="AE435" s="14" t="s">
        <v>9501</v>
      </c>
      <c r="AF435" s="14" t="s">
        <v>9502</v>
      </c>
      <c r="AG435" s="14" t="s">
        <v>9503</v>
      </c>
      <c r="AH435" s="18" t="s">
        <v>9504</v>
      </c>
      <c r="AI435" s="16"/>
      <c r="AJ435" s="17"/>
      <c r="AK435" s="15" t="s">
        <v>3123</v>
      </c>
      <c r="AL435" s="17"/>
      <c r="AM435" s="16"/>
      <c r="AN435" s="14"/>
      <c r="AO435" s="14"/>
      <c r="AP435" s="15" t="s">
        <v>3123</v>
      </c>
      <c r="AQ435" s="14"/>
      <c r="AR435" s="17"/>
      <c r="AS435" s="16"/>
      <c r="AT435" s="14"/>
      <c r="AU435" s="15" t="s">
        <v>3123</v>
      </c>
      <c r="AV435" s="14"/>
      <c r="AW435" s="17"/>
      <c r="AX435" s="16"/>
      <c r="AY435" s="16"/>
      <c r="AZ435" s="16"/>
      <c r="BA435" s="16"/>
      <c r="BB435" s="15" t="s">
        <v>3123</v>
      </c>
      <c r="BC435" s="17"/>
      <c r="BD435" s="14"/>
      <c r="BE435" s="14"/>
      <c r="BF435" s="16"/>
      <c r="BG435" s="16"/>
      <c r="BH435" s="13"/>
      <c r="BI435" s="18" t="s">
        <v>9505</v>
      </c>
      <c r="BJ435" s="13">
        <v>200</v>
      </c>
      <c r="BK435" s="17">
        <v>44123</v>
      </c>
      <c r="BL435" s="18" t="s">
        <v>9506</v>
      </c>
      <c r="BM435" s="18" t="s">
        <v>9507</v>
      </c>
      <c r="BN435" s="18" t="s">
        <v>9508</v>
      </c>
      <c r="BO435" s="18"/>
      <c r="BP435" s="14" t="s">
        <v>9509</v>
      </c>
      <c r="BQ435" s="17">
        <v>42929</v>
      </c>
      <c r="BR435" s="16"/>
      <c r="BS435" s="17"/>
      <c r="BT435" s="16"/>
      <c r="BU435" s="17"/>
      <c r="BV435" s="16"/>
      <c r="BW435" s="17"/>
      <c r="BX435" s="16"/>
      <c r="BY435" s="17"/>
      <c r="BZ435" s="19">
        <v>30.152766750547062</v>
      </c>
      <c r="CA435" s="19"/>
      <c r="CB435" s="17"/>
      <c r="CC435" s="14" t="s">
        <v>7284</v>
      </c>
      <c r="CD435" s="14" t="s">
        <v>6002</v>
      </c>
      <c r="CE435" s="14" t="s">
        <v>5945</v>
      </c>
    </row>
    <row r="436" spans="1:83" ht="26.15" customHeight="1">
      <c r="A436" s="13">
        <v>430</v>
      </c>
      <c r="B436" s="14" t="s">
        <v>2146</v>
      </c>
      <c r="C436" s="14" t="s">
        <v>2147</v>
      </c>
      <c r="D436" s="14" t="s">
        <v>2148</v>
      </c>
      <c r="E436" s="13">
        <v>2015</v>
      </c>
      <c r="F436" s="14" t="s">
        <v>8032</v>
      </c>
      <c r="G436" s="14" t="s">
        <v>8033</v>
      </c>
      <c r="H436" s="14" t="s">
        <v>5208</v>
      </c>
      <c r="I436" s="15" t="s">
        <v>3117</v>
      </c>
      <c r="J436" s="16"/>
      <c r="K436" s="17">
        <v>42831</v>
      </c>
      <c r="L436" s="16"/>
      <c r="M436" s="16" t="s">
        <v>50</v>
      </c>
      <c r="N436" s="14" t="s">
        <v>109</v>
      </c>
      <c r="O436" s="13"/>
      <c r="P436" s="17"/>
      <c r="Q436" s="14"/>
      <c r="R436" s="17"/>
      <c r="S436" s="17"/>
      <c r="T436" s="14" t="s">
        <v>1</v>
      </c>
      <c r="U436" s="14" t="s">
        <v>5007</v>
      </c>
      <c r="V436" s="14" t="s">
        <v>5192</v>
      </c>
      <c r="W436" s="14"/>
      <c r="X436" s="14" t="s">
        <v>9510</v>
      </c>
      <c r="Y436" s="14"/>
      <c r="Z436" s="14" t="s">
        <v>9511</v>
      </c>
      <c r="AA436" s="14"/>
      <c r="AB436" s="14" t="s">
        <v>5208</v>
      </c>
      <c r="AC436" s="14"/>
      <c r="AD436" s="14"/>
      <c r="AE436" s="14" t="s">
        <v>9512</v>
      </c>
      <c r="AF436" s="14" t="s">
        <v>9513</v>
      </c>
      <c r="AG436" s="14" t="s">
        <v>9514</v>
      </c>
      <c r="AH436" s="18" t="s">
        <v>9515</v>
      </c>
      <c r="AI436" s="16"/>
      <c r="AJ436" s="17"/>
      <c r="AK436" s="15" t="s">
        <v>3123</v>
      </c>
      <c r="AL436" s="17"/>
      <c r="AM436" s="16"/>
      <c r="AN436" s="14"/>
      <c r="AO436" s="14"/>
      <c r="AP436" s="15" t="s">
        <v>3123</v>
      </c>
      <c r="AQ436" s="14"/>
      <c r="AR436" s="17"/>
      <c r="AS436" s="16"/>
      <c r="AT436" s="14"/>
      <c r="AU436" s="15" t="s">
        <v>3123</v>
      </c>
      <c r="AV436" s="14"/>
      <c r="AW436" s="17"/>
      <c r="AX436" s="16"/>
      <c r="AY436" s="16"/>
      <c r="AZ436" s="16"/>
      <c r="BA436" s="16"/>
      <c r="BB436" s="15" t="s">
        <v>3123</v>
      </c>
      <c r="BC436" s="17"/>
      <c r="BD436" s="14"/>
      <c r="BE436" s="14"/>
      <c r="BF436" s="16"/>
      <c r="BG436" s="16"/>
      <c r="BH436" s="13"/>
      <c r="BI436" s="18" t="s">
        <v>9516</v>
      </c>
      <c r="BJ436" s="13">
        <v>200</v>
      </c>
      <c r="BK436" s="17">
        <v>44123</v>
      </c>
      <c r="BL436" s="18" t="s">
        <v>9517</v>
      </c>
      <c r="BM436" s="18" t="s">
        <v>9518</v>
      </c>
      <c r="BN436" s="18"/>
      <c r="BO436" s="18"/>
      <c r="BP436" s="14" t="s">
        <v>9519</v>
      </c>
      <c r="BQ436" s="17">
        <v>42930</v>
      </c>
      <c r="BR436" s="16"/>
      <c r="BS436" s="17"/>
      <c r="BT436" s="16"/>
      <c r="BU436" s="17"/>
      <c r="BV436" s="16"/>
      <c r="BW436" s="17"/>
      <c r="BX436" s="16"/>
      <c r="BY436" s="17"/>
      <c r="BZ436" s="19">
        <v>36.233755096156834</v>
      </c>
      <c r="CA436" s="19"/>
      <c r="CB436" s="17"/>
      <c r="CC436" s="14" t="s">
        <v>7284</v>
      </c>
      <c r="CD436" s="14" t="s">
        <v>6002</v>
      </c>
      <c r="CE436" s="14" t="s">
        <v>5945</v>
      </c>
    </row>
    <row r="437" spans="1:83" ht="26.15" customHeight="1">
      <c r="A437" s="13">
        <v>431</v>
      </c>
      <c r="B437" s="14" t="s">
        <v>2271</v>
      </c>
      <c r="C437" s="14" t="s">
        <v>2272</v>
      </c>
      <c r="D437" s="14" t="s">
        <v>2276</v>
      </c>
      <c r="E437" s="13">
        <v>2015</v>
      </c>
      <c r="F437" s="14" t="s">
        <v>5312</v>
      </c>
      <c r="G437" s="14" t="s">
        <v>5313</v>
      </c>
      <c r="H437" s="14" t="s">
        <v>3994</v>
      </c>
      <c r="I437" s="15" t="s">
        <v>3117</v>
      </c>
      <c r="J437" s="16">
        <v>793956</v>
      </c>
      <c r="K437" s="17">
        <v>42646</v>
      </c>
      <c r="L437" s="16" t="s">
        <v>9520</v>
      </c>
      <c r="M437" s="16">
        <v>418508</v>
      </c>
      <c r="N437" s="14" t="s">
        <v>5630</v>
      </c>
      <c r="O437" s="13"/>
      <c r="P437" s="17">
        <v>44022</v>
      </c>
      <c r="Q437" s="14"/>
      <c r="R437" s="17"/>
      <c r="S437" s="17"/>
      <c r="T437" s="14" t="s">
        <v>5509</v>
      </c>
      <c r="U437" s="14" t="s">
        <v>5510</v>
      </c>
      <c r="V437" s="14" t="s">
        <v>9521</v>
      </c>
      <c r="W437" s="14"/>
      <c r="X437" s="14" t="s">
        <v>9522</v>
      </c>
      <c r="Y437" s="14" t="s">
        <v>9523</v>
      </c>
      <c r="Z437" s="14" t="s">
        <v>9524</v>
      </c>
      <c r="AA437" s="14"/>
      <c r="AB437" s="14" t="s">
        <v>3994</v>
      </c>
      <c r="AC437" s="14"/>
      <c r="AD437" s="14"/>
      <c r="AE437" s="14" t="s">
        <v>9525</v>
      </c>
      <c r="AF437" s="14" t="s">
        <v>9526</v>
      </c>
      <c r="AG437" s="14" t="s">
        <v>9527</v>
      </c>
      <c r="AH437" s="18" t="s">
        <v>9528</v>
      </c>
      <c r="AI437" s="16">
        <v>471700</v>
      </c>
      <c r="AJ437" s="17">
        <v>42735</v>
      </c>
      <c r="AK437" s="15" t="s">
        <v>3117</v>
      </c>
      <c r="AL437" s="17">
        <v>42250</v>
      </c>
      <c r="AM437" s="16">
        <v>1507</v>
      </c>
      <c r="AN437" s="14" t="s">
        <v>9529</v>
      </c>
      <c r="AO437" s="14"/>
      <c r="AP437" s="15" t="s">
        <v>3123</v>
      </c>
      <c r="AQ437" s="14"/>
      <c r="AR437" s="17"/>
      <c r="AS437" s="16"/>
      <c r="AT437" s="14"/>
      <c r="AU437" s="15" t="s">
        <v>3123</v>
      </c>
      <c r="AV437" s="14"/>
      <c r="AW437" s="17"/>
      <c r="AX437" s="16"/>
      <c r="AY437" s="16"/>
      <c r="AZ437" s="16"/>
      <c r="BA437" s="16"/>
      <c r="BB437" s="15" t="s">
        <v>3117</v>
      </c>
      <c r="BC437" s="17"/>
      <c r="BD437" s="14"/>
      <c r="BE437" s="14"/>
      <c r="BF437" s="16"/>
      <c r="BG437" s="16"/>
      <c r="BH437" s="13"/>
      <c r="BI437" s="18" t="s">
        <v>9530</v>
      </c>
      <c r="BJ437" s="13">
        <v>-1</v>
      </c>
      <c r="BK437" s="17">
        <v>44123</v>
      </c>
      <c r="BL437" s="18" t="s">
        <v>9531</v>
      </c>
      <c r="BM437" s="18"/>
      <c r="BN437" s="18"/>
      <c r="BO437" s="18"/>
      <c r="BP437" s="14" t="s">
        <v>9532</v>
      </c>
      <c r="BQ437" s="17">
        <v>42682</v>
      </c>
      <c r="BR437" s="16">
        <v>-360700</v>
      </c>
      <c r="BS437" s="17">
        <v>42735</v>
      </c>
      <c r="BT437" s="16">
        <v>-359500</v>
      </c>
      <c r="BU437" s="17">
        <v>42735</v>
      </c>
      <c r="BV437" s="16">
        <v>3236593.8654896389</v>
      </c>
      <c r="BW437" s="17">
        <v>42587</v>
      </c>
      <c r="BX437" s="16"/>
      <c r="BY437" s="17"/>
      <c r="BZ437" s="19">
        <v>34.787221287353255</v>
      </c>
      <c r="CA437" s="19"/>
      <c r="CB437" s="17"/>
      <c r="CC437" s="14" t="s">
        <v>5036</v>
      </c>
      <c r="CD437" s="14" t="s">
        <v>5962</v>
      </c>
      <c r="CE437" s="14" t="s">
        <v>5945</v>
      </c>
    </row>
    <row r="438" spans="1:83" ht="26.15" hidden="1" customHeight="1">
      <c r="A438" s="13">
        <v>432</v>
      </c>
      <c r="B438" s="14" t="s">
        <v>885</v>
      </c>
      <c r="C438" s="14" t="s">
        <v>886</v>
      </c>
      <c r="D438" s="14" t="s">
        <v>889</v>
      </c>
      <c r="E438" s="13">
        <v>2013</v>
      </c>
      <c r="F438" s="14" t="s">
        <v>5050</v>
      </c>
      <c r="G438" s="14" t="s">
        <v>5050</v>
      </c>
      <c r="H438" s="14" t="s">
        <v>4343</v>
      </c>
      <c r="I438" s="15" t="s">
        <v>3117</v>
      </c>
      <c r="J438" s="16">
        <v>30000000</v>
      </c>
      <c r="K438" s="17">
        <v>43698</v>
      </c>
      <c r="L438" s="16" t="s">
        <v>5165</v>
      </c>
      <c r="M438" s="16">
        <v>10000000</v>
      </c>
      <c r="N438" s="14" t="s">
        <v>109</v>
      </c>
      <c r="O438" s="13">
        <v>5</v>
      </c>
      <c r="P438" s="17">
        <v>44057</v>
      </c>
      <c r="Q438" s="14" t="s">
        <v>5052</v>
      </c>
      <c r="R438" s="17">
        <v>44027</v>
      </c>
      <c r="S438" s="17">
        <v>42177</v>
      </c>
      <c r="T438" s="14" t="s">
        <v>8102</v>
      </c>
      <c r="U438" s="14" t="s">
        <v>8103</v>
      </c>
      <c r="V438" s="14" t="s">
        <v>8104</v>
      </c>
      <c r="W438" s="14"/>
      <c r="X438" s="14" t="s">
        <v>8105</v>
      </c>
      <c r="Y438" s="14"/>
      <c r="Z438" s="14" t="s">
        <v>8106</v>
      </c>
      <c r="AA438" s="14"/>
      <c r="AB438" s="14" t="s">
        <v>4343</v>
      </c>
      <c r="AC438" s="14"/>
      <c r="AD438" s="14"/>
      <c r="AE438" s="14" t="s">
        <v>8107</v>
      </c>
      <c r="AF438" s="14" t="s">
        <v>8108</v>
      </c>
      <c r="AG438" s="14" t="s">
        <v>8109</v>
      </c>
      <c r="AH438" s="18"/>
      <c r="AI438" s="16"/>
      <c r="AJ438" s="17"/>
      <c r="AK438" s="15" t="s">
        <v>3123</v>
      </c>
      <c r="AL438" s="17"/>
      <c r="AM438" s="16"/>
      <c r="AN438" s="14"/>
      <c r="AO438" s="14" t="s">
        <v>8110</v>
      </c>
      <c r="AP438" s="15" t="s">
        <v>3123</v>
      </c>
      <c r="AQ438" s="14"/>
      <c r="AR438" s="17"/>
      <c r="AS438" s="16"/>
      <c r="AT438" s="14"/>
      <c r="AU438" s="15" t="s">
        <v>3123</v>
      </c>
      <c r="AV438" s="14"/>
      <c r="AW438" s="17"/>
      <c r="AX438" s="16"/>
      <c r="AY438" s="16"/>
      <c r="AZ438" s="16"/>
      <c r="BA438" s="16"/>
      <c r="BB438" s="15" t="s">
        <v>3123</v>
      </c>
      <c r="BC438" s="17"/>
      <c r="BD438" s="14"/>
      <c r="BE438" s="14"/>
      <c r="BF438" s="16"/>
      <c r="BG438" s="16"/>
      <c r="BH438" s="13"/>
      <c r="BI438" s="18" t="s">
        <v>8111</v>
      </c>
      <c r="BJ438" s="13">
        <v>200</v>
      </c>
      <c r="BK438" s="17">
        <v>44123</v>
      </c>
      <c r="BL438" s="18" t="s">
        <v>8112</v>
      </c>
      <c r="BM438" s="18" t="s">
        <v>8113</v>
      </c>
      <c r="BN438" s="18" t="s">
        <v>8114</v>
      </c>
      <c r="BO438" s="18"/>
      <c r="BP438" s="14" t="s">
        <v>8115</v>
      </c>
      <c r="BQ438" s="17">
        <v>42930</v>
      </c>
      <c r="BR438" s="16"/>
      <c r="BS438" s="17"/>
      <c r="BT438" s="16"/>
      <c r="BU438" s="17"/>
      <c r="BV438" s="16"/>
      <c r="BW438" s="17"/>
      <c r="BX438" s="16"/>
      <c r="BY438" s="17"/>
      <c r="BZ438" s="19">
        <v>58.847737822899433</v>
      </c>
      <c r="CA438" s="19"/>
      <c r="CB438" s="17"/>
      <c r="CC438" s="14" t="s">
        <v>8116</v>
      </c>
      <c r="CD438" s="14" t="s">
        <v>8117</v>
      </c>
      <c r="CE438" s="14" t="s">
        <v>5311</v>
      </c>
    </row>
    <row r="439" spans="1:83" ht="26.15" customHeight="1">
      <c r="A439" s="13">
        <v>433</v>
      </c>
      <c r="B439" s="14" t="s">
        <v>1554</v>
      </c>
      <c r="C439" s="14" t="s">
        <v>1555</v>
      </c>
      <c r="D439" s="14" t="s">
        <v>1558</v>
      </c>
      <c r="E439" s="13">
        <v>2013</v>
      </c>
      <c r="F439" s="14" t="s">
        <v>5132</v>
      </c>
      <c r="G439" s="14" t="s">
        <v>5133</v>
      </c>
      <c r="H439" s="14" t="s">
        <v>3994</v>
      </c>
      <c r="I439" s="15" t="s">
        <v>3117</v>
      </c>
      <c r="J439" s="16">
        <v>234941</v>
      </c>
      <c r="K439" s="17">
        <v>43296</v>
      </c>
      <c r="L439" s="16" t="s">
        <v>8118</v>
      </c>
      <c r="M439" s="16">
        <v>218911</v>
      </c>
      <c r="N439" s="14" t="s">
        <v>34</v>
      </c>
      <c r="O439" s="13">
        <v>3</v>
      </c>
      <c r="P439" s="17">
        <v>44003</v>
      </c>
      <c r="Q439" s="14"/>
      <c r="R439" s="17"/>
      <c r="S439" s="17"/>
      <c r="T439" s="14" t="s">
        <v>6645</v>
      </c>
      <c r="U439" s="14" t="s">
        <v>8119</v>
      </c>
      <c r="V439" s="14" t="s">
        <v>8120</v>
      </c>
      <c r="W439" s="14"/>
      <c r="X439" s="14" t="s">
        <v>8121</v>
      </c>
      <c r="Y439" s="14" t="s">
        <v>8122</v>
      </c>
      <c r="Z439" s="14" t="s">
        <v>8123</v>
      </c>
      <c r="AA439" s="14"/>
      <c r="AB439" s="14" t="s">
        <v>3994</v>
      </c>
      <c r="AC439" s="14"/>
      <c r="AD439" s="14"/>
      <c r="AE439" s="14" t="s">
        <v>8124</v>
      </c>
      <c r="AF439" s="14" t="s">
        <v>8125</v>
      </c>
      <c r="AG439" s="14" t="s">
        <v>8126</v>
      </c>
      <c r="AH439" s="18"/>
      <c r="AI439" s="16">
        <v>33900</v>
      </c>
      <c r="AJ439" s="17">
        <v>43465</v>
      </c>
      <c r="AK439" s="15" t="s">
        <v>3117</v>
      </c>
      <c r="AL439" s="17">
        <v>41639</v>
      </c>
      <c r="AM439" s="16">
        <v>1614</v>
      </c>
      <c r="AN439" s="14" t="s">
        <v>8127</v>
      </c>
      <c r="AO439" s="14"/>
      <c r="AP439" s="15" t="s">
        <v>3123</v>
      </c>
      <c r="AQ439" s="14"/>
      <c r="AR439" s="17"/>
      <c r="AS439" s="16"/>
      <c r="AT439" s="14"/>
      <c r="AU439" s="15" t="s">
        <v>3123</v>
      </c>
      <c r="AV439" s="14"/>
      <c r="AW439" s="17"/>
      <c r="AX439" s="16"/>
      <c r="AY439" s="16"/>
      <c r="AZ439" s="16"/>
      <c r="BA439" s="16"/>
      <c r="BB439" s="15" t="s">
        <v>3123</v>
      </c>
      <c r="BC439" s="17"/>
      <c r="BD439" s="14"/>
      <c r="BE439" s="14"/>
      <c r="BF439" s="16"/>
      <c r="BG439" s="16"/>
      <c r="BH439" s="13"/>
      <c r="BI439" s="18" t="s">
        <v>8128</v>
      </c>
      <c r="BJ439" s="13">
        <v>200</v>
      </c>
      <c r="BK439" s="17">
        <v>44123</v>
      </c>
      <c r="BL439" s="18"/>
      <c r="BM439" s="18"/>
      <c r="BN439" s="18" t="s">
        <v>8129</v>
      </c>
      <c r="BO439" s="18"/>
      <c r="BP439" s="14" t="s">
        <v>8130</v>
      </c>
      <c r="BQ439" s="17">
        <v>43032</v>
      </c>
      <c r="BR439" s="16">
        <v>-93500</v>
      </c>
      <c r="BS439" s="17">
        <v>43465</v>
      </c>
      <c r="BT439" s="16">
        <v>-87600</v>
      </c>
      <c r="BU439" s="17">
        <v>43465</v>
      </c>
      <c r="BV439" s="16"/>
      <c r="BW439" s="17"/>
      <c r="BX439" s="16"/>
      <c r="BY439" s="17"/>
      <c r="BZ439" s="19">
        <v>28.283812153437367</v>
      </c>
      <c r="CA439" s="19"/>
      <c r="CB439" s="17"/>
      <c r="CC439" s="14" t="s">
        <v>5036</v>
      </c>
      <c r="CD439" s="14" t="s">
        <v>5037</v>
      </c>
      <c r="CE439" s="14" t="s">
        <v>5004</v>
      </c>
    </row>
    <row r="440" spans="1:83" ht="26.15" customHeight="1">
      <c r="A440" s="13">
        <v>434</v>
      </c>
      <c r="B440" s="14" t="s">
        <v>2185</v>
      </c>
      <c r="C440" s="14" t="s">
        <v>2186</v>
      </c>
      <c r="D440" s="14" t="s">
        <v>2187</v>
      </c>
      <c r="E440" s="13">
        <v>2012</v>
      </c>
      <c r="F440" s="14" t="s">
        <v>6212</v>
      </c>
      <c r="G440" s="14" t="s">
        <v>6212</v>
      </c>
      <c r="H440" s="14" t="s">
        <v>6213</v>
      </c>
      <c r="I440" s="15" t="s">
        <v>3117</v>
      </c>
      <c r="J440" s="16">
        <v>20000000</v>
      </c>
      <c r="K440" s="17">
        <v>42792</v>
      </c>
      <c r="L440" s="16" t="s">
        <v>6740</v>
      </c>
      <c r="M440" s="16">
        <v>20000000</v>
      </c>
      <c r="N440" s="14" t="s">
        <v>5040</v>
      </c>
      <c r="O440" s="13">
        <v>3</v>
      </c>
      <c r="P440" s="17">
        <v>44131</v>
      </c>
      <c r="Q440" s="14"/>
      <c r="R440" s="17"/>
      <c r="S440" s="17"/>
      <c r="T440" s="14" t="s">
        <v>1</v>
      </c>
      <c r="U440" s="14" t="s">
        <v>5007</v>
      </c>
      <c r="V440" s="14" t="s">
        <v>257</v>
      </c>
      <c r="W440" s="14"/>
      <c r="X440" s="14" t="s">
        <v>2018</v>
      </c>
      <c r="Y440" s="14"/>
      <c r="Z440" s="14" t="s">
        <v>9533</v>
      </c>
      <c r="AA440" s="14"/>
      <c r="AB440" s="14" t="s">
        <v>6213</v>
      </c>
      <c r="AC440" s="14" t="s">
        <v>9534</v>
      </c>
      <c r="AD440" s="14"/>
      <c r="AE440" s="14" t="s">
        <v>9535</v>
      </c>
      <c r="AF440" s="14"/>
      <c r="AG440" s="14" t="s">
        <v>9536</v>
      </c>
      <c r="AH440" s="18"/>
      <c r="AI440" s="16"/>
      <c r="AJ440" s="17"/>
      <c r="AK440" s="15" t="s">
        <v>3123</v>
      </c>
      <c r="AL440" s="17"/>
      <c r="AM440" s="16"/>
      <c r="AN440" s="14"/>
      <c r="AO440" s="14"/>
      <c r="AP440" s="15" t="s">
        <v>3123</v>
      </c>
      <c r="AQ440" s="14"/>
      <c r="AR440" s="17"/>
      <c r="AS440" s="16"/>
      <c r="AT440" s="14"/>
      <c r="AU440" s="15" t="s">
        <v>3123</v>
      </c>
      <c r="AV440" s="14"/>
      <c r="AW440" s="17"/>
      <c r="AX440" s="16"/>
      <c r="AY440" s="16"/>
      <c r="AZ440" s="16"/>
      <c r="BA440" s="16"/>
      <c r="BB440" s="15" t="s">
        <v>3123</v>
      </c>
      <c r="BC440" s="17"/>
      <c r="BD440" s="14"/>
      <c r="BE440" s="14"/>
      <c r="BF440" s="16"/>
      <c r="BG440" s="16"/>
      <c r="BH440" s="13"/>
      <c r="BI440" s="18" t="s">
        <v>9537</v>
      </c>
      <c r="BJ440" s="13">
        <v>200</v>
      </c>
      <c r="BK440" s="17">
        <v>44123</v>
      </c>
      <c r="BL440" s="18" t="s">
        <v>9538</v>
      </c>
      <c r="BM440" s="18" t="s">
        <v>9539</v>
      </c>
      <c r="BN440" s="18"/>
      <c r="BO440" s="18"/>
      <c r="BP440" s="14" t="s">
        <v>9540</v>
      </c>
      <c r="BQ440" s="17">
        <v>44125</v>
      </c>
      <c r="BR440" s="16"/>
      <c r="BS440" s="17"/>
      <c r="BT440" s="16"/>
      <c r="BU440" s="17"/>
      <c r="BV440" s="16"/>
      <c r="BW440" s="17"/>
      <c r="BX440" s="16"/>
      <c r="BY440" s="17"/>
      <c r="BZ440" s="19">
        <v>35.444048693005186</v>
      </c>
      <c r="CA440" s="19"/>
      <c r="CB440" s="17"/>
      <c r="CC440" s="14" t="s">
        <v>7409</v>
      </c>
      <c r="CD440" s="14" t="s">
        <v>9541</v>
      </c>
      <c r="CE440" s="14" t="s">
        <v>5521</v>
      </c>
    </row>
    <row r="441" spans="1:83" ht="26.15" customHeight="1">
      <c r="A441" s="13">
        <v>435</v>
      </c>
      <c r="B441" s="14" t="s">
        <v>217</v>
      </c>
      <c r="C441" s="14" t="s">
        <v>218</v>
      </c>
      <c r="D441" s="14" t="s">
        <v>221</v>
      </c>
      <c r="E441" s="13">
        <v>2015</v>
      </c>
      <c r="F441" s="14" t="s">
        <v>5038</v>
      </c>
      <c r="G441" s="14" t="s">
        <v>5039</v>
      </c>
      <c r="H441" s="14" t="s">
        <v>3994</v>
      </c>
      <c r="I441" s="15" t="s">
        <v>3117</v>
      </c>
      <c r="J441" s="16">
        <v>2569628</v>
      </c>
      <c r="K441" s="17">
        <v>44053</v>
      </c>
      <c r="L441" s="16" t="s">
        <v>5022</v>
      </c>
      <c r="M441" s="16">
        <v>2000000</v>
      </c>
      <c r="N441" s="14" t="s">
        <v>34</v>
      </c>
      <c r="O441" s="13">
        <v>4</v>
      </c>
      <c r="P441" s="17">
        <v>44060</v>
      </c>
      <c r="Q441" s="14"/>
      <c r="R441" s="17"/>
      <c r="S441" s="17"/>
      <c r="T441" s="14" t="s">
        <v>5493</v>
      </c>
      <c r="U441" s="14" t="s">
        <v>5494</v>
      </c>
      <c r="V441" s="14" t="s">
        <v>8131</v>
      </c>
      <c r="W441" s="14"/>
      <c r="X441" s="14" t="s">
        <v>8132</v>
      </c>
      <c r="Y441" s="14"/>
      <c r="Z441" s="14" t="s">
        <v>8133</v>
      </c>
      <c r="AA441" s="14"/>
      <c r="AB441" s="14" t="s">
        <v>3994</v>
      </c>
      <c r="AC441" s="14" t="s">
        <v>8134</v>
      </c>
      <c r="AD441" s="14" t="s">
        <v>8135</v>
      </c>
      <c r="AE441" s="14" t="s">
        <v>8136</v>
      </c>
      <c r="AF441" s="14" t="s">
        <v>8137</v>
      </c>
      <c r="AG441" s="14" t="s">
        <v>8138</v>
      </c>
      <c r="AH441" s="18"/>
      <c r="AI441" s="16">
        <v>103894</v>
      </c>
      <c r="AJ441" s="17">
        <v>43465</v>
      </c>
      <c r="AK441" s="15" t="s">
        <v>3117</v>
      </c>
      <c r="AL441" s="17">
        <v>42256</v>
      </c>
      <c r="AM441" s="16">
        <v>1500</v>
      </c>
      <c r="AN441" s="14" t="s">
        <v>8139</v>
      </c>
      <c r="AO441" s="14"/>
      <c r="AP441" s="15" t="s">
        <v>3123</v>
      </c>
      <c r="AQ441" s="14"/>
      <c r="AR441" s="17"/>
      <c r="AS441" s="16"/>
      <c r="AT441" s="14"/>
      <c r="AU441" s="15" t="s">
        <v>3123</v>
      </c>
      <c r="AV441" s="14"/>
      <c r="AW441" s="17"/>
      <c r="AX441" s="16"/>
      <c r="AY441" s="16"/>
      <c r="AZ441" s="16"/>
      <c r="BA441" s="16"/>
      <c r="BB441" s="15" t="s">
        <v>3123</v>
      </c>
      <c r="BC441" s="17"/>
      <c r="BD441" s="14"/>
      <c r="BE441" s="14"/>
      <c r="BF441" s="16"/>
      <c r="BG441" s="16"/>
      <c r="BH441" s="13"/>
      <c r="BI441" s="18" t="s">
        <v>8140</v>
      </c>
      <c r="BJ441" s="13">
        <v>200</v>
      </c>
      <c r="BK441" s="17">
        <v>44123</v>
      </c>
      <c r="BL441" s="18" t="s">
        <v>8141</v>
      </c>
      <c r="BM441" s="18" t="s">
        <v>8142</v>
      </c>
      <c r="BN441" s="18" t="s">
        <v>8143</v>
      </c>
      <c r="BO441" s="18"/>
      <c r="BP441" s="14" t="s">
        <v>8144</v>
      </c>
      <c r="BQ441" s="17">
        <v>42863</v>
      </c>
      <c r="BR441" s="16">
        <v>-267375</v>
      </c>
      <c r="BS441" s="17">
        <v>43465</v>
      </c>
      <c r="BT441" s="16">
        <v>-350714</v>
      </c>
      <c r="BU441" s="17">
        <v>43465</v>
      </c>
      <c r="BV441" s="16">
        <v>8000000</v>
      </c>
      <c r="BW441" s="17">
        <v>43812</v>
      </c>
      <c r="BX441" s="16">
        <v>24</v>
      </c>
      <c r="BY441" s="17">
        <v>44012</v>
      </c>
      <c r="BZ441" s="19">
        <v>55.033441808089066</v>
      </c>
      <c r="CA441" s="19"/>
      <c r="CB441" s="17"/>
      <c r="CC441" s="14" t="s">
        <v>7816</v>
      </c>
      <c r="CD441" s="14" t="s">
        <v>8145</v>
      </c>
      <c r="CE441" s="14" t="s">
        <v>5004</v>
      </c>
    </row>
    <row r="442" spans="1:83" ht="26.15" customHeight="1">
      <c r="A442" s="13">
        <v>436</v>
      </c>
      <c r="B442" s="14" t="s">
        <v>743</v>
      </c>
      <c r="C442" s="14" t="s">
        <v>744</v>
      </c>
      <c r="D442" s="14" t="s">
        <v>747</v>
      </c>
      <c r="E442" s="13">
        <v>2013</v>
      </c>
      <c r="F442" s="14" t="s">
        <v>5020</v>
      </c>
      <c r="G442" s="14" t="s">
        <v>5021</v>
      </c>
      <c r="H442" s="14" t="s">
        <v>3994</v>
      </c>
      <c r="I442" s="15" t="s">
        <v>3117</v>
      </c>
      <c r="J442" s="16">
        <v>17022002</v>
      </c>
      <c r="K442" s="17">
        <v>43750</v>
      </c>
      <c r="L442" s="16" t="s">
        <v>5022</v>
      </c>
      <c r="M442" s="16">
        <v>2386360</v>
      </c>
      <c r="N442" s="14" t="s">
        <v>25</v>
      </c>
      <c r="O442" s="13">
        <v>5</v>
      </c>
      <c r="P442" s="17">
        <v>44008</v>
      </c>
      <c r="Q442" s="14" t="s">
        <v>5052</v>
      </c>
      <c r="R442" s="17">
        <v>44054</v>
      </c>
      <c r="S442" s="17">
        <v>43750</v>
      </c>
      <c r="T442" s="14" t="s">
        <v>1</v>
      </c>
      <c r="U442" s="14" t="s">
        <v>5007</v>
      </c>
      <c r="V442" s="14" t="s">
        <v>257</v>
      </c>
      <c r="W442" s="14"/>
      <c r="X442" s="14" t="s">
        <v>8146</v>
      </c>
      <c r="Y442" s="14" t="s">
        <v>8147</v>
      </c>
      <c r="Z442" s="14" t="s">
        <v>8148</v>
      </c>
      <c r="AA442" s="14"/>
      <c r="AB442" s="14" t="s">
        <v>3994</v>
      </c>
      <c r="AC442" s="14" t="s">
        <v>8149</v>
      </c>
      <c r="AD442" s="14" t="s">
        <v>8150</v>
      </c>
      <c r="AE442" s="14" t="s">
        <v>8151</v>
      </c>
      <c r="AF442" s="14" t="s">
        <v>8152</v>
      </c>
      <c r="AG442" s="14" t="s">
        <v>8153</v>
      </c>
      <c r="AH442" s="18"/>
      <c r="AI442" s="16">
        <v>1173648</v>
      </c>
      <c r="AJ442" s="17">
        <v>43465</v>
      </c>
      <c r="AK442" s="15" t="s">
        <v>3117</v>
      </c>
      <c r="AL442" s="17">
        <v>41347</v>
      </c>
      <c r="AM442" s="16">
        <v>1839</v>
      </c>
      <c r="AN442" s="14" t="s">
        <v>8154</v>
      </c>
      <c r="AO442" s="14"/>
      <c r="AP442" s="15" t="s">
        <v>3123</v>
      </c>
      <c r="AQ442" s="14"/>
      <c r="AR442" s="17"/>
      <c r="AS442" s="16"/>
      <c r="AT442" s="14"/>
      <c r="AU442" s="15" t="s">
        <v>3123</v>
      </c>
      <c r="AV442" s="14"/>
      <c r="AW442" s="17"/>
      <c r="AX442" s="16"/>
      <c r="AY442" s="16"/>
      <c r="AZ442" s="16"/>
      <c r="BA442" s="16"/>
      <c r="BB442" s="15" t="s">
        <v>3123</v>
      </c>
      <c r="BC442" s="17"/>
      <c r="BD442" s="14"/>
      <c r="BE442" s="14"/>
      <c r="BF442" s="16"/>
      <c r="BG442" s="16"/>
      <c r="BH442" s="13"/>
      <c r="BI442" s="18" t="s">
        <v>8155</v>
      </c>
      <c r="BJ442" s="13">
        <v>200</v>
      </c>
      <c r="BK442" s="17">
        <v>44123</v>
      </c>
      <c r="BL442" s="18" t="s">
        <v>8156</v>
      </c>
      <c r="BM442" s="18" t="s">
        <v>8157</v>
      </c>
      <c r="BN442" s="18" t="s">
        <v>8158</v>
      </c>
      <c r="BO442" s="18" t="s">
        <v>8159</v>
      </c>
      <c r="BP442" s="14" t="s">
        <v>8160</v>
      </c>
      <c r="BQ442" s="17">
        <v>42601</v>
      </c>
      <c r="BR442" s="16">
        <v>-2655803</v>
      </c>
      <c r="BS442" s="17">
        <v>43465</v>
      </c>
      <c r="BT442" s="16">
        <v>-2497716</v>
      </c>
      <c r="BU442" s="17">
        <v>43465</v>
      </c>
      <c r="BV442" s="16">
        <v>50000000</v>
      </c>
      <c r="BW442" s="17">
        <v>43750</v>
      </c>
      <c r="BX442" s="16">
        <v>93</v>
      </c>
      <c r="BY442" s="17">
        <v>44104</v>
      </c>
      <c r="BZ442" s="19">
        <v>53.746238555836605</v>
      </c>
      <c r="CA442" s="19"/>
      <c r="CB442" s="17"/>
      <c r="CC442" s="14" t="s">
        <v>6540</v>
      </c>
      <c r="CD442" s="14" t="s">
        <v>6629</v>
      </c>
      <c r="CE442" s="14" t="s">
        <v>5004</v>
      </c>
    </row>
    <row r="443" spans="1:83" ht="26.15" customHeight="1">
      <c r="A443" s="13">
        <v>437</v>
      </c>
      <c r="B443" s="14" t="s">
        <v>2157</v>
      </c>
      <c r="C443" s="14" t="s">
        <v>2158</v>
      </c>
      <c r="D443" s="14" t="s">
        <v>2161</v>
      </c>
      <c r="E443" s="13">
        <v>2014</v>
      </c>
      <c r="F443" s="14" t="s">
        <v>5038</v>
      </c>
      <c r="G443" s="14" t="s">
        <v>5039</v>
      </c>
      <c r="H443" s="14" t="s">
        <v>3994</v>
      </c>
      <c r="I443" s="15" t="s">
        <v>3117</v>
      </c>
      <c r="J443" s="16">
        <v>239863</v>
      </c>
      <c r="K443" s="17">
        <v>42825</v>
      </c>
      <c r="L443" s="16" t="s">
        <v>9542</v>
      </c>
      <c r="M443" s="16">
        <v>113399</v>
      </c>
      <c r="N443" s="14" t="s">
        <v>34</v>
      </c>
      <c r="O443" s="13"/>
      <c r="P443" s="17"/>
      <c r="Q443" s="14"/>
      <c r="R443" s="17"/>
      <c r="S443" s="17"/>
      <c r="T443" s="14" t="s">
        <v>5041</v>
      </c>
      <c r="U443" s="14" t="s">
        <v>5042</v>
      </c>
      <c r="V443" s="14" t="s">
        <v>7413</v>
      </c>
      <c r="W443" s="14"/>
      <c r="X443" s="14" t="s">
        <v>9543</v>
      </c>
      <c r="Y443" s="14" t="s">
        <v>9544</v>
      </c>
      <c r="Z443" s="14" t="s">
        <v>9545</v>
      </c>
      <c r="AA443" s="14"/>
      <c r="AB443" s="14" t="s">
        <v>3994</v>
      </c>
      <c r="AC443" s="14"/>
      <c r="AD443" s="14"/>
      <c r="AE443" s="14" t="s">
        <v>9546</v>
      </c>
      <c r="AF443" s="14" t="s">
        <v>9547</v>
      </c>
      <c r="AG443" s="14" t="s">
        <v>9548</v>
      </c>
      <c r="AH443" s="18" t="s">
        <v>9549</v>
      </c>
      <c r="AI443" s="16">
        <v>48100</v>
      </c>
      <c r="AJ443" s="17">
        <v>43100</v>
      </c>
      <c r="AK443" s="15" t="s">
        <v>3117</v>
      </c>
      <c r="AL443" s="17">
        <v>41899</v>
      </c>
      <c r="AM443" s="16">
        <v>6543</v>
      </c>
      <c r="AN443" s="14" t="s">
        <v>9550</v>
      </c>
      <c r="AO443" s="14"/>
      <c r="AP443" s="15" t="s">
        <v>3123</v>
      </c>
      <c r="AQ443" s="14"/>
      <c r="AR443" s="17"/>
      <c r="AS443" s="16"/>
      <c r="AT443" s="14"/>
      <c r="AU443" s="15" t="s">
        <v>3123</v>
      </c>
      <c r="AV443" s="14"/>
      <c r="AW443" s="17"/>
      <c r="AX443" s="16"/>
      <c r="AY443" s="16"/>
      <c r="AZ443" s="16"/>
      <c r="BA443" s="16"/>
      <c r="BB443" s="15" t="s">
        <v>3123</v>
      </c>
      <c r="BC443" s="17"/>
      <c r="BD443" s="14"/>
      <c r="BE443" s="14"/>
      <c r="BF443" s="16"/>
      <c r="BG443" s="16"/>
      <c r="BH443" s="13"/>
      <c r="BI443" s="18" t="s">
        <v>9551</v>
      </c>
      <c r="BJ443" s="13">
        <v>200</v>
      </c>
      <c r="BK443" s="17">
        <v>44137</v>
      </c>
      <c r="BL443" s="18" t="s">
        <v>9552</v>
      </c>
      <c r="BM443" s="18"/>
      <c r="BN443" s="18" t="s">
        <v>9553</v>
      </c>
      <c r="BO443" s="18"/>
      <c r="BP443" s="14" t="s">
        <v>9554</v>
      </c>
      <c r="BQ443" s="17">
        <v>42929</v>
      </c>
      <c r="BR443" s="16">
        <v>-64200</v>
      </c>
      <c r="BS443" s="17">
        <v>43100</v>
      </c>
      <c r="BT443" s="16">
        <v>-6500</v>
      </c>
      <c r="BU443" s="17">
        <v>43100</v>
      </c>
      <c r="BV443" s="16"/>
      <c r="BW443" s="17"/>
      <c r="BX443" s="16"/>
      <c r="BY443" s="17"/>
      <c r="BZ443" s="19">
        <v>31.159558563273517</v>
      </c>
      <c r="CA443" s="19"/>
      <c r="CB443" s="17"/>
      <c r="CC443" s="14" t="s">
        <v>5036</v>
      </c>
      <c r="CD443" s="14" t="s">
        <v>5962</v>
      </c>
      <c r="CE443" s="14" t="s">
        <v>5945</v>
      </c>
    </row>
    <row r="444" spans="1:83" ht="26.15" hidden="1" customHeight="1">
      <c r="A444" s="13">
        <v>438</v>
      </c>
      <c r="B444" s="14" t="s">
        <v>2030</v>
      </c>
      <c r="C444" s="14" t="s">
        <v>2031</v>
      </c>
      <c r="D444" s="14" t="s">
        <v>2034</v>
      </c>
      <c r="E444" s="13">
        <v>2013</v>
      </c>
      <c r="F444" s="14" t="s">
        <v>5050</v>
      </c>
      <c r="G444" s="14" t="s">
        <v>5050</v>
      </c>
      <c r="H444" s="14" t="s">
        <v>4343</v>
      </c>
      <c r="I444" s="15" t="s">
        <v>3117</v>
      </c>
      <c r="J444" s="16">
        <v>22000000</v>
      </c>
      <c r="K444" s="17">
        <v>42941</v>
      </c>
      <c r="L444" s="16" t="s">
        <v>5755</v>
      </c>
      <c r="M444" s="16">
        <v>15000000</v>
      </c>
      <c r="N444" s="14" t="s">
        <v>25</v>
      </c>
      <c r="O444" s="13">
        <v>5</v>
      </c>
      <c r="P444" s="17">
        <v>44057</v>
      </c>
      <c r="Q444" s="14" t="s">
        <v>5052</v>
      </c>
      <c r="R444" s="17">
        <v>43248</v>
      </c>
      <c r="S444" s="17">
        <v>42577</v>
      </c>
      <c r="T444" s="14" t="s">
        <v>6605</v>
      </c>
      <c r="U444" s="14" t="s">
        <v>6606</v>
      </c>
      <c r="V444" s="14" t="s">
        <v>6607</v>
      </c>
      <c r="W444" s="14"/>
      <c r="X444" s="14" t="s">
        <v>8184</v>
      </c>
      <c r="Y444" s="14"/>
      <c r="Z444" s="14" t="s">
        <v>8185</v>
      </c>
      <c r="AA444" s="14"/>
      <c r="AB444" s="14" t="s">
        <v>4343</v>
      </c>
      <c r="AC444" s="14" t="s">
        <v>8186</v>
      </c>
      <c r="AD444" s="14"/>
      <c r="AE444" s="14" t="s">
        <v>8187</v>
      </c>
      <c r="AF444" s="14" t="s">
        <v>8188</v>
      </c>
      <c r="AG444" s="14" t="s">
        <v>8189</v>
      </c>
      <c r="AH444" s="18" t="s">
        <v>8190</v>
      </c>
      <c r="AI444" s="16"/>
      <c r="AJ444" s="17"/>
      <c r="AK444" s="15" t="s">
        <v>3123</v>
      </c>
      <c r="AL444" s="17"/>
      <c r="AM444" s="16"/>
      <c r="AN444" s="14"/>
      <c r="AO444" s="14"/>
      <c r="AP444" s="15" t="s">
        <v>3123</v>
      </c>
      <c r="AQ444" s="14"/>
      <c r="AR444" s="17"/>
      <c r="AS444" s="16"/>
      <c r="AT444" s="14"/>
      <c r="AU444" s="15" t="s">
        <v>3123</v>
      </c>
      <c r="AV444" s="14"/>
      <c r="AW444" s="17"/>
      <c r="AX444" s="16"/>
      <c r="AY444" s="16"/>
      <c r="AZ444" s="16"/>
      <c r="BA444" s="16"/>
      <c r="BB444" s="15" t="s">
        <v>3123</v>
      </c>
      <c r="BC444" s="17"/>
      <c r="BD444" s="14"/>
      <c r="BE444" s="14"/>
      <c r="BF444" s="16"/>
      <c r="BG444" s="16"/>
      <c r="BH444" s="13"/>
      <c r="BI444" s="18" t="s">
        <v>8191</v>
      </c>
      <c r="BJ444" s="13">
        <v>200</v>
      </c>
      <c r="BK444" s="17">
        <v>44122</v>
      </c>
      <c r="BL444" s="18" t="s">
        <v>8192</v>
      </c>
      <c r="BM444" s="18" t="s">
        <v>8193</v>
      </c>
      <c r="BN444" s="18" t="s">
        <v>8194</v>
      </c>
      <c r="BO444" s="18"/>
      <c r="BP444" s="14" t="s">
        <v>8195</v>
      </c>
      <c r="BQ444" s="17">
        <v>42929</v>
      </c>
      <c r="BR444" s="16"/>
      <c r="BS444" s="17"/>
      <c r="BT444" s="16"/>
      <c r="BU444" s="17"/>
      <c r="BV444" s="16"/>
      <c r="BW444" s="17"/>
      <c r="BX444" s="16"/>
      <c r="BY444" s="17"/>
      <c r="BZ444" s="19">
        <v>51.90438698173493</v>
      </c>
      <c r="CA444" s="19"/>
      <c r="CB444" s="17"/>
      <c r="CC444" s="14" t="s">
        <v>7551</v>
      </c>
      <c r="CD444" s="14" t="s">
        <v>6002</v>
      </c>
      <c r="CE444" s="14" t="s">
        <v>6074</v>
      </c>
    </row>
    <row r="445" spans="1:83" ht="26.15" customHeight="1">
      <c r="A445" s="13">
        <v>439</v>
      </c>
      <c r="B445" s="14" t="s">
        <v>878</v>
      </c>
      <c r="C445" s="14" t="s">
        <v>879</v>
      </c>
      <c r="D445" s="14" t="s">
        <v>883</v>
      </c>
      <c r="E445" s="13">
        <v>2015</v>
      </c>
      <c r="F445" s="14" t="s">
        <v>5005</v>
      </c>
      <c r="G445" s="14" t="s">
        <v>5006</v>
      </c>
      <c r="H445" s="14" t="s">
        <v>3994</v>
      </c>
      <c r="I445" s="15" t="s">
        <v>3117</v>
      </c>
      <c r="J445" s="16">
        <v>9059375</v>
      </c>
      <c r="K445" s="17">
        <v>43701</v>
      </c>
      <c r="L445" s="16" t="s">
        <v>5022</v>
      </c>
      <c r="M445" s="16">
        <v>2226700</v>
      </c>
      <c r="N445" s="14" t="s">
        <v>109</v>
      </c>
      <c r="O445" s="13">
        <v>4</v>
      </c>
      <c r="P445" s="17">
        <v>44033</v>
      </c>
      <c r="Q445" s="14" t="s">
        <v>5052</v>
      </c>
      <c r="R445" s="17">
        <v>43941</v>
      </c>
      <c r="S445" s="17">
        <v>43178</v>
      </c>
      <c r="T445" s="14" t="s">
        <v>4995</v>
      </c>
      <c r="U445" s="14" t="s">
        <v>4996</v>
      </c>
      <c r="V445" s="14" t="s">
        <v>5418</v>
      </c>
      <c r="W445" s="14"/>
      <c r="X445" s="14" t="s">
        <v>8196</v>
      </c>
      <c r="Y445" s="14" t="s">
        <v>8197</v>
      </c>
      <c r="Z445" s="14" t="s">
        <v>8198</v>
      </c>
      <c r="AA445" s="14"/>
      <c r="AB445" s="14" t="s">
        <v>3994</v>
      </c>
      <c r="AC445" s="14"/>
      <c r="AD445" s="14" t="s">
        <v>8199</v>
      </c>
      <c r="AE445" s="14" t="s">
        <v>8200</v>
      </c>
      <c r="AF445" s="14" t="s">
        <v>8201</v>
      </c>
      <c r="AG445" s="14" t="s">
        <v>8202</v>
      </c>
      <c r="AH445" s="18" t="s">
        <v>8203</v>
      </c>
      <c r="AI445" s="16">
        <v>4087400</v>
      </c>
      <c r="AJ445" s="17">
        <v>43465</v>
      </c>
      <c r="AK445" s="15" t="s">
        <v>3117</v>
      </c>
      <c r="AL445" s="17">
        <v>42144</v>
      </c>
      <c r="AM445" s="16">
        <v>1566</v>
      </c>
      <c r="AN445" s="14" t="s">
        <v>8204</v>
      </c>
      <c r="AO445" s="14"/>
      <c r="AP445" s="15" t="s">
        <v>3123</v>
      </c>
      <c r="AQ445" s="14"/>
      <c r="AR445" s="17"/>
      <c r="AS445" s="16"/>
      <c r="AT445" s="14"/>
      <c r="AU445" s="15" t="s">
        <v>3123</v>
      </c>
      <c r="AV445" s="14"/>
      <c r="AW445" s="17"/>
      <c r="AX445" s="16"/>
      <c r="AY445" s="16"/>
      <c r="AZ445" s="16"/>
      <c r="BA445" s="16"/>
      <c r="BB445" s="15" t="s">
        <v>3123</v>
      </c>
      <c r="BC445" s="17"/>
      <c r="BD445" s="14"/>
      <c r="BE445" s="14"/>
      <c r="BF445" s="16"/>
      <c r="BG445" s="16"/>
      <c r="BH445" s="13"/>
      <c r="BI445" s="18" t="s">
        <v>8205</v>
      </c>
      <c r="BJ445" s="13">
        <v>200</v>
      </c>
      <c r="BK445" s="17">
        <v>44122</v>
      </c>
      <c r="BL445" s="18" t="s">
        <v>8206</v>
      </c>
      <c r="BM445" s="18" t="s">
        <v>8207</v>
      </c>
      <c r="BN445" s="18" t="s">
        <v>8208</v>
      </c>
      <c r="BO445" s="18"/>
      <c r="BP445" s="14" t="s">
        <v>8209</v>
      </c>
      <c r="BQ445" s="17">
        <v>42602</v>
      </c>
      <c r="BR445" s="16">
        <v>-1037200</v>
      </c>
      <c r="BS445" s="17">
        <v>43465</v>
      </c>
      <c r="BT445" s="16">
        <v>-955600</v>
      </c>
      <c r="BU445" s="17">
        <v>43465</v>
      </c>
      <c r="BV445" s="16">
        <v>20000000</v>
      </c>
      <c r="BW445" s="17">
        <v>43701</v>
      </c>
      <c r="BX445" s="16">
        <v>70</v>
      </c>
      <c r="BY445" s="17">
        <v>44012</v>
      </c>
      <c r="BZ445" s="19">
        <v>61.840213692403182</v>
      </c>
      <c r="CA445" s="19"/>
      <c r="CB445" s="17"/>
      <c r="CC445" s="14" t="s">
        <v>6487</v>
      </c>
      <c r="CD445" s="14" t="s">
        <v>5944</v>
      </c>
      <c r="CE445" s="14" t="s">
        <v>5945</v>
      </c>
    </row>
    <row r="446" spans="1:83" ht="26.15" hidden="1" customHeight="1">
      <c r="A446" s="13">
        <v>440</v>
      </c>
      <c r="B446" s="14" t="s">
        <v>2840</v>
      </c>
      <c r="C446" s="14" t="s">
        <v>2841</v>
      </c>
      <c r="D446" s="14" t="s">
        <v>2843</v>
      </c>
      <c r="E446" s="13">
        <v>2015</v>
      </c>
      <c r="F446" s="14" t="s">
        <v>7250</v>
      </c>
      <c r="G446" s="14" t="s">
        <v>6004</v>
      </c>
      <c r="H446" s="14" t="s">
        <v>4343</v>
      </c>
      <c r="I446" s="15" t="s">
        <v>3117</v>
      </c>
      <c r="J446" s="16"/>
      <c r="K446" s="17">
        <v>41809</v>
      </c>
      <c r="L446" s="16" t="s">
        <v>6298</v>
      </c>
      <c r="M446" s="16">
        <v>20000</v>
      </c>
      <c r="N446" s="14" t="s">
        <v>5040</v>
      </c>
      <c r="O446" s="13">
        <v>2</v>
      </c>
      <c r="P446" s="17">
        <v>44048</v>
      </c>
      <c r="Q446" s="14"/>
      <c r="R446" s="17"/>
      <c r="S446" s="17"/>
      <c r="T446" s="14" t="s">
        <v>1</v>
      </c>
      <c r="U446" s="14" t="s">
        <v>5007</v>
      </c>
      <c r="V446" s="14" t="s">
        <v>6667</v>
      </c>
      <c r="W446" s="14"/>
      <c r="X446" s="14" t="s">
        <v>4797</v>
      </c>
      <c r="Y446" s="14"/>
      <c r="Z446" s="14" t="s">
        <v>9555</v>
      </c>
      <c r="AA446" s="14"/>
      <c r="AB446" s="14" t="s">
        <v>4343</v>
      </c>
      <c r="AC446" s="14"/>
      <c r="AD446" s="14"/>
      <c r="AE446" s="14" t="s">
        <v>9084</v>
      </c>
      <c r="AF446" s="14" t="s">
        <v>9085</v>
      </c>
      <c r="AG446" s="14" t="s">
        <v>9086</v>
      </c>
      <c r="AH446" s="18" t="s">
        <v>9556</v>
      </c>
      <c r="AI446" s="16"/>
      <c r="AJ446" s="17"/>
      <c r="AK446" s="15" t="s">
        <v>3123</v>
      </c>
      <c r="AL446" s="17"/>
      <c r="AM446" s="16"/>
      <c r="AN446" s="14"/>
      <c r="AO446" s="14"/>
      <c r="AP446" s="15" t="s">
        <v>3123</v>
      </c>
      <c r="AQ446" s="14"/>
      <c r="AR446" s="17"/>
      <c r="AS446" s="16"/>
      <c r="AT446" s="14"/>
      <c r="AU446" s="15" t="s">
        <v>3123</v>
      </c>
      <c r="AV446" s="14"/>
      <c r="AW446" s="17"/>
      <c r="AX446" s="16"/>
      <c r="AY446" s="16"/>
      <c r="AZ446" s="16"/>
      <c r="BA446" s="16"/>
      <c r="BB446" s="15" t="s">
        <v>3123</v>
      </c>
      <c r="BC446" s="17"/>
      <c r="BD446" s="14" t="s">
        <v>2855</v>
      </c>
      <c r="BE446" s="14"/>
      <c r="BF446" s="16"/>
      <c r="BG446" s="16"/>
      <c r="BH446" s="13"/>
      <c r="BI446" s="18" t="s">
        <v>9557</v>
      </c>
      <c r="BJ446" s="13">
        <v>-1</v>
      </c>
      <c r="BK446" s="17">
        <v>44122</v>
      </c>
      <c r="BL446" s="18" t="s">
        <v>9558</v>
      </c>
      <c r="BM446" s="18" t="s">
        <v>9559</v>
      </c>
      <c r="BN446" s="18"/>
      <c r="BO446" s="18"/>
      <c r="BP446" s="14" t="s">
        <v>9560</v>
      </c>
      <c r="BQ446" s="17">
        <v>43031</v>
      </c>
      <c r="BR446" s="16"/>
      <c r="BS446" s="17"/>
      <c r="BT446" s="16"/>
      <c r="BU446" s="17"/>
      <c r="BV446" s="16"/>
      <c r="BW446" s="17"/>
      <c r="BX446" s="16"/>
      <c r="BY446" s="17"/>
      <c r="BZ446" s="19">
        <v>9.3847583234607548</v>
      </c>
      <c r="CA446" s="19"/>
      <c r="CB446" s="17"/>
      <c r="CC446" s="14" t="s">
        <v>5541</v>
      </c>
      <c r="CD446" s="14" t="s">
        <v>6523</v>
      </c>
      <c r="CE446" s="14" t="s">
        <v>5945</v>
      </c>
    </row>
    <row r="447" spans="1:83" ht="26.15" customHeight="1">
      <c r="A447" s="13">
        <v>441</v>
      </c>
      <c r="B447" s="14" t="s">
        <v>322</v>
      </c>
      <c r="C447" s="14" t="s">
        <v>323</v>
      </c>
      <c r="D447" s="14" t="s">
        <v>327</v>
      </c>
      <c r="E447" s="13">
        <v>2013</v>
      </c>
      <c r="F447" s="14" t="s">
        <v>5038</v>
      </c>
      <c r="G447" s="14" t="s">
        <v>5039</v>
      </c>
      <c r="H447" s="14" t="s">
        <v>3994</v>
      </c>
      <c r="I447" s="15" t="s">
        <v>3117</v>
      </c>
      <c r="J447" s="16">
        <v>814923</v>
      </c>
      <c r="K447" s="17">
        <v>43990</v>
      </c>
      <c r="L447" s="16" t="s">
        <v>8210</v>
      </c>
      <c r="M447" s="16">
        <v>66424</v>
      </c>
      <c r="N447" s="14" t="s">
        <v>34</v>
      </c>
      <c r="O447" s="13">
        <v>5</v>
      </c>
      <c r="P447" s="17">
        <v>44003</v>
      </c>
      <c r="Q447" s="14"/>
      <c r="R447" s="17"/>
      <c r="S447" s="17"/>
      <c r="T447" s="14" t="s">
        <v>6857</v>
      </c>
      <c r="U447" s="14" t="s">
        <v>6858</v>
      </c>
      <c r="V447" s="14" t="s">
        <v>8211</v>
      </c>
      <c r="W447" s="14"/>
      <c r="X447" s="14" t="s">
        <v>8212</v>
      </c>
      <c r="Y447" s="14" t="s">
        <v>8213</v>
      </c>
      <c r="Z447" s="14" t="s">
        <v>8214</v>
      </c>
      <c r="AA447" s="14"/>
      <c r="AB447" s="14" t="s">
        <v>3994</v>
      </c>
      <c r="AC447" s="14" t="s">
        <v>8215</v>
      </c>
      <c r="AD447" s="14" t="s">
        <v>8216</v>
      </c>
      <c r="AE447" s="14" t="s">
        <v>8217</v>
      </c>
      <c r="AF447" s="14" t="s">
        <v>8218</v>
      </c>
      <c r="AG447" s="14" t="s">
        <v>8219</v>
      </c>
      <c r="AH447" s="18"/>
      <c r="AI447" s="16">
        <v>538700</v>
      </c>
      <c r="AJ447" s="17">
        <v>43465</v>
      </c>
      <c r="AK447" s="15" t="s">
        <v>3117</v>
      </c>
      <c r="AL447" s="17">
        <v>41543</v>
      </c>
      <c r="AM447" s="16">
        <v>1599</v>
      </c>
      <c r="AN447" s="14" t="s">
        <v>8220</v>
      </c>
      <c r="AO447" s="14"/>
      <c r="AP447" s="15" t="s">
        <v>3123</v>
      </c>
      <c r="AQ447" s="14"/>
      <c r="AR447" s="17"/>
      <c r="AS447" s="16"/>
      <c r="AT447" s="14"/>
      <c r="AU447" s="15" t="s">
        <v>3123</v>
      </c>
      <c r="AV447" s="14"/>
      <c r="AW447" s="17"/>
      <c r="AX447" s="16"/>
      <c r="AY447" s="16"/>
      <c r="AZ447" s="16"/>
      <c r="BA447" s="16"/>
      <c r="BB447" s="15" t="s">
        <v>3123</v>
      </c>
      <c r="BC447" s="17"/>
      <c r="BD447" s="14"/>
      <c r="BE447" s="14"/>
      <c r="BF447" s="16"/>
      <c r="BG447" s="16"/>
      <c r="BH447" s="13"/>
      <c r="BI447" s="18" t="s">
        <v>8221</v>
      </c>
      <c r="BJ447" s="13">
        <v>200</v>
      </c>
      <c r="BK447" s="17">
        <v>44122</v>
      </c>
      <c r="BL447" s="18" t="s">
        <v>8222</v>
      </c>
      <c r="BM447" s="18" t="s">
        <v>8223</v>
      </c>
      <c r="BN447" s="18" t="s">
        <v>8224</v>
      </c>
      <c r="BO447" s="18"/>
      <c r="BP447" s="14" t="s">
        <v>8225</v>
      </c>
      <c r="BQ447" s="17">
        <v>42256</v>
      </c>
      <c r="BR447" s="16">
        <v>-503</v>
      </c>
      <c r="BS447" s="17">
        <v>43465</v>
      </c>
      <c r="BT447" s="16">
        <v>111000</v>
      </c>
      <c r="BU447" s="17">
        <v>43465</v>
      </c>
      <c r="BV447" s="16">
        <v>3902892.0783642828</v>
      </c>
      <c r="BW447" s="17">
        <v>43990</v>
      </c>
      <c r="BX447" s="16">
        <v>33</v>
      </c>
      <c r="BY447" s="17">
        <v>44012</v>
      </c>
      <c r="BZ447" s="19">
        <v>51.065203116962941</v>
      </c>
      <c r="CA447" s="19"/>
      <c r="CB447" s="17"/>
      <c r="CC447" s="14" t="s">
        <v>6365</v>
      </c>
      <c r="CD447" s="14" t="s">
        <v>8226</v>
      </c>
      <c r="CE447" s="14" t="s">
        <v>5004</v>
      </c>
    </row>
    <row r="448" spans="1:83" ht="26.15" customHeight="1">
      <c r="A448" s="13">
        <v>442</v>
      </c>
      <c r="B448" s="14" t="s">
        <v>2382</v>
      </c>
      <c r="C448" s="14" t="s">
        <v>2383</v>
      </c>
      <c r="D448" s="14" t="s">
        <v>2384</v>
      </c>
      <c r="E448" s="13">
        <v>2013</v>
      </c>
      <c r="F448" s="14" t="s">
        <v>5803</v>
      </c>
      <c r="G448" s="14" t="s">
        <v>5804</v>
      </c>
      <c r="H448" s="14" t="s">
        <v>5208</v>
      </c>
      <c r="I448" s="15" t="s">
        <v>3117</v>
      </c>
      <c r="J448" s="16">
        <v>707610</v>
      </c>
      <c r="K448" s="17">
        <v>42527</v>
      </c>
      <c r="L448" s="16" t="s">
        <v>9561</v>
      </c>
      <c r="M448" s="16">
        <v>707614</v>
      </c>
      <c r="N448" s="14" t="s">
        <v>34</v>
      </c>
      <c r="O448" s="13">
        <v>4</v>
      </c>
      <c r="P448" s="17">
        <v>44083</v>
      </c>
      <c r="Q448" s="14"/>
      <c r="R448" s="17"/>
      <c r="S448" s="17"/>
      <c r="T448" s="14" t="s">
        <v>5947</v>
      </c>
      <c r="U448" s="14" t="s">
        <v>6335</v>
      </c>
      <c r="V448" s="14" t="s">
        <v>6336</v>
      </c>
      <c r="W448" s="14"/>
      <c r="X448" s="14" t="s">
        <v>588</v>
      </c>
      <c r="Y448" s="14"/>
      <c r="Z448" s="14" t="s">
        <v>9562</v>
      </c>
      <c r="AA448" s="14"/>
      <c r="AB448" s="14" t="s">
        <v>5208</v>
      </c>
      <c r="AC448" s="14"/>
      <c r="AD448" s="14"/>
      <c r="AE448" s="14" t="s">
        <v>9563</v>
      </c>
      <c r="AF448" s="14" t="s">
        <v>9564</v>
      </c>
      <c r="AG448" s="14" t="s">
        <v>9565</v>
      </c>
      <c r="AH448" s="18" t="s">
        <v>9566</v>
      </c>
      <c r="AI448" s="16"/>
      <c r="AJ448" s="17"/>
      <c r="AK448" s="15" t="s">
        <v>3123</v>
      </c>
      <c r="AL448" s="17"/>
      <c r="AM448" s="16"/>
      <c r="AN448" s="14"/>
      <c r="AO448" s="14"/>
      <c r="AP448" s="15" t="s">
        <v>3123</v>
      </c>
      <c r="AQ448" s="14"/>
      <c r="AR448" s="17"/>
      <c r="AS448" s="16"/>
      <c r="AT448" s="14"/>
      <c r="AU448" s="15" t="s">
        <v>3123</v>
      </c>
      <c r="AV448" s="14"/>
      <c r="AW448" s="17"/>
      <c r="AX448" s="16"/>
      <c r="AY448" s="16"/>
      <c r="AZ448" s="16"/>
      <c r="BA448" s="16"/>
      <c r="BB448" s="15" t="s">
        <v>3123</v>
      </c>
      <c r="BC448" s="17"/>
      <c r="BD448" s="14"/>
      <c r="BE448" s="14"/>
      <c r="BF448" s="16"/>
      <c r="BG448" s="16"/>
      <c r="BH448" s="13"/>
      <c r="BI448" s="18" t="s">
        <v>9567</v>
      </c>
      <c r="BJ448" s="13">
        <v>200</v>
      </c>
      <c r="BK448" s="17">
        <v>44122</v>
      </c>
      <c r="BL448" s="18" t="s">
        <v>9568</v>
      </c>
      <c r="BM448" s="18"/>
      <c r="BN448" s="18" t="s">
        <v>9569</v>
      </c>
      <c r="BO448" s="18"/>
      <c r="BP448" s="14" t="s">
        <v>9570</v>
      </c>
      <c r="BQ448" s="17">
        <v>42929</v>
      </c>
      <c r="BR448" s="16"/>
      <c r="BS448" s="17"/>
      <c r="BT448" s="16"/>
      <c r="BU448" s="17"/>
      <c r="BV448" s="16"/>
      <c r="BW448" s="17"/>
      <c r="BX448" s="16"/>
      <c r="BY448" s="17"/>
      <c r="BZ448" s="19">
        <v>20.286104351288895</v>
      </c>
      <c r="CA448" s="19"/>
      <c r="CB448" s="17"/>
      <c r="CC448" s="14" t="s">
        <v>7284</v>
      </c>
      <c r="CD448" s="14" t="s">
        <v>6002</v>
      </c>
      <c r="CE448" s="14" t="s">
        <v>5945</v>
      </c>
    </row>
    <row r="449" spans="1:83" ht="26.15" customHeight="1">
      <c r="A449" s="13">
        <v>443</v>
      </c>
      <c r="B449" s="14" t="s">
        <v>2237</v>
      </c>
      <c r="C449" s="14" t="s">
        <v>2238</v>
      </c>
      <c r="D449" s="14" t="s">
        <v>2240</v>
      </c>
      <c r="E449" s="13">
        <v>2014</v>
      </c>
      <c r="F449" s="14" t="s">
        <v>4993</v>
      </c>
      <c r="G449" s="14" t="s">
        <v>4994</v>
      </c>
      <c r="H449" s="14" t="s">
        <v>2057</v>
      </c>
      <c r="I449" s="15" t="s">
        <v>3117</v>
      </c>
      <c r="J449" s="16">
        <v>1800000</v>
      </c>
      <c r="K449" s="17">
        <v>42695</v>
      </c>
      <c r="L449" s="16" t="s">
        <v>5022</v>
      </c>
      <c r="M449" s="16">
        <v>1800000</v>
      </c>
      <c r="N449" s="14" t="s">
        <v>109</v>
      </c>
      <c r="O449" s="13">
        <v>2</v>
      </c>
      <c r="P449" s="17">
        <v>44011</v>
      </c>
      <c r="Q449" s="14"/>
      <c r="R449" s="17"/>
      <c r="S449" s="17"/>
      <c r="T449" s="14" t="s">
        <v>5426</v>
      </c>
      <c r="U449" s="14" t="s">
        <v>6018</v>
      </c>
      <c r="V449" s="14" t="s">
        <v>9571</v>
      </c>
      <c r="W449" s="14"/>
      <c r="X449" s="14" t="s">
        <v>9572</v>
      </c>
      <c r="Y449" s="14"/>
      <c r="Z449" s="14" t="s">
        <v>9573</v>
      </c>
      <c r="AA449" s="14"/>
      <c r="AB449" s="14" t="s">
        <v>2057</v>
      </c>
      <c r="AC449" s="14"/>
      <c r="AD449" s="14" t="s">
        <v>9574</v>
      </c>
      <c r="AE449" s="14" t="s">
        <v>9575</v>
      </c>
      <c r="AF449" s="14"/>
      <c r="AG449" s="14"/>
      <c r="AH449" s="18" t="s">
        <v>9576</v>
      </c>
      <c r="AI449" s="16"/>
      <c r="AJ449" s="17"/>
      <c r="AK449" s="15" t="s">
        <v>3123</v>
      </c>
      <c r="AL449" s="17"/>
      <c r="AM449" s="16"/>
      <c r="AN449" s="14"/>
      <c r="AO449" s="14"/>
      <c r="AP449" s="15" t="s">
        <v>3123</v>
      </c>
      <c r="AQ449" s="14"/>
      <c r="AR449" s="17"/>
      <c r="AS449" s="16"/>
      <c r="AT449" s="14"/>
      <c r="AU449" s="15" t="s">
        <v>3123</v>
      </c>
      <c r="AV449" s="14"/>
      <c r="AW449" s="17"/>
      <c r="AX449" s="16"/>
      <c r="AY449" s="16"/>
      <c r="AZ449" s="16"/>
      <c r="BA449" s="16"/>
      <c r="BB449" s="15" t="s">
        <v>3123</v>
      </c>
      <c r="BC449" s="17"/>
      <c r="BD449" s="14"/>
      <c r="BE449" s="14"/>
      <c r="BF449" s="16"/>
      <c r="BG449" s="16"/>
      <c r="BH449" s="13"/>
      <c r="BI449" s="18" t="s">
        <v>9577</v>
      </c>
      <c r="BJ449" s="13">
        <v>200</v>
      </c>
      <c r="BK449" s="17">
        <v>44122</v>
      </c>
      <c r="BL449" s="18" t="s">
        <v>9578</v>
      </c>
      <c r="BM449" s="18"/>
      <c r="BN449" s="18"/>
      <c r="BO449" s="18"/>
      <c r="BP449" s="14" t="s">
        <v>9579</v>
      </c>
      <c r="BQ449" s="17">
        <v>43474</v>
      </c>
      <c r="BR449" s="16"/>
      <c r="BS449" s="17"/>
      <c r="BT449" s="16"/>
      <c r="BU449" s="17"/>
      <c r="BV449" s="16"/>
      <c r="BW449" s="17"/>
      <c r="BX449" s="16"/>
      <c r="BY449" s="17"/>
      <c r="BZ449" s="19">
        <v>18.796043270547592</v>
      </c>
      <c r="CA449" s="19"/>
      <c r="CB449" s="17"/>
      <c r="CC449" s="14" t="s">
        <v>6556</v>
      </c>
      <c r="CD449" s="14" t="s">
        <v>9580</v>
      </c>
      <c r="CE449" s="14" t="s">
        <v>5004</v>
      </c>
    </row>
    <row r="450" spans="1:83" ht="26.15" customHeight="1">
      <c r="A450" s="13">
        <v>444</v>
      </c>
      <c r="B450" s="14" t="s">
        <v>2790</v>
      </c>
      <c r="C450" s="14" t="s">
        <v>2791</v>
      </c>
      <c r="D450" s="14" t="s">
        <v>2793</v>
      </c>
      <c r="E450" s="13">
        <v>2014</v>
      </c>
      <c r="F450" s="14" t="s">
        <v>4993</v>
      </c>
      <c r="G450" s="14" t="s">
        <v>4994</v>
      </c>
      <c r="H450" s="14" t="s">
        <v>2057</v>
      </c>
      <c r="I450" s="15" t="s">
        <v>3117</v>
      </c>
      <c r="J450" s="16"/>
      <c r="K450" s="17">
        <v>41995</v>
      </c>
      <c r="L450" s="16"/>
      <c r="M450" s="16" t="s">
        <v>50</v>
      </c>
      <c r="N450" s="14" t="s">
        <v>5630</v>
      </c>
      <c r="O450" s="13"/>
      <c r="P450" s="17"/>
      <c r="Q450" s="14"/>
      <c r="R450" s="17"/>
      <c r="S450" s="17"/>
      <c r="T450" s="14" t="s">
        <v>5509</v>
      </c>
      <c r="U450" s="14" t="s">
        <v>5510</v>
      </c>
      <c r="V450" s="14" t="s">
        <v>9581</v>
      </c>
      <c r="W450" s="14"/>
      <c r="X450" s="14" t="s">
        <v>4783</v>
      </c>
      <c r="Y450" s="14"/>
      <c r="Z450" s="14" t="s">
        <v>9582</v>
      </c>
      <c r="AA450" s="14"/>
      <c r="AB450" s="14" t="s">
        <v>2057</v>
      </c>
      <c r="AC450" s="14"/>
      <c r="AD450" s="14"/>
      <c r="AE450" s="14" t="s">
        <v>9583</v>
      </c>
      <c r="AF450" s="14" t="s">
        <v>9584</v>
      </c>
      <c r="AG450" s="14"/>
      <c r="AH450" s="18"/>
      <c r="AI450" s="16"/>
      <c r="AJ450" s="17"/>
      <c r="AK450" s="15" t="s">
        <v>3123</v>
      </c>
      <c r="AL450" s="17"/>
      <c r="AM450" s="16"/>
      <c r="AN450" s="14"/>
      <c r="AO450" s="14"/>
      <c r="AP450" s="15" t="s">
        <v>3123</v>
      </c>
      <c r="AQ450" s="14"/>
      <c r="AR450" s="17"/>
      <c r="AS450" s="16"/>
      <c r="AT450" s="14"/>
      <c r="AU450" s="15" t="s">
        <v>3123</v>
      </c>
      <c r="AV450" s="14"/>
      <c r="AW450" s="17"/>
      <c r="AX450" s="16"/>
      <c r="AY450" s="16"/>
      <c r="AZ450" s="16"/>
      <c r="BA450" s="16"/>
      <c r="BB450" s="15" t="s">
        <v>3117</v>
      </c>
      <c r="BC450" s="17"/>
      <c r="BD450" s="14"/>
      <c r="BE450" s="14"/>
      <c r="BF450" s="16"/>
      <c r="BG450" s="16"/>
      <c r="BH450" s="13"/>
      <c r="BI450" s="18" t="s">
        <v>9585</v>
      </c>
      <c r="BJ450" s="13">
        <v>-1</v>
      </c>
      <c r="BK450" s="17">
        <v>44122</v>
      </c>
      <c r="BL450" s="18"/>
      <c r="BM450" s="18"/>
      <c r="BN450" s="18"/>
      <c r="BO450" s="18"/>
      <c r="BP450" s="14" t="s">
        <v>9586</v>
      </c>
      <c r="BQ450" s="17">
        <v>42643</v>
      </c>
      <c r="BR450" s="16"/>
      <c r="BS450" s="17"/>
      <c r="BT450" s="16"/>
      <c r="BU450" s="17"/>
      <c r="BV450" s="16"/>
      <c r="BW450" s="17"/>
      <c r="BX450" s="16"/>
      <c r="BY450" s="17"/>
      <c r="BZ450" s="19">
        <v>5.8051920571212241</v>
      </c>
      <c r="CA450" s="19"/>
      <c r="CB450" s="17"/>
      <c r="CC450" s="14" t="s">
        <v>5036</v>
      </c>
      <c r="CD450" s="14" t="s">
        <v>9587</v>
      </c>
      <c r="CE450" s="14" t="s">
        <v>6074</v>
      </c>
    </row>
    <row r="451" spans="1:83" ht="26.15" customHeight="1">
      <c r="A451" s="13">
        <v>445</v>
      </c>
      <c r="B451" s="14" t="s">
        <v>2612</v>
      </c>
      <c r="C451" s="14" t="s">
        <v>2613</v>
      </c>
      <c r="D451" s="14" t="s">
        <v>2615</v>
      </c>
      <c r="E451" s="13">
        <v>2014</v>
      </c>
      <c r="F451" s="14" t="s">
        <v>4993</v>
      </c>
      <c r="G451" s="14" t="s">
        <v>4994</v>
      </c>
      <c r="H451" s="14" t="s">
        <v>2057</v>
      </c>
      <c r="I451" s="15" t="s">
        <v>3117</v>
      </c>
      <c r="J451" s="16">
        <v>10000000</v>
      </c>
      <c r="K451" s="17">
        <v>42277</v>
      </c>
      <c r="L451" s="16" t="s">
        <v>5165</v>
      </c>
      <c r="M451" s="16">
        <v>10000000</v>
      </c>
      <c r="N451" s="14" t="s">
        <v>25</v>
      </c>
      <c r="O451" s="13"/>
      <c r="P451" s="17"/>
      <c r="Q451" s="14"/>
      <c r="R451" s="17"/>
      <c r="S451" s="17"/>
      <c r="T451" s="14" t="s">
        <v>8325</v>
      </c>
      <c r="U451" s="14" t="s">
        <v>9280</v>
      </c>
      <c r="V451" s="14" t="s">
        <v>9588</v>
      </c>
      <c r="W451" s="14"/>
      <c r="X451" s="14" t="s">
        <v>9589</v>
      </c>
      <c r="Y451" s="14"/>
      <c r="Z451" s="14" t="s">
        <v>9590</v>
      </c>
      <c r="AA451" s="14"/>
      <c r="AB451" s="14" t="s">
        <v>2057</v>
      </c>
      <c r="AC451" s="14"/>
      <c r="AD451" s="14"/>
      <c r="AE451" s="14"/>
      <c r="AF451" s="14"/>
      <c r="AG451" s="14"/>
      <c r="AH451" s="18"/>
      <c r="AI451" s="16"/>
      <c r="AJ451" s="17"/>
      <c r="AK451" s="15" t="s">
        <v>3123</v>
      </c>
      <c r="AL451" s="17"/>
      <c r="AM451" s="16"/>
      <c r="AN451" s="14"/>
      <c r="AO451" s="14"/>
      <c r="AP451" s="15" t="s">
        <v>3123</v>
      </c>
      <c r="AQ451" s="14"/>
      <c r="AR451" s="17"/>
      <c r="AS451" s="16"/>
      <c r="AT451" s="14"/>
      <c r="AU451" s="15" t="s">
        <v>3123</v>
      </c>
      <c r="AV451" s="14"/>
      <c r="AW451" s="17"/>
      <c r="AX451" s="16"/>
      <c r="AY451" s="16"/>
      <c r="AZ451" s="16"/>
      <c r="BA451" s="16"/>
      <c r="BB451" s="15" t="s">
        <v>3123</v>
      </c>
      <c r="BC451" s="17"/>
      <c r="BD451" s="14"/>
      <c r="BE451" s="14"/>
      <c r="BF451" s="16"/>
      <c r="BG451" s="16"/>
      <c r="BH451" s="13"/>
      <c r="BI451" s="18" t="s">
        <v>9591</v>
      </c>
      <c r="BJ451" s="13">
        <v>-1</v>
      </c>
      <c r="BK451" s="17">
        <v>44122</v>
      </c>
      <c r="BL451" s="18"/>
      <c r="BM451" s="18"/>
      <c r="BN451" s="18"/>
      <c r="BO451" s="18"/>
      <c r="BP451" s="14" t="s">
        <v>9592</v>
      </c>
      <c r="BQ451" s="17">
        <v>42662</v>
      </c>
      <c r="BR451" s="16"/>
      <c r="BS451" s="17"/>
      <c r="BT451" s="16"/>
      <c r="BU451" s="17"/>
      <c r="BV451" s="16"/>
      <c r="BW451" s="17"/>
      <c r="BX451" s="16"/>
      <c r="BY451" s="17"/>
      <c r="BZ451" s="19">
        <v>30.641521450000564</v>
      </c>
      <c r="CA451" s="19"/>
      <c r="CB451" s="17"/>
      <c r="CC451" s="14" t="s">
        <v>6556</v>
      </c>
      <c r="CD451" s="14" t="s">
        <v>6557</v>
      </c>
      <c r="CE451" s="14" t="s">
        <v>5945</v>
      </c>
    </row>
    <row r="452" spans="1:83" ht="26.15" customHeight="1">
      <c r="A452" s="13">
        <v>446</v>
      </c>
      <c r="B452" s="14" t="s">
        <v>2668</v>
      </c>
      <c r="C452" s="14" t="s">
        <v>2669</v>
      </c>
      <c r="D452" s="14" t="s">
        <v>2670</v>
      </c>
      <c r="E452" s="13">
        <v>2013</v>
      </c>
      <c r="F452" s="14" t="s">
        <v>4993</v>
      </c>
      <c r="G452" s="14" t="s">
        <v>4994</v>
      </c>
      <c r="H452" s="14" t="s">
        <v>2057</v>
      </c>
      <c r="I452" s="15" t="s">
        <v>3117</v>
      </c>
      <c r="J452" s="16">
        <v>26000000</v>
      </c>
      <c r="K452" s="17">
        <v>42205</v>
      </c>
      <c r="L452" s="16" t="s">
        <v>9593</v>
      </c>
      <c r="M452" s="16">
        <v>16000000</v>
      </c>
      <c r="N452" s="14" t="s">
        <v>25</v>
      </c>
      <c r="O452" s="13">
        <v>5</v>
      </c>
      <c r="P452" s="17">
        <v>44028</v>
      </c>
      <c r="Q452" s="14" t="s">
        <v>5544</v>
      </c>
      <c r="R452" s="17">
        <v>44027</v>
      </c>
      <c r="S452" s="17">
        <v>42186</v>
      </c>
      <c r="T452" s="14" t="s">
        <v>1</v>
      </c>
      <c r="U452" s="14" t="s">
        <v>5007</v>
      </c>
      <c r="V452" s="14" t="s">
        <v>6157</v>
      </c>
      <c r="W452" s="14"/>
      <c r="X452" s="14" t="s">
        <v>4762</v>
      </c>
      <c r="Y452" s="14"/>
      <c r="Z452" s="14" t="s">
        <v>9594</v>
      </c>
      <c r="AA452" s="14"/>
      <c r="AB452" s="14" t="s">
        <v>2057</v>
      </c>
      <c r="AC452" s="14"/>
      <c r="AD452" s="14"/>
      <c r="AE452" s="14" t="s">
        <v>9595</v>
      </c>
      <c r="AF452" s="14"/>
      <c r="AG452" s="14"/>
      <c r="AH452" s="18"/>
      <c r="AI452" s="16"/>
      <c r="AJ452" s="17"/>
      <c r="AK452" s="15" t="s">
        <v>3123</v>
      </c>
      <c r="AL452" s="17"/>
      <c r="AM452" s="16"/>
      <c r="AN452" s="14"/>
      <c r="AO452" s="14"/>
      <c r="AP452" s="15" t="s">
        <v>3123</v>
      </c>
      <c r="AQ452" s="14"/>
      <c r="AR452" s="17"/>
      <c r="AS452" s="16"/>
      <c r="AT452" s="14"/>
      <c r="AU452" s="15" t="s">
        <v>3123</v>
      </c>
      <c r="AV452" s="14"/>
      <c r="AW452" s="17"/>
      <c r="AX452" s="16"/>
      <c r="AY452" s="16"/>
      <c r="AZ452" s="16"/>
      <c r="BA452" s="16"/>
      <c r="BB452" s="15" t="s">
        <v>3123</v>
      </c>
      <c r="BC452" s="17"/>
      <c r="BD452" s="14"/>
      <c r="BE452" s="14"/>
      <c r="BF452" s="16"/>
      <c r="BG452" s="16"/>
      <c r="BH452" s="13"/>
      <c r="BI452" s="18" t="s">
        <v>9596</v>
      </c>
      <c r="BJ452" s="13">
        <v>-1</v>
      </c>
      <c r="BK452" s="17">
        <v>44122</v>
      </c>
      <c r="BL452" s="18" t="s">
        <v>9597</v>
      </c>
      <c r="BM452" s="18"/>
      <c r="BN452" s="18"/>
      <c r="BO452" s="18"/>
      <c r="BP452" s="14" t="s">
        <v>9598</v>
      </c>
      <c r="BQ452" s="17">
        <v>42933</v>
      </c>
      <c r="BR452" s="16"/>
      <c r="BS452" s="17"/>
      <c r="BT452" s="16"/>
      <c r="BU452" s="17"/>
      <c r="BV452" s="16"/>
      <c r="BW452" s="17"/>
      <c r="BX452" s="16"/>
      <c r="BY452" s="17"/>
      <c r="BZ452" s="19">
        <v>24.151240442133403</v>
      </c>
      <c r="CA452" s="19"/>
      <c r="CB452" s="17"/>
      <c r="CC452" s="14" t="s">
        <v>7816</v>
      </c>
      <c r="CD452" s="14" t="s">
        <v>7522</v>
      </c>
      <c r="CE452" s="14" t="s">
        <v>5945</v>
      </c>
    </row>
    <row r="453" spans="1:83" ht="26.15" customHeight="1">
      <c r="A453" s="13">
        <v>447</v>
      </c>
      <c r="B453" s="14" t="s">
        <v>1411</v>
      </c>
      <c r="C453" s="14" t="s">
        <v>1412</v>
      </c>
      <c r="D453" s="14" t="s">
        <v>1415</v>
      </c>
      <c r="E453" s="13">
        <v>2014</v>
      </c>
      <c r="F453" s="14" t="s">
        <v>4993</v>
      </c>
      <c r="G453" s="14" t="s">
        <v>4994</v>
      </c>
      <c r="H453" s="14" t="s">
        <v>2057</v>
      </c>
      <c r="I453" s="15" t="s">
        <v>3117</v>
      </c>
      <c r="J453" s="16">
        <v>1303000000</v>
      </c>
      <c r="K453" s="17">
        <v>43382</v>
      </c>
      <c r="L453" s="16" t="s">
        <v>8227</v>
      </c>
      <c r="M453" s="16">
        <v>600000000</v>
      </c>
      <c r="N453" s="14" t="s">
        <v>1410</v>
      </c>
      <c r="O453" s="13">
        <v>5</v>
      </c>
      <c r="P453" s="17">
        <v>44014</v>
      </c>
      <c r="Q453" s="14" t="s">
        <v>8228</v>
      </c>
      <c r="R453" s="17">
        <v>43804</v>
      </c>
      <c r="S453" s="17">
        <v>43111</v>
      </c>
      <c r="T453" s="14" t="s">
        <v>5509</v>
      </c>
      <c r="U453" s="14" t="s">
        <v>5510</v>
      </c>
      <c r="V453" s="14" t="s">
        <v>7819</v>
      </c>
      <c r="W453" s="14"/>
      <c r="X453" s="14" t="s">
        <v>8229</v>
      </c>
      <c r="Y453" s="14"/>
      <c r="Z453" s="14" t="s">
        <v>8230</v>
      </c>
      <c r="AA453" s="14"/>
      <c r="AB453" s="14" t="s">
        <v>2057</v>
      </c>
      <c r="AC453" s="14"/>
      <c r="AD453" s="14"/>
      <c r="AE453" s="14" t="s">
        <v>8231</v>
      </c>
      <c r="AF453" s="14" t="s">
        <v>8232</v>
      </c>
      <c r="AG453" s="14" t="s">
        <v>8233</v>
      </c>
      <c r="AH453" s="18"/>
      <c r="AI453" s="16"/>
      <c r="AJ453" s="17"/>
      <c r="AK453" s="15" t="s">
        <v>3123</v>
      </c>
      <c r="AL453" s="17"/>
      <c r="AM453" s="16"/>
      <c r="AN453" s="14"/>
      <c r="AO453" s="14"/>
      <c r="AP453" s="15" t="s">
        <v>3123</v>
      </c>
      <c r="AQ453" s="14"/>
      <c r="AR453" s="17"/>
      <c r="AS453" s="16"/>
      <c r="AT453" s="14"/>
      <c r="AU453" s="15" t="s">
        <v>3123</v>
      </c>
      <c r="AV453" s="14"/>
      <c r="AW453" s="17"/>
      <c r="AX453" s="16"/>
      <c r="AY453" s="16"/>
      <c r="AZ453" s="16"/>
      <c r="BA453" s="16"/>
      <c r="BB453" s="15" t="s">
        <v>3123</v>
      </c>
      <c r="BC453" s="17"/>
      <c r="BD453" s="14"/>
      <c r="BE453" s="14"/>
      <c r="BF453" s="16"/>
      <c r="BG453" s="16"/>
      <c r="BH453" s="13"/>
      <c r="BI453" s="18" t="s">
        <v>8234</v>
      </c>
      <c r="BJ453" s="13">
        <v>200</v>
      </c>
      <c r="BK453" s="17">
        <v>44122</v>
      </c>
      <c r="BL453" s="18" t="s">
        <v>8235</v>
      </c>
      <c r="BM453" s="18"/>
      <c r="BN453" s="18"/>
      <c r="BO453" s="18"/>
      <c r="BP453" s="14" t="s">
        <v>8236</v>
      </c>
      <c r="BQ453" s="17">
        <v>42430</v>
      </c>
      <c r="BR453" s="16"/>
      <c r="BS453" s="17"/>
      <c r="BT453" s="16"/>
      <c r="BU453" s="17"/>
      <c r="BV453" s="16"/>
      <c r="BW453" s="17"/>
      <c r="BX453" s="16"/>
      <c r="BY453" s="17"/>
      <c r="BZ453" s="19">
        <v>44.690128028016112</v>
      </c>
      <c r="CA453" s="19"/>
      <c r="CB453" s="17"/>
      <c r="CC453" s="14" t="s">
        <v>5036</v>
      </c>
      <c r="CD453" s="14" t="s">
        <v>7827</v>
      </c>
      <c r="CE453" s="14" t="s">
        <v>5004</v>
      </c>
    </row>
    <row r="454" spans="1:83" ht="26.15" customHeight="1">
      <c r="A454" s="13">
        <v>448</v>
      </c>
      <c r="B454" s="14" t="s">
        <v>2758</v>
      </c>
      <c r="C454" s="14" t="s">
        <v>2759</v>
      </c>
      <c r="D454" s="14" t="s">
        <v>2760</v>
      </c>
      <c r="E454" s="13">
        <v>2015</v>
      </c>
      <c r="F454" s="14" t="s">
        <v>4993</v>
      </c>
      <c r="G454" s="14" t="s">
        <v>4994</v>
      </c>
      <c r="H454" s="14" t="s">
        <v>2057</v>
      </c>
      <c r="I454" s="15" t="s">
        <v>3117</v>
      </c>
      <c r="J454" s="16">
        <v>15000000</v>
      </c>
      <c r="K454" s="17">
        <v>42042</v>
      </c>
      <c r="L454" s="16" t="s">
        <v>5755</v>
      </c>
      <c r="M454" s="16">
        <v>15000000</v>
      </c>
      <c r="N454" s="14" t="s">
        <v>5630</v>
      </c>
      <c r="O454" s="13"/>
      <c r="P454" s="17"/>
      <c r="Q454" s="14"/>
      <c r="R454" s="17"/>
      <c r="S454" s="17"/>
      <c r="T454" s="14" t="s">
        <v>5509</v>
      </c>
      <c r="U454" s="14" t="s">
        <v>5510</v>
      </c>
      <c r="V454" s="14" t="s">
        <v>7819</v>
      </c>
      <c r="W454" s="14"/>
      <c r="X454" s="14"/>
      <c r="Y454" s="14"/>
      <c r="Z454" s="14" t="s">
        <v>9599</v>
      </c>
      <c r="AA454" s="14"/>
      <c r="AB454" s="14" t="s">
        <v>2057</v>
      </c>
      <c r="AC454" s="14"/>
      <c r="AD454" s="14"/>
      <c r="AE454" s="14" t="s">
        <v>9600</v>
      </c>
      <c r="AF454" s="14"/>
      <c r="AG454" s="14" t="s">
        <v>9601</v>
      </c>
      <c r="AH454" s="18"/>
      <c r="AI454" s="16"/>
      <c r="AJ454" s="17"/>
      <c r="AK454" s="15" t="s">
        <v>3123</v>
      </c>
      <c r="AL454" s="17"/>
      <c r="AM454" s="16"/>
      <c r="AN454" s="14"/>
      <c r="AO454" s="14"/>
      <c r="AP454" s="15" t="s">
        <v>3123</v>
      </c>
      <c r="AQ454" s="14"/>
      <c r="AR454" s="17"/>
      <c r="AS454" s="16"/>
      <c r="AT454" s="14"/>
      <c r="AU454" s="15" t="s">
        <v>3123</v>
      </c>
      <c r="AV454" s="14"/>
      <c r="AW454" s="17"/>
      <c r="AX454" s="16"/>
      <c r="AY454" s="16"/>
      <c r="AZ454" s="16"/>
      <c r="BA454" s="16"/>
      <c r="BB454" s="15" t="s">
        <v>3117</v>
      </c>
      <c r="BC454" s="17"/>
      <c r="BD454" s="14"/>
      <c r="BE454" s="14"/>
      <c r="BF454" s="16"/>
      <c r="BG454" s="16"/>
      <c r="BH454" s="13"/>
      <c r="BI454" s="18" t="s">
        <v>9602</v>
      </c>
      <c r="BJ454" s="13">
        <v>-1</v>
      </c>
      <c r="BK454" s="17">
        <v>44122</v>
      </c>
      <c r="BL454" s="18" t="s">
        <v>9603</v>
      </c>
      <c r="BM454" s="18"/>
      <c r="BN454" s="18"/>
      <c r="BO454" s="18"/>
      <c r="BP454" s="14" t="s">
        <v>9604</v>
      </c>
      <c r="BQ454" s="17">
        <v>42565</v>
      </c>
      <c r="BR454" s="16"/>
      <c r="BS454" s="17"/>
      <c r="BT454" s="16"/>
      <c r="BU454" s="17"/>
      <c r="BV454" s="16"/>
      <c r="BW454" s="17"/>
      <c r="BX454" s="16"/>
      <c r="BY454" s="17"/>
      <c r="BZ454" s="19">
        <v>12.507275321969381</v>
      </c>
      <c r="CA454" s="19"/>
      <c r="CB454" s="17"/>
      <c r="CC454" s="14" t="s">
        <v>5036</v>
      </c>
      <c r="CD454" s="14" t="s">
        <v>7249</v>
      </c>
      <c r="CE454" s="14" t="s">
        <v>6074</v>
      </c>
    </row>
    <row r="455" spans="1:83" ht="26.15" customHeight="1">
      <c r="A455" s="13">
        <v>449</v>
      </c>
      <c r="B455" s="14" t="s">
        <v>2869</v>
      </c>
      <c r="C455" s="14" t="s">
        <v>2870</v>
      </c>
      <c r="D455" s="14" t="s">
        <v>2872</v>
      </c>
      <c r="E455" s="13">
        <v>2013</v>
      </c>
      <c r="F455" s="14" t="s">
        <v>6630</v>
      </c>
      <c r="G455" s="14" t="s">
        <v>6631</v>
      </c>
      <c r="H455" s="14" t="s">
        <v>6632</v>
      </c>
      <c r="I455" s="15" t="s">
        <v>3117</v>
      </c>
      <c r="J455" s="16">
        <v>400000</v>
      </c>
      <c r="K455" s="17">
        <v>41791</v>
      </c>
      <c r="L455" s="16" t="s">
        <v>9605</v>
      </c>
      <c r="M455" s="16">
        <v>400000</v>
      </c>
      <c r="N455" s="14" t="s">
        <v>34</v>
      </c>
      <c r="O455" s="13"/>
      <c r="P455" s="17"/>
      <c r="Q455" s="14"/>
      <c r="R455" s="17"/>
      <c r="S455" s="17"/>
      <c r="T455" s="14" t="s">
        <v>1</v>
      </c>
      <c r="U455" s="14" t="s">
        <v>5007</v>
      </c>
      <c r="V455" s="14" t="s">
        <v>6299</v>
      </c>
      <c r="W455" s="14"/>
      <c r="X455" s="14" t="s">
        <v>180</v>
      </c>
      <c r="Y455" s="14"/>
      <c r="Z455" s="14" t="s">
        <v>9606</v>
      </c>
      <c r="AA455" s="14"/>
      <c r="AB455" s="14" t="s">
        <v>6632</v>
      </c>
      <c r="AC455" s="14" t="s">
        <v>9607</v>
      </c>
      <c r="AD455" s="14"/>
      <c r="AE455" s="14" t="s">
        <v>9608</v>
      </c>
      <c r="AF455" s="14" t="s">
        <v>9609</v>
      </c>
      <c r="AG455" s="14" t="s">
        <v>9610</v>
      </c>
      <c r="AH455" s="18"/>
      <c r="AI455" s="16"/>
      <c r="AJ455" s="17"/>
      <c r="AK455" s="15" t="s">
        <v>3123</v>
      </c>
      <c r="AL455" s="17"/>
      <c r="AM455" s="16"/>
      <c r="AN455" s="14"/>
      <c r="AO455" s="14"/>
      <c r="AP455" s="15" t="s">
        <v>3123</v>
      </c>
      <c r="AQ455" s="14"/>
      <c r="AR455" s="17"/>
      <c r="AS455" s="16"/>
      <c r="AT455" s="14"/>
      <c r="AU455" s="15" t="s">
        <v>3123</v>
      </c>
      <c r="AV455" s="14"/>
      <c r="AW455" s="17"/>
      <c r="AX455" s="16"/>
      <c r="AY455" s="16"/>
      <c r="AZ455" s="16"/>
      <c r="BA455" s="16"/>
      <c r="BB455" s="15" t="s">
        <v>3123</v>
      </c>
      <c r="BC455" s="17"/>
      <c r="BD455" s="14"/>
      <c r="BE455" s="14"/>
      <c r="BF455" s="16"/>
      <c r="BG455" s="16"/>
      <c r="BH455" s="13"/>
      <c r="BI455" s="18" t="s">
        <v>9611</v>
      </c>
      <c r="BJ455" s="13">
        <v>302</v>
      </c>
      <c r="BK455" s="17">
        <v>44122</v>
      </c>
      <c r="BL455" s="18" t="s">
        <v>9612</v>
      </c>
      <c r="BM455" s="18" t="s">
        <v>9613</v>
      </c>
      <c r="BN455" s="18" t="s">
        <v>9614</v>
      </c>
      <c r="BO455" s="18"/>
      <c r="BP455" s="14" t="s">
        <v>9615</v>
      </c>
      <c r="BQ455" s="17">
        <v>43020</v>
      </c>
      <c r="BR455" s="16"/>
      <c r="BS455" s="17"/>
      <c r="BT455" s="16"/>
      <c r="BU455" s="17"/>
      <c r="BV455" s="16"/>
      <c r="BW455" s="17"/>
      <c r="BX455" s="16"/>
      <c r="BY455" s="17"/>
      <c r="BZ455" s="19">
        <v>31.814637870185315</v>
      </c>
      <c r="CA455" s="19"/>
      <c r="CB455" s="17"/>
      <c r="CC455" s="14" t="s">
        <v>7606</v>
      </c>
      <c r="CD455" s="14" t="s">
        <v>7607</v>
      </c>
      <c r="CE455" s="14" t="s">
        <v>5945</v>
      </c>
    </row>
    <row r="456" spans="1:83" ht="26.15" hidden="1" customHeight="1">
      <c r="A456" s="13">
        <v>450</v>
      </c>
      <c r="B456" s="14" t="s">
        <v>2707</v>
      </c>
      <c r="C456" s="14" t="s">
        <v>2708</v>
      </c>
      <c r="D456" s="14" t="s">
        <v>2709</v>
      </c>
      <c r="E456" s="13">
        <v>2012</v>
      </c>
      <c r="F456" s="14" t="s">
        <v>5050</v>
      </c>
      <c r="G456" s="14" t="s">
        <v>5050</v>
      </c>
      <c r="H456" s="14" t="s">
        <v>4343</v>
      </c>
      <c r="I456" s="15" t="s">
        <v>3117</v>
      </c>
      <c r="J456" s="16">
        <v>100000</v>
      </c>
      <c r="K456" s="17">
        <v>42156</v>
      </c>
      <c r="L456" s="16" t="s">
        <v>5252</v>
      </c>
      <c r="M456" s="16">
        <v>100000</v>
      </c>
      <c r="N456" s="14" t="s">
        <v>34</v>
      </c>
      <c r="O456" s="13">
        <v>3</v>
      </c>
      <c r="P456" s="17">
        <v>44048</v>
      </c>
      <c r="Q456" s="14"/>
      <c r="R456" s="17"/>
      <c r="S456" s="17"/>
      <c r="T456" s="14" t="s">
        <v>1</v>
      </c>
      <c r="U456" s="14" t="s">
        <v>5007</v>
      </c>
      <c r="V456" s="14" t="s">
        <v>9081</v>
      </c>
      <c r="W456" s="14"/>
      <c r="X456" s="14" t="s">
        <v>9616</v>
      </c>
      <c r="Y456" s="14"/>
      <c r="Z456" s="14" t="s">
        <v>9617</v>
      </c>
      <c r="AA456" s="14"/>
      <c r="AB456" s="14" t="s">
        <v>4343</v>
      </c>
      <c r="AC456" s="14" t="s">
        <v>9618</v>
      </c>
      <c r="AD456" s="14"/>
      <c r="AE456" s="14" t="s">
        <v>9619</v>
      </c>
      <c r="AF456" s="14" t="s">
        <v>9620</v>
      </c>
      <c r="AG456" s="14" t="s">
        <v>9621</v>
      </c>
      <c r="AH456" s="18"/>
      <c r="AI456" s="16"/>
      <c r="AJ456" s="17"/>
      <c r="AK456" s="15" t="s">
        <v>3123</v>
      </c>
      <c r="AL456" s="17"/>
      <c r="AM456" s="16"/>
      <c r="AN456" s="14"/>
      <c r="AO456" s="14"/>
      <c r="AP456" s="15" t="s">
        <v>3123</v>
      </c>
      <c r="AQ456" s="14"/>
      <c r="AR456" s="17"/>
      <c r="AS456" s="16"/>
      <c r="AT456" s="14"/>
      <c r="AU456" s="15" t="s">
        <v>3123</v>
      </c>
      <c r="AV456" s="14"/>
      <c r="AW456" s="17"/>
      <c r="AX456" s="16"/>
      <c r="AY456" s="16"/>
      <c r="AZ456" s="16"/>
      <c r="BA456" s="16"/>
      <c r="BB456" s="15" t="s">
        <v>3123</v>
      </c>
      <c r="BC456" s="17"/>
      <c r="BD456" s="14"/>
      <c r="BE456" s="14"/>
      <c r="BF456" s="16"/>
      <c r="BG456" s="16"/>
      <c r="BH456" s="13"/>
      <c r="BI456" s="18" t="s">
        <v>9622</v>
      </c>
      <c r="BJ456" s="13">
        <v>301</v>
      </c>
      <c r="BK456" s="17">
        <v>44122</v>
      </c>
      <c r="BL456" s="18"/>
      <c r="BM456" s="18" t="s">
        <v>9623</v>
      </c>
      <c r="BN456" s="18"/>
      <c r="BO456" s="18"/>
      <c r="BP456" s="14" t="s">
        <v>9624</v>
      </c>
      <c r="BQ456" s="17">
        <v>43033</v>
      </c>
      <c r="BR456" s="16"/>
      <c r="BS456" s="17"/>
      <c r="BT456" s="16"/>
      <c r="BU456" s="17"/>
      <c r="BV456" s="16"/>
      <c r="BW456" s="17"/>
      <c r="BX456" s="16"/>
      <c r="BY456" s="17"/>
      <c r="BZ456" s="19">
        <v>35.571257030818927</v>
      </c>
      <c r="CA456" s="19"/>
      <c r="CB456" s="17"/>
      <c r="CC456" s="14" t="s">
        <v>5541</v>
      </c>
      <c r="CD456" s="14" t="s">
        <v>9625</v>
      </c>
      <c r="CE456" s="14" t="s">
        <v>9626</v>
      </c>
    </row>
    <row r="457" spans="1:83" ht="26.15" customHeight="1">
      <c r="A457" s="13">
        <v>451</v>
      </c>
      <c r="B457" s="14" t="s">
        <v>1330</v>
      </c>
      <c r="C457" s="14" t="s">
        <v>1331</v>
      </c>
      <c r="D457" s="14" t="s">
        <v>1334</v>
      </c>
      <c r="E457" s="13">
        <v>2010</v>
      </c>
      <c r="F457" s="14" t="s">
        <v>5038</v>
      </c>
      <c r="G457" s="14" t="s">
        <v>5039</v>
      </c>
      <c r="H457" s="14" t="s">
        <v>3994</v>
      </c>
      <c r="I457" s="15" t="s">
        <v>3117</v>
      </c>
      <c r="J457" s="16">
        <v>15568800</v>
      </c>
      <c r="K457" s="17">
        <v>43424</v>
      </c>
      <c r="L457" s="16" t="s">
        <v>7941</v>
      </c>
      <c r="M457" s="16">
        <v>8113650</v>
      </c>
      <c r="N457" s="14" t="s">
        <v>25</v>
      </c>
      <c r="O457" s="13">
        <v>5</v>
      </c>
      <c r="P457" s="17">
        <v>44098</v>
      </c>
      <c r="Q457" s="14" t="s">
        <v>5052</v>
      </c>
      <c r="R457" s="17">
        <v>44042</v>
      </c>
      <c r="S457" s="17">
        <v>42522</v>
      </c>
      <c r="T457" s="14" t="s">
        <v>8237</v>
      </c>
      <c r="U457" s="14" t="s">
        <v>8238</v>
      </c>
      <c r="V457" s="14" t="s">
        <v>8239</v>
      </c>
      <c r="W457" s="14"/>
      <c r="X457" s="14" t="s">
        <v>8240</v>
      </c>
      <c r="Y457" s="14" t="s">
        <v>8241</v>
      </c>
      <c r="Z457" s="14" t="s">
        <v>8242</v>
      </c>
      <c r="AA457" s="14"/>
      <c r="AB457" s="14" t="s">
        <v>3994</v>
      </c>
      <c r="AC457" s="14" t="s">
        <v>8243</v>
      </c>
      <c r="AD457" s="14" t="s">
        <v>8244</v>
      </c>
      <c r="AE457" s="14" t="s">
        <v>8245</v>
      </c>
      <c r="AF457" s="14" t="s">
        <v>8246</v>
      </c>
      <c r="AG457" s="14" t="s">
        <v>8247</v>
      </c>
      <c r="AH457" s="18"/>
      <c r="AI457" s="16">
        <v>1622700</v>
      </c>
      <c r="AJ457" s="17">
        <v>43465</v>
      </c>
      <c r="AK457" s="15" t="s">
        <v>3117</v>
      </c>
      <c r="AL457" s="17">
        <v>40416</v>
      </c>
      <c r="AM457" s="16">
        <v>2132</v>
      </c>
      <c r="AN457" s="14" t="s">
        <v>8248</v>
      </c>
      <c r="AO457" s="14"/>
      <c r="AP457" s="15" t="s">
        <v>3123</v>
      </c>
      <c r="AQ457" s="14"/>
      <c r="AR457" s="17"/>
      <c r="AS457" s="16"/>
      <c r="AT457" s="14"/>
      <c r="AU457" s="15" t="s">
        <v>3123</v>
      </c>
      <c r="AV457" s="14"/>
      <c r="AW457" s="17"/>
      <c r="AX457" s="16"/>
      <c r="AY457" s="16"/>
      <c r="AZ457" s="16"/>
      <c r="BA457" s="16"/>
      <c r="BB457" s="15" t="s">
        <v>3123</v>
      </c>
      <c r="BC457" s="17"/>
      <c r="BD457" s="14"/>
      <c r="BE457" s="14"/>
      <c r="BF457" s="16"/>
      <c r="BG457" s="16"/>
      <c r="BH457" s="13"/>
      <c r="BI457" s="18" t="s">
        <v>8249</v>
      </c>
      <c r="BJ457" s="13">
        <v>200</v>
      </c>
      <c r="BK457" s="17">
        <v>44122</v>
      </c>
      <c r="BL457" s="18" t="s">
        <v>8250</v>
      </c>
      <c r="BM457" s="18" t="s">
        <v>8251</v>
      </c>
      <c r="BN457" s="18" t="s">
        <v>8252</v>
      </c>
      <c r="BO457" s="18" t="s">
        <v>8253</v>
      </c>
      <c r="BP457" s="14" t="s">
        <v>8254</v>
      </c>
      <c r="BQ457" s="17">
        <v>43353</v>
      </c>
      <c r="BR457" s="16">
        <v>-2289300</v>
      </c>
      <c r="BS457" s="17">
        <v>43465</v>
      </c>
      <c r="BT457" s="16">
        <v>-1768900</v>
      </c>
      <c r="BU457" s="17">
        <v>43465</v>
      </c>
      <c r="BV457" s="16">
        <v>28000000</v>
      </c>
      <c r="BW457" s="17">
        <v>43357</v>
      </c>
      <c r="BX457" s="16">
        <v>172</v>
      </c>
      <c r="BY457" s="17">
        <v>44012</v>
      </c>
      <c r="BZ457" s="19">
        <v>60.337808733667373</v>
      </c>
      <c r="CA457" s="19"/>
      <c r="CB457" s="17"/>
      <c r="CC457" s="14" t="s">
        <v>7305</v>
      </c>
      <c r="CD457" s="14" t="s">
        <v>5879</v>
      </c>
      <c r="CE457" s="14" t="s">
        <v>5004</v>
      </c>
    </row>
    <row r="458" spans="1:83" ht="26.15" customHeight="1">
      <c r="A458" s="13">
        <v>452</v>
      </c>
      <c r="B458" s="14" t="s">
        <v>96</v>
      </c>
      <c r="C458" s="14" t="s">
        <v>97</v>
      </c>
      <c r="D458" s="14" t="s">
        <v>100</v>
      </c>
      <c r="E458" s="13">
        <v>2015</v>
      </c>
      <c r="F458" s="14" t="s">
        <v>5038</v>
      </c>
      <c r="G458" s="14" t="s">
        <v>5039</v>
      </c>
      <c r="H458" s="14" t="s">
        <v>3994</v>
      </c>
      <c r="I458" s="15" t="s">
        <v>3117</v>
      </c>
      <c r="J458" s="16">
        <v>163285834</v>
      </c>
      <c r="K458" s="17">
        <v>44116</v>
      </c>
      <c r="L458" s="16"/>
      <c r="M458" s="16" t="s">
        <v>50</v>
      </c>
      <c r="N458" s="14" t="s">
        <v>95</v>
      </c>
      <c r="O458" s="13">
        <v>5</v>
      </c>
      <c r="P458" s="17">
        <v>44110</v>
      </c>
      <c r="Q458" s="14" t="s">
        <v>5544</v>
      </c>
      <c r="R458" s="17">
        <v>44124</v>
      </c>
      <c r="S458" s="17">
        <v>43446</v>
      </c>
      <c r="T458" s="14" t="s">
        <v>8255</v>
      </c>
      <c r="U458" s="14" t="s">
        <v>8256</v>
      </c>
      <c r="V458" s="14" t="s">
        <v>8257</v>
      </c>
      <c r="W458" s="14"/>
      <c r="X458" s="14" t="s">
        <v>8258</v>
      </c>
      <c r="Y458" s="14" t="s">
        <v>8259</v>
      </c>
      <c r="Z458" s="14" t="s">
        <v>8260</v>
      </c>
      <c r="AA458" s="14"/>
      <c r="AB458" s="14" t="s">
        <v>3994</v>
      </c>
      <c r="AC458" s="14" t="s">
        <v>8261</v>
      </c>
      <c r="AD458" s="14" t="s">
        <v>8262</v>
      </c>
      <c r="AE458" s="14" t="s">
        <v>8263</v>
      </c>
      <c r="AF458" s="14" t="s">
        <v>8264</v>
      </c>
      <c r="AG458" s="14" t="s">
        <v>8265</v>
      </c>
      <c r="AH458" s="18" t="s">
        <v>8266</v>
      </c>
      <c r="AI458" s="16">
        <v>17109500</v>
      </c>
      <c r="AJ458" s="17">
        <v>43465</v>
      </c>
      <c r="AK458" s="15" t="s">
        <v>3117</v>
      </c>
      <c r="AL458" s="17">
        <v>42187</v>
      </c>
      <c r="AM458" s="16">
        <v>1573</v>
      </c>
      <c r="AN458" s="14" t="s">
        <v>8267</v>
      </c>
      <c r="AO458" s="14"/>
      <c r="AP458" s="15" t="s">
        <v>3123</v>
      </c>
      <c r="AQ458" s="14"/>
      <c r="AR458" s="17"/>
      <c r="AS458" s="16"/>
      <c r="AT458" s="14"/>
      <c r="AU458" s="15" t="s">
        <v>3123</v>
      </c>
      <c r="AV458" s="14"/>
      <c r="AW458" s="17"/>
      <c r="AX458" s="16"/>
      <c r="AY458" s="16"/>
      <c r="AZ458" s="16"/>
      <c r="BA458" s="16"/>
      <c r="BB458" s="15" t="s">
        <v>3123</v>
      </c>
      <c r="BC458" s="17"/>
      <c r="BD458" s="14"/>
      <c r="BE458" s="14"/>
      <c r="BF458" s="16"/>
      <c r="BG458" s="16"/>
      <c r="BH458" s="13"/>
      <c r="BI458" s="18" t="s">
        <v>8268</v>
      </c>
      <c r="BJ458" s="13">
        <v>200</v>
      </c>
      <c r="BK458" s="17">
        <v>44122</v>
      </c>
      <c r="BL458" s="18" t="s">
        <v>8269</v>
      </c>
      <c r="BM458" s="18" t="s">
        <v>8270</v>
      </c>
      <c r="BN458" s="18" t="s">
        <v>8271</v>
      </c>
      <c r="BO458" s="18" t="s">
        <v>8272</v>
      </c>
      <c r="BP458" s="14" t="s">
        <v>8273</v>
      </c>
      <c r="BQ458" s="17">
        <v>43788</v>
      </c>
      <c r="BR458" s="16">
        <v>-11795100</v>
      </c>
      <c r="BS458" s="17">
        <v>43465</v>
      </c>
      <c r="BT458" s="16">
        <v>-11030500</v>
      </c>
      <c r="BU458" s="17">
        <v>43465</v>
      </c>
      <c r="BV458" s="16">
        <v>350000000</v>
      </c>
      <c r="BW458" s="17">
        <v>43841</v>
      </c>
      <c r="BX458" s="16">
        <v>3783</v>
      </c>
      <c r="BY458" s="17">
        <v>44012</v>
      </c>
      <c r="BZ458" s="19">
        <v>67.923045062986645</v>
      </c>
      <c r="CA458" s="19"/>
      <c r="CB458" s="17"/>
      <c r="CC458" s="14" t="s">
        <v>8274</v>
      </c>
      <c r="CD458" s="14" t="s">
        <v>8275</v>
      </c>
      <c r="CE458" s="14" t="s">
        <v>5004</v>
      </c>
    </row>
    <row r="459" spans="1:83" ht="26.15" customHeight="1">
      <c r="A459" s="13">
        <v>453</v>
      </c>
      <c r="B459" s="14" t="s">
        <v>2359</v>
      </c>
      <c r="C459" s="14" t="s">
        <v>2360</v>
      </c>
      <c r="D459" s="14" t="s">
        <v>2361</v>
      </c>
      <c r="E459" s="13">
        <v>2014</v>
      </c>
      <c r="F459" s="14" t="s">
        <v>6064</v>
      </c>
      <c r="G459" s="14" t="s">
        <v>6065</v>
      </c>
      <c r="H459" s="14" t="s">
        <v>2057</v>
      </c>
      <c r="I459" s="15" t="s">
        <v>3117</v>
      </c>
      <c r="J459" s="16">
        <v>22500000</v>
      </c>
      <c r="K459" s="17">
        <v>42550</v>
      </c>
      <c r="L459" s="16" t="s">
        <v>9627</v>
      </c>
      <c r="M459" s="16">
        <v>22500000</v>
      </c>
      <c r="N459" s="14" t="s">
        <v>109</v>
      </c>
      <c r="O459" s="13"/>
      <c r="P459" s="17"/>
      <c r="Q459" s="14"/>
      <c r="R459" s="17"/>
      <c r="S459" s="17"/>
      <c r="T459" s="14" t="s">
        <v>5426</v>
      </c>
      <c r="U459" s="14" t="s">
        <v>6018</v>
      </c>
      <c r="V459" s="14" t="s">
        <v>9628</v>
      </c>
      <c r="W459" s="14"/>
      <c r="X459" s="14"/>
      <c r="Y459" s="14"/>
      <c r="Z459" s="14" t="s">
        <v>9629</v>
      </c>
      <c r="AA459" s="14"/>
      <c r="AB459" s="14" t="s">
        <v>2057</v>
      </c>
      <c r="AC459" s="14"/>
      <c r="AD459" s="14"/>
      <c r="AE459" s="14"/>
      <c r="AF459" s="14"/>
      <c r="AG459" s="14"/>
      <c r="AH459" s="18"/>
      <c r="AI459" s="16"/>
      <c r="AJ459" s="17"/>
      <c r="AK459" s="15" t="s">
        <v>3123</v>
      </c>
      <c r="AL459" s="17"/>
      <c r="AM459" s="16"/>
      <c r="AN459" s="14"/>
      <c r="AO459" s="14"/>
      <c r="AP459" s="15" t="s">
        <v>3123</v>
      </c>
      <c r="AQ459" s="14"/>
      <c r="AR459" s="17"/>
      <c r="AS459" s="16"/>
      <c r="AT459" s="14"/>
      <c r="AU459" s="15" t="s">
        <v>3123</v>
      </c>
      <c r="AV459" s="14"/>
      <c r="AW459" s="17"/>
      <c r="AX459" s="16"/>
      <c r="AY459" s="16"/>
      <c r="AZ459" s="16"/>
      <c r="BA459" s="16"/>
      <c r="BB459" s="15" t="s">
        <v>3123</v>
      </c>
      <c r="BC459" s="17"/>
      <c r="BD459" s="14"/>
      <c r="BE459" s="14"/>
      <c r="BF459" s="16"/>
      <c r="BG459" s="16"/>
      <c r="BH459" s="13"/>
      <c r="BI459" s="18" t="s">
        <v>9630</v>
      </c>
      <c r="BJ459" s="13">
        <v>-1</v>
      </c>
      <c r="BK459" s="17">
        <v>44122</v>
      </c>
      <c r="BL459" s="18"/>
      <c r="BM459" s="18"/>
      <c r="BN459" s="18"/>
      <c r="BO459" s="18"/>
      <c r="BP459" s="14" t="s">
        <v>9631</v>
      </c>
      <c r="BQ459" s="17">
        <v>42555</v>
      </c>
      <c r="BR459" s="16"/>
      <c r="BS459" s="17"/>
      <c r="BT459" s="16"/>
      <c r="BU459" s="17"/>
      <c r="BV459" s="16"/>
      <c r="BW459" s="17"/>
      <c r="BX459" s="16"/>
      <c r="BY459" s="17"/>
      <c r="BZ459" s="19">
        <v>21.371950454099217</v>
      </c>
      <c r="CA459" s="19"/>
      <c r="CB459" s="17"/>
      <c r="CC459" s="14" t="s">
        <v>7816</v>
      </c>
      <c r="CD459" s="14" t="s">
        <v>7522</v>
      </c>
      <c r="CE459" s="14" t="s">
        <v>5945</v>
      </c>
    </row>
    <row r="460" spans="1:83" ht="26.15" customHeight="1">
      <c r="A460" s="13">
        <v>454</v>
      </c>
      <c r="B460" s="14" t="s">
        <v>2259</v>
      </c>
      <c r="C460" s="14" t="s">
        <v>2260</v>
      </c>
      <c r="D460" s="14" t="s">
        <v>2261</v>
      </c>
      <c r="E460" s="13">
        <v>1998</v>
      </c>
      <c r="F460" s="14" t="s">
        <v>5067</v>
      </c>
      <c r="G460" s="14" t="s">
        <v>5068</v>
      </c>
      <c r="H460" s="14" t="s">
        <v>3994</v>
      </c>
      <c r="I460" s="15" t="s">
        <v>3117</v>
      </c>
      <c r="J460" s="16">
        <v>732883</v>
      </c>
      <c r="K460" s="17">
        <v>42670</v>
      </c>
      <c r="L460" s="16" t="s">
        <v>7229</v>
      </c>
      <c r="M460" s="16">
        <v>732883</v>
      </c>
      <c r="N460" s="14" t="s">
        <v>5335</v>
      </c>
      <c r="O460" s="13">
        <v>3</v>
      </c>
      <c r="P460" s="17">
        <v>44003</v>
      </c>
      <c r="Q460" s="14"/>
      <c r="R460" s="17"/>
      <c r="S460" s="17"/>
      <c r="T460" s="14" t="s">
        <v>6645</v>
      </c>
      <c r="U460" s="14" t="s">
        <v>8119</v>
      </c>
      <c r="V460" s="14" t="s">
        <v>9632</v>
      </c>
      <c r="W460" s="14"/>
      <c r="X460" s="14" t="s">
        <v>9633</v>
      </c>
      <c r="Y460" s="14"/>
      <c r="Z460" s="14" t="s">
        <v>9634</v>
      </c>
      <c r="AA460" s="14"/>
      <c r="AB460" s="14" t="s">
        <v>3994</v>
      </c>
      <c r="AC460" s="14" t="s">
        <v>9635</v>
      </c>
      <c r="AD460" s="14"/>
      <c r="AE460" s="14" t="s">
        <v>9636</v>
      </c>
      <c r="AF460" s="14" t="s">
        <v>9637</v>
      </c>
      <c r="AG460" s="14" t="s">
        <v>9638</v>
      </c>
      <c r="AH460" s="18"/>
      <c r="AI460" s="16"/>
      <c r="AJ460" s="17"/>
      <c r="AK460" s="15" t="s">
        <v>3123</v>
      </c>
      <c r="AL460" s="17"/>
      <c r="AM460" s="16"/>
      <c r="AN460" s="14"/>
      <c r="AO460" s="14"/>
      <c r="AP460" s="15" t="s">
        <v>3117</v>
      </c>
      <c r="AQ460" s="14" t="s">
        <v>9639</v>
      </c>
      <c r="AR460" s="17">
        <v>42624</v>
      </c>
      <c r="AS460" s="16">
        <v>40000000</v>
      </c>
      <c r="AT460" s="14" t="s">
        <v>5342</v>
      </c>
      <c r="AU460" s="15" t="s">
        <v>3123</v>
      </c>
      <c r="AV460" s="14"/>
      <c r="AW460" s="17"/>
      <c r="AX460" s="16"/>
      <c r="AY460" s="16"/>
      <c r="AZ460" s="16"/>
      <c r="BA460" s="16"/>
      <c r="BB460" s="15" t="s">
        <v>3123</v>
      </c>
      <c r="BC460" s="17"/>
      <c r="BD460" s="14"/>
      <c r="BE460" s="14"/>
      <c r="BF460" s="16"/>
      <c r="BG460" s="16"/>
      <c r="BH460" s="13"/>
      <c r="BI460" s="18" t="s">
        <v>9640</v>
      </c>
      <c r="BJ460" s="13">
        <v>200</v>
      </c>
      <c r="BK460" s="17">
        <v>44122</v>
      </c>
      <c r="BL460" s="18" t="s">
        <v>9641</v>
      </c>
      <c r="BM460" s="18"/>
      <c r="BN460" s="18"/>
      <c r="BO460" s="18"/>
      <c r="BP460" s="14" t="s">
        <v>9642</v>
      </c>
      <c r="BQ460" s="17">
        <v>42933</v>
      </c>
      <c r="BR460" s="16"/>
      <c r="BS460" s="17"/>
      <c r="BT460" s="16"/>
      <c r="BU460" s="17"/>
      <c r="BV460" s="16">
        <v>20000000</v>
      </c>
      <c r="BW460" s="17">
        <v>42670</v>
      </c>
      <c r="BX460" s="16">
        <v>362</v>
      </c>
      <c r="BY460" s="17">
        <v>43921</v>
      </c>
      <c r="BZ460" s="19">
        <v>32.620956020634701</v>
      </c>
      <c r="CA460" s="19"/>
      <c r="CB460" s="17"/>
      <c r="CC460" s="14" t="s">
        <v>5036</v>
      </c>
      <c r="CD460" s="14" t="s">
        <v>5439</v>
      </c>
      <c r="CE460" s="14" t="s">
        <v>5311</v>
      </c>
    </row>
    <row r="461" spans="1:83" ht="26.15" customHeight="1">
      <c r="A461" s="13">
        <v>455</v>
      </c>
      <c r="B461" s="14" t="s">
        <v>3036</v>
      </c>
      <c r="C461" s="14" t="s">
        <v>3037</v>
      </c>
      <c r="D461" s="14" t="s">
        <v>3038</v>
      </c>
      <c r="E461" s="13">
        <v>1994</v>
      </c>
      <c r="F461" s="14" t="s">
        <v>5067</v>
      </c>
      <c r="G461" s="14" t="s">
        <v>5068</v>
      </c>
      <c r="H461" s="14" t="s">
        <v>3994</v>
      </c>
      <c r="I461" s="15" t="s">
        <v>3117</v>
      </c>
      <c r="J461" s="16">
        <v>9000000</v>
      </c>
      <c r="K461" s="17">
        <v>40675</v>
      </c>
      <c r="L461" s="16"/>
      <c r="M461" s="16" t="s">
        <v>50</v>
      </c>
      <c r="N461" s="14" t="s">
        <v>5335</v>
      </c>
      <c r="O461" s="13">
        <v>2</v>
      </c>
      <c r="P461" s="17">
        <v>44003</v>
      </c>
      <c r="Q461" s="14"/>
      <c r="R461" s="17"/>
      <c r="S461" s="17"/>
      <c r="T461" s="14" t="s">
        <v>6645</v>
      </c>
      <c r="U461" s="14" t="s">
        <v>8119</v>
      </c>
      <c r="V461" s="14" t="s">
        <v>9643</v>
      </c>
      <c r="W461" s="14"/>
      <c r="X461" s="14" t="s">
        <v>9644</v>
      </c>
      <c r="Y461" s="14"/>
      <c r="Z461" s="14" t="s">
        <v>9645</v>
      </c>
      <c r="AA461" s="14"/>
      <c r="AB461" s="14" t="s">
        <v>3994</v>
      </c>
      <c r="AC461" s="14"/>
      <c r="AD461" s="14"/>
      <c r="AE461" s="14" t="s">
        <v>9646</v>
      </c>
      <c r="AF461" s="14" t="s">
        <v>9647</v>
      </c>
      <c r="AG461" s="14" t="s">
        <v>9648</v>
      </c>
      <c r="AH461" s="18"/>
      <c r="AI461" s="16"/>
      <c r="AJ461" s="17"/>
      <c r="AK461" s="15" t="s">
        <v>3123</v>
      </c>
      <c r="AL461" s="17"/>
      <c r="AM461" s="16"/>
      <c r="AN461" s="14"/>
      <c r="AO461" s="14"/>
      <c r="AP461" s="15" t="s">
        <v>3117</v>
      </c>
      <c r="AQ461" s="14" t="s">
        <v>9649</v>
      </c>
      <c r="AR461" s="17">
        <v>42086</v>
      </c>
      <c r="AS461" s="16">
        <v>30000000</v>
      </c>
      <c r="AT461" s="14" t="s">
        <v>5342</v>
      </c>
      <c r="AU461" s="15" t="s">
        <v>3123</v>
      </c>
      <c r="AV461" s="14"/>
      <c r="AW461" s="17"/>
      <c r="AX461" s="16"/>
      <c r="AY461" s="16"/>
      <c r="AZ461" s="16"/>
      <c r="BA461" s="16"/>
      <c r="BB461" s="15" t="s">
        <v>3123</v>
      </c>
      <c r="BC461" s="17"/>
      <c r="BD461" s="14"/>
      <c r="BE461" s="14"/>
      <c r="BF461" s="16"/>
      <c r="BG461" s="16"/>
      <c r="BH461" s="13"/>
      <c r="BI461" s="18" t="s">
        <v>9650</v>
      </c>
      <c r="BJ461" s="13">
        <v>302</v>
      </c>
      <c r="BK461" s="17">
        <v>44122</v>
      </c>
      <c r="BL461" s="18"/>
      <c r="BM461" s="18"/>
      <c r="BN461" s="18"/>
      <c r="BO461" s="18"/>
      <c r="BP461" s="14" t="s">
        <v>9651</v>
      </c>
      <c r="BQ461" s="17">
        <v>43032</v>
      </c>
      <c r="BR461" s="16"/>
      <c r="BS461" s="17"/>
      <c r="BT461" s="16"/>
      <c r="BU461" s="17"/>
      <c r="BV461" s="16"/>
      <c r="BW461" s="17"/>
      <c r="BX461" s="16"/>
      <c r="BY461" s="17"/>
      <c r="BZ461" s="19">
        <v>38.189089867825409</v>
      </c>
      <c r="CA461" s="19"/>
      <c r="CB461" s="17"/>
      <c r="CC461" s="14" t="s">
        <v>5345</v>
      </c>
      <c r="CD461" s="14" t="s">
        <v>8809</v>
      </c>
      <c r="CE461" s="14" t="s">
        <v>5311</v>
      </c>
    </row>
    <row r="462" spans="1:83" ht="26.15" customHeight="1">
      <c r="A462" s="13">
        <v>456</v>
      </c>
      <c r="B462" s="14" t="s">
        <v>2959</v>
      </c>
      <c r="C462" s="14" t="s">
        <v>2960</v>
      </c>
      <c r="D462" s="14" t="s">
        <v>2962</v>
      </c>
      <c r="E462" s="13">
        <v>1999</v>
      </c>
      <c r="F462" s="14" t="s">
        <v>5067</v>
      </c>
      <c r="G462" s="14" t="s">
        <v>5068</v>
      </c>
      <c r="H462" s="14" t="s">
        <v>3994</v>
      </c>
      <c r="I462" s="15" t="s">
        <v>3117</v>
      </c>
      <c r="J462" s="16">
        <v>3650000</v>
      </c>
      <c r="K462" s="17">
        <v>41426</v>
      </c>
      <c r="L462" s="16" t="s">
        <v>5456</v>
      </c>
      <c r="M462" s="16">
        <v>3650000</v>
      </c>
      <c r="N462" s="14" t="s">
        <v>5630</v>
      </c>
      <c r="O462" s="13"/>
      <c r="P462" s="17">
        <v>44003</v>
      </c>
      <c r="Q462" s="14"/>
      <c r="R462" s="17"/>
      <c r="S462" s="17"/>
      <c r="T462" s="14" t="s">
        <v>1</v>
      </c>
      <c r="U462" s="14" t="s">
        <v>5007</v>
      </c>
      <c r="V462" s="14" t="s">
        <v>9652</v>
      </c>
      <c r="W462" s="14"/>
      <c r="X462" s="14" t="s">
        <v>4851</v>
      </c>
      <c r="Y462" s="14"/>
      <c r="Z462" s="14" t="s">
        <v>9653</v>
      </c>
      <c r="AA462" s="14"/>
      <c r="AB462" s="14" t="s">
        <v>3994</v>
      </c>
      <c r="AC462" s="14" t="s">
        <v>9654</v>
      </c>
      <c r="AD462" s="14"/>
      <c r="AE462" s="14" t="s">
        <v>9655</v>
      </c>
      <c r="AF462" s="14"/>
      <c r="AG462" s="14"/>
      <c r="AH462" s="18"/>
      <c r="AI462" s="16"/>
      <c r="AJ462" s="17"/>
      <c r="AK462" s="15" t="s">
        <v>3123</v>
      </c>
      <c r="AL462" s="17"/>
      <c r="AM462" s="16"/>
      <c r="AN462" s="14"/>
      <c r="AO462" s="14"/>
      <c r="AP462" s="15" t="s">
        <v>3123</v>
      </c>
      <c r="AQ462" s="14"/>
      <c r="AR462" s="17"/>
      <c r="AS462" s="16"/>
      <c r="AT462" s="14"/>
      <c r="AU462" s="15" t="s">
        <v>3123</v>
      </c>
      <c r="AV462" s="14"/>
      <c r="AW462" s="17"/>
      <c r="AX462" s="16"/>
      <c r="AY462" s="16"/>
      <c r="AZ462" s="16"/>
      <c r="BA462" s="16"/>
      <c r="BB462" s="15" t="s">
        <v>3117</v>
      </c>
      <c r="BC462" s="17"/>
      <c r="BD462" s="14"/>
      <c r="BE462" s="14"/>
      <c r="BF462" s="16"/>
      <c r="BG462" s="16"/>
      <c r="BH462" s="13"/>
      <c r="BI462" s="18" t="s">
        <v>9656</v>
      </c>
      <c r="BJ462" s="13">
        <v>-1</v>
      </c>
      <c r="BK462" s="17">
        <v>44122</v>
      </c>
      <c r="BL462" s="18" t="s">
        <v>9657</v>
      </c>
      <c r="BM462" s="18"/>
      <c r="BN462" s="18"/>
      <c r="BO462" s="18"/>
      <c r="BP462" s="14" t="s">
        <v>9658</v>
      </c>
      <c r="BQ462" s="17">
        <v>42933</v>
      </c>
      <c r="BR462" s="16"/>
      <c r="BS462" s="17"/>
      <c r="BT462" s="16"/>
      <c r="BU462" s="17"/>
      <c r="BV462" s="16"/>
      <c r="BW462" s="17"/>
      <c r="BX462" s="16"/>
      <c r="BY462" s="17"/>
      <c r="BZ462" s="19">
        <v>18.937794943157314</v>
      </c>
      <c r="CA462" s="19"/>
      <c r="CB462" s="17"/>
      <c r="CC462" s="14" t="s">
        <v>5345</v>
      </c>
      <c r="CD462" s="14" t="s">
        <v>9659</v>
      </c>
      <c r="CE462" s="14" t="s">
        <v>5311</v>
      </c>
    </row>
    <row r="463" spans="1:83" ht="26.15" customHeight="1">
      <c r="A463" s="13">
        <v>457</v>
      </c>
      <c r="B463" s="14" t="s">
        <v>2369</v>
      </c>
      <c r="C463" s="14" t="s">
        <v>2370</v>
      </c>
      <c r="D463" s="14" t="s">
        <v>2372</v>
      </c>
      <c r="E463" s="13">
        <v>2013</v>
      </c>
      <c r="F463" s="14" t="s">
        <v>5038</v>
      </c>
      <c r="G463" s="14" t="s">
        <v>5039</v>
      </c>
      <c r="H463" s="14" t="s">
        <v>3994</v>
      </c>
      <c r="I463" s="15" t="s">
        <v>3117</v>
      </c>
      <c r="J463" s="16">
        <v>223330</v>
      </c>
      <c r="K463" s="17">
        <v>42539</v>
      </c>
      <c r="L463" s="16" t="s">
        <v>9660</v>
      </c>
      <c r="M463" s="16">
        <v>148638</v>
      </c>
      <c r="N463" s="14" t="s">
        <v>34</v>
      </c>
      <c r="O463" s="13"/>
      <c r="P463" s="17"/>
      <c r="Q463" s="14"/>
      <c r="R463" s="17"/>
      <c r="S463" s="17"/>
      <c r="T463" s="14" t="s">
        <v>5442</v>
      </c>
      <c r="U463" s="14" t="s">
        <v>6993</v>
      </c>
      <c r="V463" s="14" t="s">
        <v>9661</v>
      </c>
      <c r="W463" s="14"/>
      <c r="X463" s="14" t="s">
        <v>9662</v>
      </c>
      <c r="Y463" s="14"/>
      <c r="Z463" s="14" t="s">
        <v>9663</v>
      </c>
      <c r="AA463" s="14"/>
      <c r="AB463" s="14" t="s">
        <v>3994</v>
      </c>
      <c r="AC463" s="14" t="s">
        <v>9664</v>
      </c>
      <c r="AD463" s="14" t="s">
        <v>9665</v>
      </c>
      <c r="AE463" s="14" t="s">
        <v>9666</v>
      </c>
      <c r="AF463" s="14" t="s">
        <v>9667</v>
      </c>
      <c r="AG463" s="14" t="s">
        <v>9668</v>
      </c>
      <c r="AH463" s="18"/>
      <c r="AI463" s="16">
        <v>66400</v>
      </c>
      <c r="AJ463" s="17">
        <v>43465</v>
      </c>
      <c r="AK463" s="15" t="s">
        <v>3117</v>
      </c>
      <c r="AL463" s="17">
        <v>42201</v>
      </c>
      <c r="AM463" s="16">
        <v>7884</v>
      </c>
      <c r="AN463" s="14" t="s">
        <v>9669</v>
      </c>
      <c r="AO463" s="14"/>
      <c r="AP463" s="15" t="s">
        <v>3123</v>
      </c>
      <c r="AQ463" s="14"/>
      <c r="AR463" s="17"/>
      <c r="AS463" s="16"/>
      <c r="AT463" s="14"/>
      <c r="AU463" s="15" t="s">
        <v>3123</v>
      </c>
      <c r="AV463" s="14"/>
      <c r="AW463" s="17"/>
      <c r="AX463" s="16"/>
      <c r="AY463" s="16"/>
      <c r="AZ463" s="16"/>
      <c r="BA463" s="16"/>
      <c r="BB463" s="15" t="s">
        <v>3123</v>
      </c>
      <c r="BC463" s="17"/>
      <c r="BD463" s="14"/>
      <c r="BE463" s="14"/>
      <c r="BF463" s="16"/>
      <c r="BG463" s="16"/>
      <c r="BH463" s="13"/>
      <c r="BI463" s="18" t="s">
        <v>9670</v>
      </c>
      <c r="BJ463" s="13">
        <v>200</v>
      </c>
      <c r="BK463" s="17">
        <v>44122</v>
      </c>
      <c r="BL463" s="18" t="s">
        <v>9671</v>
      </c>
      <c r="BM463" s="18"/>
      <c r="BN463" s="18" t="s">
        <v>9672</v>
      </c>
      <c r="BO463" s="18"/>
      <c r="BP463" s="14" t="s">
        <v>9673</v>
      </c>
      <c r="BQ463" s="17">
        <v>42930</v>
      </c>
      <c r="BR463" s="16">
        <v>-70400</v>
      </c>
      <c r="BS463" s="17">
        <v>43465</v>
      </c>
      <c r="BT463" s="16">
        <v>-64800</v>
      </c>
      <c r="BU463" s="17">
        <v>43465</v>
      </c>
      <c r="BV463" s="16"/>
      <c r="BW463" s="17"/>
      <c r="BX463" s="16"/>
      <c r="BY463" s="17"/>
      <c r="BZ463" s="19">
        <v>28.67374437972116</v>
      </c>
      <c r="CA463" s="19"/>
      <c r="CB463" s="17"/>
      <c r="CC463" s="14" t="s">
        <v>5036</v>
      </c>
      <c r="CD463" s="14" t="s">
        <v>5962</v>
      </c>
      <c r="CE463" s="14" t="s">
        <v>5945</v>
      </c>
    </row>
    <row r="464" spans="1:83" ht="26.15" customHeight="1">
      <c r="A464" s="13">
        <v>458</v>
      </c>
      <c r="B464" s="14" t="s">
        <v>2909</v>
      </c>
      <c r="C464" s="14" t="s">
        <v>2910</v>
      </c>
      <c r="D464" s="14" t="s">
        <v>2912</v>
      </c>
      <c r="E464" s="13">
        <v>2011</v>
      </c>
      <c r="F464" s="14" t="s">
        <v>5312</v>
      </c>
      <c r="G464" s="14" t="s">
        <v>5313</v>
      </c>
      <c r="H464" s="14" t="s">
        <v>3994</v>
      </c>
      <c r="I464" s="15" t="s">
        <v>3117</v>
      </c>
      <c r="J464" s="16"/>
      <c r="K464" s="17">
        <v>41670</v>
      </c>
      <c r="L464" s="16"/>
      <c r="M464" s="16" t="s">
        <v>50</v>
      </c>
      <c r="N464" s="14" t="s">
        <v>5630</v>
      </c>
      <c r="O464" s="13"/>
      <c r="P464" s="17"/>
      <c r="Q464" s="14"/>
      <c r="R464" s="17"/>
      <c r="S464" s="17"/>
      <c r="T464" s="14" t="s">
        <v>1</v>
      </c>
      <c r="U464" s="14" t="s">
        <v>5007</v>
      </c>
      <c r="V464" s="14" t="s">
        <v>8865</v>
      </c>
      <c r="W464" s="14"/>
      <c r="X464" s="14" t="s">
        <v>3058</v>
      </c>
      <c r="Y464" s="14"/>
      <c r="Z464" s="14" t="s">
        <v>9674</v>
      </c>
      <c r="AA464" s="14"/>
      <c r="AB464" s="14" t="s">
        <v>3994</v>
      </c>
      <c r="AC464" s="14" t="s">
        <v>9675</v>
      </c>
      <c r="AD464" s="14" t="s">
        <v>9676</v>
      </c>
      <c r="AE464" s="14" t="s">
        <v>9677</v>
      </c>
      <c r="AF464" s="14" t="s">
        <v>9678</v>
      </c>
      <c r="AG464" s="14" t="s">
        <v>9679</v>
      </c>
      <c r="AH464" s="18"/>
      <c r="AI464" s="16"/>
      <c r="AJ464" s="17"/>
      <c r="AK464" s="15" t="s">
        <v>3123</v>
      </c>
      <c r="AL464" s="17"/>
      <c r="AM464" s="16"/>
      <c r="AN464" s="14"/>
      <c r="AO464" s="14"/>
      <c r="AP464" s="15" t="s">
        <v>3123</v>
      </c>
      <c r="AQ464" s="14"/>
      <c r="AR464" s="17"/>
      <c r="AS464" s="16"/>
      <c r="AT464" s="14"/>
      <c r="AU464" s="15" t="s">
        <v>3123</v>
      </c>
      <c r="AV464" s="14"/>
      <c r="AW464" s="17"/>
      <c r="AX464" s="16"/>
      <c r="AY464" s="16"/>
      <c r="AZ464" s="16"/>
      <c r="BA464" s="16"/>
      <c r="BB464" s="15" t="s">
        <v>3117</v>
      </c>
      <c r="BC464" s="17"/>
      <c r="BD464" s="14"/>
      <c r="BE464" s="14"/>
      <c r="BF464" s="16"/>
      <c r="BG464" s="16"/>
      <c r="BH464" s="13"/>
      <c r="BI464" s="18" t="s">
        <v>9680</v>
      </c>
      <c r="BJ464" s="13">
        <v>200</v>
      </c>
      <c r="BK464" s="17">
        <v>44122</v>
      </c>
      <c r="BL464" s="18" t="s">
        <v>9681</v>
      </c>
      <c r="BM464" s="18"/>
      <c r="BN464" s="18"/>
      <c r="BO464" s="18"/>
      <c r="BP464" s="14" t="s">
        <v>9682</v>
      </c>
      <c r="BQ464" s="17">
        <v>43032</v>
      </c>
      <c r="BR464" s="16"/>
      <c r="BS464" s="17"/>
      <c r="BT464" s="16"/>
      <c r="BU464" s="17"/>
      <c r="BV464" s="16"/>
      <c r="BW464" s="17"/>
      <c r="BX464" s="16"/>
      <c r="BY464" s="17"/>
      <c r="BZ464" s="19">
        <v>10.140839432559684</v>
      </c>
      <c r="CA464" s="19"/>
      <c r="CB464" s="17"/>
      <c r="CC464" s="14" t="s">
        <v>5345</v>
      </c>
      <c r="CD464" s="14" t="s">
        <v>7272</v>
      </c>
      <c r="CE464" s="14" t="s">
        <v>5945</v>
      </c>
    </row>
    <row r="465" spans="1:83" ht="26.15" hidden="1" customHeight="1">
      <c r="A465" s="13">
        <v>459</v>
      </c>
      <c r="B465" s="14" t="s">
        <v>2440</v>
      </c>
      <c r="C465" s="14" t="s">
        <v>2441</v>
      </c>
      <c r="D465" s="14" t="s">
        <v>2442</v>
      </c>
      <c r="E465" s="13">
        <v>2013</v>
      </c>
      <c r="F465" s="14" t="s">
        <v>5777</v>
      </c>
      <c r="G465" s="14" t="s">
        <v>5050</v>
      </c>
      <c r="H465" s="14" t="s">
        <v>4343</v>
      </c>
      <c r="I465" s="15" t="s">
        <v>3117</v>
      </c>
      <c r="J465" s="16"/>
      <c r="K465" s="17">
        <v>42491</v>
      </c>
      <c r="L465" s="16" t="s">
        <v>9683</v>
      </c>
      <c r="M465" s="16">
        <v>55000</v>
      </c>
      <c r="N465" s="14" t="s">
        <v>5040</v>
      </c>
      <c r="O465" s="13"/>
      <c r="P465" s="17"/>
      <c r="Q465" s="14"/>
      <c r="R465" s="17"/>
      <c r="S465" s="17"/>
      <c r="T465" s="14" t="s">
        <v>1</v>
      </c>
      <c r="U465" s="14" t="s">
        <v>5007</v>
      </c>
      <c r="V465" s="14" t="s">
        <v>9684</v>
      </c>
      <c r="W465" s="14"/>
      <c r="X465" s="14" t="s">
        <v>156</v>
      </c>
      <c r="Y465" s="14"/>
      <c r="Z465" s="14" t="s">
        <v>9685</v>
      </c>
      <c r="AA465" s="14"/>
      <c r="AB465" s="14" t="s">
        <v>4343</v>
      </c>
      <c r="AC465" s="14" t="s">
        <v>9686</v>
      </c>
      <c r="AD465" s="14"/>
      <c r="AE465" s="14" t="s">
        <v>9687</v>
      </c>
      <c r="AF465" s="14" t="s">
        <v>9688</v>
      </c>
      <c r="AG465" s="14" t="s">
        <v>9689</v>
      </c>
      <c r="AH465" s="18"/>
      <c r="AI465" s="16"/>
      <c r="AJ465" s="17"/>
      <c r="AK465" s="15" t="s">
        <v>3123</v>
      </c>
      <c r="AL465" s="17"/>
      <c r="AM465" s="16"/>
      <c r="AN465" s="14"/>
      <c r="AO465" s="14"/>
      <c r="AP465" s="15" t="s">
        <v>3123</v>
      </c>
      <c r="AQ465" s="14"/>
      <c r="AR465" s="17"/>
      <c r="AS465" s="16"/>
      <c r="AT465" s="14"/>
      <c r="AU465" s="15" t="s">
        <v>3123</v>
      </c>
      <c r="AV465" s="14"/>
      <c r="AW465" s="17"/>
      <c r="AX465" s="16"/>
      <c r="AY465" s="16"/>
      <c r="AZ465" s="16"/>
      <c r="BA465" s="16"/>
      <c r="BB465" s="15" t="s">
        <v>3123</v>
      </c>
      <c r="BC465" s="17"/>
      <c r="BD465" s="14"/>
      <c r="BE465" s="14"/>
      <c r="BF465" s="16"/>
      <c r="BG465" s="16"/>
      <c r="BH465" s="13"/>
      <c r="BI465" s="18" t="s">
        <v>9690</v>
      </c>
      <c r="BJ465" s="13">
        <v>200</v>
      </c>
      <c r="BK465" s="17">
        <v>44122</v>
      </c>
      <c r="BL465" s="18" t="s">
        <v>9691</v>
      </c>
      <c r="BM465" s="18" t="s">
        <v>9692</v>
      </c>
      <c r="BN465" s="18" t="s">
        <v>9693</v>
      </c>
      <c r="BO465" s="18"/>
      <c r="BP465" s="14" t="s">
        <v>9694</v>
      </c>
      <c r="BQ465" s="17">
        <v>43056</v>
      </c>
      <c r="BR465" s="16"/>
      <c r="BS465" s="17"/>
      <c r="BT465" s="16"/>
      <c r="BU465" s="17"/>
      <c r="BV465" s="16"/>
      <c r="BW465" s="17"/>
      <c r="BX465" s="16"/>
      <c r="BY465" s="17"/>
      <c r="BZ465" s="19">
        <v>23.31298357769094</v>
      </c>
      <c r="CA465" s="19"/>
      <c r="CB465" s="17"/>
      <c r="CC465" s="14" t="s">
        <v>7284</v>
      </c>
      <c r="CD465" s="14" t="s">
        <v>6002</v>
      </c>
      <c r="CE465" s="14" t="s">
        <v>5945</v>
      </c>
    </row>
    <row r="466" spans="1:83" ht="26.15" customHeight="1">
      <c r="A466" s="13">
        <v>460</v>
      </c>
      <c r="B466" s="14" t="s">
        <v>2329</v>
      </c>
      <c r="C466" s="14" t="s">
        <v>2330</v>
      </c>
      <c r="D466" s="14" t="s">
        <v>2333</v>
      </c>
      <c r="E466" s="13">
        <v>2015</v>
      </c>
      <c r="F466" s="14" t="s">
        <v>5038</v>
      </c>
      <c r="G466" s="14" t="s">
        <v>5039</v>
      </c>
      <c r="H466" s="14" t="s">
        <v>3994</v>
      </c>
      <c r="I466" s="15" t="s">
        <v>3117</v>
      </c>
      <c r="J466" s="16">
        <v>89953</v>
      </c>
      <c r="K466" s="17">
        <v>42572</v>
      </c>
      <c r="L466" s="16"/>
      <c r="M466" s="16" t="s">
        <v>50</v>
      </c>
      <c r="N466" s="14" t="s">
        <v>34</v>
      </c>
      <c r="O466" s="13">
        <v>4</v>
      </c>
      <c r="P466" s="17">
        <v>44057</v>
      </c>
      <c r="Q466" s="14"/>
      <c r="R466" s="17"/>
      <c r="S466" s="17"/>
      <c r="T466" s="14" t="s">
        <v>5041</v>
      </c>
      <c r="U466" s="14" t="s">
        <v>5042</v>
      </c>
      <c r="V466" s="14" t="s">
        <v>5486</v>
      </c>
      <c r="W466" s="14"/>
      <c r="X466" s="14" t="s">
        <v>9695</v>
      </c>
      <c r="Y466" s="14" t="s">
        <v>9696</v>
      </c>
      <c r="Z466" s="14" t="s">
        <v>9697</v>
      </c>
      <c r="AA466" s="14"/>
      <c r="AB466" s="14" t="s">
        <v>3994</v>
      </c>
      <c r="AC466" s="14" t="s">
        <v>9698</v>
      </c>
      <c r="AD466" s="14" t="s">
        <v>9699</v>
      </c>
      <c r="AE466" s="14" t="s">
        <v>9700</v>
      </c>
      <c r="AF466" s="14" t="s">
        <v>9701</v>
      </c>
      <c r="AG466" s="14" t="s">
        <v>9702</v>
      </c>
      <c r="AH466" s="18"/>
      <c r="AI466" s="16">
        <v>135500</v>
      </c>
      <c r="AJ466" s="17">
        <v>43465</v>
      </c>
      <c r="AK466" s="15" t="s">
        <v>3117</v>
      </c>
      <c r="AL466" s="17">
        <v>41360</v>
      </c>
      <c r="AM466" s="16">
        <v>1840</v>
      </c>
      <c r="AN466" s="14" t="s">
        <v>9703</v>
      </c>
      <c r="AO466" s="14"/>
      <c r="AP466" s="15" t="s">
        <v>3123</v>
      </c>
      <c r="AQ466" s="14"/>
      <c r="AR466" s="17"/>
      <c r="AS466" s="16"/>
      <c r="AT466" s="14"/>
      <c r="AU466" s="15" t="s">
        <v>3123</v>
      </c>
      <c r="AV466" s="14"/>
      <c r="AW466" s="17"/>
      <c r="AX466" s="16"/>
      <c r="AY466" s="16"/>
      <c r="AZ466" s="16"/>
      <c r="BA466" s="16"/>
      <c r="BB466" s="15" t="s">
        <v>3123</v>
      </c>
      <c r="BC466" s="17"/>
      <c r="BD466" s="14"/>
      <c r="BE466" s="14"/>
      <c r="BF466" s="16"/>
      <c r="BG466" s="16"/>
      <c r="BH466" s="13"/>
      <c r="BI466" s="18" t="s">
        <v>9704</v>
      </c>
      <c r="BJ466" s="13">
        <v>200</v>
      </c>
      <c r="BK466" s="17">
        <v>44122</v>
      </c>
      <c r="BL466" s="18" t="s">
        <v>9705</v>
      </c>
      <c r="BM466" s="18"/>
      <c r="BN466" s="18" t="s">
        <v>9706</v>
      </c>
      <c r="BO466" s="18" t="s">
        <v>9707</v>
      </c>
      <c r="BP466" s="14" t="s">
        <v>9708</v>
      </c>
      <c r="BQ466" s="17">
        <v>42929</v>
      </c>
      <c r="BR466" s="16">
        <v>-6100</v>
      </c>
      <c r="BS466" s="17">
        <v>43465</v>
      </c>
      <c r="BT466" s="16">
        <v>1600</v>
      </c>
      <c r="BU466" s="17">
        <v>43465</v>
      </c>
      <c r="BV466" s="16"/>
      <c r="BW466" s="17"/>
      <c r="BX466" s="16"/>
      <c r="BY466" s="17"/>
      <c r="BZ466" s="19">
        <v>36.925577198991682</v>
      </c>
      <c r="CA466" s="19"/>
      <c r="CB466" s="17"/>
      <c r="CC466" s="14" t="s">
        <v>7647</v>
      </c>
      <c r="CD466" s="14" t="s">
        <v>5962</v>
      </c>
      <c r="CE466" s="14" t="s">
        <v>7194</v>
      </c>
    </row>
    <row r="467" spans="1:83" ht="26.15" customHeight="1">
      <c r="A467" s="13">
        <v>461</v>
      </c>
      <c r="B467" s="14" t="s">
        <v>2399</v>
      </c>
      <c r="C467" s="14" t="s">
        <v>2400</v>
      </c>
      <c r="D467" s="14" t="s">
        <v>2402</v>
      </c>
      <c r="E467" s="13">
        <v>2013</v>
      </c>
      <c r="F467" s="14" t="s">
        <v>5038</v>
      </c>
      <c r="G467" s="14" t="s">
        <v>5039</v>
      </c>
      <c r="H467" s="14" t="s">
        <v>3994</v>
      </c>
      <c r="I467" s="15" t="s">
        <v>3117</v>
      </c>
      <c r="J467" s="16"/>
      <c r="K467" s="17">
        <v>42522</v>
      </c>
      <c r="L467" s="16"/>
      <c r="M467" s="16" t="s">
        <v>50</v>
      </c>
      <c r="N467" s="14" t="s">
        <v>34</v>
      </c>
      <c r="O467" s="13">
        <v>3</v>
      </c>
      <c r="P467" s="17">
        <v>44022</v>
      </c>
      <c r="Q467" s="14"/>
      <c r="R467" s="17"/>
      <c r="S467" s="17"/>
      <c r="T467" s="14" t="s">
        <v>5442</v>
      </c>
      <c r="U467" s="14" t="s">
        <v>6993</v>
      </c>
      <c r="V467" s="14" t="s">
        <v>9709</v>
      </c>
      <c r="W467" s="14"/>
      <c r="X467" s="14" t="s">
        <v>9710</v>
      </c>
      <c r="Y467" s="14"/>
      <c r="Z467" s="14" t="s">
        <v>9711</v>
      </c>
      <c r="AA467" s="14"/>
      <c r="AB467" s="14" t="s">
        <v>3994</v>
      </c>
      <c r="AC467" s="14"/>
      <c r="AD467" s="14" t="s">
        <v>9712</v>
      </c>
      <c r="AE467" s="14" t="s">
        <v>9713</v>
      </c>
      <c r="AF467" s="14" t="s">
        <v>9714</v>
      </c>
      <c r="AG467" s="14" t="s">
        <v>9715</v>
      </c>
      <c r="AH467" s="18"/>
      <c r="AI467" s="16"/>
      <c r="AJ467" s="17"/>
      <c r="AK467" s="15" t="s">
        <v>3123</v>
      </c>
      <c r="AL467" s="17"/>
      <c r="AM467" s="16"/>
      <c r="AN467" s="14"/>
      <c r="AO467" s="14"/>
      <c r="AP467" s="15" t="s">
        <v>3123</v>
      </c>
      <c r="AQ467" s="14"/>
      <c r="AR467" s="17"/>
      <c r="AS467" s="16"/>
      <c r="AT467" s="14"/>
      <c r="AU467" s="15" t="s">
        <v>3123</v>
      </c>
      <c r="AV467" s="14"/>
      <c r="AW467" s="17"/>
      <c r="AX467" s="16"/>
      <c r="AY467" s="16"/>
      <c r="AZ467" s="16"/>
      <c r="BA467" s="16"/>
      <c r="BB467" s="15" t="s">
        <v>3123</v>
      </c>
      <c r="BC467" s="17"/>
      <c r="BD467" s="14"/>
      <c r="BE467" s="14"/>
      <c r="BF467" s="16"/>
      <c r="BG467" s="16"/>
      <c r="BH467" s="13"/>
      <c r="BI467" s="18" t="s">
        <v>9716</v>
      </c>
      <c r="BJ467" s="13">
        <v>200</v>
      </c>
      <c r="BK467" s="17">
        <v>44122</v>
      </c>
      <c r="BL467" s="18"/>
      <c r="BM467" s="18" t="s">
        <v>9717</v>
      </c>
      <c r="BN467" s="18"/>
      <c r="BO467" s="18"/>
      <c r="BP467" s="14" t="s">
        <v>9718</v>
      </c>
      <c r="BQ467" s="17">
        <v>43032</v>
      </c>
      <c r="BR467" s="16"/>
      <c r="BS467" s="17"/>
      <c r="BT467" s="16"/>
      <c r="BU467" s="17"/>
      <c r="BV467" s="16"/>
      <c r="BW467" s="17"/>
      <c r="BX467" s="16"/>
      <c r="BY467" s="17"/>
      <c r="BZ467" s="19">
        <v>39.189820518987332</v>
      </c>
      <c r="CA467" s="19"/>
      <c r="CB467" s="17"/>
      <c r="CC467" s="14" t="s">
        <v>5345</v>
      </c>
      <c r="CD467" s="14" t="s">
        <v>7272</v>
      </c>
      <c r="CE467" s="14" t="s">
        <v>5945</v>
      </c>
    </row>
    <row r="468" spans="1:83" ht="26.15" customHeight="1">
      <c r="A468" s="13">
        <v>462</v>
      </c>
      <c r="B468" s="14" t="s">
        <v>507</v>
      </c>
      <c r="C468" s="14" t="s">
        <v>508</v>
      </c>
      <c r="D468" s="14" t="s">
        <v>510</v>
      </c>
      <c r="E468" s="13">
        <v>2014</v>
      </c>
      <c r="F468" s="14" t="s">
        <v>5592</v>
      </c>
      <c r="G468" s="14" t="s">
        <v>5313</v>
      </c>
      <c r="H468" s="14" t="s">
        <v>3994</v>
      </c>
      <c r="I468" s="15" t="s">
        <v>3117</v>
      </c>
      <c r="J468" s="16">
        <v>1000000</v>
      </c>
      <c r="K468" s="17">
        <v>43901</v>
      </c>
      <c r="L468" s="16"/>
      <c r="M468" s="16" t="s">
        <v>50</v>
      </c>
      <c r="N468" s="14" t="s">
        <v>34</v>
      </c>
      <c r="O468" s="13">
        <v>4</v>
      </c>
      <c r="P468" s="17">
        <v>44025</v>
      </c>
      <c r="Q468" s="14"/>
      <c r="R468" s="17"/>
      <c r="S468" s="17"/>
      <c r="T468" s="14" t="s">
        <v>4995</v>
      </c>
      <c r="U468" s="14" t="s">
        <v>5578</v>
      </c>
      <c r="V468" s="14" t="s">
        <v>6813</v>
      </c>
      <c r="W468" s="14"/>
      <c r="X468" s="14" t="s">
        <v>4488</v>
      </c>
      <c r="Y468" s="14" t="s">
        <v>509</v>
      </c>
      <c r="Z468" s="14" t="s">
        <v>8287</v>
      </c>
      <c r="AA468" s="14"/>
      <c r="AB468" s="14" t="s">
        <v>3994</v>
      </c>
      <c r="AC468" s="14" t="s">
        <v>8288</v>
      </c>
      <c r="AD468" s="14" t="s">
        <v>8289</v>
      </c>
      <c r="AE468" s="14" t="s">
        <v>8290</v>
      </c>
      <c r="AF468" s="14" t="s">
        <v>8291</v>
      </c>
      <c r="AG468" s="14" t="s">
        <v>8292</v>
      </c>
      <c r="AH468" s="18"/>
      <c r="AI468" s="16">
        <v>819100</v>
      </c>
      <c r="AJ468" s="17">
        <v>43465</v>
      </c>
      <c r="AK468" s="15" t="s">
        <v>3123</v>
      </c>
      <c r="AL468" s="17"/>
      <c r="AM468" s="16"/>
      <c r="AN468" s="14"/>
      <c r="AO468" s="14"/>
      <c r="AP468" s="15" t="s">
        <v>3123</v>
      </c>
      <c r="AQ468" s="14"/>
      <c r="AR468" s="17"/>
      <c r="AS468" s="16"/>
      <c r="AT468" s="14"/>
      <c r="AU468" s="15" t="s">
        <v>3123</v>
      </c>
      <c r="AV468" s="14"/>
      <c r="AW468" s="17"/>
      <c r="AX468" s="16"/>
      <c r="AY468" s="16"/>
      <c r="AZ468" s="16"/>
      <c r="BA468" s="16"/>
      <c r="BB468" s="15" t="s">
        <v>3123</v>
      </c>
      <c r="BC468" s="17"/>
      <c r="BD468" s="14"/>
      <c r="BE468" s="14"/>
      <c r="BF468" s="16"/>
      <c r="BG468" s="16"/>
      <c r="BH468" s="13"/>
      <c r="BI468" s="18" t="s">
        <v>8293</v>
      </c>
      <c r="BJ468" s="13">
        <v>200</v>
      </c>
      <c r="BK468" s="17">
        <v>44122</v>
      </c>
      <c r="BL468" s="18"/>
      <c r="BM468" s="18" t="s">
        <v>8294</v>
      </c>
      <c r="BN468" s="18" t="s">
        <v>8295</v>
      </c>
      <c r="BO468" s="18"/>
      <c r="BP468" s="14" t="s">
        <v>8296</v>
      </c>
      <c r="BQ468" s="17">
        <v>42880</v>
      </c>
      <c r="BR468" s="16">
        <v>-372300</v>
      </c>
      <c r="BS468" s="17">
        <v>43465</v>
      </c>
      <c r="BT468" s="16">
        <v>-341600</v>
      </c>
      <c r="BU468" s="17">
        <v>43465</v>
      </c>
      <c r="BV468" s="16"/>
      <c r="BW468" s="17"/>
      <c r="BX468" s="16">
        <v>12</v>
      </c>
      <c r="BY468" s="17">
        <v>44012</v>
      </c>
      <c r="BZ468" s="19">
        <v>41.05103619534475</v>
      </c>
      <c r="CA468" s="19"/>
      <c r="CB468" s="17"/>
      <c r="CC468" s="14" t="s">
        <v>7606</v>
      </c>
      <c r="CD468" s="14" t="s">
        <v>8297</v>
      </c>
      <c r="CE468" s="14" t="s">
        <v>5004</v>
      </c>
    </row>
    <row r="469" spans="1:83" ht="26.15" customHeight="1">
      <c r="A469" s="13">
        <v>463</v>
      </c>
      <c r="B469" s="14" t="s">
        <v>110</v>
      </c>
      <c r="C469" s="14" t="s">
        <v>111</v>
      </c>
      <c r="D469" s="14" t="s">
        <v>114</v>
      </c>
      <c r="E469" s="13">
        <v>2010</v>
      </c>
      <c r="F469" s="14" t="s">
        <v>5038</v>
      </c>
      <c r="G469" s="14" t="s">
        <v>5039</v>
      </c>
      <c r="H469" s="14" t="s">
        <v>3994</v>
      </c>
      <c r="I469" s="15" t="s">
        <v>3117</v>
      </c>
      <c r="J469" s="16">
        <v>10726419</v>
      </c>
      <c r="K469" s="17">
        <v>44111</v>
      </c>
      <c r="L469" s="16" t="s">
        <v>5456</v>
      </c>
      <c r="M469" s="16">
        <v>4457650</v>
      </c>
      <c r="N469" s="14" t="s">
        <v>109</v>
      </c>
      <c r="O469" s="13">
        <v>4</v>
      </c>
      <c r="P469" s="17">
        <v>44117</v>
      </c>
      <c r="Q469" s="14"/>
      <c r="R469" s="17"/>
      <c r="S469" s="17"/>
      <c r="T469" s="14" t="s">
        <v>8298</v>
      </c>
      <c r="U469" s="14" t="s">
        <v>8299</v>
      </c>
      <c r="V469" s="14" t="s">
        <v>8300</v>
      </c>
      <c r="W469" s="14"/>
      <c r="X469" s="14" t="s">
        <v>8301</v>
      </c>
      <c r="Y469" s="14" t="s">
        <v>2751</v>
      </c>
      <c r="Z469" s="14" t="s">
        <v>8302</v>
      </c>
      <c r="AA469" s="14"/>
      <c r="AB469" s="14" t="s">
        <v>3994</v>
      </c>
      <c r="AC469" s="14" t="s">
        <v>8303</v>
      </c>
      <c r="AD469" s="14" t="s">
        <v>8304</v>
      </c>
      <c r="AE469" s="14" t="s">
        <v>8305</v>
      </c>
      <c r="AF469" s="14" t="s">
        <v>8306</v>
      </c>
      <c r="AG469" s="14" t="s">
        <v>8307</v>
      </c>
      <c r="AH469" s="18"/>
      <c r="AI469" s="16">
        <v>2361270.2240646211</v>
      </c>
      <c r="AJ469" s="17">
        <v>43100</v>
      </c>
      <c r="AK469" s="15" t="s">
        <v>3117</v>
      </c>
      <c r="AL469" s="17">
        <v>41001</v>
      </c>
      <c r="AM469" s="16">
        <v>1916</v>
      </c>
      <c r="AN469" s="14" t="s">
        <v>8308</v>
      </c>
      <c r="AO469" s="14"/>
      <c r="AP469" s="15" t="s">
        <v>3123</v>
      </c>
      <c r="AQ469" s="14"/>
      <c r="AR469" s="17"/>
      <c r="AS469" s="16"/>
      <c r="AT469" s="14"/>
      <c r="AU469" s="15" t="s">
        <v>3123</v>
      </c>
      <c r="AV469" s="14"/>
      <c r="AW469" s="17"/>
      <c r="AX469" s="16"/>
      <c r="AY469" s="16"/>
      <c r="AZ469" s="16"/>
      <c r="BA469" s="16"/>
      <c r="BB469" s="15" t="s">
        <v>3123</v>
      </c>
      <c r="BC469" s="17"/>
      <c r="BD469" s="14"/>
      <c r="BE469" s="14"/>
      <c r="BF469" s="16"/>
      <c r="BG469" s="16"/>
      <c r="BH469" s="13"/>
      <c r="BI469" s="18" t="s">
        <v>8309</v>
      </c>
      <c r="BJ469" s="13">
        <v>200</v>
      </c>
      <c r="BK469" s="17">
        <v>44122</v>
      </c>
      <c r="BL469" s="18"/>
      <c r="BM469" s="18"/>
      <c r="BN469" s="18" t="s">
        <v>8310</v>
      </c>
      <c r="BO469" s="18"/>
      <c r="BP469" s="14" t="s">
        <v>8311</v>
      </c>
      <c r="BQ469" s="17">
        <v>42338</v>
      </c>
      <c r="BR469" s="16">
        <v>-111510.30019563364</v>
      </c>
      <c r="BS469" s="17">
        <v>43100</v>
      </c>
      <c r="BT469" s="16">
        <v>-82007.642168857114</v>
      </c>
      <c r="BU469" s="17">
        <v>43100</v>
      </c>
      <c r="BV469" s="16">
        <v>10000000</v>
      </c>
      <c r="BW469" s="17">
        <v>43920</v>
      </c>
      <c r="BX469" s="16">
        <v>124</v>
      </c>
      <c r="BY469" s="17">
        <v>44012</v>
      </c>
      <c r="BZ469" s="19">
        <v>53.161392342942918</v>
      </c>
      <c r="CA469" s="19"/>
      <c r="CB469" s="17"/>
      <c r="CC469" s="14" t="s">
        <v>7193</v>
      </c>
      <c r="CD469" s="14" t="s">
        <v>8312</v>
      </c>
      <c r="CE469" s="14" t="s">
        <v>5311</v>
      </c>
    </row>
    <row r="470" spans="1:83" ht="26.15" customHeight="1">
      <c r="A470" s="13">
        <v>464</v>
      </c>
      <c r="B470" s="14" t="s">
        <v>1205</v>
      </c>
      <c r="C470" s="14" t="s">
        <v>1206</v>
      </c>
      <c r="D470" s="14" t="s">
        <v>1209</v>
      </c>
      <c r="E470" s="13">
        <v>2014</v>
      </c>
      <c r="F470" s="14" t="s">
        <v>5389</v>
      </c>
      <c r="G470" s="14" t="s">
        <v>5390</v>
      </c>
      <c r="H470" s="14" t="s">
        <v>5391</v>
      </c>
      <c r="I470" s="15" t="s">
        <v>3117</v>
      </c>
      <c r="J470" s="16"/>
      <c r="K470" s="17">
        <v>43500</v>
      </c>
      <c r="L470" s="16"/>
      <c r="M470" s="16" t="s">
        <v>50</v>
      </c>
      <c r="N470" s="14" t="s">
        <v>34</v>
      </c>
      <c r="O470" s="13">
        <v>4</v>
      </c>
      <c r="P470" s="17">
        <v>44013</v>
      </c>
      <c r="Q470" s="14"/>
      <c r="R470" s="17"/>
      <c r="S470" s="17"/>
      <c r="T470" s="14" t="s">
        <v>8325</v>
      </c>
      <c r="U470" s="14" t="s">
        <v>8326</v>
      </c>
      <c r="V470" s="14" t="s">
        <v>8327</v>
      </c>
      <c r="W470" s="14"/>
      <c r="X470" s="14" t="s">
        <v>8328</v>
      </c>
      <c r="Y470" s="14"/>
      <c r="Z470" s="14" t="s">
        <v>8329</v>
      </c>
      <c r="AA470" s="14"/>
      <c r="AB470" s="14" t="s">
        <v>5391</v>
      </c>
      <c r="AC470" s="14" t="s">
        <v>8330</v>
      </c>
      <c r="AD470" s="14" t="s">
        <v>8331</v>
      </c>
      <c r="AE470" s="14" t="s">
        <v>8332</v>
      </c>
      <c r="AF470" s="14" t="s">
        <v>8333</v>
      </c>
      <c r="AG470" s="14" t="s">
        <v>8334</v>
      </c>
      <c r="AH470" s="18" t="s">
        <v>8335</v>
      </c>
      <c r="AI470" s="16"/>
      <c r="AJ470" s="17"/>
      <c r="AK470" s="15" t="s">
        <v>3123</v>
      </c>
      <c r="AL470" s="17"/>
      <c r="AM470" s="16"/>
      <c r="AN470" s="14"/>
      <c r="AO470" s="14"/>
      <c r="AP470" s="15" t="s">
        <v>3123</v>
      </c>
      <c r="AQ470" s="14"/>
      <c r="AR470" s="17"/>
      <c r="AS470" s="16"/>
      <c r="AT470" s="14"/>
      <c r="AU470" s="15" t="s">
        <v>3123</v>
      </c>
      <c r="AV470" s="14"/>
      <c r="AW470" s="17"/>
      <c r="AX470" s="16"/>
      <c r="AY470" s="16"/>
      <c r="AZ470" s="16"/>
      <c r="BA470" s="16"/>
      <c r="BB470" s="15" t="s">
        <v>3123</v>
      </c>
      <c r="BC470" s="17"/>
      <c r="BD470" s="14"/>
      <c r="BE470" s="14"/>
      <c r="BF470" s="16"/>
      <c r="BG470" s="16"/>
      <c r="BH470" s="13"/>
      <c r="BI470" s="18" t="s">
        <v>8336</v>
      </c>
      <c r="BJ470" s="13">
        <v>200</v>
      </c>
      <c r="BK470" s="17">
        <v>44121</v>
      </c>
      <c r="BL470" s="18" t="s">
        <v>8337</v>
      </c>
      <c r="BM470" s="18" t="s">
        <v>8338</v>
      </c>
      <c r="BN470" s="18" t="s">
        <v>8339</v>
      </c>
      <c r="BO470" s="18"/>
      <c r="BP470" s="14" t="s">
        <v>8340</v>
      </c>
      <c r="BQ470" s="17">
        <v>42586</v>
      </c>
      <c r="BR470" s="16"/>
      <c r="BS470" s="17"/>
      <c r="BT470" s="16"/>
      <c r="BU470" s="17"/>
      <c r="BV470" s="16"/>
      <c r="BW470" s="17"/>
      <c r="BX470" s="16"/>
      <c r="BY470" s="17"/>
      <c r="BZ470" s="19">
        <v>42.46388502461155</v>
      </c>
      <c r="CA470" s="19"/>
      <c r="CB470" s="17"/>
      <c r="CC470" s="14" t="s">
        <v>8341</v>
      </c>
      <c r="CD470" s="14" t="s">
        <v>6839</v>
      </c>
      <c r="CE470" s="14" t="s">
        <v>7194</v>
      </c>
    </row>
    <row r="471" spans="1:83" ht="26.15" customHeight="1">
      <c r="A471" s="13">
        <v>465</v>
      </c>
      <c r="B471" s="14" t="s">
        <v>2448</v>
      </c>
      <c r="C471" s="14" t="s">
        <v>2449</v>
      </c>
      <c r="D471" s="14" t="s">
        <v>2450</v>
      </c>
      <c r="E471" s="13">
        <v>2013</v>
      </c>
      <c r="F471" s="14" t="s">
        <v>8342</v>
      </c>
      <c r="G471" s="14" t="s">
        <v>8343</v>
      </c>
      <c r="H471" s="14" t="s">
        <v>6632</v>
      </c>
      <c r="I471" s="15" t="s">
        <v>3117</v>
      </c>
      <c r="J471" s="16"/>
      <c r="K471" s="17">
        <v>42489</v>
      </c>
      <c r="L471" s="16" t="s">
        <v>9376</v>
      </c>
      <c r="M471" s="16">
        <v>33000</v>
      </c>
      <c r="N471" s="14" t="s">
        <v>5040</v>
      </c>
      <c r="O471" s="13"/>
      <c r="P471" s="17"/>
      <c r="Q471" s="14"/>
      <c r="R471" s="17"/>
      <c r="S471" s="17"/>
      <c r="T471" s="14" t="s">
        <v>1</v>
      </c>
      <c r="U471" s="14" t="s">
        <v>5007</v>
      </c>
      <c r="V471" s="14" t="s">
        <v>5192</v>
      </c>
      <c r="W471" s="14"/>
      <c r="X471" s="14" t="s">
        <v>9719</v>
      </c>
      <c r="Y471" s="14"/>
      <c r="Z471" s="14" t="s">
        <v>9720</v>
      </c>
      <c r="AA471" s="14"/>
      <c r="AB471" s="14" t="s">
        <v>6632</v>
      </c>
      <c r="AC471" s="14"/>
      <c r="AD471" s="14"/>
      <c r="AE471" s="14" t="s">
        <v>9721</v>
      </c>
      <c r="AF471" s="14" t="s">
        <v>9722</v>
      </c>
      <c r="AG471" s="14" t="s">
        <v>9723</v>
      </c>
      <c r="AH471" s="18"/>
      <c r="AI471" s="16"/>
      <c r="AJ471" s="17"/>
      <c r="AK471" s="15" t="s">
        <v>3123</v>
      </c>
      <c r="AL471" s="17"/>
      <c r="AM471" s="16"/>
      <c r="AN471" s="14"/>
      <c r="AO471" s="14"/>
      <c r="AP471" s="15" t="s">
        <v>3123</v>
      </c>
      <c r="AQ471" s="14"/>
      <c r="AR471" s="17"/>
      <c r="AS471" s="16"/>
      <c r="AT471" s="14"/>
      <c r="AU471" s="15" t="s">
        <v>3123</v>
      </c>
      <c r="AV471" s="14"/>
      <c r="AW471" s="17"/>
      <c r="AX471" s="16"/>
      <c r="AY471" s="16"/>
      <c r="AZ471" s="16"/>
      <c r="BA471" s="16"/>
      <c r="BB471" s="15" t="s">
        <v>3123</v>
      </c>
      <c r="BC471" s="17"/>
      <c r="BD471" s="14"/>
      <c r="BE471" s="14"/>
      <c r="BF471" s="16"/>
      <c r="BG471" s="16"/>
      <c r="BH471" s="13"/>
      <c r="BI471" s="18" t="s">
        <v>9724</v>
      </c>
      <c r="BJ471" s="13">
        <v>200</v>
      </c>
      <c r="BK471" s="17">
        <v>44121</v>
      </c>
      <c r="BL471" s="18" t="s">
        <v>9725</v>
      </c>
      <c r="BM471" s="18" t="s">
        <v>9726</v>
      </c>
      <c r="BN471" s="18" t="s">
        <v>9727</v>
      </c>
      <c r="BO471" s="18"/>
      <c r="BP471" s="14" t="s">
        <v>9728</v>
      </c>
      <c r="BQ471" s="17">
        <v>43019</v>
      </c>
      <c r="BR471" s="16"/>
      <c r="BS471" s="17"/>
      <c r="BT471" s="16"/>
      <c r="BU471" s="17"/>
      <c r="BV471" s="16"/>
      <c r="BW471" s="17"/>
      <c r="BX471" s="16"/>
      <c r="BY471" s="17"/>
      <c r="BZ471" s="19">
        <v>31.990144741687711</v>
      </c>
      <c r="CA471" s="19"/>
      <c r="CB471" s="17"/>
      <c r="CC471" s="14" t="s">
        <v>5036</v>
      </c>
      <c r="CD471" s="14" t="s">
        <v>5962</v>
      </c>
      <c r="CE471" s="14" t="s">
        <v>5945</v>
      </c>
    </row>
    <row r="472" spans="1:83" ht="26.15" customHeight="1">
      <c r="A472" s="13">
        <v>466</v>
      </c>
      <c r="B472" s="14" t="s">
        <v>2005</v>
      </c>
      <c r="C472" s="14" t="s">
        <v>2006</v>
      </c>
      <c r="D472" s="14" t="s">
        <v>2009</v>
      </c>
      <c r="E472" s="13">
        <v>2014</v>
      </c>
      <c r="F472" s="14" t="s">
        <v>8342</v>
      </c>
      <c r="G472" s="14" t="s">
        <v>8343</v>
      </c>
      <c r="H472" s="14" t="s">
        <v>6632</v>
      </c>
      <c r="I472" s="15" t="s">
        <v>3117</v>
      </c>
      <c r="J472" s="16"/>
      <c r="K472" s="17">
        <v>42972</v>
      </c>
      <c r="L472" s="16"/>
      <c r="M472" s="16" t="s">
        <v>50</v>
      </c>
      <c r="N472" s="14" t="s">
        <v>5040</v>
      </c>
      <c r="O472" s="13">
        <v>2</v>
      </c>
      <c r="P472" s="17">
        <v>44019</v>
      </c>
      <c r="Q472" s="14"/>
      <c r="R472" s="17"/>
      <c r="S472" s="17"/>
      <c r="T472" s="14" t="s">
        <v>5493</v>
      </c>
      <c r="U472" s="14" t="s">
        <v>5494</v>
      </c>
      <c r="V472" s="14" t="s">
        <v>8344</v>
      </c>
      <c r="W472" s="14"/>
      <c r="X472" s="14" t="s">
        <v>8345</v>
      </c>
      <c r="Y472" s="14"/>
      <c r="Z472" s="14" t="s">
        <v>8346</v>
      </c>
      <c r="AA472" s="14"/>
      <c r="AB472" s="14" t="s">
        <v>6632</v>
      </c>
      <c r="AC472" s="14" t="s">
        <v>8347</v>
      </c>
      <c r="AD472" s="14"/>
      <c r="AE472" s="14" t="s">
        <v>8348</v>
      </c>
      <c r="AF472" s="14"/>
      <c r="AG472" s="14" t="s">
        <v>8349</v>
      </c>
      <c r="AH472" s="18" t="s">
        <v>8350</v>
      </c>
      <c r="AI472" s="16"/>
      <c r="AJ472" s="17"/>
      <c r="AK472" s="15" t="s">
        <v>3123</v>
      </c>
      <c r="AL472" s="17"/>
      <c r="AM472" s="16"/>
      <c r="AN472" s="14"/>
      <c r="AO472" s="14"/>
      <c r="AP472" s="15" t="s">
        <v>3123</v>
      </c>
      <c r="AQ472" s="14"/>
      <c r="AR472" s="17"/>
      <c r="AS472" s="16"/>
      <c r="AT472" s="14"/>
      <c r="AU472" s="15" t="s">
        <v>3123</v>
      </c>
      <c r="AV472" s="14"/>
      <c r="AW472" s="17"/>
      <c r="AX472" s="16"/>
      <c r="AY472" s="16"/>
      <c r="AZ472" s="16"/>
      <c r="BA472" s="16"/>
      <c r="BB472" s="15" t="s">
        <v>3123</v>
      </c>
      <c r="BC472" s="17"/>
      <c r="BD472" s="14"/>
      <c r="BE472" s="14"/>
      <c r="BF472" s="16"/>
      <c r="BG472" s="16"/>
      <c r="BH472" s="13"/>
      <c r="BI472" s="18" t="s">
        <v>8351</v>
      </c>
      <c r="BJ472" s="13">
        <v>200</v>
      </c>
      <c r="BK472" s="17">
        <v>44121</v>
      </c>
      <c r="BL472" s="18" t="s">
        <v>8352</v>
      </c>
      <c r="BM472" s="18" t="s">
        <v>8353</v>
      </c>
      <c r="BN472" s="18" t="s">
        <v>8354</v>
      </c>
      <c r="BO472" s="18"/>
      <c r="BP472" s="14" t="s">
        <v>8355</v>
      </c>
      <c r="BQ472" s="17">
        <v>43020</v>
      </c>
      <c r="BR472" s="16"/>
      <c r="BS472" s="17"/>
      <c r="BT472" s="16"/>
      <c r="BU472" s="17"/>
      <c r="BV472" s="16"/>
      <c r="BW472" s="17"/>
      <c r="BX472" s="16"/>
      <c r="BY472" s="17"/>
      <c r="BZ472" s="19">
        <v>30.734636613479633</v>
      </c>
      <c r="CA472" s="19"/>
      <c r="CB472" s="17"/>
      <c r="CC472" s="14" t="s">
        <v>8356</v>
      </c>
      <c r="CD472" s="14" t="s">
        <v>6557</v>
      </c>
      <c r="CE472" s="14" t="s">
        <v>5945</v>
      </c>
    </row>
    <row r="473" spans="1:83" ht="26.15" hidden="1" customHeight="1">
      <c r="A473" s="13">
        <v>467</v>
      </c>
      <c r="B473" s="14" t="s">
        <v>2604</v>
      </c>
      <c r="C473" s="14" t="s">
        <v>2605</v>
      </c>
      <c r="D473" s="14" t="s">
        <v>2607</v>
      </c>
      <c r="E473" s="13">
        <v>1988</v>
      </c>
      <c r="F473" s="14" t="s">
        <v>6666</v>
      </c>
      <c r="G473" s="14" t="s">
        <v>6380</v>
      </c>
      <c r="H473" s="14" t="s">
        <v>4343</v>
      </c>
      <c r="I473" s="15" t="s">
        <v>3117</v>
      </c>
      <c r="J473" s="16">
        <v>180000000</v>
      </c>
      <c r="K473" s="17">
        <v>42293</v>
      </c>
      <c r="L473" s="16" t="s">
        <v>9729</v>
      </c>
      <c r="M473" s="16">
        <v>180000000</v>
      </c>
      <c r="N473" s="14" t="s">
        <v>5335</v>
      </c>
      <c r="O473" s="13">
        <v>1</v>
      </c>
      <c r="P473" s="17">
        <v>43993</v>
      </c>
      <c r="Q473" s="14"/>
      <c r="R473" s="17"/>
      <c r="S473" s="17"/>
      <c r="T473" s="14" t="s">
        <v>5442</v>
      </c>
      <c r="U473" s="14" t="s">
        <v>5443</v>
      </c>
      <c r="V473" s="14" t="s">
        <v>9730</v>
      </c>
      <c r="W473" s="14"/>
      <c r="X473" s="14" t="s">
        <v>9731</v>
      </c>
      <c r="Y473" s="14"/>
      <c r="Z473" s="14" t="s">
        <v>9732</v>
      </c>
      <c r="AA473" s="14"/>
      <c r="AB473" s="14" t="s">
        <v>4343</v>
      </c>
      <c r="AC473" s="14"/>
      <c r="AD473" s="14"/>
      <c r="AE473" s="14" t="s">
        <v>9733</v>
      </c>
      <c r="AF473" s="14" t="s">
        <v>9734</v>
      </c>
      <c r="AG473" s="14" t="s">
        <v>9735</v>
      </c>
      <c r="AH473" s="18" t="s">
        <v>9736</v>
      </c>
      <c r="AI473" s="16"/>
      <c r="AJ473" s="17"/>
      <c r="AK473" s="15" t="s">
        <v>3123</v>
      </c>
      <c r="AL473" s="17"/>
      <c r="AM473" s="16"/>
      <c r="AN473" s="14"/>
      <c r="AO473" s="14"/>
      <c r="AP473" s="15" t="s">
        <v>3117</v>
      </c>
      <c r="AQ473" s="14" t="s">
        <v>4682</v>
      </c>
      <c r="AR473" s="17">
        <v>41894</v>
      </c>
      <c r="AS473" s="16">
        <v>20000000</v>
      </c>
      <c r="AT473" s="14" t="s">
        <v>5342</v>
      </c>
      <c r="AU473" s="15" t="s">
        <v>3123</v>
      </c>
      <c r="AV473" s="14"/>
      <c r="AW473" s="17"/>
      <c r="AX473" s="16"/>
      <c r="AY473" s="16"/>
      <c r="AZ473" s="16"/>
      <c r="BA473" s="16"/>
      <c r="BB473" s="15" t="s">
        <v>3123</v>
      </c>
      <c r="BC473" s="17"/>
      <c r="BD473" s="14"/>
      <c r="BE473" s="14"/>
      <c r="BF473" s="16"/>
      <c r="BG473" s="16"/>
      <c r="BH473" s="13"/>
      <c r="BI473" s="18" t="s">
        <v>9737</v>
      </c>
      <c r="BJ473" s="13">
        <v>200</v>
      </c>
      <c r="BK473" s="17">
        <v>44121</v>
      </c>
      <c r="BL473" s="18" t="s">
        <v>9738</v>
      </c>
      <c r="BM473" s="18"/>
      <c r="BN473" s="18"/>
      <c r="BO473" s="18"/>
      <c r="BP473" s="14" t="s">
        <v>9739</v>
      </c>
      <c r="BQ473" s="17">
        <v>42930</v>
      </c>
      <c r="BR473" s="16"/>
      <c r="BS473" s="17"/>
      <c r="BT473" s="16"/>
      <c r="BU473" s="17"/>
      <c r="BV473" s="16"/>
      <c r="BW473" s="17"/>
      <c r="BX473" s="16"/>
      <c r="BY473" s="17"/>
      <c r="BZ473" s="19">
        <v>37.569563972516832</v>
      </c>
      <c r="CA473" s="19"/>
      <c r="CB473" s="17"/>
      <c r="CC473" s="14" t="s">
        <v>5036</v>
      </c>
      <c r="CD473" s="14" t="s">
        <v>5962</v>
      </c>
      <c r="CE473" s="14" t="s">
        <v>5945</v>
      </c>
    </row>
    <row r="474" spans="1:83" ht="26.15" customHeight="1">
      <c r="A474" s="13">
        <v>468</v>
      </c>
      <c r="B474" s="14" t="s">
        <v>856</v>
      </c>
      <c r="C474" s="14" t="s">
        <v>857</v>
      </c>
      <c r="D474" s="14" t="s">
        <v>861</v>
      </c>
      <c r="E474" s="13">
        <v>2014</v>
      </c>
      <c r="F474" s="14" t="s">
        <v>8357</v>
      </c>
      <c r="G474" s="14" t="s">
        <v>5804</v>
      </c>
      <c r="H474" s="14" t="s">
        <v>5208</v>
      </c>
      <c r="I474" s="15" t="s">
        <v>3117</v>
      </c>
      <c r="J474" s="16">
        <v>7000000</v>
      </c>
      <c r="K474" s="17">
        <v>43712</v>
      </c>
      <c r="L474" s="16" t="s">
        <v>6481</v>
      </c>
      <c r="M474" s="16">
        <v>5800000</v>
      </c>
      <c r="N474" s="14" t="s">
        <v>109</v>
      </c>
      <c r="O474" s="13">
        <v>5</v>
      </c>
      <c r="P474" s="17">
        <v>44057</v>
      </c>
      <c r="Q474" s="14" t="s">
        <v>5052</v>
      </c>
      <c r="R474" s="17">
        <v>43719</v>
      </c>
      <c r="S474" s="17">
        <v>43712</v>
      </c>
      <c r="T474" s="14" t="s">
        <v>5041</v>
      </c>
      <c r="U474" s="14" t="s">
        <v>5042</v>
      </c>
      <c r="V474" s="14" t="s">
        <v>7413</v>
      </c>
      <c r="W474" s="14"/>
      <c r="X474" s="14" t="s">
        <v>8358</v>
      </c>
      <c r="Y474" s="14"/>
      <c r="Z474" s="14" t="s">
        <v>8359</v>
      </c>
      <c r="AA474" s="14"/>
      <c r="AB474" s="14" t="s">
        <v>5208</v>
      </c>
      <c r="AC474" s="14" t="s">
        <v>8360</v>
      </c>
      <c r="AD474" s="14" t="s">
        <v>8361</v>
      </c>
      <c r="AE474" s="14" t="s">
        <v>8362</v>
      </c>
      <c r="AF474" s="14" t="s">
        <v>8363</v>
      </c>
      <c r="AG474" s="14" t="s">
        <v>8364</v>
      </c>
      <c r="AH474" s="18" t="s">
        <v>8365</v>
      </c>
      <c r="AI474" s="16"/>
      <c r="AJ474" s="17"/>
      <c r="AK474" s="15" t="s">
        <v>3123</v>
      </c>
      <c r="AL474" s="17"/>
      <c r="AM474" s="16"/>
      <c r="AN474" s="14"/>
      <c r="AO474" s="14"/>
      <c r="AP474" s="15" t="s">
        <v>3123</v>
      </c>
      <c r="AQ474" s="14"/>
      <c r="AR474" s="17"/>
      <c r="AS474" s="16"/>
      <c r="AT474" s="14"/>
      <c r="AU474" s="15" t="s">
        <v>3123</v>
      </c>
      <c r="AV474" s="14"/>
      <c r="AW474" s="17"/>
      <c r="AX474" s="16"/>
      <c r="AY474" s="16"/>
      <c r="AZ474" s="16"/>
      <c r="BA474" s="16"/>
      <c r="BB474" s="15" t="s">
        <v>3123</v>
      </c>
      <c r="BC474" s="17"/>
      <c r="BD474" s="14"/>
      <c r="BE474" s="14"/>
      <c r="BF474" s="16"/>
      <c r="BG474" s="16"/>
      <c r="BH474" s="13"/>
      <c r="BI474" s="18" t="s">
        <v>8366</v>
      </c>
      <c r="BJ474" s="13">
        <v>200</v>
      </c>
      <c r="BK474" s="17">
        <v>44121</v>
      </c>
      <c r="BL474" s="18" t="s">
        <v>8367</v>
      </c>
      <c r="BM474" s="18" t="s">
        <v>8368</v>
      </c>
      <c r="BN474" s="18" t="s">
        <v>8369</v>
      </c>
      <c r="BO474" s="18" t="s">
        <v>8370</v>
      </c>
      <c r="BP474" s="14" t="s">
        <v>8371</v>
      </c>
      <c r="BQ474" s="17">
        <v>43019</v>
      </c>
      <c r="BR474" s="16"/>
      <c r="BS474" s="17"/>
      <c r="BT474" s="16"/>
      <c r="BU474" s="17"/>
      <c r="BV474" s="16"/>
      <c r="BW474" s="17"/>
      <c r="BX474" s="16"/>
      <c r="BY474" s="17"/>
      <c r="BZ474" s="19">
        <v>49.110272606634908</v>
      </c>
      <c r="CA474" s="19"/>
      <c r="CB474" s="17"/>
      <c r="CC474" s="14" t="s">
        <v>8372</v>
      </c>
      <c r="CD474" s="14" t="s">
        <v>5879</v>
      </c>
      <c r="CE474" s="14" t="s">
        <v>5004</v>
      </c>
    </row>
    <row r="475" spans="1:83" ht="26.15" customHeight="1">
      <c r="A475" s="13">
        <v>469</v>
      </c>
      <c r="B475" s="14" t="s">
        <v>1265</v>
      </c>
      <c r="C475" s="14" t="s">
        <v>1266</v>
      </c>
      <c r="D475" s="14" t="s">
        <v>1268</v>
      </c>
      <c r="E475" s="13">
        <v>2011</v>
      </c>
      <c r="F475" s="14" t="s">
        <v>4993</v>
      </c>
      <c r="G475" s="14" t="s">
        <v>4994</v>
      </c>
      <c r="H475" s="14" t="s">
        <v>2057</v>
      </c>
      <c r="I475" s="15" t="s">
        <v>3117</v>
      </c>
      <c r="J475" s="16">
        <v>20000000</v>
      </c>
      <c r="K475" s="17">
        <v>43467</v>
      </c>
      <c r="L475" s="16"/>
      <c r="M475" s="16" t="s">
        <v>50</v>
      </c>
      <c r="N475" s="14" t="s">
        <v>95</v>
      </c>
      <c r="O475" s="13">
        <v>5</v>
      </c>
      <c r="P475" s="17">
        <v>44027</v>
      </c>
      <c r="Q475" s="14"/>
      <c r="R475" s="17"/>
      <c r="S475" s="17"/>
      <c r="T475" s="14" t="s">
        <v>5509</v>
      </c>
      <c r="U475" s="14" t="s">
        <v>5510</v>
      </c>
      <c r="V475" s="14" t="s">
        <v>7886</v>
      </c>
      <c r="W475" s="14"/>
      <c r="X475" s="14" t="s">
        <v>8389</v>
      </c>
      <c r="Y475" s="14"/>
      <c r="Z475" s="14" t="s">
        <v>8390</v>
      </c>
      <c r="AA475" s="14"/>
      <c r="AB475" s="14" t="s">
        <v>2057</v>
      </c>
      <c r="AC475" s="14"/>
      <c r="AD475" s="14"/>
      <c r="AE475" s="14"/>
      <c r="AF475" s="14"/>
      <c r="AG475" s="14"/>
      <c r="AH475" s="18"/>
      <c r="AI475" s="16"/>
      <c r="AJ475" s="17"/>
      <c r="AK475" s="15" t="s">
        <v>3123</v>
      </c>
      <c r="AL475" s="17"/>
      <c r="AM475" s="16"/>
      <c r="AN475" s="14"/>
      <c r="AO475" s="14"/>
      <c r="AP475" s="15" t="s">
        <v>3123</v>
      </c>
      <c r="AQ475" s="14"/>
      <c r="AR475" s="17"/>
      <c r="AS475" s="16"/>
      <c r="AT475" s="14"/>
      <c r="AU475" s="15" t="s">
        <v>3123</v>
      </c>
      <c r="AV475" s="14"/>
      <c r="AW475" s="17"/>
      <c r="AX475" s="16"/>
      <c r="AY475" s="16"/>
      <c r="AZ475" s="16"/>
      <c r="BA475" s="16"/>
      <c r="BB475" s="15" t="s">
        <v>3123</v>
      </c>
      <c r="BC475" s="17"/>
      <c r="BD475" s="14"/>
      <c r="BE475" s="14"/>
      <c r="BF475" s="16"/>
      <c r="BG475" s="16"/>
      <c r="BH475" s="13"/>
      <c r="BI475" s="18" t="s">
        <v>8391</v>
      </c>
      <c r="BJ475" s="13">
        <v>200</v>
      </c>
      <c r="BK475" s="17">
        <v>44121</v>
      </c>
      <c r="BL475" s="18"/>
      <c r="BM475" s="18"/>
      <c r="BN475" s="18"/>
      <c r="BO475" s="18"/>
      <c r="BP475" s="14" t="s">
        <v>8392</v>
      </c>
      <c r="BQ475" s="17">
        <v>42492</v>
      </c>
      <c r="BR475" s="16"/>
      <c r="BS475" s="17"/>
      <c r="BT475" s="16"/>
      <c r="BU475" s="17"/>
      <c r="BV475" s="16"/>
      <c r="BW475" s="17"/>
      <c r="BX475" s="16"/>
      <c r="BY475" s="17"/>
      <c r="BZ475" s="19">
        <v>45.561121317924353</v>
      </c>
      <c r="CA475" s="19"/>
      <c r="CB475" s="17"/>
      <c r="CC475" s="14" t="s">
        <v>6556</v>
      </c>
      <c r="CD475" s="14" t="s">
        <v>6731</v>
      </c>
      <c r="CE475" s="14" t="s">
        <v>6074</v>
      </c>
    </row>
    <row r="476" spans="1:83" ht="26.15" customHeight="1">
      <c r="A476" s="13">
        <v>470</v>
      </c>
      <c r="B476" s="14" t="s">
        <v>2717</v>
      </c>
      <c r="C476" s="14" t="s">
        <v>2718</v>
      </c>
      <c r="D476" s="14" t="s">
        <v>2719</v>
      </c>
      <c r="E476" s="13">
        <v>2012</v>
      </c>
      <c r="F476" s="14" t="s">
        <v>5389</v>
      </c>
      <c r="G476" s="14" t="s">
        <v>5390</v>
      </c>
      <c r="H476" s="14" t="s">
        <v>5391</v>
      </c>
      <c r="I476" s="15" t="s">
        <v>3117</v>
      </c>
      <c r="J476" s="16">
        <v>50000</v>
      </c>
      <c r="K476" s="17">
        <v>42156</v>
      </c>
      <c r="L476" s="16" t="s">
        <v>5425</v>
      </c>
      <c r="M476" s="16">
        <v>50000</v>
      </c>
      <c r="N476" s="14" t="s">
        <v>5630</v>
      </c>
      <c r="O476" s="13"/>
      <c r="P476" s="17">
        <v>44027</v>
      </c>
      <c r="Q476" s="14"/>
      <c r="R476" s="17"/>
      <c r="S476" s="17"/>
      <c r="T476" s="14" t="s">
        <v>5509</v>
      </c>
      <c r="U476" s="14" t="s">
        <v>5510</v>
      </c>
      <c r="V476" s="14" t="s">
        <v>9346</v>
      </c>
      <c r="W476" s="14"/>
      <c r="X476" s="14" t="s">
        <v>9740</v>
      </c>
      <c r="Y476" s="14"/>
      <c r="Z476" s="14" t="s">
        <v>9741</v>
      </c>
      <c r="AA476" s="14"/>
      <c r="AB476" s="14" t="s">
        <v>5391</v>
      </c>
      <c r="AC476" s="14" t="s">
        <v>9742</v>
      </c>
      <c r="AD476" s="14"/>
      <c r="AE476" s="14" t="s">
        <v>9743</v>
      </c>
      <c r="AF476" s="14" t="s">
        <v>9744</v>
      </c>
      <c r="AG476" s="14" t="s">
        <v>9745</v>
      </c>
      <c r="AH476" s="18"/>
      <c r="AI476" s="16"/>
      <c r="AJ476" s="17"/>
      <c r="AK476" s="15" t="s">
        <v>3123</v>
      </c>
      <c r="AL476" s="17"/>
      <c r="AM476" s="16"/>
      <c r="AN476" s="14"/>
      <c r="AO476" s="14"/>
      <c r="AP476" s="15" t="s">
        <v>3123</v>
      </c>
      <c r="AQ476" s="14"/>
      <c r="AR476" s="17"/>
      <c r="AS476" s="16"/>
      <c r="AT476" s="14"/>
      <c r="AU476" s="15" t="s">
        <v>3123</v>
      </c>
      <c r="AV476" s="14"/>
      <c r="AW476" s="17"/>
      <c r="AX476" s="16"/>
      <c r="AY476" s="16"/>
      <c r="AZ476" s="16"/>
      <c r="BA476" s="16"/>
      <c r="BB476" s="15" t="s">
        <v>3117</v>
      </c>
      <c r="BC476" s="17">
        <v>42887</v>
      </c>
      <c r="BD476" s="14"/>
      <c r="BE476" s="14"/>
      <c r="BF476" s="16"/>
      <c r="BG476" s="16"/>
      <c r="BH476" s="13"/>
      <c r="BI476" s="18" t="s">
        <v>9746</v>
      </c>
      <c r="BJ476" s="13">
        <v>200</v>
      </c>
      <c r="BK476" s="17">
        <v>44121</v>
      </c>
      <c r="BL476" s="18"/>
      <c r="BM476" s="18" t="s">
        <v>9747</v>
      </c>
      <c r="BN476" s="18"/>
      <c r="BO476" s="18"/>
      <c r="BP476" s="14" t="s">
        <v>9748</v>
      </c>
      <c r="BQ476" s="17">
        <v>42647</v>
      </c>
      <c r="BR476" s="16"/>
      <c r="BS476" s="17"/>
      <c r="BT476" s="16"/>
      <c r="BU476" s="17"/>
      <c r="BV476" s="16"/>
      <c r="BW476" s="17"/>
      <c r="BX476" s="16"/>
      <c r="BY476" s="17"/>
      <c r="BZ476" s="19">
        <v>32.611406013130427</v>
      </c>
      <c r="CA476" s="19"/>
      <c r="CB476" s="17"/>
      <c r="CC476" s="14" t="s">
        <v>6556</v>
      </c>
      <c r="CD476" s="14" t="s">
        <v>6557</v>
      </c>
      <c r="CE476" s="14" t="s">
        <v>5945</v>
      </c>
    </row>
    <row r="477" spans="1:83" ht="26.15" hidden="1" customHeight="1">
      <c r="A477" s="13">
        <v>471</v>
      </c>
      <c r="B477" s="14" t="s">
        <v>2863</v>
      </c>
      <c r="C477" s="14" t="s">
        <v>2864</v>
      </c>
      <c r="D477" s="14" t="s">
        <v>2867</v>
      </c>
      <c r="E477" s="13">
        <v>2014</v>
      </c>
      <c r="F477" s="14" t="s">
        <v>9749</v>
      </c>
      <c r="G477" s="14" t="s">
        <v>9750</v>
      </c>
      <c r="H477" s="14" t="s">
        <v>6213</v>
      </c>
      <c r="I477" s="15" t="s">
        <v>3117</v>
      </c>
      <c r="J477" s="16"/>
      <c r="K477" s="17">
        <v>41791</v>
      </c>
      <c r="L477" s="16" t="s">
        <v>5425</v>
      </c>
      <c r="M477" s="16">
        <v>50000</v>
      </c>
      <c r="N477" s="14" t="s">
        <v>5040</v>
      </c>
      <c r="O477" s="13"/>
      <c r="P477" s="17"/>
      <c r="Q477" s="14"/>
      <c r="R477" s="17"/>
      <c r="S477" s="17"/>
      <c r="T477" s="14" t="s">
        <v>1</v>
      </c>
      <c r="U477" s="14" t="s">
        <v>5007</v>
      </c>
      <c r="V477" s="14" t="s">
        <v>9751</v>
      </c>
      <c r="W477" s="14"/>
      <c r="X477" s="14" t="s">
        <v>9752</v>
      </c>
      <c r="Y477" s="14"/>
      <c r="Z477" s="14" t="s">
        <v>9753</v>
      </c>
      <c r="AA477" s="14"/>
      <c r="AB477" s="14" t="s">
        <v>3135</v>
      </c>
      <c r="AC477" s="14"/>
      <c r="AD477" s="14"/>
      <c r="AE477" s="14" t="s">
        <v>9754</v>
      </c>
      <c r="AF477" s="14" t="s">
        <v>9755</v>
      </c>
      <c r="AG477" s="14" t="s">
        <v>9756</v>
      </c>
      <c r="AH477" s="18"/>
      <c r="AI477" s="16"/>
      <c r="AJ477" s="17"/>
      <c r="AK477" s="15" t="s">
        <v>3123</v>
      </c>
      <c r="AL477" s="17"/>
      <c r="AM477" s="16"/>
      <c r="AN477" s="14"/>
      <c r="AO477" s="14"/>
      <c r="AP477" s="15" t="s">
        <v>3123</v>
      </c>
      <c r="AQ477" s="14"/>
      <c r="AR477" s="17"/>
      <c r="AS477" s="16"/>
      <c r="AT477" s="14"/>
      <c r="AU477" s="15" t="s">
        <v>3123</v>
      </c>
      <c r="AV477" s="14"/>
      <c r="AW477" s="17"/>
      <c r="AX477" s="16"/>
      <c r="AY477" s="16"/>
      <c r="AZ477" s="16"/>
      <c r="BA477" s="16"/>
      <c r="BB477" s="15" t="s">
        <v>3123</v>
      </c>
      <c r="BC477" s="17"/>
      <c r="BD477" s="14"/>
      <c r="BE477" s="14"/>
      <c r="BF477" s="16"/>
      <c r="BG477" s="16"/>
      <c r="BH477" s="13"/>
      <c r="BI477" s="18" t="s">
        <v>9757</v>
      </c>
      <c r="BJ477" s="13">
        <v>200</v>
      </c>
      <c r="BK477" s="17">
        <v>44121</v>
      </c>
      <c r="BL477" s="18" t="s">
        <v>9758</v>
      </c>
      <c r="BM477" s="18" t="s">
        <v>9759</v>
      </c>
      <c r="BN477" s="18" t="s">
        <v>9760</v>
      </c>
      <c r="BO477" s="18" t="s">
        <v>9761</v>
      </c>
      <c r="BP477" s="14" t="s">
        <v>9762</v>
      </c>
      <c r="BQ477" s="17">
        <v>43021</v>
      </c>
      <c r="BR477" s="16"/>
      <c r="BS477" s="17"/>
      <c r="BT477" s="16"/>
      <c r="BU477" s="17"/>
      <c r="BV477" s="16"/>
      <c r="BW477" s="17"/>
      <c r="BX477" s="16"/>
      <c r="BY477" s="17"/>
      <c r="BZ477" s="19">
        <v>43.882889825048117</v>
      </c>
      <c r="CA477" s="19"/>
      <c r="CB477" s="17"/>
      <c r="CC477" s="14" t="s">
        <v>9763</v>
      </c>
      <c r="CD477" s="14" t="s">
        <v>7607</v>
      </c>
      <c r="CE477" s="14" t="s">
        <v>6074</v>
      </c>
    </row>
    <row r="478" spans="1:83" ht="26.15" customHeight="1">
      <c r="A478" s="13">
        <v>472</v>
      </c>
      <c r="B478" s="14" t="s">
        <v>1171</v>
      </c>
      <c r="C478" s="14" t="s">
        <v>1172</v>
      </c>
      <c r="D478" s="14" t="s">
        <v>1175</v>
      </c>
      <c r="E478" s="13">
        <v>2008</v>
      </c>
      <c r="F478" s="14" t="s">
        <v>5592</v>
      </c>
      <c r="G478" s="14" t="s">
        <v>5313</v>
      </c>
      <c r="H478" s="14" t="s">
        <v>3994</v>
      </c>
      <c r="I478" s="15" t="s">
        <v>3117</v>
      </c>
      <c r="J478" s="16">
        <v>47182672</v>
      </c>
      <c r="K478" s="17">
        <v>43536</v>
      </c>
      <c r="L478" s="16" t="s">
        <v>7743</v>
      </c>
      <c r="M478" s="16">
        <v>31182200</v>
      </c>
      <c r="N478" s="14" t="s">
        <v>95</v>
      </c>
      <c r="O478" s="13">
        <v>4</v>
      </c>
      <c r="P478" s="17">
        <v>44026</v>
      </c>
      <c r="Q478" s="14" t="s">
        <v>5544</v>
      </c>
      <c r="R478" s="17">
        <v>43649</v>
      </c>
      <c r="S478" s="17">
        <v>43590</v>
      </c>
      <c r="T478" s="14" t="s">
        <v>5493</v>
      </c>
      <c r="U478" s="14" t="s">
        <v>5494</v>
      </c>
      <c r="V478" s="14" t="s">
        <v>8393</v>
      </c>
      <c r="W478" s="14"/>
      <c r="X478" s="14" t="s">
        <v>8394</v>
      </c>
      <c r="Y478" s="14" t="s">
        <v>2973</v>
      </c>
      <c r="Z478" s="14" t="s">
        <v>8395</v>
      </c>
      <c r="AA478" s="14"/>
      <c r="AB478" s="14" t="s">
        <v>3994</v>
      </c>
      <c r="AC478" s="14" t="s">
        <v>8396</v>
      </c>
      <c r="AD478" s="14" t="s">
        <v>8397</v>
      </c>
      <c r="AE478" s="14" t="s">
        <v>8398</v>
      </c>
      <c r="AF478" s="14" t="s">
        <v>8399</v>
      </c>
      <c r="AG478" s="14" t="s">
        <v>8400</v>
      </c>
      <c r="AH478" s="18"/>
      <c r="AI478" s="16">
        <v>11618100</v>
      </c>
      <c r="AJ478" s="17">
        <v>43465</v>
      </c>
      <c r="AK478" s="15" t="s">
        <v>3117</v>
      </c>
      <c r="AL478" s="17">
        <v>39741</v>
      </c>
      <c r="AM478" s="16">
        <v>1986</v>
      </c>
      <c r="AN478" s="14" t="s">
        <v>8401</v>
      </c>
      <c r="AO478" s="14"/>
      <c r="AP478" s="15" t="s">
        <v>3123</v>
      </c>
      <c r="AQ478" s="14"/>
      <c r="AR478" s="17"/>
      <c r="AS478" s="16"/>
      <c r="AT478" s="14"/>
      <c r="AU478" s="15" t="s">
        <v>3123</v>
      </c>
      <c r="AV478" s="14"/>
      <c r="AW478" s="17"/>
      <c r="AX478" s="16"/>
      <c r="AY478" s="16"/>
      <c r="AZ478" s="16"/>
      <c r="BA478" s="16"/>
      <c r="BB478" s="15" t="s">
        <v>3123</v>
      </c>
      <c r="BC478" s="17"/>
      <c r="BD478" s="14" t="s">
        <v>2910</v>
      </c>
      <c r="BE478" s="14"/>
      <c r="BF478" s="16"/>
      <c r="BG478" s="16"/>
      <c r="BH478" s="13"/>
      <c r="BI478" s="18" t="s">
        <v>8402</v>
      </c>
      <c r="BJ478" s="13">
        <v>200</v>
      </c>
      <c r="BK478" s="17">
        <v>44121</v>
      </c>
      <c r="BL478" s="18" t="s">
        <v>8403</v>
      </c>
      <c r="BM478" s="18" t="s">
        <v>8404</v>
      </c>
      <c r="BN478" s="18"/>
      <c r="BO478" s="18" t="s">
        <v>8405</v>
      </c>
      <c r="BP478" s="14" t="s">
        <v>8406</v>
      </c>
      <c r="BQ478" s="17">
        <v>42863</v>
      </c>
      <c r="BR478" s="16">
        <v>-7017200</v>
      </c>
      <c r="BS478" s="17">
        <v>43465</v>
      </c>
      <c r="BT478" s="16">
        <v>-6646400</v>
      </c>
      <c r="BU478" s="17">
        <v>43465</v>
      </c>
      <c r="BV478" s="16">
        <v>100000000</v>
      </c>
      <c r="BW478" s="17">
        <v>43565</v>
      </c>
      <c r="BX478" s="16">
        <v>1020</v>
      </c>
      <c r="BY478" s="17">
        <v>44012</v>
      </c>
      <c r="BZ478" s="19">
        <v>71.493456540584731</v>
      </c>
      <c r="CA478" s="19"/>
      <c r="CB478" s="17"/>
      <c r="CC478" s="14" t="s">
        <v>8407</v>
      </c>
      <c r="CD478" s="14" t="s">
        <v>6629</v>
      </c>
      <c r="CE478" s="14" t="s">
        <v>5004</v>
      </c>
    </row>
    <row r="479" spans="1:83" ht="26.15" customHeight="1">
      <c r="A479" s="13">
        <v>473</v>
      </c>
      <c r="B479" s="14" t="s">
        <v>2890</v>
      </c>
      <c r="C479" s="14" t="s">
        <v>2891</v>
      </c>
      <c r="D479" s="14" t="s">
        <v>2892</v>
      </c>
      <c r="E479" s="13">
        <v>2014</v>
      </c>
      <c r="F479" s="14" t="s">
        <v>5189</v>
      </c>
      <c r="G479" s="14" t="s">
        <v>5190</v>
      </c>
      <c r="H479" s="14" t="s">
        <v>1258</v>
      </c>
      <c r="I479" s="15" t="s">
        <v>3117</v>
      </c>
      <c r="J479" s="16"/>
      <c r="K479" s="17">
        <v>41789</v>
      </c>
      <c r="L479" s="16"/>
      <c r="M479" s="16" t="s">
        <v>50</v>
      </c>
      <c r="N479" s="14" t="s">
        <v>34</v>
      </c>
      <c r="O479" s="13"/>
      <c r="P479" s="17"/>
      <c r="Q479" s="14"/>
      <c r="R479" s="17"/>
      <c r="S479" s="17"/>
      <c r="T479" s="14" t="s">
        <v>5253</v>
      </c>
      <c r="U479" s="14" t="s">
        <v>5254</v>
      </c>
      <c r="V479" s="14" t="s">
        <v>9764</v>
      </c>
      <c r="W479" s="14"/>
      <c r="X479" s="14" t="s">
        <v>9765</v>
      </c>
      <c r="Y479" s="14"/>
      <c r="Z479" s="14" t="s">
        <v>9766</v>
      </c>
      <c r="AA479" s="14"/>
      <c r="AB479" s="14" t="s">
        <v>1258</v>
      </c>
      <c r="AC479" s="14"/>
      <c r="AD479" s="14"/>
      <c r="AE479" s="14" t="s">
        <v>9767</v>
      </c>
      <c r="AF479" s="14" t="s">
        <v>9768</v>
      </c>
      <c r="AG479" s="14" t="s">
        <v>9769</v>
      </c>
      <c r="AH479" s="18" t="s">
        <v>9770</v>
      </c>
      <c r="AI479" s="16"/>
      <c r="AJ479" s="17"/>
      <c r="AK479" s="15" t="s">
        <v>3123</v>
      </c>
      <c r="AL479" s="17"/>
      <c r="AM479" s="16"/>
      <c r="AN479" s="14"/>
      <c r="AO479" s="14"/>
      <c r="AP479" s="15" t="s">
        <v>3123</v>
      </c>
      <c r="AQ479" s="14"/>
      <c r="AR479" s="17"/>
      <c r="AS479" s="16"/>
      <c r="AT479" s="14"/>
      <c r="AU479" s="15" t="s">
        <v>3123</v>
      </c>
      <c r="AV479" s="14"/>
      <c r="AW479" s="17"/>
      <c r="AX479" s="16"/>
      <c r="AY479" s="16"/>
      <c r="AZ479" s="16"/>
      <c r="BA479" s="16"/>
      <c r="BB479" s="15" t="s">
        <v>3123</v>
      </c>
      <c r="BC479" s="17"/>
      <c r="BD479" s="14"/>
      <c r="BE479" s="14"/>
      <c r="BF479" s="16"/>
      <c r="BG479" s="16"/>
      <c r="BH479" s="13"/>
      <c r="BI479" s="18" t="s">
        <v>9771</v>
      </c>
      <c r="BJ479" s="13">
        <v>200</v>
      </c>
      <c r="BK479" s="17">
        <v>44121</v>
      </c>
      <c r="BL479" s="18" t="s">
        <v>9772</v>
      </c>
      <c r="BM479" s="18" t="s">
        <v>9773</v>
      </c>
      <c r="BN479" s="18" t="s">
        <v>9774</v>
      </c>
      <c r="BO479" s="18"/>
      <c r="BP479" s="14" t="s">
        <v>9775</v>
      </c>
      <c r="BQ479" s="17">
        <v>42332</v>
      </c>
      <c r="BR479" s="16"/>
      <c r="BS479" s="17"/>
      <c r="BT479" s="16"/>
      <c r="BU479" s="17"/>
      <c r="BV479" s="16"/>
      <c r="BW479" s="17"/>
      <c r="BX479" s="16"/>
      <c r="BY479" s="17"/>
      <c r="BZ479" s="19">
        <v>26.402056105611599</v>
      </c>
      <c r="CA479" s="19"/>
      <c r="CB479" s="17"/>
      <c r="CC479" s="14" t="s">
        <v>5161</v>
      </c>
      <c r="CD479" s="14" t="s">
        <v>5162</v>
      </c>
      <c r="CE479" s="14" t="s">
        <v>5004</v>
      </c>
    </row>
    <row r="480" spans="1:83" ht="26.15" customHeight="1">
      <c r="A480" s="13">
        <v>474</v>
      </c>
      <c r="B480" s="14" t="s">
        <v>2432</v>
      </c>
      <c r="C480" s="14" t="s">
        <v>2433</v>
      </c>
      <c r="D480" s="14" t="s">
        <v>2436</v>
      </c>
      <c r="E480" s="13">
        <v>2013</v>
      </c>
      <c r="F480" s="14" t="s">
        <v>6326</v>
      </c>
      <c r="G480" s="14" t="s">
        <v>5207</v>
      </c>
      <c r="H480" s="14" t="s">
        <v>5208</v>
      </c>
      <c r="I480" s="15" t="s">
        <v>3117</v>
      </c>
      <c r="J480" s="16">
        <v>5080000</v>
      </c>
      <c r="K480" s="17">
        <v>42495</v>
      </c>
      <c r="L480" s="16"/>
      <c r="M480" s="16" t="s">
        <v>50</v>
      </c>
      <c r="N480" s="14" t="s">
        <v>5335</v>
      </c>
      <c r="O480" s="13">
        <v>4</v>
      </c>
      <c r="P480" s="17">
        <v>44057</v>
      </c>
      <c r="Q480" s="14"/>
      <c r="R480" s="17"/>
      <c r="S480" s="17"/>
      <c r="T480" s="14" t="s">
        <v>5041</v>
      </c>
      <c r="U480" s="14" t="s">
        <v>5042</v>
      </c>
      <c r="V480" s="14" t="s">
        <v>9776</v>
      </c>
      <c r="W480" s="14"/>
      <c r="X480" s="14" t="s">
        <v>9777</v>
      </c>
      <c r="Y480" s="14"/>
      <c r="Z480" s="14" t="s">
        <v>9778</v>
      </c>
      <c r="AA480" s="14"/>
      <c r="AB480" s="14" t="s">
        <v>5208</v>
      </c>
      <c r="AC480" s="14"/>
      <c r="AD480" s="14"/>
      <c r="AE480" s="14" t="s">
        <v>9779</v>
      </c>
      <c r="AF480" s="14" t="s">
        <v>9780</v>
      </c>
      <c r="AG480" s="14" t="s">
        <v>9781</v>
      </c>
      <c r="AH480" s="18" t="s">
        <v>9782</v>
      </c>
      <c r="AI480" s="16"/>
      <c r="AJ480" s="17"/>
      <c r="AK480" s="15" t="s">
        <v>3123</v>
      </c>
      <c r="AL480" s="17"/>
      <c r="AM480" s="16"/>
      <c r="AN480" s="14"/>
      <c r="AO480" s="14"/>
      <c r="AP480" s="15" t="s">
        <v>3117</v>
      </c>
      <c r="AQ480" s="14" t="s">
        <v>4155</v>
      </c>
      <c r="AR480" s="17">
        <v>43185</v>
      </c>
      <c r="AS480" s="16"/>
      <c r="AT480" s="14" t="s">
        <v>5342</v>
      </c>
      <c r="AU480" s="15" t="s">
        <v>3123</v>
      </c>
      <c r="AV480" s="14"/>
      <c r="AW480" s="17"/>
      <c r="AX480" s="16"/>
      <c r="AY480" s="16"/>
      <c r="AZ480" s="16"/>
      <c r="BA480" s="16"/>
      <c r="BB480" s="15" t="s">
        <v>3123</v>
      </c>
      <c r="BC480" s="17"/>
      <c r="BD480" s="14"/>
      <c r="BE480" s="14"/>
      <c r="BF480" s="16"/>
      <c r="BG480" s="16"/>
      <c r="BH480" s="13"/>
      <c r="BI480" s="18" t="s">
        <v>9783</v>
      </c>
      <c r="BJ480" s="13">
        <v>301</v>
      </c>
      <c r="BK480" s="17">
        <v>44121</v>
      </c>
      <c r="BL480" s="18" t="s">
        <v>9784</v>
      </c>
      <c r="BM480" s="18"/>
      <c r="BN480" s="18"/>
      <c r="BO480" s="18"/>
      <c r="BP480" s="14" t="s">
        <v>9785</v>
      </c>
      <c r="BQ480" s="17">
        <v>42929</v>
      </c>
      <c r="BR480" s="16"/>
      <c r="BS480" s="17"/>
      <c r="BT480" s="16"/>
      <c r="BU480" s="17"/>
      <c r="BV480" s="16"/>
      <c r="BW480" s="17"/>
      <c r="BX480" s="16"/>
      <c r="BY480" s="17"/>
      <c r="BZ480" s="19">
        <v>48.291833921810756</v>
      </c>
      <c r="CA480" s="19"/>
      <c r="CB480" s="17"/>
      <c r="CC480" s="14" t="s">
        <v>7284</v>
      </c>
      <c r="CD480" s="14" t="s">
        <v>6002</v>
      </c>
      <c r="CE480" s="14" t="s">
        <v>5945</v>
      </c>
    </row>
    <row r="481" spans="1:83" ht="26.15" customHeight="1">
      <c r="A481" s="13">
        <v>475</v>
      </c>
      <c r="B481" s="14" t="s">
        <v>2315</v>
      </c>
      <c r="C481" s="14" t="s">
        <v>2316</v>
      </c>
      <c r="D481" s="14" t="s">
        <v>2317</v>
      </c>
      <c r="E481" s="13">
        <v>2011</v>
      </c>
      <c r="F481" s="14" t="s">
        <v>5132</v>
      </c>
      <c r="G481" s="14" t="s">
        <v>5133</v>
      </c>
      <c r="H481" s="14" t="s">
        <v>3994</v>
      </c>
      <c r="I481" s="15" t="s">
        <v>3117</v>
      </c>
      <c r="J481" s="16">
        <v>89088</v>
      </c>
      <c r="K481" s="17">
        <v>42579</v>
      </c>
      <c r="L481" s="16" t="s">
        <v>9786</v>
      </c>
      <c r="M481" s="16">
        <v>89088</v>
      </c>
      <c r="N481" s="14" t="s">
        <v>34</v>
      </c>
      <c r="O481" s="13">
        <v>2</v>
      </c>
      <c r="P481" s="17">
        <v>44043</v>
      </c>
      <c r="Q481" s="14"/>
      <c r="R481" s="17"/>
      <c r="S481" s="17"/>
      <c r="T481" s="14" t="s">
        <v>1</v>
      </c>
      <c r="U481" s="14" t="s">
        <v>5007</v>
      </c>
      <c r="V481" s="14" t="s">
        <v>8865</v>
      </c>
      <c r="W481" s="14"/>
      <c r="X481" s="14" t="s">
        <v>9787</v>
      </c>
      <c r="Y481" s="14"/>
      <c r="Z481" s="14" t="s">
        <v>9788</v>
      </c>
      <c r="AA481" s="14"/>
      <c r="AB481" s="14" t="s">
        <v>3994</v>
      </c>
      <c r="AC481" s="14" t="s">
        <v>9789</v>
      </c>
      <c r="AD481" s="14" t="s">
        <v>9790</v>
      </c>
      <c r="AE481" s="14" t="s">
        <v>9791</v>
      </c>
      <c r="AF481" s="14" t="s">
        <v>9792</v>
      </c>
      <c r="AG481" s="14" t="s">
        <v>9793</v>
      </c>
      <c r="AH481" s="18"/>
      <c r="AI481" s="16">
        <v>101593</v>
      </c>
      <c r="AJ481" s="17">
        <v>43465</v>
      </c>
      <c r="AK481" s="15" t="s">
        <v>3123</v>
      </c>
      <c r="AL481" s="17"/>
      <c r="AM481" s="16"/>
      <c r="AN481" s="14"/>
      <c r="AO481" s="14"/>
      <c r="AP481" s="15" t="s">
        <v>3123</v>
      </c>
      <c r="AQ481" s="14"/>
      <c r="AR481" s="17"/>
      <c r="AS481" s="16"/>
      <c r="AT481" s="14"/>
      <c r="AU481" s="15" t="s">
        <v>3123</v>
      </c>
      <c r="AV481" s="14"/>
      <c r="AW481" s="17"/>
      <c r="AX481" s="16"/>
      <c r="AY481" s="16"/>
      <c r="AZ481" s="16"/>
      <c r="BA481" s="16"/>
      <c r="BB481" s="15" t="s">
        <v>3123</v>
      </c>
      <c r="BC481" s="17"/>
      <c r="BD481" s="14"/>
      <c r="BE481" s="14"/>
      <c r="BF481" s="16"/>
      <c r="BG481" s="16"/>
      <c r="BH481" s="13"/>
      <c r="BI481" s="18" t="s">
        <v>9794</v>
      </c>
      <c r="BJ481" s="13">
        <v>200</v>
      </c>
      <c r="BK481" s="17">
        <v>44121</v>
      </c>
      <c r="BL481" s="18" t="s">
        <v>9795</v>
      </c>
      <c r="BM481" s="18" t="s">
        <v>9796</v>
      </c>
      <c r="BN481" s="18" t="s">
        <v>9797</v>
      </c>
      <c r="BO481" s="18"/>
      <c r="BP481" s="14" t="s">
        <v>9798</v>
      </c>
      <c r="BQ481" s="17">
        <v>43032</v>
      </c>
      <c r="BR481" s="16">
        <v>2490</v>
      </c>
      <c r="BS481" s="17">
        <v>43465</v>
      </c>
      <c r="BT481" s="16">
        <v>9246</v>
      </c>
      <c r="BU481" s="17">
        <v>43465</v>
      </c>
      <c r="BV481" s="16">
        <v>360000</v>
      </c>
      <c r="BW481" s="17">
        <v>42551</v>
      </c>
      <c r="BX481" s="16"/>
      <c r="BY481" s="17"/>
      <c r="BZ481" s="19">
        <v>39.293306367957264</v>
      </c>
      <c r="CA481" s="19"/>
      <c r="CB481" s="17"/>
      <c r="CC481" s="14" t="s">
        <v>5036</v>
      </c>
      <c r="CD481" s="14" t="s">
        <v>5037</v>
      </c>
      <c r="CE481" s="14" t="s">
        <v>5004</v>
      </c>
    </row>
    <row r="482" spans="1:83" ht="26.15" customHeight="1">
      <c r="A482" s="13">
        <v>476</v>
      </c>
      <c r="B482" s="14" t="s">
        <v>2386</v>
      </c>
      <c r="C482" s="14" t="s">
        <v>2387</v>
      </c>
      <c r="D482" s="14" t="s">
        <v>2391</v>
      </c>
      <c r="E482" s="13">
        <v>2013</v>
      </c>
      <c r="F482" s="14" t="s">
        <v>7285</v>
      </c>
      <c r="G482" s="14"/>
      <c r="H482" s="14" t="s">
        <v>5277</v>
      </c>
      <c r="I482" s="15" t="s">
        <v>3117</v>
      </c>
      <c r="J482" s="16"/>
      <c r="K482" s="17">
        <v>42527</v>
      </c>
      <c r="L482" s="16"/>
      <c r="M482" s="16" t="s">
        <v>50</v>
      </c>
      <c r="N482" s="14" t="s">
        <v>109</v>
      </c>
      <c r="O482" s="13"/>
      <c r="P482" s="17"/>
      <c r="Q482" s="14"/>
      <c r="R482" s="17"/>
      <c r="S482" s="17"/>
      <c r="T482" s="14" t="s">
        <v>1</v>
      </c>
      <c r="U482" s="14" t="s">
        <v>5007</v>
      </c>
      <c r="V482" s="14" t="s">
        <v>2392</v>
      </c>
      <c r="W482" s="14"/>
      <c r="X482" s="14" t="s">
        <v>9799</v>
      </c>
      <c r="Y482" s="14"/>
      <c r="Z482" s="14" t="s">
        <v>9800</v>
      </c>
      <c r="AA482" s="14"/>
      <c r="AB482" s="14" t="s">
        <v>5277</v>
      </c>
      <c r="AC482" s="14"/>
      <c r="AD482" s="14"/>
      <c r="AE482" s="14" t="s">
        <v>9801</v>
      </c>
      <c r="AF482" s="14" t="s">
        <v>9802</v>
      </c>
      <c r="AG482" s="14" t="s">
        <v>9803</v>
      </c>
      <c r="AH482" s="18" t="s">
        <v>9804</v>
      </c>
      <c r="AI482" s="16"/>
      <c r="AJ482" s="17"/>
      <c r="AK482" s="15" t="s">
        <v>3123</v>
      </c>
      <c r="AL482" s="17"/>
      <c r="AM482" s="16"/>
      <c r="AN482" s="14"/>
      <c r="AO482" s="14"/>
      <c r="AP482" s="15" t="s">
        <v>3123</v>
      </c>
      <c r="AQ482" s="14"/>
      <c r="AR482" s="17"/>
      <c r="AS482" s="16"/>
      <c r="AT482" s="14"/>
      <c r="AU482" s="15" t="s">
        <v>3123</v>
      </c>
      <c r="AV482" s="14"/>
      <c r="AW482" s="17"/>
      <c r="AX482" s="16"/>
      <c r="AY482" s="16"/>
      <c r="AZ482" s="16"/>
      <c r="BA482" s="16"/>
      <c r="BB482" s="15" t="s">
        <v>3123</v>
      </c>
      <c r="BC482" s="17"/>
      <c r="BD482" s="14"/>
      <c r="BE482" s="14"/>
      <c r="BF482" s="16"/>
      <c r="BG482" s="16"/>
      <c r="BH482" s="13"/>
      <c r="BI482" s="18" t="s">
        <v>9805</v>
      </c>
      <c r="BJ482" s="13">
        <v>200</v>
      </c>
      <c r="BK482" s="17">
        <v>44121</v>
      </c>
      <c r="BL482" s="18" t="s">
        <v>9806</v>
      </c>
      <c r="BM482" s="18" t="s">
        <v>9807</v>
      </c>
      <c r="BN482" s="18" t="s">
        <v>9808</v>
      </c>
      <c r="BO482" s="18"/>
      <c r="BP482" s="14" t="s">
        <v>9809</v>
      </c>
      <c r="BQ482" s="17">
        <v>42930</v>
      </c>
      <c r="BR482" s="16"/>
      <c r="BS482" s="17"/>
      <c r="BT482" s="16"/>
      <c r="BU482" s="17"/>
      <c r="BV482" s="16"/>
      <c r="BW482" s="17"/>
      <c r="BX482" s="16"/>
      <c r="BY482" s="17"/>
      <c r="BZ482" s="19">
        <v>34.562217238672105</v>
      </c>
      <c r="CA482" s="19"/>
      <c r="CB482" s="17"/>
      <c r="CC482" s="14" t="s">
        <v>5345</v>
      </c>
      <c r="CD482" s="14" t="s">
        <v>7272</v>
      </c>
      <c r="CE482" s="14" t="s">
        <v>5945</v>
      </c>
    </row>
    <row r="483" spans="1:83" ht="26.15" customHeight="1">
      <c r="A483" s="13">
        <v>477</v>
      </c>
      <c r="B483" s="14" t="s">
        <v>2686</v>
      </c>
      <c r="C483" s="14" t="s">
        <v>2687</v>
      </c>
      <c r="D483" s="14" t="s">
        <v>2688</v>
      </c>
      <c r="E483" s="13">
        <v>2013</v>
      </c>
      <c r="F483" s="14" t="s">
        <v>7307</v>
      </c>
      <c r="G483" s="14" t="s">
        <v>5267</v>
      </c>
      <c r="H483" s="14" t="s">
        <v>2057</v>
      </c>
      <c r="I483" s="15" t="s">
        <v>3117</v>
      </c>
      <c r="J483" s="16">
        <v>10000000</v>
      </c>
      <c r="K483" s="17">
        <v>42164</v>
      </c>
      <c r="L483" s="16" t="s">
        <v>5165</v>
      </c>
      <c r="M483" s="16">
        <v>10000000</v>
      </c>
      <c r="N483" s="14" t="s">
        <v>109</v>
      </c>
      <c r="O483" s="13">
        <v>4</v>
      </c>
      <c r="P483" s="17">
        <v>44098</v>
      </c>
      <c r="Q483" s="14"/>
      <c r="R483" s="17"/>
      <c r="S483" s="17"/>
      <c r="T483" s="14" t="s">
        <v>1</v>
      </c>
      <c r="U483" s="14" t="s">
        <v>5007</v>
      </c>
      <c r="V483" s="14" t="s">
        <v>9810</v>
      </c>
      <c r="W483" s="14"/>
      <c r="X483" s="14" t="s">
        <v>9811</v>
      </c>
      <c r="Y483" s="14"/>
      <c r="Z483" s="14" t="s">
        <v>9812</v>
      </c>
      <c r="AA483" s="14"/>
      <c r="AB483" s="14" t="s">
        <v>2057</v>
      </c>
      <c r="AC483" s="14"/>
      <c r="AD483" s="14"/>
      <c r="AE483" s="14" t="s">
        <v>9813</v>
      </c>
      <c r="AF483" s="14" t="s">
        <v>9814</v>
      </c>
      <c r="AG483" s="14" t="s">
        <v>9815</v>
      </c>
      <c r="AH483" s="18"/>
      <c r="AI483" s="16"/>
      <c r="AJ483" s="17"/>
      <c r="AK483" s="15" t="s">
        <v>3123</v>
      </c>
      <c r="AL483" s="17"/>
      <c r="AM483" s="16"/>
      <c r="AN483" s="14"/>
      <c r="AO483" s="14" t="s">
        <v>9816</v>
      </c>
      <c r="AP483" s="15" t="s">
        <v>3123</v>
      </c>
      <c r="AQ483" s="14"/>
      <c r="AR483" s="17"/>
      <c r="AS483" s="16"/>
      <c r="AT483" s="14"/>
      <c r="AU483" s="15" t="s">
        <v>3123</v>
      </c>
      <c r="AV483" s="14"/>
      <c r="AW483" s="17"/>
      <c r="AX483" s="16"/>
      <c r="AY483" s="16"/>
      <c r="AZ483" s="16"/>
      <c r="BA483" s="16"/>
      <c r="BB483" s="15" t="s">
        <v>3123</v>
      </c>
      <c r="BC483" s="17"/>
      <c r="BD483" s="14"/>
      <c r="BE483" s="14"/>
      <c r="BF483" s="16"/>
      <c r="BG483" s="16"/>
      <c r="BH483" s="13"/>
      <c r="BI483" s="18" t="s">
        <v>9817</v>
      </c>
      <c r="BJ483" s="13">
        <v>200</v>
      </c>
      <c r="BK483" s="17">
        <v>44121</v>
      </c>
      <c r="BL483" s="18"/>
      <c r="BM483" s="18"/>
      <c r="BN483" s="18"/>
      <c r="BO483" s="18"/>
      <c r="BP483" s="14" t="s">
        <v>9818</v>
      </c>
      <c r="BQ483" s="17">
        <v>44092</v>
      </c>
      <c r="BR483" s="16"/>
      <c r="BS483" s="17"/>
      <c r="BT483" s="16"/>
      <c r="BU483" s="17"/>
      <c r="BV483" s="16"/>
      <c r="BW483" s="17"/>
      <c r="BX483" s="16"/>
      <c r="BY483" s="17"/>
      <c r="BZ483" s="19">
        <v>42.550150526229991</v>
      </c>
      <c r="CA483" s="19"/>
      <c r="CB483" s="17"/>
      <c r="CC483" s="14" t="s">
        <v>5345</v>
      </c>
      <c r="CD483" s="14" t="s">
        <v>7272</v>
      </c>
      <c r="CE483" s="14" t="s">
        <v>5945</v>
      </c>
    </row>
    <row r="484" spans="1:83" ht="26.15" hidden="1" customHeight="1">
      <c r="A484" s="13">
        <v>478</v>
      </c>
      <c r="B484" s="14" t="s">
        <v>2636</v>
      </c>
      <c r="C484" s="14" t="s">
        <v>2637</v>
      </c>
      <c r="D484" s="14" t="s">
        <v>2640</v>
      </c>
      <c r="E484" s="13">
        <v>2014</v>
      </c>
      <c r="F484" s="14" t="s">
        <v>9819</v>
      </c>
      <c r="G484" s="14" t="s">
        <v>6004</v>
      </c>
      <c r="H484" s="14" t="s">
        <v>4343</v>
      </c>
      <c r="I484" s="15" t="s">
        <v>3117</v>
      </c>
      <c r="J484" s="16"/>
      <c r="K484" s="17">
        <v>42256</v>
      </c>
      <c r="L484" s="16"/>
      <c r="M484" s="16" t="s">
        <v>50</v>
      </c>
      <c r="N484" s="14" t="s">
        <v>25</v>
      </c>
      <c r="O484" s="13">
        <v>4</v>
      </c>
      <c r="P484" s="17">
        <v>43966</v>
      </c>
      <c r="Q484" s="14"/>
      <c r="R484" s="17"/>
      <c r="S484" s="17"/>
      <c r="T484" s="14" t="s">
        <v>5315</v>
      </c>
      <c r="U484" s="14" t="s">
        <v>5316</v>
      </c>
      <c r="V484" s="14" t="s">
        <v>5474</v>
      </c>
      <c r="W484" s="14"/>
      <c r="X484" s="14" t="s">
        <v>9820</v>
      </c>
      <c r="Y484" s="14"/>
      <c r="Z484" s="14" t="s">
        <v>9821</v>
      </c>
      <c r="AA484" s="14"/>
      <c r="AB484" s="14" t="s">
        <v>4343</v>
      </c>
      <c r="AC484" s="14"/>
      <c r="AD484" s="14"/>
      <c r="AE484" s="14" t="s">
        <v>9822</v>
      </c>
      <c r="AF484" s="14" t="s">
        <v>9823</v>
      </c>
      <c r="AG484" s="14"/>
      <c r="AH484" s="18" t="s">
        <v>9824</v>
      </c>
      <c r="AI484" s="16"/>
      <c r="AJ484" s="17"/>
      <c r="AK484" s="15" t="s">
        <v>3123</v>
      </c>
      <c r="AL484" s="17"/>
      <c r="AM484" s="16"/>
      <c r="AN484" s="14"/>
      <c r="AO484" s="14"/>
      <c r="AP484" s="15" t="s">
        <v>3123</v>
      </c>
      <c r="AQ484" s="14"/>
      <c r="AR484" s="17"/>
      <c r="AS484" s="16"/>
      <c r="AT484" s="14"/>
      <c r="AU484" s="15" t="s">
        <v>3123</v>
      </c>
      <c r="AV484" s="14"/>
      <c r="AW484" s="17"/>
      <c r="AX484" s="16"/>
      <c r="AY484" s="16"/>
      <c r="AZ484" s="16"/>
      <c r="BA484" s="16"/>
      <c r="BB484" s="15" t="s">
        <v>3123</v>
      </c>
      <c r="BC484" s="17"/>
      <c r="BD484" s="14"/>
      <c r="BE484" s="14"/>
      <c r="BF484" s="16"/>
      <c r="BG484" s="16"/>
      <c r="BH484" s="13"/>
      <c r="BI484" s="18" t="s">
        <v>9825</v>
      </c>
      <c r="BJ484" s="13">
        <v>200</v>
      </c>
      <c r="BK484" s="17">
        <v>44121</v>
      </c>
      <c r="BL484" s="18" t="s">
        <v>9826</v>
      </c>
      <c r="BM484" s="18"/>
      <c r="BN484" s="18" t="s">
        <v>9827</v>
      </c>
      <c r="BO484" s="18"/>
      <c r="BP484" s="14" t="s">
        <v>9828</v>
      </c>
      <c r="BQ484" s="17">
        <v>43032</v>
      </c>
      <c r="BR484" s="16"/>
      <c r="BS484" s="17"/>
      <c r="BT484" s="16"/>
      <c r="BU484" s="17"/>
      <c r="BV484" s="16"/>
      <c r="BW484" s="17"/>
      <c r="BX484" s="16"/>
      <c r="BY484" s="17"/>
      <c r="BZ484" s="19">
        <v>33.823374868685015</v>
      </c>
      <c r="CA484" s="19"/>
      <c r="CB484" s="17"/>
      <c r="CC484" s="14"/>
      <c r="CD484" s="14" t="s">
        <v>9829</v>
      </c>
      <c r="CE484" s="14" t="s">
        <v>5945</v>
      </c>
    </row>
    <row r="485" spans="1:83" ht="26.15" hidden="1" customHeight="1">
      <c r="A485" s="13">
        <v>479</v>
      </c>
      <c r="B485" s="14" t="s">
        <v>2444</v>
      </c>
      <c r="C485" s="14" t="s">
        <v>2445</v>
      </c>
      <c r="D485" s="14" t="s">
        <v>2446</v>
      </c>
      <c r="E485" s="13">
        <v>2010</v>
      </c>
      <c r="F485" s="14" t="s">
        <v>5777</v>
      </c>
      <c r="G485" s="14" t="s">
        <v>5050</v>
      </c>
      <c r="H485" s="14" t="s">
        <v>4343</v>
      </c>
      <c r="I485" s="15" t="s">
        <v>3117</v>
      </c>
      <c r="J485" s="16"/>
      <c r="K485" s="17">
        <v>42491</v>
      </c>
      <c r="L485" s="16" t="s">
        <v>6930</v>
      </c>
      <c r="M485" s="16">
        <v>57000</v>
      </c>
      <c r="N485" s="14" t="s">
        <v>5040</v>
      </c>
      <c r="O485" s="13"/>
      <c r="P485" s="17"/>
      <c r="Q485" s="14"/>
      <c r="R485" s="17"/>
      <c r="S485" s="17"/>
      <c r="T485" s="14" t="s">
        <v>1</v>
      </c>
      <c r="U485" s="14" t="s">
        <v>5007</v>
      </c>
      <c r="V485" s="14" t="s">
        <v>2447</v>
      </c>
      <c r="W485" s="14"/>
      <c r="X485" s="14" t="s">
        <v>9830</v>
      </c>
      <c r="Y485" s="14"/>
      <c r="Z485" s="14" t="s">
        <v>9831</v>
      </c>
      <c r="AA485" s="14"/>
      <c r="AB485" s="14" t="s">
        <v>4343</v>
      </c>
      <c r="AC485" s="14" t="s">
        <v>9832</v>
      </c>
      <c r="AD485" s="14"/>
      <c r="AE485" s="14" t="s">
        <v>9833</v>
      </c>
      <c r="AF485" s="14" t="s">
        <v>9834</v>
      </c>
      <c r="AG485" s="14" t="s">
        <v>9835</v>
      </c>
      <c r="AH485" s="18" t="s">
        <v>9836</v>
      </c>
      <c r="AI485" s="16"/>
      <c r="AJ485" s="17"/>
      <c r="AK485" s="15" t="s">
        <v>3123</v>
      </c>
      <c r="AL485" s="17"/>
      <c r="AM485" s="16"/>
      <c r="AN485" s="14"/>
      <c r="AO485" s="14"/>
      <c r="AP485" s="15" t="s">
        <v>3123</v>
      </c>
      <c r="AQ485" s="14"/>
      <c r="AR485" s="17"/>
      <c r="AS485" s="16"/>
      <c r="AT485" s="14"/>
      <c r="AU485" s="15" t="s">
        <v>3123</v>
      </c>
      <c r="AV485" s="14"/>
      <c r="AW485" s="17"/>
      <c r="AX485" s="16"/>
      <c r="AY485" s="16"/>
      <c r="AZ485" s="16"/>
      <c r="BA485" s="16"/>
      <c r="BB485" s="15" t="s">
        <v>3123</v>
      </c>
      <c r="BC485" s="17"/>
      <c r="BD485" s="14"/>
      <c r="BE485" s="14"/>
      <c r="BF485" s="16"/>
      <c r="BG485" s="16"/>
      <c r="BH485" s="13"/>
      <c r="BI485" s="18" t="s">
        <v>9837</v>
      </c>
      <c r="BJ485" s="13">
        <v>200</v>
      </c>
      <c r="BK485" s="17">
        <v>44121</v>
      </c>
      <c r="BL485" s="18" t="s">
        <v>9838</v>
      </c>
      <c r="BM485" s="18"/>
      <c r="BN485" s="18" t="s">
        <v>9839</v>
      </c>
      <c r="BO485" s="18"/>
      <c r="BP485" s="14" t="s">
        <v>9840</v>
      </c>
      <c r="BQ485" s="17">
        <v>43033</v>
      </c>
      <c r="BR485" s="16"/>
      <c r="BS485" s="17"/>
      <c r="BT485" s="16"/>
      <c r="BU485" s="17"/>
      <c r="BV485" s="16"/>
      <c r="BW485" s="17"/>
      <c r="BX485" s="16"/>
      <c r="BY485" s="17"/>
      <c r="BZ485" s="19">
        <v>21.701895308724716</v>
      </c>
      <c r="CA485" s="19"/>
      <c r="CB485" s="17"/>
      <c r="CC485" s="14"/>
      <c r="CD485" s="14" t="s">
        <v>9829</v>
      </c>
      <c r="CE485" s="14" t="s">
        <v>5945</v>
      </c>
    </row>
    <row r="486" spans="1:83" ht="26.15" customHeight="1">
      <c r="A486" s="13">
        <v>480</v>
      </c>
      <c r="B486" s="14" t="s">
        <v>2644</v>
      </c>
      <c r="C486" s="14" t="s">
        <v>2645</v>
      </c>
      <c r="D486" s="14" t="s">
        <v>2646</v>
      </c>
      <c r="E486" s="13">
        <v>2014</v>
      </c>
      <c r="F486" s="14" t="s">
        <v>5592</v>
      </c>
      <c r="G486" s="14" t="s">
        <v>5313</v>
      </c>
      <c r="H486" s="14" t="s">
        <v>3994</v>
      </c>
      <c r="I486" s="15" t="s">
        <v>3117</v>
      </c>
      <c r="J486" s="16"/>
      <c r="K486" s="17">
        <v>42247</v>
      </c>
      <c r="L486" s="16"/>
      <c r="M486" s="16" t="s">
        <v>50</v>
      </c>
      <c r="N486" s="14" t="s">
        <v>5630</v>
      </c>
      <c r="O486" s="13"/>
      <c r="P486" s="17">
        <v>44091</v>
      </c>
      <c r="Q486" s="14"/>
      <c r="R486" s="17"/>
      <c r="S486" s="17"/>
      <c r="T486" s="14" t="s">
        <v>6645</v>
      </c>
      <c r="U486" s="14" t="s">
        <v>9474</v>
      </c>
      <c r="V486" s="14" t="s">
        <v>9841</v>
      </c>
      <c r="W486" s="14"/>
      <c r="X486" s="14" t="s">
        <v>9842</v>
      </c>
      <c r="Y486" s="14"/>
      <c r="Z486" s="14" t="s">
        <v>9843</v>
      </c>
      <c r="AA486" s="14"/>
      <c r="AB486" s="14" t="s">
        <v>3994</v>
      </c>
      <c r="AC486" s="14" t="s">
        <v>9844</v>
      </c>
      <c r="AD486" s="14"/>
      <c r="AE486" s="14" t="s">
        <v>9845</v>
      </c>
      <c r="AF486" s="14" t="s">
        <v>9846</v>
      </c>
      <c r="AG486" s="14" t="s">
        <v>9847</v>
      </c>
      <c r="AH486" s="18" t="s">
        <v>9848</v>
      </c>
      <c r="AI486" s="16">
        <v>40800</v>
      </c>
      <c r="AJ486" s="17">
        <v>43465</v>
      </c>
      <c r="AK486" s="15" t="s">
        <v>3123</v>
      </c>
      <c r="AL486" s="17"/>
      <c r="AM486" s="16"/>
      <c r="AN486" s="14"/>
      <c r="AO486" s="14"/>
      <c r="AP486" s="15" t="s">
        <v>3123</v>
      </c>
      <c r="AQ486" s="14"/>
      <c r="AR486" s="17"/>
      <c r="AS486" s="16"/>
      <c r="AT486" s="14"/>
      <c r="AU486" s="15" t="s">
        <v>3123</v>
      </c>
      <c r="AV486" s="14"/>
      <c r="AW486" s="17"/>
      <c r="AX486" s="16"/>
      <c r="AY486" s="16"/>
      <c r="AZ486" s="16"/>
      <c r="BA486" s="16"/>
      <c r="BB486" s="15" t="s">
        <v>3117</v>
      </c>
      <c r="BC486" s="17"/>
      <c r="BD486" s="14"/>
      <c r="BE486" s="14"/>
      <c r="BF486" s="16"/>
      <c r="BG486" s="16"/>
      <c r="BH486" s="13"/>
      <c r="BI486" s="18" t="s">
        <v>9849</v>
      </c>
      <c r="BJ486" s="13">
        <v>200</v>
      </c>
      <c r="BK486" s="17">
        <v>44121</v>
      </c>
      <c r="BL486" s="18" t="s">
        <v>9850</v>
      </c>
      <c r="BM486" s="18"/>
      <c r="BN486" s="18"/>
      <c r="BO486" s="18" t="s">
        <v>9851</v>
      </c>
      <c r="BP486" s="14" t="s">
        <v>9852</v>
      </c>
      <c r="BQ486" s="17">
        <v>43033</v>
      </c>
      <c r="BR486" s="16">
        <v>1600</v>
      </c>
      <c r="BS486" s="17">
        <v>43465</v>
      </c>
      <c r="BT486" s="16">
        <v>3400</v>
      </c>
      <c r="BU486" s="17">
        <v>43465</v>
      </c>
      <c r="BV486" s="16"/>
      <c r="BW486" s="17"/>
      <c r="BX486" s="16"/>
      <c r="BY486" s="17"/>
      <c r="BZ486" s="19">
        <v>28.349956993635121</v>
      </c>
      <c r="CA486" s="19"/>
      <c r="CB486" s="17"/>
      <c r="CC486" s="14" t="s">
        <v>5036</v>
      </c>
      <c r="CD486" s="14" t="s">
        <v>5439</v>
      </c>
      <c r="CE486" s="14" t="s">
        <v>5311</v>
      </c>
    </row>
    <row r="487" spans="1:83" ht="26.15" customHeight="1">
      <c r="A487" s="13">
        <v>481</v>
      </c>
      <c r="B487" s="14" t="s">
        <v>1312</v>
      </c>
      <c r="C487" s="14" t="s">
        <v>1313</v>
      </c>
      <c r="D487" s="14" t="s">
        <v>1315</v>
      </c>
      <c r="E487" s="13">
        <v>2013</v>
      </c>
      <c r="F487" s="14" t="s">
        <v>5507</v>
      </c>
      <c r="G487" s="14" t="s">
        <v>5507</v>
      </c>
      <c r="H487" s="14" t="s">
        <v>5508</v>
      </c>
      <c r="I487" s="15" t="s">
        <v>3117</v>
      </c>
      <c r="J487" s="16"/>
      <c r="K487" s="17">
        <v>43443</v>
      </c>
      <c r="L487" s="16"/>
      <c r="M487" s="16" t="s">
        <v>50</v>
      </c>
      <c r="N487" s="14" t="s">
        <v>34</v>
      </c>
      <c r="O487" s="13">
        <v>4</v>
      </c>
      <c r="P487" s="17">
        <v>44063</v>
      </c>
      <c r="Q487" s="14"/>
      <c r="R487" s="17"/>
      <c r="S487" s="17"/>
      <c r="T487" s="14" t="s">
        <v>8102</v>
      </c>
      <c r="U487" s="14" t="s">
        <v>8420</v>
      </c>
      <c r="V487" s="14" t="s">
        <v>8421</v>
      </c>
      <c r="W487" s="14"/>
      <c r="X487" s="14" t="s">
        <v>8422</v>
      </c>
      <c r="Y487" s="14"/>
      <c r="Z487" s="14" t="s">
        <v>8423</v>
      </c>
      <c r="AA487" s="14"/>
      <c r="AB487" s="14" t="s">
        <v>5508</v>
      </c>
      <c r="AC487" s="14" t="s">
        <v>8424</v>
      </c>
      <c r="AD487" s="14"/>
      <c r="AE487" s="14" t="s">
        <v>8425</v>
      </c>
      <c r="AF487" s="14" t="s">
        <v>8426</v>
      </c>
      <c r="AG487" s="14" t="s">
        <v>8427</v>
      </c>
      <c r="AH487" s="18"/>
      <c r="AI487" s="16"/>
      <c r="AJ487" s="17"/>
      <c r="AK487" s="15" t="s">
        <v>3123</v>
      </c>
      <c r="AL487" s="17"/>
      <c r="AM487" s="16"/>
      <c r="AN487" s="14"/>
      <c r="AO487" s="14"/>
      <c r="AP487" s="15" t="s">
        <v>3123</v>
      </c>
      <c r="AQ487" s="14"/>
      <c r="AR487" s="17"/>
      <c r="AS487" s="16"/>
      <c r="AT487" s="14"/>
      <c r="AU487" s="15" t="s">
        <v>3123</v>
      </c>
      <c r="AV487" s="14"/>
      <c r="AW487" s="17"/>
      <c r="AX487" s="16"/>
      <c r="AY487" s="16"/>
      <c r="AZ487" s="16"/>
      <c r="BA487" s="16"/>
      <c r="BB487" s="15" t="s">
        <v>3123</v>
      </c>
      <c r="BC487" s="17"/>
      <c r="BD487" s="14"/>
      <c r="BE487" s="14"/>
      <c r="BF487" s="16"/>
      <c r="BG487" s="16"/>
      <c r="BH487" s="13"/>
      <c r="BI487" s="18" t="s">
        <v>8428</v>
      </c>
      <c r="BJ487" s="13">
        <v>200</v>
      </c>
      <c r="BK487" s="17">
        <v>44121</v>
      </c>
      <c r="BL487" s="18"/>
      <c r="BM487" s="18" t="s">
        <v>8429</v>
      </c>
      <c r="BN487" s="18" t="s">
        <v>8430</v>
      </c>
      <c r="BO487" s="18"/>
      <c r="BP487" s="14" t="s">
        <v>8431</v>
      </c>
      <c r="BQ487" s="17">
        <v>42934</v>
      </c>
      <c r="BR487" s="16"/>
      <c r="BS487" s="17"/>
      <c r="BT487" s="16"/>
      <c r="BU487" s="17"/>
      <c r="BV487" s="16"/>
      <c r="BW487" s="17"/>
      <c r="BX487" s="16"/>
      <c r="BY487" s="17"/>
      <c r="BZ487" s="19">
        <v>40.589010179588598</v>
      </c>
      <c r="CA487" s="19"/>
      <c r="CB487" s="17"/>
      <c r="CC487" s="14" t="s">
        <v>8432</v>
      </c>
      <c r="CD487" s="14" t="s">
        <v>6266</v>
      </c>
      <c r="CE487" s="14" t="s">
        <v>5311</v>
      </c>
    </row>
    <row r="488" spans="1:83" ht="26.15" customHeight="1">
      <c r="A488" s="13">
        <v>482</v>
      </c>
      <c r="B488" s="14" t="s">
        <v>2880</v>
      </c>
      <c r="C488" s="14" t="s">
        <v>2881</v>
      </c>
      <c r="D488" s="14" t="s">
        <v>2884</v>
      </c>
      <c r="E488" s="13">
        <v>2014</v>
      </c>
      <c r="F488" s="14" t="s">
        <v>9853</v>
      </c>
      <c r="G488" s="14" t="s">
        <v>9854</v>
      </c>
      <c r="H488" s="14" t="s">
        <v>9855</v>
      </c>
      <c r="I488" s="15" t="s">
        <v>3117</v>
      </c>
      <c r="J488" s="16"/>
      <c r="K488" s="17">
        <v>41791</v>
      </c>
      <c r="L488" s="16" t="s">
        <v>5191</v>
      </c>
      <c r="M488" s="16">
        <v>30000</v>
      </c>
      <c r="N488" s="14" t="s">
        <v>5040</v>
      </c>
      <c r="O488" s="13">
        <v>3</v>
      </c>
      <c r="P488" s="17">
        <v>44006</v>
      </c>
      <c r="Q488" s="14"/>
      <c r="R488" s="17"/>
      <c r="S488" s="17"/>
      <c r="T488" s="14" t="s">
        <v>1</v>
      </c>
      <c r="U488" s="14" t="s">
        <v>5084</v>
      </c>
      <c r="V488" s="14" t="s">
        <v>6268</v>
      </c>
      <c r="W488" s="14"/>
      <c r="X488" s="14" t="s">
        <v>9856</v>
      </c>
      <c r="Y488" s="14"/>
      <c r="Z488" s="14" t="s">
        <v>9857</v>
      </c>
      <c r="AA488" s="14"/>
      <c r="AB488" s="14" t="s">
        <v>9855</v>
      </c>
      <c r="AC488" s="14"/>
      <c r="AD488" s="14"/>
      <c r="AE488" s="14" t="s">
        <v>9858</v>
      </c>
      <c r="AF488" s="14" t="s">
        <v>9859</v>
      </c>
      <c r="AG488" s="14" t="s">
        <v>9860</v>
      </c>
      <c r="AH488" s="18" t="s">
        <v>9861</v>
      </c>
      <c r="AI488" s="16"/>
      <c r="AJ488" s="17"/>
      <c r="AK488" s="15" t="s">
        <v>3123</v>
      </c>
      <c r="AL488" s="17"/>
      <c r="AM488" s="16"/>
      <c r="AN488" s="14"/>
      <c r="AO488" s="14"/>
      <c r="AP488" s="15" t="s">
        <v>3123</v>
      </c>
      <c r="AQ488" s="14"/>
      <c r="AR488" s="17"/>
      <c r="AS488" s="16"/>
      <c r="AT488" s="14"/>
      <c r="AU488" s="15" t="s">
        <v>3123</v>
      </c>
      <c r="AV488" s="14"/>
      <c r="AW488" s="17"/>
      <c r="AX488" s="16"/>
      <c r="AY488" s="16"/>
      <c r="AZ488" s="16"/>
      <c r="BA488" s="16"/>
      <c r="BB488" s="15" t="s">
        <v>3123</v>
      </c>
      <c r="BC488" s="17"/>
      <c r="BD488" s="14"/>
      <c r="BE488" s="14"/>
      <c r="BF488" s="16"/>
      <c r="BG488" s="16"/>
      <c r="BH488" s="13"/>
      <c r="BI488" s="18" t="s">
        <v>9862</v>
      </c>
      <c r="BJ488" s="13">
        <v>200</v>
      </c>
      <c r="BK488" s="17">
        <v>44120</v>
      </c>
      <c r="BL488" s="18" t="s">
        <v>9863</v>
      </c>
      <c r="BM488" s="18" t="s">
        <v>9864</v>
      </c>
      <c r="BN488" s="18" t="s">
        <v>9865</v>
      </c>
      <c r="BO488" s="18"/>
      <c r="BP488" s="14" t="s">
        <v>9866</v>
      </c>
      <c r="BQ488" s="17">
        <v>42891</v>
      </c>
      <c r="BR488" s="16"/>
      <c r="BS488" s="17"/>
      <c r="BT488" s="16"/>
      <c r="BU488" s="17"/>
      <c r="BV488" s="16"/>
      <c r="BW488" s="17"/>
      <c r="BX488" s="16"/>
      <c r="BY488" s="17"/>
      <c r="BZ488" s="19">
        <v>30.756765069050537</v>
      </c>
      <c r="CA488" s="19"/>
      <c r="CB488" s="17"/>
      <c r="CC488" s="14" t="s">
        <v>7284</v>
      </c>
      <c r="CD488" s="14" t="s">
        <v>6002</v>
      </c>
      <c r="CE488" s="14" t="s">
        <v>5945</v>
      </c>
    </row>
    <row r="489" spans="1:83" ht="26.15" customHeight="1">
      <c r="A489" s="13">
        <v>483</v>
      </c>
      <c r="B489" s="14" t="s">
        <v>2822</v>
      </c>
      <c r="C489" s="14" t="s">
        <v>2823</v>
      </c>
      <c r="D489" s="14" t="s">
        <v>2825</v>
      </c>
      <c r="E489" s="13">
        <v>2006</v>
      </c>
      <c r="F489" s="14" t="s">
        <v>9867</v>
      </c>
      <c r="G489" s="14" t="s">
        <v>5804</v>
      </c>
      <c r="H489" s="14" t="s">
        <v>5208</v>
      </c>
      <c r="I489" s="15" t="s">
        <v>3117</v>
      </c>
      <c r="J489" s="16">
        <v>1731230</v>
      </c>
      <c r="K489" s="17">
        <v>41897</v>
      </c>
      <c r="L489" s="16" t="s">
        <v>5022</v>
      </c>
      <c r="M489" s="16">
        <v>1731230</v>
      </c>
      <c r="N489" s="14" t="s">
        <v>109</v>
      </c>
      <c r="O489" s="13"/>
      <c r="P489" s="17"/>
      <c r="Q489" s="14"/>
      <c r="R489" s="17"/>
      <c r="S489" s="17"/>
      <c r="T489" s="14" t="s">
        <v>5315</v>
      </c>
      <c r="U489" s="14" t="s">
        <v>5316</v>
      </c>
      <c r="V489" s="14" t="s">
        <v>5317</v>
      </c>
      <c r="W489" s="14"/>
      <c r="X489" s="14" t="s">
        <v>588</v>
      </c>
      <c r="Y489" s="14"/>
      <c r="Z489" s="14" t="s">
        <v>9868</v>
      </c>
      <c r="AA489" s="14"/>
      <c r="AB489" s="14" t="s">
        <v>5208</v>
      </c>
      <c r="AC489" s="14" t="s">
        <v>9869</v>
      </c>
      <c r="AD489" s="14" t="s">
        <v>9870</v>
      </c>
      <c r="AE489" s="14" t="s">
        <v>9871</v>
      </c>
      <c r="AF489" s="14" t="s">
        <v>9872</v>
      </c>
      <c r="AG489" s="14" t="s">
        <v>9873</v>
      </c>
      <c r="AH489" s="18" t="s">
        <v>9874</v>
      </c>
      <c r="AI489" s="16"/>
      <c r="AJ489" s="17"/>
      <c r="AK489" s="15" t="s">
        <v>3123</v>
      </c>
      <c r="AL489" s="17"/>
      <c r="AM489" s="16"/>
      <c r="AN489" s="14"/>
      <c r="AO489" s="14"/>
      <c r="AP489" s="15" t="s">
        <v>3123</v>
      </c>
      <c r="AQ489" s="14"/>
      <c r="AR489" s="17"/>
      <c r="AS489" s="16"/>
      <c r="AT489" s="14"/>
      <c r="AU489" s="15" t="s">
        <v>3123</v>
      </c>
      <c r="AV489" s="14"/>
      <c r="AW489" s="17"/>
      <c r="AX489" s="16"/>
      <c r="AY489" s="16"/>
      <c r="AZ489" s="16"/>
      <c r="BA489" s="16"/>
      <c r="BB489" s="15" t="s">
        <v>3123</v>
      </c>
      <c r="BC489" s="17"/>
      <c r="BD489" s="14"/>
      <c r="BE489" s="14"/>
      <c r="BF489" s="16"/>
      <c r="BG489" s="16"/>
      <c r="BH489" s="13"/>
      <c r="BI489" s="18" t="s">
        <v>9875</v>
      </c>
      <c r="BJ489" s="13">
        <v>200</v>
      </c>
      <c r="BK489" s="17">
        <v>44120</v>
      </c>
      <c r="BL489" s="18" t="s">
        <v>9876</v>
      </c>
      <c r="BM489" s="18" t="s">
        <v>9877</v>
      </c>
      <c r="BN489" s="18" t="s">
        <v>9878</v>
      </c>
      <c r="BO489" s="18" t="s">
        <v>9879</v>
      </c>
      <c r="BP489" s="14" t="s">
        <v>9880</v>
      </c>
      <c r="BQ489" s="17">
        <v>43565</v>
      </c>
      <c r="BR489" s="16"/>
      <c r="BS489" s="17"/>
      <c r="BT489" s="16"/>
      <c r="BU489" s="17"/>
      <c r="BV489" s="16"/>
      <c r="BW489" s="17"/>
      <c r="BX489" s="16"/>
      <c r="BY489" s="17"/>
      <c r="BZ489" s="19">
        <v>28.936998734625682</v>
      </c>
      <c r="CA489" s="19"/>
      <c r="CB489" s="17"/>
      <c r="CC489" s="14" t="s">
        <v>5104</v>
      </c>
      <c r="CD489" s="14" t="s">
        <v>5037</v>
      </c>
      <c r="CE489" s="14" t="s">
        <v>5004</v>
      </c>
    </row>
    <row r="490" spans="1:83" ht="26.15" customHeight="1">
      <c r="A490" s="13">
        <v>484</v>
      </c>
      <c r="B490" s="14" t="s">
        <v>210</v>
      </c>
      <c r="C490" s="14" t="s">
        <v>211</v>
      </c>
      <c r="D490" s="14" t="s">
        <v>215</v>
      </c>
      <c r="E490" s="13">
        <v>2013</v>
      </c>
      <c r="F490" s="14" t="s">
        <v>8447</v>
      </c>
      <c r="G490" s="14" t="s">
        <v>5276</v>
      </c>
      <c r="H490" s="14" t="s">
        <v>5277</v>
      </c>
      <c r="I490" s="15" t="s">
        <v>3117</v>
      </c>
      <c r="J490" s="16">
        <v>4000000</v>
      </c>
      <c r="K490" s="17">
        <v>44055</v>
      </c>
      <c r="L490" s="16"/>
      <c r="M490" s="16" t="s">
        <v>50</v>
      </c>
      <c r="N490" s="14" t="s">
        <v>25</v>
      </c>
      <c r="O490" s="13">
        <v>5</v>
      </c>
      <c r="P490" s="17">
        <v>44057</v>
      </c>
      <c r="Q490" s="14" t="s">
        <v>5052</v>
      </c>
      <c r="R490" s="17">
        <v>44060</v>
      </c>
      <c r="S490" s="17">
        <v>42255</v>
      </c>
      <c r="T490" s="14" t="s">
        <v>5041</v>
      </c>
      <c r="U490" s="14" t="s">
        <v>6243</v>
      </c>
      <c r="V490" s="14" t="s">
        <v>8448</v>
      </c>
      <c r="W490" s="14"/>
      <c r="X490" s="14" t="s">
        <v>8449</v>
      </c>
      <c r="Y490" s="14"/>
      <c r="Z490" s="14" t="s">
        <v>8450</v>
      </c>
      <c r="AA490" s="14"/>
      <c r="AB490" s="14" t="s">
        <v>5277</v>
      </c>
      <c r="AC490" s="14"/>
      <c r="AD490" s="14"/>
      <c r="AE490" s="14" t="s">
        <v>8451</v>
      </c>
      <c r="AF490" s="14" t="s">
        <v>8452</v>
      </c>
      <c r="AG490" s="14" t="s">
        <v>8453</v>
      </c>
      <c r="AH490" s="18" t="s">
        <v>8454</v>
      </c>
      <c r="AI490" s="16"/>
      <c r="AJ490" s="17"/>
      <c r="AK490" s="15" t="s">
        <v>3123</v>
      </c>
      <c r="AL490" s="17"/>
      <c r="AM490" s="16"/>
      <c r="AN490" s="14"/>
      <c r="AO490" s="14"/>
      <c r="AP490" s="15" t="s">
        <v>3123</v>
      </c>
      <c r="AQ490" s="14"/>
      <c r="AR490" s="17"/>
      <c r="AS490" s="16"/>
      <c r="AT490" s="14"/>
      <c r="AU490" s="15" t="s">
        <v>3123</v>
      </c>
      <c r="AV490" s="14"/>
      <c r="AW490" s="17"/>
      <c r="AX490" s="16"/>
      <c r="AY490" s="16"/>
      <c r="AZ490" s="16"/>
      <c r="BA490" s="16"/>
      <c r="BB490" s="15" t="s">
        <v>3123</v>
      </c>
      <c r="BC490" s="17"/>
      <c r="BD490" s="14" t="s">
        <v>8455</v>
      </c>
      <c r="BE490" s="14"/>
      <c r="BF490" s="16"/>
      <c r="BG490" s="16"/>
      <c r="BH490" s="13"/>
      <c r="BI490" s="18" t="s">
        <v>8456</v>
      </c>
      <c r="BJ490" s="13">
        <v>200</v>
      </c>
      <c r="BK490" s="17">
        <v>44120</v>
      </c>
      <c r="BL490" s="18" t="s">
        <v>8457</v>
      </c>
      <c r="BM490" s="18" t="s">
        <v>8458</v>
      </c>
      <c r="BN490" s="18" t="s">
        <v>8459</v>
      </c>
      <c r="BO490" s="18" t="s">
        <v>8460</v>
      </c>
      <c r="BP490" s="14" t="s">
        <v>8461</v>
      </c>
      <c r="BQ490" s="17">
        <v>42934</v>
      </c>
      <c r="BR490" s="16"/>
      <c r="BS490" s="17"/>
      <c r="BT490" s="16"/>
      <c r="BU490" s="17"/>
      <c r="BV490" s="16"/>
      <c r="BW490" s="17"/>
      <c r="BX490" s="16"/>
      <c r="BY490" s="17"/>
      <c r="BZ490" s="19">
        <v>43.53418106271176</v>
      </c>
      <c r="CA490" s="19"/>
      <c r="CB490" s="17"/>
      <c r="CC490" s="14" t="s">
        <v>5048</v>
      </c>
      <c r="CD490" s="14" t="s">
        <v>8462</v>
      </c>
      <c r="CE490" s="14" t="s">
        <v>5004</v>
      </c>
    </row>
    <row r="491" spans="1:83" ht="26.15" customHeight="1">
      <c r="A491" s="13">
        <v>485</v>
      </c>
      <c r="B491" s="14" t="s">
        <v>458</v>
      </c>
      <c r="C491" s="14" t="s">
        <v>459</v>
      </c>
      <c r="D491" s="14" t="s">
        <v>463</v>
      </c>
      <c r="E491" s="13">
        <v>2012</v>
      </c>
      <c r="F491" s="14" t="s">
        <v>8463</v>
      </c>
      <c r="G491" s="14" t="s">
        <v>5605</v>
      </c>
      <c r="H491" s="14" t="s">
        <v>3994</v>
      </c>
      <c r="I491" s="15" t="s">
        <v>3117</v>
      </c>
      <c r="J491" s="16">
        <v>16507907</v>
      </c>
      <c r="K491" s="17">
        <v>43927</v>
      </c>
      <c r="L491" s="16" t="s">
        <v>5224</v>
      </c>
      <c r="M491" s="16">
        <v>12000000</v>
      </c>
      <c r="N491" s="14" t="s">
        <v>109</v>
      </c>
      <c r="O491" s="13">
        <v>4</v>
      </c>
      <c r="P491" s="17">
        <v>44074</v>
      </c>
      <c r="Q491" s="14" t="s">
        <v>5052</v>
      </c>
      <c r="R491" s="17">
        <v>44027</v>
      </c>
      <c r="S491" s="17">
        <v>43542</v>
      </c>
      <c r="T491" s="14" t="s">
        <v>1</v>
      </c>
      <c r="U491" s="14" t="s">
        <v>5007</v>
      </c>
      <c r="V491" s="14" t="s">
        <v>257</v>
      </c>
      <c r="W491" s="14"/>
      <c r="X491" s="14" t="s">
        <v>8464</v>
      </c>
      <c r="Y491" s="14" t="s">
        <v>1169</v>
      </c>
      <c r="Z491" s="14" t="s">
        <v>8465</v>
      </c>
      <c r="AA491" s="14"/>
      <c r="AB491" s="14" t="s">
        <v>3994</v>
      </c>
      <c r="AC491" s="14"/>
      <c r="AD491" s="14"/>
      <c r="AE491" s="14" t="s">
        <v>8466</v>
      </c>
      <c r="AF491" s="14" t="s">
        <v>8467</v>
      </c>
      <c r="AG491" s="14" t="s">
        <v>8468</v>
      </c>
      <c r="AH491" s="18"/>
      <c r="AI491" s="16">
        <v>5417400</v>
      </c>
      <c r="AJ491" s="17">
        <v>43465</v>
      </c>
      <c r="AK491" s="15" t="s">
        <v>3117</v>
      </c>
      <c r="AL491" s="17">
        <v>40945</v>
      </c>
      <c r="AM491" s="16">
        <v>2022</v>
      </c>
      <c r="AN491" s="14" t="s">
        <v>8469</v>
      </c>
      <c r="AO491" s="14" t="s">
        <v>8470</v>
      </c>
      <c r="AP491" s="15" t="s">
        <v>3123</v>
      </c>
      <c r="AQ491" s="14"/>
      <c r="AR491" s="17"/>
      <c r="AS491" s="16"/>
      <c r="AT491" s="14"/>
      <c r="AU491" s="15" t="s">
        <v>3123</v>
      </c>
      <c r="AV491" s="14"/>
      <c r="AW491" s="17"/>
      <c r="AX491" s="16"/>
      <c r="AY491" s="16"/>
      <c r="AZ491" s="16"/>
      <c r="BA491" s="16"/>
      <c r="BB491" s="15" t="s">
        <v>3123</v>
      </c>
      <c r="BC491" s="17"/>
      <c r="BD491" s="14"/>
      <c r="BE491" s="14"/>
      <c r="BF491" s="16"/>
      <c r="BG491" s="16"/>
      <c r="BH491" s="13"/>
      <c r="BI491" s="18" t="s">
        <v>8471</v>
      </c>
      <c r="BJ491" s="13">
        <v>200</v>
      </c>
      <c r="BK491" s="17">
        <v>44120</v>
      </c>
      <c r="BL491" s="18" t="s">
        <v>8472</v>
      </c>
      <c r="BM491" s="18" t="s">
        <v>8473</v>
      </c>
      <c r="BN491" s="18"/>
      <c r="BO491" s="18"/>
      <c r="BP491" s="14" t="s">
        <v>8474</v>
      </c>
      <c r="BQ491" s="17">
        <v>43063</v>
      </c>
      <c r="BR491" s="16">
        <v>-273200</v>
      </c>
      <c r="BS491" s="17">
        <v>43465</v>
      </c>
      <c r="BT491" s="16">
        <v>-279200</v>
      </c>
      <c r="BU491" s="17">
        <v>43465</v>
      </c>
      <c r="BV491" s="16">
        <v>35000000</v>
      </c>
      <c r="BW491" s="17">
        <v>43921</v>
      </c>
      <c r="BX491" s="16">
        <v>243</v>
      </c>
      <c r="BY491" s="17">
        <v>44012</v>
      </c>
      <c r="BZ491" s="19">
        <v>64.821383044680346</v>
      </c>
      <c r="CA491" s="19"/>
      <c r="CB491" s="17"/>
      <c r="CC491" s="14" t="s">
        <v>8475</v>
      </c>
      <c r="CD491" s="14" t="s">
        <v>8476</v>
      </c>
      <c r="CE491" s="14" t="s">
        <v>5004</v>
      </c>
    </row>
    <row r="492" spans="1:83" ht="26.15" hidden="1" customHeight="1">
      <c r="A492" s="13">
        <v>486</v>
      </c>
      <c r="B492" s="14" t="s">
        <v>1970</v>
      </c>
      <c r="C492" s="14" t="s">
        <v>1971</v>
      </c>
      <c r="D492" s="14" t="s">
        <v>1973</v>
      </c>
      <c r="E492" s="13">
        <v>2012</v>
      </c>
      <c r="F492" s="14" t="s">
        <v>6978</v>
      </c>
      <c r="G492" s="14" t="s">
        <v>6979</v>
      </c>
      <c r="H492" s="14" t="s">
        <v>4343</v>
      </c>
      <c r="I492" s="15" t="s">
        <v>3117</v>
      </c>
      <c r="J492" s="16">
        <v>3000000</v>
      </c>
      <c r="K492" s="17">
        <v>42992</v>
      </c>
      <c r="L492" s="16" t="s">
        <v>5022</v>
      </c>
      <c r="M492" s="16">
        <v>2000000</v>
      </c>
      <c r="N492" s="14" t="s">
        <v>34</v>
      </c>
      <c r="O492" s="13">
        <v>5</v>
      </c>
      <c r="P492" s="17">
        <v>43970</v>
      </c>
      <c r="Q492" s="14"/>
      <c r="R492" s="17"/>
      <c r="S492" s="17"/>
      <c r="T492" s="14" t="s">
        <v>5315</v>
      </c>
      <c r="U492" s="14" t="s">
        <v>5316</v>
      </c>
      <c r="V492" s="14" t="s">
        <v>5317</v>
      </c>
      <c r="W492" s="14"/>
      <c r="X492" s="14" t="s">
        <v>8477</v>
      </c>
      <c r="Y492" s="14"/>
      <c r="Z492" s="14" t="s">
        <v>8478</v>
      </c>
      <c r="AA492" s="14"/>
      <c r="AB492" s="14" t="s">
        <v>4343</v>
      </c>
      <c r="AC492" s="14"/>
      <c r="AD492" s="14"/>
      <c r="AE492" s="14" t="s">
        <v>8479</v>
      </c>
      <c r="AF492" s="14" t="s">
        <v>8480</v>
      </c>
      <c r="AG492" s="14" t="s">
        <v>8481</v>
      </c>
      <c r="AH492" s="18"/>
      <c r="AI492" s="16"/>
      <c r="AJ492" s="17"/>
      <c r="AK492" s="15" t="s">
        <v>3123</v>
      </c>
      <c r="AL492" s="17"/>
      <c r="AM492" s="16"/>
      <c r="AN492" s="14"/>
      <c r="AO492" s="14"/>
      <c r="AP492" s="15" t="s">
        <v>3123</v>
      </c>
      <c r="AQ492" s="14"/>
      <c r="AR492" s="17"/>
      <c r="AS492" s="16"/>
      <c r="AT492" s="14"/>
      <c r="AU492" s="15" t="s">
        <v>3123</v>
      </c>
      <c r="AV492" s="14"/>
      <c r="AW492" s="17"/>
      <c r="AX492" s="16"/>
      <c r="AY492" s="16"/>
      <c r="AZ492" s="16"/>
      <c r="BA492" s="16"/>
      <c r="BB492" s="15" t="s">
        <v>3123</v>
      </c>
      <c r="BC492" s="17"/>
      <c r="BD492" s="14"/>
      <c r="BE492" s="14"/>
      <c r="BF492" s="16"/>
      <c r="BG492" s="16"/>
      <c r="BH492" s="13"/>
      <c r="BI492" s="18" t="s">
        <v>8482</v>
      </c>
      <c r="BJ492" s="13">
        <v>200</v>
      </c>
      <c r="BK492" s="17">
        <v>44120</v>
      </c>
      <c r="BL492" s="18" t="s">
        <v>8483</v>
      </c>
      <c r="BM492" s="18"/>
      <c r="BN492" s="18"/>
      <c r="BO492" s="18"/>
      <c r="BP492" s="14" t="s">
        <v>8484</v>
      </c>
      <c r="BQ492" s="17">
        <v>43032</v>
      </c>
      <c r="BR492" s="16"/>
      <c r="BS492" s="17"/>
      <c r="BT492" s="16"/>
      <c r="BU492" s="17"/>
      <c r="BV492" s="16"/>
      <c r="BW492" s="17"/>
      <c r="BX492" s="16"/>
      <c r="BY492" s="17"/>
      <c r="BZ492" s="19">
        <v>35.047822688902471</v>
      </c>
      <c r="CA492" s="19"/>
      <c r="CB492" s="17"/>
      <c r="CC492" s="14" t="s">
        <v>5345</v>
      </c>
      <c r="CD492" s="14" t="s">
        <v>7272</v>
      </c>
      <c r="CE492" s="14" t="s">
        <v>5945</v>
      </c>
    </row>
    <row r="493" spans="1:83" ht="26.15" customHeight="1">
      <c r="A493" s="13">
        <v>487</v>
      </c>
      <c r="B493" s="14" t="s">
        <v>749</v>
      </c>
      <c r="C493" s="14" t="s">
        <v>750</v>
      </c>
      <c r="D493" s="14" t="s">
        <v>751</v>
      </c>
      <c r="E493" s="13">
        <v>2012</v>
      </c>
      <c r="F493" s="14" t="s">
        <v>5038</v>
      </c>
      <c r="G493" s="14" t="s">
        <v>5039</v>
      </c>
      <c r="H493" s="14" t="s">
        <v>3994</v>
      </c>
      <c r="I493" s="15" t="s">
        <v>3117</v>
      </c>
      <c r="J493" s="16">
        <v>2740519</v>
      </c>
      <c r="K493" s="17">
        <v>43747</v>
      </c>
      <c r="L493" s="16" t="s">
        <v>8485</v>
      </c>
      <c r="M493" s="16">
        <v>394129</v>
      </c>
      <c r="N493" s="14" t="s">
        <v>34</v>
      </c>
      <c r="O493" s="13">
        <v>3</v>
      </c>
      <c r="P493" s="17">
        <v>44104</v>
      </c>
      <c r="Q493" s="14"/>
      <c r="R493" s="17"/>
      <c r="S493" s="17"/>
      <c r="T493" s="14" t="s">
        <v>8486</v>
      </c>
      <c r="U493" s="14" t="s">
        <v>8487</v>
      </c>
      <c r="V493" s="14" t="s">
        <v>8488</v>
      </c>
      <c r="W493" s="14"/>
      <c r="X493" s="14" t="s">
        <v>8489</v>
      </c>
      <c r="Y493" s="14"/>
      <c r="Z493" s="14" t="s">
        <v>8490</v>
      </c>
      <c r="AA493" s="14"/>
      <c r="AB493" s="14" t="s">
        <v>3994</v>
      </c>
      <c r="AC493" s="14" t="s">
        <v>8491</v>
      </c>
      <c r="AD493" s="14" t="s">
        <v>8492</v>
      </c>
      <c r="AE493" s="14" t="s">
        <v>8493</v>
      </c>
      <c r="AF493" s="14" t="s">
        <v>8494</v>
      </c>
      <c r="AG493" s="14" t="s">
        <v>8495</v>
      </c>
      <c r="AH493" s="18" t="s">
        <v>8496</v>
      </c>
      <c r="AI493" s="16">
        <v>149100</v>
      </c>
      <c r="AJ493" s="17">
        <v>43465</v>
      </c>
      <c r="AK493" s="15" t="s">
        <v>3117</v>
      </c>
      <c r="AL493" s="17">
        <v>41081</v>
      </c>
      <c r="AM493" s="16">
        <v>89006</v>
      </c>
      <c r="AN493" s="14" t="s">
        <v>8497</v>
      </c>
      <c r="AO493" s="14"/>
      <c r="AP493" s="15" t="s">
        <v>3123</v>
      </c>
      <c r="AQ493" s="14"/>
      <c r="AR493" s="17"/>
      <c r="AS493" s="16"/>
      <c r="AT493" s="14"/>
      <c r="AU493" s="15" t="s">
        <v>3123</v>
      </c>
      <c r="AV493" s="14"/>
      <c r="AW493" s="17"/>
      <c r="AX493" s="16"/>
      <c r="AY493" s="16"/>
      <c r="AZ493" s="16"/>
      <c r="BA493" s="16"/>
      <c r="BB493" s="15" t="s">
        <v>3123</v>
      </c>
      <c r="BC493" s="17"/>
      <c r="BD493" s="14"/>
      <c r="BE493" s="14"/>
      <c r="BF493" s="16"/>
      <c r="BG493" s="16"/>
      <c r="BH493" s="13"/>
      <c r="BI493" s="18" t="s">
        <v>8498</v>
      </c>
      <c r="BJ493" s="13">
        <v>200</v>
      </c>
      <c r="BK493" s="17">
        <v>44120</v>
      </c>
      <c r="BL493" s="18" t="s">
        <v>8499</v>
      </c>
      <c r="BM493" s="18"/>
      <c r="BN493" s="18"/>
      <c r="BO493" s="18"/>
      <c r="BP493" s="14" t="s">
        <v>8500</v>
      </c>
      <c r="BQ493" s="17">
        <v>43144</v>
      </c>
      <c r="BR493" s="16">
        <v>-281100</v>
      </c>
      <c r="BS493" s="17">
        <v>43465</v>
      </c>
      <c r="BT493" s="16">
        <v>-257900</v>
      </c>
      <c r="BU493" s="17">
        <v>43465</v>
      </c>
      <c r="BV493" s="16">
        <v>10000000</v>
      </c>
      <c r="BW493" s="17">
        <v>43747</v>
      </c>
      <c r="BX493" s="16">
        <v>53</v>
      </c>
      <c r="BY493" s="17">
        <v>43921</v>
      </c>
      <c r="BZ493" s="19">
        <v>35.825025289298893</v>
      </c>
      <c r="CA493" s="19"/>
      <c r="CB493" s="17"/>
      <c r="CC493" s="14" t="s">
        <v>6119</v>
      </c>
      <c r="CD493" s="14" t="s">
        <v>6557</v>
      </c>
      <c r="CE493" s="14" t="s">
        <v>7714</v>
      </c>
    </row>
    <row r="494" spans="1:83" ht="26.15" customHeight="1">
      <c r="A494" s="13">
        <v>488</v>
      </c>
      <c r="B494" s="14" t="s">
        <v>897</v>
      </c>
      <c r="C494" s="14" t="s">
        <v>898</v>
      </c>
      <c r="D494" s="14" t="s">
        <v>903</v>
      </c>
      <c r="E494" s="13">
        <v>2016</v>
      </c>
      <c r="F494" s="14" t="s">
        <v>8501</v>
      </c>
      <c r="G494" s="14" t="s">
        <v>8502</v>
      </c>
      <c r="H494" s="14" t="s">
        <v>3994</v>
      </c>
      <c r="I494" s="15" t="s">
        <v>3117</v>
      </c>
      <c r="J494" s="16">
        <v>8062080</v>
      </c>
      <c r="K494" s="17">
        <v>43683</v>
      </c>
      <c r="L494" s="16" t="s">
        <v>5456</v>
      </c>
      <c r="M494" s="16">
        <v>3500000</v>
      </c>
      <c r="N494" s="14" t="s">
        <v>109</v>
      </c>
      <c r="O494" s="13">
        <v>4</v>
      </c>
      <c r="P494" s="17">
        <v>44022</v>
      </c>
      <c r="Q494" s="14" t="s">
        <v>5052</v>
      </c>
      <c r="R494" s="17">
        <v>43738</v>
      </c>
      <c r="S494" s="17">
        <v>43565</v>
      </c>
      <c r="T494" s="14" t="s">
        <v>1</v>
      </c>
      <c r="U494" s="14" t="s">
        <v>5007</v>
      </c>
      <c r="V494" s="14" t="s">
        <v>8503</v>
      </c>
      <c r="W494" s="14"/>
      <c r="X494" s="14" t="s">
        <v>8504</v>
      </c>
      <c r="Y494" s="14" t="s">
        <v>8505</v>
      </c>
      <c r="Z494" s="14" t="s">
        <v>8506</v>
      </c>
      <c r="AA494" s="14"/>
      <c r="AB494" s="14" t="s">
        <v>3994</v>
      </c>
      <c r="AC494" s="14" t="s">
        <v>8507</v>
      </c>
      <c r="AD494" s="14" t="s">
        <v>8508</v>
      </c>
      <c r="AE494" s="14" t="s">
        <v>8509</v>
      </c>
      <c r="AF494" s="14" t="s">
        <v>8510</v>
      </c>
      <c r="AG494" s="14" t="s">
        <v>8511</v>
      </c>
      <c r="AH494" s="18"/>
      <c r="AI494" s="16">
        <v>578400</v>
      </c>
      <c r="AJ494" s="17">
        <v>43465</v>
      </c>
      <c r="AK494" s="15" t="s">
        <v>3117</v>
      </c>
      <c r="AL494" s="17">
        <v>42513</v>
      </c>
      <c r="AM494" s="16">
        <v>1480</v>
      </c>
      <c r="AN494" s="14" t="s">
        <v>8512</v>
      </c>
      <c r="AO494" s="14"/>
      <c r="AP494" s="15" t="s">
        <v>3123</v>
      </c>
      <c r="AQ494" s="14"/>
      <c r="AR494" s="17"/>
      <c r="AS494" s="16"/>
      <c r="AT494" s="14"/>
      <c r="AU494" s="15" t="s">
        <v>3123</v>
      </c>
      <c r="AV494" s="14"/>
      <c r="AW494" s="17"/>
      <c r="AX494" s="16"/>
      <c r="AY494" s="16"/>
      <c r="AZ494" s="16"/>
      <c r="BA494" s="16"/>
      <c r="BB494" s="15" t="s">
        <v>3123</v>
      </c>
      <c r="BC494" s="17"/>
      <c r="BD494" s="14"/>
      <c r="BE494" s="14"/>
      <c r="BF494" s="16"/>
      <c r="BG494" s="16"/>
      <c r="BH494" s="13"/>
      <c r="BI494" s="18" t="s">
        <v>8513</v>
      </c>
      <c r="BJ494" s="13">
        <v>200</v>
      </c>
      <c r="BK494" s="17">
        <v>44121</v>
      </c>
      <c r="BL494" s="18" t="s">
        <v>8514</v>
      </c>
      <c r="BM494" s="18" t="s">
        <v>8515</v>
      </c>
      <c r="BN494" s="18" t="s">
        <v>8516</v>
      </c>
      <c r="BO494" s="18"/>
      <c r="BP494" s="14" t="s">
        <v>8517</v>
      </c>
      <c r="BQ494" s="17">
        <v>43145</v>
      </c>
      <c r="BR494" s="16">
        <v>-386400</v>
      </c>
      <c r="BS494" s="17">
        <v>43465</v>
      </c>
      <c r="BT494" s="16">
        <v>-456900</v>
      </c>
      <c r="BU494" s="17">
        <v>43465</v>
      </c>
      <c r="BV494" s="16">
        <v>10000000</v>
      </c>
      <c r="BW494" s="17">
        <v>43565</v>
      </c>
      <c r="BX494" s="16">
        <v>295</v>
      </c>
      <c r="BY494" s="17">
        <v>44012</v>
      </c>
      <c r="BZ494" s="19">
        <v>61.577732158381693</v>
      </c>
      <c r="CA494" s="19"/>
      <c r="CB494" s="17"/>
      <c r="CC494" s="14" t="s">
        <v>5082</v>
      </c>
      <c r="CD494" s="14" t="s">
        <v>5083</v>
      </c>
      <c r="CE494" s="14" t="s">
        <v>5004</v>
      </c>
    </row>
    <row r="495" spans="1:83" ht="26.15" customHeight="1">
      <c r="A495" s="13">
        <v>489</v>
      </c>
      <c r="B495" s="14" t="s">
        <v>2845</v>
      </c>
      <c r="C495" s="14" t="s">
        <v>2846</v>
      </c>
      <c r="D495" s="14" t="s">
        <v>2847</v>
      </c>
      <c r="E495" s="13">
        <v>2012</v>
      </c>
      <c r="F495" s="14" t="s">
        <v>8839</v>
      </c>
      <c r="G495" s="14" t="s">
        <v>5133</v>
      </c>
      <c r="H495" s="14" t="s">
        <v>3994</v>
      </c>
      <c r="I495" s="15" t="s">
        <v>3117</v>
      </c>
      <c r="J495" s="16">
        <v>500000</v>
      </c>
      <c r="K495" s="17">
        <v>41804</v>
      </c>
      <c r="L495" s="16" t="s">
        <v>5656</v>
      </c>
      <c r="M495" s="16">
        <v>500000</v>
      </c>
      <c r="N495" s="14" t="s">
        <v>34</v>
      </c>
      <c r="O495" s="13">
        <v>3</v>
      </c>
      <c r="P495" s="17">
        <v>44041</v>
      </c>
      <c r="Q495" s="14"/>
      <c r="R495" s="17"/>
      <c r="S495" s="17"/>
      <c r="T495" s="14" t="s">
        <v>7470</v>
      </c>
      <c r="U495" s="14" t="s">
        <v>7471</v>
      </c>
      <c r="V495" s="14" t="s">
        <v>2848</v>
      </c>
      <c r="W495" s="14"/>
      <c r="X495" s="14" t="s">
        <v>9881</v>
      </c>
      <c r="Y495" s="14"/>
      <c r="Z495" s="14" t="s">
        <v>9882</v>
      </c>
      <c r="AA495" s="14"/>
      <c r="AB495" s="14" t="s">
        <v>3994</v>
      </c>
      <c r="AC495" s="14"/>
      <c r="AD495" s="14"/>
      <c r="AE495" s="14" t="s">
        <v>9883</v>
      </c>
      <c r="AF495" s="14" t="s">
        <v>9884</v>
      </c>
      <c r="AG495" s="14" t="s">
        <v>9885</v>
      </c>
      <c r="AH495" s="18"/>
      <c r="AI495" s="16">
        <v>461579</v>
      </c>
      <c r="AJ495" s="17">
        <v>43465</v>
      </c>
      <c r="AK495" s="15" t="s">
        <v>3123</v>
      </c>
      <c r="AL495" s="17"/>
      <c r="AM495" s="16"/>
      <c r="AN495" s="14"/>
      <c r="AO495" s="14"/>
      <c r="AP495" s="15" t="s">
        <v>3123</v>
      </c>
      <c r="AQ495" s="14"/>
      <c r="AR495" s="17"/>
      <c r="AS495" s="16"/>
      <c r="AT495" s="14"/>
      <c r="AU495" s="15" t="s">
        <v>3123</v>
      </c>
      <c r="AV495" s="14"/>
      <c r="AW495" s="17"/>
      <c r="AX495" s="16"/>
      <c r="AY495" s="16"/>
      <c r="AZ495" s="16"/>
      <c r="BA495" s="16"/>
      <c r="BB495" s="15" t="s">
        <v>3123</v>
      </c>
      <c r="BC495" s="17"/>
      <c r="BD495" s="14"/>
      <c r="BE495" s="14"/>
      <c r="BF495" s="16"/>
      <c r="BG495" s="16"/>
      <c r="BH495" s="13"/>
      <c r="BI495" s="18" t="s">
        <v>9886</v>
      </c>
      <c r="BJ495" s="13">
        <v>200</v>
      </c>
      <c r="BK495" s="17">
        <v>44120</v>
      </c>
      <c r="BL495" s="18" t="s">
        <v>9887</v>
      </c>
      <c r="BM495" s="18" t="s">
        <v>9888</v>
      </c>
      <c r="BN495" s="18"/>
      <c r="BO495" s="18"/>
      <c r="BP495" s="14" t="s">
        <v>9889</v>
      </c>
      <c r="BQ495" s="17">
        <v>42340</v>
      </c>
      <c r="BR495" s="16">
        <v>-444282</v>
      </c>
      <c r="BS495" s="17">
        <v>43465</v>
      </c>
      <c r="BT495" s="16">
        <v>-359876</v>
      </c>
      <c r="BU495" s="17">
        <v>43465</v>
      </c>
      <c r="BV495" s="16"/>
      <c r="BW495" s="17"/>
      <c r="BX495" s="16">
        <v>1</v>
      </c>
      <c r="BY495" s="17">
        <v>43555</v>
      </c>
      <c r="BZ495" s="19">
        <v>21.745538167946616</v>
      </c>
      <c r="CA495" s="19"/>
      <c r="CB495" s="17"/>
      <c r="CC495" s="14" t="s">
        <v>5345</v>
      </c>
      <c r="CD495" s="14" t="s">
        <v>7741</v>
      </c>
      <c r="CE495" s="14" t="s">
        <v>5521</v>
      </c>
    </row>
    <row r="496" spans="1:83" ht="26.15" customHeight="1">
      <c r="A496" s="13">
        <v>490</v>
      </c>
      <c r="B496" s="14" t="s">
        <v>3085</v>
      </c>
      <c r="C496" s="14" t="s">
        <v>3086</v>
      </c>
      <c r="D496" s="14" t="s">
        <v>3088</v>
      </c>
      <c r="E496" s="13">
        <v>2001</v>
      </c>
      <c r="F496" s="14" t="s">
        <v>5689</v>
      </c>
      <c r="G496" s="14" t="s">
        <v>5674</v>
      </c>
      <c r="H496" s="14" t="s">
        <v>2057</v>
      </c>
      <c r="I496" s="15" t="s">
        <v>3117</v>
      </c>
      <c r="J496" s="16"/>
      <c r="K496" s="17">
        <v>40299</v>
      </c>
      <c r="L496" s="16"/>
      <c r="M496" s="16" t="s">
        <v>50</v>
      </c>
      <c r="N496" s="14" t="s">
        <v>109</v>
      </c>
      <c r="O496" s="13">
        <v>2</v>
      </c>
      <c r="P496" s="17">
        <v>44034</v>
      </c>
      <c r="Q496" s="14"/>
      <c r="R496" s="17"/>
      <c r="S496" s="17"/>
      <c r="T496" s="14" t="s">
        <v>1</v>
      </c>
      <c r="U496" s="14" t="s">
        <v>5084</v>
      </c>
      <c r="V496" s="14" t="s">
        <v>9890</v>
      </c>
      <c r="W496" s="14"/>
      <c r="X496" s="14" t="s">
        <v>4918</v>
      </c>
      <c r="Y496" s="14"/>
      <c r="Z496" s="14" t="s">
        <v>9891</v>
      </c>
      <c r="AA496" s="14"/>
      <c r="AB496" s="14" t="s">
        <v>2057</v>
      </c>
      <c r="AC496" s="14"/>
      <c r="AD496" s="14" t="s">
        <v>9892</v>
      </c>
      <c r="AE496" s="14"/>
      <c r="AF496" s="14"/>
      <c r="AG496" s="14"/>
      <c r="AH496" s="18"/>
      <c r="AI496" s="16"/>
      <c r="AJ496" s="17"/>
      <c r="AK496" s="15" t="s">
        <v>3123</v>
      </c>
      <c r="AL496" s="17"/>
      <c r="AM496" s="16"/>
      <c r="AN496" s="14"/>
      <c r="AO496" s="14"/>
      <c r="AP496" s="15" t="s">
        <v>3123</v>
      </c>
      <c r="AQ496" s="14"/>
      <c r="AR496" s="17"/>
      <c r="AS496" s="16"/>
      <c r="AT496" s="14"/>
      <c r="AU496" s="15" t="s">
        <v>3123</v>
      </c>
      <c r="AV496" s="14"/>
      <c r="AW496" s="17"/>
      <c r="AX496" s="16"/>
      <c r="AY496" s="16"/>
      <c r="AZ496" s="16"/>
      <c r="BA496" s="16"/>
      <c r="BB496" s="15" t="s">
        <v>3123</v>
      </c>
      <c r="BC496" s="17"/>
      <c r="BD496" s="14"/>
      <c r="BE496" s="14"/>
      <c r="BF496" s="16"/>
      <c r="BG496" s="16"/>
      <c r="BH496" s="13"/>
      <c r="BI496" s="18" t="s">
        <v>9893</v>
      </c>
      <c r="BJ496" s="13">
        <v>200</v>
      </c>
      <c r="BK496" s="17">
        <v>44120</v>
      </c>
      <c r="BL496" s="18"/>
      <c r="BM496" s="18"/>
      <c r="BN496" s="18"/>
      <c r="BO496" s="18"/>
      <c r="BP496" s="14" t="s">
        <v>9894</v>
      </c>
      <c r="BQ496" s="17">
        <v>43061</v>
      </c>
      <c r="BR496" s="16"/>
      <c r="BS496" s="17"/>
      <c r="BT496" s="16"/>
      <c r="BU496" s="17"/>
      <c r="BV496" s="16"/>
      <c r="BW496" s="17"/>
      <c r="BX496" s="16"/>
      <c r="BY496" s="17"/>
      <c r="BZ496" s="19">
        <v>18.055513549011721</v>
      </c>
      <c r="CA496" s="19"/>
      <c r="CB496" s="17"/>
      <c r="CC496" s="14" t="s">
        <v>5345</v>
      </c>
      <c r="CD496" s="14" t="s">
        <v>5346</v>
      </c>
      <c r="CE496" s="14" t="s">
        <v>5311</v>
      </c>
    </row>
    <row r="497" spans="1:83" ht="26.15" customHeight="1">
      <c r="A497" s="13">
        <v>491</v>
      </c>
      <c r="B497" s="14" t="s">
        <v>2795</v>
      </c>
      <c r="C497" s="14" t="s">
        <v>2796</v>
      </c>
      <c r="D497" s="14" t="s">
        <v>2798</v>
      </c>
      <c r="E497" s="13">
        <v>2014</v>
      </c>
      <c r="F497" s="14" t="s">
        <v>5067</v>
      </c>
      <c r="G497" s="14" t="s">
        <v>5068</v>
      </c>
      <c r="H497" s="14" t="s">
        <v>3994</v>
      </c>
      <c r="I497" s="15" t="s">
        <v>3117</v>
      </c>
      <c r="J497" s="16">
        <v>158000</v>
      </c>
      <c r="K497" s="17">
        <v>41992</v>
      </c>
      <c r="L497" s="16" t="s">
        <v>9895</v>
      </c>
      <c r="M497" s="16">
        <v>157802</v>
      </c>
      <c r="N497" s="14" t="s">
        <v>34</v>
      </c>
      <c r="O497" s="13">
        <v>3</v>
      </c>
      <c r="P497" s="17">
        <v>44088</v>
      </c>
      <c r="Q497" s="14"/>
      <c r="R497" s="17"/>
      <c r="S497" s="17"/>
      <c r="T497" s="14" t="s">
        <v>6645</v>
      </c>
      <c r="U497" s="14" t="s">
        <v>9474</v>
      </c>
      <c r="V497" s="14" t="s">
        <v>9896</v>
      </c>
      <c r="W497" s="14"/>
      <c r="X497" s="14" t="s">
        <v>4785</v>
      </c>
      <c r="Y497" s="14"/>
      <c r="Z497" s="14" t="s">
        <v>9897</v>
      </c>
      <c r="AA497" s="14"/>
      <c r="AB497" s="14" t="s">
        <v>3994</v>
      </c>
      <c r="AC497" s="14" t="s">
        <v>9898</v>
      </c>
      <c r="AD497" s="14" t="s">
        <v>9899</v>
      </c>
      <c r="AE497" s="14" t="s">
        <v>9900</v>
      </c>
      <c r="AF497" s="14" t="s">
        <v>9901</v>
      </c>
      <c r="AG497" s="14" t="s">
        <v>9902</v>
      </c>
      <c r="AH497" s="18"/>
      <c r="AI497" s="16"/>
      <c r="AJ497" s="17"/>
      <c r="AK497" s="15" t="s">
        <v>3123</v>
      </c>
      <c r="AL497" s="17"/>
      <c r="AM497" s="16"/>
      <c r="AN497" s="14"/>
      <c r="AO497" s="14"/>
      <c r="AP497" s="15" t="s">
        <v>3123</v>
      </c>
      <c r="AQ497" s="14"/>
      <c r="AR497" s="17"/>
      <c r="AS497" s="16"/>
      <c r="AT497" s="14"/>
      <c r="AU497" s="15" t="s">
        <v>3123</v>
      </c>
      <c r="AV497" s="14"/>
      <c r="AW497" s="17"/>
      <c r="AX497" s="16"/>
      <c r="AY497" s="16"/>
      <c r="AZ497" s="16"/>
      <c r="BA497" s="16"/>
      <c r="BB497" s="15" t="s">
        <v>3123</v>
      </c>
      <c r="BC497" s="17"/>
      <c r="BD497" s="14"/>
      <c r="BE497" s="14"/>
      <c r="BF497" s="16"/>
      <c r="BG497" s="16"/>
      <c r="BH497" s="13"/>
      <c r="BI497" s="18" t="s">
        <v>9903</v>
      </c>
      <c r="BJ497" s="13">
        <v>200</v>
      </c>
      <c r="BK497" s="17">
        <v>44120</v>
      </c>
      <c r="BL497" s="18"/>
      <c r="BM497" s="18" t="s">
        <v>9904</v>
      </c>
      <c r="BN497" s="18"/>
      <c r="BO497" s="18"/>
      <c r="BP497" s="14" t="s">
        <v>9905</v>
      </c>
      <c r="BQ497" s="17">
        <v>42543</v>
      </c>
      <c r="BR497" s="16"/>
      <c r="BS497" s="17"/>
      <c r="BT497" s="16"/>
      <c r="BU497" s="17"/>
      <c r="BV497" s="16"/>
      <c r="BW497" s="17"/>
      <c r="BX497" s="16"/>
      <c r="BY497" s="17"/>
      <c r="BZ497" s="19">
        <v>25.079798949677517</v>
      </c>
      <c r="CA497" s="19"/>
      <c r="CB497" s="17"/>
      <c r="CC497" s="14" t="s">
        <v>5345</v>
      </c>
      <c r="CD497" s="14" t="s">
        <v>8809</v>
      </c>
      <c r="CE497" s="14" t="s">
        <v>5311</v>
      </c>
    </row>
    <row r="498" spans="1:83" ht="26.15" customHeight="1">
      <c r="A498" s="13">
        <v>492</v>
      </c>
      <c r="B498" s="14" t="s">
        <v>3003</v>
      </c>
      <c r="C498" s="14" t="s">
        <v>3004</v>
      </c>
      <c r="D498" s="14" t="s">
        <v>3006</v>
      </c>
      <c r="E498" s="13">
        <v>2010</v>
      </c>
      <c r="F498" s="14" t="s">
        <v>9906</v>
      </c>
      <c r="G498" s="14" t="s">
        <v>5720</v>
      </c>
      <c r="H498" s="14" t="s">
        <v>2057</v>
      </c>
      <c r="I498" s="15" t="s">
        <v>3117</v>
      </c>
      <c r="J498" s="16">
        <v>1970000</v>
      </c>
      <c r="K498" s="17">
        <v>40959</v>
      </c>
      <c r="L498" s="16" t="s">
        <v>5022</v>
      </c>
      <c r="M498" s="16">
        <v>1970000</v>
      </c>
      <c r="N498" s="14" t="s">
        <v>109</v>
      </c>
      <c r="O498" s="13"/>
      <c r="P498" s="17"/>
      <c r="Q498" s="14"/>
      <c r="R498" s="17"/>
      <c r="S498" s="17"/>
      <c r="T498" s="14" t="s">
        <v>1</v>
      </c>
      <c r="U498" s="14" t="s">
        <v>5007</v>
      </c>
      <c r="V498" s="14" t="s">
        <v>6634</v>
      </c>
      <c r="W498" s="14"/>
      <c r="X498" s="14" t="s">
        <v>9907</v>
      </c>
      <c r="Y498" s="14"/>
      <c r="Z498" s="14" t="s">
        <v>9908</v>
      </c>
      <c r="AA498" s="14"/>
      <c r="AB498" s="14" t="s">
        <v>2057</v>
      </c>
      <c r="AC498" s="14"/>
      <c r="AD498" s="14"/>
      <c r="AE498" s="14" t="s">
        <v>9909</v>
      </c>
      <c r="AF498" s="14"/>
      <c r="AG498" s="14" t="s">
        <v>9910</v>
      </c>
      <c r="AH498" s="18"/>
      <c r="AI498" s="16"/>
      <c r="AJ498" s="17"/>
      <c r="AK498" s="15" t="s">
        <v>3123</v>
      </c>
      <c r="AL498" s="17"/>
      <c r="AM498" s="16"/>
      <c r="AN498" s="14"/>
      <c r="AO498" s="14"/>
      <c r="AP498" s="15" t="s">
        <v>3123</v>
      </c>
      <c r="AQ498" s="14"/>
      <c r="AR498" s="17"/>
      <c r="AS498" s="16"/>
      <c r="AT498" s="14"/>
      <c r="AU498" s="15" t="s">
        <v>3123</v>
      </c>
      <c r="AV498" s="14"/>
      <c r="AW498" s="17"/>
      <c r="AX498" s="16"/>
      <c r="AY498" s="16"/>
      <c r="AZ498" s="16"/>
      <c r="BA498" s="16"/>
      <c r="BB498" s="15" t="s">
        <v>3123</v>
      </c>
      <c r="BC498" s="17"/>
      <c r="BD498" s="14"/>
      <c r="BE498" s="14"/>
      <c r="BF498" s="16"/>
      <c r="BG498" s="16"/>
      <c r="BH498" s="13"/>
      <c r="BI498" s="18" t="s">
        <v>9911</v>
      </c>
      <c r="BJ498" s="13">
        <v>200</v>
      </c>
      <c r="BK498" s="17">
        <v>44120</v>
      </c>
      <c r="BL498" s="18" t="s">
        <v>9912</v>
      </c>
      <c r="BM498" s="18" t="s">
        <v>9913</v>
      </c>
      <c r="BN498" s="18"/>
      <c r="BO498" s="18"/>
      <c r="BP498" s="14" t="s">
        <v>9914</v>
      </c>
      <c r="BQ498" s="17">
        <v>42416</v>
      </c>
      <c r="BR498" s="16"/>
      <c r="BS498" s="17"/>
      <c r="BT498" s="16"/>
      <c r="BU498" s="17"/>
      <c r="BV498" s="16"/>
      <c r="BW498" s="17"/>
      <c r="BX498" s="16"/>
      <c r="BY498" s="17"/>
      <c r="BZ498" s="19">
        <v>23.021660422197773</v>
      </c>
      <c r="CA498" s="19"/>
      <c r="CB498" s="17"/>
      <c r="CC498" s="14" t="s">
        <v>5345</v>
      </c>
      <c r="CD498" s="14" t="s">
        <v>7272</v>
      </c>
      <c r="CE498" s="14" t="s">
        <v>5945</v>
      </c>
    </row>
    <row r="499" spans="1:83" ht="26.15" customHeight="1">
      <c r="A499" s="13">
        <v>493</v>
      </c>
      <c r="B499" s="14" t="s">
        <v>3053</v>
      </c>
      <c r="C499" s="14" t="s">
        <v>3054</v>
      </c>
      <c r="D499" s="14" t="s">
        <v>3055</v>
      </c>
      <c r="E499" s="13">
        <v>2011</v>
      </c>
      <c r="F499" s="14" t="s">
        <v>5189</v>
      </c>
      <c r="G499" s="14" t="s">
        <v>5190</v>
      </c>
      <c r="H499" s="14" t="s">
        <v>1258</v>
      </c>
      <c r="I499" s="15" t="s">
        <v>3117</v>
      </c>
      <c r="J499" s="16">
        <v>40000</v>
      </c>
      <c r="K499" s="17">
        <v>40590</v>
      </c>
      <c r="L499" s="16" t="s">
        <v>5896</v>
      </c>
      <c r="M499" s="16">
        <v>40000</v>
      </c>
      <c r="N499" s="14" t="s">
        <v>34</v>
      </c>
      <c r="O499" s="13"/>
      <c r="P499" s="17"/>
      <c r="Q499" s="14"/>
      <c r="R499" s="17"/>
      <c r="S499" s="17"/>
      <c r="T499" s="14" t="s">
        <v>5947</v>
      </c>
      <c r="U499" s="14" t="s">
        <v>8568</v>
      </c>
      <c r="V499" s="14" t="s">
        <v>8569</v>
      </c>
      <c r="W499" s="14"/>
      <c r="X499" s="14" t="s">
        <v>9915</v>
      </c>
      <c r="Y499" s="14"/>
      <c r="Z499" s="14" t="s">
        <v>9916</v>
      </c>
      <c r="AA499" s="14"/>
      <c r="AB499" s="14" t="s">
        <v>1258</v>
      </c>
      <c r="AC499" s="14"/>
      <c r="AD499" s="14"/>
      <c r="AE499" s="14" t="s">
        <v>9917</v>
      </c>
      <c r="AF499" s="14" t="s">
        <v>9918</v>
      </c>
      <c r="AG499" s="14" t="s">
        <v>9919</v>
      </c>
      <c r="AH499" s="18" t="s">
        <v>9920</v>
      </c>
      <c r="AI499" s="16"/>
      <c r="AJ499" s="17"/>
      <c r="AK499" s="15" t="s">
        <v>3123</v>
      </c>
      <c r="AL499" s="17"/>
      <c r="AM499" s="16"/>
      <c r="AN499" s="14"/>
      <c r="AO499" s="14"/>
      <c r="AP499" s="15" t="s">
        <v>3123</v>
      </c>
      <c r="AQ499" s="14"/>
      <c r="AR499" s="17"/>
      <c r="AS499" s="16"/>
      <c r="AT499" s="14"/>
      <c r="AU499" s="15" t="s">
        <v>3123</v>
      </c>
      <c r="AV499" s="14"/>
      <c r="AW499" s="17"/>
      <c r="AX499" s="16"/>
      <c r="AY499" s="16"/>
      <c r="AZ499" s="16"/>
      <c r="BA499" s="16"/>
      <c r="BB499" s="15" t="s">
        <v>3123</v>
      </c>
      <c r="BC499" s="17"/>
      <c r="BD499" s="14"/>
      <c r="BE499" s="14"/>
      <c r="BF499" s="16"/>
      <c r="BG499" s="16"/>
      <c r="BH499" s="13"/>
      <c r="BI499" s="18" t="s">
        <v>9921</v>
      </c>
      <c r="BJ499" s="13">
        <v>200</v>
      </c>
      <c r="BK499" s="17">
        <v>44120</v>
      </c>
      <c r="BL499" s="18" t="s">
        <v>9922</v>
      </c>
      <c r="BM499" s="18" t="s">
        <v>9923</v>
      </c>
      <c r="BN499" s="18" t="s">
        <v>9924</v>
      </c>
      <c r="BO499" s="18"/>
      <c r="BP499" s="14" t="s">
        <v>9925</v>
      </c>
      <c r="BQ499" s="17">
        <v>42930</v>
      </c>
      <c r="BR499" s="16"/>
      <c r="BS499" s="17"/>
      <c r="BT499" s="16"/>
      <c r="BU499" s="17"/>
      <c r="BV499" s="16"/>
      <c r="BW499" s="17"/>
      <c r="BX499" s="16"/>
      <c r="BY499" s="17"/>
      <c r="BZ499" s="19">
        <v>40.358276909275737</v>
      </c>
      <c r="CA499" s="19"/>
      <c r="CB499" s="17"/>
      <c r="CC499" s="14" t="s">
        <v>7284</v>
      </c>
      <c r="CD499" s="14" t="s">
        <v>6002</v>
      </c>
      <c r="CE499" s="14" t="s">
        <v>5945</v>
      </c>
    </row>
    <row r="500" spans="1:83" ht="26.15" customHeight="1">
      <c r="A500" s="13">
        <v>494</v>
      </c>
      <c r="B500" s="14" t="s">
        <v>3025</v>
      </c>
      <c r="C500" s="14" t="s">
        <v>3026</v>
      </c>
      <c r="D500" s="14" t="s">
        <v>3027</v>
      </c>
      <c r="E500" s="13">
        <v>2008</v>
      </c>
      <c r="F500" s="14" t="s">
        <v>5189</v>
      </c>
      <c r="G500" s="14" t="s">
        <v>5190</v>
      </c>
      <c r="H500" s="14" t="s">
        <v>1258</v>
      </c>
      <c r="I500" s="15" t="s">
        <v>3117</v>
      </c>
      <c r="J500" s="16"/>
      <c r="K500" s="17">
        <v>40810</v>
      </c>
      <c r="L500" s="16"/>
      <c r="M500" s="16" t="s">
        <v>50</v>
      </c>
      <c r="N500" s="14" t="s">
        <v>34</v>
      </c>
      <c r="O500" s="13"/>
      <c r="P500" s="17"/>
      <c r="Q500" s="14"/>
      <c r="R500" s="17"/>
      <c r="S500" s="17"/>
      <c r="T500" s="14" t="s">
        <v>1</v>
      </c>
      <c r="U500" s="14" t="s">
        <v>5135</v>
      </c>
      <c r="V500" s="14" t="s">
        <v>9926</v>
      </c>
      <c r="W500" s="14"/>
      <c r="X500" s="14" t="s">
        <v>3689</v>
      </c>
      <c r="Y500" s="14"/>
      <c r="Z500" s="14" t="s">
        <v>9927</v>
      </c>
      <c r="AA500" s="14"/>
      <c r="AB500" s="14" t="s">
        <v>1258</v>
      </c>
      <c r="AC500" s="14" t="s">
        <v>9928</v>
      </c>
      <c r="AD500" s="14"/>
      <c r="AE500" s="14" t="s">
        <v>9929</v>
      </c>
      <c r="AF500" s="14" t="s">
        <v>9930</v>
      </c>
      <c r="AG500" s="14" t="s">
        <v>9931</v>
      </c>
      <c r="AH500" s="18"/>
      <c r="AI500" s="16"/>
      <c r="AJ500" s="17"/>
      <c r="AK500" s="15" t="s">
        <v>3123</v>
      </c>
      <c r="AL500" s="17"/>
      <c r="AM500" s="16"/>
      <c r="AN500" s="14"/>
      <c r="AO500" s="14"/>
      <c r="AP500" s="15" t="s">
        <v>3123</v>
      </c>
      <c r="AQ500" s="14"/>
      <c r="AR500" s="17"/>
      <c r="AS500" s="16"/>
      <c r="AT500" s="14"/>
      <c r="AU500" s="15" t="s">
        <v>3123</v>
      </c>
      <c r="AV500" s="14"/>
      <c r="AW500" s="17"/>
      <c r="AX500" s="16"/>
      <c r="AY500" s="16"/>
      <c r="AZ500" s="16"/>
      <c r="BA500" s="16"/>
      <c r="BB500" s="15" t="s">
        <v>3123</v>
      </c>
      <c r="BC500" s="17"/>
      <c r="BD500" s="14"/>
      <c r="BE500" s="14"/>
      <c r="BF500" s="16"/>
      <c r="BG500" s="16"/>
      <c r="BH500" s="13"/>
      <c r="BI500" s="18" t="s">
        <v>9932</v>
      </c>
      <c r="BJ500" s="13">
        <v>200</v>
      </c>
      <c r="BK500" s="17">
        <v>44120</v>
      </c>
      <c r="BL500" s="18" t="s">
        <v>9933</v>
      </c>
      <c r="BM500" s="18"/>
      <c r="BN500" s="18" t="s">
        <v>9934</v>
      </c>
      <c r="BO500" s="18"/>
      <c r="BP500" s="14" t="s">
        <v>9935</v>
      </c>
      <c r="BQ500" s="17">
        <v>43033</v>
      </c>
      <c r="BR500" s="16"/>
      <c r="BS500" s="17"/>
      <c r="BT500" s="16"/>
      <c r="BU500" s="17"/>
      <c r="BV500" s="16"/>
      <c r="BW500" s="17"/>
      <c r="BX500" s="16"/>
      <c r="BY500" s="17"/>
      <c r="BZ500" s="19">
        <v>29.185843853645078</v>
      </c>
      <c r="CA500" s="19"/>
      <c r="CB500" s="17"/>
      <c r="CC500" s="14" t="s">
        <v>7284</v>
      </c>
      <c r="CD500" s="14" t="s">
        <v>6002</v>
      </c>
      <c r="CE500" s="14" t="s">
        <v>5945</v>
      </c>
    </row>
    <row r="501" spans="1:83" ht="26.15" customHeight="1">
      <c r="A501" s="13">
        <v>495</v>
      </c>
      <c r="B501" s="14" t="s">
        <v>2985</v>
      </c>
      <c r="C501" s="14" t="s">
        <v>2986</v>
      </c>
      <c r="D501" s="14" t="s">
        <v>2987</v>
      </c>
      <c r="E501" s="13">
        <v>2012</v>
      </c>
      <c r="F501" s="14" t="s">
        <v>5189</v>
      </c>
      <c r="G501" s="14" t="s">
        <v>5190</v>
      </c>
      <c r="H501" s="14" t="s">
        <v>1258</v>
      </c>
      <c r="I501" s="15" t="s">
        <v>3117</v>
      </c>
      <c r="J501" s="16">
        <v>40000</v>
      </c>
      <c r="K501" s="17">
        <v>41221</v>
      </c>
      <c r="L501" s="16" t="s">
        <v>5896</v>
      </c>
      <c r="M501" s="16">
        <v>40000</v>
      </c>
      <c r="N501" s="14" t="s">
        <v>34</v>
      </c>
      <c r="O501" s="13"/>
      <c r="P501" s="17"/>
      <c r="Q501" s="14"/>
      <c r="R501" s="17"/>
      <c r="S501" s="17"/>
      <c r="T501" s="14" t="s">
        <v>9936</v>
      </c>
      <c r="U501" s="14" t="s">
        <v>9937</v>
      </c>
      <c r="V501" s="14" t="s">
        <v>9938</v>
      </c>
      <c r="W501" s="14"/>
      <c r="X501" s="14" t="s">
        <v>3689</v>
      </c>
      <c r="Y501" s="14"/>
      <c r="Z501" s="14" t="s">
        <v>9939</v>
      </c>
      <c r="AA501" s="14"/>
      <c r="AB501" s="14" t="s">
        <v>1258</v>
      </c>
      <c r="AC501" s="14"/>
      <c r="AD501" s="14"/>
      <c r="AE501" s="14" t="s">
        <v>9940</v>
      </c>
      <c r="AF501" s="14" t="s">
        <v>9941</v>
      </c>
      <c r="AG501" s="14" t="s">
        <v>9942</v>
      </c>
      <c r="AH501" s="18"/>
      <c r="AI501" s="16"/>
      <c r="AJ501" s="17"/>
      <c r="AK501" s="15" t="s">
        <v>3123</v>
      </c>
      <c r="AL501" s="17"/>
      <c r="AM501" s="16"/>
      <c r="AN501" s="14"/>
      <c r="AO501" s="14"/>
      <c r="AP501" s="15" t="s">
        <v>3123</v>
      </c>
      <c r="AQ501" s="14"/>
      <c r="AR501" s="17"/>
      <c r="AS501" s="16"/>
      <c r="AT501" s="14"/>
      <c r="AU501" s="15" t="s">
        <v>3123</v>
      </c>
      <c r="AV501" s="14"/>
      <c r="AW501" s="17"/>
      <c r="AX501" s="16"/>
      <c r="AY501" s="16"/>
      <c r="AZ501" s="16"/>
      <c r="BA501" s="16"/>
      <c r="BB501" s="15" t="s">
        <v>3123</v>
      </c>
      <c r="BC501" s="17"/>
      <c r="BD501" s="14"/>
      <c r="BE501" s="14"/>
      <c r="BF501" s="16"/>
      <c r="BG501" s="16"/>
      <c r="BH501" s="13"/>
      <c r="BI501" s="18" t="s">
        <v>9943</v>
      </c>
      <c r="BJ501" s="13">
        <v>200</v>
      </c>
      <c r="BK501" s="17">
        <v>44120</v>
      </c>
      <c r="BL501" s="18"/>
      <c r="BM501" s="18"/>
      <c r="BN501" s="18"/>
      <c r="BO501" s="18"/>
      <c r="BP501" s="14" t="s">
        <v>9944</v>
      </c>
      <c r="BQ501" s="17">
        <v>43033</v>
      </c>
      <c r="BR501" s="16"/>
      <c r="BS501" s="17"/>
      <c r="BT501" s="16"/>
      <c r="BU501" s="17"/>
      <c r="BV501" s="16"/>
      <c r="BW501" s="17"/>
      <c r="BX501" s="16"/>
      <c r="BY501" s="17"/>
      <c r="BZ501" s="19">
        <v>16.418559707858513</v>
      </c>
      <c r="CA501" s="19"/>
      <c r="CB501" s="17"/>
      <c r="CC501" s="14" t="s">
        <v>5345</v>
      </c>
      <c r="CD501" s="14" t="s">
        <v>7272</v>
      </c>
      <c r="CE501" s="14" t="s">
        <v>5945</v>
      </c>
    </row>
    <row r="502" spans="1:83" ht="26.15" customHeight="1">
      <c r="A502" s="13">
        <v>496</v>
      </c>
      <c r="B502" s="14" t="s">
        <v>1685</v>
      </c>
      <c r="C502" s="14" t="s">
        <v>1686</v>
      </c>
      <c r="D502" s="14" t="s">
        <v>1690</v>
      </c>
      <c r="E502" s="13">
        <v>2013</v>
      </c>
      <c r="F502" s="14" t="s">
        <v>5038</v>
      </c>
      <c r="G502" s="14" t="s">
        <v>5039</v>
      </c>
      <c r="H502" s="14" t="s">
        <v>3994</v>
      </c>
      <c r="I502" s="15" t="s">
        <v>3117</v>
      </c>
      <c r="J502" s="16">
        <v>2257449</v>
      </c>
      <c r="K502" s="17">
        <v>43225</v>
      </c>
      <c r="L502" s="16" t="s">
        <v>8545</v>
      </c>
      <c r="M502" s="16">
        <v>716422</v>
      </c>
      <c r="N502" s="14" t="s">
        <v>34</v>
      </c>
      <c r="O502" s="13">
        <v>4</v>
      </c>
      <c r="P502" s="17">
        <v>44062</v>
      </c>
      <c r="Q502" s="14"/>
      <c r="R502" s="17"/>
      <c r="S502" s="17"/>
      <c r="T502" s="14" t="s">
        <v>4995</v>
      </c>
      <c r="U502" s="14" t="s">
        <v>5578</v>
      </c>
      <c r="V502" s="14" t="s">
        <v>8546</v>
      </c>
      <c r="W502" s="14"/>
      <c r="X502" s="14" t="s">
        <v>8547</v>
      </c>
      <c r="Y502" s="14" t="s">
        <v>8548</v>
      </c>
      <c r="Z502" s="14" t="s">
        <v>8549</v>
      </c>
      <c r="AA502" s="14"/>
      <c r="AB502" s="14" t="s">
        <v>3994</v>
      </c>
      <c r="AC502" s="14"/>
      <c r="AD502" s="14"/>
      <c r="AE502" s="14" t="s">
        <v>8550</v>
      </c>
      <c r="AF502" s="14" t="s">
        <v>8551</v>
      </c>
      <c r="AG502" s="14" t="s">
        <v>8552</v>
      </c>
      <c r="AH502" s="18" t="s">
        <v>8553</v>
      </c>
      <c r="AI502" s="16">
        <v>865274</v>
      </c>
      <c r="AJ502" s="17">
        <v>43465</v>
      </c>
      <c r="AK502" s="15" t="s">
        <v>3123</v>
      </c>
      <c r="AL502" s="17"/>
      <c r="AM502" s="16"/>
      <c r="AN502" s="14"/>
      <c r="AO502" s="14"/>
      <c r="AP502" s="15" t="s">
        <v>3123</v>
      </c>
      <c r="AQ502" s="14"/>
      <c r="AR502" s="17"/>
      <c r="AS502" s="16"/>
      <c r="AT502" s="14"/>
      <c r="AU502" s="15" t="s">
        <v>3123</v>
      </c>
      <c r="AV502" s="14"/>
      <c r="AW502" s="17"/>
      <c r="AX502" s="16"/>
      <c r="AY502" s="16"/>
      <c r="AZ502" s="16"/>
      <c r="BA502" s="16"/>
      <c r="BB502" s="15" t="s">
        <v>3123</v>
      </c>
      <c r="BC502" s="17"/>
      <c r="BD502" s="14"/>
      <c r="BE502" s="14"/>
      <c r="BF502" s="16"/>
      <c r="BG502" s="16"/>
      <c r="BH502" s="13"/>
      <c r="BI502" s="18" t="s">
        <v>8554</v>
      </c>
      <c r="BJ502" s="13">
        <v>200</v>
      </c>
      <c r="BK502" s="17">
        <v>44120</v>
      </c>
      <c r="BL502" s="18" t="s">
        <v>8555</v>
      </c>
      <c r="BM502" s="18"/>
      <c r="BN502" s="18" t="s">
        <v>8556</v>
      </c>
      <c r="BO502" s="18" t="s">
        <v>8557</v>
      </c>
      <c r="BP502" s="14" t="s">
        <v>8558</v>
      </c>
      <c r="BQ502" s="17">
        <v>42681</v>
      </c>
      <c r="BR502" s="16">
        <v>-691053</v>
      </c>
      <c r="BS502" s="17">
        <v>43465</v>
      </c>
      <c r="BT502" s="16">
        <v>-446635</v>
      </c>
      <c r="BU502" s="17">
        <v>43465</v>
      </c>
      <c r="BV502" s="16">
        <v>5000000</v>
      </c>
      <c r="BW502" s="17">
        <v>43644</v>
      </c>
      <c r="BX502" s="16">
        <v>50</v>
      </c>
      <c r="BY502" s="17">
        <v>43465</v>
      </c>
      <c r="BZ502" s="19">
        <v>41.828166028872509</v>
      </c>
      <c r="CA502" s="19"/>
      <c r="CB502" s="17"/>
      <c r="CC502" s="14" t="s">
        <v>6487</v>
      </c>
      <c r="CD502" s="14" t="s">
        <v>5944</v>
      </c>
      <c r="CE502" s="14" t="s">
        <v>5945</v>
      </c>
    </row>
    <row r="503" spans="1:83" ht="26.15" customHeight="1">
      <c r="A503" s="13">
        <v>497</v>
      </c>
      <c r="B503" s="14" t="s">
        <v>2112</v>
      </c>
      <c r="C503" s="14" t="s">
        <v>2113</v>
      </c>
      <c r="D503" s="14" t="s">
        <v>2114</v>
      </c>
      <c r="E503" s="13">
        <v>2013</v>
      </c>
      <c r="F503" s="14" t="s">
        <v>5038</v>
      </c>
      <c r="G503" s="14" t="s">
        <v>5039</v>
      </c>
      <c r="H503" s="14" t="s">
        <v>3994</v>
      </c>
      <c r="I503" s="15" t="s">
        <v>3117</v>
      </c>
      <c r="J503" s="16">
        <v>212000</v>
      </c>
      <c r="K503" s="17">
        <v>42864</v>
      </c>
      <c r="L503" s="16" t="s">
        <v>6314</v>
      </c>
      <c r="M503" s="16">
        <v>74400</v>
      </c>
      <c r="N503" s="14" t="s">
        <v>34</v>
      </c>
      <c r="O503" s="13">
        <v>3</v>
      </c>
      <c r="P503" s="17">
        <v>44097</v>
      </c>
      <c r="Q503" s="14"/>
      <c r="R503" s="17"/>
      <c r="S503" s="17"/>
      <c r="T503" s="14" t="s">
        <v>6586</v>
      </c>
      <c r="U503" s="14" t="s">
        <v>6587</v>
      </c>
      <c r="V503" s="14" t="s">
        <v>9945</v>
      </c>
      <c r="W503" s="14"/>
      <c r="X503" s="14" t="s">
        <v>3639</v>
      </c>
      <c r="Y503" s="14" t="s">
        <v>9946</v>
      </c>
      <c r="Z503" s="14" t="s">
        <v>9947</v>
      </c>
      <c r="AA503" s="14"/>
      <c r="AB503" s="14" t="s">
        <v>3994</v>
      </c>
      <c r="AC503" s="14"/>
      <c r="AD503" s="14"/>
      <c r="AE503" s="14" t="s">
        <v>9948</v>
      </c>
      <c r="AF503" s="14" t="s">
        <v>9949</v>
      </c>
      <c r="AG503" s="14" t="s">
        <v>9950</v>
      </c>
      <c r="AH503" s="18" t="s">
        <v>9951</v>
      </c>
      <c r="AI503" s="16">
        <v>87405</v>
      </c>
      <c r="AJ503" s="17">
        <v>42735</v>
      </c>
      <c r="AK503" s="15" t="s">
        <v>3117</v>
      </c>
      <c r="AL503" s="17">
        <v>41533</v>
      </c>
      <c r="AM503" s="16">
        <v>1576</v>
      </c>
      <c r="AN503" s="14" t="s">
        <v>9952</v>
      </c>
      <c r="AO503" s="14"/>
      <c r="AP503" s="15" t="s">
        <v>3123</v>
      </c>
      <c r="AQ503" s="14"/>
      <c r="AR503" s="17"/>
      <c r="AS503" s="16"/>
      <c r="AT503" s="14"/>
      <c r="AU503" s="15" t="s">
        <v>3123</v>
      </c>
      <c r="AV503" s="14"/>
      <c r="AW503" s="17"/>
      <c r="AX503" s="16"/>
      <c r="AY503" s="16"/>
      <c r="AZ503" s="16"/>
      <c r="BA503" s="16"/>
      <c r="BB503" s="15" t="s">
        <v>3123</v>
      </c>
      <c r="BC503" s="17"/>
      <c r="BD503" s="14"/>
      <c r="BE503" s="14"/>
      <c r="BF503" s="16"/>
      <c r="BG503" s="16"/>
      <c r="BH503" s="13"/>
      <c r="BI503" s="18" t="s">
        <v>9953</v>
      </c>
      <c r="BJ503" s="13">
        <v>200</v>
      </c>
      <c r="BK503" s="17">
        <v>44120</v>
      </c>
      <c r="BL503" s="18" t="s">
        <v>9954</v>
      </c>
      <c r="BM503" s="18" t="s">
        <v>9955</v>
      </c>
      <c r="BN503" s="18" t="s">
        <v>9956</v>
      </c>
      <c r="BO503" s="18"/>
      <c r="BP503" s="14" t="s">
        <v>9957</v>
      </c>
      <c r="BQ503" s="17">
        <v>43056</v>
      </c>
      <c r="BR503" s="16">
        <v>-64779</v>
      </c>
      <c r="BS503" s="17">
        <v>42735</v>
      </c>
      <c r="BT503" s="16">
        <v>-48969</v>
      </c>
      <c r="BU503" s="17">
        <v>42735</v>
      </c>
      <c r="BV503" s="16"/>
      <c r="BW503" s="17"/>
      <c r="BX503" s="16"/>
      <c r="BY503" s="17"/>
      <c r="BZ503" s="19">
        <v>18.721226608454892</v>
      </c>
      <c r="CA503" s="19"/>
      <c r="CB503" s="17"/>
      <c r="CC503" s="14" t="s">
        <v>5036</v>
      </c>
      <c r="CD503" s="14" t="s">
        <v>5037</v>
      </c>
      <c r="CE503" s="14" t="s">
        <v>5004</v>
      </c>
    </row>
    <row r="504" spans="1:83" ht="26.15" customHeight="1">
      <c r="A504" s="13">
        <v>498</v>
      </c>
      <c r="B504" s="14" t="s">
        <v>3041</v>
      </c>
      <c r="C504" s="14" t="s">
        <v>3042</v>
      </c>
      <c r="D504" s="14" t="s">
        <v>3045</v>
      </c>
      <c r="E504" s="13">
        <v>2007</v>
      </c>
      <c r="F504" s="14" t="s">
        <v>5132</v>
      </c>
      <c r="G504" s="14" t="s">
        <v>5133</v>
      </c>
      <c r="H504" s="14" t="s">
        <v>3994</v>
      </c>
      <c r="I504" s="15" t="s">
        <v>3117</v>
      </c>
      <c r="J504" s="16">
        <v>70047</v>
      </c>
      <c r="K504" s="17">
        <v>40633</v>
      </c>
      <c r="L504" s="16" t="s">
        <v>6604</v>
      </c>
      <c r="M504" s="16">
        <v>70047</v>
      </c>
      <c r="N504" s="14" t="s">
        <v>34</v>
      </c>
      <c r="O504" s="13"/>
      <c r="P504" s="17"/>
      <c r="Q504" s="14"/>
      <c r="R504" s="17"/>
      <c r="S504" s="17"/>
      <c r="T504" s="14" t="s">
        <v>1</v>
      </c>
      <c r="U504" s="14" t="s">
        <v>5007</v>
      </c>
      <c r="V504" s="14" t="s">
        <v>7273</v>
      </c>
      <c r="W504" s="14"/>
      <c r="X504" s="14" t="s">
        <v>9958</v>
      </c>
      <c r="Y504" s="14" t="s">
        <v>9959</v>
      </c>
      <c r="Z504" s="14" t="s">
        <v>9960</v>
      </c>
      <c r="AA504" s="14"/>
      <c r="AB504" s="14" t="s">
        <v>3994</v>
      </c>
      <c r="AC504" s="14" t="s">
        <v>9961</v>
      </c>
      <c r="AD504" s="14" t="s">
        <v>9962</v>
      </c>
      <c r="AE504" s="14" t="s">
        <v>9963</v>
      </c>
      <c r="AF504" s="14" t="s">
        <v>9964</v>
      </c>
      <c r="AG504" s="14" t="s">
        <v>9965</v>
      </c>
      <c r="AH504" s="18" t="s">
        <v>9966</v>
      </c>
      <c r="AI504" s="16"/>
      <c r="AJ504" s="17"/>
      <c r="AK504" s="15" t="s">
        <v>3123</v>
      </c>
      <c r="AL504" s="17"/>
      <c r="AM504" s="16"/>
      <c r="AN504" s="14"/>
      <c r="AO504" s="14"/>
      <c r="AP504" s="15" t="s">
        <v>3123</v>
      </c>
      <c r="AQ504" s="14"/>
      <c r="AR504" s="17"/>
      <c r="AS504" s="16"/>
      <c r="AT504" s="14"/>
      <c r="AU504" s="15" t="s">
        <v>3123</v>
      </c>
      <c r="AV504" s="14"/>
      <c r="AW504" s="17"/>
      <c r="AX504" s="16"/>
      <c r="AY504" s="16"/>
      <c r="AZ504" s="16"/>
      <c r="BA504" s="16"/>
      <c r="BB504" s="15" t="s">
        <v>3123</v>
      </c>
      <c r="BC504" s="17"/>
      <c r="BD504" s="14"/>
      <c r="BE504" s="14"/>
      <c r="BF504" s="16"/>
      <c r="BG504" s="16"/>
      <c r="BH504" s="13"/>
      <c r="BI504" s="18" t="s">
        <v>9967</v>
      </c>
      <c r="BJ504" s="13">
        <v>301</v>
      </c>
      <c r="BK504" s="17">
        <v>44120</v>
      </c>
      <c r="BL504" s="18" t="s">
        <v>9968</v>
      </c>
      <c r="BM504" s="18" t="s">
        <v>9969</v>
      </c>
      <c r="BN504" s="18" t="s">
        <v>9970</v>
      </c>
      <c r="BO504" s="18"/>
      <c r="BP504" s="14" t="s">
        <v>9971</v>
      </c>
      <c r="BQ504" s="17">
        <v>43020</v>
      </c>
      <c r="BR504" s="16"/>
      <c r="BS504" s="17"/>
      <c r="BT504" s="16"/>
      <c r="BU504" s="17"/>
      <c r="BV504" s="16">
        <v>1000000</v>
      </c>
      <c r="BW504" s="17">
        <v>40633</v>
      </c>
      <c r="BX504" s="16"/>
      <c r="BY504" s="17"/>
      <c r="BZ504" s="19">
        <v>35.930633045709314</v>
      </c>
      <c r="CA504" s="19"/>
      <c r="CB504" s="17"/>
      <c r="CC504" s="14" t="s">
        <v>5345</v>
      </c>
      <c r="CD504" s="14" t="s">
        <v>7272</v>
      </c>
      <c r="CE504" s="14" t="s">
        <v>5945</v>
      </c>
    </row>
    <row r="505" spans="1:83" ht="26.15" customHeight="1">
      <c r="A505" s="13">
        <v>499</v>
      </c>
      <c r="B505" s="14" t="s">
        <v>2621</v>
      </c>
      <c r="C505" s="14" t="s">
        <v>2622</v>
      </c>
      <c r="D505" s="14" t="s">
        <v>2623</v>
      </c>
      <c r="E505" s="13">
        <v>2013</v>
      </c>
      <c r="F505" s="14" t="s">
        <v>6762</v>
      </c>
      <c r="G505" s="14" t="s">
        <v>6763</v>
      </c>
      <c r="H505" s="14" t="s">
        <v>5333</v>
      </c>
      <c r="I505" s="15" t="s">
        <v>3117</v>
      </c>
      <c r="J505" s="16"/>
      <c r="K505" s="17">
        <v>42262</v>
      </c>
      <c r="L505" s="16" t="s">
        <v>5252</v>
      </c>
      <c r="M505" s="16">
        <v>100000</v>
      </c>
      <c r="N505" s="14" t="s">
        <v>5040</v>
      </c>
      <c r="O505" s="13"/>
      <c r="P505" s="17"/>
      <c r="Q505" s="14"/>
      <c r="R505" s="17"/>
      <c r="S505" s="17"/>
      <c r="T505" s="14" t="s">
        <v>5041</v>
      </c>
      <c r="U505" s="14" t="s">
        <v>5042</v>
      </c>
      <c r="V505" s="14" t="s">
        <v>6172</v>
      </c>
      <c r="W505" s="14"/>
      <c r="X505" s="14" t="s">
        <v>9915</v>
      </c>
      <c r="Y505" s="14"/>
      <c r="Z505" s="14" t="s">
        <v>9972</v>
      </c>
      <c r="AA505" s="14"/>
      <c r="AB505" s="14" t="s">
        <v>5333</v>
      </c>
      <c r="AC505" s="14"/>
      <c r="AD505" s="14"/>
      <c r="AE505" s="14" t="s">
        <v>9973</v>
      </c>
      <c r="AF505" s="14" t="s">
        <v>9974</v>
      </c>
      <c r="AG505" s="14" t="s">
        <v>9975</v>
      </c>
      <c r="AH505" s="18" t="s">
        <v>9976</v>
      </c>
      <c r="AI505" s="16"/>
      <c r="AJ505" s="17"/>
      <c r="AK505" s="15" t="s">
        <v>3123</v>
      </c>
      <c r="AL505" s="17"/>
      <c r="AM505" s="16"/>
      <c r="AN505" s="14"/>
      <c r="AO505" s="14"/>
      <c r="AP505" s="15" t="s">
        <v>3123</v>
      </c>
      <c r="AQ505" s="14"/>
      <c r="AR505" s="17"/>
      <c r="AS505" s="16"/>
      <c r="AT505" s="14"/>
      <c r="AU505" s="15" t="s">
        <v>3123</v>
      </c>
      <c r="AV505" s="14"/>
      <c r="AW505" s="17"/>
      <c r="AX505" s="16"/>
      <c r="AY505" s="16"/>
      <c r="AZ505" s="16"/>
      <c r="BA505" s="16"/>
      <c r="BB505" s="15" t="s">
        <v>3123</v>
      </c>
      <c r="BC505" s="17"/>
      <c r="BD505" s="14"/>
      <c r="BE505" s="14"/>
      <c r="BF505" s="16"/>
      <c r="BG505" s="16"/>
      <c r="BH505" s="13"/>
      <c r="BI505" s="18" t="s">
        <v>9977</v>
      </c>
      <c r="BJ505" s="13">
        <v>200</v>
      </c>
      <c r="BK505" s="17">
        <v>44119</v>
      </c>
      <c r="BL505" s="18" t="s">
        <v>9978</v>
      </c>
      <c r="BM505" s="18" t="s">
        <v>9979</v>
      </c>
      <c r="BN505" s="18"/>
      <c r="BO505" s="18" t="s">
        <v>9980</v>
      </c>
      <c r="BP505" s="14" t="s">
        <v>9981</v>
      </c>
      <c r="BQ505" s="17">
        <v>42929</v>
      </c>
      <c r="BR505" s="16"/>
      <c r="BS505" s="17"/>
      <c r="BT505" s="16"/>
      <c r="BU505" s="17"/>
      <c r="BV505" s="16"/>
      <c r="BW505" s="17"/>
      <c r="BX505" s="16"/>
      <c r="BY505" s="17"/>
      <c r="BZ505" s="19">
        <v>30.3457200376263</v>
      </c>
      <c r="CA505" s="19"/>
      <c r="CB505" s="17"/>
      <c r="CC505" s="14" t="s">
        <v>7284</v>
      </c>
      <c r="CD505" s="14" t="s">
        <v>6002</v>
      </c>
      <c r="CE505" s="14" t="s">
        <v>5945</v>
      </c>
    </row>
    <row r="506" spans="1:83" ht="26.15" customHeight="1">
      <c r="A506" s="13">
        <v>500</v>
      </c>
      <c r="B506" s="14" t="s">
        <v>290</v>
      </c>
      <c r="C506" s="14" t="s">
        <v>291</v>
      </c>
      <c r="D506" s="14" t="s">
        <v>293</v>
      </c>
      <c r="E506" s="13">
        <v>1983</v>
      </c>
      <c r="F506" s="14" t="s">
        <v>8579</v>
      </c>
      <c r="G506" s="14" t="s">
        <v>8580</v>
      </c>
      <c r="H506" s="14" t="s">
        <v>5333</v>
      </c>
      <c r="I506" s="15" t="s">
        <v>3117</v>
      </c>
      <c r="J506" s="16"/>
      <c r="K506" s="17">
        <v>44013</v>
      </c>
      <c r="L506" s="16" t="s">
        <v>7885</v>
      </c>
      <c r="M506" s="16">
        <v>17000000</v>
      </c>
      <c r="N506" s="14" t="s">
        <v>5335</v>
      </c>
      <c r="O506" s="13">
        <v>4</v>
      </c>
      <c r="P506" s="17">
        <v>43963</v>
      </c>
      <c r="Q506" s="14"/>
      <c r="R506" s="17"/>
      <c r="S506" s="17"/>
      <c r="T506" s="14" t="s">
        <v>1</v>
      </c>
      <c r="U506" s="14" t="s">
        <v>5007</v>
      </c>
      <c r="V506" s="14" t="s">
        <v>5336</v>
      </c>
      <c r="W506" s="14"/>
      <c r="X506" s="14" t="s">
        <v>8581</v>
      </c>
      <c r="Y506" s="14"/>
      <c r="Z506" s="14" t="s">
        <v>8582</v>
      </c>
      <c r="AA506" s="14"/>
      <c r="AB506" s="14" t="s">
        <v>5333</v>
      </c>
      <c r="AC506" s="14"/>
      <c r="AD506" s="14"/>
      <c r="AE506" s="14" t="s">
        <v>8583</v>
      </c>
      <c r="AF506" s="14"/>
      <c r="AG506" s="14"/>
      <c r="AH506" s="18"/>
      <c r="AI506" s="16"/>
      <c r="AJ506" s="17"/>
      <c r="AK506" s="15" t="s">
        <v>3123</v>
      </c>
      <c r="AL506" s="17"/>
      <c r="AM506" s="16"/>
      <c r="AN506" s="14"/>
      <c r="AO506" s="14"/>
      <c r="AP506" s="15" t="s">
        <v>3117</v>
      </c>
      <c r="AQ506" s="14" t="s">
        <v>8584</v>
      </c>
      <c r="AR506" s="17">
        <v>42662</v>
      </c>
      <c r="AS506" s="16"/>
      <c r="AT506" s="14" t="s">
        <v>5342</v>
      </c>
      <c r="AU506" s="15" t="s">
        <v>3123</v>
      </c>
      <c r="AV506" s="14"/>
      <c r="AW506" s="17"/>
      <c r="AX506" s="16"/>
      <c r="AY506" s="16"/>
      <c r="AZ506" s="16"/>
      <c r="BA506" s="16"/>
      <c r="BB506" s="15" t="s">
        <v>3123</v>
      </c>
      <c r="BC506" s="17"/>
      <c r="BD506" s="14"/>
      <c r="BE506" s="14"/>
      <c r="BF506" s="16"/>
      <c r="BG506" s="16"/>
      <c r="BH506" s="13"/>
      <c r="BI506" s="18" t="s">
        <v>8585</v>
      </c>
      <c r="BJ506" s="13">
        <v>200</v>
      </c>
      <c r="BK506" s="17">
        <v>44119</v>
      </c>
      <c r="BL506" s="18" t="s">
        <v>8586</v>
      </c>
      <c r="BM506" s="18" t="s">
        <v>8587</v>
      </c>
      <c r="BN506" s="18" t="s">
        <v>8588</v>
      </c>
      <c r="BO506" s="18"/>
      <c r="BP506" s="14" t="s">
        <v>8589</v>
      </c>
      <c r="BQ506" s="17">
        <v>43579</v>
      </c>
      <c r="BR506" s="16"/>
      <c r="BS506" s="17"/>
      <c r="BT506" s="16"/>
      <c r="BU506" s="17"/>
      <c r="BV506" s="16"/>
      <c r="BW506" s="17"/>
      <c r="BX506" s="16"/>
      <c r="BY506" s="17"/>
      <c r="BZ506" s="19">
        <v>53.355443144948637</v>
      </c>
      <c r="CA506" s="19"/>
      <c r="CB506" s="17"/>
      <c r="CC506" s="14" t="s">
        <v>5345</v>
      </c>
      <c r="CD506" s="14" t="s">
        <v>5361</v>
      </c>
      <c r="CE506" s="14" t="s">
        <v>5311</v>
      </c>
    </row>
    <row r="507" spans="1:83" ht="26.15" customHeight="1">
      <c r="A507" s="13">
        <v>501</v>
      </c>
      <c r="B507" s="14" t="s">
        <v>1539</v>
      </c>
      <c r="C507" s="14" t="s">
        <v>1540</v>
      </c>
      <c r="D507" s="14" t="s">
        <v>1542</v>
      </c>
      <c r="E507" s="13">
        <v>2012</v>
      </c>
      <c r="F507" s="14" t="s">
        <v>5389</v>
      </c>
      <c r="G507" s="14" t="s">
        <v>5390</v>
      </c>
      <c r="H507" s="14" t="s">
        <v>5391</v>
      </c>
      <c r="I507" s="15" t="s">
        <v>3117</v>
      </c>
      <c r="J507" s="16">
        <v>150000</v>
      </c>
      <c r="K507" s="17">
        <v>43304</v>
      </c>
      <c r="L507" s="16"/>
      <c r="M507" s="16" t="s">
        <v>50</v>
      </c>
      <c r="N507" s="14" t="s">
        <v>109</v>
      </c>
      <c r="O507" s="13">
        <v>4</v>
      </c>
      <c r="P507" s="17">
        <v>44050</v>
      </c>
      <c r="Q507" s="14"/>
      <c r="R507" s="17"/>
      <c r="S507" s="17"/>
      <c r="T507" s="14" t="s">
        <v>5791</v>
      </c>
      <c r="U507" s="14" t="s">
        <v>8590</v>
      </c>
      <c r="V507" s="14" t="s">
        <v>8591</v>
      </c>
      <c r="W507" s="14"/>
      <c r="X507" s="14" t="s">
        <v>8592</v>
      </c>
      <c r="Y507" s="14"/>
      <c r="Z507" s="14" t="s">
        <v>8593</v>
      </c>
      <c r="AA507" s="14"/>
      <c r="AB507" s="14" t="s">
        <v>5391</v>
      </c>
      <c r="AC507" s="14" t="s">
        <v>8594</v>
      </c>
      <c r="AD507" s="14" t="s">
        <v>8595</v>
      </c>
      <c r="AE507" s="14" t="s">
        <v>8596</v>
      </c>
      <c r="AF507" s="14" t="s">
        <v>8597</v>
      </c>
      <c r="AG507" s="14" t="s">
        <v>8598</v>
      </c>
      <c r="AH507" s="18"/>
      <c r="AI507" s="16"/>
      <c r="AJ507" s="17"/>
      <c r="AK507" s="15" t="s">
        <v>3123</v>
      </c>
      <c r="AL507" s="17"/>
      <c r="AM507" s="16"/>
      <c r="AN507" s="14"/>
      <c r="AO507" s="14"/>
      <c r="AP507" s="15" t="s">
        <v>3123</v>
      </c>
      <c r="AQ507" s="14"/>
      <c r="AR507" s="17"/>
      <c r="AS507" s="16"/>
      <c r="AT507" s="14"/>
      <c r="AU507" s="15" t="s">
        <v>3123</v>
      </c>
      <c r="AV507" s="14"/>
      <c r="AW507" s="17"/>
      <c r="AX507" s="16"/>
      <c r="AY507" s="16"/>
      <c r="AZ507" s="16"/>
      <c r="BA507" s="16"/>
      <c r="BB507" s="15" t="s">
        <v>3123</v>
      </c>
      <c r="BC507" s="17"/>
      <c r="BD507" s="14"/>
      <c r="BE507" s="14"/>
      <c r="BF507" s="16"/>
      <c r="BG507" s="16"/>
      <c r="BH507" s="13"/>
      <c r="BI507" s="18" t="s">
        <v>8599</v>
      </c>
      <c r="BJ507" s="13">
        <v>200</v>
      </c>
      <c r="BK507" s="17">
        <v>44119</v>
      </c>
      <c r="BL507" s="18" t="s">
        <v>8600</v>
      </c>
      <c r="BM507" s="18" t="s">
        <v>8601</v>
      </c>
      <c r="BN507" s="18"/>
      <c r="BO507" s="18" t="s">
        <v>8602</v>
      </c>
      <c r="BP507" s="14" t="s">
        <v>8603</v>
      </c>
      <c r="BQ507" s="17">
        <v>43031</v>
      </c>
      <c r="BR507" s="16"/>
      <c r="BS507" s="17"/>
      <c r="BT507" s="16"/>
      <c r="BU507" s="17"/>
      <c r="BV507" s="16"/>
      <c r="BW507" s="17"/>
      <c r="BX507" s="16"/>
      <c r="BY507" s="17"/>
      <c r="BZ507" s="19">
        <v>47.048959864080061</v>
      </c>
      <c r="CA507" s="19"/>
      <c r="CB507" s="17"/>
      <c r="CC507" s="14" t="s">
        <v>8604</v>
      </c>
      <c r="CD507" s="14" t="s">
        <v>8605</v>
      </c>
      <c r="CE507" s="14" t="s">
        <v>5311</v>
      </c>
    </row>
    <row r="508" spans="1:83" ht="26.15" customHeight="1">
      <c r="A508" s="13">
        <v>502</v>
      </c>
      <c r="B508" s="14" t="s">
        <v>2997</v>
      </c>
      <c r="C508" s="14" t="s">
        <v>2998</v>
      </c>
      <c r="D508" s="14" t="s">
        <v>2999</v>
      </c>
      <c r="E508" s="13">
        <v>2000</v>
      </c>
      <c r="F508" s="14" t="s">
        <v>5038</v>
      </c>
      <c r="G508" s="14" t="s">
        <v>5039</v>
      </c>
      <c r="H508" s="14" t="s">
        <v>3994</v>
      </c>
      <c r="I508" s="15" t="s">
        <v>3117</v>
      </c>
      <c r="J508" s="16">
        <v>8729360</v>
      </c>
      <c r="K508" s="17">
        <v>41061</v>
      </c>
      <c r="L508" s="16"/>
      <c r="M508" s="16" t="s">
        <v>50</v>
      </c>
      <c r="N508" s="14" t="s">
        <v>5335</v>
      </c>
      <c r="O508" s="13">
        <v>1</v>
      </c>
      <c r="P508" s="17">
        <v>44133</v>
      </c>
      <c r="Q508" s="14"/>
      <c r="R508" s="17"/>
      <c r="S508" s="17"/>
      <c r="T508" s="14" t="s">
        <v>6586</v>
      </c>
      <c r="U508" s="14" t="s">
        <v>6587</v>
      </c>
      <c r="V508" s="14" t="s">
        <v>9982</v>
      </c>
      <c r="W508" s="14"/>
      <c r="X508" s="14" t="s">
        <v>9983</v>
      </c>
      <c r="Y508" s="14" t="s">
        <v>9984</v>
      </c>
      <c r="Z508" s="14" t="s">
        <v>9985</v>
      </c>
      <c r="AA508" s="14"/>
      <c r="AB508" s="14" t="s">
        <v>3994</v>
      </c>
      <c r="AC508" s="14" t="s">
        <v>9986</v>
      </c>
      <c r="AD508" s="14" t="s">
        <v>9987</v>
      </c>
      <c r="AE508" s="14" t="s">
        <v>9988</v>
      </c>
      <c r="AF508" s="14" t="s">
        <v>9989</v>
      </c>
      <c r="AG508" s="14" t="s">
        <v>9990</v>
      </c>
      <c r="AH508" s="18" t="s">
        <v>9991</v>
      </c>
      <c r="AI508" s="16"/>
      <c r="AJ508" s="17"/>
      <c r="AK508" s="15" t="s">
        <v>3123</v>
      </c>
      <c r="AL508" s="17"/>
      <c r="AM508" s="16"/>
      <c r="AN508" s="14"/>
      <c r="AO508" s="14"/>
      <c r="AP508" s="15" t="s">
        <v>3117</v>
      </c>
      <c r="AQ508" s="14" t="s">
        <v>9992</v>
      </c>
      <c r="AR508" s="17">
        <v>40521</v>
      </c>
      <c r="AS508" s="16">
        <v>21701300</v>
      </c>
      <c r="AT508" s="14" t="s">
        <v>5342</v>
      </c>
      <c r="AU508" s="15" t="s">
        <v>3123</v>
      </c>
      <c r="AV508" s="14"/>
      <c r="AW508" s="17"/>
      <c r="AX508" s="16"/>
      <c r="AY508" s="16"/>
      <c r="AZ508" s="16"/>
      <c r="BA508" s="16"/>
      <c r="BB508" s="15" t="s">
        <v>3123</v>
      </c>
      <c r="BC508" s="17"/>
      <c r="BD508" s="14"/>
      <c r="BE508" s="14"/>
      <c r="BF508" s="16"/>
      <c r="BG508" s="16"/>
      <c r="BH508" s="13"/>
      <c r="BI508" s="18" t="s">
        <v>9993</v>
      </c>
      <c r="BJ508" s="13">
        <v>200</v>
      </c>
      <c r="BK508" s="17">
        <v>44119</v>
      </c>
      <c r="BL508" s="18" t="s">
        <v>9994</v>
      </c>
      <c r="BM508" s="18"/>
      <c r="BN508" s="18"/>
      <c r="BO508" s="18"/>
      <c r="BP508" s="14" t="s">
        <v>9995</v>
      </c>
      <c r="BQ508" s="17">
        <v>42933</v>
      </c>
      <c r="BR508" s="16"/>
      <c r="BS508" s="17"/>
      <c r="BT508" s="16"/>
      <c r="BU508" s="17"/>
      <c r="BV508" s="16">
        <v>20000000</v>
      </c>
      <c r="BW508" s="17">
        <v>40494</v>
      </c>
      <c r="BX508" s="16">
        <v>510</v>
      </c>
      <c r="BY508" s="17">
        <v>43921</v>
      </c>
      <c r="BZ508" s="19">
        <v>51.626624693302439</v>
      </c>
      <c r="CA508" s="19"/>
      <c r="CB508" s="17"/>
      <c r="CC508" s="14" t="s">
        <v>5036</v>
      </c>
      <c r="CD508" s="14" t="s">
        <v>5962</v>
      </c>
      <c r="CE508" s="14" t="s">
        <v>5945</v>
      </c>
    </row>
    <row r="509" spans="1:83" ht="26.15" customHeight="1">
      <c r="A509" s="13">
        <v>503</v>
      </c>
      <c r="B509" s="14" t="s">
        <v>2927</v>
      </c>
      <c r="C509" s="14" t="s">
        <v>2928</v>
      </c>
      <c r="D509" s="14" t="s">
        <v>2929</v>
      </c>
      <c r="E509" s="13">
        <v>2013</v>
      </c>
      <c r="F509" s="14" t="s">
        <v>5189</v>
      </c>
      <c r="G509" s="14" t="s">
        <v>5190</v>
      </c>
      <c r="H509" s="14" t="s">
        <v>1258</v>
      </c>
      <c r="I509" s="15" t="s">
        <v>3117</v>
      </c>
      <c r="J509" s="16"/>
      <c r="K509" s="17">
        <v>41617</v>
      </c>
      <c r="L509" s="16"/>
      <c r="M509" s="16" t="s">
        <v>50</v>
      </c>
      <c r="N509" s="14" t="s">
        <v>34</v>
      </c>
      <c r="O509" s="13"/>
      <c r="P509" s="17"/>
      <c r="Q509" s="14"/>
      <c r="R509" s="17"/>
      <c r="S509" s="17"/>
      <c r="T509" s="14" t="s">
        <v>1</v>
      </c>
      <c r="U509" s="14" t="s">
        <v>5007</v>
      </c>
      <c r="V509" s="14" t="s">
        <v>6146</v>
      </c>
      <c r="W509" s="14"/>
      <c r="X509" s="14" t="s">
        <v>3689</v>
      </c>
      <c r="Y509" s="14"/>
      <c r="Z509" s="14" t="s">
        <v>9996</v>
      </c>
      <c r="AA509" s="14"/>
      <c r="AB509" s="14" t="s">
        <v>1258</v>
      </c>
      <c r="AC509" s="14" t="s">
        <v>9997</v>
      </c>
      <c r="AD509" s="14"/>
      <c r="AE509" s="14" t="s">
        <v>9998</v>
      </c>
      <c r="AF509" s="14" t="s">
        <v>9999</v>
      </c>
      <c r="AG509" s="14" t="s">
        <v>10000</v>
      </c>
      <c r="AH509" s="18" t="s">
        <v>10001</v>
      </c>
      <c r="AI509" s="16"/>
      <c r="AJ509" s="17"/>
      <c r="AK509" s="15" t="s">
        <v>3123</v>
      </c>
      <c r="AL509" s="17"/>
      <c r="AM509" s="16"/>
      <c r="AN509" s="14"/>
      <c r="AO509" s="14"/>
      <c r="AP509" s="15" t="s">
        <v>3123</v>
      </c>
      <c r="AQ509" s="14"/>
      <c r="AR509" s="17"/>
      <c r="AS509" s="16"/>
      <c r="AT509" s="14"/>
      <c r="AU509" s="15" t="s">
        <v>3123</v>
      </c>
      <c r="AV509" s="14"/>
      <c r="AW509" s="17"/>
      <c r="AX509" s="16"/>
      <c r="AY509" s="16"/>
      <c r="AZ509" s="16"/>
      <c r="BA509" s="16"/>
      <c r="BB509" s="15" t="s">
        <v>3123</v>
      </c>
      <c r="BC509" s="17"/>
      <c r="BD509" s="14"/>
      <c r="BE509" s="14"/>
      <c r="BF509" s="16"/>
      <c r="BG509" s="16"/>
      <c r="BH509" s="13"/>
      <c r="BI509" s="18" t="s">
        <v>10002</v>
      </c>
      <c r="BJ509" s="13">
        <v>301</v>
      </c>
      <c r="BK509" s="17">
        <v>44119</v>
      </c>
      <c r="BL509" s="18" t="s">
        <v>10003</v>
      </c>
      <c r="BM509" s="18" t="s">
        <v>10004</v>
      </c>
      <c r="BN509" s="18" t="s">
        <v>10005</v>
      </c>
      <c r="BO509" s="18" t="s">
        <v>10006</v>
      </c>
      <c r="BP509" s="14" t="s">
        <v>10007</v>
      </c>
      <c r="BQ509" s="17">
        <v>43032</v>
      </c>
      <c r="BR509" s="16"/>
      <c r="BS509" s="17"/>
      <c r="BT509" s="16"/>
      <c r="BU509" s="17"/>
      <c r="BV509" s="16"/>
      <c r="BW509" s="17"/>
      <c r="BX509" s="16"/>
      <c r="BY509" s="17"/>
      <c r="BZ509" s="19">
        <v>28.701102750769508</v>
      </c>
      <c r="CA509" s="19"/>
      <c r="CB509" s="17"/>
      <c r="CC509" s="14" t="s">
        <v>6797</v>
      </c>
      <c r="CD509" s="14" t="s">
        <v>5205</v>
      </c>
      <c r="CE509" s="14" t="s">
        <v>5004</v>
      </c>
    </row>
    <row r="510" spans="1:83" ht="26.15" customHeight="1">
      <c r="A510" s="13">
        <v>504</v>
      </c>
      <c r="B510" s="14" t="s">
        <v>1500</v>
      </c>
      <c r="C510" s="14" t="s">
        <v>1501</v>
      </c>
      <c r="D510" s="14" t="s">
        <v>1503</v>
      </c>
      <c r="E510" s="13">
        <v>2004</v>
      </c>
      <c r="F510" s="14" t="s">
        <v>5005</v>
      </c>
      <c r="G510" s="14" t="s">
        <v>5006</v>
      </c>
      <c r="H510" s="14" t="s">
        <v>3994</v>
      </c>
      <c r="I510" s="15" t="s">
        <v>3117</v>
      </c>
      <c r="J510" s="16">
        <v>2111924</v>
      </c>
      <c r="K510" s="17">
        <v>43322</v>
      </c>
      <c r="L510" s="16" t="s">
        <v>8606</v>
      </c>
      <c r="M510" s="16">
        <v>611924</v>
      </c>
      <c r="N510" s="14" t="s">
        <v>34</v>
      </c>
      <c r="O510" s="13">
        <v>4</v>
      </c>
      <c r="P510" s="17">
        <v>44098</v>
      </c>
      <c r="Q510" s="14"/>
      <c r="R510" s="17"/>
      <c r="S510" s="17"/>
      <c r="T510" s="14" t="s">
        <v>1</v>
      </c>
      <c r="U510" s="14" t="s">
        <v>5007</v>
      </c>
      <c r="V510" s="14" t="s">
        <v>8607</v>
      </c>
      <c r="W510" s="14"/>
      <c r="X510" s="14" t="s">
        <v>8608</v>
      </c>
      <c r="Y510" s="14" t="s">
        <v>8609</v>
      </c>
      <c r="Z510" s="14" t="s">
        <v>8610</v>
      </c>
      <c r="AA510" s="14"/>
      <c r="AB510" s="14" t="s">
        <v>3994</v>
      </c>
      <c r="AC510" s="14" t="s">
        <v>8611</v>
      </c>
      <c r="AD510" s="14"/>
      <c r="AE510" s="14" t="s">
        <v>8612</v>
      </c>
      <c r="AF510" s="14" t="s">
        <v>8613</v>
      </c>
      <c r="AG510" s="14" t="s">
        <v>8614</v>
      </c>
      <c r="AH510" s="18" t="s">
        <v>8615</v>
      </c>
      <c r="AI510" s="16">
        <v>4151601.4409709414</v>
      </c>
      <c r="AJ510" s="17">
        <v>43465</v>
      </c>
      <c r="AK510" s="15" t="s">
        <v>3117</v>
      </c>
      <c r="AL510" s="17">
        <v>38265</v>
      </c>
      <c r="AM510" s="16">
        <v>2179</v>
      </c>
      <c r="AN510" s="14" t="s">
        <v>8616</v>
      </c>
      <c r="AO510" s="14"/>
      <c r="AP510" s="15" t="s">
        <v>3123</v>
      </c>
      <c r="AQ510" s="14"/>
      <c r="AR510" s="17"/>
      <c r="AS510" s="16"/>
      <c r="AT510" s="14"/>
      <c r="AU510" s="15" t="s">
        <v>3123</v>
      </c>
      <c r="AV510" s="14"/>
      <c r="AW510" s="17"/>
      <c r="AX510" s="16"/>
      <c r="AY510" s="16"/>
      <c r="AZ510" s="16"/>
      <c r="BA510" s="16"/>
      <c r="BB510" s="15" t="s">
        <v>3123</v>
      </c>
      <c r="BC510" s="17"/>
      <c r="BD510" s="14"/>
      <c r="BE510" s="14"/>
      <c r="BF510" s="16"/>
      <c r="BG510" s="16"/>
      <c r="BH510" s="13"/>
      <c r="BI510" s="18" t="s">
        <v>8617</v>
      </c>
      <c r="BJ510" s="13">
        <v>404</v>
      </c>
      <c r="BK510" s="17">
        <v>44119</v>
      </c>
      <c r="BL510" s="18" t="s">
        <v>8618</v>
      </c>
      <c r="BM510" s="18" t="s">
        <v>8619</v>
      </c>
      <c r="BN510" s="18" t="s">
        <v>8620</v>
      </c>
      <c r="BO510" s="18"/>
      <c r="BP510" s="14" t="s">
        <v>8621</v>
      </c>
      <c r="BQ510" s="17">
        <v>42929</v>
      </c>
      <c r="BR510" s="16">
        <v>52407.357979829663</v>
      </c>
      <c r="BS510" s="17">
        <v>43465</v>
      </c>
      <c r="BT510" s="16">
        <v>222259.79617000208</v>
      </c>
      <c r="BU510" s="17">
        <v>43465</v>
      </c>
      <c r="BV510" s="16">
        <v>9000000</v>
      </c>
      <c r="BW510" s="17">
        <v>43322</v>
      </c>
      <c r="BX510" s="16">
        <v>89</v>
      </c>
      <c r="BY510" s="17">
        <v>43738</v>
      </c>
      <c r="BZ510" s="19">
        <v>40.646595234273249</v>
      </c>
      <c r="CA510" s="19"/>
      <c r="CB510" s="17"/>
      <c r="CC510" s="14" t="s">
        <v>7284</v>
      </c>
      <c r="CD510" s="14" t="s">
        <v>6002</v>
      </c>
      <c r="CE510" s="14" t="s">
        <v>5945</v>
      </c>
    </row>
    <row r="511" spans="1:83" ht="26.15" customHeight="1">
      <c r="A511" s="13">
        <v>505</v>
      </c>
      <c r="B511" s="14" t="s">
        <v>2993</v>
      </c>
      <c r="C511" s="14" t="s">
        <v>2994</v>
      </c>
      <c r="D511" s="14" t="s">
        <v>2995</v>
      </c>
      <c r="E511" s="13">
        <v>1999</v>
      </c>
      <c r="F511" s="14" t="s">
        <v>5389</v>
      </c>
      <c r="G511" s="14" t="s">
        <v>5390</v>
      </c>
      <c r="H511" s="14" t="s">
        <v>5391</v>
      </c>
      <c r="I511" s="15" t="s">
        <v>3117</v>
      </c>
      <c r="J511" s="16">
        <v>1500000</v>
      </c>
      <c r="K511" s="17">
        <v>41065</v>
      </c>
      <c r="L511" s="16" t="s">
        <v>5022</v>
      </c>
      <c r="M511" s="16">
        <v>1500000</v>
      </c>
      <c r="N511" s="14" t="s">
        <v>109</v>
      </c>
      <c r="O511" s="13"/>
      <c r="P511" s="17"/>
      <c r="Q511" s="14"/>
      <c r="R511" s="17"/>
      <c r="S511" s="17"/>
      <c r="T511" s="14" t="s">
        <v>1</v>
      </c>
      <c r="U511" s="14" t="s">
        <v>5007</v>
      </c>
      <c r="V511" s="14" t="s">
        <v>6430</v>
      </c>
      <c r="W511" s="14"/>
      <c r="X511" s="14" t="s">
        <v>10008</v>
      </c>
      <c r="Y511" s="14"/>
      <c r="Z511" s="14" t="s">
        <v>10009</v>
      </c>
      <c r="AA511" s="14"/>
      <c r="AB511" s="14" t="s">
        <v>5391</v>
      </c>
      <c r="AC511" s="14" t="s">
        <v>10010</v>
      </c>
      <c r="AD511" s="14"/>
      <c r="AE511" s="14" t="s">
        <v>10011</v>
      </c>
      <c r="AF511" s="14" t="s">
        <v>10012</v>
      </c>
      <c r="AG511" s="14" t="s">
        <v>10013</v>
      </c>
      <c r="AH511" s="18" t="s">
        <v>10014</v>
      </c>
      <c r="AI511" s="16"/>
      <c r="AJ511" s="17"/>
      <c r="AK511" s="15" t="s">
        <v>3123</v>
      </c>
      <c r="AL511" s="17"/>
      <c r="AM511" s="16"/>
      <c r="AN511" s="14"/>
      <c r="AO511" s="14"/>
      <c r="AP511" s="15" t="s">
        <v>3123</v>
      </c>
      <c r="AQ511" s="14"/>
      <c r="AR511" s="17"/>
      <c r="AS511" s="16"/>
      <c r="AT511" s="14"/>
      <c r="AU511" s="15" t="s">
        <v>3123</v>
      </c>
      <c r="AV511" s="14"/>
      <c r="AW511" s="17"/>
      <c r="AX511" s="16"/>
      <c r="AY511" s="16"/>
      <c r="AZ511" s="16"/>
      <c r="BA511" s="16"/>
      <c r="BB511" s="15" t="s">
        <v>3123</v>
      </c>
      <c r="BC511" s="17"/>
      <c r="BD511" s="14"/>
      <c r="BE511" s="14"/>
      <c r="BF511" s="16"/>
      <c r="BG511" s="16"/>
      <c r="BH511" s="13"/>
      <c r="BI511" s="18" t="s">
        <v>10015</v>
      </c>
      <c r="BJ511" s="13">
        <v>200</v>
      </c>
      <c r="BK511" s="17">
        <v>44119</v>
      </c>
      <c r="BL511" s="18" t="s">
        <v>10016</v>
      </c>
      <c r="BM511" s="18" t="s">
        <v>10017</v>
      </c>
      <c r="BN511" s="18"/>
      <c r="BO511" s="18"/>
      <c r="BP511" s="14" t="s">
        <v>10018</v>
      </c>
      <c r="BQ511" s="17">
        <v>42930</v>
      </c>
      <c r="BR511" s="16"/>
      <c r="BS511" s="17"/>
      <c r="BT511" s="16"/>
      <c r="BU511" s="17"/>
      <c r="BV511" s="16"/>
      <c r="BW511" s="17"/>
      <c r="BX511" s="16"/>
      <c r="BY511" s="17"/>
      <c r="BZ511" s="19">
        <v>31.449093832285211</v>
      </c>
      <c r="CA511" s="19"/>
      <c r="CB511" s="17"/>
      <c r="CC511" s="14" t="s">
        <v>5345</v>
      </c>
      <c r="CD511" s="14" t="s">
        <v>7272</v>
      </c>
      <c r="CE511" s="14" t="s">
        <v>5945</v>
      </c>
    </row>
    <row r="512" spans="1:83" ht="26.15" customHeight="1">
      <c r="A512" s="13">
        <v>506</v>
      </c>
      <c r="B512" s="14" t="s">
        <v>2461</v>
      </c>
      <c r="C512" s="14" t="s">
        <v>2462</v>
      </c>
      <c r="D512" s="14" t="s">
        <v>2465</v>
      </c>
      <c r="E512" s="13">
        <v>2015</v>
      </c>
      <c r="F512" s="14" t="s">
        <v>5005</v>
      </c>
      <c r="G512" s="14" t="s">
        <v>5006</v>
      </c>
      <c r="H512" s="14" t="s">
        <v>3994</v>
      </c>
      <c r="I512" s="15" t="s">
        <v>3117</v>
      </c>
      <c r="J512" s="16">
        <v>314748</v>
      </c>
      <c r="K512" s="17">
        <v>42471</v>
      </c>
      <c r="L512" s="16" t="s">
        <v>10019</v>
      </c>
      <c r="M512" s="16">
        <v>314748</v>
      </c>
      <c r="N512" s="14" t="s">
        <v>34</v>
      </c>
      <c r="O512" s="13"/>
      <c r="P512" s="17"/>
      <c r="Q512" s="14"/>
      <c r="R512" s="17"/>
      <c r="S512" s="17"/>
      <c r="T512" s="14" t="s">
        <v>5509</v>
      </c>
      <c r="U512" s="14" t="s">
        <v>5510</v>
      </c>
      <c r="V512" s="14" t="s">
        <v>5511</v>
      </c>
      <c r="W512" s="14"/>
      <c r="X512" s="14" t="s">
        <v>2464</v>
      </c>
      <c r="Y512" s="14"/>
      <c r="Z512" s="14" t="s">
        <v>10020</v>
      </c>
      <c r="AA512" s="14"/>
      <c r="AB512" s="14" t="s">
        <v>3994</v>
      </c>
      <c r="AC512" s="14"/>
      <c r="AD512" s="14"/>
      <c r="AE512" s="14" t="s">
        <v>10021</v>
      </c>
      <c r="AF512" s="14" t="s">
        <v>10022</v>
      </c>
      <c r="AG512" s="14" t="s">
        <v>10023</v>
      </c>
      <c r="AH512" s="18" t="s">
        <v>10024</v>
      </c>
      <c r="AI512" s="16">
        <v>32372.716836968946</v>
      </c>
      <c r="AJ512" s="17">
        <v>43465</v>
      </c>
      <c r="AK512" s="15" t="s">
        <v>3117</v>
      </c>
      <c r="AL512" s="17">
        <v>39858</v>
      </c>
      <c r="AM512" s="16">
        <v>2042</v>
      </c>
      <c r="AN512" s="14" t="s">
        <v>10025</v>
      </c>
      <c r="AO512" s="14"/>
      <c r="AP512" s="15" t="s">
        <v>3123</v>
      </c>
      <c r="AQ512" s="14"/>
      <c r="AR512" s="17"/>
      <c r="AS512" s="16"/>
      <c r="AT512" s="14"/>
      <c r="AU512" s="15" t="s">
        <v>3123</v>
      </c>
      <c r="AV512" s="14"/>
      <c r="AW512" s="17"/>
      <c r="AX512" s="16"/>
      <c r="AY512" s="16"/>
      <c r="AZ512" s="16"/>
      <c r="BA512" s="16"/>
      <c r="BB512" s="15" t="s">
        <v>3123</v>
      </c>
      <c r="BC512" s="17"/>
      <c r="BD512" s="14"/>
      <c r="BE512" s="14"/>
      <c r="BF512" s="16"/>
      <c r="BG512" s="16"/>
      <c r="BH512" s="13"/>
      <c r="BI512" s="18" t="s">
        <v>10026</v>
      </c>
      <c r="BJ512" s="13">
        <v>200</v>
      </c>
      <c r="BK512" s="17">
        <v>44119</v>
      </c>
      <c r="BL512" s="18" t="s">
        <v>10027</v>
      </c>
      <c r="BM512" s="18" t="s">
        <v>10028</v>
      </c>
      <c r="BN512" s="18" t="s">
        <v>10029</v>
      </c>
      <c r="BO512" s="18"/>
      <c r="BP512" s="14" t="s">
        <v>10030</v>
      </c>
      <c r="BQ512" s="17">
        <v>42473</v>
      </c>
      <c r="BR512" s="16">
        <v>-40078.37232970004</v>
      </c>
      <c r="BS512" s="17">
        <v>43465</v>
      </c>
      <c r="BT512" s="16">
        <v>-54135.272638594499</v>
      </c>
      <c r="BU512" s="17">
        <v>43465</v>
      </c>
      <c r="BV512" s="16">
        <v>1</v>
      </c>
      <c r="BW512" s="17">
        <v>42464</v>
      </c>
      <c r="BX512" s="16">
        <v>375</v>
      </c>
      <c r="BY512" s="17">
        <v>43921</v>
      </c>
      <c r="BZ512" s="19">
        <v>32.011592684280593</v>
      </c>
      <c r="CA512" s="19"/>
      <c r="CB512" s="17"/>
      <c r="CC512" s="14" t="s">
        <v>6556</v>
      </c>
      <c r="CD512" s="14" t="s">
        <v>6557</v>
      </c>
      <c r="CE512" s="14" t="s">
        <v>5945</v>
      </c>
    </row>
    <row r="513" spans="1:83" ht="26.15" customHeight="1">
      <c r="A513" s="13">
        <v>507</v>
      </c>
      <c r="B513" s="14" t="s">
        <v>2849</v>
      </c>
      <c r="C513" s="14" t="s">
        <v>2850</v>
      </c>
      <c r="D513" s="14" t="s">
        <v>2852</v>
      </c>
      <c r="E513" s="13">
        <v>2009</v>
      </c>
      <c r="F513" s="14" t="s">
        <v>7307</v>
      </c>
      <c r="G513" s="14" t="s">
        <v>5267</v>
      </c>
      <c r="H513" s="14" t="s">
        <v>2057</v>
      </c>
      <c r="I513" s="15" t="s">
        <v>3117</v>
      </c>
      <c r="J513" s="16">
        <v>30060731</v>
      </c>
      <c r="K513" s="17">
        <v>41791</v>
      </c>
      <c r="L513" s="16"/>
      <c r="M513" s="16" t="s">
        <v>50</v>
      </c>
      <c r="N513" s="14" t="s">
        <v>95</v>
      </c>
      <c r="O513" s="13">
        <v>4</v>
      </c>
      <c r="P513" s="17">
        <v>44021</v>
      </c>
      <c r="Q513" s="14" t="s">
        <v>5544</v>
      </c>
      <c r="R513" s="17">
        <v>42920</v>
      </c>
      <c r="S513" s="17">
        <v>41851</v>
      </c>
      <c r="T513" s="14" t="s">
        <v>4995</v>
      </c>
      <c r="U513" s="14" t="s">
        <v>5578</v>
      </c>
      <c r="V513" s="14" t="s">
        <v>10031</v>
      </c>
      <c r="W513" s="14"/>
      <c r="X513" s="14" t="s">
        <v>10032</v>
      </c>
      <c r="Y513" s="14"/>
      <c r="Z513" s="14" t="s">
        <v>10033</v>
      </c>
      <c r="AA513" s="14"/>
      <c r="AB513" s="14" t="s">
        <v>2057</v>
      </c>
      <c r="AC513" s="14"/>
      <c r="AD513" s="14"/>
      <c r="AE513" s="14" t="s">
        <v>10034</v>
      </c>
      <c r="AF513" s="14" t="s">
        <v>10035</v>
      </c>
      <c r="AG513" s="14" t="s">
        <v>10036</v>
      </c>
      <c r="AH513" s="18" t="s">
        <v>10037</v>
      </c>
      <c r="AI513" s="16"/>
      <c r="AJ513" s="17"/>
      <c r="AK513" s="15" t="s">
        <v>3123</v>
      </c>
      <c r="AL513" s="17"/>
      <c r="AM513" s="16"/>
      <c r="AN513" s="14"/>
      <c r="AO513" s="14"/>
      <c r="AP513" s="15" t="s">
        <v>3123</v>
      </c>
      <c r="AQ513" s="14"/>
      <c r="AR513" s="17"/>
      <c r="AS513" s="16"/>
      <c r="AT513" s="14"/>
      <c r="AU513" s="15" t="s">
        <v>3123</v>
      </c>
      <c r="AV513" s="14"/>
      <c r="AW513" s="17"/>
      <c r="AX513" s="16"/>
      <c r="AY513" s="16"/>
      <c r="AZ513" s="16"/>
      <c r="BA513" s="16"/>
      <c r="BB513" s="15" t="s">
        <v>3123</v>
      </c>
      <c r="BC513" s="17"/>
      <c r="BD513" s="14"/>
      <c r="BE513" s="14"/>
      <c r="BF513" s="16"/>
      <c r="BG513" s="16"/>
      <c r="BH513" s="13"/>
      <c r="BI513" s="18" t="s">
        <v>10038</v>
      </c>
      <c r="BJ513" s="13">
        <v>200</v>
      </c>
      <c r="BK513" s="17">
        <v>44118</v>
      </c>
      <c r="BL513" s="18" t="s">
        <v>10039</v>
      </c>
      <c r="BM513" s="18"/>
      <c r="BN513" s="18"/>
      <c r="BO513" s="18"/>
      <c r="BP513" s="14" t="s">
        <v>10040</v>
      </c>
      <c r="BQ513" s="17">
        <v>42220</v>
      </c>
      <c r="BR513" s="16"/>
      <c r="BS513" s="17"/>
      <c r="BT513" s="16"/>
      <c r="BU513" s="17"/>
      <c r="BV513" s="16"/>
      <c r="BW513" s="17"/>
      <c r="BX513" s="16"/>
      <c r="BY513" s="17"/>
      <c r="BZ513" s="19">
        <v>41.967492021949752</v>
      </c>
      <c r="CA513" s="19"/>
      <c r="CB513" s="17"/>
      <c r="CC513" s="14" t="s">
        <v>6487</v>
      </c>
      <c r="CD513" s="14" t="s">
        <v>5944</v>
      </c>
      <c r="CE513" s="14" t="s">
        <v>5945</v>
      </c>
    </row>
    <row r="514" spans="1:83" ht="26.15" customHeight="1">
      <c r="A514" s="13">
        <v>508</v>
      </c>
      <c r="B514" s="14" t="s">
        <v>2467</v>
      </c>
      <c r="C514" s="14" t="s">
        <v>2468</v>
      </c>
      <c r="D514" s="14" t="s">
        <v>2469</v>
      </c>
      <c r="E514" s="13">
        <v>2012</v>
      </c>
      <c r="F514" s="14" t="s">
        <v>6279</v>
      </c>
      <c r="G514" s="14" t="s">
        <v>6280</v>
      </c>
      <c r="H514" s="14" t="s">
        <v>6281</v>
      </c>
      <c r="I514" s="15" t="s">
        <v>3117</v>
      </c>
      <c r="J514" s="16"/>
      <c r="K514" s="17">
        <v>42465</v>
      </c>
      <c r="L514" s="16"/>
      <c r="M514" s="16" t="s">
        <v>50</v>
      </c>
      <c r="N514" s="14" t="s">
        <v>5630</v>
      </c>
      <c r="O514" s="13"/>
      <c r="P514" s="17">
        <v>44026</v>
      </c>
      <c r="Q514" s="14"/>
      <c r="R514" s="17"/>
      <c r="S514" s="17"/>
      <c r="T514" s="14" t="s">
        <v>1</v>
      </c>
      <c r="U514" s="14" t="s">
        <v>5007</v>
      </c>
      <c r="V514" s="14" t="s">
        <v>10041</v>
      </c>
      <c r="W514" s="14"/>
      <c r="X514" s="14" t="s">
        <v>798</v>
      </c>
      <c r="Y514" s="14"/>
      <c r="Z514" s="14" t="s">
        <v>10042</v>
      </c>
      <c r="AA514" s="14"/>
      <c r="AB514" s="14" t="s">
        <v>6281</v>
      </c>
      <c r="AC514" s="14" t="s">
        <v>10043</v>
      </c>
      <c r="AD514" s="14"/>
      <c r="AE514" s="14" t="s">
        <v>10044</v>
      </c>
      <c r="AF514" s="14" t="s">
        <v>10045</v>
      </c>
      <c r="AG514" s="14" t="s">
        <v>10046</v>
      </c>
      <c r="AH514" s="18" t="s">
        <v>10047</v>
      </c>
      <c r="AI514" s="16"/>
      <c r="AJ514" s="17"/>
      <c r="AK514" s="15" t="s">
        <v>3123</v>
      </c>
      <c r="AL514" s="17"/>
      <c r="AM514" s="16"/>
      <c r="AN514" s="14"/>
      <c r="AO514" s="14"/>
      <c r="AP514" s="15" t="s">
        <v>3123</v>
      </c>
      <c r="AQ514" s="14"/>
      <c r="AR514" s="17"/>
      <c r="AS514" s="16"/>
      <c r="AT514" s="14"/>
      <c r="AU514" s="15" t="s">
        <v>3123</v>
      </c>
      <c r="AV514" s="14"/>
      <c r="AW514" s="17"/>
      <c r="AX514" s="16"/>
      <c r="AY514" s="16"/>
      <c r="AZ514" s="16"/>
      <c r="BA514" s="16"/>
      <c r="BB514" s="15" t="s">
        <v>3117</v>
      </c>
      <c r="BC514" s="17">
        <v>42522</v>
      </c>
      <c r="BD514" s="14"/>
      <c r="BE514" s="14"/>
      <c r="BF514" s="16"/>
      <c r="BG514" s="16"/>
      <c r="BH514" s="13"/>
      <c r="BI514" s="18" t="s">
        <v>10048</v>
      </c>
      <c r="BJ514" s="13">
        <v>301</v>
      </c>
      <c r="BK514" s="17">
        <v>44093</v>
      </c>
      <c r="BL514" s="18" t="s">
        <v>10049</v>
      </c>
      <c r="BM514" s="18" t="s">
        <v>10050</v>
      </c>
      <c r="BN514" s="18" t="s">
        <v>10051</v>
      </c>
      <c r="BO514" s="18" t="s">
        <v>10052</v>
      </c>
      <c r="BP514" s="14" t="s">
        <v>10053</v>
      </c>
      <c r="BQ514" s="17">
        <v>43032</v>
      </c>
      <c r="BR514" s="16"/>
      <c r="BS514" s="17"/>
      <c r="BT514" s="16"/>
      <c r="BU514" s="17"/>
      <c r="BV514" s="16"/>
      <c r="BW514" s="17"/>
      <c r="BX514" s="16"/>
      <c r="BY514" s="17"/>
      <c r="BZ514" s="19">
        <v>25.536891705008166</v>
      </c>
      <c r="CA514" s="19"/>
      <c r="CB514" s="17"/>
      <c r="CC514" s="14"/>
      <c r="CD514" s="14" t="s">
        <v>6508</v>
      </c>
      <c r="CE514" s="14" t="s">
        <v>6509</v>
      </c>
    </row>
    <row r="515" spans="1:83" ht="26.15" hidden="1" customHeight="1">
      <c r="A515" s="13">
        <v>509</v>
      </c>
      <c r="B515" s="14" t="s">
        <v>2591</v>
      </c>
      <c r="C515" s="14" t="s">
        <v>2592</v>
      </c>
      <c r="D515" s="14" t="s">
        <v>2594</v>
      </c>
      <c r="E515" s="13">
        <v>2004</v>
      </c>
      <c r="F515" s="14" t="s">
        <v>10054</v>
      </c>
      <c r="G515" s="14" t="s">
        <v>6381</v>
      </c>
      <c r="H515" s="14" t="s">
        <v>4343</v>
      </c>
      <c r="I515" s="15" t="s">
        <v>3117</v>
      </c>
      <c r="J515" s="16"/>
      <c r="K515" s="17">
        <v>42325</v>
      </c>
      <c r="L515" s="16"/>
      <c r="M515" s="16" t="s">
        <v>50</v>
      </c>
      <c r="N515" s="14" t="s">
        <v>5630</v>
      </c>
      <c r="O515" s="13"/>
      <c r="P515" s="17"/>
      <c r="Q515" s="14"/>
      <c r="R515" s="17"/>
      <c r="S515" s="17"/>
      <c r="T515" s="14" t="s">
        <v>1</v>
      </c>
      <c r="U515" s="14" t="s">
        <v>5135</v>
      </c>
      <c r="V515" s="14" t="s">
        <v>2595</v>
      </c>
      <c r="W515" s="14"/>
      <c r="X515" s="14" t="s">
        <v>10055</v>
      </c>
      <c r="Y515" s="14"/>
      <c r="Z515" s="14" t="s">
        <v>10056</v>
      </c>
      <c r="AA515" s="14"/>
      <c r="AB515" s="14" t="s">
        <v>4343</v>
      </c>
      <c r="AC515" s="14"/>
      <c r="AD515" s="14"/>
      <c r="AE515" s="14" t="s">
        <v>10057</v>
      </c>
      <c r="AF515" s="14" t="s">
        <v>10058</v>
      </c>
      <c r="AG515" s="14" t="s">
        <v>10059</v>
      </c>
      <c r="AH515" s="18" t="s">
        <v>10060</v>
      </c>
      <c r="AI515" s="16"/>
      <c r="AJ515" s="17"/>
      <c r="AK515" s="15" t="s">
        <v>3123</v>
      </c>
      <c r="AL515" s="17"/>
      <c r="AM515" s="16"/>
      <c r="AN515" s="14"/>
      <c r="AO515" s="14"/>
      <c r="AP515" s="15" t="s">
        <v>3123</v>
      </c>
      <c r="AQ515" s="14"/>
      <c r="AR515" s="17"/>
      <c r="AS515" s="16"/>
      <c r="AT515" s="14"/>
      <c r="AU515" s="15" t="s">
        <v>3123</v>
      </c>
      <c r="AV515" s="14"/>
      <c r="AW515" s="17"/>
      <c r="AX515" s="16"/>
      <c r="AY515" s="16"/>
      <c r="AZ515" s="16"/>
      <c r="BA515" s="16"/>
      <c r="BB515" s="15" t="s">
        <v>3117</v>
      </c>
      <c r="BC515" s="17"/>
      <c r="BD515" s="14"/>
      <c r="BE515" s="14"/>
      <c r="BF515" s="16"/>
      <c r="BG515" s="16"/>
      <c r="BH515" s="13"/>
      <c r="BI515" s="18" t="s">
        <v>10061</v>
      </c>
      <c r="BJ515" s="13">
        <v>-1</v>
      </c>
      <c r="BK515" s="17">
        <v>44118</v>
      </c>
      <c r="BL515" s="18" t="s">
        <v>10062</v>
      </c>
      <c r="BM515" s="18"/>
      <c r="BN515" s="18" t="s">
        <v>10063</v>
      </c>
      <c r="BO515" s="18"/>
      <c r="BP515" s="14" t="s">
        <v>10064</v>
      </c>
      <c r="BQ515" s="17">
        <v>42934</v>
      </c>
      <c r="BR515" s="16"/>
      <c r="BS515" s="17"/>
      <c r="BT515" s="16"/>
      <c r="BU515" s="17"/>
      <c r="BV515" s="16"/>
      <c r="BW515" s="17"/>
      <c r="BX515" s="16"/>
      <c r="BY515" s="17"/>
      <c r="BZ515" s="19">
        <v>23.352084383531214</v>
      </c>
      <c r="CA515" s="19"/>
      <c r="CB515" s="17"/>
      <c r="CC515" s="14" t="s">
        <v>5345</v>
      </c>
      <c r="CD515" s="14" t="s">
        <v>7272</v>
      </c>
      <c r="CE515" s="14" t="s">
        <v>5945</v>
      </c>
    </row>
    <row r="516" spans="1:83" ht="26.15" customHeight="1">
      <c r="A516" s="13">
        <v>510</v>
      </c>
      <c r="B516" s="14" t="s">
        <v>1868</v>
      </c>
      <c r="C516" s="14" t="s">
        <v>1869</v>
      </c>
      <c r="D516" s="14" t="s">
        <v>1870</v>
      </c>
      <c r="E516" s="13">
        <v>2003</v>
      </c>
      <c r="F516" s="14" t="s">
        <v>5020</v>
      </c>
      <c r="G516" s="14" t="s">
        <v>5021</v>
      </c>
      <c r="H516" s="14" t="s">
        <v>3994</v>
      </c>
      <c r="I516" s="15" t="s">
        <v>3117</v>
      </c>
      <c r="J516" s="16">
        <v>11768115</v>
      </c>
      <c r="K516" s="17">
        <v>43084</v>
      </c>
      <c r="L516" s="16" t="s">
        <v>6481</v>
      </c>
      <c r="M516" s="16">
        <v>6269920</v>
      </c>
      <c r="N516" s="14" t="s">
        <v>95</v>
      </c>
      <c r="O516" s="13">
        <v>5</v>
      </c>
      <c r="P516" s="17">
        <v>44022</v>
      </c>
      <c r="Q516" s="14" t="s">
        <v>5052</v>
      </c>
      <c r="R516" s="17">
        <v>44027</v>
      </c>
      <c r="S516" s="17">
        <v>42217</v>
      </c>
      <c r="T516" s="14" t="s">
        <v>1</v>
      </c>
      <c r="U516" s="14" t="s">
        <v>5007</v>
      </c>
      <c r="V516" s="14" t="s">
        <v>8607</v>
      </c>
      <c r="W516" s="14"/>
      <c r="X516" s="14" t="s">
        <v>8636</v>
      </c>
      <c r="Y516" s="14"/>
      <c r="Z516" s="14" t="s">
        <v>8637</v>
      </c>
      <c r="AA516" s="14"/>
      <c r="AB516" s="14" t="s">
        <v>3994</v>
      </c>
      <c r="AC516" s="14"/>
      <c r="AD516" s="14" t="s">
        <v>8638</v>
      </c>
      <c r="AE516" s="14" t="s">
        <v>8639</v>
      </c>
      <c r="AF516" s="14" t="s">
        <v>8640</v>
      </c>
      <c r="AG516" s="14" t="s">
        <v>8641</v>
      </c>
      <c r="AH516" s="18" t="s">
        <v>8642</v>
      </c>
      <c r="AI516" s="16">
        <v>5827100</v>
      </c>
      <c r="AJ516" s="17">
        <v>43465</v>
      </c>
      <c r="AK516" s="15" t="s">
        <v>3117</v>
      </c>
      <c r="AL516" s="17">
        <v>38132</v>
      </c>
      <c r="AM516" s="16">
        <v>2205</v>
      </c>
      <c r="AN516" s="14"/>
      <c r="AO516" s="14"/>
      <c r="AP516" s="15" t="s">
        <v>3123</v>
      </c>
      <c r="AQ516" s="14"/>
      <c r="AR516" s="17"/>
      <c r="AS516" s="16"/>
      <c r="AT516" s="14"/>
      <c r="AU516" s="15" t="s">
        <v>3123</v>
      </c>
      <c r="AV516" s="14"/>
      <c r="AW516" s="17"/>
      <c r="AX516" s="16"/>
      <c r="AY516" s="16"/>
      <c r="AZ516" s="16"/>
      <c r="BA516" s="16"/>
      <c r="BB516" s="15" t="s">
        <v>3123</v>
      </c>
      <c r="BC516" s="17"/>
      <c r="BD516" s="14"/>
      <c r="BE516" s="14"/>
      <c r="BF516" s="16"/>
      <c r="BG516" s="16"/>
      <c r="BH516" s="13"/>
      <c r="BI516" s="18" t="s">
        <v>8643</v>
      </c>
      <c r="BJ516" s="13">
        <v>200</v>
      </c>
      <c r="BK516" s="17">
        <v>44118</v>
      </c>
      <c r="BL516" s="18" t="s">
        <v>8644</v>
      </c>
      <c r="BM516" s="18" t="s">
        <v>8645</v>
      </c>
      <c r="BN516" s="18" t="s">
        <v>8646</v>
      </c>
      <c r="BO516" s="18"/>
      <c r="BP516" s="14" t="s">
        <v>8647</v>
      </c>
      <c r="BQ516" s="17">
        <v>43091</v>
      </c>
      <c r="BR516" s="16">
        <v>-893800</v>
      </c>
      <c r="BS516" s="17">
        <v>43465</v>
      </c>
      <c r="BT516" s="16">
        <v>148600</v>
      </c>
      <c r="BU516" s="17">
        <v>43465</v>
      </c>
      <c r="BV516" s="16">
        <v>30000000</v>
      </c>
      <c r="BW516" s="17">
        <v>43084</v>
      </c>
      <c r="BX516" s="16">
        <v>304</v>
      </c>
      <c r="BY516" s="17">
        <v>43921</v>
      </c>
      <c r="BZ516" s="19">
        <v>58.989904437095511</v>
      </c>
      <c r="CA516" s="19"/>
      <c r="CB516" s="17"/>
      <c r="CC516" s="14" t="s">
        <v>5345</v>
      </c>
      <c r="CD516" s="14" t="s">
        <v>7272</v>
      </c>
      <c r="CE516" s="14" t="s">
        <v>5945</v>
      </c>
    </row>
    <row r="517" spans="1:83" ht="26.15" hidden="1" customHeight="1">
      <c r="A517" s="13">
        <v>511</v>
      </c>
      <c r="B517" s="14" t="s">
        <v>131</v>
      </c>
      <c r="C517" s="14" t="s">
        <v>132</v>
      </c>
      <c r="D517" s="14" t="s">
        <v>136</v>
      </c>
      <c r="E517" s="13">
        <v>1999</v>
      </c>
      <c r="F517" s="14" t="s">
        <v>7608</v>
      </c>
      <c r="G517" s="14" t="s">
        <v>7609</v>
      </c>
      <c r="H517" s="14" t="s">
        <v>4343</v>
      </c>
      <c r="I517" s="15" t="s">
        <v>3117</v>
      </c>
      <c r="J517" s="16">
        <v>37500000</v>
      </c>
      <c r="K517" s="17">
        <v>44096</v>
      </c>
      <c r="L517" s="16" t="s">
        <v>8665</v>
      </c>
      <c r="M517" s="16">
        <v>23500000</v>
      </c>
      <c r="N517" s="14" t="s">
        <v>95</v>
      </c>
      <c r="O517" s="13">
        <v>4</v>
      </c>
      <c r="P517" s="17">
        <v>44103</v>
      </c>
      <c r="Q517" s="14" t="s">
        <v>5052</v>
      </c>
      <c r="R517" s="17">
        <v>44102</v>
      </c>
      <c r="S517" s="17">
        <v>44096</v>
      </c>
      <c r="T517" s="14" t="s">
        <v>5041</v>
      </c>
      <c r="U517" s="14" t="s">
        <v>5042</v>
      </c>
      <c r="V517" s="14" t="s">
        <v>5486</v>
      </c>
      <c r="W517" s="14"/>
      <c r="X517" s="14" t="s">
        <v>8666</v>
      </c>
      <c r="Y517" s="14"/>
      <c r="Z517" s="14" t="s">
        <v>8667</v>
      </c>
      <c r="AA517" s="14"/>
      <c r="AB517" s="14" t="s">
        <v>4343</v>
      </c>
      <c r="AC517" s="14" t="s">
        <v>8668</v>
      </c>
      <c r="AD517" s="14"/>
      <c r="AE517" s="14" t="s">
        <v>8669</v>
      </c>
      <c r="AF517" s="14" t="s">
        <v>8670</v>
      </c>
      <c r="AG517" s="14" t="s">
        <v>8671</v>
      </c>
      <c r="AH517" s="18" t="s">
        <v>8672</v>
      </c>
      <c r="AI517" s="16"/>
      <c r="AJ517" s="17"/>
      <c r="AK517" s="15" t="s">
        <v>3123</v>
      </c>
      <c r="AL517" s="17"/>
      <c r="AM517" s="16"/>
      <c r="AN517" s="14"/>
      <c r="AO517" s="14"/>
      <c r="AP517" s="15" t="s">
        <v>3123</v>
      </c>
      <c r="AQ517" s="14"/>
      <c r="AR517" s="17"/>
      <c r="AS517" s="16"/>
      <c r="AT517" s="14"/>
      <c r="AU517" s="15" t="s">
        <v>3123</v>
      </c>
      <c r="AV517" s="14"/>
      <c r="AW517" s="17"/>
      <c r="AX517" s="16"/>
      <c r="AY517" s="16"/>
      <c r="AZ517" s="16"/>
      <c r="BA517" s="16"/>
      <c r="BB517" s="15" t="s">
        <v>3123</v>
      </c>
      <c r="BC517" s="17"/>
      <c r="BD517" s="14"/>
      <c r="BE517" s="14"/>
      <c r="BF517" s="16"/>
      <c r="BG517" s="16"/>
      <c r="BH517" s="13"/>
      <c r="BI517" s="18" t="s">
        <v>8673</v>
      </c>
      <c r="BJ517" s="13">
        <v>200</v>
      </c>
      <c r="BK517" s="17">
        <v>44118</v>
      </c>
      <c r="BL517" s="18" t="s">
        <v>8674</v>
      </c>
      <c r="BM517" s="18" t="s">
        <v>8675</v>
      </c>
      <c r="BN517" s="18"/>
      <c r="BO517" s="18"/>
      <c r="BP517" s="14" t="s">
        <v>8676</v>
      </c>
      <c r="BQ517" s="17">
        <v>42929</v>
      </c>
      <c r="BR517" s="16"/>
      <c r="BS517" s="17"/>
      <c r="BT517" s="16"/>
      <c r="BU517" s="17"/>
      <c r="BV517" s="16"/>
      <c r="BW517" s="17"/>
      <c r="BX517" s="16"/>
      <c r="BY517" s="17"/>
      <c r="BZ517" s="19">
        <v>55.081785322541194</v>
      </c>
      <c r="CA517" s="19"/>
      <c r="CB517" s="17"/>
      <c r="CC517" s="14" t="s">
        <v>7284</v>
      </c>
      <c r="CD517" s="14" t="s">
        <v>6002</v>
      </c>
      <c r="CE517" s="14" t="s">
        <v>5945</v>
      </c>
    </row>
    <row r="518" spans="1:83" ht="26.15" hidden="1" customHeight="1">
      <c r="A518" s="13">
        <v>512</v>
      </c>
      <c r="B518" s="14" t="s">
        <v>2922</v>
      </c>
      <c r="C518" s="14" t="s">
        <v>2923</v>
      </c>
      <c r="D518" s="14" t="s">
        <v>2925</v>
      </c>
      <c r="E518" s="13">
        <v>2008</v>
      </c>
      <c r="F518" s="14" t="s">
        <v>6826</v>
      </c>
      <c r="G518" s="14" t="s">
        <v>6004</v>
      </c>
      <c r="H518" s="14" t="s">
        <v>4343</v>
      </c>
      <c r="I518" s="15" t="s">
        <v>3117</v>
      </c>
      <c r="J518" s="16"/>
      <c r="K518" s="17">
        <v>41625</v>
      </c>
      <c r="L518" s="16"/>
      <c r="M518" s="16" t="s">
        <v>50</v>
      </c>
      <c r="N518" s="14" t="s">
        <v>109</v>
      </c>
      <c r="O518" s="13"/>
      <c r="P518" s="17"/>
      <c r="Q518" s="14"/>
      <c r="R518" s="17"/>
      <c r="S518" s="17"/>
      <c r="T518" s="14" t="s">
        <v>1</v>
      </c>
      <c r="U518" s="14" t="s">
        <v>5007</v>
      </c>
      <c r="V518" s="14" t="s">
        <v>10065</v>
      </c>
      <c r="W518" s="14"/>
      <c r="X518" s="14" t="s">
        <v>3630</v>
      </c>
      <c r="Y518" s="14"/>
      <c r="Z518" s="14" t="s">
        <v>10066</v>
      </c>
      <c r="AA518" s="14"/>
      <c r="AB518" s="14" t="s">
        <v>4343</v>
      </c>
      <c r="AC518" s="14"/>
      <c r="AD518" s="14"/>
      <c r="AE518" s="14" t="s">
        <v>10067</v>
      </c>
      <c r="AF518" s="14" t="s">
        <v>10068</v>
      </c>
      <c r="AG518" s="14" t="s">
        <v>10069</v>
      </c>
      <c r="AH518" s="18" t="s">
        <v>10070</v>
      </c>
      <c r="AI518" s="16"/>
      <c r="AJ518" s="17"/>
      <c r="AK518" s="15" t="s">
        <v>3123</v>
      </c>
      <c r="AL518" s="17"/>
      <c r="AM518" s="16"/>
      <c r="AN518" s="14"/>
      <c r="AO518" s="14"/>
      <c r="AP518" s="15" t="s">
        <v>3123</v>
      </c>
      <c r="AQ518" s="14"/>
      <c r="AR518" s="17"/>
      <c r="AS518" s="16"/>
      <c r="AT518" s="14"/>
      <c r="AU518" s="15" t="s">
        <v>3123</v>
      </c>
      <c r="AV518" s="14"/>
      <c r="AW518" s="17"/>
      <c r="AX518" s="16"/>
      <c r="AY518" s="16"/>
      <c r="AZ518" s="16"/>
      <c r="BA518" s="16"/>
      <c r="BB518" s="15" t="s">
        <v>3123</v>
      </c>
      <c r="BC518" s="17"/>
      <c r="BD518" s="14"/>
      <c r="BE518" s="14"/>
      <c r="BF518" s="16"/>
      <c r="BG518" s="16"/>
      <c r="BH518" s="13"/>
      <c r="BI518" s="18" t="s">
        <v>10071</v>
      </c>
      <c r="BJ518" s="13">
        <v>200</v>
      </c>
      <c r="BK518" s="17">
        <v>44118</v>
      </c>
      <c r="BL518" s="18" t="s">
        <v>10072</v>
      </c>
      <c r="BM518" s="18"/>
      <c r="BN518" s="18"/>
      <c r="BO518" s="18"/>
      <c r="BP518" s="14" t="s">
        <v>10073</v>
      </c>
      <c r="BQ518" s="17">
        <v>43056</v>
      </c>
      <c r="BR518" s="16"/>
      <c r="BS518" s="17"/>
      <c r="BT518" s="16"/>
      <c r="BU518" s="17"/>
      <c r="BV518" s="16"/>
      <c r="BW518" s="17"/>
      <c r="BX518" s="16"/>
      <c r="BY518" s="17"/>
      <c r="BZ518" s="19">
        <v>31.422606494164825</v>
      </c>
      <c r="CA518" s="19"/>
      <c r="CB518" s="17"/>
      <c r="CC518" s="14" t="s">
        <v>7284</v>
      </c>
      <c r="CD518" s="14" t="s">
        <v>6002</v>
      </c>
      <c r="CE518" s="14" t="s">
        <v>5945</v>
      </c>
    </row>
    <row r="519" spans="1:83" ht="26.15" hidden="1" customHeight="1">
      <c r="A519" s="13">
        <v>513</v>
      </c>
      <c r="B519" s="14" t="s">
        <v>2601</v>
      </c>
      <c r="C519" s="14" t="s">
        <v>2602</v>
      </c>
      <c r="D519" s="14" t="s">
        <v>2603</v>
      </c>
      <c r="E519" s="13">
        <v>2004</v>
      </c>
      <c r="F519" s="14" t="s">
        <v>6826</v>
      </c>
      <c r="G519" s="14" t="s">
        <v>6004</v>
      </c>
      <c r="H519" s="14" t="s">
        <v>4343</v>
      </c>
      <c r="I519" s="15" t="s">
        <v>3117</v>
      </c>
      <c r="J519" s="16">
        <v>10300000</v>
      </c>
      <c r="K519" s="17">
        <v>42302</v>
      </c>
      <c r="L519" s="16" t="s">
        <v>5165</v>
      </c>
      <c r="M519" s="16">
        <v>10000000</v>
      </c>
      <c r="N519" s="14" t="s">
        <v>34</v>
      </c>
      <c r="O519" s="13"/>
      <c r="P519" s="17"/>
      <c r="Q519" s="14"/>
      <c r="R519" s="17"/>
      <c r="S519" s="17"/>
      <c r="T519" s="14" t="s">
        <v>1</v>
      </c>
      <c r="U519" s="14" t="s">
        <v>5007</v>
      </c>
      <c r="V519" s="14" t="s">
        <v>6482</v>
      </c>
      <c r="W519" s="14"/>
      <c r="X519" s="14" t="s">
        <v>247</v>
      </c>
      <c r="Y519" s="14"/>
      <c r="Z519" s="14" t="s">
        <v>10074</v>
      </c>
      <c r="AA519" s="14"/>
      <c r="AB519" s="14" t="s">
        <v>4343</v>
      </c>
      <c r="AC519" s="14"/>
      <c r="AD519" s="14"/>
      <c r="AE519" s="14" t="s">
        <v>10075</v>
      </c>
      <c r="AF519" s="14" t="s">
        <v>10076</v>
      </c>
      <c r="AG519" s="14" t="s">
        <v>10077</v>
      </c>
      <c r="AH519" s="18" t="s">
        <v>10078</v>
      </c>
      <c r="AI519" s="16"/>
      <c r="AJ519" s="17"/>
      <c r="AK519" s="15" t="s">
        <v>3123</v>
      </c>
      <c r="AL519" s="17"/>
      <c r="AM519" s="16"/>
      <c r="AN519" s="14"/>
      <c r="AO519" s="14"/>
      <c r="AP519" s="15" t="s">
        <v>3123</v>
      </c>
      <c r="AQ519" s="14"/>
      <c r="AR519" s="17"/>
      <c r="AS519" s="16"/>
      <c r="AT519" s="14"/>
      <c r="AU519" s="15" t="s">
        <v>3123</v>
      </c>
      <c r="AV519" s="14"/>
      <c r="AW519" s="17"/>
      <c r="AX519" s="16"/>
      <c r="AY519" s="16"/>
      <c r="AZ519" s="16"/>
      <c r="BA519" s="16"/>
      <c r="BB519" s="15" t="s">
        <v>3123</v>
      </c>
      <c r="BC519" s="17"/>
      <c r="BD519" s="14"/>
      <c r="BE519" s="14"/>
      <c r="BF519" s="16"/>
      <c r="BG519" s="16"/>
      <c r="BH519" s="13"/>
      <c r="BI519" s="18" t="s">
        <v>10079</v>
      </c>
      <c r="BJ519" s="13">
        <v>200</v>
      </c>
      <c r="BK519" s="17">
        <v>44117</v>
      </c>
      <c r="BL519" s="18" t="s">
        <v>10080</v>
      </c>
      <c r="BM519" s="18" t="s">
        <v>10081</v>
      </c>
      <c r="BN519" s="18" t="s">
        <v>10082</v>
      </c>
      <c r="BO519" s="18"/>
      <c r="BP519" s="14" t="s">
        <v>10083</v>
      </c>
      <c r="BQ519" s="17">
        <v>42983</v>
      </c>
      <c r="BR519" s="16"/>
      <c r="BS519" s="17"/>
      <c r="BT519" s="16"/>
      <c r="BU519" s="17"/>
      <c r="BV519" s="16"/>
      <c r="BW519" s="17"/>
      <c r="BX519" s="16"/>
      <c r="BY519" s="17"/>
      <c r="BZ519" s="19">
        <v>44.525116947177267</v>
      </c>
      <c r="CA519" s="19"/>
      <c r="CB519" s="17"/>
      <c r="CC519" s="14" t="s">
        <v>5345</v>
      </c>
      <c r="CD519" s="14" t="s">
        <v>7272</v>
      </c>
      <c r="CE519" s="14" t="s">
        <v>5945</v>
      </c>
    </row>
    <row r="520" spans="1:83" ht="26.15" hidden="1" customHeight="1">
      <c r="A520" s="13">
        <v>514</v>
      </c>
      <c r="B520" s="14" t="s">
        <v>3008</v>
      </c>
      <c r="C520" s="14" t="s">
        <v>3009</v>
      </c>
      <c r="D520" s="14" t="s">
        <v>3011</v>
      </c>
      <c r="E520" s="13">
        <v>2010</v>
      </c>
      <c r="F520" s="14" t="s">
        <v>6495</v>
      </c>
      <c r="G520" s="14" t="s">
        <v>6004</v>
      </c>
      <c r="H520" s="14" t="s">
        <v>4343</v>
      </c>
      <c r="I520" s="15" t="s">
        <v>3117</v>
      </c>
      <c r="J520" s="16"/>
      <c r="K520" s="17">
        <v>40940</v>
      </c>
      <c r="L520" s="16"/>
      <c r="M520" s="16" t="s">
        <v>50</v>
      </c>
      <c r="N520" s="14" t="s">
        <v>34</v>
      </c>
      <c r="O520" s="13">
        <v>4</v>
      </c>
      <c r="P520" s="17">
        <v>44097</v>
      </c>
      <c r="Q520" s="14"/>
      <c r="R520" s="17"/>
      <c r="S520" s="17"/>
      <c r="T520" s="14" t="s">
        <v>6586</v>
      </c>
      <c r="U520" s="14" t="s">
        <v>6587</v>
      </c>
      <c r="V520" s="14" t="s">
        <v>10084</v>
      </c>
      <c r="W520" s="14"/>
      <c r="X520" s="14" t="s">
        <v>10085</v>
      </c>
      <c r="Y520" s="14"/>
      <c r="Z520" s="14" t="s">
        <v>10086</v>
      </c>
      <c r="AA520" s="14"/>
      <c r="AB520" s="14" t="s">
        <v>4343</v>
      </c>
      <c r="AC520" s="14"/>
      <c r="AD520" s="14"/>
      <c r="AE520" s="14" t="s">
        <v>10087</v>
      </c>
      <c r="AF520" s="14" t="s">
        <v>10088</v>
      </c>
      <c r="AG520" s="14" t="s">
        <v>10089</v>
      </c>
      <c r="AH520" s="18" t="s">
        <v>10090</v>
      </c>
      <c r="AI520" s="16"/>
      <c r="AJ520" s="17"/>
      <c r="AK520" s="15" t="s">
        <v>3123</v>
      </c>
      <c r="AL520" s="17"/>
      <c r="AM520" s="16"/>
      <c r="AN520" s="14"/>
      <c r="AO520" s="14"/>
      <c r="AP520" s="15" t="s">
        <v>3123</v>
      </c>
      <c r="AQ520" s="14"/>
      <c r="AR520" s="17"/>
      <c r="AS520" s="16"/>
      <c r="AT520" s="14"/>
      <c r="AU520" s="15" t="s">
        <v>3123</v>
      </c>
      <c r="AV520" s="14"/>
      <c r="AW520" s="17"/>
      <c r="AX520" s="16"/>
      <c r="AY520" s="16"/>
      <c r="AZ520" s="16"/>
      <c r="BA520" s="16"/>
      <c r="BB520" s="15" t="s">
        <v>3123</v>
      </c>
      <c r="BC520" s="17"/>
      <c r="BD520" s="14"/>
      <c r="BE520" s="14"/>
      <c r="BF520" s="16"/>
      <c r="BG520" s="16"/>
      <c r="BH520" s="13"/>
      <c r="BI520" s="18" t="s">
        <v>10091</v>
      </c>
      <c r="BJ520" s="13">
        <v>200</v>
      </c>
      <c r="BK520" s="17">
        <v>44117</v>
      </c>
      <c r="BL520" s="18" t="s">
        <v>10092</v>
      </c>
      <c r="BM520" s="18" t="s">
        <v>10093</v>
      </c>
      <c r="BN520" s="18" t="s">
        <v>10094</v>
      </c>
      <c r="BO520" s="18"/>
      <c r="BP520" s="14" t="s">
        <v>10095</v>
      </c>
      <c r="BQ520" s="17">
        <v>43056</v>
      </c>
      <c r="BR520" s="16"/>
      <c r="BS520" s="17"/>
      <c r="BT520" s="16"/>
      <c r="BU520" s="17"/>
      <c r="BV520" s="16"/>
      <c r="BW520" s="17"/>
      <c r="BX520" s="16"/>
      <c r="BY520" s="17"/>
      <c r="BZ520" s="19">
        <v>29.987707058804411</v>
      </c>
      <c r="CA520" s="19"/>
      <c r="CB520" s="17"/>
      <c r="CC520" s="14" t="s">
        <v>7259</v>
      </c>
      <c r="CD520" s="14" t="s">
        <v>6120</v>
      </c>
      <c r="CE520" s="14" t="s">
        <v>5311</v>
      </c>
    </row>
    <row r="521" spans="1:83" ht="26.15" customHeight="1">
      <c r="A521" s="13">
        <v>515</v>
      </c>
      <c r="B521" s="14" t="s">
        <v>1005</v>
      </c>
      <c r="C521" s="14" t="s">
        <v>1006</v>
      </c>
      <c r="D521" s="14" t="s">
        <v>1008</v>
      </c>
      <c r="E521" s="13">
        <v>1965</v>
      </c>
      <c r="F521" s="14" t="s">
        <v>5050</v>
      </c>
      <c r="G521" s="14" t="s">
        <v>5050</v>
      </c>
      <c r="H521" s="14" t="s">
        <v>4343</v>
      </c>
      <c r="I521" s="15" t="s">
        <v>3117</v>
      </c>
      <c r="J521" s="16"/>
      <c r="K521" s="17">
        <v>43608</v>
      </c>
      <c r="L521" s="16" t="s">
        <v>5022</v>
      </c>
      <c r="M521" s="16">
        <v>2010000</v>
      </c>
      <c r="N521" s="14" t="s">
        <v>5335</v>
      </c>
      <c r="O521" s="13">
        <v>5</v>
      </c>
      <c r="P521" s="17">
        <v>44050</v>
      </c>
      <c r="Q521" s="14"/>
      <c r="R521" s="17"/>
      <c r="S521" s="17"/>
      <c r="T521" s="14" t="s">
        <v>1</v>
      </c>
      <c r="U521" s="14" t="s">
        <v>5007</v>
      </c>
      <c r="V521" s="14" t="s">
        <v>6488</v>
      </c>
      <c r="W521" s="14"/>
      <c r="X521" s="14" t="s">
        <v>8691</v>
      </c>
      <c r="Y521" s="14"/>
      <c r="Z521" s="14" t="s">
        <v>8692</v>
      </c>
      <c r="AA521" s="14"/>
      <c r="AB521" s="14" t="s">
        <v>5319</v>
      </c>
      <c r="AC521" s="14"/>
      <c r="AD521" s="14"/>
      <c r="AE521" s="14" t="s">
        <v>8693</v>
      </c>
      <c r="AF521" s="14"/>
      <c r="AG521" s="14"/>
      <c r="AH521" s="18" t="s">
        <v>8694</v>
      </c>
      <c r="AI521" s="16"/>
      <c r="AJ521" s="17"/>
      <c r="AK521" s="15" t="s">
        <v>3123</v>
      </c>
      <c r="AL521" s="17"/>
      <c r="AM521" s="16"/>
      <c r="AN521" s="14"/>
      <c r="AO521" s="14"/>
      <c r="AP521" s="15" t="s">
        <v>3117</v>
      </c>
      <c r="AQ521" s="14" t="s">
        <v>8695</v>
      </c>
      <c r="AR521" s="17">
        <v>42954</v>
      </c>
      <c r="AS521" s="16">
        <v>1900000000</v>
      </c>
      <c r="AT521" s="14" t="s">
        <v>5342</v>
      </c>
      <c r="AU521" s="15" t="s">
        <v>3123</v>
      </c>
      <c r="AV521" s="14"/>
      <c r="AW521" s="17"/>
      <c r="AX521" s="16"/>
      <c r="AY521" s="16"/>
      <c r="AZ521" s="16"/>
      <c r="BA521" s="16"/>
      <c r="BB521" s="15" t="s">
        <v>3123</v>
      </c>
      <c r="BC521" s="17"/>
      <c r="BD521" s="14"/>
      <c r="BE521" s="14"/>
      <c r="BF521" s="16"/>
      <c r="BG521" s="16"/>
      <c r="BH521" s="13"/>
      <c r="BI521" s="18" t="s">
        <v>8696</v>
      </c>
      <c r="BJ521" s="13">
        <v>200</v>
      </c>
      <c r="BK521" s="17">
        <v>44117</v>
      </c>
      <c r="BL521" s="18" t="s">
        <v>8697</v>
      </c>
      <c r="BM521" s="18" t="s">
        <v>8698</v>
      </c>
      <c r="BN521" s="18" t="s">
        <v>8699</v>
      </c>
      <c r="BO521" s="18" t="s">
        <v>8700</v>
      </c>
      <c r="BP521" s="14" t="s">
        <v>8701</v>
      </c>
      <c r="BQ521" s="17">
        <v>43031</v>
      </c>
      <c r="BR521" s="16"/>
      <c r="BS521" s="17"/>
      <c r="BT521" s="16"/>
      <c r="BU521" s="17"/>
      <c r="BV521" s="16"/>
      <c r="BW521" s="17"/>
      <c r="BX521" s="16"/>
      <c r="BY521" s="17"/>
      <c r="BZ521" s="19">
        <v>58.540338432457062</v>
      </c>
      <c r="CA521" s="19"/>
      <c r="CB521" s="17"/>
      <c r="CC521" s="14" t="s">
        <v>5345</v>
      </c>
      <c r="CD521" s="14" t="s">
        <v>7272</v>
      </c>
      <c r="CE521" s="14" t="s">
        <v>5945</v>
      </c>
    </row>
    <row r="522" spans="1:83" ht="26.15" customHeight="1">
      <c r="A522" s="13">
        <v>516</v>
      </c>
      <c r="B522" s="14" t="s">
        <v>2711</v>
      </c>
      <c r="C522" s="14" t="s">
        <v>2712</v>
      </c>
      <c r="D522" s="14" t="s">
        <v>2715</v>
      </c>
      <c r="E522" s="13">
        <v>2011</v>
      </c>
      <c r="F522" s="14" t="s">
        <v>10096</v>
      </c>
      <c r="G522" s="14" t="s">
        <v>10097</v>
      </c>
      <c r="H522" s="14" t="s">
        <v>10098</v>
      </c>
      <c r="I522" s="15" t="s">
        <v>3117</v>
      </c>
      <c r="J522" s="16"/>
      <c r="K522" s="17">
        <v>42156</v>
      </c>
      <c r="L522" s="16" t="s">
        <v>10099</v>
      </c>
      <c r="M522" s="16">
        <v>10772</v>
      </c>
      <c r="N522" s="14" t="s">
        <v>5040</v>
      </c>
      <c r="O522" s="13">
        <v>4</v>
      </c>
      <c r="P522" s="17">
        <v>44011</v>
      </c>
      <c r="Q522" s="14"/>
      <c r="R522" s="17"/>
      <c r="S522" s="17"/>
      <c r="T522" s="14" t="s">
        <v>1</v>
      </c>
      <c r="U522" s="14" t="s">
        <v>5007</v>
      </c>
      <c r="V522" s="14" t="s">
        <v>10100</v>
      </c>
      <c r="W522" s="14"/>
      <c r="X522" s="14" t="s">
        <v>10101</v>
      </c>
      <c r="Y522" s="14"/>
      <c r="Z522" s="14" t="s">
        <v>10102</v>
      </c>
      <c r="AA522" s="14"/>
      <c r="AB522" s="14" t="s">
        <v>10098</v>
      </c>
      <c r="AC522" s="14" t="s">
        <v>10103</v>
      </c>
      <c r="AD522" s="14"/>
      <c r="AE522" s="14" t="s">
        <v>10104</v>
      </c>
      <c r="AF522" s="14" t="s">
        <v>10105</v>
      </c>
      <c r="AG522" s="14" t="s">
        <v>10106</v>
      </c>
      <c r="AH522" s="18" t="s">
        <v>10107</v>
      </c>
      <c r="AI522" s="16"/>
      <c r="AJ522" s="17"/>
      <c r="AK522" s="15" t="s">
        <v>3123</v>
      </c>
      <c r="AL522" s="17"/>
      <c r="AM522" s="16"/>
      <c r="AN522" s="14"/>
      <c r="AO522" s="14"/>
      <c r="AP522" s="15" t="s">
        <v>3123</v>
      </c>
      <c r="AQ522" s="14"/>
      <c r="AR522" s="17"/>
      <c r="AS522" s="16"/>
      <c r="AT522" s="14"/>
      <c r="AU522" s="15" t="s">
        <v>3123</v>
      </c>
      <c r="AV522" s="14"/>
      <c r="AW522" s="17"/>
      <c r="AX522" s="16"/>
      <c r="AY522" s="16"/>
      <c r="AZ522" s="16"/>
      <c r="BA522" s="16"/>
      <c r="BB522" s="15" t="s">
        <v>3123</v>
      </c>
      <c r="BC522" s="17"/>
      <c r="BD522" s="14"/>
      <c r="BE522" s="14"/>
      <c r="BF522" s="16"/>
      <c r="BG522" s="16"/>
      <c r="BH522" s="13"/>
      <c r="BI522" s="18" t="s">
        <v>10108</v>
      </c>
      <c r="BJ522" s="13">
        <v>200</v>
      </c>
      <c r="BK522" s="17">
        <v>44117</v>
      </c>
      <c r="BL522" s="18" t="s">
        <v>10109</v>
      </c>
      <c r="BM522" s="18" t="s">
        <v>10110</v>
      </c>
      <c r="BN522" s="18" t="s">
        <v>10111</v>
      </c>
      <c r="BO522" s="18" t="s">
        <v>10112</v>
      </c>
      <c r="BP522" s="14" t="s">
        <v>10113</v>
      </c>
      <c r="BQ522" s="17">
        <v>43021</v>
      </c>
      <c r="BR522" s="16"/>
      <c r="BS522" s="17"/>
      <c r="BT522" s="16"/>
      <c r="BU522" s="17"/>
      <c r="BV522" s="16"/>
      <c r="BW522" s="17"/>
      <c r="BX522" s="16"/>
      <c r="BY522" s="17"/>
      <c r="BZ522" s="19">
        <v>26.856781253496475</v>
      </c>
      <c r="CA522" s="19"/>
      <c r="CB522" s="17"/>
      <c r="CC522" s="14" t="s">
        <v>7409</v>
      </c>
      <c r="CD522" s="14" t="s">
        <v>7272</v>
      </c>
      <c r="CE522" s="14" t="s">
        <v>7194</v>
      </c>
    </row>
    <row r="523" spans="1:83" ht="26.15" customHeight="1">
      <c r="A523" s="13">
        <v>517</v>
      </c>
      <c r="B523" s="14" t="s">
        <v>2886</v>
      </c>
      <c r="C523" s="14" t="s">
        <v>2887</v>
      </c>
      <c r="D523" s="14" t="s">
        <v>2888</v>
      </c>
      <c r="E523" s="13">
        <v>2010</v>
      </c>
      <c r="F523" s="14" t="s">
        <v>5389</v>
      </c>
      <c r="G523" s="14" t="s">
        <v>5390</v>
      </c>
      <c r="H523" s="14" t="s">
        <v>5391</v>
      </c>
      <c r="I523" s="15" t="s">
        <v>3117</v>
      </c>
      <c r="J523" s="16">
        <v>235000</v>
      </c>
      <c r="K523" s="17">
        <v>41791</v>
      </c>
      <c r="L523" s="16"/>
      <c r="M523" s="16" t="s">
        <v>50</v>
      </c>
      <c r="N523" s="14" t="s">
        <v>34</v>
      </c>
      <c r="O523" s="13">
        <v>3</v>
      </c>
      <c r="P523" s="17">
        <v>44137</v>
      </c>
      <c r="Q523" s="14"/>
      <c r="R523" s="17"/>
      <c r="S523" s="17"/>
      <c r="T523" s="14" t="s">
        <v>5493</v>
      </c>
      <c r="U523" s="14" t="s">
        <v>5494</v>
      </c>
      <c r="V523" s="14" t="s">
        <v>10114</v>
      </c>
      <c r="W523" s="14"/>
      <c r="X523" s="14" t="s">
        <v>10115</v>
      </c>
      <c r="Y523" s="14"/>
      <c r="Z523" s="14" t="s">
        <v>10116</v>
      </c>
      <c r="AA523" s="14"/>
      <c r="AB523" s="14" t="s">
        <v>5391</v>
      </c>
      <c r="AC523" s="14" t="s">
        <v>10117</v>
      </c>
      <c r="AD523" s="14" t="s">
        <v>10118</v>
      </c>
      <c r="AE523" s="14" t="s">
        <v>10119</v>
      </c>
      <c r="AF523" s="14" t="s">
        <v>10120</v>
      </c>
      <c r="AG523" s="14" t="s">
        <v>10121</v>
      </c>
      <c r="AH523" s="18" t="s">
        <v>10122</v>
      </c>
      <c r="AI523" s="16"/>
      <c r="AJ523" s="17"/>
      <c r="AK523" s="15" t="s">
        <v>3123</v>
      </c>
      <c r="AL523" s="17"/>
      <c r="AM523" s="16"/>
      <c r="AN523" s="14"/>
      <c r="AO523" s="14"/>
      <c r="AP523" s="15" t="s">
        <v>3123</v>
      </c>
      <c r="AQ523" s="14"/>
      <c r="AR523" s="17"/>
      <c r="AS523" s="16"/>
      <c r="AT523" s="14"/>
      <c r="AU523" s="15" t="s">
        <v>3123</v>
      </c>
      <c r="AV523" s="14"/>
      <c r="AW523" s="17"/>
      <c r="AX523" s="16"/>
      <c r="AY523" s="16"/>
      <c r="AZ523" s="16"/>
      <c r="BA523" s="16"/>
      <c r="BB523" s="15" t="s">
        <v>3123</v>
      </c>
      <c r="BC523" s="17"/>
      <c r="BD523" s="14"/>
      <c r="BE523" s="14"/>
      <c r="BF523" s="16"/>
      <c r="BG523" s="16"/>
      <c r="BH523" s="13"/>
      <c r="BI523" s="18" t="s">
        <v>10123</v>
      </c>
      <c r="BJ523" s="13">
        <v>200</v>
      </c>
      <c r="BK523" s="17">
        <v>44117</v>
      </c>
      <c r="BL523" s="18" t="s">
        <v>10124</v>
      </c>
      <c r="BM523" s="18" t="s">
        <v>10125</v>
      </c>
      <c r="BN523" s="18"/>
      <c r="BO523" s="18"/>
      <c r="BP523" s="14" t="s">
        <v>10126</v>
      </c>
      <c r="BQ523" s="17">
        <v>42647</v>
      </c>
      <c r="BR523" s="16"/>
      <c r="BS523" s="17"/>
      <c r="BT523" s="16"/>
      <c r="BU523" s="17"/>
      <c r="BV523" s="16"/>
      <c r="BW523" s="17"/>
      <c r="BX523" s="16"/>
      <c r="BY523" s="17"/>
      <c r="BZ523" s="19">
        <v>25.142118794233799</v>
      </c>
      <c r="CA523" s="19"/>
      <c r="CB523" s="17"/>
      <c r="CC523" s="14" t="s">
        <v>5036</v>
      </c>
      <c r="CD523" s="14" t="s">
        <v>5037</v>
      </c>
      <c r="CE523" s="14" t="s">
        <v>5004</v>
      </c>
    </row>
    <row r="524" spans="1:83" ht="26.15" customHeight="1">
      <c r="A524" s="13">
        <v>518</v>
      </c>
      <c r="B524" s="14" t="s">
        <v>3095</v>
      </c>
      <c r="C524" s="14" t="s">
        <v>3096</v>
      </c>
      <c r="D524" s="14" t="s">
        <v>2979</v>
      </c>
      <c r="E524" s="13">
        <v>1996</v>
      </c>
      <c r="F524" s="14" t="s">
        <v>8373</v>
      </c>
      <c r="G524" s="14" t="s">
        <v>5313</v>
      </c>
      <c r="H524" s="14" t="s">
        <v>3994</v>
      </c>
      <c r="I524" s="15" t="s">
        <v>3117</v>
      </c>
      <c r="J524" s="16">
        <v>35112790</v>
      </c>
      <c r="K524" s="17">
        <v>40277</v>
      </c>
      <c r="L524" s="16" t="s">
        <v>7790</v>
      </c>
      <c r="M524" s="16">
        <v>30000000</v>
      </c>
      <c r="N524" s="14" t="s">
        <v>25</v>
      </c>
      <c r="O524" s="13">
        <v>4</v>
      </c>
      <c r="P524" s="17">
        <v>44032</v>
      </c>
      <c r="Q524" s="14" t="s">
        <v>5052</v>
      </c>
      <c r="R524" s="17">
        <v>44032</v>
      </c>
      <c r="S524" s="17">
        <v>40277</v>
      </c>
      <c r="T524" s="14" t="s">
        <v>1</v>
      </c>
      <c r="U524" s="14" t="s">
        <v>5007</v>
      </c>
      <c r="V524" s="14" t="s">
        <v>6482</v>
      </c>
      <c r="W524" s="14"/>
      <c r="X524" s="14" t="s">
        <v>10127</v>
      </c>
      <c r="Y524" s="14" t="s">
        <v>10128</v>
      </c>
      <c r="Z524" s="14" t="s">
        <v>10129</v>
      </c>
      <c r="AA524" s="14"/>
      <c r="AB524" s="14" t="s">
        <v>3994</v>
      </c>
      <c r="AC524" s="14" t="s">
        <v>10130</v>
      </c>
      <c r="AD524" s="14" t="s">
        <v>10131</v>
      </c>
      <c r="AE524" s="14" t="s">
        <v>10132</v>
      </c>
      <c r="AF524" s="14"/>
      <c r="AG524" s="14"/>
      <c r="AH524" s="18" t="s">
        <v>10133</v>
      </c>
      <c r="AI524" s="16">
        <v>22454000</v>
      </c>
      <c r="AJ524" s="17">
        <v>43100</v>
      </c>
      <c r="AK524" s="15" t="s">
        <v>3123</v>
      </c>
      <c r="AL524" s="17"/>
      <c r="AM524" s="16"/>
      <c r="AN524" s="14"/>
      <c r="AO524" s="14"/>
      <c r="AP524" s="15" t="s">
        <v>3123</v>
      </c>
      <c r="AQ524" s="14"/>
      <c r="AR524" s="17"/>
      <c r="AS524" s="16"/>
      <c r="AT524" s="14"/>
      <c r="AU524" s="15" t="s">
        <v>3123</v>
      </c>
      <c r="AV524" s="14"/>
      <c r="AW524" s="17"/>
      <c r="AX524" s="16"/>
      <c r="AY524" s="16"/>
      <c r="AZ524" s="16"/>
      <c r="BA524" s="16"/>
      <c r="BB524" s="15" t="s">
        <v>3123</v>
      </c>
      <c r="BC524" s="17"/>
      <c r="BD524" s="14"/>
      <c r="BE524" s="14"/>
      <c r="BF524" s="16"/>
      <c r="BG524" s="16"/>
      <c r="BH524" s="13"/>
      <c r="BI524" s="18" t="s">
        <v>10134</v>
      </c>
      <c r="BJ524" s="13">
        <v>200</v>
      </c>
      <c r="BK524" s="17">
        <v>44117</v>
      </c>
      <c r="BL524" s="18" t="s">
        <v>10135</v>
      </c>
      <c r="BM524" s="18" t="s">
        <v>10136</v>
      </c>
      <c r="BN524" s="18"/>
      <c r="BO524" s="18"/>
      <c r="BP524" s="14" t="s">
        <v>10137</v>
      </c>
      <c r="BQ524" s="17">
        <v>43035</v>
      </c>
      <c r="BR524" s="16">
        <v>-749300</v>
      </c>
      <c r="BS524" s="17">
        <v>43100</v>
      </c>
      <c r="BT524" s="16">
        <v>-173800</v>
      </c>
      <c r="BU524" s="17">
        <v>43100</v>
      </c>
      <c r="BV524" s="16">
        <v>250000000</v>
      </c>
      <c r="BW524" s="17">
        <v>40263</v>
      </c>
      <c r="BX524" s="16">
        <v>273</v>
      </c>
      <c r="BY524" s="17">
        <v>43465</v>
      </c>
      <c r="BZ524" s="19">
        <v>50.188017329838054</v>
      </c>
      <c r="CA524" s="19"/>
      <c r="CB524" s="17"/>
      <c r="CC524" s="14" t="s">
        <v>5104</v>
      </c>
      <c r="CD524" s="14" t="s">
        <v>5037</v>
      </c>
      <c r="CE524" s="14" t="s">
        <v>5004</v>
      </c>
    </row>
    <row r="525" spans="1:83" ht="26.15" hidden="1" customHeight="1">
      <c r="A525" s="13">
        <v>519</v>
      </c>
      <c r="B525" s="14" t="s">
        <v>2941</v>
      </c>
      <c r="C525" s="14" t="s">
        <v>2942</v>
      </c>
      <c r="D525" s="14" t="s">
        <v>2946</v>
      </c>
      <c r="E525" s="13">
        <v>2007</v>
      </c>
      <c r="F525" s="14" t="s">
        <v>10138</v>
      </c>
      <c r="G525" s="14" t="s">
        <v>5164</v>
      </c>
      <c r="H525" s="14" t="s">
        <v>4343</v>
      </c>
      <c r="I525" s="15" t="s">
        <v>3117</v>
      </c>
      <c r="J525" s="16">
        <v>91000000</v>
      </c>
      <c r="K525" s="17">
        <v>41520</v>
      </c>
      <c r="L525" s="16" t="s">
        <v>10139</v>
      </c>
      <c r="M525" s="16">
        <v>65000000</v>
      </c>
      <c r="N525" s="14" t="s">
        <v>95</v>
      </c>
      <c r="O525" s="13">
        <v>5</v>
      </c>
      <c r="P525" s="17">
        <v>44001</v>
      </c>
      <c r="Q525" s="14" t="s">
        <v>5544</v>
      </c>
      <c r="R525" s="17">
        <v>43678</v>
      </c>
      <c r="S525" s="17">
        <v>41521</v>
      </c>
      <c r="T525" s="14" t="s">
        <v>6645</v>
      </c>
      <c r="U525" s="14" t="s">
        <v>8119</v>
      </c>
      <c r="V525" s="14" t="s">
        <v>10140</v>
      </c>
      <c r="W525" s="14"/>
      <c r="X525" s="14" t="s">
        <v>10141</v>
      </c>
      <c r="Y525" s="14"/>
      <c r="Z525" s="14" t="s">
        <v>10142</v>
      </c>
      <c r="AA525" s="14"/>
      <c r="AB525" s="14" t="s">
        <v>4343</v>
      </c>
      <c r="AC525" s="14"/>
      <c r="AD525" s="14"/>
      <c r="AE525" s="14" t="s">
        <v>10143</v>
      </c>
      <c r="AF525" s="14" t="s">
        <v>10144</v>
      </c>
      <c r="AG525" s="14" t="s">
        <v>10145</v>
      </c>
      <c r="AH525" s="18" t="s">
        <v>10146</v>
      </c>
      <c r="AI525" s="16"/>
      <c r="AJ525" s="17"/>
      <c r="AK525" s="15" t="s">
        <v>3123</v>
      </c>
      <c r="AL525" s="17"/>
      <c r="AM525" s="16"/>
      <c r="AN525" s="14"/>
      <c r="AO525" s="14"/>
      <c r="AP525" s="15" t="s">
        <v>3123</v>
      </c>
      <c r="AQ525" s="14"/>
      <c r="AR525" s="17"/>
      <c r="AS525" s="16"/>
      <c r="AT525" s="14"/>
      <c r="AU525" s="15" t="s">
        <v>3123</v>
      </c>
      <c r="AV525" s="14"/>
      <c r="AW525" s="17"/>
      <c r="AX525" s="16"/>
      <c r="AY525" s="16"/>
      <c r="AZ525" s="16"/>
      <c r="BA525" s="16"/>
      <c r="BB525" s="15" t="s">
        <v>3123</v>
      </c>
      <c r="BC525" s="17"/>
      <c r="BD525" s="14"/>
      <c r="BE525" s="14"/>
      <c r="BF525" s="16"/>
      <c r="BG525" s="16"/>
      <c r="BH525" s="13"/>
      <c r="BI525" s="18" t="s">
        <v>10147</v>
      </c>
      <c r="BJ525" s="13">
        <v>200</v>
      </c>
      <c r="BK525" s="17">
        <v>44117</v>
      </c>
      <c r="BL525" s="18" t="s">
        <v>10148</v>
      </c>
      <c r="BM525" s="18" t="s">
        <v>10149</v>
      </c>
      <c r="BN525" s="18"/>
      <c r="BO525" s="18"/>
      <c r="BP525" s="14" t="s">
        <v>10150</v>
      </c>
      <c r="BQ525" s="17">
        <v>43098</v>
      </c>
      <c r="BR525" s="16"/>
      <c r="BS525" s="17"/>
      <c r="BT525" s="16"/>
      <c r="BU525" s="17"/>
      <c r="BV525" s="16"/>
      <c r="BW525" s="17"/>
      <c r="BX525" s="16"/>
      <c r="BY525" s="17"/>
      <c r="BZ525" s="19">
        <v>49.073885607202868</v>
      </c>
      <c r="CA525" s="19"/>
      <c r="CB525" s="17"/>
      <c r="CC525" s="14" t="s">
        <v>5036</v>
      </c>
      <c r="CD525" s="14" t="s">
        <v>5037</v>
      </c>
      <c r="CE525" s="14" t="s">
        <v>5004</v>
      </c>
    </row>
    <row r="526" spans="1:83" ht="26.15" customHeight="1">
      <c r="A526" s="13">
        <v>520</v>
      </c>
      <c r="B526" s="14" t="s">
        <v>74</v>
      </c>
      <c r="C526" s="14" t="s">
        <v>75</v>
      </c>
      <c r="D526" s="14" t="s">
        <v>80</v>
      </c>
      <c r="E526" s="13">
        <v>2015</v>
      </c>
      <c r="F526" s="14" t="s">
        <v>5038</v>
      </c>
      <c r="G526" s="14" t="s">
        <v>5039</v>
      </c>
      <c r="H526" s="14" t="s">
        <v>3994</v>
      </c>
      <c r="I526" s="15" t="s">
        <v>3117</v>
      </c>
      <c r="J526" s="16">
        <v>36362460</v>
      </c>
      <c r="K526" s="17">
        <v>44130</v>
      </c>
      <c r="L526" s="16" t="s">
        <v>7460</v>
      </c>
      <c r="M526" s="16">
        <v>11000000</v>
      </c>
      <c r="N526" s="14" t="s">
        <v>25</v>
      </c>
      <c r="O526" s="13">
        <v>5</v>
      </c>
      <c r="P526" s="17">
        <v>44124</v>
      </c>
      <c r="Q526" s="14" t="s">
        <v>5544</v>
      </c>
      <c r="R526" s="17">
        <v>44139</v>
      </c>
      <c r="S526" s="17">
        <v>44130</v>
      </c>
      <c r="T526" s="14" t="s">
        <v>8702</v>
      </c>
      <c r="U526" s="14" t="s">
        <v>8703</v>
      </c>
      <c r="V526" s="14" t="s">
        <v>8704</v>
      </c>
      <c r="W526" s="14"/>
      <c r="X526" s="14" t="s">
        <v>8705</v>
      </c>
      <c r="Y526" s="14" t="s">
        <v>8706</v>
      </c>
      <c r="Z526" s="14" t="s">
        <v>8707</v>
      </c>
      <c r="AA526" s="14"/>
      <c r="AB526" s="14" t="s">
        <v>3994</v>
      </c>
      <c r="AC526" s="14" t="s">
        <v>8708</v>
      </c>
      <c r="AD526" s="14"/>
      <c r="AE526" s="14" t="s">
        <v>8709</v>
      </c>
      <c r="AF526" s="14" t="s">
        <v>8710</v>
      </c>
      <c r="AG526" s="14" t="s">
        <v>8711</v>
      </c>
      <c r="AH526" s="18" t="s">
        <v>8712</v>
      </c>
      <c r="AI526" s="16">
        <v>29233300</v>
      </c>
      <c r="AJ526" s="17">
        <v>43465</v>
      </c>
      <c r="AK526" s="15" t="s">
        <v>3117</v>
      </c>
      <c r="AL526" s="17">
        <v>42312</v>
      </c>
      <c r="AM526" s="16">
        <v>1523</v>
      </c>
      <c r="AN526" s="14" t="s">
        <v>8713</v>
      </c>
      <c r="AO526" s="14"/>
      <c r="AP526" s="15" t="s">
        <v>3123</v>
      </c>
      <c r="AQ526" s="14"/>
      <c r="AR526" s="17"/>
      <c r="AS526" s="16"/>
      <c r="AT526" s="14"/>
      <c r="AU526" s="15" t="s">
        <v>3123</v>
      </c>
      <c r="AV526" s="14"/>
      <c r="AW526" s="17"/>
      <c r="AX526" s="16"/>
      <c r="AY526" s="16"/>
      <c r="AZ526" s="16"/>
      <c r="BA526" s="16"/>
      <c r="BB526" s="15" t="s">
        <v>3123</v>
      </c>
      <c r="BC526" s="17"/>
      <c r="BD526" s="14"/>
      <c r="BE526" s="14"/>
      <c r="BF526" s="16"/>
      <c r="BG526" s="16"/>
      <c r="BH526" s="13"/>
      <c r="BI526" s="18" t="s">
        <v>8714</v>
      </c>
      <c r="BJ526" s="13">
        <v>200</v>
      </c>
      <c r="BK526" s="17">
        <v>44117</v>
      </c>
      <c r="BL526" s="18" t="s">
        <v>8715</v>
      </c>
      <c r="BM526" s="18"/>
      <c r="BN526" s="18"/>
      <c r="BO526" s="18"/>
      <c r="BP526" s="14" t="s">
        <v>8716</v>
      </c>
      <c r="BQ526" s="17">
        <v>42661</v>
      </c>
      <c r="BR526" s="16">
        <v>-8176500</v>
      </c>
      <c r="BS526" s="17">
        <v>43465</v>
      </c>
      <c r="BT526" s="16">
        <v>-8056000</v>
      </c>
      <c r="BU526" s="17">
        <v>43465</v>
      </c>
      <c r="BV526" s="16">
        <v>80000000</v>
      </c>
      <c r="BW526" s="17">
        <v>43763</v>
      </c>
      <c r="BX526" s="16">
        <v>213</v>
      </c>
      <c r="BY526" s="17">
        <v>44012</v>
      </c>
      <c r="BZ526" s="19">
        <v>60.399154644673651</v>
      </c>
      <c r="CA526" s="19"/>
      <c r="CB526" s="17"/>
      <c r="CC526" s="14" t="s">
        <v>6556</v>
      </c>
      <c r="CD526" s="14" t="s">
        <v>5003</v>
      </c>
      <c r="CE526" s="14" t="s">
        <v>5004</v>
      </c>
    </row>
    <row r="527" spans="1:83" ht="26.15" customHeight="1">
      <c r="A527" s="13">
        <v>521</v>
      </c>
      <c r="B527" s="14" t="s">
        <v>2478</v>
      </c>
      <c r="C527" s="14" t="s">
        <v>2479</v>
      </c>
      <c r="D527" s="14" t="s">
        <v>2482</v>
      </c>
      <c r="E527" s="13">
        <v>1963</v>
      </c>
      <c r="F527" s="14" t="s">
        <v>10151</v>
      </c>
      <c r="G527" s="14" t="s">
        <v>5313</v>
      </c>
      <c r="H527" s="14" t="s">
        <v>3994</v>
      </c>
      <c r="I527" s="15" t="s">
        <v>3117</v>
      </c>
      <c r="J527" s="16"/>
      <c r="K527" s="17">
        <v>42459</v>
      </c>
      <c r="L527" s="16" t="s">
        <v>10152</v>
      </c>
      <c r="M527" s="16">
        <v>120000000</v>
      </c>
      <c r="N527" s="14" t="s">
        <v>5314</v>
      </c>
      <c r="O527" s="13">
        <v>5</v>
      </c>
      <c r="P527" s="17">
        <v>44042</v>
      </c>
      <c r="Q527" s="14"/>
      <c r="R527" s="17"/>
      <c r="S527" s="17"/>
      <c r="T527" s="14" t="s">
        <v>1</v>
      </c>
      <c r="U527" s="14" t="s">
        <v>5007</v>
      </c>
      <c r="V527" s="14" t="s">
        <v>6488</v>
      </c>
      <c r="W527" s="14"/>
      <c r="X527" s="14" t="s">
        <v>10153</v>
      </c>
      <c r="Y527" s="14"/>
      <c r="Z527" s="14" t="s">
        <v>10154</v>
      </c>
      <c r="AA527" s="14"/>
      <c r="AB527" s="14" t="s">
        <v>5319</v>
      </c>
      <c r="AC527" s="14" t="s">
        <v>10155</v>
      </c>
      <c r="AD527" s="14" t="s">
        <v>10156</v>
      </c>
      <c r="AE527" s="14" t="s">
        <v>10157</v>
      </c>
      <c r="AF527" s="14" t="s">
        <v>10158</v>
      </c>
      <c r="AG527" s="14" t="s">
        <v>10159</v>
      </c>
      <c r="AH527" s="18"/>
      <c r="AI527" s="16">
        <v>1024037902</v>
      </c>
      <c r="AJ527" s="17">
        <v>42735</v>
      </c>
      <c r="AK527" s="15" t="s">
        <v>3123</v>
      </c>
      <c r="AL527" s="17"/>
      <c r="AM527" s="16"/>
      <c r="AN527" s="14"/>
      <c r="AO527" s="14" t="s">
        <v>10160</v>
      </c>
      <c r="AP527" s="15" t="s">
        <v>3123</v>
      </c>
      <c r="AQ527" s="14"/>
      <c r="AR527" s="17"/>
      <c r="AS527" s="16"/>
      <c r="AT527" s="14"/>
      <c r="AU527" s="15" t="s">
        <v>3117</v>
      </c>
      <c r="AV527" s="14" t="s">
        <v>10161</v>
      </c>
      <c r="AW527" s="17"/>
      <c r="AX527" s="16"/>
      <c r="AY527" s="16"/>
      <c r="AZ527" s="16"/>
      <c r="BA527" s="16"/>
      <c r="BB527" s="15" t="s">
        <v>3123</v>
      </c>
      <c r="BC527" s="17"/>
      <c r="BD527" s="14"/>
      <c r="BE527" s="14"/>
      <c r="BF527" s="16"/>
      <c r="BG527" s="16"/>
      <c r="BH527" s="13"/>
      <c r="BI527" s="18" t="s">
        <v>10162</v>
      </c>
      <c r="BJ527" s="13">
        <v>200</v>
      </c>
      <c r="BK527" s="17">
        <v>44117</v>
      </c>
      <c r="BL527" s="18" t="s">
        <v>10163</v>
      </c>
      <c r="BM527" s="18" t="s">
        <v>10164</v>
      </c>
      <c r="BN527" s="18" t="s">
        <v>10165</v>
      </c>
      <c r="BO527" s="18"/>
      <c r="BP527" s="14" t="s">
        <v>10166</v>
      </c>
      <c r="BQ527" s="17">
        <v>42271</v>
      </c>
      <c r="BR527" s="16">
        <v>21504174</v>
      </c>
      <c r="BS527" s="17">
        <v>42735</v>
      </c>
      <c r="BT527" s="16">
        <v>180838870</v>
      </c>
      <c r="BU527" s="17">
        <v>42735</v>
      </c>
      <c r="BV527" s="16"/>
      <c r="BW527" s="17"/>
      <c r="BX527" s="16">
        <v>7041</v>
      </c>
      <c r="BY527" s="17">
        <v>43921</v>
      </c>
      <c r="BZ527" s="19">
        <v>64.225232132162361</v>
      </c>
      <c r="CA527" s="19"/>
      <c r="CB527" s="17"/>
      <c r="CC527" s="14" t="s">
        <v>5104</v>
      </c>
      <c r="CD527" s="14" t="s">
        <v>5439</v>
      </c>
      <c r="CE527" s="14" t="s">
        <v>5311</v>
      </c>
    </row>
    <row r="528" spans="1:83" ht="26.15" customHeight="1">
      <c r="A528" s="13">
        <v>522</v>
      </c>
      <c r="B528" s="14" t="s">
        <v>3018</v>
      </c>
      <c r="C528" s="14" t="s">
        <v>3019</v>
      </c>
      <c r="D528" s="14" t="s">
        <v>3021</v>
      </c>
      <c r="E528" s="13">
        <v>1980</v>
      </c>
      <c r="F528" s="14" t="s">
        <v>10167</v>
      </c>
      <c r="G528" s="14" t="s">
        <v>5804</v>
      </c>
      <c r="H528" s="14" t="s">
        <v>5208</v>
      </c>
      <c r="I528" s="15" t="s">
        <v>3117</v>
      </c>
      <c r="J528" s="16"/>
      <c r="K528" s="17">
        <v>40852</v>
      </c>
      <c r="L528" s="16"/>
      <c r="M528" s="16" t="s">
        <v>50</v>
      </c>
      <c r="N528" s="14" t="s">
        <v>5040</v>
      </c>
      <c r="O528" s="13"/>
      <c r="P528" s="17"/>
      <c r="Q528" s="14"/>
      <c r="R528" s="17"/>
      <c r="S528" s="17"/>
      <c r="T528" s="14" t="s">
        <v>1</v>
      </c>
      <c r="U528" s="14" t="s">
        <v>5084</v>
      </c>
      <c r="V528" s="14" t="s">
        <v>10168</v>
      </c>
      <c r="W528" s="14"/>
      <c r="X528" s="14" t="s">
        <v>10169</v>
      </c>
      <c r="Y528" s="14"/>
      <c r="Z528" s="14" t="s">
        <v>10170</v>
      </c>
      <c r="AA528" s="14"/>
      <c r="AB528" s="14" t="s">
        <v>5208</v>
      </c>
      <c r="AC528" s="14"/>
      <c r="AD528" s="14"/>
      <c r="AE528" s="14"/>
      <c r="AF528" s="14"/>
      <c r="AG528" s="14"/>
      <c r="AH528" s="18" t="s">
        <v>10171</v>
      </c>
      <c r="AI528" s="16"/>
      <c r="AJ528" s="17"/>
      <c r="AK528" s="15" t="s">
        <v>3123</v>
      </c>
      <c r="AL528" s="17"/>
      <c r="AM528" s="16"/>
      <c r="AN528" s="14"/>
      <c r="AO528" s="14"/>
      <c r="AP528" s="15" t="s">
        <v>3123</v>
      </c>
      <c r="AQ528" s="14"/>
      <c r="AR528" s="17"/>
      <c r="AS528" s="16"/>
      <c r="AT528" s="14"/>
      <c r="AU528" s="15" t="s">
        <v>3123</v>
      </c>
      <c r="AV528" s="14"/>
      <c r="AW528" s="17"/>
      <c r="AX528" s="16"/>
      <c r="AY528" s="16"/>
      <c r="AZ528" s="16"/>
      <c r="BA528" s="16"/>
      <c r="BB528" s="15" t="s">
        <v>3123</v>
      </c>
      <c r="BC528" s="17"/>
      <c r="BD528" s="14"/>
      <c r="BE528" s="14"/>
      <c r="BF528" s="16"/>
      <c r="BG528" s="16"/>
      <c r="BH528" s="13"/>
      <c r="BI528" s="18" t="s">
        <v>10172</v>
      </c>
      <c r="BJ528" s="13">
        <v>200</v>
      </c>
      <c r="BK528" s="17">
        <v>44117</v>
      </c>
      <c r="BL528" s="18" t="s">
        <v>10173</v>
      </c>
      <c r="BM528" s="18" t="s">
        <v>10174</v>
      </c>
      <c r="BN528" s="18"/>
      <c r="BO528" s="18"/>
      <c r="BP528" s="14" t="s">
        <v>10175</v>
      </c>
      <c r="BQ528" s="17">
        <v>42902</v>
      </c>
      <c r="BR528" s="16"/>
      <c r="BS528" s="17"/>
      <c r="BT528" s="16"/>
      <c r="BU528" s="17"/>
      <c r="BV528" s="16"/>
      <c r="BW528" s="17"/>
      <c r="BX528" s="16"/>
      <c r="BY528" s="17"/>
      <c r="BZ528" s="19">
        <v>23.733719807844142</v>
      </c>
      <c r="CA528" s="19"/>
      <c r="CB528" s="17"/>
      <c r="CC528" s="14" t="s">
        <v>7569</v>
      </c>
      <c r="CD528" s="14" t="s">
        <v>10176</v>
      </c>
      <c r="CE528" s="14" t="s">
        <v>5311</v>
      </c>
    </row>
    <row r="529" spans="1:83" ht="26.15" customHeight="1">
      <c r="A529" s="13">
        <v>523</v>
      </c>
      <c r="B529" s="14" t="s">
        <v>3047</v>
      </c>
      <c r="C529" s="14" t="s">
        <v>3048</v>
      </c>
      <c r="D529" s="14" t="s">
        <v>3051</v>
      </c>
      <c r="E529" s="13">
        <v>2010</v>
      </c>
      <c r="F529" s="14" t="s">
        <v>5067</v>
      </c>
      <c r="G529" s="14" t="s">
        <v>5068</v>
      </c>
      <c r="H529" s="14" t="s">
        <v>3994</v>
      </c>
      <c r="I529" s="15" t="s">
        <v>3117</v>
      </c>
      <c r="J529" s="16">
        <v>437444</v>
      </c>
      <c r="K529" s="17">
        <v>40625</v>
      </c>
      <c r="L529" s="16" t="s">
        <v>10177</v>
      </c>
      <c r="M529" s="16">
        <v>437444</v>
      </c>
      <c r="N529" s="14" t="s">
        <v>34</v>
      </c>
      <c r="O529" s="13">
        <v>2</v>
      </c>
      <c r="P529" s="17">
        <v>44042</v>
      </c>
      <c r="Q529" s="14"/>
      <c r="R529" s="17"/>
      <c r="S529" s="17"/>
      <c r="T529" s="14" t="s">
        <v>1</v>
      </c>
      <c r="U529" s="14" t="s">
        <v>5084</v>
      </c>
      <c r="V529" s="14" t="s">
        <v>10178</v>
      </c>
      <c r="W529" s="14"/>
      <c r="X529" s="14" t="s">
        <v>10179</v>
      </c>
      <c r="Y529" s="14"/>
      <c r="Z529" s="14" t="s">
        <v>10180</v>
      </c>
      <c r="AA529" s="14"/>
      <c r="AB529" s="14" t="s">
        <v>3994</v>
      </c>
      <c r="AC529" s="14" t="s">
        <v>10181</v>
      </c>
      <c r="AD529" s="14"/>
      <c r="AE529" s="14" t="s">
        <v>10182</v>
      </c>
      <c r="AF529" s="14" t="s">
        <v>10183</v>
      </c>
      <c r="AG529" s="14" t="s">
        <v>10184</v>
      </c>
      <c r="AH529" s="18" t="s">
        <v>10185</v>
      </c>
      <c r="AI529" s="16">
        <v>1341500</v>
      </c>
      <c r="AJ529" s="17">
        <v>43465</v>
      </c>
      <c r="AK529" s="15" t="s">
        <v>3123</v>
      </c>
      <c r="AL529" s="17"/>
      <c r="AM529" s="16"/>
      <c r="AN529" s="14"/>
      <c r="AO529" s="14"/>
      <c r="AP529" s="15" t="s">
        <v>3123</v>
      </c>
      <c r="AQ529" s="14"/>
      <c r="AR529" s="17"/>
      <c r="AS529" s="16"/>
      <c r="AT529" s="14"/>
      <c r="AU529" s="15" t="s">
        <v>3123</v>
      </c>
      <c r="AV529" s="14"/>
      <c r="AW529" s="17"/>
      <c r="AX529" s="16"/>
      <c r="AY529" s="16"/>
      <c r="AZ529" s="16"/>
      <c r="BA529" s="16"/>
      <c r="BB529" s="15" t="s">
        <v>3123</v>
      </c>
      <c r="BC529" s="17"/>
      <c r="BD529" s="14"/>
      <c r="BE529" s="14"/>
      <c r="BF529" s="16"/>
      <c r="BG529" s="16"/>
      <c r="BH529" s="13"/>
      <c r="BI529" s="18" t="s">
        <v>10186</v>
      </c>
      <c r="BJ529" s="13">
        <v>200</v>
      </c>
      <c r="BK529" s="17">
        <v>44116</v>
      </c>
      <c r="BL529" s="18" t="s">
        <v>10187</v>
      </c>
      <c r="BM529" s="18"/>
      <c r="BN529" s="18"/>
      <c r="BO529" s="18"/>
      <c r="BP529" s="14" t="s">
        <v>10188</v>
      </c>
      <c r="BQ529" s="17">
        <v>42888</v>
      </c>
      <c r="BR529" s="16">
        <v>70800</v>
      </c>
      <c r="BS529" s="17">
        <v>43465</v>
      </c>
      <c r="BT529" s="16">
        <v>113100</v>
      </c>
      <c r="BU529" s="17">
        <v>43465</v>
      </c>
      <c r="BV529" s="16"/>
      <c r="BW529" s="17"/>
      <c r="BX529" s="16">
        <v>28</v>
      </c>
      <c r="BY529" s="17">
        <v>43921</v>
      </c>
      <c r="BZ529" s="19">
        <v>31.223587741653073</v>
      </c>
      <c r="CA529" s="19"/>
      <c r="CB529" s="17"/>
      <c r="CC529" s="14" t="s">
        <v>6365</v>
      </c>
      <c r="CD529" s="14" t="s">
        <v>5642</v>
      </c>
      <c r="CE529" s="14" t="s">
        <v>5311</v>
      </c>
    </row>
    <row r="530" spans="1:83" ht="26.15" hidden="1" customHeight="1">
      <c r="A530" s="13">
        <v>524</v>
      </c>
      <c r="B530" s="14" t="s">
        <v>3065</v>
      </c>
      <c r="C530" s="14" t="s">
        <v>3066</v>
      </c>
      <c r="D530" s="14" t="s">
        <v>3069</v>
      </c>
      <c r="E530" s="13">
        <v>2008</v>
      </c>
      <c r="F530" s="14" t="s">
        <v>10189</v>
      </c>
      <c r="G530" s="14" t="s">
        <v>6004</v>
      </c>
      <c r="H530" s="14" t="s">
        <v>4343</v>
      </c>
      <c r="I530" s="15" t="s">
        <v>3117</v>
      </c>
      <c r="J530" s="16">
        <v>4990000</v>
      </c>
      <c r="K530" s="17">
        <v>40475</v>
      </c>
      <c r="L530" s="16" t="s">
        <v>5543</v>
      </c>
      <c r="M530" s="16">
        <v>4986090</v>
      </c>
      <c r="N530" s="14" t="s">
        <v>109</v>
      </c>
      <c r="O530" s="13"/>
      <c r="P530" s="17"/>
      <c r="Q530" s="14"/>
      <c r="R530" s="17"/>
      <c r="S530" s="17"/>
      <c r="T530" s="14" t="s">
        <v>1</v>
      </c>
      <c r="U530" s="14" t="s">
        <v>5135</v>
      </c>
      <c r="V530" s="14" t="s">
        <v>3070</v>
      </c>
      <c r="W530" s="14"/>
      <c r="X530" s="14" t="s">
        <v>4909</v>
      </c>
      <c r="Y530" s="14"/>
      <c r="Z530" s="14" t="s">
        <v>10190</v>
      </c>
      <c r="AA530" s="14"/>
      <c r="AB530" s="14" t="s">
        <v>4343</v>
      </c>
      <c r="AC530" s="14"/>
      <c r="AD530" s="14"/>
      <c r="AE530" s="14" t="s">
        <v>10191</v>
      </c>
      <c r="AF530" s="14" t="s">
        <v>10192</v>
      </c>
      <c r="AG530" s="14" t="s">
        <v>10193</v>
      </c>
      <c r="AH530" s="18" t="s">
        <v>10194</v>
      </c>
      <c r="AI530" s="16"/>
      <c r="AJ530" s="17"/>
      <c r="AK530" s="15" t="s">
        <v>3123</v>
      </c>
      <c r="AL530" s="17"/>
      <c r="AM530" s="16"/>
      <c r="AN530" s="14"/>
      <c r="AO530" s="14"/>
      <c r="AP530" s="15" t="s">
        <v>3123</v>
      </c>
      <c r="AQ530" s="14"/>
      <c r="AR530" s="17"/>
      <c r="AS530" s="16"/>
      <c r="AT530" s="14"/>
      <c r="AU530" s="15" t="s">
        <v>3123</v>
      </c>
      <c r="AV530" s="14"/>
      <c r="AW530" s="17"/>
      <c r="AX530" s="16"/>
      <c r="AY530" s="16"/>
      <c r="AZ530" s="16"/>
      <c r="BA530" s="16"/>
      <c r="BB530" s="15" t="s">
        <v>3123</v>
      </c>
      <c r="BC530" s="17"/>
      <c r="BD530" s="14"/>
      <c r="BE530" s="14"/>
      <c r="BF530" s="16"/>
      <c r="BG530" s="16"/>
      <c r="BH530" s="13"/>
      <c r="BI530" s="18" t="s">
        <v>10195</v>
      </c>
      <c r="BJ530" s="13">
        <v>200</v>
      </c>
      <c r="BK530" s="17">
        <v>44117</v>
      </c>
      <c r="BL530" s="18" t="s">
        <v>10196</v>
      </c>
      <c r="BM530" s="18"/>
      <c r="BN530" s="18"/>
      <c r="BO530" s="18" t="s">
        <v>10197</v>
      </c>
      <c r="BP530" s="14" t="s">
        <v>10198</v>
      </c>
      <c r="BQ530" s="17">
        <v>42934</v>
      </c>
      <c r="BR530" s="16"/>
      <c r="BS530" s="17"/>
      <c r="BT530" s="16"/>
      <c r="BU530" s="17"/>
      <c r="BV530" s="16"/>
      <c r="BW530" s="17"/>
      <c r="BX530" s="16"/>
      <c r="BY530" s="17"/>
      <c r="BZ530" s="19">
        <v>19.474071929056585</v>
      </c>
      <c r="CA530" s="19"/>
      <c r="CB530" s="17"/>
      <c r="CC530" s="14" t="s">
        <v>5541</v>
      </c>
      <c r="CD530" s="14" t="s">
        <v>6523</v>
      </c>
      <c r="CE530" s="14" t="s">
        <v>5945</v>
      </c>
    </row>
    <row r="531" spans="1:83" ht="26.15" hidden="1" customHeight="1">
      <c r="A531" s="13">
        <v>525</v>
      </c>
      <c r="B531" s="14" t="s">
        <v>3014</v>
      </c>
      <c r="C531" s="14" t="s">
        <v>3015</v>
      </c>
      <c r="D531" s="14" t="s">
        <v>3016</v>
      </c>
      <c r="E531" s="13">
        <v>2001</v>
      </c>
      <c r="F531" s="14" t="s">
        <v>6826</v>
      </c>
      <c r="G531" s="14" t="s">
        <v>6004</v>
      </c>
      <c r="H531" s="14" t="s">
        <v>4343</v>
      </c>
      <c r="I531" s="15" t="s">
        <v>3117</v>
      </c>
      <c r="J531" s="16"/>
      <c r="K531" s="17">
        <v>40869</v>
      </c>
      <c r="L531" s="16" t="s">
        <v>5022</v>
      </c>
      <c r="M531" s="16">
        <v>2100000</v>
      </c>
      <c r="N531" s="14" t="s">
        <v>5335</v>
      </c>
      <c r="O531" s="13"/>
      <c r="P531" s="17"/>
      <c r="Q531" s="14"/>
      <c r="R531" s="17"/>
      <c r="S531" s="17"/>
      <c r="T531" s="14" t="s">
        <v>6645</v>
      </c>
      <c r="U531" s="14" t="s">
        <v>8119</v>
      </c>
      <c r="V531" s="14" t="s">
        <v>10140</v>
      </c>
      <c r="W531" s="14"/>
      <c r="X531" s="14" t="s">
        <v>4822</v>
      </c>
      <c r="Y531" s="14"/>
      <c r="Z531" s="14" t="s">
        <v>10199</v>
      </c>
      <c r="AA531" s="14"/>
      <c r="AB531" s="14" t="s">
        <v>4343</v>
      </c>
      <c r="AC531" s="14"/>
      <c r="AD531" s="14"/>
      <c r="AE531" s="14" t="s">
        <v>10200</v>
      </c>
      <c r="AF531" s="14" t="s">
        <v>10201</v>
      </c>
      <c r="AG531" s="14" t="s">
        <v>10202</v>
      </c>
      <c r="AH531" s="18" t="s">
        <v>10203</v>
      </c>
      <c r="AI531" s="16"/>
      <c r="AJ531" s="17"/>
      <c r="AK531" s="15" t="s">
        <v>3123</v>
      </c>
      <c r="AL531" s="17"/>
      <c r="AM531" s="16"/>
      <c r="AN531" s="14"/>
      <c r="AO531" s="14"/>
      <c r="AP531" s="15" t="s">
        <v>3117</v>
      </c>
      <c r="AQ531" s="14" t="s">
        <v>10204</v>
      </c>
      <c r="AR531" s="17">
        <v>40311</v>
      </c>
      <c r="AS531" s="16"/>
      <c r="AT531" s="14" t="s">
        <v>5342</v>
      </c>
      <c r="AU531" s="15" t="s">
        <v>3117</v>
      </c>
      <c r="AV531" s="14"/>
      <c r="AW531" s="17"/>
      <c r="AX531" s="16"/>
      <c r="AY531" s="16"/>
      <c r="AZ531" s="16"/>
      <c r="BA531" s="16"/>
      <c r="BB531" s="15" t="s">
        <v>3123</v>
      </c>
      <c r="BC531" s="17"/>
      <c r="BD531" s="14" t="s">
        <v>10204</v>
      </c>
      <c r="BE531" s="14"/>
      <c r="BF531" s="16"/>
      <c r="BG531" s="16"/>
      <c r="BH531" s="13"/>
      <c r="BI531" s="18" t="s">
        <v>10205</v>
      </c>
      <c r="BJ531" s="13">
        <v>200</v>
      </c>
      <c r="BK531" s="17">
        <v>44116</v>
      </c>
      <c r="BL531" s="18" t="s">
        <v>10206</v>
      </c>
      <c r="BM531" s="18" t="s">
        <v>10207</v>
      </c>
      <c r="BN531" s="18" t="s">
        <v>10208</v>
      </c>
      <c r="BO531" s="18"/>
      <c r="BP531" s="14" t="s">
        <v>10209</v>
      </c>
      <c r="BQ531" s="17">
        <v>43668</v>
      </c>
      <c r="BR531" s="16"/>
      <c r="BS531" s="17"/>
      <c r="BT531" s="16"/>
      <c r="BU531" s="17"/>
      <c r="BV531" s="16"/>
      <c r="BW531" s="17"/>
      <c r="BX531" s="16"/>
      <c r="BY531" s="17"/>
      <c r="BZ531" s="19">
        <v>32.194013764902984</v>
      </c>
      <c r="CA531" s="19"/>
      <c r="CB531" s="17"/>
      <c r="CC531" s="14" t="s">
        <v>5345</v>
      </c>
      <c r="CD531" s="14" t="s">
        <v>7221</v>
      </c>
      <c r="CE531" s="14" t="s">
        <v>5945</v>
      </c>
    </row>
    <row r="532" spans="1:83" ht="26.15" customHeight="1">
      <c r="A532" s="13">
        <v>526</v>
      </c>
      <c r="B532" s="14" t="s">
        <v>2309</v>
      </c>
      <c r="C532" s="14" t="s">
        <v>2310</v>
      </c>
      <c r="D532" s="14" t="s">
        <v>2312</v>
      </c>
      <c r="E532" s="13">
        <v>2009</v>
      </c>
      <c r="F532" s="14" t="s">
        <v>7307</v>
      </c>
      <c r="G532" s="14" t="s">
        <v>5267</v>
      </c>
      <c r="H532" s="14" t="s">
        <v>2057</v>
      </c>
      <c r="I532" s="15" t="s">
        <v>3117</v>
      </c>
      <c r="J532" s="16">
        <v>204990000</v>
      </c>
      <c r="K532" s="17">
        <v>42590</v>
      </c>
      <c r="L532" s="16" t="s">
        <v>5755</v>
      </c>
      <c r="M532" s="16">
        <v>15019200</v>
      </c>
      <c r="N532" s="14" t="s">
        <v>1309</v>
      </c>
      <c r="O532" s="13">
        <v>5</v>
      </c>
      <c r="P532" s="17">
        <v>44003</v>
      </c>
      <c r="Q532" s="14" t="s">
        <v>5544</v>
      </c>
      <c r="R532" s="17">
        <v>42914</v>
      </c>
      <c r="S532" s="17">
        <v>42125</v>
      </c>
      <c r="T532" s="14" t="s">
        <v>4995</v>
      </c>
      <c r="U532" s="14" t="s">
        <v>5578</v>
      </c>
      <c r="V532" s="14" t="s">
        <v>8546</v>
      </c>
      <c r="W532" s="14"/>
      <c r="X532" s="14" t="s">
        <v>10210</v>
      </c>
      <c r="Y532" s="14"/>
      <c r="Z532" s="14" t="s">
        <v>10211</v>
      </c>
      <c r="AA532" s="14"/>
      <c r="AB532" s="14" t="s">
        <v>2057</v>
      </c>
      <c r="AC532" s="14"/>
      <c r="AD532" s="14"/>
      <c r="AE532" s="14" t="s">
        <v>10212</v>
      </c>
      <c r="AF532" s="14"/>
      <c r="AG532" s="14" t="s">
        <v>10213</v>
      </c>
      <c r="AH532" s="18"/>
      <c r="AI532" s="16"/>
      <c r="AJ532" s="17"/>
      <c r="AK532" s="15" t="s">
        <v>3123</v>
      </c>
      <c r="AL532" s="17"/>
      <c r="AM532" s="16"/>
      <c r="AN532" s="14"/>
      <c r="AO532" s="14"/>
      <c r="AP532" s="15" t="s">
        <v>3123</v>
      </c>
      <c r="AQ532" s="14"/>
      <c r="AR532" s="17"/>
      <c r="AS532" s="16"/>
      <c r="AT532" s="14"/>
      <c r="AU532" s="15" t="s">
        <v>3123</v>
      </c>
      <c r="AV532" s="14"/>
      <c r="AW532" s="17"/>
      <c r="AX532" s="16"/>
      <c r="AY532" s="16"/>
      <c r="AZ532" s="16"/>
      <c r="BA532" s="16"/>
      <c r="BB532" s="15" t="s">
        <v>3123</v>
      </c>
      <c r="BC532" s="17"/>
      <c r="BD532" s="14"/>
      <c r="BE532" s="14"/>
      <c r="BF532" s="16"/>
      <c r="BG532" s="16"/>
      <c r="BH532" s="13"/>
      <c r="BI532" s="18" t="s">
        <v>10214</v>
      </c>
      <c r="BJ532" s="13">
        <v>200</v>
      </c>
      <c r="BK532" s="17">
        <v>44117</v>
      </c>
      <c r="BL532" s="18"/>
      <c r="BM532" s="18"/>
      <c r="BN532" s="18"/>
      <c r="BO532" s="18"/>
      <c r="BP532" s="14" t="s">
        <v>10215</v>
      </c>
      <c r="BQ532" s="17">
        <v>42220</v>
      </c>
      <c r="BR532" s="16"/>
      <c r="BS532" s="17"/>
      <c r="BT532" s="16"/>
      <c r="BU532" s="17"/>
      <c r="BV532" s="16"/>
      <c r="BW532" s="17"/>
      <c r="BX532" s="16"/>
      <c r="BY532" s="17"/>
      <c r="BZ532" s="19">
        <v>43.299742015511491</v>
      </c>
      <c r="CA532" s="19"/>
      <c r="CB532" s="17"/>
      <c r="CC532" s="14" t="s">
        <v>5082</v>
      </c>
      <c r="CD532" s="14" t="s">
        <v>5944</v>
      </c>
      <c r="CE532" s="14" t="s">
        <v>5945</v>
      </c>
    </row>
    <row r="533" spans="1:83" ht="26.15" hidden="1" customHeight="1">
      <c r="A533" s="13">
        <v>527</v>
      </c>
      <c r="B533" s="14" t="s">
        <v>2630</v>
      </c>
      <c r="C533" s="14" t="s">
        <v>2631</v>
      </c>
      <c r="D533" s="14" t="s">
        <v>2634</v>
      </c>
      <c r="E533" s="13">
        <v>2009</v>
      </c>
      <c r="F533" s="14" t="s">
        <v>5050</v>
      </c>
      <c r="G533" s="14" t="s">
        <v>5050</v>
      </c>
      <c r="H533" s="14" t="s">
        <v>4343</v>
      </c>
      <c r="I533" s="15" t="s">
        <v>3117</v>
      </c>
      <c r="J533" s="16">
        <v>26000000</v>
      </c>
      <c r="K533" s="17">
        <v>42260</v>
      </c>
      <c r="L533" s="16" t="s">
        <v>9593</v>
      </c>
      <c r="M533" s="16">
        <v>16000000</v>
      </c>
      <c r="N533" s="14" t="s">
        <v>25</v>
      </c>
      <c r="O533" s="13">
        <v>5</v>
      </c>
      <c r="P533" s="17">
        <v>44083</v>
      </c>
      <c r="Q533" s="14" t="s">
        <v>5052</v>
      </c>
      <c r="R533" s="17">
        <v>44027</v>
      </c>
      <c r="S533" s="17">
        <v>42260</v>
      </c>
      <c r="T533" s="14" t="s">
        <v>4995</v>
      </c>
      <c r="U533" s="14" t="s">
        <v>5578</v>
      </c>
      <c r="V533" s="14" t="s">
        <v>10216</v>
      </c>
      <c r="W533" s="14"/>
      <c r="X533" s="14" t="s">
        <v>10217</v>
      </c>
      <c r="Y533" s="14"/>
      <c r="Z533" s="14" t="s">
        <v>10218</v>
      </c>
      <c r="AA533" s="14"/>
      <c r="AB533" s="14" t="s">
        <v>4343</v>
      </c>
      <c r="AC533" s="14"/>
      <c r="AD533" s="14"/>
      <c r="AE533" s="14" t="s">
        <v>10219</v>
      </c>
      <c r="AF533" s="14" t="s">
        <v>10220</v>
      </c>
      <c r="AG533" s="14" t="s">
        <v>10221</v>
      </c>
      <c r="AH533" s="18" t="s">
        <v>10222</v>
      </c>
      <c r="AI533" s="16"/>
      <c r="AJ533" s="17"/>
      <c r="AK533" s="15" t="s">
        <v>3123</v>
      </c>
      <c r="AL533" s="17"/>
      <c r="AM533" s="16"/>
      <c r="AN533" s="14"/>
      <c r="AO533" s="14"/>
      <c r="AP533" s="15" t="s">
        <v>3123</v>
      </c>
      <c r="AQ533" s="14"/>
      <c r="AR533" s="17"/>
      <c r="AS533" s="16"/>
      <c r="AT533" s="14"/>
      <c r="AU533" s="15" t="s">
        <v>3123</v>
      </c>
      <c r="AV533" s="14"/>
      <c r="AW533" s="17"/>
      <c r="AX533" s="16"/>
      <c r="AY533" s="16"/>
      <c r="AZ533" s="16"/>
      <c r="BA533" s="16"/>
      <c r="BB533" s="15" t="s">
        <v>3123</v>
      </c>
      <c r="BC533" s="17"/>
      <c r="BD533" s="14"/>
      <c r="BE533" s="14"/>
      <c r="BF533" s="16"/>
      <c r="BG533" s="16"/>
      <c r="BH533" s="13"/>
      <c r="BI533" s="18" t="s">
        <v>10223</v>
      </c>
      <c r="BJ533" s="13">
        <v>200</v>
      </c>
      <c r="BK533" s="17">
        <v>44116</v>
      </c>
      <c r="BL533" s="18" t="s">
        <v>10224</v>
      </c>
      <c r="BM533" s="18" t="s">
        <v>10225</v>
      </c>
      <c r="BN533" s="18" t="s">
        <v>10226</v>
      </c>
      <c r="BO533" s="18" t="s">
        <v>10227</v>
      </c>
      <c r="BP533" s="14" t="s">
        <v>10228</v>
      </c>
      <c r="BQ533" s="17">
        <v>42930</v>
      </c>
      <c r="BR533" s="16"/>
      <c r="BS533" s="17"/>
      <c r="BT533" s="16"/>
      <c r="BU533" s="17"/>
      <c r="BV533" s="16"/>
      <c r="BW533" s="17"/>
      <c r="BX533" s="16"/>
      <c r="BY533" s="17"/>
      <c r="BZ533" s="19">
        <v>42.921231836442857</v>
      </c>
      <c r="CA533" s="19"/>
      <c r="CB533" s="17"/>
      <c r="CC533" s="14" t="s">
        <v>7284</v>
      </c>
      <c r="CD533" s="14" t="s">
        <v>8173</v>
      </c>
      <c r="CE533" s="14" t="s">
        <v>6074</v>
      </c>
    </row>
    <row r="534" spans="1:83" ht="26.15" customHeight="1">
      <c r="A534" s="13">
        <v>528</v>
      </c>
      <c r="B534" s="14" t="s">
        <v>2319</v>
      </c>
      <c r="C534" s="14" t="s">
        <v>2320</v>
      </c>
      <c r="D534" s="14" t="s">
        <v>2322</v>
      </c>
      <c r="E534" s="13">
        <v>2007</v>
      </c>
      <c r="F534" s="14" t="s">
        <v>5522</v>
      </c>
      <c r="G534" s="14" t="s">
        <v>5523</v>
      </c>
      <c r="H534" s="14" t="s">
        <v>5524</v>
      </c>
      <c r="I534" s="15" t="s">
        <v>3117</v>
      </c>
      <c r="J534" s="16">
        <v>2750000</v>
      </c>
      <c r="K534" s="17">
        <v>42578</v>
      </c>
      <c r="L534" s="16" t="s">
        <v>10229</v>
      </c>
      <c r="M534" s="16">
        <v>867788</v>
      </c>
      <c r="N534" s="14" t="s">
        <v>34</v>
      </c>
      <c r="O534" s="13">
        <v>4</v>
      </c>
      <c r="P534" s="17">
        <v>44027</v>
      </c>
      <c r="Q534" s="14" t="s">
        <v>5052</v>
      </c>
      <c r="R534" s="17">
        <v>43594</v>
      </c>
      <c r="S534" s="17">
        <v>42578</v>
      </c>
      <c r="T534" s="14" t="s">
        <v>5947</v>
      </c>
      <c r="U534" s="14" t="s">
        <v>6335</v>
      </c>
      <c r="V534" s="14" t="s">
        <v>10230</v>
      </c>
      <c r="W534" s="14"/>
      <c r="X534" s="14" t="s">
        <v>10231</v>
      </c>
      <c r="Y534" s="14"/>
      <c r="Z534" s="14" t="s">
        <v>10232</v>
      </c>
      <c r="AA534" s="14"/>
      <c r="AB534" s="14" t="s">
        <v>5524</v>
      </c>
      <c r="AC534" s="14" t="s">
        <v>10233</v>
      </c>
      <c r="AD534" s="14"/>
      <c r="AE534" s="14" t="s">
        <v>10234</v>
      </c>
      <c r="AF534" s="14" t="s">
        <v>10235</v>
      </c>
      <c r="AG534" s="14" t="s">
        <v>10236</v>
      </c>
      <c r="AH534" s="18" t="s">
        <v>10237</v>
      </c>
      <c r="AI534" s="16"/>
      <c r="AJ534" s="17"/>
      <c r="AK534" s="15" t="s">
        <v>3123</v>
      </c>
      <c r="AL534" s="17"/>
      <c r="AM534" s="16"/>
      <c r="AN534" s="14"/>
      <c r="AO534" s="14"/>
      <c r="AP534" s="15" t="s">
        <v>3123</v>
      </c>
      <c r="AQ534" s="14"/>
      <c r="AR534" s="17"/>
      <c r="AS534" s="16"/>
      <c r="AT534" s="14"/>
      <c r="AU534" s="15" t="s">
        <v>3123</v>
      </c>
      <c r="AV534" s="14"/>
      <c r="AW534" s="17"/>
      <c r="AX534" s="16"/>
      <c r="AY534" s="16"/>
      <c r="AZ534" s="16"/>
      <c r="BA534" s="16"/>
      <c r="BB534" s="15" t="s">
        <v>3123</v>
      </c>
      <c r="BC534" s="17"/>
      <c r="BD534" s="14"/>
      <c r="BE534" s="14"/>
      <c r="BF534" s="16"/>
      <c r="BG534" s="16"/>
      <c r="BH534" s="13"/>
      <c r="BI534" s="18" t="s">
        <v>10238</v>
      </c>
      <c r="BJ534" s="13">
        <v>301</v>
      </c>
      <c r="BK534" s="17">
        <v>44116</v>
      </c>
      <c r="BL534" s="18" t="s">
        <v>10239</v>
      </c>
      <c r="BM534" s="18" t="s">
        <v>10240</v>
      </c>
      <c r="BN534" s="18" t="s">
        <v>10241</v>
      </c>
      <c r="BO534" s="18"/>
      <c r="BP534" s="14" t="s">
        <v>10242</v>
      </c>
      <c r="BQ534" s="17">
        <v>42930</v>
      </c>
      <c r="BR534" s="16"/>
      <c r="BS534" s="17"/>
      <c r="BT534" s="16"/>
      <c r="BU534" s="17"/>
      <c r="BV534" s="16"/>
      <c r="BW534" s="17"/>
      <c r="BX534" s="16"/>
      <c r="BY534" s="17"/>
      <c r="BZ534" s="19">
        <v>47.923419248539503</v>
      </c>
      <c r="CA534" s="19"/>
      <c r="CB534" s="17"/>
      <c r="CC534" s="14" t="s">
        <v>7146</v>
      </c>
      <c r="CD534" s="14" t="s">
        <v>5310</v>
      </c>
      <c r="CE534" s="14" t="s">
        <v>5311</v>
      </c>
    </row>
    <row r="535" spans="1:83" ht="26.15" customHeight="1">
      <c r="A535" s="13">
        <v>529</v>
      </c>
      <c r="B535" s="14" t="s">
        <v>3102</v>
      </c>
      <c r="C535" s="14" t="s">
        <v>3103</v>
      </c>
      <c r="D535" s="14" t="s">
        <v>3105</v>
      </c>
      <c r="E535" s="13">
        <v>1999</v>
      </c>
      <c r="F535" s="14" t="s">
        <v>10243</v>
      </c>
      <c r="G535" s="14" t="s">
        <v>5804</v>
      </c>
      <c r="H535" s="14" t="s">
        <v>5208</v>
      </c>
      <c r="I535" s="15" t="s">
        <v>3117</v>
      </c>
      <c r="J535" s="16"/>
      <c r="K535" s="17">
        <v>40184</v>
      </c>
      <c r="L535" s="16"/>
      <c r="M535" s="16" t="s">
        <v>50</v>
      </c>
      <c r="N535" s="14" t="s">
        <v>109</v>
      </c>
      <c r="O535" s="13"/>
      <c r="P535" s="17"/>
      <c r="Q535" s="14"/>
      <c r="R535" s="17"/>
      <c r="S535" s="17"/>
      <c r="T535" s="14" t="s">
        <v>1</v>
      </c>
      <c r="U535" s="14" t="s">
        <v>5007</v>
      </c>
      <c r="V535" s="14" t="s">
        <v>6741</v>
      </c>
      <c r="W535" s="14"/>
      <c r="X535" s="14" t="s">
        <v>10244</v>
      </c>
      <c r="Y535" s="14"/>
      <c r="Z535" s="14" t="s">
        <v>10245</v>
      </c>
      <c r="AA535" s="14"/>
      <c r="AB535" s="14" t="s">
        <v>5208</v>
      </c>
      <c r="AC535" s="14"/>
      <c r="AD535" s="14"/>
      <c r="AE535" s="14" t="s">
        <v>10246</v>
      </c>
      <c r="AF535" s="14"/>
      <c r="AG535" s="14" t="s">
        <v>10247</v>
      </c>
      <c r="AH535" s="18" t="s">
        <v>10248</v>
      </c>
      <c r="AI535" s="16"/>
      <c r="AJ535" s="17"/>
      <c r="AK535" s="15" t="s">
        <v>3123</v>
      </c>
      <c r="AL535" s="17"/>
      <c r="AM535" s="16"/>
      <c r="AN535" s="14"/>
      <c r="AO535" s="14"/>
      <c r="AP535" s="15" t="s">
        <v>3123</v>
      </c>
      <c r="AQ535" s="14"/>
      <c r="AR535" s="17"/>
      <c r="AS535" s="16"/>
      <c r="AT535" s="14"/>
      <c r="AU535" s="15" t="s">
        <v>3123</v>
      </c>
      <c r="AV535" s="14"/>
      <c r="AW535" s="17"/>
      <c r="AX535" s="16"/>
      <c r="AY535" s="16"/>
      <c r="AZ535" s="16"/>
      <c r="BA535" s="16"/>
      <c r="BB535" s="15" t="s">
        <v>3123</v>
      </c>
      <c r="BC535" s="17"/>
      <c r="BD535" s="14"/>
      <c r="BE535" s="14"/>
      <c r="BF535" s="16"/>
      <c r="BG535" s="16"/>
      <c r="BH535" s="13"/>
      <c r="BI535" s="18" t="s">
        <v>10249</v>
      </c>
      <c r="BJ535" s="13">
        <v>-1</v>
      </c>
      <c r="BK535" s="17">
        <v>44117</v>
      </c>
      <c r="BL535" s="18" t="s">
        <v>10250</v>
      </c>
      <c r="BM535" s="18" t="s">
        <v>10251</v>
      </c>
      <c r="BN535" s="18"/>
      <c r="BO535" s="18"/>
      <c r="BP535" s="14" t="s">
        <v>10252</v>
      </c>
      <c r="BQ535" s="17">
        <v>42930</v>
      </c>
      <c r="BR535" s="16"/>
      <c r="BS535" s="17"/>
      <c r="BT535" s="16"/>
      <c r="BU535" s="17"/>
      <c r="BV535" s="16"/>
      <c r="BW535" s="17"/>
      <c r="BX535" s="16"/>
      <c r="BY535" s="17"/>
      <c r="BZ535" s="19">
        <v>23.830908471406229</v>
      </c>
      <c r="CA535" s="19"/>
      <c r="CB535" s="17"/>
      <c r="CC535" s="14" t="s">
        <v>5036</v>
      </c>
      <c r="CD535" s="14" t="s">
        <v>5962</v>
      </c>
      <c r="CE535" s="14" t="s">
        <v>5945</v>
      </c>
    </row>
    <row r="536" spans="1:83" ht="26.15" customHeight="1">
      <c r="A536" s="13">
        <v>530</v>
      </c>
      <c r="B536" s="14" t="s">
        <v>2809</v>
      </c>
      <c r="C536" s="14" t="s">
        <v>2810</v>
      </c>
      <c r="D536" s="14" t="s">
        <v>2812</v>
      </c>
      <c r="E536" s="13">
        <v>2007</v>
      </c>
      <c r="F536" s="14" t="s">
        <v>10253</v>
      </c>
      <c r="G536" s="14" t="s">
        <v>6065</v>
      </c>
      <c r="H536" s="14" t="s">
        <v>2057</v>
      </c>
      <c r="I536" s="15" t="s">
        <v>3117</v>
      </c>
      <c r="J536" s="16"/>
      <c r="K536" s="17">
        <v>41946</v>
      </c>
      <c r="L536" s="16"/>
      <c r="M536" s="16" t="s">
        <v>50</v>
      </c>
      <c r="N536" s="14" t="s">
        <v>109</v>
      </c>
      <c r="O536" s="13"/>
      <c r="P536" s="17"/>
      <c r="Q536" s="14"/>
      <c r="R536" s="17"/>
      <c r="S536" s="17"/>
      <c r="T536" s="14" t="s">
        <v>5426</v>
      </c>
      <c r="U536" s="14" t="s">
        <v>6018</v>
      </c>
      <c r="V536" s="14" t="s">
        <v>9628</v>
      </c>
      <c r="W536" s="14"/>
      <c r="X536" s="14" t="s">
        <v>4762</v>
      </c>
      <c r="Y536" s="14"/>
      <c r="Z536" s="14" t="s">
        <v>10254</v>
      </c>
      <c r="AA536" s="14"/>
      <c r="AB536" s="14" t="s">
        <v>2057</v>
      </c>
      <c r="AC536" s="14"/>
      <c r="AD536" s="14"/>
      <c r="AE536" s="14" t="s">
        <v>10255</v>
      </c>
      <c r="AF536" s="14" t="s">
        <v>10256</v>
      </c>
      <c r="AG536" s="14"/>
      <c r="AH536" s="18"/>
      <c r="AI536" s="16"/>
      <c r="AJ536" s="17"/>
      <c r="AK536" s="15" t="s">
        <v>3123</v>
      </c>
      <c r="AL536" s="17"/>
      <c r="AM536" s="16"/>
      <c r="AN536" s="14"/>
      <c r="AO536" s="14"/>
      <c r="AP536" s="15" t="s">
        <v>3123</v>
      </c>
      <c r="AQ536" s="14"/>
      <c r="AR536" s="17"/>
      <c r="AS536" s="16"/>
      <c r="AT536" s="14"/>
      <c r="AU536" s="15" t="s">
        <v>3123</v>
      </c>
      <c r="AV536" s="14"/>
      <c r="AW536" s="17"/>
      <c r="AX536" s="16"/>
      <c r="AY536" s="16"/>
      <c r="AZ536" s="16"/>
      <c r="BA536" s="16"/>
      <c r="BB536" s="15" t="s">
        <v>3123</v>
      </c>
      <c r="BC536" s="17"/>
      <c r="BD536" s="14"/>
      <c r="BE536" s="14"/>
      <c r="BF536" s="16"/>
      <c r="BG536" s="16"/>
      <c r="BH536" s="13"/>
      <c r="BI536" s="18" t="s">
        <v>10257</v>
      </c>
      <c r="BJ536" s="13">
        <v>200</v>
      </c>
      <c r="BK536" s="17">
        <v>44117</v>
      </c>
      <c r="BL536" s="18"/>
      <c r="BM536" s="18"/>
      <c r="BN536" s="18"/>
      <c r="BO536" s="18"/>
      <c r="BP536" s="14" t="s">
        <v>10258</v>
      </c>
      <c r="BQ536" s="17">
        <v>42367</v>
      </c>
      <c r="BR536" s="16"/>
      <c r="BS536" s="17"/>
      <c r="BT536" s="16"/>
      <c r="BU536" s="17"/>
      <c r="BV536" s="16"/>
      <c r="BW536" s="17"/>
      <c r="BX536" s="16"/>
      <c r="BY536" s="17"/>
      <c r="BZ536" s="19">
        <v>13.474793564958146</v>
      </c>
      <c r="CA536" s="19"/>
      <c r="CB536" s="17"/>
      <c r="CC536" s="14" t="s">
        <v>7606</v>
      </c>
      <c r="CD536" s="14" t="s">
        <v>7607</v>
      </c>
      <c r="CE536" s="14" t="s">
        <v>5945</v>
      </c>
    </row>
    <row r="537" spans="1:83" ht="26.15" customHeight="1">
      <c r="A537" s="13">
        <v>531</v>
      </c>
      <c r="B537" s="14" t="s">
        <v>641</v>
      </c>
      <c r="C537" s="14" t="s">
        <v>642</v>
      </c>
      <c r="D537" s="14" t="s">
        <v>645</v>
      </c>
      <c r="E537" s="13">
        <v>2009</v>
      </c>
      <c r="F537" s="14" t="s">
        <v>5592</v>
      </c>
      <c r="G537" s="14" t="s">
        <v>5313</v>
      </c>
      <c r="H537" s="14" t="s">
        <v>3994</v>
      </c>
      <c r="I537" s="15" t="s">
        <v>3117</v>
      </c>
      <c r="J537" s="16">
        <v>10590520</v>
      </c>
      <c r="K537" s="17">
        <v>43811</v>
      </c>
      <c r="L537" s="16" t="s">
        <v>6481</v>
      </c>
      <c r="M537" s="16">
        <v>6000000</v>
      </c>
      <c r="N537" s="14" t="s">
        <v>109</v>
      </c>
      <c r="O537" s="13">
        <v>4</v>
      </c>
      <c r="P537" s="17">
        <v>44050</v>
      </c>
      <c r="Q537" s="14" t="s">
        <v>5052</v>
      </c>
      <c r="R537" s="17">
        <v>43816</v>
      </c>
      <c r="S537" s="17">
        <v>43811</v>
      </c>
      <c r="T537" s="14" t="s">
        <v>5791</v>
      </c>
      <c r="U537" s="14" t="s">
        <v>8590</v>
      </c>
      <c r="V537" s="14" t="s">
        <v>8733</v>
      </c>
      <c r="W537" s="14"/>
      <c r="X537" s="14" t="s">
        <v>8734</v>
      </c>
      <c r="Y537" s="14" t="s">
        <v>8735</v>
      </c>
      <c r="Z537" s="14" t="s">
        <v>8736</v>
      </c>
      <c r="AA537" s="14"/>
      <c r="AB537" s="14" t="s">
        <v>3994</v>
      </c>
      <c r="AC537" s="14" t="s">
        <v>8737</v>
      </c>
      <c r="AD537" s="14" t="s">
        <v>8738</v>
      </c>
      <c r="AE537" s="14" t="s">
        <v>8739</v>
      </c>
      <c r="AF537" s="14" t="s">
        <v>8740</v>
      </c>
      <c r="AG537" s="14" t="s">
        <v>8741</v>
      </c>
      <c r="AH537" s="18" t="s">
        <v>8742</v>
      </c>
      <c r="AI537" s="16">
        <v>9797193</v>
      </c>
      <c r="AJ537" s="17">
        <v>43465</v>
      </c>
      <c r="AK537" s="15" t="s">
        <v>3117</v>
      </c>
      <c r="AL537" s="17">
        <v>40471</v>
      </c>
      <c r="AM537" s="16">
        <v>2703</v>
      </c>
      <c r="AN537" s="14" t="s">
        <v>8743</v>
      </c>
      <c r="AO537" s="14"/>
      <c r="AP537" s="15" t="s">
        <v>3123</v>
      </c>
      <c r="AQ537" s="14"/>
      <c r="AR537" s="17"/>
      <c r="AS537" s="16"/>
      <c r="AT537" s="14"/>
      <c r="AU537" s="15" t="s">
        <v>3123</v>
      </c>
      <c r="AV537" s="14"/>
      <c r="AW537" s="17"/>
      <c r="AX537" s="16"/>
      <c r="AY537" s="16"/>
      <c r="AZ537" s="16"/>
      <c r="BA537" s="16"/>
      <c r="BB537" s="15" t="s">
        <v>3123</v>
      </c>
      <c r="BC537" s="17"/>
      <c r="BD537" s="14"/>
      <c r="BE537" s="14"/>
      <c r="BF537" s="16"/>
      <c r="BG537" s="16"/>
      <c r="BH537" s="13"/>
      <c r="BI537" s="18" t="s">
        <v>8744</v>
      </c>
      <c r="BJ537" s="13">
        <v>200</v>
      </c>
      <c r="BK537" s="17">
        <v>44116</v>
      </c>
      <c r="BL537" s="18" t="s">
        <v>8745</v>
      </c>
      <c r="BM537" s="18" t="s">
        <v>8746</v>
      </c>
      <c r="BN537" s="18" t="s">
        <v>8747</v>
      </c>
      <c r="BO537" s="18"/>
      <c r="BP537" s="14" t="s">
        <v>8748</v>
      </c>
      <c r="BQ537" s="17">
        <v>43031</v>
      </c>
      <c r="BR537" s="16">
        <v>-486610</v>
      </c>
      <c r="BS537" s="17">
        <v>43465</v>
      </c>
      <c r="BT537" s="16">
        <v>-86979</v>
      </c>
      <c r="BU537" s="17">
        <v>43465</v>
      </c>
      <c r="BV537" s="16">
        <v>20000000</v>
      </c>
      <c r="BW537" s="17">
        <v>43803</v>
      </c>
      <c r="BX537" s="16">
        <v>276</v>
      </c>
      <c r="BY537" s="17">
        <v>43921</v>
      </c>
      <c r="BZ537" s="19">
        <v>61.821519399240991</v>
      </c>
      <c r="CA537" s="19"/>
      <c r="CB537" s="17"/>
      <c r="CC537" s="14" t="s">
        <v>6365</v>
      </c>
      <c r="CD537" s="14" t="s">
        <v>8749</v>
      </c>
      <c r="CE537" s="14" t="s">
        <v>5004</v>
      </c>
    </row>
    <row r="538" spans="1:83" ht="26.15" customHeight="1">
      <c r="A538" s="13">
        <v>532</v>
      </c>
      <c r="B538" s="14" t="s">
        <v>2936</v>
      </c>
      <c r="C538" s="14" t="s">
        <v>2937</v>
      </c>
      <c r="D538" s="14" t="s">
        <v>2938</v>
      </c>
      <c r="E538" s="13">
        <v>2008</v>
      </c>
      <c r="F538" s="14" t="s">
        <v>5592</v>
      </c>
      <c r="G538" s="14" t="s">
        <v>5313</v>
      </c>
      <c r="H538" s="14" t="s">
        <v>3994</v>
      </c>
      <c r="I538" s="15" t="s">
        <v>3117</v>
      </c>
      <c r="J538" s="16">
        <v>8723427</v>
      </c>
      <c r="K538" s="17">
        <v>41568</v>
      </c>
      <c r="L538" s="16" t="s">
        <v>5022</v>
      </c>
      <c r="M538" s="16">
        <v>1675644</v>
      </c>
      <c r="N538" s="14" t="s">
        <v>109</v>
      </c>
      <c r="O538" s="13">
        <v>3</v>
      </c>
      <c r="P538" s="17">
        <v>44050</v>
      </c>
      <c r="Q538" s="14"/>
      <c r="R538" s="17"/>
      <c r="S538" s="17"/>
      <c r="T538" s="14" t="s">
        <v>1</v>
      </c>
      <c r="U538" s="14" t="s">
        <v>5007</v>
      </c>
      <c r="V538" s="14" t="s">
        <v>6488</v>
      </c>
      <c r="W538" s="14"/>
      <c r="X538" s="14" t="s">
        <v>10259</v>
      </c>
      <c r="Y538" s="14"/>
      <c r="Z538" s="14" t="s">
        <v>10260</v>
      </c>
      <c r="AA538" s="14"/>
      <c r="AB538" s="14" t="s">
        <v>3994</v>
      </c>
      <c r="AC538" s="14" t="s">
        <v>10261</v>
      </c>
      <c r="AD538" s="14" t="s">
        <v>10262</v>
      </c>
      <c r="AE538" s="14" t="s">
        <v>10263</v>
      </c>
      <c r="AF538" s="14" t="s">
        <v>10264</v>
      </c>
      <c r="AG538" s="14" t="s">
        <v>10265</v>
      </c>
      <c r="AH538" s="18" t="s">
        <v>10266</v>
      </c>
      <c r="AI538" s="16">
        <v>1775300</v>
      </c>
      <c r="AJ538" s="17">
        <v>43465</v>
      </c>
      <c r="AK538" s="15" t="s">
        <v>3123</v>
      </c>
      <c r="AL538" s="17"/>
      <c r="AM538" s="16"/>
      <c r="AN538" s="14"/>
      <c r="AO538" s="14"/>
      <c r="AP538" s="15" t="s">
        <v>3123</v>
      </c>
      <c r="AQ538" s="14"/>
      <c r="AR538" s="17"/>
      <c r="AS538" s="16"/>
      <c r="AT538" s="14"/>
      <c r="AU538" s="15" t="s">
        <v>3123</v>
      </c>
      <c r="AV538" s="14"/>
      <c r="AW538" s="17"/>
      <c r="AX538" s="16"/>
      <c r="AY538" s="16"/>
      <c r="AZ538" s="16"/>
      <c r="BA538" s="16"/>
      <c r="BB538" s="15" t="s">
        <v>3123</v>
      </c>
      <c r="BC538" s="17"/>
      <c r="BD538" s="14"/>
      <c r="BE538" s="14"/>
      <c r="BF538" s="16"/>
      <c r="BG538" s="16"/>
      <c r="BH538" s="13"/>
      <c r="BI538" s="18" t="s">
        <v>10267</v>
      </c>
      <c r="BJ538" s="13">
        <v>200</v>
      </c>
      <c r="BK538" s="17">
        <v>44117</v>
      </c>
      <c r="BL538" s="18" t="s">
        <v>10268</v>
      </c>
      <c r="BM538" s="18" t="s">
        <v>10269</v>
      </c>
      <c r="BN538" s="18" t="s">
        <v>10270</v>
      </c>
      <c r="BO538" s="18"/>
      <c r="BP538" s="14" t="s">
        <v>10271</v>
      </c>
      <c r="BQ538" s="17">
        <v>43031</v>
      </c>
      <c r="BR538" s="16">
        <v>17300</v>
      </c>
      <c r="BS538" s="17">
        <v>43465</v>
      </c>
      <c r="BT538" s="16">
        <v>89000</v>
      </c>
      <c r="BU538" s="17">
        <v>43465</v>
      </c>
      <c r="BV538" s="16"/>
      <c r="BW538" s="17"/>
      <c r="BX538" s="16">
        <v>56</v>
      </c>
      <c r="BY538" s="17">
        <v>43921</v>
      </c>
      <c r="BZ538" s="19">
        <v>45.580158274664562</v>
      </c>
      <c r="CA538" s="19"/>
      <c r="CB538" s="17"/>
      <c r="CC538" s="14" t="s">
        <v>7409</v>
      </c>
      <c r="CD538" s="14" t="s">
        <v>7272</v>
      </c>
      <c r="CE538" s="14" t="s">
        <v>7194</v>
      </c>
    </row>
    <row r="539" spans="1:83" ht="26.15" customHeight="1">
      <c r="A539" s="13">
        <v>533</v>
      </c>
      <c r="B539" s="14" t="s">
        <v>2232</v>
      </c>
      <c r="C539" s="14" t="s">
        <v>2233</v>
      </c>
      <c r="D539" s="14" t="s">
        <v>2235</v>
      </c>
      <c r="E539" s="13">
        <v>1980</v>
      </c>
      <c r="F539" s="14" t="s">
        <v>6762</v>
      </c>
      <c r="G539" s="14" t="s">
        <v>6763</v>
      </c>
      <c r="H539" s="14" t="s">
        <v>5333</v>
      </c>
      <c r="I539" s="15" t="s">
        <v>3117</v>
      </c>
      <c r="J539" s="16"/>
      <c r="K539" s="17">
        <v>42705</v>
      </c>
      <c r="L539" s="16"/>
      <c r="M539" s="16" t="s">
        <v>50</v>
      </c>
      <c r="N539" s="14" t="s">
        <v>109</v>
      </c>
      <c r="O539" s="13">
        <v>2</v>
      </c>
      <c r="P539" s="17">
        <v>43971</v>
      </c>
      <c r="Q539" s="14"/>
      <c r="R539" s="17"/>
      <c r="S539" s="17"/>
      <c r="T539" s="14" t="s">
        <v>1</v>
      </c>
      <c r="U539" s="14" t="s">
        <v>5007</v>
      </c>
      <c r="V539" s="14" t="s">
        <v>9652</v>
      </c>
      <c r="W539" s="14"/>
      <c r="X539" s="14" t="s">
        <v>4439</v>
      </c>
      <c r="Y539" s="14"/>
      <c r="Z539" s="14" t="s">
        <v>10272</v>
      </c>
      <c r="AA539" s="14"/>
      <c r="AB539" s="14" t="s">
        <v>5333</v>
      </c>
      <c r="AC539" s="14"/>
      <c r="AD539" s="14" t="s">
        <v>10273</v>
      </c>
      <c r="AE539" s="14" t="s">
        <v>10274</v>
      </c>
      <c r="AF539" s="14"/>
      <c r="AG539" s="14"/>
      <c r="AH539" s="18"/>
      <c r="AI539" s="16"/>
      <c r="AJ539" s="17"/>
      <c r="AK539" s="15" t="s">
        <v>3123</v>
      </c>
      <c r="AL539" s="17"/>
      <c r="AM539" s="16"/>
      <c r="AN539" s="14"/>
      <c r="AO539" s="14"/>
      <c r="AP539" s="15" t="s">
        <v>3123</v>
      </c>
      <c r="AQ539" s="14"/>
      <c r="AR539" s="17"/>
      <c r="AS539" s="16"/>
      <c r="AT539" s="14"/>
      <c r="AU539" s="15" t="s">
        <v>3123</v>
      </c>
      <c r="AV539" s="14"/>
      <c r="AW539" s="17"/>
      <c r="AX539" s="16"/>
      <c r="AY539" s="16"/>
      <c r="AZ539" s="16"/>
      <c r="BA539" s="16"/>
      <c r="BB539" s="15" t="s">
        <v>3123</v>
      </c>
      <c r="BC539" s="17"/>
      <c r="BD539" s="14"/>
      <c r="BE539" s="14"/>
      <c r="BF539" s="16"/>
      <c r="BG539" s="16"/>
      <c r="BH539" s="13"/>
      <c r="BI539" s="18" t="s">
        <v>10275</v>
      </c>
      <c r="BJ539" s="13">
        <v>200</v>
      </c>
      <c r="BK539" s="17">
        <v>44116</v>
      </c>
      <c r="BL539" s="18" t="s">
        <v>10276</v>
      </c>
      <c r="BM539" s="18" t="s">
        <v>10277</v>
      </c>
      <c r="BN539" s="18"/>
      <c r="BO539" s="18"/>
      <c r="BP539" s="14" t="s">
        <v>10278</v>
      </c>
      <c r="BQ539" s="17">
        <v>43371</v>
      </c>
      <c r="BR539" s="16"/>
      <c r="BS539" s="17"/>
      <c r="BT539" s="16"/>
      <c r="BU539" s="17"/>
      <c r="BV539" s="16"/>
      <c r="BW539" s="17"/>
      <c r="BX539" s="16"/>
      <c r="BY539" s="17"/>
      <c r="BZ539" s="19">
        <v>37.884902256024041</v>
      </c>
      <c r="CA539" s="19"/>
      <c r="CB539" s="17"/>
      <c r="CC539" s="14" t="s">
        <v>5345</v>
      </c>
      <c r="CD539" s="14" t="s">
        <v>10279</v>
      </c>
      <c r="CE539" s="14" t="s">
        <v>5521</v>
      </c>
    </row>
    <row r="540" spans="1:83" ht="26.15" customHeight="1">
      <c r="A540" s="13">
        <v>534</v>
      </c>
      <c r="B540" s="14" t="s">
        <v>2150</v>
      </c>
      <c r="C540" s="14" t="s">
        <v>2151</v>
      </c>
      <c r="D540" s="14" t="s">
        <v>2153</v>
      </c>
      <c r="E540" s="13">
        <v>2010</v>
      </c>
      <c r="F540" s="14" t="s">
        <v>10280</v>
      </c>
      <c r="G540" s="14" t="s">
        <v>8033</v>
      </c>
      <c r="H540" s="14" t="s">
        <v>5208</v>
      </c>
      <c r="I540" s="15" t="s">
        <v>3117</v>
      </c>
      <c r="J540" s="16">
        <v>637900</v>
      </c>
      <c r="K540" s="17">
        <v>42829</v>
      </c>
      <c r="L540" s="16" t="s">
        <v>10281</v>
      </c>
      <c r="M540" s="16">
        <v>637879</v>
      </c>
      <c r="N540" s="14" t="s">
        <v>34</v>
      </c>
      <c r="O540" s="13">
        <v>2</v>
      </c>
      <c r="P540" s="17">
        <v>44057</v>
      </c>
      <c r="Q540" s="14"/>
      <c r="R540" s="17"/>
      <c r="S540" s="17"/>
      <c r="T540" s="14" t="s">
        <v>9154</v>
      </c>
      <c r="U540" s="14" t="s">
        <v>9155</v>
      </c>
      <c r="V540" s="14" t="s">
        <v>10282</v>
      </c>
      <c r="W540" s="14"/>
      <c r="X540" s="14" t="s">
        <v>4062</v>
      </c>
      <c r="Y540" s="14"/>
      <c r="Z540" s="14" t="s">
        <v>10283</v>
      </c>
      <c r="AA540" s="14"/>
      <c r="AB540" s="14" t="s">
        <v>5208</v>
      </c>
      <c r="AC540" s="14" t="s">
        <v>10284</v>
      </c>
      <c r="AD540" s="14" t="s">
        <v>10285</v>
      </c>
      <c r="AE540" s="14" t="s">
        <v>10286</v>
      </c>
      <c r="AF540" s="14"/>
      <c r="AG540" s="14"/>
      <c r="AH540" s="18" t="s">
        <v>10287</v>
      </c>
      <c r="AI540" s="16"/>
      <c r="AJ540" s="17"/>
      <c r="AK540" s="15" t="s">
        <v>3123</v>
      </c>
      <c r="AL540" s="17"/>
      <c r="AM540" s="16"/>
      <c r="AN540" s="14"/>
      <c r="AO540" s="14"/>
      <c r="AP540" s="15" t="s">
        <v>3123</v>
      </c>
      <c r="AQ540" s="14"/>
      <c r="AR540" s="17"/>
      <c r="AS540" s="16"/>
      <c r="AT540" s="14"/>
      <c r="AU540" s="15" t="s">
        <v>3123</v>
      </c>
      <c r="AV540" s="14"/>
      <c r="AW540" s="17"/>
      <c r="AX540" s="16"/>
      <c r="AY540" s="16"/>
      <c r="AZ540" s="16"/>
      <c r="BA540" s="16"/>
      <c r="BB540" s="15" t="s">
        <v>3123</v>
      </c>
      <c r="BC540" s="17"/>
      <c r="BD540" s="14"/>
      <c r="BE540" s="14"/>
      <c r="BF540" s="16"/>
      <c r="BG540" s="16"/>
      <c r="BH540" s="13"/>
      <c r="BI540" s="18" t="s">
        <v>10288</v>
      </c>
      <c r="BJ540" s="13">
        <v>301</v>
      </c>
      <c r="BK540" s="17">
        <v>44117</v>
      </c>
      <c r="BL540" s="18" t="s">
        <v>10289</v>
      </c>
      <c r="BM540" s="18" t="s">
        <v>10290</v>
      </c>
      <c r="BN540" s="18" t="s">
        <v>10291</v>
      </c>
      <c r="BO540" s="18"/>
      <c r="BP540" s="14" t="s">
        <v>10292</v>
      </c>
      <c r="BQ540" s="17">
        <v>42888</v>
      </c>
      <c r="BR540" s="16"/>
      <c r="BS540" s="17"/>
      <c r="BT540" s="16"/>
      <c r="BU540" s="17"/>
      <c r="BV540" s="16"/>
      <c r="BW540" s="17"/>
      <c r="BX540" s="16"/>
      <c r="BY540" s="17"/>
      <c r="BZ540" s="19">
        <v>20.125007455304448</v>
      </c>
      <c r="CA540" s="19"/>
      <c r="CB540" s="17"/>
      <c r="CC540" s="14" t="s">
        <v>5036</v>
      </c>
      <c r="CD540" s="14" t="s">
        <v>5962</v>
      </c>
      <c r="CE540" s="14" t="s">
        <v>5945</v>
      </c>
    </row>
    <row r="541" spans="1:83" ht="26.15" customHeight="1">
      <c r="A541" s="13">
        <v>535</v>
      </c>
      <c r="B541" s="14" t="s">
        <v>2966</v>
      </c>
      <c r="C541" s="14" t="s">
        <v>2967</v>
      </c>
      <c r="D541" s="14" t="s">
        <v>2969</v>
      </c>
      <c r="E541" s="13">
        <v>1993</v>
      </c>
      <c r="F541" s="14" t="s">
        <v>5038</v>
      </c>
      <c r="G541" s="14" t="s">
        <v>5039</v>
      </c>
      <c r="H541" s="14" t="s">
        <v>3994</v>
      </c>
      <c r="I541" s="15" t="s">
        <v>3117</v>
      </c>
      <c r="J541" s="16">
        <v>10000000</v>
      </c>
      <c r="K541" s="17">
        <v>41400</v>
      </c>
      <c r="L541" s="16" t="s">
        <v>5165</v>
      </c>
      <c r="M541" s="16">
        <v>10000000</v>
      </c>
      <c r="N541" s="14" t="s">
        <v>5630</v>
      </c>
      <c r="O541" s="13"/>
      <c r="P541" s="17">
        <v>44003</v>
      </c>
      <c r="Q541" s="14"/>
      <c r="R541" s="17"/>
      <c r="S541" s="17"/>
      <c r="T541" s="14" t="s">
        <v>6645</v>
      </c>
      <c r="U541" s="14" t="s">
        <v>8119</v>
      </c>
      <c r="V541" s="14" t="s">
        <v>9643</v>
      </c>
      <c r="W541" s="14"/>
      <c r="X541" s="14" t="s">
        <v>10293</v>
      </c>
      <c r="Y541" s="14"/>
      <c r="Z541" s="14" t="s">
        <v>10294</v>
      </c>
      <c r="AA541" s="14"/>
      <c r="AB541" s="14" t="s">
        <v>3994</v>
      </c>
      <c r="AC541" s="14" t="s">
        <v>10295</v>
      </c>
      <c r="AD541" s="14" t="s">
        <v>10296</v>
      </c>
      <c r="AE541" s="14" t="s">
        <v>10297</v>
      </c>
      <c r="AF541" s="14" t="s">
        <v>10298</v>
      </c>
      <c r="AG541" s="14" t="s">
        <v>10299</v>
      </c>
      <c r="AH541" s="18" t="s">
        <v>10300</v>
      </c>
      <c r="AI541" s="16"/>
      <c r="AJ541" s="17"/>
      <c r="AK541" s="15" t="s">
        <v>3123</v>
      </c>
      <c r="AL541" s="17"/>
      <c r="AM541" s="16"/>
      <c r="AN541" s="14"/>
      <c r="AO541" s="14"/>
      <c r="AP541" s="15" t="s">
        <v>3123</v>
      </c>
      <c r="AQ541" s="14"/>
      <c r="AR541" s="17"/>
      <c r="AS541" s="16"/>
      <c r="AT541" s="14"/>
      <c r="AU541" s="15" t="s">
        <v>3117</v>
      </c>
      <c r="AV541" s="14" t="s">
        <v>10301</v>
      </c>
      <c r="AW541" s="17">
        <v>42011</v>
      </c>
      <c r="AX541" s="16"/>
      <c r="AY541" s="16"/>
      <c r="AZ541" s="16"/>
      <c r="BA541" s="16"/>
      <c r="BB541" s="15" t="s">
        <v>3117</v>
      </c>
      <c r="BC541" s="17"/>
      <c r="BD541" s="14"/>
      <c r="BE541" s="14"/>
      <c r="BF541" s="16"/>
      <c r="BG541" s="16"/>
      <c r="BH541" s="13"/>
      <c r="BI541" s="18" t="s">
        <v>10302</v>
      </c>
      <c r="BJ541" s="13">
        <v>-1</v>
      </c>
      <c r="BK541" s="17">
        <v>44116</v>
      </c>
      <c r="BL541" s="18" t="s">
        <v>10303</v>
      </c>
      <c r="BM541" s="18"/>
      <c r="BN541" s="18"/>
      <c r="BO541" s="18"/>
      <c r="BP541" s="14" t="s">
        <v>10304</v>
      </c>
      <c r="BQ541" s="17">
        <v>43032</v>
      </c>
      <c r="BR541" s="16"/>
      <c r="BS541" s="17"/>
      <c r="BT541" s="16"/>
      <c r="BU541" s="17"/>
      <c r="BV541" s="16"/>
      <c r="BW541" s="17"/>
      <c r="BX541" s="16"/>
      <c r="BY541" s="17"/>
      <c r="BZ541" s="19">
        <v>30.465215632768299</v>
      </c>
      <c r="CA541" s="19"/>
      <c r="CB541" s="17"/>
      <c r="CC541" s="14" t="s">
        <v>5345</v>
      </c>
      <c r="CD541" s="14" t="s">
        <v>8809</v>
      </c>
      <c r="CE541" s="14" t="s">
        <v>5311</v>
      </c>
    </row>
    <row r="542" spans="1:83" ht="26.15" hidden="1" customHeight="1">
      <c r="A542" s="13">
        <v>536</v>
      </c>
      <c r="B542" s="14" t="s">
        <v>2918</v>
      </c>
      <c r="C542" s="14" t="s">
        <v>2919</v>
      </c>
      <c r="D542" s="14" t="s">
        <v>2921</v>
      </c>
      <c r="E542" s="13">
        <v>2004</v>
      </c>
      <c r="F542" s="14" t="s">
        <v>5050</v>
      </c>
      <c r="G542" s="14" t="s">
        <v>5050</v>
      </c>
      <c r="H542" s="14" t="s">
        <v>4343</v>
      </c>
      <c r="I542" s="15" t="s">
        <v>3117</v>
      </c>
      <c r="J542" s="16">
        <v>5200000</v>
      </c>
      <c r="K542" s="17">
        <v>41631</v>
      </c>
      <c r="L542" s="16" t="s">
        <v>5456</v>
      </c>
      <c r="M542" s="16">
        <v>4200000</v>
      </c>
      <c r="N542" s="14" t="s">
        <v>109</v>
      </c>
      <c r="O542" s="13">
        <v>3</v>
      </c>
      <c r="P542" s="17">
        <v>43970</v>
      </c>
      <c r="Q542" s="14"/>
      <c r="R542" s="17"/>
      <c r="S542" s="17"/>
      <c r="T542" s="14" t="s">
        <v>5315</v>
      </c>
      <c r="U542" s="14" t="s">
        <v>5316</v>
      </c>
      <c r="V542" s="14" t="s">
        <v>5317</v>
      </c>
      <c r="W542" s="14"/>
      <c r="X542" s="14" t="s">
        <v>4822</v>
      </c>
      <c r="Y542" s="14"/>
      <c r="Z542" s="14" t="s">
        <v>10305</v>
      </c>
      <c r="AA542" s="14"/>
      <c r="AB542" s="14" t="s">
        <v>4343</v>
      </c>
      <c r="AC542" s="14"/>
      <c r="AD542" s="14"/>
      <c r="AE542" s="14" t="s">
        <v>10306</v>
      </c>
      <c r="AF542" s="14" t="s">
        <v>10307</v>
      </c>
      <c r="AG542" s="14" t="s">
        <v>10308</v>
      </c>
      <c r="AH542" s="18" t="s">
        <v>10309</v>
      </c>
      <c r="AI542" s="16"/>
      <c r="AJ542" s="17"/>
      <c r="AK542" s="15" t="s">
        <v>3123</v>
      </c>
      <c r="AL542" s="17"/>
      <c r="AM542" s="16"/>
      <c r="AN542" s="14"/>
      <c r="AO542" s="14"/>
      <c r="AP542" s="15" t="s">
        <v>3123</v>
      </c>
      <c r="AQ542" s="14"/>
      <c r="AR542" s="17"/>
      <c r="AS542" s="16"/>
      <c r="AT542" s="14"/>
      <c r="AU542" s="15" t="s">
        <v>3123</v>
      </c>
      <c r="AV542" s="14"/>
      <c r="AW542" s="17"/>
      <c r="AX542" s="16"/>
      <c r="AY542" s="16"/>
      <c r="AZ542" s="16"/>
      <c r="BA542" s="16"/>
      <c r="BB542" s="15" t="s">
        <v>3123</v>
      </c>
      <c r="BC542" s="17"/>
      <c r="BD542" s="14"/>
      <c r="BE542" s="14"/>
      <c r="BF542" s="16"/>
      <c r="BG542" s="16"/>
      <c r="BH542" s="13"/>
      <c r="BI542" s="18" t="s">
        <v>10310</v>
      </c>
      <c r="BJ542" s="13">
        <v>-1</v>
      </c>
      <c r="BK542" s="17">
        <v>44116</v>
      </c>
      <c r="BL542" s="18" t="s">
        <v>10311</v>
      </c>
      <c r="BM542" s="18"/>
      <c r="BN542" s="18"/>
      <c r="BO542" s="18"/>
      <c r="BP542" s="14" t="s">
        <v>10312</v>
      </c>
      <c r="BQ542" s="17">
        <v>43032</v>
      </c>
      <c r="BR542" s="16"/>
      <c r="BS542" s="17"/>
      <c r="BT542" s="16"/>
      <c r="BU542" s="17"/>
      <c r="BV542" s="16"/>
      <c r="BW542" s="17"/>
      <c r="BX542" s="16"/>
      <c r="BY542" s="17"/>
      <c r="BZ542" s="19">
        <v>24.945549964091907</v>
      </c>
      <c r="CA542" s="19"/>
      <c r="CB542" s="17"/>
      <c r="CC542" s="14" t="s">
        <v>5345</v>
      </c>
      <c r="CD542" s="14" t="s">
        <v>7272</v>
      </c>
      <c r="CE542" s="14" t="s">
        <v>5945</v>
      </c>
    </row>
    <row r="543" spans="1:83" ht="26.15" hidden="1" customHeight="1">
      <c r="A543" s="13">
        <v>537</v>
      </c>
      <c r="B543" s="14" t="s">
        <v>2951</v>
      </c>
      <c r="C543" s="14" t="s">
        <v>2952</v>
      </c>
      <c r="D543" s="14" t="s">
        <v>2955</v>
      </c>
      <c r="E543" s="13">
        <v>1998</v>
      </c>
      <c r="F543" s="14" t="s">
        <v>10313</v>
      </c>
      <c r="G543" s="14" t="s">
        <v>7609</v>
      </c>
      <c r="H543" s="14" t="s">
        <v>4343</v>
      </c>
      <c r="I543" s="15" t="s">
        <v>3117</v>
      </c>
      <c r="J543" s="16">
        <v>50000000</v>
      </c>
      <c r="K543" s="17">
        <v>41448</v>
      </c>
      <c r="L543" s="16" t="s">
        <v>10314</v>
      </c>
      <c r="M543" s="16">
        <v>50000000</v>
      </c>
      <c r="N543" s="14" t="s">
        <v>5335</v>
      </c>
      <c r="O543" s="13"/>
      <c r="P543" s="17"/>
      <c r="Q543" s="14"/>
      <c r="R543" s="17"/>
      <c r="S543" s="17"/>
      <c r="T543" s="14" t="s">
        <v>1</v>
      </c>
      <c r="U543" s="14" t="s">
        <v>5135</v>
      </c>
      <c r="V543" s="14" t="s">
        <v>10315</v>
      </c>
      <c r="W543" s="14"/>
      <c r="X543" s="14" t="s">
        <v>10316</v>
      </c>
      <c r="Y543" s="14"/>
      <c r="Z543" s="14" t="s">
        <v>10317</v>
      </c>
      <c r="AA543" s="14"/>
      <c r="AB543" s="14" t="s">
        <v>4343</v>
      </c>
      <c r="AC543" s="14"/>
      <c r="AD543" s="14"/>
      <c r="AE543" s="14" t="s">
        <v>10318</v>
      </c>
      <c r="AF543" s="14"/>
      <c r="AG543" s="14" t="s">
        <v>10319</v>
      </c>
      <c r="AH543" s="18" t="s">
        <v>10320</v>
      </c>
      <c r="AI543" s="16"/>
      <c r="AJ543" s="17"/>
      <c r="AK543" s="15" t="s">
        <v>3123</v>
      </c>
      <c r="AL543" s="17"/>
      <c r="AM543" s="16"/>
      <c r="AN543" s="14"/>
      <c r="AO543" s="14" t="s">
        <v>10321</v>
      </c>
      <c r="AP543" s="15" t="s">
        <v>3117</v>
      </c>
      <c r="AQ543" s="14" t="s">
        <v>10322</v>
      </c>
      <c r="AR543" s="17">
        <v>43607</v>
      </c>
      <c r="AS543" s="16"/>
      <c r="AT543" s="14" t="s">
        <v>5342</v>
      </c>
      <c r="AU543" s="15" t="s">
        <v>3123</v>
      </c>
      <c r="AV543" s="14"/>
      <c r="AW543" s="17"/>
      <c r="AX543" s="16"/>
      <c r="AY543" s="16"/>
      <c r="AZ543" s="16"/>
      <c r="BA543" s="16"/>
      <c r="BB543" s="15" t="s">
        <v>3123</v>
      </c>
      <c r="BC543" s="17"/>
      <c r="BD543" s="14"/>
      <c r="BE543" s="14"/>
      <c r="BF543" s="16"/>
      <c r="BG543" s="16"/>
      <c r="BH543" s="13"/>
      <c r="BI543" s="18" t="s">
        <v>10323</v>
      </c>
      <c r="BJ543" s="13">
        <v>200</v>
      </c>
      <c r="BK543" s="17">
        <v>44116</v>
      </c>
      <c r="BL543" s="18" t="s">
        <v>10324</v>
      </c>
      <c r="BM543" s="18" t="s">
        <v>10325</v>
      </c>
      <c r="BN543" s="18" t="s">
        <v>10326</v>
      </c>
      <c r="BO543" s="18"/>
      <c r="BP543" s="14" t="s">
        <v>10327</v>
      </c>
      <c r="BQ543" s="17">
        <v>43033</v>
      </c>
      <c r="BR543" s="16"/>
      <c r="BS543" s="17"/>
      <c r="BT543" s="16"/>
      <c r="BU543" s="17"/>
      <c r="BV543" s="16"/>
      <c r="BW543" s="17"/>
      <c r="BX543" s="16"/>
      <c r="BY543" s="17"/>
      <c r="BZ543" s="19">
        <v>48.596074880121144</v>
      </c>
      <c r="CA543" s="19"/>
      <c r="CB543" s="17"/>
      <c r="CC543" s="14" t="s">
        <v>5345</v>
      </c>
      <c r="CD543" s="14" t="s">
        <v>7272</v>
      </c>
      <c r="CE543" s="14" t="s">
        <v>5945</v>
      </c>
    </row>
    <row r="544" spans="1:83" ht="26.15" hidden="1" customHeight="1">
      <c r="A544" s="13">
        <v>538</v>
      </c>
      <c r="B544" s="14" t="s">
        <v>3075</v>
      </c>
      <c r="C544" s="14" t="s">
        <v>3076</v>
      </c>
      <c r="D544" s="14" t="s">
        <v>3077</v>
      </c>
      <c r="E544" s="13">
        <v>1977</v>
      </c>
      <c r="F544" s="14" t="s">
        <v>10138</v>
      </c>
      <c r="G544" s="14" t="s">
        <v>5164</v>
      </c>
      <c r="H544" s="14" t="s">
        <v>4343</v>
      </c>
      <c r="I544" s="15" t="s">
        <v>3117</v>
      </c>
      <c r="J544" s="16">
        <v>11291283</v>
      </c>
      <c r="K544" s="17">
        <v>40330</v>
      </c>
      <c r="L544" s="16" t="s">
        <v>7460</v>
      </c>
      <c r="M544" s="16">
        <v>11291283</v>
      </c>
      <c r="N544" s="14" t="s">
        <v>5040</v>
      </c>
      <c r="O544" s="13">
        <v>5</v>
      </c>
      <c r="P544" s="17">
        <v>44006</v>
      </c>
      <c r="Q544" s="14" t="s">
        <v>5052</v>
      </c>
      <c r="R544" s="17">
        <v>43608</v>
      </c>
      <c r="S544" s="17">
        <v>43617</v>
      </c>
      <c r="T544" s="14" t="s">
        <v>1</v>
      </c>
      <c r="U544" s="14" t="s">
        <v>5084</v>
      </c>
      <c r="V544" s="14" t="s">
        <v>1783</v>
      </c>
      <c r="W544" s="14"/>
      <c r="X544" s="14" t="s">
        <v>10328</v>
      </c>
      <c r="Y544" s="14" t="s">
        <v>10329</v>
      </c>
      <c r="Z544" s="14" t="s">
        <v>10330</v>
      </c>
      <c r="AA544" s="14"/>
      <c r="AB544" s="14" t="s">
        <v>4343</v>
      </c>
      <c r="AC544" s="14"/>
      <c r="AD544" s="14"/>
      <c r="AE544" s="14" t="s">
        <v>10331</v>
      </c>
      <c r="AF544" s="14"/>
      <c r="AG544" s="14"/>
      <c r="AH544" s="18" t="s">
        <v>10332</v>
      </c>
      <c r="AI544" s="16"/>
      <c r="AJ544" s="17"/>
      <c r="AK544" s="15" t="s">
        <v>3123</v>
      </c>
      <c r="AL544" s="17"/>
      <c r="AM544" s="16"/>
      <c r="AN544" s="14"/>
      <c r="AO544" s="14" t="s">
        <v>10333</v>
      </c>
      <c r="AP544" s="15" t="s">
        <v>3123</v>
      </c>
      <c r="AQ544" s="14"/>
      <c r="AR544" s="17"/>
      <c r="AS544" s="16"/>
      <c r="AT544" s="14"/>
      <c r="AU544" s="15" t="s">
        <v>3123</v>
      </c>
      <c r="AV544" s="14"/>
      <c r="AW544" s="17"/>
      <c r="AX544" s="16"/>
      <c r="AY544" s="16"/>
      <c r="AZ544" s="16"/>
      <c r="BA544" s="16"/>
      <c r="BB544" s="15" t="s">
        <v>3123</v>
      </c>
      <c r="BC544" s="17"/>
      <c r="BD544" s="14"/>
      <c r="BE544" s="14"/>
      <c r="BF544" s="16"/>
      <c r="BG544" s="16"/>
      <c r="BH544" s="13"/>
      <c r="BI544" s="18" t="s">
        <v>10334</v>
      </c>
      <c r="BJ544" s="13">
        <v>200</v>
      </c>
      <c r="BK544" s="17">
        <v>44116</v>
      </c>
      <c r="BL544" s="18" t="s">
        <v>10335</v>
      </c>
      <c r="BM544" s="18" t="s">
        <v>10336</v>
      </c>
      <c r="BN544" s="18" t="s">
        <v>10337</v>
      </c>
      <c r="BO544" s="18"/>
      <c r="BP544" s="14" t="s">
        <v>10338</v>
      </c>
      <c r="BQ544" s="17">
        <v>42902</v>
      </c>
      <c r="BR544" s="16"/>
      <c r="BS544" s="17"/>
      <c r="BT544" s="16"/>
      <c r="BU544" s="17"/>
      <c r="BV544" s="16"/>
      <c r="BW544" s="17"/>
      <c r="BX544" s="16"/>
      <c r="BY544" s="17"/>
      <c r="BZ544" s="19">
        <v>56.53214395018955</v>
      </c>
      <c r="CA544" s="19"/>
      <c r="CB544" s="17"/>
      <c r="CC544" s="14" t="s">
        <v>5036</v>
      </c>
      <c r="CD544" s="14" t="s">
        <v>5962</v>
      </c>
      <c r="CE544" s="14" t="s">
        <v>5945</v>
      </c>
    </row>
    <row r="545" spans="1:83" ht="26.15" customHeight="1">
      <c r="A545" s="13">
        <v>539</v>
      </c>
      <c r="B545" s="14" t="s">
        <v>3029</v>
      </c>
      <c r="C545" s="14" t="s">
        <v>3030</v>
      </c>
      <c r="D545" s="14" t="s">
        <v>3031</v>
      </c>
      <c r="E545" s="13">
        <v>1994</v>
      </c>
      <c r="F545" s="14" t="s">
        <v>5067</v>
      </c>
      <c r="G545" s="14" t="s">
        <v>5068</v>
      </c>
      <c r="H545" s="14" t="s">
        <v>3994</v>
      </c>
      <c r="I545" s="15" t="s">
        <v>3117</v>
      </c>
      <c r="J545" s="16">
        <v>50000000</v>
      </c>
      <c r="K545" s="17">
        <v>40724</v>
      </c>
      <c r="L545" s="16" t="s">
        <v>10314</v>
      </c>
      <c r="M545" s="16">
        <v>50000000</v>
      </c>
      <c r="N545" s="14" t="s">
        <v>5314</v>
      </c>
      <c r="O545" s="13">
        <v>2</v>
      </c>
      <c r="P545" s="17">
        <v>43973</v>
      </c>
      <c r="Q545" s="14"/>
      <c r="R545" s="17"/>
      <c r="S545" s="17"/>
      <c r="T545" s="14" t="s">
        <v>1</v>
      </c>
      <c r="U545" s="14" t="s">
        <v>5007</v>
      </c>
      <c r="V545" s="14" t="s">
        <v>10339</v>
      </c>
      <c r="W545" s="14"/>
      <c r="X545" s="14" t="s">
        <v>10340</v>
      </c>
      <c r="Y545" s="14"/>
      <c r="Z545" s="14" t="s">
        <v>10341</v>
      </c>
      <c r="AA545" s="14"/>
      <c r="AB545" s="14" t="s">
        <v>3994</v>
      </c>
      <c r="AC545" s="14"/>
      <c r="AD545" s="14" t="s">
        <v>10342</v>
      </c>
      <c r="AE545" s="14" t="s">
        <v>10343</v>
      </c>
      <c r="AF545" s="14" t="s">
        <v>10344</v>
      </c>
      <c r="AG545" s="14" t="s">
        <v>10345</v>
      </c>
      <c r="AH545" s="18" t="s">
        <v>10346</v>
      </c>
      <c r="AI545" s="16"/>
      <c r="AJ545" s="17"/>
      <c r="AK545" s="15" t="s">
        <v>3123</v>
      </c>
      <c r="AL545" s="17"/>
      <c r="AM545" s="16"/>
      <c r="AN545" s="14"/>
      <c r="AO545" s="14"/>
      <c r="AP545" s="15" t="s">
        <v>3123</v>
      </c>
      <c r="AQ545" s="14"/>
      <c r="AR545" s="17"/>
      <c r="AS545" s="16"/>
      <c r="AT545" s="14"/>
      <c r="AU545" s="15" t="s">
        <v>3117</v>
      </c>
      <c r="AV545" s="14" t="s">
        <v>10347</v>
      </c>
      <c r="AW545" s="17">
        <v>39176</v>
      </c>
      <c r="AX545" s="16"/>
      <c r="AY545" s="16"/>
      <c r="AZ545" s="16"/>
      <c r="BA545" s="16"/>
      <c r="BB545" s="15" t="s">
        <v>3123</v>
      </c>
      <c r="BC545" s="17"/>
      <c r="BD545" s="14"/>
      <c r="BE545" s="14"/>
      <c r="BF545" s="16"/>
      <c r="BG545" s="16"/>
      <c r="BH545" s="13"/>
      <c r="BI545" s="18" t="s">
        <v>10348</v>
      </c>
      <c r="BJ545" s="13">
        <v>200</v>
      </c>
      <c r="BK545" s="17">
        <v>44116</v>
      </c>
      <c r="BL545" s="18" t="s">
        <v>10349</v>
      </c>
      <c r="BM545" s="18"/>
      <c r="BN545" s="18"/>
      <c r="BO545" s="18"/>
      <c r="BP545" s="14" t="s">
        <v>10350</v>
      </c>
      <c r="BQ545" s="17">
        <v>43298</v>
      </c>
      <c r="BR545" s="16"/>
      <c r="BS545" s="17"/>
      <c r="BT545" s="16"/>
      <c r="BU545" s="17"/>
      <c r="BV545" s="16"/>
      <c r="BW545" s="17"/>
      <c r="BX545" s="16"/>
      <c r="BY545" s="17"/>
      <c r="BZ545" s="19">
        <v>29.400344679252139</v>
      </c>
      <c r="CA545" s="19"/>
      <c r="CB545" s="17"/>
      <c r="CC545" s="14" t="s">
        <v>5345</v>
      </c>
      <c r="CD545" s="14" t="s">
        <v>10351</v>
      </c>
      <c r="CE545" s="14" t="s">
        <v>5620</v>
      </c>
    </row>
    <row r="546" spans="1:83" ht="26.15" hidden="1" customHeight="1">
      <c r="A546" s="13">
        <v>540</v>
      </c>
      <c r="B546" s="14" t="s">
        <v>2931</v>
      </c>
      <c r="C546" s="14" t="s">
        <v>2932</v>
      </c>
      <c r="D546" s="14" t="s">
        <v>2934</v>
      </c>
      <c r="E546" s="13">
        <v>2011</v>
      </c>
      <c r="F546" s="14" t="s">
        <v>10352</v>
      </c>
      <c r="G546" s="14" t="s">
        <v>10353</v>
      </c>
      <c r="H546" s="14" t="s">
        <v>10354</v>
      </c>
      <c r="I546" s="15" t="s">
        <v>3117</v>
      </c>
      <c r="J546" s="16">
        <v>150000</v>
      </c>
      <c r="K546" s="17">
        <v>41610</v>
      </c>
      <c r="L546" s="16" t="s">
        <v>5105</v>
      </c>
      <c r="M546" s="16">
        <v>150000</v>
      </c>
      <c r="N546" s="14" t="s">
        <v>34</v>
      </c>
      <c r="O546" s="13"/>
      <c r="P546" s="17"/>
      <c r="Q546" s="14"/>
      <c r="R546" s="17"/>
      <c r="S546" s="17"/>
      <c r="T546" s="14" t="s">
        <v>5947</v>
      </c>
      <c r="U546" s="14" t="s">
        <v>7296</v>
      </c>
      <c r="V546" s="14" t="s">
        <v>10355</v>
      </c>
      <c r="W546" s="14"/>
      <c r="X546" s="14" t="s">
        <v>10356</v>
      </c>
      <c r="Y546" s="14"/>
      <c r="Z546" s="14" t="s">
        <v>10357</v>
      </c>
      <c r="AA546" s="14"/>
      <c r="AB546" s="14" t="s">
        <v>10358</v>
      </c>
      <c r="AC546" s="14" t="s">
        <v>10359</v>
      </c>
      <c r="AD546" s="14"/>
      <c r="AE546" s="14" t="s">
        <v>10360</v>
      </c>
      <c r="AF546" s="14" t="s">
        <v>10361</v>
      </c>
      <c r="AG546" s="14" t="s">
        <v>10362</v>
      </c>
      <c r="AH546" s="18" t="s">
        <v>10363</v>
      </c>
      <c r="AI546" s="16"/>
      <c r="AJ546" s="17"/>
      <c r="AK546" s="15" t="s">
        <v>3123</v>
      </c>
      <c r="AL546" s="17"/>
      <c r="AM546" s="16"/>
      <c r="AN546" s="14"/>
      <c r="AO546" s="14"/>
      <c r="AP546" s="15" t="s">
        <v>3123</v>
      </c>
      <c r="AQ546" s="14"/>
      <c r="AR546" s="17"/>
      <c r="AS546" s="16"/>
      <c r="AT546" s="14"/>
      <c r="AU546" s="15" t="s">
        <v>3123</v>
      </c>
      <c r="AV546" s="14"/>
      <c r="AW546" s="17"/>
      <c r="AX546" s="16"/>
      <c r="AY546" s="16"/>
      <c r="AZ546" s="16"/>
      <c r="BA546" s="16"/>
      <c r="BB546" s="15" t="s">
        <v>3123</v>
      </c>
      <c r="BC546" s="17"/>
      <c r="BD546" s="14"/>
      <c r="BE546" s="14"/>
      <c r="BF546" s="16"/>
      <c r="BG546" s="16"/>
      <c r="BH546" s="13"/>
      <c r="BI546" s="18" t="s">
        <v>10364</v>
      </c>
      <c r="BJ546" s="13">
        <v>200</v>
      </c>
      <c r="BK546" s="17">
        <v>44116</v>
      </c>
      <c r="BL546" s="18" t="s">
        <v>10365</v>
      </c>
      <c r="BM546" s="18" t="s">
        <v>10366</v>
      </c>
      <c r="BN546" s="18" t="s">
        <v>10367</v>
      </c>
      <c r="BO546" s="18" t="s">
        <v>10368</v>
      </c>
      <c r="BP546" s="14" t="s">
        <v>10369</v>
      </c>
      <c r="BQ546" s="17">
        <v>42510</v>
      </c>
      <c r="BR546" s="16"/>
      <c r="BS546" s="17"/>
      <c r="BT546" s="16"/>
      <c r="BU546" s="17"/>
      <c r="BV546" s="16"/>
      <c r="BW546" s="17"/>
      <c r="BX546" s="16"/>
      <c r="BY546" s="17"/>
      <c r="BZ546" s="19">
        <v>45.419617495813974</v>
      </c>
      <c r="CA546" s="19"/>
      <c r="CB546" s="17"/>
      <c r="CC546" s="14" t="s">
        <v>5036</v>
      </c>
      <c r="CD546" s="14" t="s">
        <v>5962</v>
      </c>
      <c r="CE546" s="14" t="s">
        <v>5945</v>
      </c>
    </row>
    <row r="547" spans="1:83" ht="26.15" customHeight="1">
      <c r="A547" s="13">
        <v>541</v>
      </c>
      <c r="B547" s="14" t="s">
        <v>2901</v>
      </c>
      <c r="C547" s="14" t="s">
        <v>2902</v>
      </c>
      <c r="D547" s="14" t="s">
        <v>2903</v>
      </c>
      <c r="E547" s="13">
        <v>2013</v>
      </c>
      <c r="F547" s="14" t="s">
        <v>5312</v>
      </c>
      <c r="G547" s="14" t="s">
        <v>5313</v>
      </c>
      <c r="H547" s="14" t="s">
        <v>3994</v>
      </c>
      <c r="I547" s="15" t="s">
        <v>3117</v>
      </c>
      <c r="J547" s="16">
        <v>1500000</v>
      </c>
      <c r="K547" s="17">
        <v>41730</v>
      </c>
      <c r="L547" s="16" t="s">
        <v>5022</v>
      </c>
      <c r="M547" s="16">
        <v>1500000</v>
      </c>
      <c r="N547" s="14" t="s">
        <v>5630</v>
      </c>
      <c r="O547" s="13"/>
      <c r="P547" s="17"/>
      <c r="Q547" s="14"/>
      <c r="R547" s="17"/>
      <c r="S547" s="17"/>
      <c r="T547" s="14" t="s">
        <v>4995</v>
      </c>
      <c r="U547" s="14" t="s">
        <v>5578</v>
      </c>
      <c r="V547" s="14" t="s">
        <v>10370</v>
      </c>
      <c r="W547" s="14"/>
      <c r="X547" s="14"/>
      <c r="Y547" s="14"/>
      <c r="Z547" s="14" t="s">
        <v>10371</v>
      </c>
      <c r="AA547" s="14"/>
      <c r="AB547" s="14" t="s">
        <v>3994</v>
      </c>
      <c r="AC547" s="14"/>
      <c r="AD547" s="14"/>
      <c r="AE547" s="14" t="s">
        <v>10372</v>
      </c>
      <c r="AF547" s="14" t="s">
        <v>10373</v>
      </c>
      <c r="AG547" s="14" t="s">
        <v>10374</v>
      </c>
      <c r="AH547" s="18" t="s">
        <v>10375</v>
      </c>
      <c r="AI547" s="16"/>
      <c r="AJ547" s="17"/>
      <c r="AK547" s="15" t="s">
        <v>3123</v>
      </c>
      <c r="AL547" s="17"/>
      <c r="AM547" s="16"/>
      <c r="AN547" s="14"/>
      <c r="AO547" s="14"/>
      <c r="AP547" s="15" t="s">
        <v>3123</v>
      </c>
      <c r="AQ547" s="14"/>
      <c r="AR547" s="17"/>
      <c r="AS547" s="16"/>
      <c r="AT547" s="14"/>
      <c r="AU547" s="15" t="s">
        <v>3123</v>
      </c>
      <c r="AV547" s="14"/>
      <c r="AW547" s="17"/>
      <c r="AX547" s="16"/>
      <c r="AY547" s="16"/>
      <c r="AZ547" s="16"/>
      <c r="BA547" s="16"/>
      <c r="BB547" s="15" t="s">
        <v>3117</v>
      </c>
      <c r="BC547" s="17">
        <v>42254</v>
      </c>
      <c r="BD547" s="14"/>
      <c r="BE547" s="14"/>
      <c r="BF547" s="16"/>
      <c r="BG547" s="16"/>
      <c r="BH547" s="13"/>
      <c r="BI547" s="18" t="s">
        <v>10376</v>
      </c>
      <c r="BJ547" s="13">
        <v>200</v>
      </c>
      <c r="BK547" s="17">
        <v>44116</v>
      </c>
      <c r="BL547" s="18" t="s">
        <v>10377</v>
      </c>
      <c r="BM547" s="18" t="s">
        <v>10378</v>
      </c>
      <c r="BN547" s="18" t="s">
        <v>10379</v>
      </c>
      <c r="BO547" s="18"/>
      <c r="BP547" s="14" t="s">
        <v>10380</v>
      </c>
      <c r="BQ547" s="17">
        <v>42185</v>
      </c>
      <c r="BR547" s="16"/>
      <c r="BS547" s="17"/>
      <c r="BT547" s="16"/>
      <c r="BU547" s="17"/>
      <c r="BV547" s="16"/>
      <c r="BW547" s="17"/>
      <c r="BX547" s="16"/>
      <c r="BY547" s="17"/>
      <c r="BZ547" s="19">
        <v>17.449894829106185</v>
      </c>
      <c r="CA547" s="19"/>
      <c r="CB547" s="17"/>
      <c r="CC547" s="14" t="s">
        <v>5082</v>
      </c>
      <c r="CD547" s="14"/>
      <c r="CE547" s="14" t="s">
        <v>7966</v>
      </c>
    </row>
    <row r="548" spans="1:83" ht="26.15" hidden="1" customHeight="1">
      <c r="A548" s="13">
        <v>542</v>
      </c>
      <c r="B548" s="14" t="s">
        <v>2203</v>
      </c>
      <c r="C548" s="14" t="s">
        <v>2204</v>
      </c>
      <c r="D548" s="14" t="s">
        <v>2208</v>
      </c>
      <c r="E548" s="13">
        <v>2013</v>
      </c>
      <c r="F548" s="14" t="s">
        <v>10381</v>
      </c>
      <c r="G548" s="14" t="s">
        <v>6004</v>
      </c>
      <c r="H548" s="14" t="s">
        <v>4343</v>
      </c>
      <c r="I548" s="15" t="s">
        <v>3117</v>
      </c>
      <c r="J548" s="16">
        <v>450000</v>
      </c>
      <c r="K548" s="17">
        <v>42751</v>
      </c>
      <c r="L548" s="16"/>
      <c r="M548" s="16" t="s">
        <v>50</v>
      </c>
      <c r="N548" s="14" t="s">
        <v>5630</v>
      </c>
      <c r="O548" s="13"/>
      <c r="P548" s="17">
        <v>44002</v>
      </c>
      <c r="Q548" s="14"/>
      <c r="R548" s="17"/>
      <c r="S548" s="17"/>
      <c r="T548" s="14" t="s">
        <v>8102</v>
      </c>
      <c r="U548" s="14" t="s">
        <v>10382</v>
      </c>
      <c r="V548" s="14" t="s">
        <v>10383</v>
      </c>
      <c r="W548" s="14"/>
      <c r="X548" s="14" t="s">
        <v>10384</v>
      </c>
      <c r="Y548" s="14"/>
      <c r="Z548" s="14" t="s">
        <v>10385</v>
      </c>
      <c r="AA548" s="14"/>
      <c r="AB548" s="14" t="s">
        <v>4343</v>
      </c>
      <c r="AC548" s="14" t="s">
        <v>10386</v>
      </c>
      <c r="AD548" s="14"/>
      <c r="AE548" s="14" t="s">
        <v>10387</v>
      </c>
      <c r="AF548" s="14" t="s">
        <v>10388</v>
      </c>
      <c r="AG548" s="14" t="s">
        <v>10389</v>
      </c>
      <c r="AH548" s="18" t="s">
        <v>10390</v>
      </c>
      <c r="AI548" s="16"/>
      <c r="AJ548" s="17"/>
      <c r="AK548" s="15" t="s">
        <v>3123</v>
      </c>
      <c r="AL548" s="17"/>
      <c r="AM548" s="16"/>
      <c r="AN548" s="14"/>
      <c r="AO548" s="14"/>
      <c r="AP548" s="15" t="s">
        <v>3123</v>
      </c>
      <c r="AQ548" s="14"/>
      <c r="AR548" s="17"/>
      <c r="AS548" s="16"/>
      <c r="AT548" s="14"/>
      <c r="AU548" s="15" t="s">
        <v>3123</v>
      </c>
      <c r="AV548" s="14"/>
      <c r="AW548" s="17"/>
      <c r="AX548" s="16"/>
      <c r="AY548" s="16"/>
      <c r="AZ548" s="16"/>
      <c r="BA548" s="16"/>
      <c r="BB548" s="15" t="s">
        <v>3117</v>
      </c>
      <c r="BC548" s="17">
        <v>43252</v>
      </c>
      <c r="BD548" s="14"/>
      <c r="BE548" s="14"/>
      <c r="BF548" s="16"/>
      <c r="BG548" s="16"/>
      <c r="BH548" s="13"/>
      <c r="BI548" s="18" t="s">
        <v>10391</v>
      </c>
      <c r="BJ548" s="13">
        <v>200</v>
      </c>
      <c r="BK548" s="17">
        <v>44116</v>
      </c>
      <c r="BL548" s="18" t="s">
        <v>10392</v>
      </c>
      <c r="BM548" s="18" t="s">
        <v>10393</v>
      </c>
      <c r="BN548" s="18" t="s">
        <v>10394</v>
      </c>
      <c r="BO548" s="18" t="s">
        <v>10395</v>
      </c>
      <c r="BP548" s="14" t="s">
        <v>10396</v>
      </c>
      <c r="BQ548" s="17">
        <v>43185</v>
      </c>
      <c r="BR548" s="16"/>
      <c r="BS548" s="17"/>
      <c r="BT548" s="16"/>
      <c r="BU548" s="17"/>
      <c r="BV548" s="16"/>
      <c r="BW548" s="17"/>
      <c r="BX548" s="16"/>
      <c r="BY548" s="17"/>
      <c r="BZ548" s="19">
        <v>36.670238893651849</v>
      </c>
      <c r="CA548" s="19"/>
      <c r="CB548" s="17"/>
      <c r="CC548" s="14" t="s">
        <v>5247</v>
      </c>
      <c r="CD548" s="14" t="s">
        <v>6839</v>
      </c>
      <c r="CE548" s="14" t="s">
        <v>5945</v>
      </c>
    </row>
    <row r="549" spans="1:83" ht="26.15" customHeight="1">
      <c r="A549" s="13">
        <v>543</v>
      </c>
      <c r="B549" s="14" t="s">
        <v>1885</v>
      </c>
      <c r="C549" s="14" t="s">
        <v>1886</v>
      </c>
      <c r="D549" s="14" t="s">
        <v>1889</v>
      </c>
      <c r="E549" s="13">
        <v>2013</v>
      </c>
      <c r="F549" s="14" t="s">
        <v>5038</v>
      </c>
      <c r="G549" s="14" t="s">
        <v>5039</v>
      </c>
      <c r="H549" s="14" t="s">
        <v>3994</v>
      </c>
      <c r="I549" s="15" t="s">
        <v>3117</v>
      </c>
      <c r="J549" s="16">
        <v>133229</v>
      </c>
      <c r="K549" s="17">
        <v>43075</v>
      </c>
      <c r="L549" s="16" t="s">
        <v>8764</v>
      </c>
      <c r="M549" s="16">
        <v>69074</v>
      </c>
      <c r="N549" s="14" t="s">
        <v>34</v>
      </c>
      <c r="O549" s="13">
        <v>4</v>
      </c>
      <c r="P549" s="17">
        <v>44057</v>
      </c>
      <c r="Q549" s="14"/>
      <c r="R549" s="17"/>
      <c r="S549" s="17"/>
      <c r="T549" s="14" t="s">
        <v>5041</v>
      </c>
      <c r="U549" s="14" t="s">
        <v>5042</v>
      </c>
      <c r="V549" s="14" t="s">
        <v>5486</v>
      </c>
      <c r="W549" s="14"/>
      <c r="X549" s="14" t="s">
        <v>3639</v>
      </c>
      <c r="Y549" s="14" t="s">
        <v>8765</v>
      </c>
      <c r="Z549" s="14" t="s">
        <v>8766</v>
      </c>
      <c r="AA549" s="14"/>
      <c r="AB549" s="14" t="s">
        <v>3994</v>
      </c>
      <c r="AC549" s="14"/>
      <c r="AD549" s="14"/>
      <c r="AE549" s="14" t="s">
        <v>8767</v>
      </c>
      <c r="AF549" s="14" t="s">
        <v>8768</v>
      </c>
      <c r="AG549" s="14" t="s">
        <v>8769</v>
      </c>
      <c r="AH549" s="18"/>
      <c r="AI549" s="16">
        <v>76500</v>
      </c>
      <c r="AJ549" s="17">
        <v>43100</v>
      </c>
      <c r="AK549" s="15" t="s">
        <v>3117</v>
      </c>
      <c r="AL549" s="17">
        <v>41551</v>
      </c>
      <c r="AM549" s="16">
        <v>1618</v>
      </c>
      <c r="AN549" s="14" t="s">
        <v>8770</v>
      </c>
      <c r="AO549" s="14"/>
      <c r="AP549" s="15" t="s">
        <v>3123</v>
      </c>
      <c r="AQ549" s="14"/>
      <c r="AR549" s="17"/>
      <c r="AS549" s="16"/>
      <c r="AT549" s="14"/>
      <c r="AU549" s="15" t="s">
        <v>3123</v>
      </c>
      <c r="AV549" s="14"/>
      <c r="AW549" s="17"/>
      <c r="AX549" s="16"/>
      <c r="AY549" s="16"/>
      <c r="AZ549" s="16"/>
      <c r="BA549" s="16"/>
      <c r="BB549" s="15" t="s">
        <v>3123</v>
      </c>
      <c r="BC549" s="17"/>
      <c r="BD549" s="14"/>
      <c r="BE549" s="14"/>
      <c r="BF549" s="16"/>
      <c r="BG549" s="16"/>
      <c r="BH549" s="13"/>
      <c r="BI549" s="18" t="s">
        <v>8771</v>
      </c>
      <c r="BJ549" s="13">
        <v>200</v>
      </c>
      <c r="BK549" s="17">
        <v>44116</v>
      </c>
      <c r="BL549" s="18" t="s">
        <v>8772</v>
      </c>
      <c r="BM549" s="18" t="s">
        <v>8773</v>
      </c>
      <c r="BN549" s="18" t="s">
        <v>8774</v>
      </c>
      <c r="BO549" s="18"/>
      <c r="BP549" s="14" t="s">
        <v>8775</v>
      </c>
      <c r="BQ549" s="17">
        <v>42929</v>
      </c>
      <c r="BR549" s="16">
        <v>-20800</v>
      </c>
      <c r="BS549" s="17">
        <v>43100</v>
      </c>
      <c r="BT549" s="16">
        <v>-20800</v>
      </c>
      <c r="BU549" s="17">
        <v>43100</v>
      </c>
      <c r="BV549" s="16"/>
      <c r="BW549" s="17"/>
      <c r="BX549" s="16"/>
      <c r="BY549" s="17"/>
      <c r="BZ549" s="19">
        <v>38.739234556602689</v>
      </c>
      <c r="CA549" s="19"/>
      <c r="CB549" s="17"/>
      <c r="CC549" s="14" t="s">
        <v>5036</v>
      </c>
      <c r="CD549" s="14" t="s">
        <v>5962</v>
      </c>
      <c r="CE549" s="14" t="s">
        <v>5945</v>
      </c>
    </row>
    <row r="550" spans="1:83" ht="26.15" customHeight="1">
      <c r="A550" s="13">
        <v>544</v>
      </c>
      <c r="B550" s="14" t="s">
        <v>1705</v>
      </c>
      <c r="C550" s="14" t="s">
        <v>1706</v>
      </c>
      <c r="D550" s="14" t="s">
        <v>1710</v>
      </c>
      <c r="E550" s="13">
        <v>2012</v>
      </c>
      <c r="F550" s="14" t="s">
        <v>8776</v>
      </c>
      <c r="G550" s="14" t="s">
        <v>6480</v>
      </c>
      <c r="H550" s="14" t="s">
        <v>3994</v>
      </c>
      <c r="I550" s="15" t="s">
        <v>3117</v>
      </c>
      <c r="J550" s="16">
        <v>6780764</v>
      </c>
      <c r="K550" s="17">
        <v>43220</v>
      </c>
      <c r="L550" s="16" t="s">
        <v>5543</v>
      </c>
      <c r="M550" s="16">
        <v>5439750</v>
      </c>
      <c r="N550" s="14" t="s">
        <v>25</v>
      </c>
      <c r="O550" s="13">
        <v>5</v>
      </c>
      <c r="P550" s="17">
        <v>44098</v>
      </c>
      <c r="Q550" s="14"/>
      <c r="R550" s="17"/>
      <c r="S550" s="17"/>
      <c r="T550" s="14" t="s">
        <v>5041</v>
      </c>
      <c r="U550" s="14" t="s">
        <v>6243</v>
      </c>
      <c r="V550" s="14" t="s">
        <v>8777</v>
      </c>
      <c r="W550" s="14"/>
      <c r="X550" s="14" t="s">
        <v>8778</v>
      </c>
      <c r="Y550" s="14"/>
      <c r="Z550" s="14" t="s">
        <v>8779</v>
      </c>
      <c r="AA550" s="14"/>
      <c r="AB550" s="14" t="s">
        <v>3994</v>
      </c>
      <c r="AC550" s="14"/>
      <c r="AD550" s="14"/>
      <c r="AE550" s="14" t="s">
        <v>8780</v>
      </c>
      <c r="AF550" s="14" t="s">
        <v>8781</v>
      </c>
      <c r="AG550" s="14" t="s">
        <v>8782</v>
      </c>
      <c r="AH550" s="18" t="s">
        <v>8783</v>
      </c>
      <c r="AI550" s="16">
        <v>1360200</v>
      </c>
      <c r="AJ550" s="17">
        <v>43465</v>
      </c>
      <c r="AK550" s="15" t="s">
        <v>3117</v>
      </c>
      <c r="AL550" s="17">
        <v>41187</v>
      </c>
      <c r="AM550" s="16">
        <v>1931</v>
      </c>
      <c r="AN550" s="14" t="s">
        <v>8784</v>
      </c>
      <c r="AO550" s="14"/>
      <c r="AP550" s="15" t="s">
        <v>3123</v>
      </c>
      <c r="AQ550" s="14"/>
      <c r="AR550" s="17"/>
      <c r="AS550" s="16"/>
      <c r="AT550" s="14"/>
      <c r="AU550" s="15" t="s">
        <v>3123</v>
      </c>
      <c r="AV550" s="14"/>
      <c r="AW550" s="17"/>
      <c r="AX550" s="16"/>
      <c r="AY550" s="16"/>
      <c r="AZ550" s="16"/>
      <c r="BA550" s="16"/>
      <c r="BB550" s="15" t="s">
        <v>3123</v>
      </c>
      <c r="BC550" s="17"/>
      <c r="BD550" s="14"/>
      <c r="BE550" s="14"/>
      <c r="BF550" s="16"/>
      <c r="BG550" s="16"/>
      <c r="BH550" s="13"/>
      <c r="BI550" s="18" t="s">
        <v>8785</v>
      </c>
      <c r="BJ550" s="13">
        <v>200</v>
      </c>
      <c r="BK550" s="17">
        <v>44116</v>
      </c>
      <c r="BL550" s="18" t="s">
        <v>8786</v>
      </c>
      <c r="BM550" s="18" t="s">
        <v>8787</v>
      </c>
      <c r="BN550" s="18" t="s">
        <v>8788</v>
      </c>
      <c r="BO550" s="18"/>
      <c r="BP550" s="14" t="s">
        <v>8789</v>
      </c>
      <c r="BQ550" s="17">
        <v>42934</v>
      </c>
      <c r="BR550" s="16">
        <v>-270300</v>
      </c>
      <c r="BS550" s="17">
        <v>43100</v>
      </c>
      <c r="BT550" s="16">
        <v>-249400</v>
      </c>
      <c r="BU550" s="17">
        <v>43100</v>
      </c>
      <c r="BV550" s="16">
        <v>20000000</v>
      </c>
      <c r="BW550" s="17">
        <v>43146</v>
      </c>
      <c r="BX550" s="16">
        <v>60</v>
      </c>
      <c r="BY550" s="17">
        <v>44012</v>
      </c>
      <c r="BZ550" s="19">
        <v>53.99806641757668</v>
      </c>
      <c r="CA550" s="19"/>
      <c r="CB550" s="17"/>
      <c r="CC550" s="14" t="s">
        <v>6493</v>
      </c>
      <c r="CD550" s="14" t="s">
        <v>8790</v>
      </c>
      <c r="CE550" s="14" t="s">
        <v>5004</v>
      </c>
    </row>
    <row r="551" spans="1:83" ht="26.15" customHeight="1">
      <c r="A551" s="13">
        <v>545</v>
      </c>
      <c r="B551" s="14" t="s">
        <v>622</v>
      </c>
      <c r="C551" s="14" t="s">
        <v>623</v>
      </c>
      <c r="D551" s="14" t="s">
        <v>625</v>
      </c>
      <c r="E551" s="13">
        <v>2011</v>
      </c>
      <c r="F551" s="14" t="s">
        <v>5038</v>
      </c>
      <c r="G551" s="14" t="s">
        <v>5039</v>
      </c>
      <c r="H551" s="14" t="s">
        <v>3994</v>
      </c>
      <c r="I551" s="15" t="s">
        <v>3117</v>
      </c>
      <c r="J551" s="16">
        <v>3574388</v>
      </c>
      <c r="K551" s="17">
        <v>43817</v>
      </c>
      <c r="L551" s="16" t="s">
        <v>8791</v>
      </c>
      <c r="M551" s="16">
        <v>42235</v>
      </c>
      <c r="N551" s="14" t="s">
        <v>109</v>
      </c>
      <c r="O551" s="13">
        <v>3</v>
      </c>
      <c r="P551" s="17">
        <v>44060</v>
      </c>
      <c r="Q551" s="14"/>
      <c r="R551" s="17"/>
      <c r="S551" s="17"/>
      <c r="T551" s="14" t="s">
        <v>8792</v>
      </c>
      <c r="U551" s="14" t="s">
        <v>8793</v>
      </c>
      <c r="V551" s="14" t="s">
        <v>8794</v>
      </c>
      <c r="W551" s="14"/>
      <c r="X551" s="14" t="s">
        <v>8795</v>
      </c>
      <c r="Y551" s="14" t="s">
        <v>624</v>
      </c>
      <c r="Z551" s="14" t="s">
        <v>8796</v>
      </c>
      <c r="AA551" s="14"/>
      <c r="AB551" s="14" t="s">
        <v>3994</v>
      </c>
      <c r="AC551" s="14" t="s">
        <v>8797</v>
      </c>
      <c r="AD551" s="14" t="s">
        <v>8798</v>
      </c>
      <c r="AE551" s="14" t="s">
        <v>8799</v>
      </c>
      <c r="AF551" s="14" t="s">
        <v>8800</v>
      </c>
      <c r="AG551" s="14" t="s">
        <v>8801</v>
      </c>
      <c r="AH551" s="18" t="s">
        <v>8802</v>
      </c>
      <c r="AI551" s="16">
        <v>1372600</v>
      </c>
      <c r="AJ551" s="17">
        <v>43465</v>
      </c>
      <c r="AK551" s="15" t="s">
        <v>3117</v>
      </c>
      <c r="AL551" s="17">
        <v>40581</v>
      </c>
      <c r="AM551" s="16">
        <v>2153</v>
      </c>
      <c r="AN551" s="14" t="s">
        <v>8803</v>
      </c>
      <c r="AO551" s="14"/>
      <c r="AP551" s="15" t="s">
        <v>3123</v>
      </c>
      <c r="AQ551" s="14"/>
      <c r="AR551" s="17"/>
      <c r="AS551" s="16"/>
      <c r="AT551" s="14"/>
      <c r="AU551" s="15" t="s">
        <v>3123</v>
      </c>
      <c r="AV551" s="14"/>
      <c r="AW551" s="17"/>
      <c r="AX551" s="16"/>
      <c r="AY551" s="16"/>
      <c r="AZ551" s="16"/>
      <c r="BA551" s="16"/>
      <c r="BB551" s="15" t="s">
        <v>3123</v>
      </c>
      <c r="BC551" s="17"/>
      <c r="BD551" s="14"/>
      <c r="BE551" s="14"/>
      <c r="BF551" s="16"/>
      <c r="BG551" s="16"/>
      <c r="BH551" s="13"/>
      <c r="BI551" s="18" t="s">
        <v>8804</v>
      </c>
      <c r="BJ551" s="13">
        <v>200</v>
      </c>
      <c r="BK551" s="17">
        <v>44116</v>
      </c>
      <c r="BL551" s="18" t="s">
        <v>8805</v>
      </c>
      <c r="BM551" s="18" t="s">
        <v>8806</v>
      </c>
      <c r="BN551" s="18" t="s">
        <v>8807</v>
      </c>
      <c r="BO551" s="18"/>
      <c r="BP551" s="14" t="s">
        <v>8808</v>
      </c>
      <c r="BQ551" s="17">
        <v>43056</v>
      </c>
      <c r="BR551" s="16">
        <v>-357600</v>
      </c>
      <c r="BS551" s="17">
        <v>43465</v>
      </c>
      <c r="BT551" s="16">
        <v>-297201</v>
      </c>
      <c r="BU551" s="17">
        <v>43465</v>
      </c>
      <c r="BV551" s="16">
        <v>6000000</v>
      </c>
      <c r="BW551" s="17">
        <v>43389</v>
      </c>
      <c r="BX551" s="16"/>
      <c r="BY551" s="17"/>
      <c r="BZ551" s="19">
        <v>43.24878371902394</v>
      </c>
      <c r="CA551" s="19"/>
      <c r="CB551" s="17"/>
      <c r="CC551" s="14" t="s">
        <v>5345</v>
      </c>
      <c r="CD551" s="14" t="s">
        <v>8809</v>
      </c>
      <c r="CE551" s="14" t="s">
        <v>5311</v>
      </c>
    </row>
    <row r="552" spans="1:83" ht="26.15" customHeight="1">
      <c r="A552" s="13">
        <v>546</v>
      </c>
      <c r="B552" s="14" t="s">
        <v>303</v>
      </c>
      <c r="C552" s="14" t="s">
        <v>304</v>
      </c>
      <c r="D552" s="14" t="s">
        <v>306</v>
      </c>
      <c r="E552" s="13">
        <v>2011</v>
      </c>
      <c r="F552" s="14" t="s">
        <v>5038</v>
      </c>
      <c r="G552" s="14" t="s">
        <v>5039</v>
      </c>
      <c r="H552" s="14" t="s">
        <v>3994</v>
      </c>
      <c r="I552" s="15" t="s">
        <v>3117</v>
      </c>
      <c r="J552" s="16">
        <v>19009146</v>
      </c>
      <c r="K552" s="17">
        <v>43999</v>
      </c>
      <c r="L552" s="16"/>
      <c r="M552" s="16" t="s">
        <v>50</v>
      </c>
      <c r="N552" s="14" t="s">
        <v>25</v>
      </c>
      <c r="O552" s="13">
        <v>4</v>
      </c>
      <c r="P552" s="17">
        <v>44098</v>
      </c>
      <c r="Q552" s="14" t="s">
        <v>5052</v>
      </c>
      <c r="R552" s="17">
        <v>44027</v>
      </c>
      <c r="S552" s="17">
        <v>43112</v>
      </c>
      <c r="T552" s="14" t="s">
        <v>5041</v>
      </c>
      <c r="U552" s="14" t="s">
        <v>7369</v>
      </c>
      <c r="V552" s="14" t="s">
        <v>8810</v>
      </c>
      <c r="W552" s="14"/>
      <c r="X552" s="14" t="s">
        <v>8811</v>
      </c>
      <c r="Y552" s="14" t="s">
        <v>8812</v>
      </c>
      <c r="Z552" s="14" t="s">
        <v>8813</v>
      </c>
      <c r="AA552" s="14"/>
      <c r="AB552" s="14" t="s">
        <v>3994</v>
      </c>
      <c r="AC552" s="14" t="s">
        <v>8814</v>
      </c>
      <c r="AD552" s="14" t="s">
        <v>8815</v>
      </c>
      <c r="AE552" s="14" t="s">
        <v>8816</v>
      </c>
      <c r="AF552" s="14" t="s">
        <v>8817</v>
      </c>
      <c r="AG552" s="14" t="s">
        <v>8818</v>
      </c>
      <c r="AH552" s="18" t="s">
        <v>8819</v>
      </c>
      <c r="AI552" s="16">
        <v>6895700</v>
      </c>
      <c r="AJ552" s="17">
        <v>43465</v>
      </c>
      <c r="AK552" s="15" t="s">
        <v>3117</v>
      </c>
      <c r="AL552" s="17">
        <v>40653</v>
      </c>
      <c r="AM552" s="16">
        <v>2221</v>
      </c>
      <c r="AN552" s="14" t="s">
        <v>8820</v>
      </c>
      <c r="AO552" s="14"/>
      <c r="AP552" s="15" t="s">
        <v>3123</v>
      </c>
      <c r="AQ552" s="14"/>
      <c r="AR552" s="17"/>
      <c r="AS552" s="16"/>
      <c r="AT552" s="14"/>
      <c r="AU552" s="15" t="s">
        <v>3123</v>
      </c>
      <c r="AV552" s="14"/>
      <c r="AW552" s="17"/>
      <c r="AX552" s="16"/>
      <c r="AY552" s="16"/>
      <c r="AZ552" s="16"/>
      <c r="BA552" s="16"/>
      <c r="BB552" s="15" t="s">
        <v>3123</v>
      </c>
      <c r="BC552" s="17"/>
      <c r="BD552" s="14"/>
      <c r="BE552" s="14"/>
      <c r="BF552" s="16"/>
      <c r="BG552" s="16"/>
      <c r="BH552" s="13"/>
      <c r="BI552" s="18" t="s">
        <v>8821</v>
      </c>
      <c r="BJ552" s="13">
        <v>200</v>
      </c>
      <c r="BK552" s="17">
        <v>44116</v>
      </c>
      <c r="BL552" s="18" t="s">
        <v>8822</v>
      </c>
      <c r="BM552" s="18" t="s">
        <v>8823</v>
      </c>
      <c r="BN552" s="18" t="s">
        <v>8824</v>
      </c>
      <c r="BO552" s="18" t="s">
        <v>8825</v>
      </c>
      <c r="BP552" s="14" t="s">
        <v>8826</v>
      </c>
      <c r="BQ552" s="17">
        <v>43965</v>
      </c>
      <c r="BR552" s="16">
        <v>-2338600</v>
      </c>
      <c r="BS552" s="17">
        <v>43465</v>
      </c>
      <c r="BT552" s="16">
        <v>-1763500</v>
      </c>
      <c r="BU552" s="17">
        <v>43465</v>
      </c>
      <c r="BV552" s="16">
        <v>30000000</v>
      </c>
      <c r="BW552" s="17">
        <v>43494</v>
      </c>
      <c r="BX552" s="16">
        <v>346</v>
      </c>
      <c r="BY552" s="17">
        <v>44012</v>
      </c>
      <c r="BZ552" s="19">
        <v>69.991495818041955</v>
      </c>
      <c r="CA552" s="19"/>
      <c r="CB552" s="17"/>
      <c r="CC552" s="14" t="s">
        <v>6493</v>
      </c>
      <c r="CD552" s="14" t="s">
        <v>8790</v>
      </c>
      <c r="CE552" s="14" t="s">
        <v>5004</v>
      </c>
    </row>
    <row r="553" spans="1:83" ht="26.15" customHeight="1">
      <c r="A553" s="13">
        <v>547</v>
      </c>
      <c r="B553" s="14" t="s">
        <v>2786</v>
      </c>
      <c r="C553" s="14" t="s">
        <v>2787</v>
      </c>
      <c r="D553" s="14" t="s">
        <v>2788</v>
      </c>
      <c r="E553" s="13">
        <v>2010</v>
      </c>
      <c r="F553" s="14" t="s">
        <v>5038</v>
      </c>
      <c r="G553" s="14" t="s">
        <v>5039</v>
      </c>
      <c r="H553" s="14" t="s">
        <v>3994</v>
      </c>
      <c r="I553" s="15" t="s">
        <v>3117</v>
      </c>
      <c r="J553" s="16">
        <v>1740510</v>
      </c>
      <c r="K553" s="17">
        <v>42004</v>
      </c>
      <c r="L553" s="16" t="s">
        <v>10397</v>
      </c>
      <c r="M553" s="16">
        <v>784575</v>
      </c>
      <c r="N553" s="14" t="s">
        <v>34</v>
      </c>
      <c r="O553" s="13">
        <v>5</v>
      </c>
      <c r="P553" s="17">
        <v>44098</v>
      </c>
      <c r="Q553" s="14"/>
      <c r="R553" s="17"/>
      <c r="S553" s="17"/>
      <c r="T553" s="14" t="s">
        <v>5947</v>
      </c>
      <c r="U553" s="14" t="s">
        <v>8568</v>
      </c>
      <c r="V553" s="14" t="s">
        <v>8569</v>
      </c>
      <c r="W553" s="14"/>
      <c r="X553" s="14" t="s">
        <v>644</v>
      </c>
      <c r="Y553" s="14"/>
      <c r="Z553" s="14" t="s">
        <v>10398</v>
      </c>
      <c r="AA553" s="14"/>
      <c r="AB553" s="14" t="s">
        <v>3994</v>
      </c>
      <c r="AC553" s="14" t="s">
        <v>10399</v>
      </c>
      <c r="AD553" s="14" t="s">
        <v>10400</v>
      </c>
      <c r="AE553" s="14" t="s">
        <v>10401</v>
      </c>
      <c r="AF553" s="14" t="s">
        <v>10402</v>
      </c>
      <c r="AG553" s="14" t="s">
        <v>10403</v>
      </c>
      <c r="AH553" s="18" t="s">
        <v>10404</v>
      </c>
      <c r="AI553" s="16">
        <v>106900</v>
      </c>
      <c r="AJ553" s="17">
        <v>43100</v>
      </c>
      <c r="AK553" s="15" t="s">
        <v>3117</v>
      </c>
      <c r="AL553" s="17">
        <v>40465</v>
      </c>
      <c r="AM553" s="16">
        <v>2250</v>
      </c>
      <c r="AN553" s="14" t="s">
        <v>10405</v>
      </c>
      <c r="AO553" s="14"/>
      <c r="AP553" s="15" t="s">
        <v>3123</v>
      </c>
      <c r="AQ553" s="14"/>
      <c r="AR553" s="17"/>
      <c r="AS553" s="16"/>
      <c r="AT553" s="14"/>
      <c r="AU553" s="15" t="s">
        <v>3123</v>
      </c>
      <c r="AV553" s="14"/>
      <c r="AW553" s="17"/>
      <c r="AX553" s="16"/>
      <c r="AY553" s="16"/>
      <c r="AZ553" s="16"/>
      <c r="BA553" s="16"/>
      <c r="BB553" s="15" t="s">
        <v>3123</v>
      </c>
      <c r="BC553" s="17"/>
      <c r="BD553" s="14"/>
      <c r="BE553" s="14"/>
      <c r="BF553" s="16"/>
      <c r="BG553" s="16"/>
      <c r="BH553" s="13"/>
      <c r="BI553" s="18" t="s">
        <v>10406</v>
      </c>
      <c r="BJ553" s="13">
        <v>200</v>
      </c>
      <c r="BK553" s="17">
        <v>44117</v>
      </c>
      <c r="BL553" s="18" t="s">
        <v>10407</v>
      </c>
      <c r="BM553" s="18" t="s">
        <v>10408</v>
      </c>
      <c r="BN553" s="18" t="s">
        <v>10409</v>
      </c>
      <c r="BO553" s="18"/>
      <c r="BP553" s="14" t="s">
        <v>10410</v>
      </c>
      <c r="BQ553" s="17">
        <v>42325</v>
      </c>
      <c r="BR553" s="16">
        <v>-55500</v>
      </c>
      <c r="BS553" s="17">
        <v>43100</v>
      </c>
      <c r="BT553" s="16">
        <v>-17200</v>
      </c>
      <c r="BU553" s="17">
        <v>43100</v>
      </c>
      <c r="BV553" s="16"/>
      <c r="BW553" s="17"/>
      <c r="BX553" s="16">
        <v>6</v>
      </c>
      <c r="BY553" s="17">
        <v>43830</v>
      </c>
      <c r="BZ553" s="19">
        <v>27.87568031951335</v>
      </c>
      <c r="CA553" s="19"/>
      <c r="CB553" s="17"/>
      <c r="CC553" s="14" t="s">
        <v>10411</v>
      </c>
      <c r="CD553" s="14" t="s">
        <v>6182</v>
      </c>
      <c r="CE553" s="14" t="s">
        <v>5945</v>
      </c>
    </row>
    <row r="554" spans="1:83" ht="26.15" customHeight="1">
      <c r="A554" s="13">
        <v>548</v>
      </c>
      <c r="B554" s="14" t="s">
        <v>3059</v>
      </c>
      <c r="C554" s="14" t="s">
        <v>3060</v>
      </c>
      <c r="D554" s="14" t="s">
        <v>3063</v>
      </c>
      <c r="E554" s="13">
        <v>1973</v>
      </c>
      <c r="F554" s="14" t="s">
        <v>5067</v>
      </c>
      <c r="G554" s="14" t="s">
        <v>5068</v>
      </c>
      <c r="H554" s="14" t="s">
        <v>3994</v>
      </c>
      <c r="I554" s="15" t="s">
        <v>3117</v>
      </c>
      <c r="J554" s="16">
        <v>104710200</v>
      </c>
      <c r="K554" s="17">
        <v>40540</v>
      </c>
      <c r="L554" s="16" t="s">
        <v>10412</v>
      </c>
      <c r="M554" s="16">
        <v>55791200</v>
      </c>
      <c r="N554" s="14" t="s">
        <v>5040</v>
      </c>
      <c r="O554" s="13">
        <v>5</v>
      </c>
      <c r="P554" s="17">
        <v>44003</v>
      </c>
      <c r="Q554" s="14"/>
      <c r="R554" s="17"/>
      <c r="S554" s="17"/>
      <c r="T554" s="14" t="s">
        <v>6645</v>
      </c>
      <c r="U554" s="14" t="s">
        <v>8119</v>
      </c>
      <c r="V554" s="14" t="s">
        <v>9632</v>
      </c>
      <c r="W554" s="14"/>
      <c r="X554" s="14" t="s">
        <v>10413</v>
      </c>
      <c r="Y554" s="14" t="s">
        <v>10414</v>
      </c>
      <c r="Z554" s="14" t="s">
        <v>10415</v>
      </c>
      <c r="AA554" s="14"/>
      <c r="AB554" s="14" t="s">
        <v>3994</v>
      </c>
      <c r="AC554" s="14" t="s">
        <v>10416</v>
      </c>
      <c r="AD554" s="14" t="s">
        <v>10417</v>
      </c>
      <c r="AE554" s="14" t="s">
        <v>10418</v>
      </c>
      <c r="AF554" s="14"/>
      <c r="AG554" s="14"/>
      <c r="AH554" s="18" t="s">
        <v>10419</v>
      </c>
      <c r="AI554" s="16">
        <v>114620200</v>
      </c>
      <c r="AJ554" s="17">
        <v>43465</v>
      </c>
      <c r="AK554" s="15" t="s">
        <v>3123</v>
      </c>
      <c r="AL554" s="17"/>
      <c r="AM554" s="16"/>
      <c r="AN554" s="14"/>
      <c r="AO554" s="14" t="s">
        <v>10420</v>
      </c>
      <c r="AP554" s="15" t="s">
        <v>3123</v>
      </c>
      <c r="AQ554" s="14"/>
      <c r="AR554" s="17"/>
      <c r="AS554" s="16"/>
      <c r="AT554" s="14"/>
      <c r="AU554" s="15" t="s">
        <v>3123</v>
      </c>
      <c r="AV554" s="14"/>
      <c r="AW554" s="17"/>
      <c r="AX554" s="16"/>
      <c r="AY554" s="16"/>
      <c r="AZ554" s="16"/>
      <c r="BA554" s="16"/>
      <c r="BB554" s="15" t="s">
        <v>3123</v>
      </c>
      <c r="BC554" s="17"/>
      <c r="BD554" s="14"/>
      <c r="BE554" s="14"/>
      <c r="BF554" s="16"/>
      <c r="BG554" s="16"/>
      <c r="BH554" s="13"/>
      <c r="BI554" s="18" t="s">
        <v>10421</v>
      </c>
      <c r="BJ554" s="13">
        <v>200</v>
      </c>
      <c r="BK554" s="17">
        <v>44116</v>
      </c>
      <c r="BL554" s="18" t="s">
        <v>10422</v>
      </c>
      <c r="BM554" s="18" t="s">
        <v>10423</v>
      </c>
      <c r="BN554" s="18" t="s">
        <v>10424</v>
      </c>
      <c r="BO554" s="18" t="s">
        <v>10425</v>
      </c>
      <c r="BP554" s="14" t="s">
        <v>10426</v>
      </c>
      <c r="BQ554" s="17">
        <v>42933</v>
      </c>
      <c r="BR554" s="16">
        <v>11113700</v>
      </c>
      <c r="BS554" s="17">
        <v>43465</v>
      </c>
      <c r="BT554" s="16">
        <v>14244100</v>
      </c>
      <c r="BU554" s="17">
        <v>43465</v>
      </c>
      <c r="BV554" s="16">
        <v>375000000</v>
      </c>
      <c r="BW554" s="17">
        <v>40540</v>
      </c>
      <c r="BX554" s="16">
        <v>1375</v>
      </c>
      <c r="BY554" s="17">
        <v>43830</v>
      </c>
      <c r="BZ554" s="19">
        <v>60.633862953208251</v>
      </c>
      <c r="CA554" s="19"/>
      <c r="CB554" s="17"/>
      <c r="CC554" s="14" t="s">
        <v>5345</v>
      </c>
      <c r="CD554" s="14" t="s">
        <v>10427</v>
      </c>
      <c r="CE554" s="14" t="s">
        <v>5311</v>
      </c>
    </row>
    <row r="555" spans="1:83" ht="26.15" customHeight="1">
      <c r="A555" s="13">
        <v>549</v>
      </c>
      <c r="B555" s="14" t="s">
        <v>1115</v>
      </c>
      <c r="C555" s="14" t="s">
        <v>1116</v>
      </c>
      <c r="D555" s="14" t="s">
        <v>1118</v>
      </c>
      <c r="E555" s="13">
        <v>2009</v>
      </c>
      <c r="F555" s="14" t="s">
        <v>5312</v>
      </c>
      <c r="G555" s="14" t="s">
        <v>5313</v>
      </c>
      <c r="H555" s="14" t="s">
        <v>3994</v>
      </c>
      <c r="I555" s="15" t="s">
        <v>3117</v>
      </c>
      <c r="J555" s="16">
        <v>14634837</v>
      </c>
      <c r="K555" s="17">
        <v>43554</v>
      </c>
      <c r="L555" s="16" t="s">
        <v>5134</v>
      </c>
      <c r="M555" s="16">
        <v>1152780</v>
      </c>
      <c r="N555" s="14" t="s">
        <v>109</v>
      </c>
      <c r="O555" s="13">
        <v>4</v>
      </c>
      <c r="P555" s="17">
        <v>44022</v>
      </c>
      <c r="Q555" s="14"/>
      <c r="R555" s="17"/>
      <c r="S555" s="17"/>
      <c r="T555" s="14" t="s">
        <v>1</v>
      </c>
      <c r="U555" s="14" t="s">
        <v>5007</v>
      </c>
      <c r="V555" s="14" t="s">
        <v>257</v>
      </c>
      <c r="W555" s="14"/>
      <c r="X555" s="14" t="s">
        <v>8827</v>
      </c>
      <c r="Y555" s="14" t="s">
        <v>8828</v>
      </c>
      <c r="Z555" s="14" t="s">
        <v>8829</v>
      </c>
      <c r="AA555" s="14"/>
      <c r="AB555" s="14" t="s">
        <v>3994</v>
      </c>
      <c r="AC555" s="14"/>
      <c r="AD555" s="14"/>
      <c r="AE555" s="14" t="s">
        <v>8830</v>
      </c>
      <c r="AF555" s="14" t="s">
        <v>8831</v>
      </c>
      <c r="AG555" s="14" t="s">
        <v>8832</v>
      </c>
      <c r="AH555" s="18" t="s">
        <v>8833</v>
      </c>
      <c r="AI555" s="16">
        <v>14404300</v>
      </c>
      <c r="AJ555" s="17">
        <v>43465</v>
      </c>
      <c r="AK555" s="15" t="s">
        <v>3117</v>
      </c>
      <c r="AL555" s="17">
        <v>40080</v>
      </c>
      <c r="AM555" s="16">
        <v>2074</v>
      </c>
      <c r="AN555" s="14" t="s">
        <v>8834</v>
      </c>
      <c r="AO555" s="14"/>
      <c r="AP555" s="15" t="s">
        <v>3123</v>
      </c>
      <c r="AQ555" s="14"/>
      <c r="AR555" s="17"/>
      <c r="AS555" s="16"/>
      <c r="AT555" s="14"/>
      <c r="AU555" s="15" t="s">
        <v>3123</v>
      </c>
      <c r="AV555" s="14"/>
      <c r="AW555" s="17"/>
      <c r="AX555" s="16"/>
      <c r="AY555" s="16"/>
      <c r="AZ555" s="16"/>
      <c r="BA555" s="16"/>
      <c r="BB555" s="15" t="s">
        <v>3123</v>
      </c>
      <c r="BC555" s="17"/>
      <c r="BD555" s="14"/>
      <c r="BE555" s="14"/>
      <c r="BF555" s="16"/>
      <c r="BG555" s="16"/>
      <c r="BH555" s="13"/>
      <c r="BI555" s="18" t="s">
        <v>8835</v>
      </c>
      <c r="BJ555" s="13">
        <v>200</v>
      </c>
      <c r="BK555" s="17">
        <v>44117</v>
      </c>
      <c r="BL555" s="18" t="s">
        <v>8836</v>
      </c>
      <c r="BM555" s="18"/>
      <c r="BN555" s="18" t="s">
        <v>8837</v>
      </c>
      <c r="BO555" s="18"/>
      <c r="BP555" s="14" t="s">
        <v>8838</v>
      </c>
      <c r="BQ555" s="17">
        <v>42605</v>
      </c>
      <c r="BR555" s="16">
        <v>-881800</v>
      </c>
      <c r="BS555" s="17">
        <v>43465</v>
      </c>
      <c r="BT555" s="16">
        <v>-211700</v>
      </c>
      <c r="BU555" s="17">
        <v>43465</v>
      </c>
      <c r="BV555" s="16">
        <v>27000000</v>
      </c>
      <c r="BW555" s="17">
        <v>43843</v>
      </c>
      <c r="BX555" s="16">
        <v>200</v>
      </c>
      <c r="BY555" s="17">
        <v>44012</v>
      </c>
      <c r="BZ555" s="19">
        <v>51.909019496593189</v>
      </c>
      <c r="CA555" s="19"/>
      <c r="CB555" s="17"/>
      <c r="CC555" s="14" t="s">
        <v>5247</v>
      </c>
      <c r="CD555" s="14" t="s">
        <v>5753</v>
      </c>
      <c r="CE555" s="14" t="s">
        <v>5004</v>
      </c>
    </row>
    <row r="556" spans="1:83" ht="26.15" customHeight="1">
      <c r="A556" s="13">
        <v>550</v>
      </c>
      <c r="B556" s="14" t="s">
        <v>2874</v>
      </c>
      <c r="C556" s="14" t="s">
        <v>2875</v>
      </c>
      <c r="D556" s="14" t="s">
        <v>2877</v>
      </c>
      <c r="E556" s="13">
        <v>1940</v>
      </c>
      <c r="F556" s="14" t="s">
        <v>10428</v>
      </c>
      <c r="G556" s="14" t="s">
        <v>10428</v>
      </c>
      <c r="H556" s="14" t="s">
        <v>10429</v>
      </c>
      <c r="I556" s="15" t="s">
        <v>3117</v>
      </c>
      <c r="J556" s="16">
        <v>50000000</v>
      </c>
      <c r="K556" s="17">
        <v>41791</v>
      </c>
      <c r="L556" s="16"/>
      <c r="M556" s="16" t="s">
        <v>50</v>
      </c>
      <c r="N556" s="14" t="s">
        <v>5040</v>
      </c>
      <c r="O556" s="13">
        <v>4</v>
      </c>
      <c r="P556" s="17">
        <v>43998</v>
      </c>
      <c r="Q556" s="14" t="s">
        <v>5544</v>
      </c>
      <c r="R556" s="17">
        <v>44027</v>
      </c>
      <c r="S556" s="17">
        <v>41791</v>
      </c>
      <c r="T556" s="14" t="s">
        <v>1</v>
      </c>
      <c r="U556" s="14" t="s">
        <v>5007</v>
      </c>
      <c r="V556" s="14" t="s">
        <v>9684</v>
      </c>
      <c r="W556" s="14"/>
      <c r="X556" s="14" t="s">
        <v>10430</v>
      </c>
      <c r="Y556" s="14"/>
      <c r="Z556" s="14" t="s">
        <v>10431</v>
      </c>
      <c r="AA556" s="14"/>
      <c r="AB556" s="14" t="s">
        <v>5391</v>
      </c>
      <c r="AC556" s="14"/>
      <c r="AD556" s="14"/>
      <c r="AE556" s="14" t="s">
        <v>10432</v>
      </c>
      <c r="AF556" s="14" t="s">
        <v>10433</v>
      </c>
      <c r="AG556" s="14" t="s">
        <v>10434</v>
      </c>
      <c r="AH556" s="18" t="s">
        <v>10435</v>
      </c>
      <c r="AI556" s="16"/>
      <c r="AJ556" s="17"/>
      <c r="AK556" s="15" t="s">
        <v>3123</v>
      </c>
      <c r="AL556" s="17"/>
      <c r="AM556" s="16"/>
      <c r="AN556" s="14"/>
      <c r="AO556" s="14"/>
      <c r="AP556" s="15" t="s">
        <v>3123</v>
      </c>
      <c r="AQ556" s="14"/>
      <c r="AR556" s="17"/>
      <c r="AS556" s="16"/>
      <c r="AT556" s="14"/>
      <c r="AU556" s="15" t="s">
        <v>3123</v>
      </c>
      <c r="AV556" s="14"/>
      <c r="AW556" s="17"/>
      <c r="AX556" s="16"/>
      <c r="AY556" s="16"/>
      <c r="AZ556" s="16"/>
      <c r="BA556" s="16"/>
      <c r="BB556" s="15" t="s">
        <v>3123</v>
      </c>
      <c r="BC556" s="17"/>
      <c r="BD556" s="14"/>
      <c r="BE556" s="14"/>
      <c r="BF556" s="16"/>
      <c r="BG556" s="16"/>
      <c r="BH556" s="13"/>
      <c r="BI556" s="18" t="s">
        <v>10436</v>
      </c>
      <c r="BJ556" s="13">
        <v>301</v>
      </c>
      <c r="BK556" s="17">
        <v>44118</v>
      </c>
      <c r="BL556" s="18" t="s">
        <v>10437</v>
      </c>
      <c r="BM556" s="18" t="s">
        <v>10438</v>
      </c>
      <c r="BN556" s="18" t="s">
        <v>10439</v>
      </c>
      <c r="BO556" s="18" t="s">
        <v>10440</v>
      </c>
      <c r="BP556" s="14" t="s">
        <v>10441</v>
      </c>
      <c r="BQ556" s="17">
        <v>43138</v>
      </c>
      <c r="BR556" s="16"/>
      <c r="BS556" s="17"/>
      <c r="BT556" s="16"/>
      <c r="BU556" s="17"/>
      <c r="BV556" s="16"/>
      <c r="BW556" s="17"/>
      <c r="BX556" s="16"/>
      <c r="BY556" s="17"/>
      <c r="BZ556" s="19">
        <v>46.297272833376361</v>
      </c>
      <c r="CA556" s="19"/>
      <c r="CB556" s="17"/>
      <c r="CC556" s="14" t="s">
        <v>5036</v>
      </c>
      <c r="CD556" s="14" t="s">
        <v>5037</v>
      </c>
      <c r="CE556" s="14" t="s">
        <v>5004</v>
      </c>
    </row>
  </sheetData>
  <autoFilter xmlns:x14="http://schemas.microsoft.com/office/spreadsheetml/2009/9/main" ref="X6:BE556" xr:uid="{2D55DE5F-8F4E-4B1E-B56F-093CC5971F0B}">
    <filterColumn colId="4">
      <filters>
        <mc:AlternateContent xmlns:mc="http://schemas.openxmlformats.org/markup-compatibility/2006">
          <mc:Choice Requires="x14">
            <x14:filter val="Argentina"/>
            <x14:filter val="Bangladesh"/>
            <x14:filter val="Belgium"/>
            <x14:filter val="Botswana"/>
            <x14:filter val="Brazil"/>
            <x14:filter val="Brunei"/>
            <x14:filter val="Chile"/>
            <x14:filter val="China"/>
            <x14:filter val="Colombia"/>
            <x14:filter val="Egypt"/>
            <x14:filter val="Georgia"/>
            <x14:filter val="Ghana"/>
            <x14:filter val="Guinea"/>
            <x14:filter val="Guyana_x000a_Ghana_x000a_Liechtenstein_x000a_Panama_x000a_Trinidad And Tobago_x000a_Testing Country 2_x000a_Benin_x000a_United States_x000a_Germany_x000a_Malaysia_x000a_Kiribati_x000a_Testing Country 9_x000a_Libya_x000a_Taiwan_x000a_Zambia_x000a_Mali_x000a_Republic Of Congo_x000a_East Timor_x000a_Norway_x000a_Solomon Islands_x000a_Greece_x000a_Scotland_x000a_New Caledonia_x000a_Congo_x000a_Nagorno-Karabakh Republic_x000a_Romania_x000a_Ukraine_x000a_Sweden_x000a_Guinea-bissau_x000a_Chad_x000a_Somalia_x000a_Greenland_x000a_Peru_x000a_Afghanistan_x000a_Portugal_x000a_Argentina_x000a_Saint Lucia_x000a_Brunei_x000a_Senegal_x000a_San Marino_x000a_Bhutan_x000a_Ivory Coast_x000a_Channel Islands_x000a_Montenegro_x000a_Dominican Republic_x000a_Tunisia_x000a_Turkmenistan_x000a_Testing Country 4_x000a_Russia_x000a_Guadeloupe_x000a_Uruguay_x000a_Mozambique_x000a_Tajikistan_x000a_Hungary_x000a_Brazil_x000a_Saint Barthelemy_x000a_Venezuela_x000a_Saint Kitts And Nevis_x000a_Guinea_x000a_Testing Country 1_x000a_Sri Lanka_x000a_Israel_x000a_Lebanon_x000a_Cuba_x000a_Grenada_x000a_Antarctica_x000a_Jersey_x000a_Kyrgyzstan_x000a_Comoros_x000a_Vietnam_x000a_Malawi_x000a_Reunion_x000a_Svalbard And Jan Mayen_x000a_Nigeria_x000a_Testing Country 8_x000a_Czech Republic_x000a_Kuwait_x000a_Qatar_x000a_Singapore_x000a_Mexico_x000a_Moldova_x000a_Madagascar_x000a_Central African Republic_x000a_Turkey_x000a_Indonesia_x000a_Cape Verde_x000a_Austria_x000a_Uganda_x000a_Haiti_x000a_French Guiana_x000a_Nicaragua_x000a_Sint Maarten_x000a_Somaliland_x000a_Netherlands_x000a_Ecuador_x000a_U.s. Virgin Islands_x000a_Aland Islands_x000a_Sao Tome And Principe_x000a_United Arab Emirates_x000a_Iceland_x000a_Honduras_x000a_France_x000a_Yemen_x000a_Paraguay_x000a_Mauritania_x000a_Sierra Leone_x000a_Azerbaijan_x000a_Morocco_x000a_Syria_x000a_Testing Country Location_x000a_Malta_x000a_Zimbabwe_x000a_Slovakia_x000a_Nepal_x000a_Pakistan_x000a_Italy_x000a_Seychelles_x000a_Testing Country 6_x000a_Isle Of Man_x000a_Mayotte_x000a_Djibouti_x000a_Kosovo_x000a_Guernsey_x000a_Fiji_x000a_Saint Vincent And The Grenadines_x000a_Sudan_x000a_Montserrat_x000a_Harshit_x000a_Spain_x000a_China_x000a_British Virgin Islands_x000a_New Zealand_x000a_Vanuatu_x000a_Luxembourg_x000a_Aruba_x000a_Belgium_x000a_Philippines_x000a_Guatemala_x000a_Suriname_x000a_Canada_x000a_South Sudan_x000a_Switzerland_x000a_Ethiopia_x000a_Burundi_x000a_Faroe Islands_x000a_Jordan_x000a_Australia_x000a_Togo_x000a_Bahamas_x000a_Bonaire_x000a_Marshall Islands_x000a_Liberia_x000a_Cayman Islands_x000a_Estonia_x000a_Jamaica_x000a_India_x000a_Macedonia_x000a_Ireland_x000a_Poland_x000a_Laos_x000a_Andorra_x000a_Kazakhstan_x000a_Slovenia_x000a_Cameroon_x000a_Burkina Faso_x000a_Palestine_x000a_Cook Islands_x000a_Namibia_x000a_South Africa_x000a_Puerto Rico_x000a_Curacao_x000a_Niger_x000a_Latvia_x000a_Lesotho_x000a_Niue_x000a_Northern Mariana Islands_x000a_Bosnia And Herzegovina_x000a_French Polynesia_x000a_Mauritius_x000a_Samoa_x000a_Martinique_x000a_Testing Country 5_x000a_Armenia_x000a_Serbia_x000a_Croatia_x000a_Cyprus_x000a_Monaco_x000a_Swaziland_x000a_Algeria_x000a_Bangladesh_x000a_Mongolia_x000a_Tonga_x000a_Testing Country 3_x000a_Iraq_x000a_Denmark_x000a_Thailand_x000a_Lithuania_x000a_Albania_x000a_Costa Rica_x000a_Bolivia_x000a_Testing Country_x000a_Guam_x000a_Finland_x000a_American Samoa_x000a_Turks And Caicos Islands_x000a_Tanzania_x000a_South Georgia And The South Sandwich Islands_x000a_South Korea_x000a_Colombia_x000a_Wallis And Futuna_x000a_United Kingdom_x000a_Iran_x000a_North Korea_x000a_Rwanda_x000a_Uzbekistan_x000a_Bahrain_x000a_Myanmar_x000a_Testing Location_x000a_Botswana_x000a_Antigua And Barbuda_x000a_Bulgaria_x000a_Angola_x000a_Gambia_x000a_Anguilla_x000a_Palau_x000a_Papua New Guinea_x000a_Cambodia_x000a_Dominica_x000a_Gabon_x000a_Equatorial Guinea_x000a_Gibraltar_x000a_Japan_x000a_Oman_x000a_Kenya_x000a_Belize_x000a_Chile_x000a_Georgia_x000a_Egypt_x000a_Saudi Arabia_x000a_Belarus_x000a_Maldives_x000a_El Salvador_x000a_Barbados_x000a_Testing Country 7"/>
            <x14:filter val="India"/>
            <x14:filter val="Indonesia"/>
            <x14:filter val="Iran"/>
            <x14:filter val="Jamaica"/>
            <x14:filter val="Jordan"/>
            <x14:filter val="Kenya"/>
            <x14:filter val="Malaysia"/>
            <x14:filter val="Mali"/>
            <x14:filter val="Mexico"/>
            <x14:filter val="Myanmar"/>
            <x14:filter val="Nigeria"/>
            <x14:filter val="Pakistan"/>
            <x14:filter val="Philippines"/>
            <x14:filter val="Saudi Arabia"/>
            <x14:filter val="Senegal"/>
            <x14:filter val="South Africa"/>
            <x14:filter val="Thailand"/>
            <x14:filter val="Uganda"/>
            <x14:filter val="United Arab Emirates"/>
            <x14:filter val="Vietnam"/>
          </mc:Choice>
          <mc:Fallback>
            <filter val="Argentina"/>
            <filter val="Bangladesh"/>
            <filter val="Belgium"/>
            <filter val="Botswana"/>
            <filter val="Brazil"/>
            <filter val="Brunei"/>
            <filter val="Chile"/>
            <filter val="China"/>
            <filter val="Colombia"/>
            <filter val="Egypt"/>
            <filter val="Georgia"/>
            <filter val="Ghana"/>
            <filter val="Guinea"/>
            <filter val="India"/>
            <filter val="Indonesia"/>
            <filter val="Iran"/>
            <filter val="Jamaica"/>
            <filter val="Jordan"/>
            <filter val="Kenya"/>
            <filter val="Malaysia"/>
            <filter val="Mali"/>
            <filter val="Mexico"/>
            <filter val="Myanmar"/>
            <filter val="Nigeria"/>
            <filter val="Pakistan"/>
            <filter val="Philippines"/>
            <filter val="Saudi Arabia"/>
            <filter val="Senegal"/>
            <filter val="South Africa"/>
            <filter val="Thailand"/>
            <filter val="Uganda"/>
            <filter val="United Arab Emirates"/>
            <filter val="Vietnam"/>
          </mc:Fallback>
        </mc:AlternateContent>
      </filters>
    </filterColumn>
  </autoFilter>
  <mergeCells count="4">
    <mergeCell ref="A1:E1"/>
    <mergeCell ref="A2:E2"/>
    <mergeCell ref="A3:E3"/>
    <mergeCell ref="A4:E4"/>
  </mergeCells>
  <hyperlinks>
    <hyperlink ref="BI7" r:id="rId1" xr:uid="{00000000-0004-0000-0300-000000000000}"/>
    <hyperlink ref="BP7" r:id="rId2" xr:uid="{00000000-0004-0000-0300-000001000000}"/>
    <hyperlink ref="BI8" r:id="rId3" xr:uid="{00000000-0004-0000-0300-000002000000}"/>
    <hyperlink ref="BL8" r:id="rId4" xr:uid="{00000000-0004-0000-0300-000003000000}"/>
    <hyperlink ref="BM8" r:id="rId5" xr:uid="{00000000-0004-0000-0300-000004000000}"/>
    <hyperlink ref="BN8" r:id="rId6" xr:uid="{00000000-0004-0000-0300-000005000000}"/>
    <hyperlink ref="BP8" r:id="rId7" xr:uid="{00000000-0004-0000-0300-000006000000}"/>
    <hyperlink ref="BI9" r:id="rId8" xr:uid="{00000000-0004-0000-0300-000007000000}"/>
    <hyperlink ref="BL9" r:id="rId9" xr:uid="{00000000-0004-0000-0300-000008000000}"/>
    <hyperlink ref="BM9" r:id="rId10" xr:uid="{00000000-0004-0000-0300-000009000000}"/>
    <hyperlink ref="BN9" r:id="rId11" xr:uid="{00000000-0004-0000-0300-00000A000000}"/>
    <hyperlink ref="BP9" r:id="rId12" xr:uid="{00000000-0004-0000-0300-00000B000000}"/>
    <hyperlink ref="BI10" r:id="rId13" xr:uid="{00000000-0004-0000-0300-00000C000000}"/>
    <hyperlink ref="BP10" r:id="rId14" xr:uid="{00000000-0004-0000-0300-00000D000000}"/>
    <hyperlink ref="BI11" r:id="rId15" xr:uid="{00000000-0004-0000-0300-00000E000000}"/>
    <hyperlink ref="BL11" r:id="rId16" xr:uid="{00000000-0004-0000-0300-00000F000000}"/>
    <hyperlink ref="BM11" r:id="rId17" xr:uid="{00000000-0004-0000-0300-000010000000}"/>
    <hyperlink ref="BN11" r:id="rId18" xr:uid="{00000000-0004-0000-0300-000011000000}"/>
    <hyperlink ref="BO11" r:id="rId19" xr:uid="{00000000-0004-0000-0300-000012000000}"/>
    <hyperlink ref="BP11" r:id="rId20" xr:uid="{00000000-0004-0000-0300-000013000000}"/>
    <hyperlink ref="BI12" r:id="rId21" xr:uid="{00000000-0004-0000-0300-000014000000}"/>
    <hyperlink ref="BL12" r:id="rId22" xr:uid="{00000000-0004-0000-0300-000015000000}"/>
    <hyperlink ref="BN12" r:id="rId23" xr:uid="{00000000-0004-0000-0300-000016000000}"/>
    <hyperlink ref="BP12" r:id="rId24" xr:uid="{00000000-0004-0000-0300-000017000000}"/>
    <hyperlink ref="BI13" r:id="rId25" xr:uid="{00000000-0004-0000-0300-000018000000}"/>
    <hyperlink ref="BO13" r:id="rId26" xr:uid="{00000000-0004-0000-0300-000019000000}"/>
    <hyperlink ref="BP13" r:id="rId27" xr:uid="{00000000-0004-0000-0300-00001A000000}"/>
    <hyperlink ref="BI14" r:id="rId28" xr:uid="{00000000-0004-0000-0300-00001B000000}"/>
    <hyperlink ref="BM14" r:id="rId29" xr:uid="{00000000-0004-0000-0300-00001C000000}"/>
    <hyperlink ref="BP14" r:id="rId30" xr:uid="{00000000-0004-0000-0300-00001D000000}"/>
    <hyperlink ref="BI15" r:id="rId31" xr:uid="{00000000-0004-0000-0300-00001E000000}"/>
    <hyperlink ref="BP15" r:id="rId32" xr:uid="{00000000-0004-0000-0300-00001F000000}"/>
    <hyperlink ref="BI16" r:id="rId33" xr:uid="{00000000-0004-0000-0300-000020000000}"/>
    <hyperlink ref="BL16" r:id="rId34" xr:uid="{00000000-0004-0000-0300-000021000000}"/>
    <hyperlink ref="BN16" r:id="rId35" xr:uid="{00000000-0004-0000-0300-000022000000}"/>
    <hyperlink ref="BP16" r:id="rId36" xr:uid="{00000000-0004-0000-0300-000023000000}"/>
    <hyperlink ref="BI17" r:id="rId37" xr:uid="{00000000-0004-0000-0300-000024000000}"/>
    <hyperlink ref="BL17" r:id="rId38" xr:uid="{00000000-0004-0000-0300-000025000000}"/>
    <hyperlink ref="BM17" r:id="rId39" xr:uid="{00000000-0004-0000-0300-000026000000}"/>
    <hyperlink ref="BN17" r:id="rId40" xr:uid="{00000000-0004-0000-0300-000027000000}"/>
    <hyperlink ref="BP17" r:id="rId41" xr:uid="{00000000-0004-0000-0300-000028000000}"/>
    <hyperlink ref="BI18" r:id="rId42" xr:uid="{00000000-0004-0000-0300-000029000000}"/>
    <hyperlink ref="BP18" r:id="rId43" xr:uid="{00000000-0004-0000-0300-00002A000000}"/>
    <hyperlink ref="BI19" r:id="rId44" xr:uid="{00000000-0004-0000-0300-00002B000000}"/>
    <hyperlink ref="BL19" r:id="rId45" xr:uid="{00000000-0004-0000-0300-00002C000000}"/>
    <hyperlink ref="BM19" r:id="rId46" xr:uid="{00000000-0004-0000-0300-00002D000000}"/>
    <hyperlink ref="BN19" r:id="rId47" xr:uid="{00000000-0004-0000-0300-00002E000000}"/>
    <hyperlink ref="BO19" r:id="rId48" xr:uid="{00000000-0004-0000-0300-00002F000000}"/>
    <hyperlink ref="BP19" r:id="rId49" xr:uid="{00000000-0004-0000-0300-000030000000}"/>
    <hyperlink ref="BI20" r:id="rId50" xr:uid="{00000000-0004-0000-0300-000031000000}"/>
    <hyperlink ref="BP20" r:id="rId51" xr:uid="{00000000-0004-0000-0300-000032000000}"/>
    <hyperlink ref="BI21" r:id="rId52" xr:uid="{00000000-0004-0000-0300-000033000000}"/>
    <hyperlink ref="BL21" r:id="rId53" xr:uid="{00000000-0004-0000-0300-000034000000}"/>
    <hyperlink ref="BN21" r:id="rId54" xr:uid="{00000000-0004-0000-0300-000035000000}"/>
    <hyperlink ref="BP21" r:id="rId55" xr:uid="{00000000-0004-0000-0300-000036000000}"/>
    <hyperlink ref="BI22" r:id="rId56" xr:uid="{00000000-0004-0000-0300-000037000000}"/>
    <hyperlink ref="BL22" r:id="rId57" xr:uid="{00000000-0004-0000-0300-000038000000}"/>
    <hyperlink ref="BN22" r:id="rId58" xr:uid="{00000000-0004-0000-0300-000039000000}"/>
    <hyperlink ref="BO22" r:id="rId59" xr:uid="{00000000-0004-0000-0300-00003A000000}"/>
    <hyperlink ref="BP22" r:id="rId60" xr:uid="{00000000-0004-0000-0300-00003B000000}"/>
    <hyperlink ref="BI23" r:id="rId61" xr:uid="{00000000-0004-0000-0300-00003C000000}"/>
    <hyperlink ref="BL23" r:id="rId62" xr:uid="{00000000-0004-0000-0300-00003D000000}"/>
    <hyperlink ref="BP23" r:id="rId63" xr:uid="{00000000-0004-0000-0300-00003E000000}"/>
    <hyperlink ref="BI24" r:id="rId64" xr:uid="{00000000-0004-0000-0300-00003F000000}"/>
    <hyperlink ref="BL24" r:id="rId65" xr:uid="{00000000-0004-0000-0300-000040000000}"/>
    <hyperlink ref="BP24" r:id="rId66" xr:uid="{00000000-0004-0000-0300-000041000000}"/>
    <hyperlink ref="BI25" r:id="rId67" xr:uid="{00000000-0004-0000-0300-000042000000}"/>
    <hyperlink ref="BP25" r:id="rId68" xr:uid="{00000000-0004-0000-0300-000043000000}"/>
    <hyperlink ref="BI26" r:id="rId69" xr:uid="{00000000-0004-0000-0300-000044000000}"/>
    <hyperlink ref="BP26" r:id="rId70" xr:uid="{00000000-0004-0000-0300-000045000000}"/>
    <hyperlink ref="BI27" r:id="rId71" xr:uid="{00000000-0004-0000-0300-000046000000}"/>
    <hyperlink ref="BL27" r:id="rId72" xr:uid="{00000000-0004-0000-0300-000047000000}"/>
    <hyperlink ref="BN27" r:id="rId73" xr:uid="{00000000-0004-0000-0300-000048000000}"/>
    <hyperlink ref="BO27" r:id="rId74" xr:uid="{00000000-0004-0000-0300-000049000000}"/>
    <hyperlink ref="BP27" r:id="rId75" xr:uid="{00000000-0004-0000-0300-00004A000000}"/>
    <hyperlink ref="BI28" r:id="rId76" xr:uid="{00000000-0004-0000-0300-00004B000000}"/>
    <hyperlink ref="BL28" r:id="rId77" xr:uid="{00000000-0004-0000-0300-00004C000000}"/>
    <hyperlink ref="BN28" r:id="rId78" xr:uid="{00000000-0004-0000-0300-00004D000000}"/>
    <hyperlink ref="BP28" r:id="rId79" xr:uid="{00000000-0004-0000-0300-00004E000000}"/>
    <hyperlink ref="BI29" r:id="rId80" xr:uid="{00000000-0004-0000-0300-00004F000000}"/>
    <hyperlink ref="BL29" r:id="rId81" xr:uid="{00000000-0004-0000-0300-000050000000}"/>
    <hyperlink ref="BM29" r:id="rId82" xr:uid="{00000000-0004-0000-0300-000051000000}"/>
    <hyperlink ref="BN29" r:id="rId83" xr:uid="{00000000-0004-0000-0300-000052000000}"/>
    <hyperlink ref="BP29" r:id="rId84" xr:uid="{00000000-0004-0000-0300-000053000000}"/>
    <hyperlink ref="BI30" r:id="rId85" xr:uid="{00000000-0004-0000-0300-000054000000}"/>
    <hyperlink ref="BP30" r:id="rId86" xr:uid="{00000000-0004-0000-0300-000055000000}"/>
    <hyperlink ref="BI31" r:id="rId87" xr:uid="{00000000-0004-0000-0300-000056000000}"/>
    <hyperlink ref="BL31" r:id="rId88" xr:uid="{00000000-0004-0000-0300-000057000000}"/>
    <hyperlink ref="BN31" r:id="rId89" xr:uid="{00000000-0004-0000-0300-000058000000}"/>
    <hyperlink ref="BP31" r:id="rId90" xr:uid="{00000000-0004-0000-0300-000059000000}"/>
    <hyperlink ref="BI32" r:id="rId91" xr:uid="{00000000-0004-0000-0300-00005A000000}"/>
    <hyperlink ref="BP32" r:id="rId92" xr:uid="{00000000-0004-0000-0300-00005B000000}"/>
    <hyperlink ref="BI33" r:id="rId93" xr:uid="{00000000-0004-0000-0300-00005C000000}"/>
    <hyperlink ref="BP33" r:id="rId94" xr:uid="{00000000-0004-0000-0300-00005D000000}"/>
    <hyperlink ref="BI34" r:id="rId95" xr:uid="{00000000-0004-0000-0300-00005E000000}"/>
    <hyperlink ref="BL34" r:id="rId96" xr:uid="{00000000-0004-0000-0300-00005F000000}"/>
    <hyperlink ref="BP34" r:id="rId97" xr:uid="{00000000-0004-0000-0300-000060000000}"/>
    <hyperlink ref="BI35" r:id="rId98" xr:uid="{00000000-0004-0000-0300-000061000000}"/>
    <hyperlink ref="BP35" r:id="rId99" xr:uid="{00000000-0004-0000-0300-000062000000}"/>
    <hyperlink ref="BI36" r:id="rId100" xr:uid="{00000000-0004-0000-0300-000063000000}"/>
    <hyperlink ref="BL36" r:id="rId101" xr:uid="{00000000-0004-0000-0300-000064000000}"/>
    <hyperlink ref="BN36" r:id="rId102" xr:uid="{00000000-0004-0000-0300-000065000000}"/>
    <hyperlink ref="BO36" r:id="rId103" xr:uid="{00000000-0004-0000-0300-000066000000}"/>
    <hyperlink ref="BP36" r:id="rId104" xr:uid="{00000000-0004-0000-0300-000067000000}"/>
    <hyperlink ref="BI37" r:id="rId105" xr:uid="{00000000-0004-0000-0300-000068000000}"/>
    <hyperlink ref="BP37" r:id="rId106" xr:uid="{00000000-0004-0000-0300-000069000000}"/>
    <hyperlink ref="BI38" r:id="rId107" xr:uid="{00000000-0004-0000-0300-00006A000000}"/>
    <hyperlink ref="BL38" r:id="rId108" xr:uid="{00000000-0004-0000-0300-00006B000000}"/>
    <hyperlink ref="BM38" r:id="rId109" xr:uid="{00000000-0004-0000-0300-00006C000000}"/>
    <hyperlink ref="BN38" r:id="rId110" xr:uid="{00000000-0004-0000-0300-00006D000000}"/>
    <hyperlink ref="BP38" r:id="rId111" xr:uid="{00000000-0004-0000-0300-00006E000000}"/>
    <hyperlink ref="AH39" r:id="rId112" xr:uid="{00000000-0004-0000-0300-00006F000000}"/>
    <hyperlink ref="BI39" r:id="rId113" xr:uid="{00000000-0004-0000-0300-000070000000}"/>
    <hyperlink ref="BL39" r:id="rId114" xr:uid="{00000000-0004-0000-0300-000071000000}"/>
    <hyperlink ref="BM39" r:id="rId115" xr:uid="{00000000-0004-0000-0300-000072000000}"/>
    <hyperlink ref="BP39" r:id="rId116" xr:uid="{00000000-0004-0000-0300-000073000000}"/>
    <hyperlink ref="BI40" r:id="rId117" xr:uid="{00000000-0004-0000-0300-000074000000}"/>
    <hyperlink ref="BL40" r:id="rId118" xr:uid="{00000000-0004-0000-0300-000075000000}"/>
    <hyperlink ref="BM40" r:id="rId119" xr:uid="{00000000-0004-0000-0300-000076000000}"/>
    <hyperlink ref="BN40" r:id="rId120" xr:uid="{00000000-0004-0000-0300-000077000000}"/>
    <hyperlink ref="BO40" r:id="rId121" xr:uid="{00000000-0004-0000-0300-000078000000}"/>
    <hyperlink ref="BP40" r:id="rId122" xr:uid="{00000000-0004-0000-0300-000079000000}"/>
    <hyperlink ref="BI41" r:id="rId123" xr:uid="{00000000-0004-0000-0300-00007A000000}"/>
    <hyperlink ref="BL41" r:id="rId124" xr:uid="{00000000-0004-0000-0300-00007B000000}"/>
    <hyperlink ref="BN41" r:id="rId125" xr:uid="{00000000-0004-0000-0300-00007C000000}"/>
    <hyperlink ref="BO41" r:id="rId126" xr:uid="{00000000-0004-0000-0300-00007D000000}"/>
    <hyperlink ref="BP41" r:id="rId127" xr:uid="{00000000-0004-0000-0300-00007E000000}"/>
    <hyperlink ref="BI42" r:id="rId128" xr:uid="{00000000-0004-0000-0300-00007F000000}"/>
    <hyperlink ref="BN42" r:id="rId129" xr:uid="{00000000-0004-0000-0300-000080000000}"/>
    <hyperlink ref="BP42" r:id="rId130" xr:uid="{00000000-0004-0000-0300-000081000000}"/>
    <hyperlink ref="BI43" r:id="rId131" xr:uid="{00000000-0004-0000-0300-000082000000}"/>
    <hyperlink ref="BL43" r:id="rId132" xr:uid="{00000000-0004-0000-0300-000083000000}"/>
    <hyperlink ref="BM43" r:id="rId133" xr:uid="{00000000-0004-0000-0300-000084000000}"/>
    <hyperlink ref="BO43" r:id="rId134" xr:uid="{00000000-0004-0000-0300-000085000000}"/>
    <hyperlink ref="BP43" r:id="rId135" xr:uid="{00000000-0004-0000-0300-000086000000}"/>
    <hyperlink ref="BI44" r:id="rId136" xr:uid="{00000000-0004-0000-0300-000087000000}"/>
    <hyperlink ref="BL44" r:id="rId137" xr:uid="{00000000-0004-0000-0300-000088000000}"/>
    <hyperlink ref="BO44" r:id="rId138" xr:uid="{00000000-0004-0000-0300-000089000000}"/>
    <hyperlink ref="BP44" r:id="rId139" xr:uid="{00000000-0004-0000-0300-00008A000000}"/>
    <hyperlink ref="BI45" r:id="rId140" xr:uid="{00000000-0004-0000-0300-00008B000000}"/>
    <hyperlink ref="BM45" r:id="rId141" xr:uid="{00000000-0004-0000-0300-00008C000000}"/>
    <hyperlink ref="BN45" r:id="rId142" xr:uid="{00000000-0004-0000-0300-00008D000000}"/>
    <hyperlink ref="BP45" r:id="rId143" xr:uid="{00000000-0004-0000-0300-00008E000000}"/>
    <hyperlink ref="BI46" r:id="rId144" xr:uid="{00000000-0004-0000-0300-00008F000000}"/>
    <hyperlink ref="BP46" r:id="rId145" xr:uid="{00000000-0004-0000-0300-000090000000}"/>
    <hyperlink ref="AH47" r:id="rId146" xr:uid="{00000000-0004-0000-0300-000091000000}"/>
    <hyperlink ref="BI47" r:id="rId147" xr:uid="{00000000-0004-0000-0300-000092000000}"/>
    <hyperlink ref="BL47" r:id="rId148" xr:uid="{00000000-0004-0000-0300-000093000000}"/>
    <hyperlink ref="BM47" r:id="rId149" xr:uid="{00000000-0004-0000-0300-000094000000}"/>
    <hyperlink ref="BN47" r:id="rId150" xr:uid="{00000000-0004-0000-0300-000095000000}"/>
    <hyperlink ref="BP47" r:id="rId151" xr:uid="{00000000-0004-0000-0300-000096000000}"/>
    <hyperlink ref="BI48" r:id="rId152" xr:uid="{00000000-0004-0000-0300-000097000000}"/>
    <hyperlink ref="BL48" r:id="rId153" xr:uid="{00000000-0004-0000-0300-000098000000}"/>
    <hyperlink ref="BM48" r:id="rId154" xr:uid="{00000000-0004-0000-0300-000099000000}"/>
    <hyperlink ref="BP48" r:id="rId155" xr:uid="{00000000-0004-0000-0300-00009A000000}"/>
    <hyperlink ref="BI49" r:id="rId156" xr:uid="{00000000-0004-0000-0300-00009B000000}"/>
    <hyperlink ref="BL49" r:id="rId157" xr:uid="{00000000-0004-0000-0300-00009C000000}"/>
    <hyperlink ref="BM49" r:id="rId158" xr:uid="{00000000-0004-0000-0300-00009D000000}"/>
    <hyperlink ref="BN49" r:id="rId159" xr:uid="{00000000-0004-0000-0300-00009E000000}"/>
    <hyperlink ref="BP49" r:id="rId160" xr:uid="{00000000-0004-0000-0300-00009F000000}"/>
    <hyperlink ref="BI50" r:id="rId161" xr:uid="{00000000-0004-0000-0300-0000A0000000}"/>
    <hyperlink ref="BL50" r:id="rId162" xr:uid="{00000000-0004-0000-0300-0000A1000000}"/>
    <hyperlink ref="BP50" r:id="rId163" xr:uid="{00000000-0004-0000-0300-0000A2000000}"/>
    <hyperlink ref="BI51" r:id="rId164" xr:uid="{00000000-0004-0000-0300-0000A3000000}"/>
    <hyperlink ref="BL51" r:id="rId165" xr:uid="{00000000-0004-0000-0300-0000A4000000}"/>
    <hyperlink ref="BP51" r:id="rId166" xr:uid="{00000000-0004-0000-0300-0000A5000000}"/>
    <hyperlink ref="BI52" r:id="rId167" xr:uid="{00000000-0004-0000-0300-0000A6000000}"/>
    <hyperlink ref="BP52" r:id="rId168" xr:uid="{00000000-0004-0000-0300-0000A7000000}"/>
    <hyperlink ref="BI53" r:id="rId169" xr:uid="{00000000-0004-0000-0300-0000A8000000}"/>
    <hyperlink ref="BL53" r:id="rId170" xr:uid="{00000000-0004-0000-0300-0000A9000000}"/>
    <hyperlink ref="BP53" r:id="rId171" xr:uid="{00000000-0004-0000-0300-0000AA000000}"/>
    <hyperlink ref="BI54" r:id="rId172" xr:uid="{00000000-0004-0000-0300-0000AB000000}"/>
    <hyperlink ref="BL54" r:id="rId173" xr:uid="{00000000-0004-0000-0300-0000AC000000}"/>
    <hyperlink ref="BP54" r:id="rId174" xr:uid="{00000000-0004-0000-0300-0000AD000000}"/>
    <hyperlink ref="BI55" r:id="rId175" xr:uid="{00000000-0004-0000-0300-0000AE000000}"/>
    <hyperlink ref="BL55" r:id="rId176" xr:uid="{00000000-0004-0000-0300-0000AF000000}"/>
    <hyperlink ref="BM55" r:id="rId177" xr:uid="{00000000-0004-0000-0300-0000B0000000}"/>
    <hyperlink ref="BN55" r:id="rId178" xr:uid="{00000000-0004-0000-0300-0000B1000000}"/>
    <hyperlink ref="BO55" r:id="rId179" xr:uid="{00000000-0004-0000-0300-0000B2000000}"/>
    <hyperlink ref="BP55" r:id="rId180" xr:uid="{00000000-0004-0000-0300-0000B3000000}"/>
    <hyperlink ref="BI56" r:id="rId181" xr:uid="{00000000-0004-0000-0300-0000B4000000}"/>
    <hyperlink ref="BL56" r:id="rId182" xr:uid="{00000000-0004-0000-0300-0000B5000000}"/>
    <hyperlink ref="BM56" r:id="rId183" xr:uid="{00000000-0004-0000-0300-0000B6000000}"/>
    <hyperlink ref="BN56" r:id="rId184" xr:uid="{00000000-0004-0000-0300-0000B7000000}"/>
    <hyperlink ref="BP56" r:id="rId185" xr:uid="{00000000-0004-0000-0300-0000B8000000}"/>
    <hyperlink ref="BI57" r:id="rId186" xr:uid="{00000000-0004-0000-0300-0000B9000000}"/>
    <hyperlink ref="BP57" r:id="rId187" xr:uid="{00000000-0004-0000-0300-0000BA000000}"/>
    <hyperlink ref="BI58" r:id="rId188" xr:uid="{00000000-0004-0000-0300-0000BB000000}"/>
    <hyperlink ref="BL58" r:id="rId189" xr:uid="{00000000-0004-0000-0300-0000BC000000}"/>
    <hyperlink ref="BM58" r:id="rId190" xr:uid="{00000000-0004-0000-0300-0000BD000000}"/>
    <hyperlink ref="BP58" r:id="rId191" xr:uid="{00000000-0004-0000-0300-0000BE000000}"/>
    <hyperlink ref="BI59" r:id="rId192" xr:uid="{00000000-0004-0000-0300-0000BF000000}"/>
    <hyperlink ref="BL59" r:id="rId193" xr:uid="{00000000-0004-0000-0300-0000C0000000}"/>
    <hyperlink ref="BN59" r:id="rId194" xr:uid="{00000000-0004-0000-0300-0000C1000000}"/>
    <hyperlink ref="BO59" r:id="rId195" xr:uid="{00000000-0004-0000-0300-0000C2000000}"/>
    <hyperlink ref="BP59" r:id="rId196" xr:uid="{00000000-0004-0000-0300-0000C3000000}"/>
    <hyperlink ref="BI60" r:id="rId197" xr:uid="{00000000-0004-0000-0300-0000C4000000}"/>
    <hyperlink ref="BP60" r:id="rId198" xr:uid="{00000000-0004-0000-0300-0000C5000000}"/>
    <hyperlink ref="BI61" r:id="rId199" xr:uid="{00000000-0004-0000-0300-0000C6000000}"/>
    <hyperlink ref="BL61" r:id="rId200" xr:uid="{00000000-0004-0000-0300-0000C7000000}"/>
    <hyperlink ref="BN61" r:id="rId201" xr:uid="{00000000-0004-0000-0300-0000C8000000}"/>
    <hyperlink ref="BP61" r:id="rId202" xr:uid="{00000000-0004-0000-0300-0000C9000000}"/>
    <hyperlink ref="BI62" r:id="rId203" xr:uid="{00000000-0004-0000-0300-0000CA000000}"/>
    <hyperlink ref="BL62" r:id="rId204" xr:uid="{00000000-0004-0000-0300-0000CB000000}"/>
    <hyperlink ref="BM62" r:id="rId205" xr:uid="{00000000-0004-0000-0300-0000CC000000}"/>
    <hyperlink ref="BN62" r:id="rId206" xr:uid="{00000000-0004-0000-0300-0000CD000000}"/>
    <hyperlink ref="BO62" r:id="rId207" xr:uid="{00000000-0004-0000-0300-0000CE000000}"/>
    <hyperlink ref="BP62" r:id="rId208" xr:uid="{00000000-0004-0000-0300-0000CF000000}"/>
    <hyperlink ref="BI63" r:id="rId209" xr:uid="{00000000-0004-0000-0300-0000D0000000}"/>
    <hyperlink ref="BP63" r:id="rId210" xr:uid="{00000000-0004-0000-0300-0000D1000000}"/>
    <hyperlink ref="BI64" r:id="rId211" xr:uid="{00000000-0004-0000-0300-0000D2000000}"/>
    <hyperlink ref="BP64" r:id="rId212" xr:uid="{00000000-0004-0000-0300-0000D3000000}"/>
    <hyperlink ref="BI65" r:id="rId213" xr:uid="{00000000-0004-0000-0300-0000D4000000}"/>
    <hyperlink ref="BP65" r:id="rId214" xr:uid="{00000000-0004-0000-0300-0000D5000000}"/>
    <hyperlink ref="BI66" r:id="rId215" xr:uid="{00000000-0004-0000-0300-0000D6000000}"/>
    <hyperlink ref="BL66" r:id="rId216" xr:uid="{00000000-0004-0000-0300-0000D7000000}"/>
    <hyperlink ref="BM66" r:id="rId217" xr:uid="{00000000-0004-0000-0300-0000D8000000}"/>
    <hyperlink ref="BP66" r:id="rId218" xr:uid="{00000000-0004-0000-0300-0000D9000000}"/>
    <hyperlink ref="BI67" r:id="rId219" xr:uid="{00000000-0004-0000-0300-0000DA000000}"/>
    <hyperlink ref="BL67" r:id="rId220" xr:uid="{00000000-0004-0000-0300-0000DB000000}"/>
    <hyperlink ref="BM67" r:id="rId221" xr:uid="{00000000-0004-0000-0300-0000DC000000}"/>
    <hyperlink ref="BN67" r:id="rId222" xr:uid="{00000000-0004-0000-0300-0000DD000000}"/>
    <hyperlink ref="BP67" r:id="rId223" xr:uid="{00000000-0004-0000-0300-0000DE000000}"/>
    <hyperlink ref="BI68" r:id="rId224" xr:uid="{00000000-0004-0000-0300-0000DF000000}"/>
    <hyperlink ref="BL68" r:id="rId225" xr:uid="{00000000-0004-0000-0300-0000E0000000}"/>
    <hyperlink ref="BM68" r:id="rId226" xr:uid="{00000000-0004-0000-0300-0000E1000000}"/>
    <hyperlink ref="BN68" r:id="rId227" xr:uid="{00000000-0004-0000-0300-0000E2000000}"/>
    <hyperlink ref="BP68" r:id="rId228" xr:uid="{00000000-0004-0000-0300-0000E3000000}"/>
    <hyperlink ref="AH69" r:id="rId229" xr:uid="{00000000-0004-0000-0300-0000E4000000}"/>
    <hyperlink ref="BI69" r:id="rId230" xr:uid="{00000000-0004-0000-0300-0000E5000000}"/>
    <hyperlink ref="BL69" r:id="rId231" xr:uid="{00000000-0004-0000-0300-0000E6000000}"/>
    <hyperlink ref="BP69" r:id="rId232" xr:uid="{00000000-0004-0000-0300-0000E7000000}"/>
    <hyperlink ref="BI70" r:id="rId233" xr:uid="{00000000-0004-0000-0300-0000E8000000}"/>
    <hyperlink ref="BL70" r:id="rId234" xr:uid="{00000000-0004-0000-0300-0000E9000000}"/>
    <hyperlink ref="BO70" r:id="rId235" xr:uid="{00000000-0004-0000-0300-0000EA000000}"/>
    <hyperlink ref="BP70" r:id="rId236" xr:uid="{00000000-0004-0000-0300-0000EB000000}"/>
    <hyperlink ref="BI71" r:id="rId237" xr:uid="{00000000-0004-0000-0300-0000EC000000}"/>
    <hyperlink ref="BM71" r:id="rId238" xr:uid="{00000000-0004-0000-0300-0000ED000000}"/>
    <hyperlink ref="BP71" r:id="rId239" xr:uid="{00000000-0004-0000-0300-0000EE000000}"/>
    <hyperlink ref="BI72" r:id="rId240" xr:uid="{00000000-0004-0000-0300-0000EF000000}"/>
    <hyperlink ref="BL72" r:id="rId241" xr:uid="{00000000-0004-0000-0300-0000F0000000}"/>
    <hyperlink ref="BM72" r:id="rId242" xr:uid="{00000000-0004-0000-0300-0000F1000000}"/>
    <hyperlink ref="BN72" r:id="rId243" xr:uid="{00000000-0004-0000-0300-0000F2000000}"/>
    <hyperlink ref="BO72" r:id="rId244" xr:uid="{00000000-0004-0000-0300-0000F3000000}"/>
    <hyperlink ref="BP72" r:id="rId245" xr:uid="{00000000-0004-0000-0300-0000F4000000}"/>
    <hyperlink ref="BI73" r:id="rId246" xr:uid="{00000000-0004-0000-0300-0000F5000000}"/>
    <hyperlink ref="BL73" r:id="rId247" xr:uid="{00000000-0004-0000-0300-0000F6000000}"/>
    <hyperlink ref="BM73" r:id="rId248" xr:uid="{00000000-0004-0000-0300-0000F7000000}"/>
    <hyperlink ref="BN73" r:id="rId249" xr:uid="{00000000-0004-0000-0300-0000F8000000}"/>
    <hyperlink ref="BP73" r:id="rId250" xr:uid="{00000000-0004-0000-0300-0000F9000000}"/>
    <hyperlink ref="BI74" r:id="rId251" xr:uid="{00000000-0004-0000-0300-0000FA000000}"/>
    <hyperlink ref="BL74" r:id="rId252" xr:uid="{00000000-0004-0000-0300-0000FB000000}"/>
    <hyperlink ref="BM74" r:id="rId253" xr:uid="{00000000-0004-0000-0300-0000FC000000}"/>
    <hyperlink ref="BN74" r:id="rId254" xr:uid="{00000000-0004-0000-0300-0000FD000000}"/>
    <hyperlink ref="BO74" r:id="rId255" xr:uid="{00000000-0004-0000-0300-0000FE000000}"/>
    <hyperlink ref="BP74" r:id="rId256" xr:uid="{00000000-0004-0000-0300-0000FF000000}"/>
    <hyperlink ref="BI75" r:id="rId257" xr:uid="{00000000-0004-0000-0300-000000010000}"/>
    <hyperlink ref="BL75" r:id="rId258" xr:uid="{00000000-0004-0000-0300-000001010000}"/>
    <hyperlink ref="BM75" r:id="rId259" xr:uid="{00000000-0004-0000-0300-000002010000}"/>
    <hyperlink ref="BN75" r:id="rId260" xr:uid="{00000000-0004-0000-0300-000003010000}"/>
    <hyperlink ref="BO75" r:id="rId261" xr:uid="{00000000-0004-0000-0300-000004010000}"/>
    <hyperlink ref="BP75" r:id="rId262" xr:uid="{00000000-0004-0000-0300-000005010000}"/>
    <hyperlink ref="BI76" r:id="rId263" xr:uid="{00000000-0004-0000-0300-000006010000}"/>
    <hyperlink ref="BL76" r:id="rId264" xr:uid="{00000000-0004-0000-0300-000007010000}"/>
    <hyperlink ref="BN76" r:id="rId265" xr:uid="{00000000-0004-0000-0300-000008010000}"/>
    <hyperlink ref="BP76" r:id="rId266" xr:uid="{00000000-0004-0000-0300-000009010000}"/>
    <hyperlink ref="BI77" r:id="rId267" xr:uid="{00000000-0004-0000-0300-00000A010000}"/>
    <hyperlink ref="BL77" r:id="rId268" xr:uid="{00000000-0004-0000-0300-00000B010000}"/>
    <hyperlink ref="BP77" r:id="rId269" xr:uid="{00000000-0004-0000-0300-00000C010000}"/>
    <hyperlink ref="BI78" r:id="rId270" xr:uid="{00000000-0004-0000-0300-00000D010000}"/>
    <hyperlink ref="BL78" r:id="rId271" xr:uid="{00000000-0004-0000-0300-00000E010000}"/>
    <hyperlink ref="BN78" r:id="rId272" xr:uid="{00000000-0004-0000-0300-00000F010000}"/>
    <hyperlink ref="BP78" r:id="rId273" xr:uid="{00000000-0004-0000-0300-000010010000}"/>
    <hyperlink ref="AH79" r:id="rId274" xr:uid="{00000000-0004-0000-0300-000011010000}"/>
    <hyperlink ref="BI79" r:id="rId275" xr:uid="{00000000-0004-0000-0300-000012010000}"/>
    <hyperlink ref="BP79" r:id="rId276" xr:uid="{00000000-0004-0000-0300-000013010000}"/>
    <hyperlink ref="BI80" r:id="rId277" xr:uid="{00000000-0004-0000-0300-000014010000}"/>
    <hyperlink ref="BL80" r:id="rId278" xr:uid="{00000000-0004-0000-0300-000015010000}"/>
    <hyperlink ref="BM80" r:id="rId279" xr:uid="{00000000-0004-0000-0300-000016010000}"/>
    <hyperlink ref="BN80" r:id="rId280" xr:uid="{00000000-0004-0000-0300-000017010000}"/>
    <hyperlink ref="BO80" r:id="rId281" xr:uid="{00000000-0004-0000-0300-000018010000}"/>
    <hyperlink ref="BP80" r:id="rId282" xr:uid="{00000000-0004-0000-0300-000019010000}"/>
    <hyperlink ref="AH81" r:id="rId283" xr:uid="{00000000-0004-0000-0300-00001A010000}"/>
    <hyperlink ref="BI81" r:id="rId284" xr:uid="{00000000-0004-0000-0300-00001B010000}"/>
    <hyperlink ref="BL81" r:id="rId285" xr:uid="{00000000-0004-0000-0300-00001C010000}"/>
    <hyperlink ref="BM81" r:id="rId286" xr:uid="{00000000-0004-0000-0300-00001D010000}"/>
    <hyperlink ref="BN81" r:id="rId287" xr:uid="{00000000-0004-0000-0300-00001E010000}"/>
    <hyperlink ref="BO81" r:id="rId288" xr:uid="{00000000-0004-0000-0300-00001F010000}"/>
    <hyperlink ref="BP81" r:id="rId289" xr:uid="{00000000-0004-0000-0300-000020010000}"/>
    <hyperlink ref="BI82" r:id="rId290" xr:uid="{00000000-0004-0000-0300-000021010000}"/>
    <hyperlink ref="BP82" r:id="rId291" xr:uid="{00000000-0004-0000-0300-000022010000}"/>
    <hyperlink ref="BI83" r:id="rId292" xr:uid="{00000000-0004-0000-0300-000023010000}"/>
    <hyperlink ref="BL83" r:id="rId293" xr:uid="{00000000-0004-0000-0300-000024010000}"/>
    <hyperlink ref="BN83" r:id="rId294" xr:uid="{00000000-0004-0000-0300-000025010000}"/>
    <hyperlink ref="BP83" r:id="rId295" xr:uid="{00000000-0004-0000-0300-000026010000}"/>
    <hyperlink ref="BI84" r:id="rId296" xr:uid="{00000000-0004-0000-0300-000027010000}"/>
    <hyperlink ref="BL84" r:id="rId297" xr:uid="{00000000-0004-0000-0300-000028010000}"/>
    <hyperlink ref="BM84" r:id="rId298" xr:uid="{00000000-0004-0000-0300-000029010000}"/>
    <hyperlink ref="BN84" r:id="rId299" xr:uid="{00000000-0004-0000-0300-00002A010000}"/>
    <hyperlink ref="BO84" r:id="rId300" xr:uid="{00000000-0004-0000-0300-00002B010000}"/>
    <hyperlink ref="BP84" r:id="rId301" xr:uid="{00000000-0004-0000-0300-00002C010000}"/>
    <hyperlink ref="BI85" r:id="rId302" xr:uid="{00000000-0004-0000-0300-00002D010000}"/>
    <hyperlink ref="BL85" r:id="rId303" xr:uid="{00000000-0004-0000-0300-00002E010000}"/>
    <hyperlink ref="BM85" r:id="rId304" xr:uid="{00000000-0004-0000-0300-00002F010000}"/>
    <hyperlink ref="BN85" r:id="rId305" xr:uid="{00000000-0004-0000-0300-000030010000}"/>
    <hyperlink ref="BO85" r:id="rId306" xr:uid="{00000000-0004-0000-0300-000031010000}"/>
    <hyperlink ref="BP85" r:id="rId307" xr:uid="{00000000-0004-0000-0300-000032010000}"/>
    <hyperlink ref="BI86" r:id="rId308" xr:uid="{00000000-0004-0000-0300-000033010000}"/>
    <hyperlink ref="BL86" r:id="rId309" xr:uid="{00000000-0004-0000-0300-000034010000}"/>
    <hyperlink ref="BP86" r:id="rId310" xr:uid="{00000000-0004-0000-0300-000035010000}"/>
    <hyperlink ref="BI87" r:id="rId311" xr:uid="{00000000-0004-0000-0300-000036010000}"/>
    <hyperlink ref="BP87" r:id="rId312" xr:uid="{00000000-0004-0000-0300-000037010000}"/>
    <hyperlink ref="BI88" r:id="rId313" xr:uid="{00000000-0004-0000-0300-000038010000}"/>
    <hyperlink ref="BL88" r:id="rId314" xr:uid="{00000000-0004-0000-0300-000039010000}"/>
    <hyperlink ref="BM88" r:id="rId315" xr:uid="{00000000-0004-0000-0300-00003A010000}"/>
    <hyperlink ref="BO88" r:id="rId316" xr:uid="{00000000-0004-0000-0300-00003B010000}"/>
    <hyperlink ref="BP88" r:id="rId317" xr:uid="{00000000-0004-0000-0300-00003C010000}"/>
    <hyperlink ref="BI89" r:id="rId318" xr:uid="{00000000-0004-0000-0300-00003D010000}"/>
    <hyperlink ref="BL89" r:id="rId319" xr:uid="{00000000-0004-0000-0300-00003E010000}"/>
    <hyperlink ref="BP89" r:id="rId320" xr:uid="{00000000-0004-0000-0300-00003F010000}"/>
    <hyperlink ref="BI90" r:id="rId321" xr:uid="{00000000-0004-0000-0300-000040010000}"/>
    <hyperlink ref="BL90" r:id="rId322" xr:uid="{00000000-0004-0000-0300-000041010000}"/>
    <hyperlink ref="BP90" r:id="rId323" xr:uid="{00000000-0004-0000-0300-000042010000}"/>
    <hyperlink ref="BI91" r:id="rId324" xr:uid="{00000000-0004-0000-0300-000043010000}"/>
    <hyperlink ref="BP91" r:id="rId325" xr:uid="{00000000-0004-0000-0300-000044010000}"/>
    <hyperlink ref="BI92" r:id="rId326" xr:uid="{00000000-0004-0000-0300-000045010000}"/>
    <hyperlink ref="BL92" r:id="rId327" xr:uid="{00000000-0004-0000-0300-000046010000}"/>
    <hyperlink ref="BN92" r:id="rId328" xr:uid="{00000000-0004-0000-0300-000047010000}"/>
    <hyperlink ref="BP92" r:id="rId329" xr:uid="{00000000-0004-0000-0300-000048010000}"/>
    <hyperlink ref="BI93" r:id="rId330" xr:uid="{00000000-0004-0000-0300-000049010000}"/>
    <hyperlink ref="BL93" r:id="rId331" xr:uid="{00000000-0004-0000-0300-00004A010000}"/>
    <hyperlink ref="BM93" r:id="rId332" xr:uid="{00000000-0004-0000-0300-00004B010000}"/>
    <hyperlink ref="BP93" r:id="rId333" xr:uid="{00000000-0004-0000-0300-00004C010000}"/>
    <hyperlink ref="BI94" r:id="rId334" xr:uid="{00000000-0004-0000-0300-00004D010000}"/>
    <hyperlink ref="BM94" r:id="rId335" xr:uid="{00000000-0004-0000-0300-00004E010000}"/>
    <hyperlink ref="BN94" r:id="rId336" xr:uid="{00000000-0004-0000-0300-00004F010000}"/>
    <hyperlink ref="BP94" r:id="rId337" xr:uid="{00000000-0004-0000-0300-000050010000}"/>
    <hyperlink ref="BI95" r:id="rId338" xr:uid="{00000000-0004-0000-0300-000051010000}"/>
    <hyperlink ref="BL95" r:id="rId339" xr:uid="{00000000-0004-0000-0300-000052010000}"/>
    <hyperlink ref="BP95" r:id="rId340" xr:uid="{00000000-0004-0000-0300-000053010000}"/>
    <hyperlink ref="BI96" r:id="rId341" xr:uid="{00000000-0004-0000-0300-000054010000}"/>
    <hyperlink ref="BL96" r:id="rId342" xr:uid="{00000000-0004-0000-0300-000055010000}"/>
    <hyperlink ref="BN96" r:id="rId343" xr:uid="{00000000-0004-0000-0300-000056010000}"/>
    <hyperlink ref="BO96" r:id="rId344" xr:uid="{00000000-0004-0000-0300-000057010000}"/>
    <hyperlink ref="BP96" r:id="rId345" xr:uid="{00000000-0004-0000-0300-000058010000}"/>
    <hyperlink ref="BI97" r:id="rId346" xr:uid="{00000000-0004-0000-0300-000059010000}"/>
    <hyperlink ref="BL97" r:id="rId347" xr:uid="{00000000-0004-0000-0300-00005A010000}"/>
    <hyperlink ref="BM97" r:id="rId348" xr:uid="{00000000-0004-0000-0300-00005B010000}"/>
    <hyperlink ref="BN97" r:id="rId349" xr:uid="{00000000-0004-0000-0300-00005C010000}"/>
    <hyperlink ref="BP97" r:id="rId350" xr:uid="{00000000-0004-0000-0300-00005D010000}"/>
    <hyperlink ref="BI98" r:id="rId351" xr:uid="{00000000-0004-0000-0300-00005E010000}"/>
    <hyperlink ref="BL98" r:id="rId352" xr:uid="{00000000-0004-0000-0300-00005F010000}"/>
    <hyperlink ref="BM98" r:id="rId353" xr:uid="{00000000-0004-0000-0300-000060010000}"/>
    <hyperlink ref="BN98" r:id="rId354" xr:uid="{00000000-0004-0000-0300-000061010000}"/>
    <hyperlink ref="BP98" r:id="rId355" xr:uid="{00000000-0004-0000-0300-000062010000}"/>
    <hyperlink ref="BI99" r:id="rId356" xr:uid="{00000000-0004-0000-0300-000063010000}"/>
    <hyperlink ref="BL99" r:id="rId357" xr:uid="{00000000-0004-0000-0300-000064010000}"/>
    <hyperlink ref="BP99" r:id="rId358" xr:uid="{00000000-0004-0000-0300-000065010000}"/>
    <hyperlink ref="BI100" r:id="rId359" xr:uid="{00000000-0004-0000-0300-000066010000}"/>
    <hyperlink ref="BL100" r:id="rId360" xr:uid="{00000000-0004-0000-0300-000067010000}"/>
    <hyperlink ref="BM100" r:id="rId361" xr:uid="{00000000-0004-0000-0300-000068010000}"/>
    <hyperlink ref="BN100" r:id="rId362" xr:uid="{00000000-0004-0000-0300-000069010000}"/>
    <hyperlink ref="BO100" r:id="rId363" xr:uid="{00000000-0004-0000-0300-00006A010000}"/>
    <hyperlink ref="BP100" r:id="rId364" xr:uid="{00000000-0004-0000-0300-00006B010000}"/>
    <hyperlink ref="BI101" r:id="rId365" xr:uid="{00000000-0004-0000-0300-00006C010000}"/>
    <hyperlink ref="BP101" r:id="rId366" xr:uid="{00000000-0004-0000-0300-00006D010000}"/>
    <hyperlink ref="BI102" r:id="rId367" xr:uid="{00000000-0004-0000-0300-00006E010000}"/>
    <hyperlink ref="BL102" r:id="rId368" xr:uid="{00000000-0004-0000-0300-00006F010000}"/>
    <hyperlink ref="BN102" r:id="rId369" xr:uid="{00000000-0004-0000-0300-000070010000}"/>
    <hyperlink ref="BP102" r:id="rId370" xr:uid="{00000000-0004-0000-0300-000071010000}"/>
    <hyperlink ref="BI103" r:id="rId371" xr:uid="{00000000-0004-0000-0300-000072010000}"/>
    <hyperlink ref="BM103" r:id="rId372" xr:uid="{00000000-0004-0000-0300-000073010000}"/>
    <hyperlink ref="BN103" r:id="rId373" xr:uid="{00000000-0004-0000-0300-000074010000}"/>
    <hyperlink ref="BO103" r:id="rId374" xr:uid="{00000000-0004-0000-0300-000075010000}"/>
    <hyperlink ref="BP103" r:id="rId375" xr:uid="{00000000-0004-0000-0300-000076010000}"/>
    <hyperlink ref="BI104" r:id="rId376" xr:uid="{00000000-0004-0000-0300-000077010000}"/>
    <hyperlink ref="BL104" r:id="rId377" xr:uid="{00000000-0004-0000-0300-000078010000}"/>
    <hyperlink ref="BM104" r:id="rId378" xr:uid="{00000000-0004-0000-0300-000079010000}"/>
    <hyperlink ref="BN104" r:id="rId379" xr:uid="{00000000-0004-0000-0300-00007A010000}"/>
    <hyperlink ref="BP104" r:id="rId380" xr:uid="{00000000-0004-0000-0300-00007B010000}"/>
    <hyperlink ref="BI105" r:id="rId381" xr:uid="{00000000-0004-0000-0300-00007C010000}"/>
    <hyperlink ref="BL105" r:id="rId382" xr:uid="{00000000-0004-0000-0300-00007D010000}"/>
    <hyperlink ref="BM105" r:id="rId383" xr:uid="{00000000-0004-0000-0300-00007E010000}"/>
    <hyperlink ref="BN105" r:id="rId384" xr:uid="{00000000-0004-0000-0300-00007F010000}"/>
    <hyperlink ref="BP105" r:id="rId385" xr:uid="{00000000-0004-0000-0300-000080010000}"/>
    <hyperlink ref="BI106" r:id="rId386" xr:uid="{00000000-0004-0000-0300-000081010000}"/>
    <hyperlink ref="BL106" r:id="rId387" xr:uid="{00000000-0004-0000-0300-000082010000}"/>
    <hyperlink ref="BN106" r:id="rId388" xr:uid="{00000000-0004-0000-0300-000083010000}"/>
    <hyperlink ref="BP106" r:id="rId389" xr:uid="{00000000-0004-0000-0300-000084010000}"/>
    <hyperlink ref="BI107" r:id="rId390" xr:uid="{00000000-0004-0000-0300-000085010000}"/>
    <hyperlink ref="BL107" r:id="rId391" xr:uid="{00000000-0004-0000-0300-000086010000}"/>
    <hyperlink ref="BN107" r:id="rId392" xr:uid="{00000000-0004-0000-0300-000087010000}"/>
    <hyperlink ref="BP107" r:id="rId393" xr:uid="{00000000-0004-0000-0300-000088010000}"/>
    <hyperlink ref="BI108" r:id="rId394" xr:uid="{00000000-0004-0000-0300-000089010000}"/>
    <hyperlink ref="BP108" r:id="rId395" xr:uid="{00000000-0004-0000-0300-00008A010000}"/>
    <hyperlink ref="BI109" r:id="rId396" xr:uid="{00000000-0004-0000-0300-00008B010000}"/>
    <hyperlink ref="BL109" r:id="rId397" xr:uid="{00000000-0004-0000-0300-00008C010000}"/>
    <hyperlink ref="BM109" r:id="rId398" xr:uid="{00000000-0004-0000-0300-00008D010000}"/>
    <hyperlink ref="BN109" r:id="rId399" xr:uid="{00000000-0004-0000-0300-00008E010000}"/>
    <hyperlink ref="BP109" r:id="rId400" xr:uid="{00000000-0004-0000-0300-00008F010000}"/>
    <hyperlink ref="BI110" r:id="rId401" xr:uid="{00000000-0004-0000-0300-000090010000}"/>
    <hyperlink ref="BL110" r:id="rId402" xr:uid="{00000000-0004-0000-0300-000091010000}"/>
    <hyperlink ref="BN110" r:id="rId403" xr:uid="{00000000-0004-0000-0300-000092010000}"/>
    <hyperlink ref="BO110" r:id="rId404" xr:uid="{00000000-0004-0000-0300-000093010000}"/>
    <hyperlink ref="BP110" r:id="rId405" xr:uid="{00000000-0004-0000-0300-000094010000}"/>
    <hyperlink ref="BI111" r:id="rId406" xr:uid="{00000000-0004-0000-0300-000095010000}"/>
    <hyperlink ref="BL111" r:id="rId407" xr:uid="{00000000-0004-0000-0300-000096010000}"/>
    <hyperlink ref="BP111" r:id="rId408" xr:uid="{00000000-0004-0000-0300-000097010000}"/>
    <hyperlink ref="BI112" r:id="rId409" xr:uid="{00000000-0004-0000-0300-000098010000}"/>
    <hyperlink ref="BL112" r:id="rId410" xr:uid="{00000000-0004-0000-0300-000099010000}"/>
    <hyperlink ref="BM112" r:id="rId411" xr:uid="{00000000-0004-0000-0300-00009A010000}"/>
    <hyperlink ref="BN112" r:id="rId412" xr:uid="{00000000-0004-0000-0300-00009B010000}"/>
    <hyperlink ref="BP112" r:id="rId413" xr:uid="{00000000-0004-0000-0300-00009C010000}"/>
    <hyperlink ref="BI113" r:id="rId414" xr:uid="{00000000-0004-0000-0300-00009D010000}"/>
    <hyperlink ref="BM113" r:id="rId415" xr:uid="{00000000-0004-0000-0300-00009E010000}"/>
    <hyperlink ref="BN113" r:id="rId416" xr:uid="{00000000-0004-0000-0300-00009F010000}"/>
    <hyperlink ref="BP113" r:id="rId417" xr:uid="{00000000-0004-0000-0300-0000A0010000}"/>
    <hyperlink ref="BI114" r:id="rId418" xr:uid="{00000000-0004-0000-0300-0000A1010000}"/>
    <hyperlink ref="BP114" r:id="rId419" xr:uid="{00000000-0004-0000-0300-0000A2010000}"/>
    <hyperlink ref="BI115" r:id="rId420" xr:uid="{00000000-0004-0000-0300-0000A3010000}"/>
    <hyperlink ref="BL115" r:id="rId421" xr:uid="{00000000-0004-0000-0300-0000A4010000}"/>
    <hyperlink ref="BP115" r:id="rId422" xr:uid="{00000000-0004-0000-0300-0000A5010000}"/>
    <hyperlink ref="BI116" r:id="rId423" xr:uid="{00000000-0004-0000-0300-0000A6010000}"/>
    <hyperlink ref="BL116" r:id="rId424" xr:uid="{00000000-0004-0000-0300-0000A7010000}"/>
    <hyperlink ref="BP116" r:id="rId425" xr:uid="{00000000-0004-0000-0300-0000A8010000}"/>
    <hyperlink ref="BI117" r:id="rId426" xr:uid="{00000000-0004-0000-0300-0000A9010000}"/>
    <hyperlink ref="BP117" r:id="rId427" xr:uid="{00000000-0004-0000-0300-0000AA010000}"/>
    <hyperlink ref="BI118" r:id="rId428" xr:uid="{00000000-0004-0000-0300-0000AB010000}"/>
    <hyperlink ref="BL118" r:id="rId429" xr:uid="{00000000-0004-0000-0300-0000AC010000}"/>
    <hyperlink ref="BM118" r:id="rId430" xr:uid="{00000000-0004-0000-0300-0000AD010000}"/>
    <hyperlink ref="BN118" r:id="rId431" xr:uid="{00000000-0004-0000-0300-0000AE010000}"/>
    <hyperlink ref="BP118" r:id="rId432" xr:uid="{00000000-0004-0000-0300-0000AF010000}"/>
    <hyperlink ref="BI119" r:id="rId433" xr:uid="{00000000-0004-0000-0300-0000B0010000}"/>
    <hyperlink ref="BP119" r:id="rId434" xr:uid="{00000000-0004-0000-0300-0000B1010000}"/>
    <hyperlink ref="BI120" r:id="rId435" xr:uid="{00000000-0004-0000-0300-0000B2010000}"/>
    <hyperlink ref="BP120" r:id="rId436" xr:uid="{00000000-0004-0000-0300-0000B3010000}"/>
    <hyperlink ref="BI121" r:id="rId437" xr:uid="{00000000-0004-0000-0300-0000B4010000}"/>
    <hyperlink ref="BL121" r:id="rId438" xr:uid="{00000000-0004-0000-0300-0000B5010000}"/>
    <hyperlink ref="BM121" r:id="rId439" xr:uid="{00000000-0004-0000-0300-0000B6010000}"/>
    <hyperlink ref="BP121" r:id="rId440" xr:uid="{00000000-0004-0000-0300-0000B7010000}"/>
    <hyperlink ref="BI122" r:id="rId441" xr:uid="{00000000-0004-0000-0300-0000B8010000}"/>
    <hyperlink ref="BM122" r:id="rId442" xr:uid="{00000000-0004-0000-0300-0000B9010000}"/>
    <hyperlink ref="BN122" r:id="rId443" xr:uid="{00000000-0004-0000-0300-0000BA010000}"/>
    <hyperlink ref="BP122" r:id="rId444" xr:uid="{00000000-0004-0000-0300-0000BB010000}"/>
    <hyperlink ref="BI123" r:id="rId445" xr:uid="{00000000-0004-0000-0300-0000BC010000}"/>
    <hyperlink ref="BL123" r:id="rId446" xr:uid="{00000000-0004-0000-0300-0000BD010000}"/>
    <hyperlink ref="BM123" r:id="rId447" xr:uid="{00000000-0004-0000-0300-0000BE010000}"/>
    <hyperlink ref="BN123" r:id="rId448" xr:uid="{00000000-0004-0000-0300-0000BF010000}"/>
    <hyperlink ref="BO123" r:id="rId449" xr:uid="{00000000-0004-0000-0300-0000C0010000}"/>
    <hyperlink ref="BP123" r:id="rId450" xr:uid="{00000000-0004-0000-0300-0000C1010000}"/>
    <hyperlink ref="BI124" r:id="rId451" xr:uid="{00000000-0004-0000-0300-0000C2010000}"/>
    <hyperlink ref="BL124" r:id="rId452" xr:uid="{00000000-0004-0000-0300-0000C3010000}"/>
    <hyperlink ref="BM124" r:id="rId453" xr:uid="{00000000-0004-0000-0300-0000C4010000}"/>
    <hyperlink ref="BN124" r:id="rId454" xr:uid="{00000000-0004-0000-0300-0000C5010000}"/>
    <hyperlink ref="BP124" r:id="rId455" xr:uid="{00000000-0004-0000-0300-0000C6010000}"/>
    <hyperlink ref="BI125" r:id="rId456" xr:uid="{00000000-0004-0000-0300-0000C7010000}"/>
    <hyperlink ref="BL125" r:id="rId457" xr:uid="{00000000-0004-0000-0300-0000C8010000}"/>
    <hyperlink ref="BM125" r:id="rId458" xr:uid="{00000000-0004-0000-0300-0000C9010000}"/>
    <hyperlink ref="BN125" r:id="rId459" xr:uid="{00000000-0004-0000-0300-0000CA010000}"/>
    <hyperlink ref="BO125" r:id="rId460" xr:uid="{00000000-0004-0000-0300-0000CB010000}"/>
    <hyperlink ref="BP125" r:id="rId461" xr:uid="{00000000-0004-0000-0300-0000CC010000}"/>
    <hyperlink ref="BI126" r:id="rId462" xr:uid="{00000000-0004-0000-0300-0000CD010000}"/>
    <hyperlink ref="BL126" r:id="rId463" xr:uid="{00000000-0004-0000-0300-0000CE010000}"/>
    <hyperlink ref="BM126" r:id="rId464" xr:uid="{00000000-0004-0000-0300-0000CF010000}"/>
    <hyperlink ref="BN126" r:id="rId465" xr:uid="{00000000-0004-0000-0300-0000D0010000}"/>
    <hyperlink ref="BO126" r:id="rId466" xr:uid="{00000000-0004-0000-0300-0000D1010000}"/>
    <hyperlink ref="BP126" r:id="rId467" xr:uid="{00000000-0004-0000-0300-0000D2010000}"/>
    <hyperlink ref="BI127" r:id="rId468" xr:uid="{00000000-0004-0000-0300-0000D3010000}"/>
    <hyperlink ref="BP127" r:id="rId469" xr:uid="{00000000-0004-0000-0300-0000D4010000}"/>
    <hyperlink ref="BI128" r:id="rId470" xr:uid="{00000000-0004-0000-0300-0000D5010000}"/>
    <hyperlink ref="BP128" r:id="rId471" xr:uid="{00000000-0004-0000-0300-0000D6010000}"/>
    <hyperlink ref="BI129" r:id="rId472" xr:uid="{00000000-0004-0000-0300-0000D7010000}"/>
    <hyperlink ref="BL129" r:id="rId473" xr:uid="{00000000-0004-0000-0300-0000D8010000}"/>
    <hyperlink ref="BM129" r:id="rId474" xr:uid="{00000000-0004-0000-0300-0000D9010000}"/>
    <hyperlink ref="BP129" r:id="rId475" xr:uid="{00000000-0004-0000-0300-0000DA010000}"/>
    <hyperlink ref="BI130" r:id="rId476" xr:uid="{00000000-0004-0000-0300-0000DB010000}"/>
    <hyperlink ref="BL130" r:id="rId477" xr:uid="{00000000-0004-0000-0300-0000DC010000}"/>
    <hyperlink ref="BP130" r:id="rId478" xr:uid="{00000000-0004-0000-0300-0000DD010000}"/>
    <hyperlink ref="BI131" r:id="rId479" xr:uid="{00000000-0004-0000-0300-0000DE010000}"/>
    <hyperlink ref="BM131" r:id="rId480" xr:uid="{00000000-0004-0000-0300-0000DF010000}"/>
    <hyperlink ref="BN131" r:id="rId481" xr:uid="{00000000-0004-0000-0300-0000E0010000}"/>
    <hyperlink ref="BO131" r:id="rId482" xr:uid="{00000000-0004-0000-0300-0000E1010000}"/>
    <hyperlink ref="BP131" r:id="rId483" xr:uid="{00000000-0004-0000-0300-0000E2010000}"/>
    <hyperlink ref="BI132" r:id="rId484" xr:uid="{00000000-0004-0000-0300-0000E3010000}"/>
    <hyperlink ref="BP132" r:id="rId485" xr:uid="{00000000-0004-0000-0300-0000E4010000}"/>
    <hyperlink ref="BI133" r:id="rId486" xr:uid="{00000000-0004-0000-0300-0000E5010000}"/>
    <hyperlink ref="BL133" r:id="rId487" xr:uid="{00000000-0004-0000-0300-0000E6010000}"/>
    <hyperlink ref="BP133" r:id="rId488" xr:uid="{00000000-0004-0000-0300-0000E7010000}"/>
    <hyperlink ref="BI134" r:id="rId489" xr:uid="{00000000-0004-0000-0300-0000E8010000}"/>
    <hyperlink ref="BL134" r:id="rId490" xr:uid="{00000000-0004-0000-0300-0000E9010000}"/>
    <hyperlink ref="BN134" r:id="rId491" xr:uid="{00000000-0004-0000-0300-0000EA010000}"/>
    <hyperlink ref="BO134" r:id="rId492" xr:uid="{00000000-0004-0000-0300-0000EB010000}"/>
    <hyperlink ref="BP134" r:id="rId493" xr:uid="{00000000-0004-0000-0300-0000EC010000}"/>
    <hyperlink ref="BI135" r:id="rId494" xr:uid="{00000000-0004-0000-0300-0000ED010000}"/>
    <hyperlink ref="BM135" r:id="rId495" xr:uid="{00000000-0004-0000-0300-0000EE010000}"/>
    <hyperlink ref="BP135" r:id="rId496" xr:uid="{00000000-0004-0000-0300-0000EF010000}"/>
    <hyperlink ref="BI136" r:id="rId497" xr:uid="{00000000-0004-0000-0300-0000F0010000}"/>
    <hyperlink ref="BL136" r:id="rId498" xr:uid="{00000000-0004-0000-0300-0000F1010000}"/>
    <hyperlink ref="BM136" r:id="rId499" xr:uid="{00000000-0004-0000-0300-0000F2010000}"/>
    <hyperlink ref="BN136" r:id="rId500" xr:uid="{00000000-0004-0000-0300-0000F3010000}"/>
    <hyperlink ref="BO136" r:id="rId501" xr:uid="{00000000-0004-0000-0300-0000F4010000}"/>
    <hyperlink ref="BP136" r:id="rId502" xr:uid="{00000000-0004-0000-0300-0000F5010000}"/>
    <hyperlink ref="BI137" r:id="rId503" xr:uid="{00000000-0004-0000-0300-0000F6010000}"/>
    <hyperlink ref="BP137" r:id="rId504" xr:uid="{00000000-0004-0000-0300-0000F7010000}"/>
    <hyperlink ref="BI138" r:id="rId505" xr:uid="{00000000-0004-0000-0300-0000F8010000}"/>
    <hyperlink ref="BL138" r:id="rId506" xr:uid="{00000000-0004-0000-0300-0000F9010000}"/>
    <hyperlink ref="BP138" r:id="rId507" xr:uid="{00000000-0004-0000-0300-0000FA010000}"/>
    <hyperlink ref="BI139" r:id="rId508" xr:uid="{00000000-0004-0000-0300-0000FB010000}"/>
    <hyperlink ref="BP139" r:id="rId509" xr:uid="{00000000-0004-0000-0300-0000FC010000}"/>
    <hyperlink ref="BI140" r:id="rId510" xr:uid="{00000000-0004-0000-0300-0000FD010000}"/>
    <hyperlink ref="BN140" r:id="rId511" xr:uid="{00000000-0004-0000-0300-0000FE010000}"/>
    <hyperlink ref="BP140" r:id="rId512" xr:uid="{00000000-0004-0000-0300-0000FF010000}"/>
    <hyperlink ref="BI141" r:id="rId513" xr:uid="{00000000-0004-0000-0300-000000020000}"/>
    <hyperlink ref="BL141" r:id="rId514" xr:uid="{00000000-0004-0000-0300-000001020000}"/>
    <hyperlink ref="BM141" r:id="rId515" xr:uid="{00000000-0004-0000-0300-000002020000}"/>
    <hyperlink ref="BN141" r:id="rId516" xr:uid="{00000000-0004-0000-0300-000003020000}"/>
    <hyperlink ref="BP141" r:id="rId517" xr:uid="{00000000-0004-0000-0300-000004020000}"/>
    <hyperlink ref="BI142" r:id="rId518" xr:uid="{00000000-0004-0000-0300-000005020000}"/>
    <hyperlink ref="BP142" r:id="rId519" xr:uid="{00000000-0004-0000-0300-000006020000}"/>
    <hyperlink ref="BI143" r:id="rId520" xr:uid="{00000000-0004-0000-0300-000007020000}"/>
    <hyperlink ref="BL143" r:id="rId521" xr:uid="{00000000-0004-0000-0300-000008020000}"/>
    <hyperlink ref="BM143" r:id="rId522" xr:uid="{00000000-0004-0000-0300-000009020000}"/>
    <hyperlink ref="BN143" r:id="rId523" xr:uid="{00000000-0004-0000-0300-00000A020000}"/>
    <hyperlink ref="BP143" r:id="rId524" xr:uid="{00000000-0004-0000-0300-00000B020000}"/>
    <hyperlink ref="BI144" r:id="rId525" xr:uid="{00000000-0004-0000-0300-00000C020000}"/>
    <hyperlink ref="BP144" r:id="rId526" xr:uid="{00000000-0004-0000-0300-00000D020000}"/>
    <hyperlink ref="BI145" r:id="rId527" xr:uid="{00000000-0004-0000-0300-00000E020000}"/>
    <hyperlink ref="BL145" r:id="rId528" xr:uid="{00000000-0004-0000-0300-00000F020000}"/>
    <hyperlink ref="BM145" r:id="rId529" xr:uid="{00000000-0004-0000-0300-000010020000}"/>
    <hyperlink ref="BN145" r:id="rId530" xr:uid="{00000000-0004-0000-0300-000011020000}"/>
    <hyperlink ref="BO145" r:id="rId531" xr:uid="{00000000-0004-0000-0300-000012020000}"/>
    <hyperlink ref="BP145" r:id="rId532" xr:uid="{00000000-0004-0000-0300-000013020000}"/>
    <hyperlink ref="BI146" r:id="rId533" xr:uid="{00000000-0004-0000-0300-000014020000}"/>
    <hyperlink ref="BL146" r:id="rId534" xr:uid="{00000000-0004-0000-0300-000015020000}"/>
    <hyperlink ref="BM146" r:id="rId535" xr:uid="{00000000-0004-0000-0300-000016020000}"/>
    <hyperlink ref="BN146" r:id="rId536" xr:uid="{00000000-0004-0000-0300-000017020000}"/>
    <hyperlink ref="BP146" r:id="rId537" xr:uid="{00000000-0004-0000-0300-000018020000}"/>
    <hyperlink ref="BI147" r:id="rId538" xr:uid="{00000000-0004-0000-0300-000019020000}"/>
    <hyperlink ref="BP147" r:id="rId539" xr:uid="{00000000-0004-0000-0300-00001A020000}"/>
    <hyperlink ref="BI148" r:id="rId540" xr:uid="{00000000-0004-0000-0300-00001B020000}"/>
    <hyperlink ref="BP148" r:id="rId541" xr:uid="{00000000-0004-0000-0300-00001C020000}"/>
    <hyperlink ref="BI149" r:id="rId542" xr:uid="{00000000-0004-0000-0300-00001D020000}"/>
    <hyperlink ref="BL149" r:id="rId543" xr:uid="{00000000-0004-0000-0300-00001E020000}"/>
    <hyperlink ref="BP149" r:id="rId544" xr:uid="{00000000-0004-0000-0300-00001F020000}"/>
    <hyperlink ref="BI150" r:id="rId545" xr:uid="{00000000-0004-0000-0300-000020020000}"/>
    <hyperlink ref="BL150" r:id="rId546" xr:uid="{00000000-0004-0000-0300-000021020000}"/>
    <hyperlink ref="BM150" r:id="rId547" xr:uid="{00000000-0004-0000-0300-000022020000}"/>
    <hyperlink ref="BN150" r:id="rId548" xr:uid="{00000000-0004-0000-0300-000023020000}"/>
    <hyperlink ref="BP150" r:id="rId549" xr:uid="{00000000-0004-0000-0300-000024020000}"/>
    <hyperlink ref="BI151" r:id="rId550" xr:uid="{00000000-0004-0000-0300-000025020000}"/>
    <hyperlink ref="BL151" r:id="rId551" xr:uid="{00000000-0004-0000-0300-000026020000}"/>
    <hyperlink ref="BM151" r:id="rId552" xr:uid="{00000000-0004-0000-0300-000027020000}"/>
    <hyperlink ref="BN151" r:id="rId553" xr:uid="{00000000-0004-0000-0300-000028020000}"/>
    <hyperlink ref="BO151" r:id="rId554" xr:uid="{00000000-0004-0000-0300-000029020000}"/>
    <hyperlink ref="BP151" r:id="rId555" xr:uid="{00000000-0004-0000-0300-00002A020000}"/>
    <hyperlink ref="BI152" r:id="rId556" xr:uid="{00000000-0004-0000-0300-00002B020000}"/>
    <hyperlink ref="BL152" r:id="rId557" xr:uid="{00000000-0004-0000-0300-00002C020000}"/>
    <hyperlink ref="BM152" r:id="rId558" xr:uid="{00000000-0004-0000-0300-00002D020000}"/>
    <hyperlink ref="BN152" r:id="rId559" xr:uid="{00000000-0004-0000-0300-00002E020000}"/>
    <hyperlink ref="BP152" r:id="rId560" xr:uid="{00000000-0004-0000-0300-00002F020000}"/>
    <hyperlink ref="BI153" r:id="rId561" xr:uid="{00000000-0004-0000-0300-000030020000}"/>
    <hyperlink ref="BL153" r:id="rId562" xr:uid="{00000000-0004-0000-0300-000031020000}"/>
    <hyperlink ref="BM153" r:id="rId563" xr:uid="{00000000-0004-0000-0300-000032020000}"/>
    <hyperlink ref="BN153" r:id="rId564" xr:uid="{00000000-0004-0000-0300-000033020000}"/>
    <hyperlink ref="BO153" r:id="rId565" xr:uid="{00000000-0004-0000-0300-000034020000}"/>
    <hyperlink ref="BP153" r:id="rId566" xr:uid="{00000000-0004-0000-0300-000035020000}"/>
    <hyperlink ref="BI154" r:id="rId567" xr:uid="{00000000-0004-0000-0300-000036020000}"/>
    <hyperlink ref="BL154" r:id="rId568" xr:uid="{00000000-0004-0000-0300-000037020000}"/>
    <hyperlink ref="BM154" r:id="rId569" xr:uid="{00000000-0004-0000-0300-000038020000}"/>
    <hyperlink ref="BN154" r:id="rId570" xr:uid="{00000000-0004-0000-0300-000039020000}"/>
    <hyperlink ref="BO154" r:id="rId571" xr:uid="{00000000-0004-0000-0300-00003A020000}"/>
    <hyperlink ref="BP154" r:id="rId572" xr:uid="{00000000-0004-0000-0300-00003B020000}"/>
    <hyperlink ref="BI155" r:id="rId573" xr:uid="{00000000-0004-0000-0300-00003C020000}"/>
    <hyperlink ref="BL155" r:id="rId574" xr:uid="{00000000-0004-0000-0300-00003D020000}"/>
    <hyperlink ref="BM155" r:id="rId575" xr:uid="{00000000-0004-0000-0300-00003E020000}"/>
    <hyperlink ref="BP155" r:id="rId576" xr:uid="{00000000-0004-0000-0300-00003F020000}"/>
    <hyperlink ref="BI156" r:id="rId577" xr:uid="{00000000-0004-0000-0300-000040020000}"/>
    <hyperlink ref="BL156" r:id="rId578" xr:uid="{00000000-0004-0000-0300-000041020000}"/>
    <hyperlink ref="BM156" r:id="rId579" xr:uid="{00000000-0004-0000-0300-000042020000}"/>
    <hyperlink ref="BN156" r:id="rId580" xr:uid="{00000000-0004-0000-0300-000043020000}"/>
    <hyperlink ref="BP156" r:id="rId581" xr:uid="{00000000-0004-0000-0300-000044020000}"/>
    <hyperlink ref="BI157" r:id="rId582" xr:uid="{00000000-0004-0000-0300-000045020000}"/>
    <hyperlink ref="BL157" r:id="rId583" xr:uid="{00000000-0004-0000-0300-000046020000}"/>
    <hyperlink ref="BN157" r:id="rId584" xr:uid="{00000000-0004-0000-0300-000047020000}"/>
    <hyperlink ref="BP157" r:id="rId585" xr:uid="{00000000-0004-0000-0300-000048020000}"/>
    <hyperlink ref="BI158" r:id="rId586" xr:uid="{00000000-0004-0000-0300-000049020000}"/>
    <hyperlink ref="BL158" r:id="rId587" xr:uid="{00000000-0004-0000-0300-00004A020000}"/>
    <hyperlink ref="BP158" r:id="rId588" xr:uid="{00000000-0004-0000-0300-00004B020000}"/>
    <hyperlink ref="BI159" r:id="rId589" xr:uid="{00000000-0004-0000-0300-00004C020000}"/>
    <hyperlink ref="BL159" r:id="rId590" xr:uid="{00000000-0004-0000-0300-00004D020000}"/>
    <hyperlink ref="BM159" r:id="rId591" xr:uid="{00000000-0004-0000-0300-00004E020000}"/>
    <hyperlink ref="BN159" r:id="rId592" xr:uid="{00000000-0004-0000-0300-00004F020000}"/>
    <hyperlink ref="BP159" r:id="rId593" xr:uid="{00000000-0004-0000-0300-000050020000}"/>
    <hyperlink ref="BI160" r:id="rId594" xr:uid="{00000000-0004-0000-0300-000051020000}"/>
    <hyperlink ref="BL160" r:id="rId595" xr:uid="{00000000-0004-0000-0300-000052020000}"/>
    <hyperlink ref="BN160" r:id="rId596" xr:uid="{00000000-0004-0000-0300-000053020000}"/>
    <hyperlink ref="BP160" r:id="rId597" xr:uid="{00000000-0004-0000-0300-000054020000}"/>
    <hyperlink ref="BI161" r:id="rId598" xr:uid="{00000000-0004-0000-0300-000055020000}"/>
    <hyperlink ref="BL161" r:id="rId599" xr:uid="{00000000-0004-0000-0300-000056020000}"/>
    <hyperlink ref="BM161" r:id="rId600" xr:uid="{00000000-0004-0000-0300-000057020000}"/>
    <hyperlink ref="BN161" r:id="rId601" xr:uid="{00000000-0004-0000-0300-000058020000}"/>
    <hyperlink ref="BP161" r:id="rId602" xr:uid="{00000000-0004-0000-0300-000059020000}"/>
    <hyperlink ref="BI162" r:id="rId603" xr:uid="{00000000-0004-0000-0300-00005A020000}"/>
    <hyperlink ref="BL162" r:id="rId604" xr:uid="{00000000-0004-0000-0300-00005B020000}"/>
    <hyperlink ref="BN162" r:id="rId605" xr:uid="{00000000-0004-0000-0300-00005C020000}"/>
    <hyperlink ref="BP162" r:id="rId606" xr:uid="{00000000-0004-0000-0300-00005D020000}"/>
    <hyperlink ref="BI163" r:id="rId607" xr:uid="{00000000-0004-0000-0300-00005E020000}"/>
    <hyperlink ref="BL163" r:id="rId608" xr:uid="{00000000-0004-0000-0300-00005F020000}"/>
    <hyperlink ref="BP163" r:id="rId609" xr:uid="{00000000-0004-0000-0300-000060020000}"/>
    <hyperlink ref="BI164" r:id="rId610" xr:uid="{00000000-0004-0000-0300-000061020000}"/>
    <hyperlink ref="BL164" r:id="rId611" xr:uid="{00000000-0004-0000-0300-000062020000}"/>
    <hyperlink ref="BM164" r:id="rId612" xr:uid="{00000000-0004-0000-0300-000063020000}"/>
    <hyperlink ref="BP164" r:id="rId613" xr:uid="{00000000-0004-0000-0300-000064020000}"/>
    <hyperlink ref="BI165" r:id="rId614" xr:uid="{00000000-0004-0000-0300-000065020000}"/>
    <hyperlink ref="BL165" r:id="rId615" xr:uid="{00000000-0004-0000-0300-000066020000}"/>
    <hyperlink ref="BM165" r:id="rId616" xr:uid="{00000000-0004-0000-0300-000067020000}"/>
    <hyperlink ref="BN165" r:id="rId617" xr:uid="{00000000-0004-0000-0300-000068020000}"/>
    <hyperlink ref="BP165" r:id="rId618" xr:uid="{00000000-0004-0000-0300-000069020000}"/>
    <hyperlink ref="BI166" r:id="rId619" xr:uid="{00000000-0004-0000-0300-00006A020000}"/>
    <hyperlink ref="BL166" r:id="rId620" xr:uid="{00000000-0004-0000-0300-00006B020000}"/>
    <hyperlink ref="BM166" r:id="rId621" xr:uid="{00000000-0004-0000-0300-00006C020000}"/>
    <hyperlink ref="BN166" r:id="rId622" xr:uid="{00000000-0004-0000-0300-00006D020000}"/>
    <hyperlink ref="BP166" r:id="rId623" xr:uid="{00000000-0004-0000-0300-00006E020000}"/>
    <hyperlink ref="BI167" r:id="rId624" xr:uid="{00000000-0004-0000-0300-00006F020000}"/>
    <hyperlink ref="BP167" r:id="rId625" xr:uid="{00000000-0004-0000-0300-000070020000}"/>
    <hyperlink ref="BI168" r:id="rId626" xr:uid="{00000000-0004-0000-0300-000071020000}"/>
    <hyperlink ref="BL168" r:id="rId627" xr:uid="{00000000-0004-0000-0300-000072020000}"/>
    <hyperlink ref="BM168" r:id="rId628" xr:uid="{00000000-0004-0000-0300-000073020000}"/>
    <hyperlink ref="BP168" r:id="rId629" xr:uid="{00000000-0004-0000-0300-000074020000}"/>
    <hyperlink ref="BI169" r:id="rId630" xr:uid="{00000000-0004-0000-0300-000075020000}"/>
    <hyperlink ref="BP169" r:id="rId631" xr:uid="{00000000-0004-0000-0300-000076020000}"/>
    <hyperlink ref="BI170" r:id="rId632" xr:uid="{00000000-0004-0000-0300-000077020000}"/>
    <hyperlink ref="BL170" r:id="rId633" xr:uid="{00000000-0004-0000-0300-000078020000}"/>
    <hyperlink ref="BM170" r:id="rId634" xr:uid="{00000000-0004-0000-0300-000079020000}"/>
    <hyperlink ref="BN170" r:id="rId635" xr:uid="{00000000-0004-0000-0300-00007A020000}"/>
    <hyperlink ref="BP170" r:id="rId636" xr:uid="{00000000-0004-0000-0300-00007B020000}"/>
    <hyperlink ref="BI171" r:id="rId637" xr:uid="{00000000-0004-0000-0300-00007C020000}"/>
    <hyperlink ref="BL171" r:id="rId638" xr:uid="{00000000-0004-0000-0300-00007D020000}"/>
    <hyperlink ref="BM171" r:id="rId639" xr:uid="{00000000-0004-0000-0300-00007E020000}"/>
    <hyperlink ref="BN171" r:id="rId640" xr:uid="{00000000-0004-0000-0300-00007F020000}"/>
    <hyperlink ref="BP171" r:id="rId641" xr:uid="{00000000-0004-0000-0300-000080020000}"/>
    <hyperlink ref="BI172" r:id="rId642" xr:uid="{00000000-0004-0000-0300-000081020000}"/>
    <hyperlink ref="BL172" r:id="rId643" xr:uid="{00000000-0004-0000-0300-000082020000}"/>
    <hyperlink ref="BM172" r:id="rId644" xr:uid="{00000000-0004-0000-0300-000083020000}"/>
    <hyperlink ref="BN172" r:id="rId645" xr:uid="{00000000-0004-0000-0300-000084020000}"/>
    <hyperlink ref="BP172" r:id="rId646" xr:uid="{00000000-0004-0000-0300-000085020000}"/>
    <hyperlink ref="BI173" r:id="rId647" xr:uid="{00000000-0004-0000-0300-000086020000}"/>
    <hyperlink ref="BL173" r:id="rId648" xr:uid="{00000000-0004-0000-0300-000087020000}"/>
    <hyperlink ref="BP173" r:id="rId649" xr:uid="{00000000-0004-0000-0300-000088020000}"/>
    <hyperlink ref="BI174" r:id="rId650" xr:uid="{00000000-0004-0000-0300-000089020000}"/>
    <hyperlink ref="BL174" r:id="rId651" xr:uid="{00000000-0004-0000-0300-00008A020000}"/>
    <hyperlink ref="BM174" r:id="rId652" xr:uid="{00000000-0004-0000-0300-00008B020000}"/>
    <hyperlink ref="BN174" r:id="rId653" xr:uid="{00000000-0004-0000-0300-00008C020000}"/>
    <hyperlink ref="BP174" r:id="rId654" xr:uid="{00000000-0004-0000-0300-00008D020000}"/>
    <hyperlink ref="BI175" r:id="rId655" xr:uid="{00000000-0004-0000-0300-00008E020000}"/>
    <hyperlink ref="BL175" r:id="rId656" xr:uid="{00000000-0004-0000-0300-00008F020000}"/>
    <hyperlink ref="BM175" r:id="rId657" xr:uid="{00000000-0004-0000-0300-000090020000}"/>
    <hyperlink ref="BN175" r:id="rId658" xr:uid="{00000000-0004-0000-0300-000091020000}"/>
    <hyperlink ref="BP175" r:id="rId659" xr:uid="{00000000-0004-0000-0300-000092020000}"/>
    <hyperlink ref="BI176" r:id="rId660" xr:uid="{00000000-0004-0000-0300-000093020000}"/>
    <hyperlink ref="BL176" r:id="rId661" xr:uid="{00000000-0004-0000-0300-000094020000}"/>
    <hyperlink ref="BM176" r:id="rId662" xr:uid="{00000000-0004-0000-0300-000095020000}"/>
    <hyperlink ref="BN176" r:id="rId663" xr:uid="{00000000-0004-0000-0300-000096020000}"/>
    <hyperlink ref="BO176" r:id="rId664" xr:uid="{00000000-0004-0000-0300-000097020000}"/>
    <hyperlink ref="BP176" r:id="rId665" xr:uid="{00000000-0004-0000-0300-000098020000}"/>
    <hyperlink ref="BI177" r:id="rId666" xr:uid="{00000000-0004-0000-0300-000099020000}"/>
    <hyperlink ref="BL177" r:id="rId667" xr:uid="{00000000-0004-0000-0300-00009A020000}"/>
    <hyperlink ref="BN177" r:id="rId668" xr:uid="{00000000-0004-0000-0300-00009B020000}"/>
    <hyperlink ref="BP177" r:id="rId669" xr:uid="{00000000-0004-0000-0300-00009C020000}"/>
    <hyperlink ref="BI178" r:id="rId670" xr:uid="{00000000-0004-0000-0300-00009D020000}"/>
    <hyperlink ref="BP178" r:id="rId671" xr:uid="{00000000-0004-0000-0300-00009E020000}"/>
    <hyperlink ref="BI179" r:id="rId672" xr:uid="{00000000-0004-0000-0300-00009F020000}"/>
    <hyperlink ref="BL179" r:id="rId673" xr:uid="{00000000-0004-0000-0300-0000A0020000}"/>
    <hyperlink ref="BM179" r:id="rId674" xr:uid="{00000000-0004-0000-0300-0000A1020000}"/>
    <hyperlink ref="BN179" r:id="rId675" xr:uid="{00000000-0004-0000-0300-0000A2020000}"/>
    <hyperlink ref="BP179" r:id="rId676" xr:uid="{00000000-0004-0000-0300-0000A3020000}"/>
    <hyperlink ref="BI180" r:id="rId677" xr:uid="{00000000-0004-0000-0300-0000A4020000}"/>
    <hyperlink ref="BN180" r:id="rId678" xr:uid="{00000000-0004-0000-0300-0000A5020000}"/>
    <hyperlink ref="BP180" r:id="rId679" xr:uid="{00000000-0004-0000-0300-0000A6020000}"/>
    <hyperlink ref="BI181" r:id="rId680" xr:uid="{00000000-0004-0000-0300-0000A7020000}"/>
    <hyperlink ref="BP181" r:id="rId681" xr:uid="{00000000-0004-0000-0300-0000A8020000}"/>
    <hyperlink ref="BI182" r:id="rId682" xr:uid="{00000000-0004-0000-0300-0000A9020000}"/>
    <hyperlink ref="BP182" r:id="rId683" xr:uid="{00000000-0004-0000-0300-0000AA020000}"/>
    <hyperlink ref="BI183" r:id="rId684" xr:uid="{00000000-0004-0000-0300-0000AB020000}"/>
    <hyperlink ref="BP183" r:id="rId685" xr:uid="{00000000-0004-0000-0300-0000AC020000}"/>
    <hyperlink ref="BI184" r:id="rId686" xr:uid="{00000000-0004-0000-0300-0000AD020000}"/>
    <hyperlink ref="BL184" r:id="rId687" xr:uid="{00000000-0004-0000-0300-0000AE020000}"/>
    <hyperlink ref="BP184" r:id="rId688" xr:uid="{00000000-0004-0000-0300-0000AF020000}"/>
    <hyperlink ref="BI185" r:id="rId689" xr:uid="{00000000-0004-0000-0300-0000B0020000}"/>
    <hyperlink ref="BL185" r:id="rId690" xr:uid="{00000000-0004-0000-0300-0000B1020000}"/>
    <hyperlink ref="BM185" r:id="rId691" xr:uid="{00000000-0004-0000-0300-0000B2020000}"/>
    <hyperlink ref="BP185" r:id="rId692" xr:uid="{00000000-0004-0000-0300-0000B3020000}"/>
    <hyperlink ref="BI186" r:id="rId693" xr:uid="{00000000-0004-0000-0300-0000B4020000}"/>
    <hyperlink ref="BP186" r:id="rId694" xr:uid="{00000000-0004-0000-0300-0000B5020000}"/>
    <hyperlink ref="BI187" r:id="rId695" xr:uid="{00000000-0004-0000-0300-0000B6020000}"/>
    <hyperlink ref="BP187" r:id="rId696" xr:uid="{00000000-0004-0000-0300-0000B7020000}"/>
    <hyperlink ref="BI188" r:id="rId697" xr:uid="{00000000-0004-0000-0300-0000B8020000}"/>
    <hyperlink ref="BL188" r:id="rId698" xr:uid="{00000000-0004-0000-0300-0000B9020000}"/>
    <hyperlink ref="BM188" r:id="rId699" xr:uid="{00000000-0004-0000-0300-0000BA020000}"/>
    <hyperlink ref="BN188" r:id="rId700" xr:uid="{00000000-0004-0000-0300-0000BB020000}"/>
    <hyperlink ref="BP188" r:id="rId701" xr:uid="{00000000-0004-0000-0300-0000BC020000}"/>
    <hyperlink ref="BI189" r:id="rId702" xr:uid="{00000000-0004-0000-0300-0000BD020000}"/>
    <hyperlink ref="BL189" r:id="rId703" xr:uid="{00000000-0004-0000-0300-0000BE020000}"/>
    <hyperlink ref="BP189" r:id="rId704" xr:uid="{00000000-0004-0000-0300-0000BF020000}"/>
    <hyperlink ref="BI190" r:id="rId705" xr:uid="{00000000-0004-0000-0300-0000C0020000}"/>
    <hyperlink ref="BP190" r:id="rId706" xr:uid="{00000000-0004-0000-0300-0000C1020000}"/>
    <hyperlink ref="BI191" r:id="rId707" xr:uid="{00000000-0004-0000-0300-0000C2020000}"/>
    <hyperlink ref="BL191" r:id="rId708" xr:uid="{00000000-0004-0000-0300-0000C3020000}"/>
    <hyperlink ref="BP191" r:id="rId709" xr:uid="{00000000-0004-0000-0300-0000C4020000}"/>
    <hyperlink ref="BI192" r:id="rId710" xr:uid="{00000000-0004-0000-0300-0000C5020000}"/>
    <hyperlink ref="BL192" r:id="rId711" xr:uid="{00000000-0004-0000-0300-0000C6020000}"/>
    <hyperlink ref="BM192" r:id="rId712" xr:uid="{00000000-0004-0000-0300-0000C7020000}"/>
    <hyperlink ref="BN192" r:id="rId713" xr:uid="{00000000-0004-0000-0300-0000C8020000}"/>
    <hyperlink ref="BO192" r:id="rId714" xr:uid="{00000000-0004-0000-0300-0000C9020000}"/>
    <hyperlink ref="BP192" r:id="rId715" xr:uid="{00000000-0004-0000-0300-0000CA020000}"/>
    <hyperlink ref="BI193" r:id="rId716" xr:uid="{00000000-0004-0000-0300-0000CB020000}"/>
    <hyperlink ref="BM193" r:id="rId717" xr:uid="{00000000-0004-0000-0300-0000CC020000}"/>
    <hyperlink ref="BP193" r:id="rId718" xr:uid="{00000000-0004-0000-0300-0000CD020000}"/>
    <hyperlink ref="BI194" r:id="rId719" xr:uid="{00000000-0004-0000-0300-0000CE020000}"/>
    <hyperlink ref="BL194" r:id="rId720" xr:uid="{00000000-0004-0000-0300-0000CF020000}"/>
    <hyperlink ref="BM194" r:id="rId721" xr:uid="{00000000-0004-0000-0300-0000D0020000}"/>
    <hyperlink ref="BN194" r:id="rId722" xr:uid="{00000000-0004-0000-0300-0000D1020000}"/>
    <hyperlink ref="BP194" r:id="rId723" xr:uid="{00000000-0004-0000-0300-0000D2020000}"/>
    <hyperlink ref="BI195" r:id="rId724" xr:uid="{00000000-0004-0000-0300-0000D3020000}"/>
    <hyperlink ref="BL195" r:id="rId725" xr:uid="{00000000-0004-0000-0300-0000D4020000}"/>
    <hyperlink ref="BM195" r:id="rId726" xr:uid="{00000000-0004-0000-0300-0000D5020000}"/>
    <hyperlink ref="BN195" r:id="rId727" xr:uid="{00000000-0004-0000-0300-0000D6020000}"/>
    <hyperlink ref="BO195" r:id="rId728" xr:uid="{00000000-0004-0000-0300-0000D7020000}"/>
    <hyperlink ref="BP195" r:id="rId729" xr:uid="{00000000-0004-0000-0300-0000D8020000}"/>
    <hyperlink ref="BI196" r:id="rId730" xr:uid="{00000000-0004-0000-0300-0000D9020000}"/>
    <hyperlink ref="BL196" r:id="rId731" xr:uid="{00000000-0004-0000-0300-0000DA020000}"/>
    <hyperlink ref="BM196" r:id="rId732" xr:uid="{00000000-0004-0000-0300-0000DB020000}"/>
    <hyperlink ref="BP196" r:id="rId733" xr:uid="{00000000-0004-0000-0300-0000DC020000}"/>
    <hyperlink ref="AH197" r:id="rId734" xr:uid="{00000000-0004-0000-0300-0000DD020000}"/>
    <hyperlink ref="BI197" r:id="rId735" xr:uid="{00000000-0004-0000-0300-0000DE020000}"/>
    <hyperlink ref="BL197" r:id="rId736" xr:uid="{00000000-0004-0000-0300-0000DF020000}"/>
    <hyperlink ref="BM197" r:id="rId737" xr:uid="{00000000-0004-0000-0300-0000E0020000}"/>
    <hyperlink ref="BP197" r:id="rId738" xr:uid="{00000000-0004-0000-0300-0000E1020000}"/>
    <hyperlink ref="BI198" r:id="rId739" xr:uid="{00000000-0004-0000-0300-0000E2020000}"/>
    <hyperlink ref="BP198" r:id="rId740" xr:uid="{00000000-0004-0000-0300-0000E3020000}"/>
    <hyperlink ref="BI199" r:id="rId741" xr:uid="{00000000-0004-0000-0300-0000E4020000}"/>
    <hyperlink ref="BL199" r:id="rId742" xr:uid="{00000000-0004-0000-0300-0000E5020000}"/>
    <hyperlink ref="BP199" r:id="rId743" xr:uid="{00000000-0004-0000-0300-0000E6020000}"/>
    <hyperlink ref="BI200" r:id="rId744" xr:uid="{00000000-0004-0000-0300-0000E7020000}"/>
    <hyperlink ref="BN200" r:id="rId745" xr:uid="{00000000-0004-0000-0300-0000E8020000}"/>
    <hyperlink ref="BP200" r:id="rId746" xr:uid="{00000000-0004-0000-0300-0000E9020000}"/>
    <hyperlink ref="BI201" r:id="rId747" xr:uid="{00000000-0004-0000-0300-0000EA020000}"/>
    <hyperlink ref="BP201" r:id="rId748" xr:uid="{00000000-0004-0000-0300-0000EB020000}"/>
    <hyperlink ref="BI202" r:id="rId749" xr:uid="{00000000-0004-0000-0300-0000EC020000}"/>
    <hyperlink ref="BL202" r:id="rId750" xr:uid="{00000000-0004-0000-0300-0000ED020000}"/>
    <hyperlink ref="BP202" r:id="rId751" xr:uid="{00000000-0004-0000-0300-0000EE020000}"/>
    <hyperlink ref="BI203" r:id="rId752" xr:uid="{00000000-0004-0000-0300-0000EF020000}"/>
    <hyperlink ref="BL203" r:id="rId753" xr:uid="{00000000-0004-0000-0300-0000F0020000}"/>
    <hyperlink ref="BM203" r:id="rId754" xr:uid="{00000000-0004-0000-0300-0000F1020000}"/>
    <hyperlink ref="BN203" r:id="rId755" xr:uid="{00000000-0004-0000-0300-0000F2020000}"/>
    <hyperlink ref="BP203" r:id="rId756" xr:uid="{00000000-0004-0000-0300-0000F3020000}"/>
    <hyperlink ref="BI204" r:id="rId757" xr:uid="{00000000-0004-0000-0300-0000F4020000}"/>
    <hyperlink ref="BL204" r:id="rId758" xr:uid="{00000000-0004-0000-0300-0000F5020000}"/>
    <hyperlink ref="BM204" r:id="rId759" xr:uid="{00000000-0004-0000-0300-0000F6020000}"/>
    <hyperlink ref="BN204" r:id="rId760" xr:uid="{00000000-0004-0000-0300-0000F7020000}"/>
    <hyperlink ref="BP204" r:id="rId761" xr:uid="{00000000-0004-0000-0300-0000F8020000}"/>
    <hyperlink ref="AH205" r:id="rId762" xr:uid="{00000000-0004-0000-0300-0000F9020000}"/>
    <hyperlink ref="BI205" r:id="rId763" xr:uid="{00000000-0004-0000-0300-0000FA020000}"/>
    <hyperlink ref="BL205" r:id="rId764" xr:uid="{00000000-0004-0000-0300-0000FB020000}"/>
    <hyperlink ref="BM205" r:id="rId765" xr:uid="{00000000-0004-0000-0300-0000FC020000}"/>
    <hyperlink ref="BN205" r:id="rId766" xr:uid="{00000000-0004-0000-0300-0000FD020000}"/>
    <hyperlink ref="BP205" r:id="rId767" xr:uid="{00000000-0004-0000-0300-0000FE020000}"/>
    <hyperlink ref="BI206" r:id="rId768" xr:uid="{00000000-0004-0000-0300-0000FF020000}"/>
    <hyperlink ref="BL206" r:id="rId769" xr:uid="{00000000-0004-0000-0300-000000030000}"/>
    <hyperlink ref="BM206" r:id="rId770" xr:uid="{00000000-0004-0000-0300-000001030000}"/>
    <hyperlink ref="BP206" r:id="rId771" xr:uid="{00000000-0004-0000-0300-000002030000}"/>
    <hyperlink ref="BI207" r:id="rId772" xr:uid="{00000000-0004-0000-0300-000003030000}"/>
    <hyperlink ref="BL207" r:id="rId773" xr:uid="{00000000-0004-0000-0300-000004030000}"/>
    <hyperlink ref="BM207" r:id="rId774" xr:uid="{00000000-0004-0000-0300-000005030000}"/>
    <hyperlink ref="BN207" r:id="rId775" xr:uid="{00000000-0004-0000-0300-000006030000}"/>
    <hyperlink ref="BO207" r:id="rId776" xr:uid="{00000000-0004-0000-0300-000007030000}"/>
    <hyperlink ref="BP207" r:id="rId777" xr:uid="{00000000-0004-0000-0300-000008030000}"/>
    <hyperlink ref="BI208" r:id="rId778" xr:uid="{00000000-0004-0000-0300-000009030000}"/>
    <hyperlink ref="BL208" r:id="rId779" xr:uid="{00000000-0004-0000-0300-00000A030000}"/>
    <hyperlink ref="BM208" r:id="rId780" xr:uid="{00000000-0004-0000-0300-00000B030000}"/>
    <hyperlink ref="BP208" r:id="rId781" xr:uid="{00000000-0004-0000-0300-00000C030000}"/>
    <hyperlink ref="BI209" r:id="rId782" xr:uid="{00000000-0004-0000-0300-00000D030000}"/>
    <hyperlink ref="BP209" r:id="rId783" xr:uid="{00000000-0004-0000-0300-00000E030000}"/>
    <hyperlink ref="BI210" r:id="rId784" xr:uid="{00000000-0004-0000-0300-00000F030000}"/>
    <hyperlink ref="BL210" r:id="rId785" xr:uid="{00000000-0004-0000-0300-000010030000}"/>
    <hyperlink ref="BM210" r:id="rId786" xr:uid="{00000000-0004-0000-0300-000011030000}"/>
    <hyperlink ref="BP210" r:id="rId787" xr:uid="{00000000-0004-0000-0300-000012030000}"/>
    <hyperlink ref="BI211" r:id="rId788" xr:uid="{00000000-0004-0000-0300-000013030000}"/>
    <hyperlink ref="BP211" r:id="rId789" xr:uid="{00000000-0004-0000-0300-000014030000}"/>
    <hyperlink ref="BI212" r:id="rId790" xr:uid="{00000000-0004-0000-0300-000015030000}"/>
    <hyperlink ref="BL212" r:id="rId791" xr:uid="{00000000-0004-0000-0300-000016030000}"/>
    <hyperlink ref="BP212" r:id="rId792" xr:uid="{00000000-0004-0000-0300-000017030000}"/>
    <hyperlink ref="BI213" r:id="rId793" xr:uid="{00000000-0004-0000-0300-000018030000}"/>
    <hyperlink ref="BL213" r:id="rId794" xr:uid="{00000000-0004-0000-0300-000019030000}"/>
    <hyperlink ref="BM213" r:id="rId795" xr:uid="{00000000-0004-0000-0300-00001A030000}"/>
    <hyperlink ref="BP213" r:id="rId796" xr:uid="{00000000-0004-0000-0300-00001B030000}"/>
    <hyperlink ref="BI214" r:id="rId797" xr:uid="{00000000-0004-0000-0300-00001C030000}"/>
    <hyperlink ref="BL214" r:id="rId798" xr:uid="{00000000-0004-0000-0300-00001D030000}"/>
    <hyperlink ref="BP214" r:id="rId799" xr:uid="{00000000-0004-0000-0300-00001E030000}"/>
    <hyperlink ref="BI215" r:id="rId800" xr:uid="{00000000-0004-0000-0300-00001F030000}"/>
    <hyperlink ref="BM215" r:id="rId801" xr:uid="{00000000-0004-0000-0300-000020030000}"/>
    <hyperlink ref="BP215" r:id="rId802" xr:uid="{00000000-0004-0000-0300-000021030000}"/>
    <hyperlink ref="BI216" r:id="rId803" xr:uid="{00000000-0004-0000-0300-000022030000}"/>
    <hyperlink ref="BM216" r:id="rId804" xr:uid="{00000000-0004-0000-0300-000023030000}"/>
    <hyperlink ref="BP216" r:id="rId805" xr:uid="{00000000-0004-0000-0300-000024030000}"/>
    <hyperlink ref="AH217" r:id="rId806" xr:uid="{00000000-0004-0000-0300-000025030000}"/>
    <hyperlink ref="BI217" r:id="rId807" xr:uid="{00000000-0004-0000-0300-000026030000}"/>
    <hyperlink ref="BL217" r:id="rId808" xr:uid="{00000000-0004-0000-0300-000027030000}"/>
    <hyperlink ref="BM217" r:id="rId809" xr:uid="{00000000-0004-0000-0300-000028030000}"/>
    <hyperlink ref="BN217" r:id="rId810" xr:uid="{00000000-0004-0000-0300-000029030000}"/>
    <hyperlink ref="BO217" r:id="rId811" xr:uid="{00000000-0004-0000-0300-00002A030000}"/>
    <hyperlink ref="BP217" r:id="rId812" xr:uid="{00000000-0004-0000-0300-00002B030000}"/>
    <hyperlink ref="BI218" r:id="rId813" xr:uid="{00000000-0004-0000-0300-00002C030000}"/>
    <hyperlink ref="BL218" r:id="rId814" xr:uid="{00000000-0004-0000-0300-00002D030000}"/>
    <hyperlink ref="BM218" r:id="rId815" xr:uid="{00000000-0004-0000-0300-00002E030000}"/>
    <hyperlink ref="BN218" r:id="rId816" xr:uid="{00000000-0004-0000-0300-00002F030000}"/>
    <hyperlink ref="BP218" r:id="rId817" xr:uid="{00000000-0004-0000-0300-000030030000}"/>
    <hyperlink ref="BI219" r:id="rId818" xr:uid="{00000000-0004-0000-0300-000031030000}"/>
    <hyperlink ref="BL219" r:id="rId819" xr:uid="{00000000-0004-0000-0300-000032030000}"/>
    <hyperlink ref="BM219" r:id="rId820" xr:uid="{00000000-0004-0000-0300-000033030000}"/>
    <hyperlink ref="BP219" r:id="rId821" xr:uid="{00000000-0004-0000-0300-000034030000}"/>
    <hyperlink ref="BI220" r:id="rId822" xr:uid="{00000000-0004-0000-0300-000035030000}"/>
    <hyperlink ref="BM220" r:id="rId823" xr:uid="{00000000-0004-0000-0300-000036030000}"/>
    <hyperlink ref="BP220" r:id="rId824" xr:uid="{00000000-0004-0000-0300-000037030000}"/>
    <hyperlink ref="BI221" r:id="rId825" xr:uid="{00000000-0004-0000-0300-000038030000}"/>
    <hyperlink ref="BL221" r:id="rId826" xr:uid="{00000000-0004-0000-0300-000039030000}"/>
    <hyperlink ref="BN221" r:id="rId827" xr:uid="{00000000-0004-0000-0300-00003A030000}"/>
    <hyperlink ref="BP221" r:id="rId828" xr:uid="{00000000-0004-0000-0300-00003B030000}"/>
    <hyperlink ref="BI222" r:id="rId829" xr:uid="{00000000-0004-0000-0300-00003C030000}"/>
    <hyperlink ref="BP222" r:id="rId830" xr:uid="{00000000-0004-0000-0300-00003D030000}"/>
    <hyperlink ref="BI223" r:id="rId831" xr:uid="{00000000-0004-0000-0300-00003E030000}"/>
    <hyperlink ref="BP223" r:id="rId832" xr:uid="{00000000-0004-0000-0300-00003F030000}"/>
    <hyperlink ref="BI224" r:id="rId833" xr:uid="{00000000-0004-0000-0300-000040030000}"/>
    <hyperlink ref="BP224" r:id="rId834" xr:uid="{00000000-0004-0000-0300-000041030000}"/>
    <hyperlink ref="BI225" r:id="rId835" xr:uid="{00000000-0004-0000-0300-000042030000}"/>
    <hyperlink ref="BL225" r:id="rId836" xr:uid="{00000000-0004-0000-0300-000043030000}"/>
    <hyperlink ref="BM225" r:id="rId837" xr:uid="{00000000-0004-0000-0300-000044030000}"/>
    <hyperlink ref="BN225" r:id="rId838" xr:uid="{00000000-0004-0000-0300-000045030000}"/>
    <hyperlink ref="BP225" r:id="rId839" xr:uid="{00000000-0004-0000-0300-000046030000}"/>
    <hyperlink ref="BI226" r:id="rId840" xr:uid="{00000000-0004-0000-0300-000047030000}"/>
    <hyperlink ref="BL226" r:id="rId841" xr:uid="{00000000-0004-0000-0300-000048030000}"/>
    <hyperlink ref="BM226" r:id="rId842" xr:uid="{00000000-0004-0000-0300-000049030000}"/>
    <hyperlink ref="BN226" r:id="rId843" xr:uid="{00000000-0004-0000-0300-00004A030000}"/>
    <hyperlink ref="BP226" r:id="rId844" xr:uid="{00000000-0004-0000-0300-00004B030000}"/>
    <hyperlink ref="BI227" r:id="rId845" xr:uid="{00000000-0004-0000-0300-00004C030000}"/>
    <hyperlink ref="BL227" r:id="rId846" xr:uid="{00000000-0004-0000-0300-00004D030000}"/>
    <hyperlink ref="BM227" r:id="rId847" xr:uid="{00000000-0004-0000-0300-00004E030000}"/>
    <hyperlink ref="BP227" r:id="rId848" xr:uid="{00000000-0004-0000-0300-00004F030000}"/>
    <hyperlink ref="BI228" r:id="rId849" xr:uid="{00000000-0004-0000-0300-000050030000}"/>
    <hyperlink ref="BL228" r:id="rId850" xr:uid="{00000000-0004-0000-0300-000051030000}"/>
    <hyperlink ref="BM228" r:id="rId851" xr:uid="{00000000-0004-0000-0300-000052030000}"/>
    <hyperlink ref="BN228" r:id="rId852" xr:uid="{00000000-0004-0000-0300-000053030000}"/>
    <hyperlink ref="BO228" r:id="rId853" xr:uid="{00000000-0004-0000-0300-000054030000}"/>
    <hyperlink ref="BP228" r:id="rId854" xr:uid="{00000000-0004-0000-0300-000055030000}"/>
    <hyperlink ref="BI229" r:id="rId855" xr:uid="{00000000-0004-0000-0300-000056030000}"/>
    <hyperlink ref="BP229" r:id="rId856" xr:uid="{00000000-0004-0000-0300-000057030000}"/>
    <hyperlink ref="BI230" r:id="rId857" xr:uid="{00000000-0004-0000-0300-000058030000}"/>
    <hyperlink ref="BP230" r:id="rId858" xr:uid="{00000000-0004-0000-0300-000059030000}"/>
    <hyperlink ref="BI231" r:id="rId859" xr:uid="{00000000-0004-0000-0300-00005A030000}"/>
    <hyperlink ref="BP231" r:id="rId860" xr:uid="{00000000-0004-0000-0300-00005B030000}"/>
    <hyperlink ref="BI232" r:id="rId861" xr:uid="{00000000-0004-0000-0300-00005C030000}"/>
    <hyperlink ref="BN232" r:id="rId862" xr:uid="{00000000-0004-0000-0300-00005D030000}"/>
    <hyperlink ref="BP232" r:id="rId863" xr:uid="{00000000-0004-0000-0300-00005E030000}"/>
    <hyperlink ref="BI233" r:id="rId864" xr:uid="{00000000-0004-0000-0300-00005F030000}"/>
    <hyperlink ref="BL233" r:id="rId865" xr:uid="{00000000-0004-0000-0300-000060030000}"/>
    <hyperlink ref="BP233" r:id="rId866" xr:uid="{00000000-0004-0000-0300-000061030000}"/>
    <hyperlink ref="BI234" r:id="rId867" xr:uid="{00000000-0004-0000-0300-000062030000}"/>
    <hyperlink ref="BL234" r:id="rId868" xr:uid="{00000000-0004-0000-0300-000063030000}"/>
    <hyperlink ref="BM234" r:id="rId869" xr:uid="{00000000-0004-0000-0300-000064030000}"/>
    <hyperlink ref="BN234" r:id="rId870" xr:uid="{00000000-0004-0000-0300-000065030000}"/>
    <hyperlink ref="BO234" r:id="rId871" xr:uid="{00000000-0004-0000-0300-000066030000}"/>
    <hyperlink ref="BP234" r:id="rId872" xr:uid="{00000000-0004-0000-0300-000067030000}"/>
    <hyperlink ref="BI235" r:id="rId873" xr:uid="{00000000-0004-0000-0300-000068030000}"/>
    <hyperlink ref="BL235" r:id="rId874" xr:uid="{00000000-0004-0000-0300-000069030000}"/>
    <hyperlink ref="BM235" r:id="rId875" xr:uid="{00000000-0004-0000-0300-00006A030000}"/>
    <hyperlink ref="BN235" r:id="rId876" xr:uid="{00000000-0004-0000-0300-00006B030000}"/>
    <hyperlink ref="BP235" r:id="rId877" xr:uid="{00000000-0004-0000-0300-00006C030000}"/>
    <hyperlink ref="BI236" r:id="rId878" xr:uid="{00000000-0004-0000-0300-00006D030000}"/>
    <hyperlink ref="BL236" r:id="rId879" xr:uid="{00000000-0004-0000-0300-00006E030000}"/>
    <hyperlink ref="BM236" r:id="rId880" xr:uid="{00000000-0004-0000-0300-00006F030000}"/>
    <hyperlink ref="BN236" r:id="rId881" xr:uid="{00000000-0004-0000-0300-000070030000}"/>
    <hyperlink ref="BP236" r:id="rId882" xr:uid="{00000000-0004-0000-0300-000071030000}"/>
    <hyperlink ref="BI237" r:id="rId883" xr:uid="{00000000-0004-0000-0300-000072030000}"/>
    <hyperlink ref="BM237" r:id="rId884" xr:uid="{00000000-0004-0000-0300-000073030000}"/>
    <hyperlink ref="BN237" r:id="rId885" xr:uid="{00000000-0004-0000-0300-000074030000}"/>
    <hyperlink ref="BP237" r:id="rId886" xr:uid="{00000000-0004-0000-0300-000075030000}"/>
    <hyperlink ref="BI238" r:id="rId887" xr:uid="{00000000-0004-0000-0300-000076030000}"/>
    <hyperlink ref="BM238" r:id="rId888" xr:uid="{00000000-0004-0000-0300-000077030000}"/>
    <hyperlink ref="BP238" r:id="rId889" xr:uid="{00000000-0004-0000-0300-000078030000}"/>
    <hyperlink ref="AH239" r:id="rId890" xr:uid="{00000000-0004-0000-0300-000079030000}"/>
    <hyperlink ref="BI239" r:id="rId891" xr:uid="{00000000-0004-0000-0300-00007A030000}"/>
    <hyperlink ref="BL239" r:id="rId892" xr:uid="{00000000-0004-0000-0300-00007B030000}"/>
    <hyperlink ref="BM239" r:id="rId893" xr:uid="{00000000-0004-0000-0300-00007C030000}"/>
    <hyperlink ref="BN239" r:id="rId894" xr:uid="{00000000-0004-0000-0300-00007D030000}"/>
    <hyperlink ref="BO239" r:id="rId895" xr:uid="{00000000-0004-0000-0300-00007E030000}"/>
    <hyperlink ref="BP239" r:id="rId896" xr:uid="{00000000-0004-0000-0300-00007F030000}"/>
    <hyperlink ref="BI240" r:id="rId897" xr:uid="{00000000-0004-0000-0300-000080030000}"/>
    <hyperlink ref="BM240" r:id="rId898" xr:uid="{00000000-0004-0000-0300-000081030000}"/>
    <hyperlink ref="BP240" r:id="rId899" xr:uid="{00000000-0004-0000-0300-000082030000}"/>
    <hyperlink ref="AH241" r:id="rId900" xr:uid="{00000000-0004-0000-0300-000083030000}"/>
    <hyperlink ref="BI241" r:id="rId901" xr:uid="{00000000-0004-0000-0300-000084030000}"/>
    <hyperlink ref="BP241" r:id="rId902" xr:uid="{00000000-0004-0000-0300-000085030000}"/>
    <hyperlink ref="BI242" r:id="rId903" xr:uid="{00000000-0004-0000-0300-000086030000}"/>
    <hyperlink ref="BM242" r:id="rId904" xr:uid="{00000000-0004-0000-0300-000087030000}"/>
    <hyperlink ref="BN242" r:id="rId905" xr:uid="{00000000-0004-0000-0300-000088030000}"/>
    <hyperlink ref="BP242" r:id="rId906" xr:uid="{00000000-0004-0000-0300-000089030000}"/>
    <hyperlink ref="BI243" r:id="rId907" xr:uid="{00000000-0004-0000-0300-00008A030000}"/>
    <hyperlink ref="BL243" r:id="rId908" xr:uid="{00000000-0004-0000-0300-00008B030000}"/>
    <hyperlink ref="BM243" r:id="rId909" xr:uid="{00000000-0004-0000-0300-00008C030000}"/>
    <hyperlink ref="BN243" r:id="rId910" xr:uid="{00000000-0004-0000-0300-00008D030000}"/>
    <hyperlink ref="BO243" r:id="rId911" xr:uid="{00000000-0004-0000-0300-00008E030000}"/>
    <hyperlink ref="BP243" r:id="rId912" xr:uid="{00000000-0004-0000-0300-00008F030000}"/>
    <hyperlink ref="BI244" r:id="rId913" xr:uid="{00000000-0004-0000-0300-000090030000}"/>
    <hyperlink ref="BL244" r:id="rId914" xr:uid="{00000000-0004-0000-0300-000091030000}"/>
    <hyperlink ref="BM244" r:id="rId915" xr:uid="{00000000-0004-0000-0300-000092030000}"/>
    <hyperlink ref="BN244" r:id="rId916" xr:uid="{00000000-0004-0000-0300-000093030000}"/>
    <hyperlink ref="BO244" r:id="rId917" xr:uid="{00000000-0004-0000-0300-000094030000}"/>
    <hyperlink ref="BP244" r:id="rId918" xr:uid="{00000000-0004-0000-0300-000095030000}"/>
    <hyperlink ref="AH245" r:id="rId919" xr:uid="{00000000-0004-0000-0300-000096030000}"/>
    <hyperlink ref="BI245" r:id="rId920" xr:uid="{00000000-0004-0000-0300-000097030000}"/>
    <hyperlink ref="BL245" r:id="rId921" xr:uid="{00000000-0004-0000-0300-000098030000}"/>
    <hyperlink ref="BN245" r:id="rId922" xr:uid="{00000000-0004-0000-0300-000099030000}"/>
    <hyperlink ref="BP245" r:id="rId923" xr:uid="{00000000-0004-0000-0300-00009A030000}"/>
    <hyperlink ref="AH246" r:id="rId924" xr:uid="{00000000-0004-0000-0300-00009B030000}"/>
    <hyperlink ref="BI246" r:id="rId925" xr:uid="{00000000-0004-0000-0300-00009C030000}"/>
    <hyperlink ref="BL246" r:id="rId926" xr:uid="{00000000-0004-0000-0300-00009D030000}"/>
    <hyperlink ref="BP246" r:id="rId927" xr:uid="{00000000-0004-0000-0300-00009E030000}"/>
    <hyperlink ref="AH247" r:id="rId928" xr:uid="{00000000-0004-0000-0300-00009F030000}"/>
    <hyperlink ref="BI247" r:id="rId929" xr:uid="{00000000-0004-0000-0300-0000A0030000}"/>
    <hyperlink ref="BL247" r:id="rId930" xr:uid="{00000000-0004-0000-0300-0000A1030000}"/>
    <hyperlink ref="BM247" r:id="rId931" xr:uid="{00000000-0004-0000-0300-0000A2030000}"/>
    <hyperlink ref="BN247" r:id="rId932" xr:uid="{00000000-0004-0000-0300-0000A3030000}"/>
    <hyperlink ref="BP247" r:id="rId933" xr:uid="{00000000-0004-0000-0300-0000A4030000}"/>
    <hyperlink ref="AH248" r:id="rId934" xr:uid="{00000000-0004-0000-0300-0000A5030000}"/>
    <hyperlink ref="BI248" r:id="rId935" xr:uid="{00000000-0004-0000-0300-0000A6030000}"/>
    <hyperlink ref="BL248" r:id="rId936" xr:uid="{00000000-0004-0000-0300-0000A7030000}"/>
    <hyperlink ref="BN248" r:id="rId937" xr:uid="{00000000-0004-0000-0300-0000A8030000}"/>
    <hyperlink ref="BP248" r:id="rId938" xr:uid="{00000000-0004-0000-0300-0000A9030000}"/>
    <hyperlink ref="AH249" r:id="rId939" xr:uid="{00000000-0004-0000-0300-0000AA030000}"/>
    <hyperlink ref="BI249" r:id="rId940" xr:uid="{00000000-0004-0000-0300-0000AB030000}"/>
    <hyperlink ref="BL249" r:id="rId941" xr:uid="{00000000-0004-0000-0300-0000AC030000}"/>
    <hyperlink ref="BM249" r:id="rId942" xr:uid="{00000000-0004-0000-0300-0000AD030000}"/>
    <hyperlink ref="BN249" r:id="rId943" xr:uid="{00000000-0004-0000-0300-0000AE030000}"/>
    <hyperlink ref="BP249" r:id="rId944" xr:uid="{00000000-0004-0000-0300-0000AF030000}"/>
    <hyperlink ref="BI250" r:id="rId945" xr:uid="{00000000-0004-0000-0300-0000B0030000}"/>
    <hyperlink ref="BM250" r:id="rId946" xr:uid="{00000000-0004-0000-0300-0000B1030000}"/>
    <hyperlink ref="BP250" r:id="rId947" xr:uid="{00000000-0004-0000-0300-0000B2030000}"/>
    <hyperlink ref="AH251" r:id="rId948" xr:uid="{00000000-0004-0000-0300-0000B3030000}"/>
    <hyperlink ref="BI251" r:id="rId949" xr:uid="{00000000-0004-0000-0300-0000B4030000}"/>
    <hyperlink ref="BL251" r:id="rId950" xr:uid="{00000000-0004-0000-0300-0000B5030000}"/>
    <hyperlink ref="BM251" r:id="rId951" xr:uid="{00000000-0004-0000-0300-0000B6030000}"/>
    <hyperlink ref="BN251" r:id="rId952" xr:uid="{00000000-0004-0000-0300-0000B7030000}"/>
    <hyperlink ref="BO251" r:id="rId953" xr:uid="{00000000-0004-0000-0300-0000B8030000}"/>
    <hyperlink ref="BP251" r:id="rId954" xr:uid="{00000000-0004-0000-0300-0000B9030000}"/>
    <hyperlink ref="BI252" r:id="rId955" xr:uid="{00000000-0004-0000-0300-0000BA030000}"/>
    <hyperlink ref="BL252" r:id="rId956" xr:uid="{00000000-0004-0000-0300-0000BB030000}"/>
    <hyperlink ref="BM252" r:id="rId957" xr:uid="{00000000-0004-0000-0300-0000BC030000}"/>
    <hyperlink ref="BP252" r:id="rId958" xr:uid="{00000000-0004-0000-0300-0000BD030000}"/>
    <hyperlink ref="BI253" r:id="rId959" xr:uid="{00000000-0004-0000-0300-0000BE030000}"/>
    <hyperlink ref="BL253" r:id="rId960" xr:uid="{00000000-0004-0000-0300-0000BF030000}"/>
    <hyperlink ref="BM253" r:id="rId961" xr:uid="{00000000-0004-0000-0300-0000C0030000}"/>
    <hyperlink ref="BN253" r:id="rId962" xr:uid="{00000000-0004-0000-0300-0000C1030000}"/>
    <hyperlink ref="BP253" r:id="rId963" xr:uid="{00000000-0004-0000-0300-0000C2030000}"/>
    <hyperlink ref="BI254" r:id="rId964" xr:uid="{00000000-0004-0000-0300-0000C3030000}"/>
    <hyperlink ref="BN254" r:id="rId965" xr:uid="{00000000-0004-0000-0300-0000C4030000}"/>
    <hyperlink ref="BP254" r:id="rId966" xr:uid="{00000000-0004-0000-0300-0000C5030000}"/>
    <hyperlink ref="BI255" r:id="rId967" xr:uid="{00000000-0004-0000-0300-0000C6030000}"/>
    <hyperlink ref="BL255" r:id="rId968" xr:uid="{00000000-0004-0000-0300-0000C7030000}"/>
    <hyperlink ref="BM255" r:id="rId969" xr:uid="{00000000-0004-0000-0300-0000C8030000}"/>
    <hyperlink ref="BN255" r:id="rId970" xr:uid="{00000000-0004-0000-0300-0000C9030000}"/>
    <hyperlink ref="BP255" r:id="rId971" xr:uid="{00000000-0004-0000-0300-0000CA030000}"/>
    <hyperlink ref="BI256" r:id="rId972" xr:uid="{00000000-0004-0000-0300-0000CB030000}"/>
    <hyperlink ref="BL256" r:id="rId973" xr:uid="{00000000-0004-0000-0300-0000CC030000}"/>
    <hyperlink ref="BM256" r:id="rId974" xr:uid="{00000000-0004-0000-0300-0000CD030000}"/>
    <hyperlink ref="BN256" r:id="rId975" xr:uid="{00000000-0004-0000-0300-0000CE030000}"/>
    <hyperlink ref="BO256" r:id="rId976" xr:uid="{00000000-0004-0000-0300-0000CF030000}"/>
    <hyperlink ref="BP256" r:id="rId977" xr:uid="{00000000-0004-0000-0300-0000D0030000}"/>
    <hyperlink ref="AH257" r:id="rId978" xr:uid="{00000000-0004-0000-0300-0000D1030000}"/>
    <hyperlink ref="BI257" r:id="rId979" xr:uid="{00000000-0004-0000-0300-0000D2030000}"/>
    <hyperlink ref="BL257" r:id="rId980" xr:uid="{00000000-0004-0000-0300-0000D3030000}"/>
    <hyperlink ref="BM257" r:id="rId981" xr:uid="{00000000-0004-0000-0300-0000D4030000}"/>
    <hyperlink ref="BP257" r:id="rId982" xr:uid="{00000000-0004-0000-0300-0000D5030000}"/>
    <hyperlink ref="AH258" r:id="rId983" xr:uid="{00000000-0004-0000-0300-0000D6030000}"/>
    <hyperlink ref="BI258" r:id="rId984" xr:uid="{00000000-0004-0000-0300-0000D7030000}"/>
    <hyperlink ref="BL258" r:id="rId985" xr:uid="{00000000-0004-0000-0300-0000D8030000}"/>
    <hyperlink ref="BP258" r:id="rId986" xr:uid="{00000000-0004-0000-0300-0000D9030000}"/>
    <hyperlink ref="AH259" r:id="rId987" xr:uid="{00000000-0004-0000-0300-0000DA030000}"/>
    <hyperlink ref="BI259" r:id="rId988" xr:uid="{00000000-0004-0000-0300-0000DB030000}"/>
    <hyperlink ref="BL259" r:id="rId989" xr:uid="{00000000-0004-0000-0300-0000DC030000}"/>
    <hyperlink ref="BM259" r:id="rId990" xr:uid="{00000000-0004-0000-0300-0000DD030000}"/>
    <hyperlink ref="BN259" r:id="rId991" xr:uid="{00000000-0004-0000-0300-0000DE030000}"/>
    <hyperlink ref="BP259" r:id="rId992" xr:uid="{00000000-0004-0000-0300-0000DF030000}"/>
    <hyperlink ref="AH260" r:id="rId993" xr:uid="{00000000-0004-0000-0300-0000E0030000}"/>
    <hyperlink ref="BI260" r:id="rId994" xr:uid="{00000000-0004-0000-0300-0000E1030000}"/>
    <hyperlink ref="BL260" r:id="rId995" xr:uid="{00000000-0004-0000-0300-0000E2030000}"/>
    <hyperlink ref="BM260" r:id="rId996" xr:uid="{00000000-0004-0000-0300-0000E3030000}"/>
    <hyperlink ref="BN260" r:id="rId997" xr:uid="{00000000-0004-0000-0300-0000E4030000}"/>
    <hyperlink ref="BP260" r:id="rId998" xr:uid="{00000000-0004-0000-0300-0000E5030000}"/>
    <hyperlink ref="BI261" r:id="rId999" xr:uid="{00000000-0004-0000-0300-0000E6030000}"/>
    <hyperlink ref="BL261" r:id="rId1000" xr:uid="{00000000-0004-0000-0300-0000E7030000}"/>
    <hyperlink ref="BM261" r:id="rId1001" xr:uid="{00000000-0004-0000-0300-0000E8030000}"/>
    <hyperlink ref="BN261" r:id="rId1002" xr:uid="{00000000-0004-0000-0300-0000E9030000}"/>
    <hyperlink ref="BP261" r:id="rId1003" xr:uid="{00000000-0004-0000-0300-0000EA030000}"/>
    <hyperlink ref="BI262" r:id="rId1004" xr:uid="{00000000-0004-0000-0300-0000EB030000}"/>
    <hyperlink ref="BL262" r:id="rId1005" xr:uid="{00000000-0004-0000-0300-0000EC030000}"/>
    <hyperlink ref="BP262" r:id="rId1006" xr:uid="{00000000-0004-0000-0300-0000ED030000}"/>
    <hyperlink ref="BI263" r:id="rId1007" xr:uid="{00000000-0004-0000-0300-0000EE030000}"/>
    <hyperlink ref="BL263" r:id="rId1008" xr:uid="{00000000-0004-0000-0300-0000EF030000}"/>
    <hyperlink ref="BM263" r:id="rId1009" xr:uid="{00000000-0004-0000-0300-0000F0030000}"/>
    <hyperlink ref="BN263" r:id="rId1010" xr:uid="{00000000-0004-0000-0300-0000F1030000}"/>
    <hyperlink ref="BO263" r:id="rId1011" xr:uid="{00000000-0004-0000-0300-0000F2030000}"/>
    <hyperlink ref="BP263" r:id="rId1012" xr:uid="{00000000-0004-0000-0300-0000F3030000}"/>
    <hyperlink ref="AH264" r:id="rId1013" xr:uid="{00000000-0004-0000-0300-0000F4030000}"/>
    <hyperlink ref="BI264" r:id="rId1014" xr:uid="{00000000-0004-0000-0300-0000F5030000}"/>
    <hyperlink ref="BL264" r:id="rId1015" xr:uid="{00000000-0004-0000-0300-0000F6030000}"/>
    <hyperlink ref="BM264" r:id="rId1016" xr:uid="{00000000-0004-0000-0300-0000F7030000}"/>
    <hyperlink ref="BN264" r:id="rId1017" xr:uid="{00000000-0004-0000-0300-0000F8030000}"/>
    <hyperlink ref="BO264" r:id="rId1018" xr:uid="{00000000-0004-0000-0300-0000F9030000}"/>
    <hyperlink ref="BP264" r:id="rId1019" xr:uid="{00000000-0004-0000-0300-0000FA030000}"/>
    <hyperlink ref="BI265" r:id="rId1020" xr:uid="{00000000-0004-0000-0300-0000FB030000}"/>
    <hyperlink ref="BL265" r:id="rId1021" xr:uid="{00000000-0004-0000-0300-0000FC030000}"/>
    <hyperlink ref="BM265" r:id="rId1022" xr:uid="{00000000-0004-0000-0300-0000FD030000}"/>
    <hyperlink ref="BN265" r:id="rId1023" xr:uid="{00000000-0004-0000-0300-0000FE030000}"/>
    <hyperlink ref="BP265" r:id="rId1024" xr:uid="{00000000-0004-0000-0300-0000FF030000}"/>
    <hyperlink ref="BI266" r:id="rId1025" xr:uid="{00000000-0004-0000-0300-000000040000}"/>
    <hyperlink ref="BM266" r:id="rId1026" xr:uid="{00000000-0004-0000-0300-000001040000}"/>
    <hyperlink ref="BN266" r:id="rId1027" xr:uid="{00000000-0004-0000-0300-000002040000}"/>
    <hyperlink ref="BP266" r:id="rId1028" xr:uid="{00000000-0004-0000-0300-000003040000}"/>
    <hyperlink ref="BI267" r:id="rId1029" xr:uid="{00000000-0004-0000-0300-000004040000}"/>
    <hyperlink ref="BN267" r:id="rId1030" xr:uid="{00000000-0004-0000-0300-000005040000}"/>
    <hyperlink ref="BP267" r:id="rId1031" xr:uid="{00000000-0004-0000-0300-000006040000}"/>
    <hyperlink ref="BI268" r:id="rId1032" xr:uid="{00000000-0004-0000-0300-000007040000}"/>
    <hyperlink ref="BL268" r:id="rId1033" xr:uid="{00000000-0004-0000-0300-000008040000}"/>
    <hyperlink ref="BM268" r:id="rId1034" xr:uid="{00000000-0004-0000-0300-000009040000}"/>
    <hyperlink ref="BN268" r:id="rId1035" xr:uid="{00000000-0004-0000-0300-00000A040000}"/>
    <hyperlink ref="BP268" r:id="rId1036" xr:uid="{00000000-0004-0000-0300-00000B040000}"/>
    <hyperlink ref="AH269" r:id="rId1037" xr:uid="{00000000-0004-0000-0300-00000C040000}"/>
    <hyperlink ref="BI269" r:id="rId1038" xr:uid="{00000000-0004-0000-0300-00000D040000}"/>
    <hyperlink ref="BL269" r:id="rId1039" xr:uid="{00000000-0004-0000-0300-00000E040000}"/>
    <hyperlink ref="BM269" r:id="rId1040" xr:uid="{00000000-0004-0000-0300-00000F040000}"/>
    <hyperlink ref="BN269" r:id="rId1041" xr:uid="{00000000-0004-0000-0300-000010040000}"/>
    <hyperlink ref="BP269" r:id="rId1042" xr:uid="{00000000-0004-0000-0300-000011040000}"/>
    <hyperlink ref="AH270" r:id="rId1043" xr:uid="{00000000-0004-0000-0300-000012040000}"/>
    <hyperlink ref="BI270" r:id="rId1044" xr:uid="{00000000-0004-0000-0300-000013040000}"/>
    <hyperlink ref="BL270" r:id="rId1045" xr:uid="{00000000-0004-0000-0300-000014040000}"/>
    <hyperlink ref="BM270" r:id="rId1046" xr:uid="{00000000-0004-0000-0300-000015040000}"/>
    <hyperlink ref="BN270" r:id="rId1047" xr:uid="{00000000-0004-0000-0300-000016040000}"/>
    <hyperlink ref="BP270" r:id="rId1048" xr:uid="{00000000-0004-0000-0300-000017040000}"/>
    <hyperlink ref="AH271" r:id="rId1049" xr:uid="{00000000-0004-0000-0300-000018040000}"/>
    <hyperlink ref="BI271" r:id="rId1050" xr:uid="{00000000-0004-0000-0300-000019040000}"/>
    <hyperlink ref="BL271" r:id="rId1051" xr:uid="{00000000-0004-0000-0300-00001A040000}"/>
    <hyperlink ref="BM271" r:id="rId1052" xr:uid="{00000000-0004-0000-0300-00001B040000}"/>
    <hyperlink ref="BN271" r:id="rId1053" xr:uid="{00000000-0004-0000-0300-00001C040000}"/>
    <hyperlink ref="BO271" r:id="rId1054" xr:uid="{00000000-0004-0000-0300-00001D040000}"/>
    <hyperlink ref="BP271" r:id="rId1055" xr:uid="{00000000-0004-0000-0300-00001E040000}"/>
    <hyperlink ref="AH272" r:id="rId1056" xr:uid="{00000000-0004-0000-0300-00001F040000}"/>
    <hyperlink ref="BI272" r:id="rId1057" xr:uid="{00000000-0004-0000-0300-000020040000}"/>
    <hyperlink ref="BL272" r:id="rId1058" xr:uid="{00000000-0004-0000-0300-000021040000}"/>
    <hyperlink ref="BM272" r:id="rId1059" xr:uid="{00000000-0004-0000-0300-000022040000}"/>
    <hyperlink ref="BN272" r:id="rId1060" xr:uid="{00000000-0004-0000-0300-000023040000}"/>
    <hyperlink ref="BP272" r:id="rId1061" xr:uid="{00000000-0004-0000-0300-000024040000}"/>
    <hyperlink ref="BI273" r:id="rId1062" xr:uid="{00000000-0004-0000-0300-000025040000}"/>
    <hyperlink ref="BP273" r:id="rId1063" xr:uid="{00000000-0004-0000-0300-000026040000}"/>
    <hyperlink ref="BI274" r:id="rId1064" xr:uid="{00000000-0004-0000-0300-000027040000}"/>
    <hyperlink ref="BL274" r:id="rId1065" xr:uid="{00000000-0004-0000-0300-000028040000}"/>
    <hyperlink ref="BM274" r:id="rId1066" xr:uid="{00000000-0004-0000-0300-000029040000}"/>
    <hyperlink ref="BO274" r:id="rId1067" xr:uid="{00000000-0004-0000-0300-00002A040000}"/>
    <hyperlink ref="BP274" r:id="rId1068" xr:uid="{00000000-0004-0000-0300-00002B040000}"/>
    <hyperlink ref="AH275" r:id="rId1069" xr:uid="{00000000-0004-0000-0300-00002C040000}"/>
    <hyperlink ref="BI275" r:id="rId1070" xr:uid="{00000000-0004-0000-0300-00002D040000}"/>
    <hyperlink ref="BL275" r:id="rId1071" xr:uid="{00000000-0004-0000-0300-00002E040000}"/>
    <hyperlink ref="BM275" r:id="rId1072" xr:uid="{00000000-0004-0000-0300-00002F040000}"/>
    <hyperlink ref="BP275" r:id="rId1073" xr:uid="{00000000-0004-0000-0300-000030040000}"/>
    <hyperlink ref="BI276" r:id="rId1074" xr:uid="{00000000-0004-0000-0300-000031040000}"/>
    <hyperlink ref="BM276" r:id="rId1075" xr:uid="{00000000-0004-0000-0300-000032040000}"/>
    <hyperlink ref="BN276" r:id="rId1076" xr:uid="{00000000-0004-0000-0300-000033040000}"/>
    <hyperlink ref="BP276" r:id="rId1077" xr:uid="{00000000-0004-0000-0300-000034040000}"/>
    <hyperlink ref="BI277" r:id="rId1078" xr:uid="{00000000-0004-0000-0300-000035040000}"/>
    <hyperlink ref="BL277" r:id="rId1079" xr:uid="{00000000-0004-0000-0300-000036040000}"/>
    <hyperlink ref="BN277" r:id="rId1080" xr:uid="{00000000-0004-0000-0300-000037040000}"/>
    <hyperlink ref="BP277" r:id="rId1081" xr:uid="{00000000-0004-0000-0300-000038040000}"/>
    <hyperlink ref="AH278" r:id="rId1082" xr:uid="{00000000-0004-0000-0300-000039040000}"/>
    <hyperlink ref="BI278" r:id="rId1083" xr:uid="{00000000-0004-0000-0300-00003A040000}"/>
    <hyperlink ref="BL278" r:id="rId1084" xr:uid="{00000000-0004-0000-0300-00003B040000}"/>
    <hyperlink ref="BM278" r:id="rId1085" xr:uid="{00000000-0004-0000-0300-00003C040000}"/>
    <hyperlink ref="BN278" r:id="rId1086" xr:uid="{00000000-0004-0000-0300-00003D040000}"/>
    <hyperlink ref="BO278" r:id="rId1087" xr:uid="{00000000-0004-0000-0300-00003E040000}"/>
    <hyperlink ref="BP278" r:id="rId1088" xr:uid="{00000000-0004-0000-0300-00003F040000}"/>
    <hyperlink ref="BI279" r:id="rId1089" xr:uid="{00000000-0004-0000-0300-000040040000}"/>
    <hyperlink ref="BL279" r:id="rId1090" xr:uid="{00000000-0004-0000-0300-000041040000}"/>
    <hyperlink ref="BM279" r:id="rId1091" xr:uid="{00000000-0004-0000-0300-000042040000}"/>
    <hyperlink ref="BP279" r:id="rId1092" xr:uid="{00000000-0004-0000-0300-000043040000}"/>
    <hyperlink ref="BI280" r:id="rId1093" xr:uid="{00000000-0004-0000-0300-000044040000}"/>
    <hyperlink ref="BL280" r:id="rId1094" xr:uid="{00000000-0004-0000-0300-000045040000}"/>
    <hyperlink ref="BP280" r:id="rId1095" xr:uid="{00000000-0004-0000-0300-000046040000}"/>
    <hyperlink ref="AH281" r:id="rId1096" xr:uid="{00000000-0004-0000-0300-000047040000}"/>
    <hyperlink ref="BI281" r:id="rId1097" xr:uid="{00000000-0004-0000-0300-000048040000}"/>
    <hyperlink ref="BL281" r:id="rId1098" xr:uid="{00000000-0004-0000-0300-000049040000}"/>
    <hyperlink ref="BP281" r:id="rId1099" xr:uid="{00000000-0004-0000-0300-00004A040000}"/>
    <hyperlink ref="BI282" r:id="rId1100" xr:uid="{00000000-0004-0000-0300-00004B040000}"/>
    <hyperlink ref="BL282" r:id="rId1101" xr:uid="{00000000-0004-0000-0300-00004C040000}"/>
    <hyperlink ref="BM282" r:id="rId1102" xr:uid="{00000000-0004-0000-0300-00004D040000}"/>
    <hyperlink ref="BN282" r:id="rId1103" xr:uid="{00000000-0004-0000-0300-00004E040000}"/>
    <hyperlink ref="BP282" r:id="rId1104" xr:uid="{00000000-0004-0000-0300-00004F040000}"/>
    <hyperlink ref="BI283" r:id="rId1105" xr:uid="{00000000-0004-0000-0300-000050040000}"/>
    <hyperlink ref="BL283" r:id="rId1106" xr:uid="{00000000-0004-0000-0300-000051040000}"/>
    <hyperlink ref="BP283" r:id="rId1107" xr:uid="{00000000-0004-0000-0300-000052040000}"/>
    <hyperlink ref="BI284" r:id="rId1108" xr:uid="{00000000-0004-0000-0300-000053040000}"/>
    <hyperlink ref="BL284" r:id="rId1109" xr:uid="{00000000-0004-0000-0300-000054040000}"/>
    <hyperlink ref="BM284" r:id="rId1110" xr:uid="{00000000-0004-0000-0300-000055040000}"/>
    <hyperlink ref="BN284" r:id="rId1111" xr:uid="{00000000-0004-0000-0300-000056040000}"/>
    <hyperlink ref="BP284" r:id="rId1112" xr:uid="{00000000-0004-0000-0300-000057040000}"/>
    <hyperlink ref="AH285" r:id="rId1113" xr:uid="{00000000-0004-0000-0300-000058040000}"/>
    <hyperlink ref="BI285" r:id="rId1114" xr:uid="{00000000-0004-0000-0300-000059040000}"/>
    <hyperlink ref="BL285" r:id="rId1115" xr:uid="{00000000-0004-0000-0300-00005A040000}"/>
    <hyperlink ref="BN285" r:id="rId1116" xr:uid="{00000000-0004-0000-0300-00005B040000}"/>
    <hyperlink ref="BO285" r:id="rId1117" xr:uid="{00000000-0004-0000-0300-00005C040000}"/>
    <hyperlink ref="BP285" r:id="rId1118" xr:uid="{00000000-0004-0000-0300-00005D040000}"/>
    <hyperlink ref="AH286" r:id="rId1119" xr:uid="{00000000-0004-0000-0300-00005E040000}"/>
    <hyperlink ref="BI286" r:id="rId1120" xr:uid="{00000000-0004-0000-0300-00005F040000}"/>
    <hyperlink ref="BL286" r:id="rId1121" xr:uid="{00000000-0004-0000-0300-000060040000}"/>
    <hyperlink ref="BP286" r:id="rId1122" xr:uid="{00000000-0004-0000-0300-000061040000}"/>
    <hyperlink ref="BI287" r:id="rId1123" xr:uid="{00000000-0004-0000-0300-000062040000}"/>
    <hyperlink ref="BM287" r:id="rId1124" xr:uid="{00000000-0004-0000-0300-000063040000}"/>
    <hyperlink ref="BN287" r:id="rId1125" xr:uid="{00000000-0004-0000-0300-000064040000}"/>
    <hyperlink ref="BP287" r:id="rId1126" xr:uid="{00000000-0004-0000-0300-000065040000}"/>
    <hyperlink ref="BI288" r:id="rId1127" xr:uid="{00000000-0004-0000-0300-000066040000}"/>
    <hyperlink ref="BL288" r:id="rId1128" xr:uid="{00000000-0004-0000-0300-000067040000}"/>
    <hyperlink ref="BM288" r:id="rId1129" xr:uid="{00000000-0004-0000-0300-000068040000}"/>
    <hyperlink ref="BN288" r:id="rId1130" xr:uid="{00000000-0004-0000-0300-000069040000}"/>
    <hyperlink ref="BP288" r:id="rId1131" xr:uid="{00000000-0004-0000-0300-00006A040000}"/>
    <hyperlink ref="BI289" r:id="rId1132" xr:uid="{00000000-0004-0000-0300-00006B040000}"/>
    <hyperlink ref="BL289" r:id="rId1133" xr:uid="{00000000-0004-0000-0300-00006C040000}"/>
    <hyperlink ref="BM289" r:id="rId1134" xr:uid="{00000000-0004-0000-0300-00006D040000}"/>
    <hyperlink ref="BO289" r:id="rId1135" xr:uid="{00000000-0004-0000-0300-00006E040000}"/>
    <hyperlink ref="BP289" r:id="rId1136" xr:uid="{00000000-0004-0000-0300-00006F040000}"/>
    <hyperlink ref="AH290" r:id="rId1137" xr:uid="{00000000-0004-0000-0300-000070040000}"/>
    <hyperlink ref="BI290" r:id="rId1138" xr:uid="{00000000-0004-0000-0300-000071040000}"/>
    <hyperlink ref="BL290" r:id="rId1139" xr:uid="{00000000-0004-0000-0300-000072040000}"/>
    <hyperlink ref="BM290" r:id="rId1140" xr:uid="{00000000-0004-0000-0300-000073040000}"/>
    <hyperlink ref="BN290" r:id="rId1141" xr:uid="{00000000-0004-0000-0300-000074040000}"/>
    <hyperlink ref="BP290" r:id="rId1142" xr:uid="{00000000-0004-0000-0300-000075040000}"/>
    <hyperlink ref="AH291" r:id="rId1143" xr:uid="{00000000-0004-0000-0300-000076040000}"/>
    <hyperlink ref="BI291" r:id="rId1144" xr:uid="{00000000-0004-0000-0300-000077040000}"/>
    <hyperlink ref="BL291" r:id="rId1145" xr:uid="{00000000-0004-0000-0300-000078040000}"/>
    <hyperlink ref="BM291" r:id="rId1146" xr:uid="{00000000-0004-0000-0300-000079040000}"/>
    <hyperlink ref="BN291" r:id="rId1147" xr:uid="{00000000-0004-0000-0300-00007A040000}"/>
    <hyperlink ref="BP291" r:id="rId1148" xr:uid="{00000000-0004-0000-0300-00007B040000}"/>
    <hyperlink ref="AH292" r:id="rId1149" xr:uid="{00000000-0004-0000-0300-00007C040000}"/>
    <hyperlink ref="BI292" r:id="rId1150" xr:uid="{00000000-0004-0000-0300-00007D040000}"/>
    <hyperlink ref="BL292" r:id="rId1151" xr:uid="{00000000-0004-0000-0300-00007E040000}"/>
    <hyperlink ref="BM292" r:id="rId1152" xr:uid="{00000000-0004-0000-0300-00007F040000}"/>
    <hyperlink ref="BN292" r:id="rId1153" xr:uid="{00000000-0004-0000-0300-000080040000}"/>
    <hyperlink ref="BP292" r:id="rId1154" xr:uid="{00000000-0004-0000-0300-000081040000}"/>
    <hyperlink ref="AH293" r:id="rId1155" xr:uid="{00000000-0004-0000-0300-000082040000}"/>
    <hyperlink ref="BI293" r:id="rId1156" xr:uid="{00000000-0004-0000-0300-000083040000}"/>
    <hyperlink ref="BL293" r:id="rId1157" xr:uid="{00000000-0004-0000-0300-000084040000}"/>
    <hyperlink ref="BM293" r:id="rId1158" xr:uid="{00000000-0004-0000-0300-000085040000}"/>
    <hyperlink ref="BN293" r:id="rId1159" xr:uid="{00000000-0004-0000-0300-000086040000}"/>
    <hyperlink ref="BP293" r:id="rId1160" xr:uid="{00000000-0004-0000-0300-000087040000}"/>
    <hyperlink ref="AH294" r:id="rId1161" xr:uid="{00000000-0004-0000-0300-000088040000}"/>
    <hyperlink ref="BI294" r:id="rId1162" xr:uid="{00000000-0004-0000-0300-000089040000}"/>
    <hyperlink ref="BL294" r:id="rId1163" xr:uid="{00000000-0004-0000-0300-00008A040000}"/>
    <hyperlink ref="BM294" r:id="rId1164" xr:uid="{00000000-0004-0000-0300-00008B040000}"/>
    <hyperlink ref="BP294" r:id="rId1165" xr:uid="{00000000-0004-0000-0300-00008C040000}"/>
    <hyperlink ref="AH295" r:id="rId1166" xr:uid="{00000000-0004-0000-0300-00008D040000}"/>
    <hyperlink ref="BI295" r:id="rId1167" xr:uid="{00000000-0004-0000-0300-00008E040000}"/>
    <hyperlink ref="BL295" r:id="rId1168" xr:uid="{00000000-0004-0000-0300-00008F040000}"/>
    <hyperlink ref="BM295" r:id="rId1169" xr:uid="{00000000-0004-0000-0300-000090040000}"/>
    <hyperlink ref="BN295" r:id="rId1170" xr:uid="{00000000-0004-0000-0300-000091040000}"/>
    <hyperlink ref="BP295" r:id="rId1171" xr:uid="{00000000-0004-0000-0300-000092040000}"/>
    <hyperlink ref="AH296" r:id="rId1172" xr:uid="{00000000-0004-0000-0300-000093040000}"/>
    <hyperlink ref="BI296" r:id="rId1173" xr:uid="{00000000-0004-0000-0300-000094040000}"/>
    <hyperlink ref="BL296" r:id="rId1174" xr:uid="{00000000-0004-0000-0300-000095040000}"/>
    <hyperlink ref="BM296" r:id="rId1175" xr:uid="{00000000-0004-0000-0300-000096040000}"/>
    <hyperlink ref="BN296" r:id="rId1176" xr:uid="{00000000-0004-0000-0300-000097040000}"/>
    <hyperlink ref="BO296" r:id="rId1177" xr:uid="{00000000-0004-0000-0300-000098040000}"/>
    <hyperlink ref="BP296" r:id="rId1178" xr:uid="{00000000-0004-0000-0300-000099040000}"/>
    <hyperlink ref="AH297" r:id="rId1179" xr:uid="{00000000-0004-0000-0300-00009A040000}"/>
    <hyperlink ref="BI297" r:id="rId1180" xr:uid="{00000000-0004-0000-0300-00009B040000}"/>
    <hyperlink ref="BL297" r:id="rId1181" xr:uid="{00000000-0004-0000-0300-00009C040000}"/>
    <hyperlink ref="BP297" r:id="rId1182" xr:uid="{00000000-0004-0000-0300-00009D040000}"/>
    <hyperlink ref="AH298" r:id="rId1183" xr:uid="{00000000-0004-0000-0300-00009E040000}"/>
    <hyperlink ref="BI298" r:id="rId1184" xr:uid="{00000000-0004-0000-0300-00009F040000}"/>
    <hyperlink ref="BL298" r:id="rId1185" xr:uid="{00000000-0004-0000-0300-0000A0040000}"/>
    <hyperlink ref="BM298" r:id="rId1186" xr:uid="{00000000-0004-0000-0300-0000A1040000}"/>
    <hyperlink ref="BN298" r:id="rId1187" xr:uid="{00000000-0004-0000-0300-0000A2040000}"/>
    <hyperlink ref="BO298" r:id="rId1188" xr:uid="{00000000-0004-0000-0300-0000A3040000}"/>
    <hyperlink ref="BP298" r:id="rId1189" xr:uid="{00000000-0004-0000-0300-0000A4040000}"/>
    <hyperlink ref="AH299" r:id="rId1190" xr:uid="{00000000-0004-0000-0300-0000A5040000}"/>
    <hyperlink ref="BI299" r:id="rId1191" xr:uid="{00000000-0004-0000-0300-0000A6040000}"/>
    <hyperlink ref="BL299" r:id="rId1192" xr:uid="{00000000-0004-0000-0300-0000A7040000}"/>
    <hyperlink ref="BM299" r:id="rId1193" xr:uid="{00000000-0004-0000-0300-0000A8040000}"/>
    <hyperlink ref="BN299" r:id="rId1194" xr:uid="{00000000-0004-0000-0300-0000A9040000}"/>
    <hyperlink ref="BP299" r:id="rId1195" xr:uid="{00000000-0004-0000-0300-0000AA040000}"/>
    <hyperlink ref="AH300" r:id="rId1196" xr:uid="{00000000-0004-0000-0300-0000AB040000}"/>
    <hyperlink ref="BI300" r:id="rId1197" xr:uid="{00000000-0004-0000-0300-0000AC040000}"/>
    <hyperlink ref="BL300" r:id="rId1198" xr:uid="{00000000-0004-0000-0300-0000AD040000}"/>
    <hyperlink ref="BM300" r:id="rId1199" xr:uid="{00000000-0004-0000-0300-0000AE040000}"/>
    <hyperlink ref="BN300" r:id="rId1200" xr:uid="{00000000-0004-0000-0300-0000AF040000}"/>
    <hyperlink ref="BO300" r:id="rId1201" xr:uid="{00000000-0004-0000-0300-0000B0040000}"/>
    <hyperlink ref="BP300" r:id="rId1202" xr:uid="{00000000-0004-0000-0300-0000B1040000}"/>
    <hyperlink ref="BI301" r:id="rId1203" xr:uid="{00000000-0004-0000-0300-0000B2040000}"/>
    <hyperlink ref="BL301" r:id="rId1204" xr:uid="{00000000-0004-0000-0300-0000B3040000}"/>
    <hyperlink ref="BM301" r:id="rId1205" xr:uid="{00000000-0004-0000-0300-0000B4040000}"/>
    <hyperlink ref="BN301" r:id="rId1206" xr:uid="{00000000-0004-0000-0300-0000B5040000}"/>
    <hyperlink ref="BP301" r:id="rId1207" xr:uid="{00000000-0004-0000-0300-0000B6040000}"/>
    <hyperlink ref="AH302" r:id="rId1208" xr:uid="{00000000-0004-0000-0300-0000B7040000}"/>
    <hyperlink ref="BI302" r:id="rId1209" xr:uid="{00000000-0004-0000-0300-0000B8040000}"/>
    <hyperlink ref="BL302" r:id="rId1210" xr:uid="{00000000-0004-0000-0300-0000B9040000}"/>
    <hyperlink ref="BM302" r:id="rId1211" xr:uid="{00000000-0004-0000-0300-0000BA040000}"/>
    <hyperlink ref="BN302" r:id="rId1212" xr:uid="{00000000-0004-0000-0300-0000BB040000}"/>
    <hyperlink ref="BP302" r:id="rId1213" xr:uid="{00000000-0004-0000-0300-0000BC040000}"/>
    <hyperlink ref="AH303" r:id="rId1214" xr:uid="{00000000-0004-0000-0300-0000BD040000}"/>
    <hyperlink ref="BI303" r:id="rId1215" xr:uid="{00000000-0004-0000-0300-0000BE040000}"/>
    <hyperlink ref="BL303" r:id="rId1216" xr:uid="{00000000-0004-0000-0300-0000BF040000}"/>
    <hyperlink ref="BM303" r:id="rId1217" xr:uid="{00000000-0004-0000-0300-0000C0040000}"/>
    <hyperlink ref="BN303" r:id="rId1218" xr:uid="{00000000-0004-0000-0300-0000C1040000}"/>
    <hyperlink ref="BP303" r:id="rId1219" xr:uid="{00000000-0004-0000-0300-0000C2040000}"/>
    <hyperlink ref="AH304" r:id="rId1220" xr:uid="{00000000-0004-0000-0300-0000C3040000}"/>
    <hyperlink ref="BI304" r:id="rId1221" xr:uid="{00000000-0004-0000-0300-0000C4040000}"/>
    <hyperlink ref="BL304" r:id="rId1222" xr:uid="{00000000-0004-0000-0300-0000C5040000}"/>
    <hyperlink ref="BM304" r:id="rId1223" xr:uid="{00000000-0004-0000-0300-0000C6040000}"/>
    <hyperlink ref="BN304" r:id="rId1224" xr:uid="{00000000-0004-0000-0300-0000C7040000}"/>
    <hyperlink ref="BO304" r:id="rId1225" xr:uid="{00000000-0004-0000-0300-0000C8040000}"/>
    <hyperlink ref="BP304" r:id="rId1226" xr:uid="{00000000-0004-0000-0300-0000C9040000}"/>
    <hyperlink ref="AH305" r:id="rId1227" xr:uid="{00000000-0004-0000-0300-0000CA040000}"/>
    <hyperlink ref="BI305" r:id="rId1228" xr:uid="{00000000-0004-0000-0300-0000CB040000}"/>
    <hyperlink ref="BL305" r:id="rId1229" xr:uid="{00000000-0004-0000-0300-0000CC040000}"/>
    <hyperlink ref="BN305" r:id="rId1230" xr:uid="{00000000-0004-0000-0300-0000CD040000}"/>
    <hyperlink ref="BP305" r:id="rId1231" xr:uid="{00000000-0004-0000-0300-0000CE040000}"/>
    <hyperlink ref="AH306" r:id="rId1232" xr:uid="{00000000-0004-0000-0300-0000CF040000}"/>
    <hyperlink ref="BI306" r:id="rId1233" xr:uid="{00000000-0004-0000-0300-0000D0040000}"/>
    <hyperlink ref="BL306" r:id="rId1234" xr:uid="{00000000-0004-0000-0300-0000D1040000}"/>
    <hyperlink ref="BM306" r:id="rId1235" xr:uid="{00000000-0004-0000-0300-0000D2040000}"/>
    <hyperlink ref="BN306" r:id="rId1236" xr:uid="{00000000-0004-0000-0300-0000D3040000}"/>
    <hyperlink ref="BP306" r:id="rId1237" xr:uid="{00000000-0004-0000-0300-0000D4040000}"/>
    <hyperlink ref="BI307" r:id="rId1238" xr:uid="{00000000-0004-0000-0300-0000D5040000}"/>
    <hyperlink ref="BL307" r:id="rId1239" xr:uid="{00000000-0004-0000-0300-0000D6040000}"/>
    <hyperlink ref="BM307" r:id="rId1240" xr:uid="{00000000-0004-0000-0300-0000D7040000}"/>
    <hyperlink ref="BN307" r:id="rId1241" xr:uid="{00000000-0004-0000-0300-0000D8040000}"/>
    <hyperlink ref="BP307" r:id="rId1242" xr:uid="{00000000-0004-0000-0300-0000D9040000}"/>
    <hyperlink ref="AH308" r:id="rId1243" xr:uid="{00000000-0004-0000-0300-0000DA040000}"/>
    <hyperlink ref="BI308" r:id="rId1244" xr:uid="{00000000-0004-0000-0300-0000DB040000}"/>
    <hyperlink ref="BL308" r:id="rId1245" xr:uid="{00000000-0004-0000-0300-0000DC040000}"/>
    <hyperlink ref="BM308" r:id="rId1246" xr:uid="{00000000-0004-0000-0300-0000DD040000}"/>
    <hyperlink ref="BN308" r:id="rId1247" xr:uid="{00000000-0004-0000-0300-0000DE040000}"/>
    <hyperlink ref="BP308" r:id="rId1248" xr:uid="{00000000-0004-0000-0300-0000DF040000}"/>
    <hyperlink ref="BI309" r:id="rId1249" xr:uid="{00000000-0004-0000-0300-0000E0040000}"/>
    <hyperlink ref="BL309" r:id="rId1250" xr:uid="{00000000-0004-0000-0300-0000E1040000}"/>
    <hyperlink ref="BP309" r:id="rId1251" xr:uid="{00000000-0004-0000-0300-0000E2040000}"/>
    <hyperlink ref="BI310" r:id="rId1252" xr:uid="{00000000-0004-0000-0300-0000E3040000}"/>
    <hyperlink ref="BL310" r:id="rId1253" xr:uid="{00000000-0004-0000-0300-0000E4040000}"/>
    <hyperlink ref="BN310" r:id="rId1254" xr:uid="{00000000-0004-0000-0300-0000E5040000}"/>
    <hyperlink ref="BP310" r:id="rId1255" xr:uid="{00000000-0004-0000-0300-0000E6040000}"/>
    <hyperlink ref="BI311" r:id="rId1256" xr:uid="{00000000-0004-0000-0300-0000E7040000}"/>
    <hyperlink ref="BL311" r:id="rId1257" xr:uid="{00000000-0004-0000-0300-0000E8040000}"/>
    <hyperlink ref="BN311" r:id="rId1258" xr:uid="{00000000-0004-0000-0300-0000E9040000}"/>
    <hyperlink ref="BP311" r:id="rId1259" xr:uid="{00000000-0004-0000-0300-0000EA040000}"/>
    <hyperlink ref="AH312" r:id="rId1260" xr:uid="{00000000-0004-0000-0300-0000EB040000}"/>
    <hyperlink ref="BI312" r:id="rId1261" xr:uid="{00000000-0004-0000-0300-0000EC040000}"/>
    <hyperlink ref="BP312" r:id="rId1262" xr:uid="{00000000-0004-0000-0300-0000ED040000}"/>
    <hyperlink ref="BI313" r:id="rId1263" xr:uid="{00000000-0004-0000-0300-0000EE040000}"/>
    <hyperlink ref="BN313" r:id="rId1264" xr:uid="{00000000-0004-0000-0300-0000EF040000}"/>
    <hyperlink ref="BP313" r:id="rId1265" xr:uid="{00000000-0004-0000-0300-0000F0040000}"/>
    <hyperlink ref="BI314" r:id="rId1266" xr:uid="{00000000-0004-0000-0300-0000F1040000}"/>
    <hyperlink ref="BL314" r:id="rId1267" xr:uid="{00000000-0004-0000-0300-0000F2040000}"/>
    <hyperlink ref="BM314" r:id="rId1268" xr:uid="{00000000-0004-0000-0300-0000F3040000}"/>
    <hyperlink ref="BO314" r:id="rId1269" xr:uid="{00000000-0004-0000-0300-0000F4040000}"/>
    <hyperlink ref="BP314" r:id="rId1270" xr:uid="{00000000-0004-0000-0300-0000F5040000}"/>
    <hyperlink ref="BI315" r:id="rId1271" xr:uid="{00000000-0004-0000-0300-0000F6040000}"/>
    <hyperlink ref="BP315" r:id="rId1272" xr:uid="{00000000-0004-0000-0300-0000F7040000}"/>
    <hyperlink ref="BI316" r:id="rId1273" xr:uid="{00000000-0004-0000-0300-0000F8040000}"/>
    <hyperlink ref="BN316" r:id="rId1274" xr:uid="{00000000-0004-0000-0300-0000F9040000}"/>
    <hyperlink ref="BP316" r:id="rId1275" xr:uid="{00000000-0004-0000-0300-0000FA040000}"/>
    <hyperlink ref="BI317" r:id="rId1276" xr:uid="{00000000-0004-0000-0300-0000FB040000}"/>
    <hyperlink ref="BL317" r:id="rId1277" xr:uid="{00000000-0004-0000-0300-0000FC040000}"/>
    <hyperlink ref="BP317" r:id="rId1278" xr:uid="{00000000-0004-0000-0300-0000FD040000}"/>
    <hyperlink ref="BI318" r:id="rId1279" xr:uid="{00000000-0004-0000-0300-0000FE040000}"/>
    <hyperlink ref="BL318" r:id="rId1280" xr:uid="{00000000-0004-0000-0300-0000FF040000}"/>
    <hyperlink ref="BP318" r:id="rId1281" xr:uid="{00000000-0004-0000-0300-000000050000}"/>
    <hyperlink ref="BI319" r:id="rId1282" xr:uid="{00000000-0004-0000-0300-000001050000}"/>
    <hyperlink ref="BM319" r:id="rId1283" xr:uid="{00000000-0004-0000-0300-000002050000}"/>
    <hyperlink ref="BP319" r:id="rId1284" xr:uid="{00000000-0004-0000-0300-000003050000}"/>
    <hyperlink ref="BI320" r:id="rId1285" xr:uid="{00000000-0004-0000-0300-000004050000}"/>
    <hyperlink ref="BL320" r:id="rId1286" xr:uid="{00000000-0004-0000-0300-000005050000}"/>
    <hyperlink ref="BM320" r:id="rId1287" xr:uid="{00000000-0004-0000-0300-000006050000}"/>
    <hyperlink ref="BN320" r:id="rId1288" xr:uid="{00000000-0004-0000-0300-000007050000}"/>
    <hyperlink ref="BP320" r:id="rId1289" xr:uid="{00000000-0004-0000-0300-000008050000}"/>
    <hyperlink ref="BI321" r:id="rId1290" xr:uid="{00000000-0004-0000-0300-000009050000}"/>
    <hyperlink ref="BP321" r:id="rId1291" xr:uid="{00000000-0004-0000-0300-00000A050000}"/>
    <hyperlink ref="BI322" r:id="rId1292" xr:uid="{00000000-0004-0000-0300-00000B050000}"/>
    <hyperlink ref="BP322" r:id="rId1293" xr:uid="{00000000-0004-0000-0300-00000C050000}"/>
    <hyperlink ref="BI323" r:id="rId1294" xr:uid="{00000000-0004-0000-0300-00000D050000}"/>
    <hyperlink ref="BL323" r:id="rId1295" xr:uid="{00000000-0004-0000-0300-00000E050000}"/>
    <hyperlink ref="BM323" r:id="rId1296" xr:uid="{00000000-0004-0000-0300-00000F050000}"/>
    <hyperlink ref="BN323" r:id="rId1297" xr:uid="{00000000-0004-0000-0300-000010050000}"/>
    <hyperlink ref="BP323" r:id="rId1298" xr:uid="{00000000-0004-0000-0300-000011050000}"/>
    <hyperlink ref="BI324" r:id="rId1299" xr:uid="{00000000-0004-0000-0300-000012050000}"/>
    <hyperlink ref="BL324" r:id="rId1300" xr:uid="{00000000-0004-0000-0300-000013050000}"/>
    <hyperlink ref="BM324" r:id="rId1301" xr:uid="{00000000-0004-0000-0300-000014050000}"/>
    <hyperlink ref="BN324" r:id="rId1302" xr:uid="{00000000-0004-0000-0300-000015050000}"/>
    <hyperlink ref="BO324" r:id="rId1303" xr:uid="{00000000-0004-0000-0300-000016050000}"/>
    <hyperlink ref="BP324" r:id="rId1304" xr:uid="{00000000-0004-0000-0300-000017050000}"/>
    <hyperlink ref="BI325" r:id="rId1305" xr:uid="{00000000-0004-0000-0300-000018050000}"/>
    <hyperlink ref="BN325" r:id="rId1306" xr:uid="{00000000-0004-0000-0300-000019050000}"/>
    <hyperlink ref="BO325" r:id="rId1307" xr:uid="{00000000-0004-0000-0300-00001A050000}"/>
    <hyperlink ref="BP325" r:id="rId1308" xr:uid="{00000000-0004-0000-0300-00001B050000}"/>
    <hyperlink ref="BI326" r:id="rId1309" xr:uid="{00000000-0004-0000-0300-00001C050000}"/>
    <hyperlink ref="BL326" r:id="rId1310" xr:uid="{00000000-0004-0000-0300-00001D050000}"/>
    <hyperlink ref="BM326" r:id="rId1311" xr:uid="{00000000-0004-0000-0300-00001E050000}"/>
    <hyperlink ref="BN326" r:id="rId1312" xr:uid="{00000000-0004-0000-0300-00001F050000}"/>
    <hyperlink ref="BP326" r:id="rId1313" xr:uid="{00000000-0004-0000-0300-000020050000}"/>
    <hyperlink ref="BI327" r:id="rId1314" xr:uid="{00000000-0004-0000-0300-000021050000}"/>
    <hyperlink ref="BP327" r:id="rId1315" xr:uid="{00000000-0004-0000-0300-000022050000}"/>
    <hyperlink ref="BI328" r:id="rId1316" xr:uid="{00000000-0004-0000-0300-000023050000}"/>
    <hyperlink ref="BL328" r:id="rId1317" xr:uid="{00000000-0004-0000-0300-000024050000}"/>
    <hyperlink ref="BN328" r:id="rId1318" xr:uid="{00000000-0004-0000-0300-000025050000}"/>
    <hyperlink ref="BP328" r:id="rId1319" xr:uid="{00000000-0004-0000-0300-000026050000}"/>
    <hyperlink ref="BI329" r:id="rId1320" xr:uid="{00000000-0004-0000-0300-000027050000}"/>
    <hyperlink ref="BL329" r:id="rId1321" xr:uid="{00000000-0004-0000-0300-000028050000}"/>
    <hyperlink ref="BM329" r:id="rId1322" xr:uid="{00000000-0004-0000-0300-000029050000}"/>
    <hyperlink ref="BP329" r:id="rId1323" xr:uid="{00000000-0004-0000-0300-00002A050000}"/>
    <hyperlink ref="BI330" r:id="rId1324" xr:uid="{00000000-0004-0000-0300-00002B050000}"/>
    <hyperlink ref="BL330" r:id="rId1325" xr:uid="{00000000-0004-0000-0300-00002C050000}"/>
    <hyperlink ref="BM330" r:id="rId1326" xr:uid="{00000000-0004-0000-0300-00002D050000}"/>
    <hyperlink ref="BP330" r:id="rId1327" xr:uid="{00000000-0004-0000-0300-00002E050000}"/>
    <hyperlink ref="BI331" r:id="rId1328" xr:uid="{00000000-0004-0000-0300-00002F050000}"/>
    <hyperlink ref="BP331" r:id="rId1329" xr:uid="{00000000-0004-0000-0300-000030050000}"/>
    <hyperlink ref="BI332" r:id="rId1330" xr:uid="{00000000-0004-0000-0300-000031050000}"/>
    <hyperlink ref="BL332" r:id="rId1331" xr:uid="{00000000-0004-0000-0300-000032050000}"/>
    <hyperlink ref="BM332" r:id="rId1332" xr:uid="{00000000-0004-0000-0300-000033050000}"/>
    <hyperlink ref="BN332" r:id="rId1333" xr:uid="{00000000-0004-0000-0300-000034050000}"/>
    <hyperlink ref="BP332" r:id="rId1334" xr:uid="{00000000-0004-0000-0300-000035050000}"/>
    <hyperlink ref="BI333" r:id="rId1335" xr:uid="{00000000-0004-0000-0300-000036050000}"/>
    <hyperlink ref="BL333" r:id="rId1336" xr:uid="{00000000-0004-0000-0300-000037050000}"/>
    <hyperlink ref="BM333" r:id="rId1337" xr:uid="{00000000-0004-0000-0300-000038050000}"/>
    <hyperlink ref="BN333" r:id="rId1338" xr:uid="{00000000-0004-0000-0300-000039050000}"/>
    <hyperlink ref="BP333" r:id="rId1339" xr:uid="{00000000-0004-0000-0300-00003A050000}"/>
    <hyperlink ref="BI334" r:id="rId1340" xr:uid="{00000000-0004-0000-0300-00003B050000}"/>
    <hyperlink ref="BL334" r:id="rId1341" xr:uid="{00000000-0004-0000-0300-00003C050000}"/>
    <hyperlink ref="BM334" r:id="rId1342" xr:uid="{00000000-0004-0000-0300-00003D050000}"/>
    <hyperlink ref="BN334" r:id="rId1343" xr:uid="{00000000-0004-0000-0300-00003E050000}"/>
    <hyperlink ref="BP334" r:id="rId1344" xr:uid="{00000000-0004-0000-0300-00003F050000}"/>
    <hyperlink ref="BI335" r:id="rId1345" xr:uid="{00000000-0004-0000-0300-000040050000}"/>
    <hyperlink ref="BP335" r:id="rId1346" xr:uid="{00000000-0004-0000-0300-000041050000}"/>
    <hyperlink ref="BI336" r:id="rId1347" xr:uid="{00000000-0004-0000-0300-000042050000}"/>
    <hyperlink ref="BL336" r:id="rId1348" xr:uid="{00000000-0004-0000-0300-000043050000}"/>
    <hyperlink ref="BP336" r:id="rId1349" xr:uid="{00000000-0004-0000-0300-000044050000}"/>
    <hyperlink ref="BI337" r:id="rId1350" xr:uid="{00000000-0004-0000-0300-000045050000}"/>
    <hyperlink ref="BL337" r:id="rId1351" xr:uid="{00000000-0004-0000-0300-000046050000}"/>
    <hyperlink ref="BM337" r:id="rId1352" xr:uid="{00000000-0004-0000-0300-000047050000}"/>
    <hyperlink ref="BP337" r:id="rId1353" xr:uid="{00000000-0004-0000-0300-000048050000}"/>
    <hyperlink ref="BI338" r:id="rId1354" xr:uid="{00000000-0004-0000-0300-000049050000}"/>
    <hyperlink ref="BL338" r:id="rId1355" xr:uid="{00000000-0004-0000-0300-00004A050000}"/>
    <hyperlink ref="BP338" r:id="rId1356" xr:uid="{00000000-0004-0000-0300-00004B050000}"/>
    <hyperlink ref="BI339" r:id="rId1357" xr:uid="{00000000-0004-0000-0300-00004C050000}"/>
    <hyperlink ref="BP339" r:id="rId1358" xr:uid="{00000000-0004-0000-0300-00004D050000}"/>
    <hyperlink ref="BI340" r:id="rId1359" xr:uid="{00000000-0004-0000-0300-00004E050000}"/>
    <hyperlink ref="BL340" r:id="rId1360" xr:uid="{00000000-0004-0000-0300-00004F050000}"/>
    <hyperlink ref="BM340" r:id="rId1361" xr:uid="{00000000-0004-0000-0300-000050050000}"/>
    <hyperlink ref="BO340" r:id="rId1362" xr:uid="{00000000-0004-0000-0300-000051050000}"/>
    <hyperlink ref="BP340" r:id="rId1363" xr:uid="{00000000-0004-0000-0300-000052050000}"/>
    <hyperlink ref="BI341" r:id="rId1364" xr:uid="{00000000-0004-0000-0300-000053050000}"/>
    <hyperlink ref="BP341" r:id="rId1365" xr:uid="{00000000-0004-0000-0300-000054050000}"/>
    <hyperlink ref="BI342" r:id="rId1366" xr:uid="{00000000-0004-0000-0300-000055050000}"/>
    <hyperlink ref="BL342" r:id="rId1367" xr:uid="{00000000-0004-0000-0300-000056050000}"/>
    <hyperlink ref="BM342" r:id="rId1368" xr:uid="{00000000-0004-0000-0300-000057050000}"/>
    <hyperlink ref="BN342" r:id="rId1369" xr:uid="{00000000-0004-0000-0300-000058050000}"/>
    <hyperlink ref="BP342" r:id="rId1370" xr:uid="{00000000-0004-0000-0300-000059050000}"/>
    <hyperlink ref="BI343" r:id="rId1371" xr:uid="{00000000-0004-0000-0300-00005A050000}"/>
    <hyperlink ref="BL343" r:id="rId1372" xr:uid="{00000000-0004-0000-0300-00005B050000}"/>
    <hyperlink ref="BP343" r:id="rId1373" xr:uid="{00000000-0004-0000-0300-00005C050000}"/>
    <hyperlink ref="BI344" r:id="rId1374" xr:uid="{00000000-0004-0000-0300-00005D050000}"/>
    <hyperlink ref="BP344" r:id="rId1375" xr:uid="{00000000-0004-0000-0300-00005E050000}"/>
    <hyperlink ref="BI345" r:id="rId1376" xr:uid="{00000000-0004-0000-0300-00005F050000}"/>
    <hyperlink ref="BP345" r:id="rId1377" xr:uid="{00000000-0004-0000-0300-000060050000}"/>
    <hyperlink ref="BI346" r:id="rId1378" xr:uid="{00000000-0004-0000-0300-000061050000}"/>
    <hyperlink ref="BP346" r:id="rId1379" xr:uid="{00000000-0004-0000-0300-000062050000}"/>
    <hyperlink ref="BI347" r:id="rId1380" xr:uid="{00000000-0004-0000-0300-000063050000}"/>
    <hyperlink ref="BP347" r:id="rId1381" xr:uid="{00000000-0004-0000-0300-000064050000}"/>
    <hyperlink ref="BI348" r:id="rId1382" xr:uid="{00000000-0004-0000-0300-000065050000}"/>
    <hyperlink ref="BL348" r:id="rId1383" xr:uid="{00000000-0004-0000-0300-000066050000}"/>
    <hyperlink ref="BM348" r:id="rId1384" xr:uid="{00000000-0004-0000-0300-000067050000}"/>
    <hyperlink ref="BN348" r:id="rId1385" xr:uid="{00000000-0004-0000-0300-000068050000}"/>
    <hyperlink ref="BO348" r:id="rId1386" xr:uid="{00000000-0004-0000-0300-000069050000}"/>
    <hyperlink ref="BP348" r:id="rId1387" xr:uid="{00000000-0004-0000-0300-00006A050000}"/>
    <hyperlink ref="BI349" r:id="rId1388" xr:uid="{00000000-0004-0000-0300-00006B050000}"/>
    <hyperlink ref="BL349" r:id="rId1389" xr:uid="{00000000-0004-0000-0300-00006C050000}"/>
    <hyperlink ref="BM349" r:id="rId1390" xr:uid="{00000000-0004-0000-0300-00006D050000}"/>
    <hyperlink ref="BN349" r:id="rId1391" xr:uid="{00000000-0004-0000-0300-00006E050000}"/>
    <hyperlink ref="BP349" r:id="rId1392" xr:uid="{00000000-0004-0000-0300-00006F050000}"/>
    <hyperlink ref="BI350" r:id="rId1393" xr:uid="{00000000-0004-0000-0300-000070050000}"/>
    <hyperlink ref="BM350" r:id="rId1394" xr:uid="{00000000-0004-0000-0300-000071050000}"/>
    <hyperlink ref="BN350" r:id="rId1395" xr:uid="{00000000-0004-0000-0300-000072050000}"/>
    <hyperlink ref="BP350" r:id="rId1396" xr:uid="{00000000-0004-0000-0300-000073050000}"/>
    <hyperlink ref="BI351" r:id="rId1397" xr:uid="{00000000-0004-0000-0300-000074050000}"/>
    <hyperlink ref="BL351" r:id="rId1398" xr:uid="{00000000-0004-0000-0300-000075050000}"/>
    <hyperlink ref="BM351" r:id="rId1399" xr:uid="{00000000-0004-0000-0300-000076050000}"/>
    <hyperlink ref="BN351" r:id="rId1400" xr:uid="{00000000-0004-0000-0300-000077050000}"/>
    <hyperlink ref="BO351" r:id="rId1401" xr:uid="{00000000-0004-0000-0300-000078050000}"/>
    <hyperlink ref="BP351" r:id="rId1402" xr:uid="{00000000-0004-0000-0300-000079050000}"/>
    <hyperlink ref="AH352" r:id="rId1403" xr:uid="{00000000-0004-0000-0300-00007A050000}"/>
    <hyperlink ref="BI352" r:id="rId1404" xr:uid="{00000000-0004-0000-0300-00007B050000}"/>
    <hyperlink ref="BL352" r:id="rId1405" xr:uid="{00000000-0004-0000-0300-00007C050000}"/>
    <hyperlink ref="BM352" r:id="rId1406" xr:uid="{00000000-0004-0000-0300-00007D050000}"/>
    <hyperlink ref="BP352" r:id="rId1407" xr:uid="{00000000-0004-0000-0300-00007E050000}"/>
    <hyperlink ref="BI353" r:id="rId1408" xr:uid="{00000000-0004-0000-0300-00007F050000}"/>
    <hyperlink ref="BL353" r:id="rId1409" xr:uid="{00000000-0004-0000-0300-000080050000}"/>
    <hyperlink ref="BP353" r:id="rId1410" xr:uid="{00000000-0004-0000-0300-000081050000}"/>
    <hyperlink ref="BI354" r:id="rId1411" xr:uid="{00000000-0004-0000-0300-000082050000}"/>
    <hyperlink ref="BP354" r:id="rId1412" xr:uid="{00000000-0004-0000-0300-000083050000}"/>
    <hyperlink ref="BI355" r:id="rId1413" xr:uid="{00000000-0004-0000-0300-000084050000}"/>
    <hyperlink ref="BP355" r:id="rId1414" xr:uid="{00000000-0004-0000-0300-000085050000}"/>
    <hyperlink ref="BI356" r:id="rId1415" xr:uid="{00000000-0004-0000-0300-000086050000}"/>
    <hyperlink ref="BP356" r:id="rId1416" xr:uid="{00000000-0004-0000-0300-000087050000}"/>
    <hyperlink ref="BI357" r:id="rId1417" xr:uid="{00000000-0004-0000-0300-000088050000}"/>
    <hyperlink ref="BP357" r:id="rId1418" xr:uid="{00000000-0004-0000-0300-000089050000}"/>
    <hyperlink ref="BI358" r:id="rId1419" xr:uid="{00000000-0004-0000-0300-00008A050000}"/>
    <hyperlink ref="BL358" r:id="rId1420" xr:uid="{00000000-0004-0000-0300-00008B050000}"/>
    <hyperlink ref="BN358" r:id="rId1421" xr:uid="{00000000-0004-0000-0300-00008C050000}"/>
    <hyperlink ref="BP358" r:id="rId1422" xr:uid="{00000000-0004-0000-0300-00008D050000}"/>
    <hyperlink ref="BI359" r:id="rId1423" xr:uid="{00000000-0004-0000-0300-00008E050000}"/>
    <hyperlink ref="BL359" r:id="rId1424" xr:uid="{00000000-0004-0000-0300-00008F050000}"/>
    <hyperlink ref="BM359" r:id="rId1425" xr:uid="{00000000-0004-0000-0300-000090050000}"/>
    <hyperlink ref="BN359" r:id="rId1426" xr:uid="{00000000-0004-0000-0300-000091050000}"/>
    <hyperlink ref="BP359" r:id="rId1427" xr:uid="{00000000-0004-0000-0300-000092050000}"/>
    <hyperlink ref="BI360" r:id="rId1428" xr:uid="{00000000-0004-0000-0300-000093050000}"/>
    <hyperlink ref="BP360" r:id="rId1429" xr:uid="{00000000-0004-0000-0300-000094050000}"/>
    <hyperlink ref="BI361" r:id="rId1430" xr:uid="{00000000-0004-0000-0300-000095050000}"/>
    <hyperlink ref="BM361" r:id="rId1431" xr:uid="{00000000-0004-0000-0300-000096050000}"/>
    <hyperlink ref="BN361" r:id="rId1432" xr:uid="{00000000-0004-0000-0300-000097050000}"/>
    <hyperlink ref="BP361" r:id="rId1433" xr:uid="{00000000-0004-0000-0300-000098050000}"/>
    <hyperlink ref="AH362" r:id="rId1434" xr:uid="{00000000-0004-0000-0300-000099050000}"/>
    <hyperlink ref="BI362" r:id="rId1435" xr:uid="{00000000-0004-0000-0300-00009A050000}"/>
    <hyperlink ref="BL362" r:id="rId1436" xr:uid="{00000000-0004-0000-0300-00009B050000}"/>
    <hyperlink ref="BM362" r:id="rId1437" xr:uid="{00000000-0004-0000-0300-00009C050000}"/>
    <hyperlink ref="BN362" r:id="rId1438" xr:uid="{00000000-0004-0000-0300-00009D050000}"/>
    <hyperlink ref="BP362" r:id="rId1439" xr:uid="{00000000-0004-0000-0300-00009E050000}"/>
    <hyperlink ref="BI363" r:id="rId1440" xr:uid="{00000000-0004-0000-0300-00009F050000}"/>
    <hyperlink ref="BL363" r:id="rId1441" xr:uid="{00000000-0004-0000-0300-0000A0050000}"/>
    <hyperlink ref="BM363" r:id="rId1442" xr:uid="{00000000-0004-0000-0300-0000A1050000}"/>
    <hyperlink ref="BP363" r:id="rId1443" xr:uid="{00000000-0004-0000-0300-0000A2050000}"/>
    <hyperlink ref="BI364" r:id="rId1444" xr:uid="{00000000-0004-0000-0300-0000A3050000}"/>
    <hyperlink ref="BL364" r:id="rId1445" xr:uid="{00000000-0004-0000-0300-0000A4050000}"/>
    <hyperlink ref="BN364" r:id="rId1446" xr:uid="{00000000-0004-0000-0300-0000A5050000}"/>
    <hyperlink ref="BP364" r:id="rId1447" xr:uid="{00000000-0004-0000-0300-0000A6050000}"/>
    <hyperlink ref="BI365" r:id="rId1448" xr:uid="{00000000-0004-0000-0300-0000A7050000}"/>
    <hyperlink ref="BM365" r:id="rId1449" xr:uid="{00000000-0004-0000-0300-0000A8050000}"/>
    <hyperlink ref="BN365" r:id="rId1450" xr:uid="{00000000-0004-0000-0300-0000A9050000}"/>
    <hyperlink ref="BP365" r:id="rId1451" xr:uid="{00000000-0004-0000-0300-0000AA050000}"/>
    <hyperlink ref="BI366" r:id="rId1452" xr:uid="{00000000-0004-0000-0300-0000AB050000}"/>
    <hyperlink ref="BP366" r:id="rId1453" xr:uid="{00000000-0004-0000-0300-0000AC050000}"/>
    <hyperlink ref="BI367" r:id="rId1454" xr:uid="{00000000-0004-0000-0300-0000AD050000}"/>
    <hyperlink ref="BP367" r:id="rId1455" xr:uid="{00000000-0004-0000-0300-0000AE050000}"/>
    <hyperlink ref="BI368" r:id="rId1456" xr:uid="{00000000-0004-0000-0300-0000AF050000}"/>
    <hyperlink ref="BL368" r:id="rId1457" xr:uid="{00000000-0004-0000-0300-0000B0050000}"/>
    <hyperlink ref="BP368" r:id="rId1458" xr:uid="{00000000-0004-0000-0300-0000B1050000}"/>
    <hyperlink ref="BI369" r:id="rId1459" xr:uid="{00000000-0004-0000-0300-0000B2050000}"/>
    <hyperlink ref="BO369" r:id="rId1460" xr:uid="{00000000-0004-0000-0300-0000B3050000}"/>
    <hyperlink ref="BP369" r:id="rId1461" xr:uid="{00000000-0004-0000-0300-0000B4050000}"/>
    <hyperlink ref="BI370" r:id="rId1462" xr:uid="{00000000-0004-0000-0300-0000B5050000}"/>
    <hyperlink ref="BP370" r:id="rId1463" xr:uid="{00000000-0004-0000-0300-0000B6050000}"/>
    <hyperlink ref="BI371" r:id="rId1464" xr:uid="{00000000-0004-0000-0300-0000B7050000}"/>
    <hyperlink ref="BP371" r:id="rId1465" xr:uid="{00000000-0004-0000-0300-0000B8050000}"/>
    <hyperlink ref="BI372" r:id="rId1466" xr:uid="{00000000-0004-0000-0300-0000B9050000}"/>
    <hyperlink ref="BL372" r:id="rId1467" xr:uid="{00000000-0004-0000-0300-0000BA050000}"/>
    <hyperlink ref="BM372" r:id="rId1468" xr:uid="{00000000-0004-0000-0300-0000BB050000}"/>
    <hyperlink ref="BP372" r:id="rId1469" xr:uid="{00000000-0004-0000-0300-0000BC050000}"/>
    <hyperlink ref="BI373" r:id="rId1470" xr:uid="{00000000-0004-0000-0300-0000BD050000}"/>
    <hyperlink ref="BP373" r:id="rId1471" xr:uid="{00000000-0004-0000-0300-0000BE050000}"/>
    <hyperlink ref="BI374" r:id="rId1472" xr:uid="{00000000-0004-0000-0300-0000BF050000}"/>
    <hyperlink ref="BL374" r:id="rId1473" xr:uid="{00000000-0004-0000-0300-0000C0050000}"/>
    <hyperlink ref="BP374" r:id="rId1474" xr:uid="{00000000-0004-0000-0300-0000C1050000}"/>
    <hyperlink ref="BI375" r:id="rId1475" xr:uid="{00000000-0004-0000-0300-0000C2050000}"/>
    <hyperlink ref="BL375" r:id="rId1476" xr:uid="{00000000-0004-0000-0300-0000C3050000}"/>
    <hyperlink ref="BP375" r:id="rId1477" xr:uid="{00000000-0004-0000-0300-0000C4050000}"/>
    <hyperlink ref="BI376" r:id="rId1478" xr:uid="{00000000-0004-0000-0300-0000C5050000}"/>
    <hyperlink ref="BM376" r:id="rId1479" xr:uid="{00000000-0004-0000-0300-0000C6050000}"/>
    <hyperlink ref="BP376" r:id="rId1480" xr:uid="{00000000-0004-0000-0300-0000C7050000}"/>
    <hyperlink ref="BI377" r:id="rId1481" xr:uid="{00000000-0004-0000-0300-0000C8050000}"/>
    <hyperlink ref="BM377" r:id="rId1482" xr:uid="{00000000-0004-0000-0300-0000C9050000}"/>
    <hyperlink ref="BP377" r:id="rId1483" xr:uid="{00000000-0004-0000-0300-0000CA050000}"/>
    <hyperlink ref="BI378" r:id="rId1484" xr:uid="{00000000-0004-0000-0300-0000CB050000}"/>
    <hyperlink ref="BP378" r:id="rId1485" xr:uid="{00000000-0004-0000-0300-0000CC050000}"/>
    <hyperlink ref="BI379" r:id="rId1486" xr:uid="{00000000-0004-0000-0300-0000CD050000}"/>
    <hyperlink ref="BP379" r:id="rId1487" xr:uid="{00000000-0004-0000-0300-0000CE050000}"/>
    <hyperlink ref="BI380" r:id="rId1488" xr:uid="{00000000-0004-0000-0300-0000CF050000}"/>
    <hyperlink ref="BL380" r:id="rId1489" xr:uid="{00000000-0004-0000-0300-0000D0050000}"/>
    <hyperlink ref="BM380" r:id="rId1490" xr:uid="{00000000-0004-0000-0300-0000D1050000}"/>
    <hyperlink ref="BP380" r:id="rId1491" xr:uid="{00000000-0004-0000-0300-0000D2050000}"/>
    <hyperlink ref="BI381" r:id="rId1492" xr:uid="{00000000-0004-0000-0300-0000D3050000}"/>
    <hyperlink ref="BL381" r:id="rId1493" xr:uid="{00000000-0004-0000-0300-0000D4050000}"/>
    <hyperlink ref="BM381" r:id="rId1494" xr:uid="{00000000-0004-0000-0300-0000D5050000}"/>
    <hyperlink ref="BP381" r:id="rId1495" xr:uid="{00000000-0004-0000-0300-0000D6050000}"/>
    <hyperlink ref="BI382" r:id="rId1496" xr:uid="{00000000-0004-0000-0300-0000D7050000}"/>
    <hyperlink ref="BM382" r:id="rId1497" xr:uid="{00000000-0004-0000-0300-0000D8050000}"/>
    <hyperlink ref="BP382" r:id="rId1498" xr:uid="{00000000-0004-0000-0300-0000D9050000}"/>
    <hyperlink ref="BI383" r:id="rId1499" xr:uid="{00000000-0004-0000-0300-0000DA050000}"/>
    <hyperlink ref="BL383" r:id="rId1500" xr:uid="{00000000-0004-0000-0300-0000DB050000}"/>
    <hyperlink ref="BM383" r:id="rId1501" xr:uid="{00000000-0004-0000-0300-0000DC050000}"/>
    <hyperlink ref="BN383" r:id="rId1502" xr:uid="{00000000-0004-0000-0300-0000DD050000}"/>
    <hyperlink ref="BP383" r:id="rId1503" xr:uid="{00000000-0004-0000-0300-0000DE050000}"/>
    <hyperlink ref="BI384" r:id="rId1504" xr:uid="{00000000-0004-0000-0300-0000DF050000}"/>
    <hyperlink ref="BP384" r:id="rId1505" xr:uid="{00000000-0004-0000-0300-0000E0050000}"/>
    <hyperlink ref="BI385" r:id="rId1506" xr:uid="{00000000-0004-0000-0300-0000E1050000}"/>
    <hyperlink ref="BP385" r:id="rId1507" xr:uid="{00000000-0004-0000-0300-0000E2050000}"/>
    <hyperlink ref="BI386" r:id="rId1508" xr:uid="{00000000-0004-0000-0300-0000E3050000}"/>
    <hyperlink ref="BP386" r:id="rId1509" xr:uid="{00000000-0004-0000-0300-0000E4050000}"/>
    <hyperlink ref="BI387" r:id="rId1510" xr:uid="{00000000-0004-0000-0300-0000E5050000}"/>
    <hyperlink ref="BP387" r:id="rId1511" xr:uid="{00000000-0004-0000-0300-0000E6050000}"/>
    <hyperlink ref="BI388" r:id="rId1512" xr:uid="{00000000-0004-0000-0300-0000E7050000}"/>
    <hyperlink ref="BL388" r:id="rId1513" xr:uid="{00000000-0004-0000-0300-0000E8050000}"/>
    <hyperlink ref="BM388" r:id="rId1514" xr:uid="{00000000-0004-0000-0300-0000E9050000}"/>
    <hyperlink ref="BN388" r:id="rId1515" xr:uid="{00000000-0004-0000-0300-0000EA050000}"/>
    <hyperlink ref="BP388" r:id="rId1516" xr:uid="{00000000-0004-0000-0300-0000EB050000}"/>
    <hyperlink ref="BI389" r:id="rId1517" xr:uid="{00000000-0004-0000-0300-0000EC050000}"/>
    <hyperlink ref="BM389" r:id="rId1518" xr:uid="{00000000-0004-0000-0300-0000ED050000}"/>
    <hyperlink ref="BN389" r:id="rId1519" xr:uid="{00000000-0004-0000-0300-0000EE050000}"/>
    <hyperlink ref="BP389" r:id="rId1520" xr:uid="{00000000-0004-0000-0300-0000EF050000}"/>
    <hyperlink ref="BI390" r:id="rId1521" xr:uid="{00000000-0004-0000-0300-0000F0050000}"/>
    <hyperlink ref="BL390" r:id="rId1522" xr:uid="{00000000-0004-0000-0300-0000F1050000}"/>
    <hyperlink ref="BM390" r:id="rId1523" xr:uid="{00000000-0004-0000-0300-0000F2050000}"/>
    <hyperlink ref="BN390" r:id="rId1524" xr:uid="{00000000-0004-0000-0300-0000F3050000}"/>
    <hyperlink ref="BP390" r:id="rId1525" xr:uid="{00000000-0004-0000-0300-0000F4050000}"/>
    <hyperlink ref="BI391" r:id="rId1526" xr:uid="{00000000-0004-0000-0300-0000F5050000}"/>
    <hyperlink ref="BL391" r:id="rId1527" xr:uid="{00000000-0004-0000-0300-0000F6050000}"/>
    <hyperlink ref="BP391" r:id="rId1528" xr:uid="{00000000-0004-0000-0300-0000F7050000}"/>
    <hyperlink ref="BI392" r:id="rId1529" xr:uid="{00000000-0004-0000-0300-0000F8050000}"/>
    <hyperlink ref="BL392" r:id="rId1530" xr:uid="{00000000-0004-0000-0300-0000F9050000}"/>
    <hyperlink ref="BP392" r:id="rId1531" xr:uid="{00000000-0004-0000-0300-0000FA050000}"/>
    <hyperlink ref="BI393" r:id="rId1532" xr:uid="{00000000-0004-0000-0300-0000FB050000}"/>
    <hyperlink ref="BL393" r:id="rId1533" xr:uid="{00000000-0004-0000-0300-0000FC050000}"/>
    <hyperlink ref="BM393" r:id="rId1534" xr:uid="{00000000-0004-0000-0300-0000FD050000}"/>
    <hyperlink ref="BN393" r:id="rId1535" xr:uid="{00000000-0004-0000-0300-0000FE050000}"/>
    <hyperlink ref="BP393" r:id="rId1536" xr:uid="{00000000-0004-0000-0300-0000FF050000}"/>
    <hyperlink ref="BI394" r:id="rId1537" xr:uid="{00000000-0004-0000-0300-000000060000}"/>
    <hyperlink ref="BP394" r:id="rId1538" xr:uid="{00000000-0004-0000-0300-000001060000}"/>
    <hyperlink ref="BI395" r:id="rId1539" xr:uid="{00000000-0004-0000-0300-000002060000}"/>
    <hyperlink ref="BL395" r:id="rId1540" xr:uid="{00000000-0004-0000-0300-000003060000}"/>
    <hyperlink ref="BP395" r:id="rId1541" xr:uid="{00000000-0004-0000-0300-000004060000}"/>
    <hyperlink ref="BI396" r:id="rId1542" xr:uid="{00000000-0004-0000-0300-000005060000}"/>
    <hyperlink ref="BL396" r:id="rId1543" xr:uid="{00000000-0004-0000-0300-000006060000}"/>
    <hyperlink ref="BM396" r:id="rId1544" xr:uid="{00000000-0004-0000-0300-000007060000}"/>
    <hyperlink ref="BN396" r:id="rId1545" xr:uid="{00000000-0004-0000-0300-000008060000}"/>
    <hyperlink ref="BO396" r:id="rId1546" xr:uid="{00000000-0004-0000-0300-000009060000}"/>
    <hyperlink ref="BP396" r:id="rId1547" xr:uid="{00000000-0004-0000-0300-00000A060000}"/>
    <hyperlink ref="BI397" r:id="rId1548" xr:uid="{00000000-0004-0000-0300-00000B060000}"/>
    <hyperlink ref="BL397" r:id="rId1549" xr:uid="{00000000-0004-0000-0300-00000C060000}"/>
    <hyperlink ref="BM397" r:id="rId1550" xr:uid="{00000000-0004-0000-0300-00000D060000}"/>
    <hyperlink ref="BN397" r:id="rId1551" xr:uid="{00000000-0004-0000-0300-00000E060000}"/>
    <hyperlink ref="BO397" r:id="rId1552" xr:uid="{00000000-0004-0000-0300-00000F060000}"/>
    <hyperlink ref="BP397" r:id="rId1553" xr:uid="{00000000-0004-0000-0300-000010060000}"/>
    <hyperlink ref="BI398" r:id="rId1554" xr:uid="{00000000-0004-0000-0300-000011060000}"/>
    <hyperlink ref="BP398" r:id="rId1555" xr:uid="{00000000-0004-0000-0300-000012060000}"/>
    <hyperlink ref="BI399" r:id="rId1556" xr:uid="{00000000-0004-0000-0300-000013060000}"/>
    <hyperlink ref="BP399" r:id="rId1557" xr:uid="{00000000-0004-0000-0300-000014060000}"/>
    <hyperlink ref="BI400" r:id="rId1558" xr:uid="{00000000-0004-0000-0300-000015060000}"/>
    <hyperlink ref="BP400" r:id="rId1559" xr:uid="{00000000-0004-0000-0300-000016060000}"/>
    <hyperlink ref="BI401" r:id="rId1560" xr:uid="{00000000-0004-0000-0300-000017060000}"/>
    <hyperlink ref="BP401" r:id="rId1561" xr:uid="{00000000-0004-0000-0300-000018060000}"/>
    <hyperlink ref="BI402" r:id="rId1562" xr:uid="{00000000-0004-0000-0300-000019060000}"/>
    <hyperlink ref="BP402" r:id="rId1563" xr:uid="{00000000-0004-0000-0300-00001A060000}"/>
    <hyperlink ref="BI403" r:id="rId1564" xr:uid="{00000000-0004-0000-0300-00001B060000}"/>
    <hyperlink ref="BP403" r:id="rId1565" xr:uid="{00000000-0004-0000-0300-00001C060000}"/>
    <hyperlink ref="BI404" r:id="rId1566" xr:uid="{00000000-0004-0000-0300-00001D060000}"/>
    <hyperlink ref="BP404" r:id="rId1567" xr:uid="{00000000-0004-0000-0300-00001E060000}"/>
    <hyperlink ref="BI405" r:id="rId1568" xr:uid="{00000000-0004-0000-0300-00001F060000}"/>
    <hyperlink ref="BP405" r:id="rId1569" xr:uid="{00000000-0004-0000-0300-000020060000}"/>
    <hyperlink ref="BI406" r:id="rId1570" xr:uid="{00000000-0004-0000-0300-000021060000}"/>
    <hyperlink ref="BM406" r:id="rId1571" xr:uid="{00000000-0004-0000-0300-000022060000}"/>
    <hyperlink ref="BP406" r:id="rId1572" xr:uid="{00000000-0004-0000-0300-000023060000}"/>
    <hyperlink ref="BI407" r:id="rId1573" xr:uid="{00000000-0004-0000-0300-000024060000}"/>
    <hyperlink ref="BL407" r:id="rId1574" xr:uid="{00000000-0004-0000-0300-000025060000}"/>
    <hyperlink ref="BM407" r:id="rId1575" xr:uid="{00000000-0004-0000-0300-000026060000}"/>
    <hyperlink ref="BN407" r:id="rId1576" xr:uid="{00000000-0004-0000-0300-000027060000}"/>
    <hyperlink ref="BO407" r:id="rId1577" xr:uid="{00000000-0004-0000-0300-000028060000}"/>
    <hyperlink ref="BP407" r:id="rId1578" xr:uid="{00000000-0004-0000-0300-000029060000}"/>
    <hyperlink ref="BI408" r:id="rId1579" xr:uid="{00000000-0004-0000-0300-00002A060000}"/>
    <hyperlink ref="BP408" r:id="rId1580" xr:uid="{00000000-0004-0000-0300-00002B060000}"/>
    <hyperlink ref="BI409" r:id="rId1581" xr:uid="{00000000-0004-0000-0300-00002C060000}"/>
    <hyperlink ref="BL409" r:id="rId1582" xr:uid="{00000000-0004-0000-0300-00002D060000}"/>
    <hyperlink ref="BP409" r:id="rId1583" xr:uid="{00000000-0004-0000-0300-00002E060000}"/>
    <hyperlink ref="BI410" r:id="rId1584" xr:uid="{00000000-0004-0000-0300-00002F060000}"/>
    <hyperlink ref="BP410" r:id="rId1585" xr:uid="{00000000-0004-0000-0300-000030060000}"/>
    <hyperlink ref="BI411" r:id="rId1586" xr:uid="{00000000-0004-0000-0300-000031060000}"/>
    <hyperlink ref="BM411" r:id="rId1587" xr:uid="{00000000-0004-0000-0300-000032060000}"/>
    <hyperlink ref="BN411" r:id="rId1588" xr:uid="{00000000-0004-0000-0300-000033060000}"/>
    <hyperlink ref="BP411" r:id="rId1589" xr:uid="{00000000-0004-0000-0300-000034060000}"/>
    <hyperlink ref="BI412" r:id="rId1590" xr:uid="{00000000-0004-0000-0300-000035060000}"/>
    <hyperlink ref="BN412" r:id="rId1591" xr:uid="{00000000-0004-0000-0300-000036060000}"/>
    <hyperlink ref="BP412" r:id="rId1592" xr:uid="{00000000-0004-0000-0300-000037060000}"/>
    <hyperlink ref="BI413" r:id="rId1593" xr:uid="{00000000-0004-0000-0300-000038060000}"/>
    <hyperlink ref="BP413" r:id="rId1594" xr:uid="{00000000-0004-0000-0300-000039060000}"/>
    <hyperlink ref="BI414" r:id="rId1595" xr:uid="{00000000-0004-0000-0300-00003A060000}"/>
    <hyperlink ref="BN414" r:id="rId1596" xr:uid="{00000000-0004-0000-0300-00003B060000}"/>
    <hyperlink ref="BP414" r:id="rId1597" xr:uid="{00000000-0004-0000-0300-00003C060000}"/>
    <hyperlink ref="BI415" r:id="rId1598" xr:uid="{00000000-0004-0000-0300-00003D060000}"/>
    <hyperlink ref="BP415" r:id="rId1599" xr:uid="{00000000-0004-0000-0300-00003E060000}"/>
    <hyperlink ref="BI416" r:id="rId1600" xr:uid="{00000000-0004-0000-0300-00003F060000}"/>
    <hyperlink ref="BL416" r:id="rId1601" xr:uid="{00000000-0004-0000-0300-000040060000}"/>
    <hyperlink ref="BM416" r:id="rId1602" xr:uid="{00000000-0004-0000-0300-000041060000}"/>
    <hyperlink ref="BN416" r:id="rId1603" xr:uid="{00000000-0004-0000-0300-000042060000}"/>
    <hyperlink ref="BO416" r:id="rId1604" xr:uid="{00000000-0004-0000-0300-000043060000}"/>
    <hyperlink ref="BP416" r:id="rId1605" xr:uid="{00000000-0004-0000-0300-000044060000}"/>
    <hyperlink ref="BI417" r:id="rId1606" xr:uid="{00000000-0004-0000-0300-000045060000}"/>
    <hyperlink ref="BP417" r:id="rId1607" xr:uid="{00000000-0004-0000-0300-000046060000}"/>
    <hyperlink ref="BI418" r:id="rId1608" xr:uid="{00000000-0004-0000-0300-000047060000}"/>
    <hyperlink ref="BN418" r:id="rId1609" xr:uid="{00000000-0004-0000-0300-000048060000}"/>
    <hyperlink ref="BP418" r:id="rId1610" xr:uid="{00000000-0004-0000-0300-000049060000}"/>
    <hyperlink ref="BI419" r:id="rId1611" xr:uid="{00000000-0004-0000-0300-00004A060000}"/>
    <hyperlink ref="BL419" r:id="rId1612" xr:uid="{00000000-0004-0000-0300-00004B060000}"/>
    <hyperlink ref="BM419" r:id="rId1613" xr:uid="{00000000-0004-0000-0300-00004C060000}"/>
    <hyperlink ref="BN419" r:id="rId1614" xr:uid="{00000000-0004-0000-0300-00004D060000}"/>
    <hyperlink ref="BP419" r:id="rId1615" xr:uid="{00000000-0004-0000-0300-00004E060000}"/>
    <hyperlink ref="BI420" r:id="rId1616" xr:uid="{00000000-0004-0000-0300-00004F060000}"/>
    <hyperlink ref="BN420" r:id="rId1617" xr:uid="{00000000-0004-0000-0300-000050060000}"/>
    <hyperlink ref="BP420" r:id="rId1618" xr:uid="{00000000-0004-0000-0300-000051060000}"/>
    <hyperlink ref="BI421" r:id="rId1619" xr:uid="{00000000-0004-0000-0300-000052060000}"/>
    <hyperlink ref="BM421" r:id="rId1620" xr:uid="{00000000-0004-0000-0300-000053060000}"/>
    <hyperlink ref="BP421" r:id="rId1621" xr:uid="{00000000-0004-0000-0300-000054060000}"/>
    <hyperlink ref="AH422" r:id="rId1622" xr:uid="{00000000-0004-0000-0300-000055060000}"/>
    <hyperlink ref="BI422" r:id="rId1623" xr:uid="{00000000-0004-0000-0300-000056060000}"/>
    <hyperlink ref="BL422" r:id="rId1624" xr:uid="{00000000-0004-0000-0300-000057060000}"/>
    <hyperlink ref="BM422" r:id="rId1625" xr:uid="{00000000-0004-0000-0300-000058060000}"/>
    <hyperlink ref="BN422" r:id="rId1626" xr:uid="{00000000-0004-0000-0300-000059060000}"/>
    <hyperlink ref="BO422" r:id="rId1627" xr:uid="{00000000-0004-0000-0300-00005A060000}"/>
    <hyperlink ref="BP422" r:id="rId1628" xr:uid="{00000000-0004-0000-0300-00005B060000}"/>
    <hyperlink ref="AH423" r:id="rId1629" xr:uid="{00000000-0004-0000-0300-00005C060000}"/>
    <hyperlink ref="BI423" r:id="rId1630" xr:uid="{00000000-0004-0000-0300-00005D060000}"/>
    <hyperlink ref="BM423" r:id="rId1631" xr:uid="{00000000-0004-0000-0300-00005E060000}"/>
    <hyperlink ref="BP423" r:id="rId1632" xr:uid="{00000000-0004-0000-0300-00005F060000}"/>
    <hyperlink ref="BI424" r:id="rId1633" xr:uid="{00000000-0004-0000-0300-000060060000}"/>
    <hyperlink ref="BM424" r:id="rId1634" xr:uid="{00000000-0004-0000-0300-000061060000}"/>
    <hyperlink ref="BP424" r:id="rId1635" xr:uid="{00000000-0004-0000-0300-000062060000}"/>
    <hyperlink ref="AH425" r:id="rId1636" xr:uid="{00000000-0004-0000-0300-000063060000}"/>
    <hyperlink ref="BI425" r:id="rId1637" xr:uid="{00000000-0004-0000-0300-000064060000}"/>
    <hyperlink ref="BP425" r:id="rId1638" xr:uid="{00000000-0004-0000-0300-000065060000}"/>
    <hyperlink ref="BI426" r:id="rId1639" xr:uid="{00000000-0004-0000-0300-000066060000}"/>
    <hyperlink ref="BM426" r:id="rId1640" xr:uid="{00000000-0004-0000-0300-000067060000}"/>
    <hyperlink ref="BP426" r:id="rId1641" xr:uid="{00000000-0004-0000-0300-000068060000}"/>
    <hyperlink ref="BI427" r:id="rId1642" xr:uid="{00000000-0004-0000-0300-000069060000}"/>
    <hyperlink ref="BM427" r:id="rId1643" xr:uid="{00000000-0004-0000-0300-00006A060000}"/>
    <hyperlink ref="BN427" r:id="rId1644" xr:uid="{00000000-0004-0000-0300-00006B060000}"/>
    <hyperlink ref="BP427" r:id="rId1645" xr:uid="{00000000-0004-0000-0300-00006C060000}"/>
    <hyperlink ref="BI428" r:id="rId1646" xr:uid="{00000000-0004-0000-0300-00006D060000}"/>
    <hyperlink ref="BL428" r:id="rId1647" xr:uid="{00000000-0004-0000-0300-00006E060000}"/>
    <hyperlink ref="BM428" r:id="rId1648" xr:uid="{00000000-0004-0000-0300-00006F060000}"/>
    <hyperlink ref="BN428" r:id="rId1649" xr:uid="{00000000-0004-0000-0300-000070060000}"/>
    <hyperlink ref="BO428" r:id="rId1650" xr:uid="{00000000-0004-0000-0300-000071060000}"/>
    <hyperlink ref="BP428" r:id="rId1651" xr:uid="{00000000-0004-0000-0300-000072060000}"/>
    <hyperlink ref="AH429" r:id="rId1652" xr:uid="{00000000-0004-0000-0300-000073060000}"/>
    <hyperlink ref="BI429" r:id="rId1653" xr:uid="{00000000-0004-0000-0300-000074060000}"/>
    <hyperlink ref="BL429" r:id="rId1654" xr:uid="{00000000-0004-0000-0300-000075060000}"/>
    <hyperlink ref="BN429" r:id="rId1655" xr:uid="{00000000-0004-0000-0300-000076060000}"/>
    <hyperlink ref="BP429" r:id="rId1656" xr:uid="{00000000-0004-0000-0300-000077060000}"/>
    <hyperlink ref="AH430" r:id="rId1657" xr:uid="{00000000-0004-0000-0300-000078060000}"/>
    <hyperlink ref="BI430" r:id="rId1658" xr:uid="{00000000-0004-0000-0300-000079060000}"/>
    <hyperlink ref="BL430" r:id="rId1659" xr:uid="{00000000-0004-0000-0300-00007A060000}"/>
    <hyperlink ref="BM430" r:id="rId1660" xr:uid="{00000000-0004-0000-0300-00007B060000}"/>
    <hyperlink ref="BN430" r:id="rId1661" xr:uid="{00000000-0004-0000-0300-00007C060000}"/>
    <hyperlink ref="BP430" r:id="rId1662" xr:uid="{00000000-0004-0000-0300-00007D060000}"/>
    <hyperlink ref="BI431" r:id="rId1663" xr:uid="{00000000-0004-0000-0300-00007E060000}"/>
    <hyperlink ref="BL431" r:id="rId1664" xr:uid="{00000000-0004-0000-0300-00007F060000}"/>
    <hyperlink ref="BM431" r:id="rId1665" xr:uid="{00000000-0004-0000-0300-000080060000}"/>
    <hyperlink ref="BP431" r:id="rId1666" xr:uid="{00000000-0004-0000-0300-000081060000}"/>
    <hyperlink ref="AH432" r:id="rId1667" xr:uid="{00000000-0004-0000-0300-000082060000}"/>
    <hyperlink ref="BI432" r:id="rId1668" xr:uid="{00000000-0004-0000-0300-000083060000}"/>
    <hyperlink ref="BL432" r:id="rId1669" xr:uid="{00000000-0004-0000-0300-000084060000}"/>
    <hyperlink ref="BM432" r:id="rId1670" xr:uid="{00000000-0004-0000-0300-000085060000}"/>
    <hyperlink ref="BN432" r:id="rId1671" xr:uid="{00000000-0004-0000-0300-000086060000}"/>
    <hyperlink ref="BP432" r:id="rId1672" xr:uid="{00000000-0004-0000-0300-000087060000}"/>
    <hyperlink ref="BI433" r:id="rId1673" xr:uid="{00000000-0004-0000-0300-000088060000}"/>
    <hyperlink ref="BM433" r:id="rId1674" xr:uid="{00000000-0004-0000-0300-000089060000}"/>
    <hyperlink ref="BP433" r:id="rId1675" xr:uid="{00000000-0004-0000-0300-00008A060000}"/>
    <hyperlink ref="BI434" r:id="rId1676" xr:uid="{00000000-0004-0000-0300-00008B060000}"/>
    <hyperlink ref="BM434" r:id="rId1677" xr:uid="{00000000-0004-0000-0300-00008C060000}"/>
    <hyperlink ref="BN434" r:id="rId1678" xr:uid="{00000000-0004-0000-0300-00008D060000}"/>
    <hyperlink ref="BO434" r:id="rId1679" xr:uid="{00000000-0004-0000-0300-00008E060000}"/>
    <hyperlink ref="BP434" r:id="rId1680" xr:uid="{00000000-0004-0000-0300-00008F060000}"/>
    <hyperlink ref="AH435" r:id="rId1681" xr:uid="{00000000-0004-0000-0300-000090060000}"/>
    <hyperlink ref="BI435" r:id="rId1682" xr:uid="{00000000-0004-0000-0300-000091060000}"/>
    <hyperlink ref="BL435" r:id="rId1683" xr:uid="{00000000-0004-0000-0300-000092060000}"/>
    <hyperlink ref="BM435" r:id="rId1684" xr:uid="{00000000-0004-0000-0300-000093060000}"/>
    <hyperlink ref="BN435" r:id="rId1685" xr:uid="{00000000-0004-0000-0300-000094060000}"/>
    <hyperlink ref="BP435" r:id="rId1686" xr:uid="{00000000-0004-0000-0300-000095060000}"/>
    <hyperlink ref="AH436" r:id="rId1687" xr:uid="{00000000-0004-0000-0300-000096060000}"/>
    <hyperlink ref="BI436" r:id="rId1688" xr:uid="{00000000-0004-0000-0300-000097060000}"/>
    <hyperlink ref="BL436" r:id="rId1689" xr:uid="{00000000-0004-0000-0300-000098060000}"/>
    <hyperlink ref="BM436" r:id="rId1690" xr:uid="{00000000-0004-0000-0300-000099060000}"/>
    <hyperlink ref="BP436" r:id="rId1691" xr:uid="{00000000-0004-0000-0300-00009A060000}"/>
    <hyperlink ref="AH437" r:id="rId1692" xr:uid="{00000000-0004-0000-0300-00009B060000}"/>
    <hyperlink ref="BI437" r:id="rId1693" xr:uid="{00000000-0004-0000-0300-00009C060000}"/>
    <hyperlink ref="BL437" r:id="rId1694" xr:uid="{00000000-0004-0000-0300-00009D060000}"/>
    <hyperlink ref="BP437" r:id="rId1695" xr:uid="{00000000-0004-0000-0300-00009E060000}"/>
    <hyperlink ref="BI438" r:id="rId1696" xr:uid="{00000000-0004-0000-0300-00009F060000}"/>
    <hyperlink ref="BL438" r:id="rId1697" xr:uid="{00000000-0004-0000-0300-0000A0060000}"/>
    <hyperlink ref="BM438" r:id="rId1698" xr:uid="{00000000-0004-0000-0300-0000A1060000}"/>
    <hyperlink ref="BN438" r:id="rId1699" xr:uid="{00000000-0004-0000-0300-0000A2060000}"/>
    <hyperlink ref="BP438" r:id="rId1700" xr:uid="{00000000-0004-0000-0300-0000A3060000}"/>
    <hyperlink ref="BI439" r:id="rId1701" xr:uid="{00000000-0004-0000-0300-0000A4060000}"/>
    <hyperlink ref="BN439" r:id="rId1702" xr:uid="{00000000-0004-0000-0300-0000A5060000}"/>
    <hyperlink ref="BP439" r:id="rId1703" xr:uid="{00000000-0004-0000-0300-0000A6060000}"/>
    <hyperlink ref="BI440" r:id="rId1704" xr:uid="{00000000-0004-0000-0300-0000A7060000}"/>
    <hyperlink ref="BL440" r:id="rId1705" xr:uid="{00000000-0004-0000-0300-0000A8060000}"/>
    <hyperlink ref="BM440" r:id="rId1706" xr:uid="{00000000-0004-0000-0300-0000A9060000}"/>
    <hyperlink ref="BP440" r:id="rId1707" xr:uid="{00000000-0004-0000-0300-0000AA060000}"/>
    <hyperlink ref="BI441" r:id="rId1708" xr:uid="{00000000-0004-0000-0300-0000AB060000}"/>
    <hyperlink ref="BL441" r:id="rId1709" xr:uid="{00000000-0004-0000-0300-0000AC060000}"/>
    <hyperlink ref="BM441" r:id="rId1710" xr:uid="{00000000-0004-0000-0300-0000AD060000}"/>
    <hyperlink ref="BN441" r:id="rId1711" xr:uid="{00000000-0004-0000-0300-0000AE060000}"/>
    <hyperlink ref="BP441" r:id="rId1712" xr:uid="{00000000-0004-0000-0300-0000AF060000}"/>
    <hyperlink ref="BI442" r:id="rId1713" xr:uid="{00000000-0004-0000-0300-0000B0060000}"/>
    <hyperlink ref="BL442" r:id="rId1714" xr:uid="{00000000-0004-0000-0300-0000B1060000}"/>
    <hyperlink ref="BM442" r:id="rId1715" xr:uid="{00000000-0004-0000-0300-0000B2060000}"/>
    <hyperlink ref="BN442" r:id="rId1716" xr:uid="{00000000-0004-0000-0300-0000B3060000}"/>
    <hyperlink ref="BO442" r:id="rId1717" xr:uid="{00000000-0004-0000-0300-0000B4060000}"/>
    <hyperlink ref="BP442" r:id="rId1718" xr:uid="{00000000-0004-0000-0300-0000B5060000}"/>
    <hyperlink ref="AH443" r:id="rId1719" xr:uid="{00000000-0004-0000-0300-0000B6060000}"/>
    <hyperlink ref="BI443" r:id="rId1720" xr:uid="{00000000-0004-0000-0300-0000B7060000}"/>
    <hyperlink ref="BL443" r:id="rId1721" xr:uid="{00000000-0004-0000-0300-0000B8060000}"/>
    <hyperlink ref="BN443" r:id="rId1722" xr:uid="{00000000-0004-0000-0300-0000B9060000}"/>
    <hyperlink ref="BP443" r:id="rId1723" xr:uid="{00000000-0004-0000-0300-0000BA060000}"/>
    <hyperlink ref="AH444" r:id="rId1724" xr:uid="{00000000-0004-0000-0300-0000BB060000}"/>
    <hyperlink ref="BI444" r:id="rId1725" xr:uid="{00000000-0004-0000-0300-0000BC060000}"/>
    <hyperlink ref="BL444" r:id="rId1726" xr:uid="{00000000-0004-0000-0300-0000BD060000}"/>
    <hyperlink ref="BM444" r:id="rId1727" xr:uid="{00000000-0004-0000-0300-0000BE060000}"/>
    <hyperlink ref="BN444" r:id="rId1728" xr:uid="{00000000-0004-0000-0300-0000BF060000}"/>
    <hyperlink ref="BP444" r:id="rId1729" xr:uid="{00000000-0004-0000-0300-0000C0060000}"/>
    <hyperlink ref="AH445" r:id="rId1730" xr:uid="{00000000-0004-0000-0300-0000C1060000}"/>
    <hyperlink ref="BI445" r:id="rId1731" xr:uid="{00000000-0004-0000-0300-0000C2060000}"/>
    <hyperlink ref="BL445" r:id="rId1732" xr:uid="{00000000-0004-0000-0300-0000C3060000}"/>
    <hyperlink ref="BM445" r:id="rId1733" xr:uid="{00000000-0004-0000-0300-0000C4060000}"/>
    <hyperlink ref="BN445" r:id="rId1734" xr:uid="{00000000-0004-0000-0300-0000C5060000}"/>
    <hyperlink ref="BP445" r:id="rId1735" xr:uid="{00000000-0004-0000-0300-0000C6060000}"/>
    <hyperlink ref="AH446" r:id="rId1736" xr:uid="{00000000-0004-0000-0300-0000C7060000}"/>
    <hyperlink ref="BI446" r:id="rId1737" xr:uid="{00000000-0004-0000-0300-0000C8060000}"/>
    <hyperlink ref="BL446" r:id="rId1738" xr:uid="{00000000-0004-0000-0300-0000C9060000}"/>
    <hyperlink ref="BM446" r:id="rId1739" xr:uid="{00000000-0004-0000-0300-0000CA060000}"/>
    <hyperlink ref="BP446" r:id="rId1740" xr:uid="{00000000-0004-0000-0300-0000CB060000}"/>
    <hyperlink ref="BI447" r:id="rId1741" xr:uid="{00000000-0004-0000-0300-0000CC060000}"/>
    <hyperlink ref="BL447" r:id="rId1742" xr:uid="{00000000-0004-0000-0300-0000CD060000}"/>
    <hyperlink ref="BM447" r:id="rId1743" xr:uid="{00000000-0004-0000-0300-0000CE060000}"/>
    <hyperlink ref="BN447" r:id="rId1744" xr:uid="{00000000-0004-0000-0300-0000CF060000}"/>
    <hyperlink ref="BP447" r:id="rId1745" xr:uid="{00000000-0004-0000-0300-0000D0060000}"/>
    <hyperlink ref="AH448" r:id="rId1746" xr:uid="{00000000-0004-0000-0300-0000D1060000}"/>
    <hyperlink ref="BI448" r:id="rId1747" xr:uid="{00000000-0004-0000-0300-0000D2060000}"/>
    <hyperlink ref="BL448" r:id="rId1748" xr:uid="{00000000-0004-0000-0300-0000D3060000}"/>
    <hyperlink ref="BN448" r:id="rId1749" xr:uid="{00000000-0004-0000-0300-0000D4060000}"/>
    <hyperlink ref="BP448" r:id="rId1750" xr:uid="{00000000-0004-0000-0300-0000D5060000}"/>
    <hyperlink ref="AH449" r:id="rId1751" xr:uid="{00000000-0004-0000-0300-0000D6060000}"/>
    <hyperlink ref="BI449" r:id="rId1752" xr:uid="{00000000-0004-0000-0300-0000D7060000}"/>
    <hyperlink ref="BL449" r:id="rId1753" xr:uid="{00000000-0004-0000-0300-0000D8060000}"/>
    <hyperlink ref="BP449" r:id="rId1754" xr:uid="{00000000-0004-0000-0300-0000D9060000}"/>
    <hyperlink ref="BI450" r:id="rId1755" xr:uid="{00000000-0004-0000-0300-0000DA060000}"/>
    <hyperlink ref="BP450" r:id="rId1756" xr:uid="{00000000-0004-0000-0300-0000DB060000}"/>
    <hyperlink ref="BI451" r:id="rId1757" xr:uid="{00000000-0004-0000-0300-0000DC060000}"/>
    <hyperlink ref="BP451" r:id="rId1758" xr:uid="{00000000-0004-0000-0300-0000DD060000}"/>
    <hyperlink ref="BI452" r:id="rId1759" xr:uid="{00000000-0004-0000-0300-0000DE060000}"/>
    <hyperlink ref="BL452" r:id="rId1760" xr:uid="{00000000-0004-0000-0300-0000DF060000}"/>
    <hyperlink ref="BP452" r:id="rId1761" xr:uid="{00000000-0004-0000-0300-0000E0060000}"/>
    <hyperlink ref="BI453" r:id="rId1762" xr:uid="{00000000-0004-0000-0300-0000E1060000}"/>
    <hyperlink ref="BL453" r:id="rId1763" xr:uid="{00000000-0004-0000-0300-0000E2060000}"/>
    <hyperlink ref="BP453" r:id="rId1764" xr:uid="{00000000-0004-0000-0300-0000E3060000}"/>
    <hyperlink ref="BI454" r:id="rId1765" xr:uid="{00000000-0004-0000-0300-0000E4060000}"/>
    <hyperlink ref="BL454" r:id="rId1766" xr:uid="{00000000-0004-0000-0300-0000E5060000}"/>
    <hyperlink ref="BP454" r:id="rId1767" xr:uid="{00000000-0004-0000-0300-0000E6060000}"/>
    <hyperlink ref="BI455" r:id="rId1768" xr:uid="{00000000-0004-0000-0300-0000E7060000}"/>
    <hyperlink ref="BL455" r:id="rId1769" xr:uid="{00000000-0004-0000-0300-0000E8060000}"/>
    <hyperlink ref="BM455" r:id="rId1770" xr:uid="{00000000-0004-0000-0300-0000E9060000}"/>
    <hyperlink ref="BN455" r:id="rId1771" xr:uid="{00000000-0004-0000-0300-0000EA060000}"/>
    <hyperlink ref="BP455" r:id="rId1772" xr:uid="{00000000-0004-0000-0300-0000EB060000}"/>
    <hyperlink ref="BI456" r:id="rId1773" xr:uid="{00000000-0004-0000-0300-0000EC060000}"/>
    <hyperlink ref="BM456" r:id="rId1774" xr:uid="{00000000-0004-0000-0300-0000ED060000}"/>
    <hyperlink ref="BP456" r:id="rId1775" xr:uid="{00000000-0004-0000-0300-0000EE060000}"/>
    <hyperlink ref="BI457" r:id="rId1776" xr:uid="{00000000-0004-0000-0300-0000EF060000}"/>
    <hyperlink ref="BL457" r:id="rId1777" xr:uid="{00000000-0004-0000-0300-0000F0060000}"/>
    <hyperlink ref="BM457" r:id="rId1778" xr:uid="{00000000-0004-0000-0300-0000F1060000}"/>
    <hyperlink ref="BN457" r:id="rId1779" xr:uid="{00000000-0004-0000-0300-0000F2060000}"/>
    <hyperlink ref="BO457" r:id="rId1780" xr:uid="{00000000-0004-0000-0300-0000F3060000}"/>
    <hyperlink ref="BP457" r:id="rId1781" xr:uid="{00000000-0004-0000-0300-0000F4060000}"/>
    <hyperlink ref="AH458" r:id="rId1782" xr:uid="{00000000-0004-0000-0300-0000F5060000}"/>
    <hyperlink ref="BI458" r:id="rId1783" xr:uid="{00000000-0004-0000-0300-0000F6060000}"/>
    <hyperlink ref="BL458" r:id="rId1784" xr:uid="{00000000-0004-0000-0300-0000F7060000}"/>
    <hyperlink ref="BM458" r:id="rId1785" xr:uid="{00000000-0004-0000-0300-0000F8060000}"/>
    <hyperlink ref="BN458" r:id="rId1786" xr:uid="{00000000-0004-0000-0300-0000F9060000}"/>
    <hyperlink ref="BO458" r:id="rId1787" xr:uid="{00000000-0004-0000-0300-0000FA060000}"/>
    <hyperlink ref="BP458" r:id="rId1788" xr:uid="{00000000-0004-0000-0300-0000FB060000}"/>
    <hyperlink ref="BI459" r:id="rId1789" xr:uid="{00000000-0004-0000-0300-0000FC060000}"/>
    <hyperlink ref="BP459" r:id="rId1790" xr:uid="{00000000-0004-0000-0300-0000FD060000}"/>
    <hyperlink ref="BI460" r:id="rId1791" xr:uid="{00000000-0004-0000-0300-0000FE060000}"/>
    <hyperlink ref="BL460" r:id="rId1792" xr:uid="{00000000-0004-0000-0300-0000FF060000}"/>
    <hyperlink ref="BP460" r:id="rId1793" xr:uid="{00000000-0004-0000-0300-000000070000}"/>
    <hyperlink ref="BI461" r:id="rId1794" xr:uid="{00000000-0004-0000-0300-000001070000}"/>
    <hyperlink ref="BP461" r:id="rId1795" xr:uid="{00000000-0004-0000-0300-000002070000}"/>
    <hyperlink ref="BI462" r:id="rId1796" xr:uid="{00000000-0004-0000-0300-000003070000}"/>
    <hyperlink ref="BL462" r:id="rId1797" xr:uid="{00000000-0004-0000-0300-000004070000}"/>
    <hyperlink ref="BP462" r:id="rId1798" xr:uid="{00000000-0004-0000-0300-000005070000}"/>
    <hyperlink ref="BI463" r:id="rId1799" xr:uid="{00000000-0004-0000-0300-000006070000}"/>
    <hyperlink ref="BL463" r:id="rId1800" xr:uid="{00000000-0004-0000-0300-000007070000}"/>
    <hyperlink ref="BN463" r:id="rId1801" xr:uid="{00000000-0004-0000-0300-000008070000}"/>
    <hyperlink ref="BP463" r:id="rId1802" xr:uid="{00000000-0004-0000-0300-000009070000}"/>
    <hyperlink ref="BI464" r:id="rId1803" xr:uid="{00000000-0004-0000-0300-00000A070000}"/>
    <hyperlink ref="BL464" r:id="rId1804" xr:uid="{00000000-0004-0000-0300-00000B070000}"/>
    <hyperlink ref="BP464" r:id="rId1805" xr:uid="{00000000-0004-0000-0300-00000C070000}"/>
    <hyperlink ref="BI465" r:id="rId1806" xr:uid="{00000000-0004-0000-0300-00000D070000}"/>
    <hyperlink ref="BL465" r:id="rId1807" xr:uid="{00000000-0004-0000-0300-00000E070000}"/>
    <hyperlink ref="BM465" r:id="rId1808" xr:uid="{00000000-0004-0000-0300-00000F070000}"/>
    <hyperlink ref="BN465" r:id="rId1809" xr:uid="{00000000-0004-0000-0300-000010070000}"/>
    <hyperlink ref="BP465" r:id="rId1810" xr:uid="{00000000-0004-0000-0300-000011070000}"/>
    <hyperlink ref="BI466" r:id="rId1811" xr:uid="{00000000-0004-0000-0300-000012070000}"/>
    <hyperlink ref="BL466" r:id="rId1812" xr:uid="{00000000-0004-0000-0300-000013070000}"/>
    <hyperlink ref="BN466" r:id="rId1813" xr:uid="{00000000-0004-0000-0300-000014070000}"/>
    <hyperlink ref="BO466" r:id="rId1814" xr:uid="{00000000-0004-0000-0300-000015070000}"/>
    <hyperlink ref="BP466" r:id="rId1815" xr:uid="{00000000-0004-0000-0300-000016070000}"/>
    <hyperlink ref="BI467" r:id="rId1816" xr:uid="{00000000-0004-0000-0300-000017070000}"/>
    <hyperlink ref="BM467" r:id="rId1817" xr:uid="{00000000-0004-0000-0300-000018070000}"/>
    <hyperlink ref="BP467" r:id="rId1818" xr:uid="{00000000-0004-0000-0300-000019070000}"/>
    <hyperlink ref="BI468" r:id="rId1819" xr:uid="{00000000-0004-0000-0300-00001A070000}"/>
    <hyperlink ref="BM468" r:id="rId1820" xr:uid="{00000000-0004-0000-0300-00001B070000}"/>
    <hyperlink ref="BN468" r:id="rId1821" xr:uid="{00000000-0004-0000-0300-00001C070000}"/>
    <hyperlink ref="BP468" r:id="rId1822" xr:uid="{00000000-0004-0000-0300-00001D070000}"/>
    <hyperlink ref="BI469" r:id="rId1823" xr:uid="{00000000-0004-0000-0300-00001E070000}"/>
    <hyperlink ref="BN469" r:id="rId1824" xr:uid="{00000000-0004-0000-0300-00001F070000}"/>
    <hyperlink ref="BP469" r:id="rId1825" xr:uid="{00000000-0004-0000-0300-000020070000}"/>
    <hyperlink ref="AH470" r:id="rId1826" xr:uid="{00000000-0004-0000-0300-000021070000}"/>
    <hyperlink ref="BI470" r:id="rId1827" xr:uid="{00000000-0004-0000-0300-000022070000}"/>
    <hyperlink ref="BL470" r:id="rId1828" xr:uid="{00000000-0004-0000-0300-000023070000}"/>
    <hyperlink ref="BM470" r:id="rId1829" xr:uid="{00000000-0004-0000-0300-000024070000}"/>
    <hyperlink ref="BN470" r:id="rId1830" xr:uid="{00000000-0004-0000-0300-000025070000}"/>
    <hyperlink ref="BP470" r:id="rId1831" xr:uid="{00000000-0004-0000-0300-000026070000}"/>
    <hyperlink ref="BI471" r:id="rId1832" xr:uid="{00000000-0004-0000-0300-000027070000}"/>
    <hyperlink ref="BL471" r:id="rId1833" xr:uid="{00000000-0004-0000-0300-000028070000}"/>
    <hyperlink ref="BM471" r:id="rId1834" xr:uid="{00000000-0004-0000-0300-000029070000}"/>
    <hyperlink ref="BN471" r:id="rId1835" xr:uid="{00000000-0004-0000-0300-00002A070000}"/>
    <hyperlink ref="BP471" r:id="rId1836" xr:uid="{00000000-0004-0000-0300-00002B070000}"/>
    <hyperlink ref="AH472" r:id="rId1837" xr:uid="{00000000-0004-0000-0300-00002C070000}"/>
    <hyperlink ref="BI472" r:id="rId1838" xr:uid="{00000000-0004-0000-0300-00002D070000}"/>
    <hyperlink ref="BL472" r:id="rId1839" xr:uid="{00000000-0004-0000-0300-00002E070000}"/>
    <hyperlink ref="BM472" r:id="rId1840" xr:uid="{00000000-0004-0000-0300-00002F070000}"/>
    <hyperlink ref="BN472" r:id="rId1841" xr:uid="{00000000-0004-0000-0300-000030070000}"/>
    <hyperlink ref="BP472" r:id="rId1842" xr:uid="{00000000-0004-0000-0300-000031070000}"/>
    <hyperlink ref="AH473" r:id="rId1843" xr:uid="{00000000-0004-0000-0300-000032070000}"/>
    <hyperlink ref="BI473" r:id="rId1844" xr:uid="{00000000-0004-0000-0300-000033070000}"/>
    <hyperlink ref="BL473" r:id="rId1845" xr:uid="{00000000-0004-0000-0300-000034070000}"/>
    <hyperlink ref="BP473" r:id="rId1846" xr:uid="{00000000-0004-0000-0300-000035070000}"/>
    <hyperlink ref="AH474" r:id="rId1847" xr:uid="{00000000-0004-0000-0300-000036070000}"/>
    <hyperlink ref="BI474" r:id="rId1848" xr:uid="{00000000-0004-0000-0300-000037070000}"/>
    <hyperlink ref="BL474" r:id="rId1849" xr:uid="{00000000-0004-0000-0300-000038070000}"/>
    <hyperlink ref="BM474" r:id="rId1850" xr:uid="{00000000-0004-0000-0300-000039070000}"/>
    <hyperlink ref="BN474" r:id="rId1851" xr:uid="{00000000-0004-0000-0300-00003A070000}"/>
    <hyperlink ref="BO474" r:id="rId1852" xr:uid="{00000000-0004-0000-0300-00003B070000}"/>
    <hyperlink ref="BP474" r:id="rId1853" xr:uid="{00000000-0004-0000-0300-00003C070000}"/>
    <hyperlink ref="BI475" r:id="rId1854" xr:uid="{00000000-0004-0000-0300-00003D070000}"/>
    <hyperlink ref="BP475" r:id="rId1855" xr:uid="{00000000-0004-0000-0300-00003E070000}"/>
    <hyperlink ref="BI476" r:id="rId1856" xr:uid="{00000000-0004-0000-0300-00003F070000}"/>
    <hyperlink ref="BM476" r:id="rId1857" xr:uid="{00000000-0004-0000-0300-000040070000}"/>
    <hyperlink ref="BP476" r:id="rId1858" xr:uid="{00000000-0004-0000-0300-000041070000}"/>
    <hyperlink ref="BI477" r:id="rId1859" xr:uid="{00000000-0004-0000-0300-000042070000}"/>
    <hyperlink ref="BL477" r:id="rId1860" xr:uid="{00000000-0004-0000-0300-000043070000}"/>
    <hyperlink ref="BM477" r:id="rId1861" xr:uid="{00000000-0004-0000-0300-000044070000}"/>
    <hyperlink ref="BN477" r:id="rId1862" xr:uid="{00000000-0004-0000-0300-000045070000}"/>
    <hyperlink ref="BO477" r:id="rId1863" xr:uid="{00000000-0004-0000-0300-000046070000}"/>
    <hyperlink ref="BP477" r:id="rId1864" xr:uid="{00000000-0004-0000-0300-000047070000}"/>
    <hyperlink ref="BI478" r:id="rId1865" xr:uid="{00000000-0004-0000-0300-000048070000}"/>
    <hyperlink ref="BL478" r:id="rId1866" xr:uid="{00000000-0004-0000-0300-000049070000}"/>
    <hyperlink ref="BM478" r:id="rId1867" xr:uid="{00000000-0004-0000-0300-00004A070000}"/>
    <hyperlink ref="BO478" r:id="rId1868" xr:uid="{00000000-0004-0000-0300-00004B070000}"/>
    <hyperlink ref="BP478" r:id="rId1869" xr:uid="{00000000-0004-0000-0300-00004C070000}"/>
    <hyperlink ref="AH479" r:id="rId1870" xr:uid="{00000000-0004-0000-0300-00004D070000}"/>
    <hyperlink ref="BI479" r:id="rId1871" xr:uid="{00000000-0004-0000-0300-00004E070000}"/>
    <hyperlink ref="BL479" r:id="rId1872" xr:uid="{00000000-0004-0000-0300-00004F070000}"/>
    <hyperlink ref="BM479" r:id="rId1873" xr:uid="{00000000-0004-0000-0300-000050070000}"/>
    <hyperlink ref="BN479" r:id="rId1874" xr:uid="{00000000-0004-0000-0300-000051070000}"/>
    <hyperlink ref="BP479" r:id="rId1875" xr:uid="{00000000-0004-0000-0300-000052070000}"/>
    <hyperlink ref="AH480" r:id="rId1876" xr:uid="{00000000-0004-0000-0300-000053070000}"/>
    <hyperlink ref="BI480" r:id="rId1877" xr:uid="{00000000-0004-0000-0300-000054070000}"/>
    <hyperlink ref="BL480" r:id="rId1878" xr:uid="{00000000-0004-0000-0300-000055070000}"/>
    <hyperlink ref="BP480" r:id="rId1879" xr:uid="{00000000-0004-0000-0300-000056070000}"/>
    <hyperlink ref="BI481" r:id="rId1880" xr:uid="{00000000-0004-0000-0300-000057070000}"/>
    <hyperlink ref="BL481" r:id="rId1881" xr:uid="{00000000-0004-0000-0300-000058070000}"/>
    <hyperlink ref="BM481" r:id="rId1882" xr:uid="{00000000-0004-0000-0300-000059070000}"/>
    <hyperlink ref="BN481" r:id="rId1883" xr:uid="{00000000-0004-0000-0300-00005A070000}"/>
    <hyperlink ref="BP481" r:id="rId1884" xr:uid="{00000000-0004-0000-0300-00005B070000}"/>
    <hyperlink ref="AH482" r:id="rId1885" xr:uid="{00000000-0004-0000-0300-00005C070000}"/>
    <hyperlink ref="BI482" r:id="rId1886" xr:uid="{00000000-0004-0000-0300-00005D070000}"/>
    <hyperlink ref="BL482" r:id="rId1887" xr:uid="{00000000-0004-0000-0300-00005E070000}"/>
    <hyperlink ref="BM482" r:id="rId1888" xr:uid="{00000000-0004-0000-0300-00005F070000}"/>
    <hyperlink ref="BN482" r:id="rId1889" xr:uid="{00000000-0004-0000-0300-000060070000}"/>
    <hyperlink ref="BP482" r:id="rId1890" xr:uid="{00000000-0004-0000-0300-000061070000}"/>
    <hyperlink ref="BI483" r:id="rId1891" xr:uid="{00000000-0004-0000-0300-000062070000}"/>
    <hyperlink ref="BP483" r:id="rId1892" xr:uid="{00000000-0004-0000-0300-000063070000}"/>
    <hyperlink ref="AH484" r:id="rId1893" xr:uid="{00000000-0004-0000-0300-000064070000}"/>
    <hyperlink ref="BI484" r:id="rId1894" xr:uid="{00000000-0004-0000-0300-000065070000}"/>
    <hyperlink ref="BL484" r:id="rId1895" xr:uid="{00000000-0004-0000-0300-000066070000}"/>
    <hyperlink ref="BN484" r:id="rId1896" xr:uid="{00000000-0004-0000-0300-000067070000}"/>
    <hyperlink ref="BP484" r:id="rId1897" xr:uid="{00000000-0004-0000-0300-000068070000}"/>
    <hyperlink ref="AH485" r:id="rId1898" xr:uid="{00000000-0004-0000-0300-000069070000}"/>
    <hyperlink ref="BI485" r:id="rId1899" xr:uid="{00000000-0004-0000-0300-00006A070000}"/>
    <hyperlink ref="BL485" r:id="rId1900" xr:uid="{00000000-0004-0000-0300-00006B070000}"/>
    <hyperlink ref="BN485" r:id="rId1901" xr:uid="{00000000-0004-0000-0300-00006C070000}"/>
    <hyperlink ref="BP485" r:id="rId1902" xr:uid="{00000000-0004-0000-0300-00006D070000}"/>
    <hyperlink ref="AH486" r:id="rId1903" xr:uid="{00000000-0004-0000-0300-00006E070000}"/>
    <hyperlink ref="BI486" r:id="rId1904" xr:uid="{00000000-0004-0000-0300-00006F070000}"/>
    <hyperlink ref="BL486" r:id="rId1905" xr:uid="{00000000-0004-0000-0300-000070070000}"/>
    <hyperlink ref="BO486" r:id="rId1906" xr:uid="{00000000-0004-0000-0300-000071070000}"/>
    <hyperlink ref="BP486" r:id="rId1907" xr:uid="{00000000-0004-0000-0300-000072070000}"/>
    <hyperlink ref="BI487" r:id="rId1908" xr:uid="{00000000-0004-0000-0300-000073070000}"/>
    <hyperlink ref="BM487" r:id="rId1909" xr:uid="{00000000-0004-0000-0300-000074070000}"/>
    <hyperlink ref="BN487" r:id="rId1910" xr:uid="{00000000-0004-0000-0300-000075070000}"/>
    <hyperlink ref="BP487" r:id="rId1911" xr:uid="{00000000-0004-0000-0300-000076070000}"/>
    <hyperlink ref="AH488" r:id="rId1912" xr:uid="{00000000-0004-0000-0300-000077070000}"/>
    <hyperlink ref="BI488" r:id="rId1913" xr:uid="{00000000-0004-0000-0300-000078070000}"/>
    <hyperlink ref="BL488" r:id="rId1914" xr:uid="{00000000-0004-0000-0300-000079070000}"/>
    <hyperlink ref="BM488" r:id="rId1915" xr:uid="{00000000-0004-0000-0300-00007A070000}"/>
    <hyperlink ref="BN488" r:id="rId1916" xr:uid="{00000000-0004-0000-0300-00007B070000}"/>
    <hyperlink ref="BP488" r:id="rId1917" xr:uid="{00000000-0004-0000-0300-00007C070000}"/>
    <hyperlink ref="AH489" r:id="rId1918" xr:uid="{00000000-0004-0000-0300-00007D070000}"/>
    <hyperlink ref="BI489" r:id="rId1919" xr:uid="{00000000-0004-0000-0300-00007E070000}"/>
    <hyperlink ref="BL489" r:id="rId1920" xr:uid="{00000000-0004-0000-0300-00007F070000}"/>
    <hyperlink ref="BM489" r:id="rId1921" xr:uid="{00000000-0004-0000-0300-000080070000}"/>
    <hyperlink ref="BN489" r:id="rId1922" xr:uid="{00000000-0004-0000-0300-000081070000}"/>
    <hyperlink ref="BO489" r:id="rId1923" xr:uid="{00000000-0004-0000-0300-000082070000}"/>
    <hyperlink ref="BP489" r:id="rId1924" xr:uid="{00000000-0004-0000-0300-000083070000}"/>
    <hyperlink ref="AH490" r:id="rId1925" xr:uid="{00000000-0004-0000-0300-000084070000}"/>
    <hyperlink ref="BI490" r:id="rId1926" xr:uid="{00000000-0004-0000-0300-000085070000}"/>
    <hyperlink ref="BL490" r:id="rId1927" xr:uid="{00000000-0004-0000-0300-000086070000}"/>
    <hyperlink ref="BM490" r:id="rId1928" xr:uid="{00000000-0004-0000-0300-000087070000}"/>
    <hyperlink ref="BN490" r:id="rId1929" xr:uid="{00000000-0004-0000-0300-000088070000}"/>
    <hyperlink ref="BO490" r:id="rId1930" xr:uid="{00000000-0004-0000-0300-000089070000}"/>
    <hyperlink ref="BP490" r:id="rId1931" xr:uid="{00000000-0004-0000-0300-00008A070000}"/>
    <hyperlink ref="BI491" r:id="rId1932" xr:uid="{00000000-0004-0000-0300-00008B070000}"/>
    <hyperlink ref="BL491" r:id="rId1933" xr:uid="{00000000-0004-0000-0300-00008C070000}"/>
    <hyperlink ref="BM491" r:id="rId1934" xr:uid="{00000000-0004-0000-0300-00008D070000}"/>
    <hyperlink ref="BP491" r:id="rId1935" xr:uid="{00000000-0004-0000-0300-00008E070000}"/>
    <hyperlink ref="BI492" r:id="rId1936" xr:uid="{00000000-0004-0000-0300-00008F070000}"/>
    <hyperlink ref="BL492" r:id="rId1937" xr:uid="{00000000-0004-0000-0300-000090070000}"/>
    <hyperlink ref="BP492" r:id="rId1938" xr:uid="{00000000-0004-0000-0300-000091070000}"/>
    <hyperlink ref="AH493" r:id="rId1939" xr:uid="{00000000-0004-0000-0300-000092070000}"/>
    <hyperlink ref="BI493" r:id="rId1940" xr:uid="{00000000-0004-0000-0300-000093070000}"/>
    <hyperlink ref="BL493" r:id="rId1941" xr:uid="{00000000-0004-0000-0300-000094070000}"/>
    <hyperlink ref="BP493" r:id="rId1942" xr:uid="{00000000-0004-0000-0300-000095070000}"/>
    <hyperlink ref="BI494" r:id="rId1943" xr:uid="{00000000-0004-0000-0300-000096070000}"/>
    <hyperlink ref="BL494" r:id="rId1944" xr:uid="{00000000-0004-0000-0300-000097070000}"/>
    <hyperlink ref="BM494" r:id="rId1945" xr:uid="{00000000-0004-0000-0300-000098070000}"/>
    <hyperlink ref="BN494" r:id="rId1946" xr:uid="{00000000-0004-0000-0300-000099070000}"/>
    <hyperlink ref="BP494" r:id="rId1947" xr:uid="{00000000-0004-0000-0300-00009A070000}"/>
    <hyperlink ref="BI495" r:id="rId1948" xr:uid="{00000000-0004-0000-0300-00009B070000}"/>
    <hyperlink ref="BL495" r:id="rId1949" xr:uid="{00000000-0004-0000-0300-00009C070000}"/>
    <hyperlink ref="BM495" r:id="rId1950" xr:uid="{00000000-0004-0000-0300-00009D070000}"/>
    <hyperlink ref="BP495" r:id="rId1951" xr:uid="{00000000-0004-0000-0300-00009E070000}"/>
    <hyperlink ref="BI496" r:id="rId1952" xr:uid="{00000000-0004-0000-0300-00009F070000}"/>
    <hyperlink ref="BP496" r:id="rId1953" xr:uid="{00000000-0004-0000-0300-0000A0070000}"/>
    <hyperlink ref="BI497" r:id="rId1954" xr:uid="{00000000-0004-0000-0300-0000A1070000}"/>
    <hyperlink ref="BM497" r:id="rId1955" xr:uid="{00000000-0004-0000-0300-0000A2070000}"/>
    <hyperlink ref="BP497" r:id="rId1956" xr:uid="{00000000-0004-0000-0300-0000A3070000}"/>
    <hyperlink ref="BI498" r:id="rId1957" xr:uid="{00000000-0004-0000-0300-0000A4070000}"/>
    <hyperlink ref="BL498" r:id="rId1958" xr:uid="{00000000-0004-0000-0300-0000A5070000}"/>
    <hyperlink ref="BM498" r:id="rId1959" xr:uid="{00000000-0004-0000-0300-0000A6070000}"/>
    <hyperlink ref="BP498" r:id="rId1960" xr:uid="{00000000-0004-0000-0300-0000A7070000}"/>
    <hyperlink ref="AH499" r:id="rId1961" xr:uid="{00000000-0004-0000-0300-0000A8070000}"/>
    <hyperlink ref="BI499" r:id="rId1962" xr:uid="{00000000-0004-0000-0300-0000A9070000}"/>
    <hyperlink ref="BL499" r:id="rId1963" xr:uid="{00000000-0004-0000-0300-0000AA070000}"/>
    <hyperlink ref="BM499" r:id="rId1964" xr:uid="{00000000-0004-0000-0300-0000AB070000}"/>
    <hyperlink ref="BN499" r:id="rId1965" xr:uid="{00000000-0004-0000-0300-0000AC070000}"/>
    <hyperlink ref="BP499" r:id="rId1966" xr:uid="{00000000-0004-0000-0300-0000AD070000}"/>
    <hyperlink ref="BI500" r:id="rId1967" xr:uid="{00000000-0004-0000-0300-0000AE070000}"/>
    <hyperlink ref="BL500" r:id="rId1968" xr:uid="{00000000-0004-0000-0300-0000AF070000}"/>
    <hyperlink ref="BN500" r:id="rId1969" xr:uid="{00000000-0004-0000-0300-0000B0070000}"/>
    <hyperlink ref="BP500" r:id="rId1970" xr:uid="{00000000-0004-0000-0300-0000B1070000}"/>
    <hyperlink ref="BI501" r:id="rId1971" xr:uid="{00000000-0004-0000-0300-0000B2070000}"/>
    <hyperlink ref="BP501" r:id="rId1972" xr:uid="{00000000-0004-0000-0300-0000B3070000}"/>
    <hyperlink ref="AH502" r:id="rId1973" xr:uid="{00000000-0004-0000-0300-0000B4070000}"/>
    <hyperlink ref="BI502" r:id="rId1974" xr:uid="{00000000-0004-0000-0300-0000B5070000}"/>
    <hyperlink ref="BL502" r:id="rId1975" xr:uid="{00000000-0004-0000-0300-0000B6070000}"/>
    <hyperlink ref="BN502" r:id="rId1976" xr:uid="{00000000-0004-0000-0300-0000B7070000}"/>
    <hyperlink ref="BO502" r:id="rId1977" xr:uid="{00000000-0004-0000-0300-0000B8070000}"/>
    <hyperlink ref="BP502" r:id="rId1978" xr:uid="{00000000-0004-0000-0300-0000B9070000}"/>
    <hyperlink ref="AH503" r:id="rId1979" xr:uid="{00000000-0004-0000-0300-0000BA070000}"/>
    <hyperlink ref="BI503" r:id="rId1980" xr:uid="{00000000-0004-0000-0300-0000BB070000}"/>
    <hyperlink ref="BL503" r:id="rId1981" xr:uid="{00000000-0004-0000-0300-0000BC070000}"/>
    <hyperlink ref="BM503" r:id="rId1982" xr:uid="{00000000-0004-0000-0300-0000BD070000}"/>
    <hyperlink ref="BN503" r:id="rId1983" xr:uid="{00000000-0004-0000-0300-0000BE070000}"/>
    <hyperlink ref="BP503" r:id="rId1984" xr:uid="{00000000-0004-0000-0300-0000BF070000}"/>
    <hyperlink ref="AH504" r:id="rId1985" xr:uid="{00000000-0004-0000-0300-0000C0070000}"/>
    <hyperlink ref="BI504" r:id="rId1986" xr:uid="{00000000-0004-0000-0300-0000C1070000}"/>
    <hyperlink ref="BL504" r:id="rId1987" xr:uid="{00000000-0004-0000-0300-0000C2070000}"/>
    <hyperlink ref="BM504" r:id="rId1988" xr:uid="{00000000-0004-0000-0300-0000C3070000}"/>
    <hyperlink ref="BN504" r:id="rId1989" xr:uid="{00000000-0004-0000-0300-0000C4070000}"/>
    <hyperlink ref="BP504" r:id="rId1990" xr:uid="{00000000-0004-0000-0300-0000C5070000}"/>
    <hyperlink ref="AH505" r:id="rId1991" xr:uid="{00000000-0004-0000-0300-0000C6070000}"/>
    <hyperlink ref="BI505" r:id="rId1992" xr:uid="{00000000-0004-0000-0300-0000C7070000}"/>
    <hyperlink ref="BL505" r:id="rId1993" xr:uid="{00000000-0004-0000-0300-0000C8070000}"/>
    <hyperlink ref="BM505" r:id="rId1994" xr:uid="{00000000-0004-0000-0300-0000C9070000}"/>
    <hyperlink ref="BO505" r:id="rId1995" xr:uid="{00000000-0004-0000-0300-0000CA070000}"/>
    <hyperlink ref="BP505" r:id="rId1996" xr:uid="{00000000-0004-0000-0300-0000CB070000}"/>
    <hyperlink ref="BI506" r:id="rId1997" xr:uid="{00000000-0004-0000-0300-0000CC070000}"/>
    <hyperlink ref="BL506" r:id="rId1998" xr:uid="{00000000-0004-0000-0300-0000CD070000}"/>
    <hyperlink ref="BM506" r:id="rId1999" xr:uid="{00000000-0004-0000-0300-0000CE070000}"/>
    <hyperlink ref="BN506" r:id="rId2000" xr:uid="{00000000-0004-0000-0300-0000CF070000}"/>
    <hyperlink ref="BP506" r:id="rId2001" xr:uid="{00000000-0004-0000-0300-0000D0070000}"/>
    <hyperlink ref="BI507" r:id="rId2002" xr:uid="{00000000-0004-0000-0300-0000D1070000}"/>
    <hyperlink ref="BL507" r:id="rId2003" xr:uid="{00000000-0004-0000-0300-0000D2070000}"/>
    <hyperlink ref="BM507" r:id="rId2004" xr:uid="{00000000-0004-0000-0300-0000D3070000}"/>
    <hyperlink ref="BO507" r:id="rId2005" xr:uid="{00000000-0004-0000-0300-0000D4070000}"/>
    <hyperlink ref="BP507" r:id="rId2006" xr:uid="{00000000-0004-0000-0300-0000D5070000}"/>
    <hyperlink ref="AH508" r:id="rId2007" xr:uid="{00000000-0004-0000-0300-0000D6070000}"/>
    <hyperlink ref="BI508" r:id="rId2008" xr:uid="{00000000-0004-0000-0300-0000D7070000}"/>
    <hyperlink ref="BL508" r:id="rId2009" xr:uid="{00000000-0004-0000-0300-0000D8070000}"/>
    <hyperlink ref="BP508" r:id="rId2010" xr:uid="{00000000-0004-0000-0300-0000D9070000}"/>
    <hyperlink ref="AH509" r:id="rId2011" xr:uid="{00000000-0004-0000-0300-0000DA070000}"/>
    <hyperlink ref="BI509" r:id="rId2012" xr:uid="{00000000-0004-0000-0300-0000DB070000}"/>
    <hyperlink ref="BL509" r:id="rId2013" xr:uid="{00000000-0004-0000-0300-0000DC070000}"/>
    <hyperlink ref="BM509" r:id="rId2014" xr:uid="{00000000-0004-0000-0300-0000DD070000}"/>
    <hyperlink ref="BN509" r:id="rId2015" xr:uid="{00000000-0004-0000-0300-0000DE070000}"/>
    <hyperlink ref="BO509" r:id="rId2016" xr:uid="{00000000-0004-0000-0300-0000DF070000}"/>
    <hyperlink ref="BP509" r:id="rId2017" xr:uid="{00000000-0004-0000-0300-0000E0070000}"/>
    <hyperlink ref="AH510" r:id="rId2018" xr:uid="{00000000-0004-0000-0300-0000E1070000}"/>
    <hyperlink ref="BI510" r:id="rId2019" xr:uid="{00000000-0004-0000-0300-0000E2070000}"/>
    <hyperlink ref="BL510" r:id="rId2020" xr:uid="{00000000-0004-0000-0300-0000E3070000}"/>
    <hyperlink ref="BM510" r:id="rId2021" xr:uid="{00000000-0004-0000-0300-0000E4070000}"/>
    <hyperlink ref="BN510" r:id="rId2022" xr:uid="{00000000-0004-0000-0300-0000E5070000}"/>
    <hyperlink ref="BP510" r:id="rId2023" xr:uid="{00000000-0004-0000-0300-0000E6070000}"/>
    <hyperlink ref="AH511" r:id="rId2024" xr:uid="{00000000-0004-0000-0300-0000E7070000}"/>
    <hyperlink ref="BI511" r:id="rId2025" xr:uid="{00000000-0004-0000-0300-0000E8070000}"/>
    <hyperlink ref="BL511" r:id="rId2026" xr:uid="{00000000-0004-0000-0300-0000E9070000}"/>
    <hyperlink ref="BM511" r:id="rId2027" xr:uid="{00000000-0004-0000-0300-0000EA070000}"/>
    <hyperlink ref="BP511" r:id="rId2028" xr:uid="{00000000-0004-0000-0300-0000EB070000}"/>
    <hyperlink ref="AH512" r:id="rId2029" xr:uid="{00000000-0004-0000-0300-0000EC070000}"/>
    <hyperlink ref="BI512" r:id="rId2030" xr:uid="{00000000-0004-0000-0300-0000ED070000}"/>
    <hyperlink ref="BL512" r:id="rId2031" xr:uid="{00000000-0004-0000-0300-0000EE070000}"/>
    <hyperlink ref="BM512" r:id="rId2032" xr:uid="{00000000-0004-0000-0300-0000EF070000}"/>
    <hyperlink ref="BN512" r:id="rId2033" xr:uid="{00000000-0004-0000-0300-0000F0070000}"/>
    <hyperlink ref="BP512" r:id="rId2034" xr:uid="{00000000-0004-0000-0300-0000F1070000}"/>
    <hyperlink ref="AH513" r:id="rId2035" xr:uid="{00000000-0004-0000-0300-0000F2070000}"/>
    <hyperlink ref="BI513" r:id="rId2036" xr:uid="{00000000-0004-0000-0300-0000F3070000}"/>
    <hyperlink ref="BL513" r:id="rId2037" xr:uid="{00000000-0004-0000-0300-0000F4070000}"/>
    <hyperlink ref="BP513" r:id="rId2038" xr:uid="{00000000-0004-0000-0300-0000F5070000}"/>
    <hyperlink ref="AH514" r:id="rId2039" xr:uid="{00000000-0004-0000-0300-0000F6070000}"/>
    <hyperlink ref="BI514" r:id="rId2040" xr:uid="{00000000-0004-0000-0300-0000F7070000}"/>
    <hyperlink ref="BL514" r:id="rId2041" xr:uid="{00000000-0004-0000-0300-0000F8070000}"/>
    <hyperlink ref="BM514" r:id="rId2042" xr:uid="{00000000-0004-0000-0300-0000F9070000}"/>
    <hyperlink ref="BN514" r:id="rId2043" xr:uid="{00000000-0004-0000-0300-0000FA070000}"/>
    <hyperlink ref="BO514" r:id="rId2044" xr:uid="{00000000-0004-0000-0300-0000FB070000}"/>
    <hyperlink ref="BP514" r:id="rId2045" xr:uid="{00000000-0004-0000-0300-0000FC070000}"/>
    <hyperlink ref="AH515" r:id="rId2046" xr:uid="{00000000-0004-0000-0300-0000FD070000}"/>
    <hyperlink ref="BI515" r:id="rId2047" xr:uid="{00000000-0004-0000-0300-0000FE070000}"/>
    <hyperlink ref="BL515" r:id="rId2048" xr:uid="{00000000-0004-0000-0300-0000FF070000}"/>
    <hyperlink ref="BN515" r:id="rId2049" xr:uid="{00000000-0004-0000-0300-000000080000}"/>
    <hyperlink ref="BP515" r:id="rId2050" xr:uid="{00000000-0004-0000-0300-000001080000}"/>
    <hyperlink ref="AH516" r:id="rId2051" xr:uid="{00000000-0004-0000-0300-000002080000}"/>
    <hyperlink ref="BI516" r:id="rId2052" xr:uid="{00000000-0004-0000-0300-000003080000}"/>
    <hyperlink ref="BL516" r:id="rId2053" xr:uid="{00000000-0004-0000-0300-000004080000}"/>
    <hyperlink ref="BM516" r:id="rId2054" xr:uid="{00000000-0004-0000-0300-000005080000}"/>
    <hyperlink ref="BN516" r:id="rId2055" xr:uid="{00000000-0004-0000-0300-000006080000}"/>
    <hyperlink ref="BP516" r:id="rId2056" xr:uid="{00000000-0004-0000-0300-000007080000}"/>
    <hyperlink ref="AH517" r:id="rId2057" xr:uid="{00000000-0004-0000-0300-000008080000}"/>
    <hyperlink ref="BI517" r:id="rId2058" xr:uid="{00000000-0004-0000-0300-000009080000}"/>
    <hyperlink ref="BL517" r:id="rId2059" xr:uid="{00000000-0004-0000-0300-00000A080000}"/>
    <hyperlink ref="BM517" r:id="rId2060" xr:uid="{00000000-0004-0000-0300-00000B080000}"/>
    <hyperlink ref="BP517" r:id="rId2061" xr:uid="{00000000-0004-0000-0300-00000C080000}"/>
    <hyperlink ref="AH518" r:id="rId2062" xr:uid="{00000000-0004-0000-0300-00000D080000}"/>
    <hyperlink ref="BI518" r:id="rId2063" xr:uid="{00000000-0004-0000-0300-00000E080000}"/>
    <hyperlink ref="BL518" r:id="rId2064" xr:uid="{00000000-0004-0000-0300-00000F080000}"/>
    <hyperlink ref="BP518" r:id="rId2065" xr:uid="{00000000-0004-0000-0300-000010080000}"/>
    <hyperlink ref="AH519" r:id="rId2066" xr:uid="{00000000-0004-0000-0300-000011080000}"/>
    <hyperlink ref="BI519" r:id="rId2067" xr:uid="{00000000-0004-0000-0300-000012080000}"/>
    <hyperlink ref="BL519" r:id="rId2068" xr:uid="{00000000-0004-0000-0300-000013080000}"/>
    <hyperlink ref="BM519" r:id="rId2069" xr:uid="{00000000-0004-0000-0300-000014080000}"/>
    <hyperlink ref="BN519" r:id="rId2070" xr:uid="{00000000-0004-0000-0300-000015080000}"/>
    <hyperlink ref="BP519" r:id="rId2071" xr:uid="{00000000-0004-0000-0300-000016080000}"/>
    <hyperlink ref="AH520" r:id="rId2072" xr:uid="{00000000-0004-0000-0300-000017080000}"/>
    <hyperlink ref="BI520" r:id="rId2073" xr:uid="{00000000-0004-0000-0300-000018080000}"/>
    <hyperlink ref="BL520" r:id="rId2074" xr:uid="{00000000-0004-0000-0300-000019080000}"/>
    <hyperlink ref="BM520" r:id="rId2075" xr:uid="{00000000-0004-0000-0300-00001A080000}"/>
    <hyperlink ref="BN520" r:id="rId2076" xr:uid="{00000000-0004-0000-0300-00001B080000}"/>
    <hyperlink ref="BP520" r:id="rId2077" xr:uid="{00000000-0004-0000-0300-00001C080000}"/>
    <hyperlink ref="AH521" r:id="rId2078" xr:uid="{00000000-0004-0000-0300-00001D080000}"/>
    <hyperlink ref="BI521" r:id="rId2079" xr:uid="{00000000-0004-0000-0300-00001E080000}"/>
    <hyperlink ref="BL521" r:id="rId2080" xr:uid="{00000000-0004-0000-0300-00001F080000}"/>
    <hyperlink ref="BM521" r:id="rId2081" xr:uid="{00000000-0004-0000-0300-000020080000}"/>
    <hyperlink ref="BN521" r:id="rId2082" xr:uid="{00000000-0004-0000-0300-000021080000}"/>
    <hyperlink ref="BO521" r:id="rId2083" xr:uid="{00000000-0004-0000-0300-000022080000}"/>
    <hyperlink ref="BP521" r:id="rId2084" xr:uid="{00000000-0004-0000-0300-000023080000}"/>
    <hyperlink ref="AH522" r:id="rId2085" xr:uid="{00000000-0004-0000-0300-000024080000}"/>
    <hyperlink ref="BI522" r:id="rId2086" xr:uid="{00000000-0004-0000-0300-000025080000}"/>
    <hyperlink ref="BL522" r:id="rId2087" xr:uid="{00000000-0004-0000-0300-000026080000}"/>
    <hyperlink ref="BM522" r:id="rId2088" xr:uid="{00000000-0004-0000-0300-000027080000}"/>
    <hyperlink ref="BN522" r:id="rId2089" xr:uid="{00000000-0004-0000-0300-000028080000}"/>
    <hyperlink ref="BO522" r:id="rId2090" xr:uid="{00000000-0004-0000-0300-000029080000}"/>
    <hyperlink ref="BP522" r:id="rId2091" xr:uid="{00000000-0004-0000-0300-00002A080000}"/>
    <hyperlink ref="AH523" r:id="rId2092" xr:uid="{00000000-0004-0000-0300-00002B080000}"/>
    <hyperlink ref="BI523" r:id="rId2093" xr:uid="{00000000-0004-0000-0300-00002C080000}"/>
    <hyperlink ref="BL523" r:id="rId2094" xr:uid="{00000000-0004-0000-0300-00002D080000}"/>
    <hyperlink ref="BM523" r:id="rId2095" xr:uid="{00000000-0004-0000-0300-00002E080000}"/>
    <hyperlink ref="BP523" r:id="rId2096" xr:uid="{00000000-0004-0000-0300-00002F080000}"/>
    <hyperlink ref="AH524" r:id="rId2097" xr:uid="{00000000-0004-0000-0300-000030080000}"/>
    <hyperlink ref="BI524" r:id="rId2098" xr:uid="{00000000-0004-0000-0300-000031080000}"/>
    <hyperlink ref="BL524" r:id="rId2099" xr:uid="{00000000-0004-0000-0300-000032080000}"/>
    <hyperlink ref="BM524" r:id="rId2100" xr:uid="{00000000-0004-0000-0300-000033080000}"/>
    <hyperlink ref="BP524" r:id="rId2101" xr:uid="{00000000-0004-0000-0300-000034080000}"/>
    <hyperlink ref="AH525" r:id="rId2102" xr:uid="{00000000-0004-0000-0300-000035080000}"/>
    <hyperlink ref="BI525" r:id="rId2103" xr:uid="{00000000-0004-0000-0300-000036080000}"/>
    <hyperlink ref="BL525" r:id="rId2104" xr:uid="{00000000-0004-0000-0300-000037080000}"/>
    <hyperlink ref="BM525" r:id="rId2105" xr:uid="{00000000-0004-0000-0300-000038080000}"/>
    <hyperlink ref="BP525" r:id="rId2106" xr:uid="{00000000-0004-0000-0300-000039080000}"/>
    <hyperlink ref="AH526" r:id="rId2107" xr:uid="{00000000-0004-0000-0300-00003A080000}"/>
    <hyperlink ref="BI526" r:id="rId2108" xr:uid="{00000000-0004-0000-0300-00003B080000}"/>
    <hyperlink ref="BL526" r:id="rId2109" xr:uid="{00000000-0004-0000-0300-00003C080000}"/>
    <hyperlink ref="BP526" r:id="rId2110" xr:uid="{00000000-0004-0000-0300-00003D080000}"/>
    <hyperlink ref="BI527" r:id="rId2111" xr:uid="{00000000-0004-0000-0300-00003E080000}"/>
    <hyperlink ref="BL527" r:id="rId2112" xr:uid="{00000000-0004-0000-0300-00003F080000}"/>
    <hyperlink ref="BM527" r:id="rId2113" xr:uid="{00000000-0004-0000-0300-000040080000}"/>
    <hyperlink ref="BN527" r:id="rId2114" xr:uid="{00000000-0004-0000-0300-000041080000}"/>
    <hyperlink ref="BP527" r:id="rId2115" xr:uid="{00000000-0004-0000-0300-000042080000}"/>
    <hyperlink ref="AH528" r:id="rId2116" xr:uid="{00000000-0004-0000-0300-000043080000}"/>
    <hyperlink ref="BI528" r:id="rId2117" xr:uid="{00000000-0004-0000-0300-000044080000}"/>
    <hyperlink ref="BL528" r:id="rId2118" xr:uid="{00000000-0004-0000-0300-000045080000}"/>
    <hyperlink ref="BM528" r:id="rId2119" xr:uid="{00000000-0004-0000-0300-000046080000}"/>
    <hyperlink ref="BP528" r:id="rId2120" xr:uid="{00000000-0004-0000-0300-000047080000}"/>
    <hyperlink ref="AH529" r:id="rId2121" xr:uid="{00000000-0004-0000-0300-000048080000}"/>
    <hyperlink ref="BI529" r:id="rId2122" xr:uid="{00000000-0004-0000-0300-000049080000}"/>
    <hyperlink ref="BL529" r:id="rId2123" xr:uid="{00000000-0004-0000-0300-00004A080000}"/>
    <hyperlink ref="BP529" r:id="rId2124" xr:uid="{00000000-0004-0000-0300-00004B080000}"/>
    <hyperlink ref="AH530" r:id="rId2125" xr:uid="{00000000-0004-0000-0300-00004C080000}"/>
    <hyperlink ref="BI530" r:id="rId2126" xr:uid="{00000000-0004-0000-0300-00004D080000}"/>
    <hyperlink ref="BL530" r:id="rId2127" xr:uid="{00000000-0004-0000-0300-00004E080000}"/>
    <hyperlink ref="BO530" r:id="rId2128" xr:uid="{00000000-0004-0000-0300-00004F080000}"/>
    <hyperlink ref="BP530" r:id="rId2129" xr:uid="{00000000-0004-0000-0300-000050080000}"/>
    <hyperlink ref="AH531" r:id="rId2130" xr:uid="{00000000-0004-0000-0300-000051080000}"/>
    <hyperlink ref="BI531" r:id="rId2131" xr:uid="{00000000-0004-0000-0300-000052080000}"/>
    <hyperlink ref="BL531" r:id="rId2132" xr:uid="{00000000-0004-0000-0300-000053080000}"/>
    <hyperlink ref="BM531" r:id="rId2133" xr:uid="{00000000-0004-0000-0300-000054080000}"/>
    <hyperlink ref="BN531" r:id="rId2134" xr:uid="{00000000-0004-0000-0300-000055080000}"/>
    <hyperlink ref="BP531" r:id="rId2135" xr:uid="{00000000-0004-0000-0300-000056080000}"/>
    <hyperlink ref="BI532" r:id="rId2136" xr:uid="{00000000-0004-0000-0300-000057080000}"/>
    <hyperlink ref="BP532" r:id="rId2137" xr:uid="{00000000-0004-0000-0300-000058080000}"/>
    <hyperlink ref="AH533" r:id="rId2138" xr:uid="{00000000-0004-0000-0300-000059080000}"/>
    <hyperlink ref="BI533" r:id="rId2139" xr:uid="{00000000-0004-0000-0300-00005A080000}"/>
    <hyperlink ref="BL533" r:id="rId2140" xr:uid="{00000000-0004-0000-0300-00005B080000}"/>
    <hyperlink ref="BM533" r:id="rId2141" xr:uid="{00000000-0004-0000-0300-00005C080000}"/>
    <hyperlink ref="BN533" r:id="rId2142" xr:uid="{00000000-0004-0000-0300-00005D080000}"/>
    <hyperlink ref="BO533" r:id="rId2143" xr:uid="{00000000-0004-0000-0300-00005E080000}"/>
    <hyperlink ref="BP533" r:id="rId2144" xr:uid="{00000000-0004-0000-0300-00005F080000}"/>
    <hyperlink ref="AH534" r:id="rId2145" xr:uid="{00000000-0004-0000-0300-000060080000}"/>
    <hyperlink ref="BI534" r:id="rId2146" xr:uid="{00000000-0004-0000-0300-000061080000}"/>
    <hyperlink ref="BL534" r:id="rId2147" xr:uid="{00000000-0004-0000-0300-000062080000}"/>
    <hyperlink ref="BM534" r:id="rId2148" xr:uid="{00000000-0004-0000-0300-000063080000}"/>
    <hyperlink ref="BN534" r:id="rId2149" xr:uid="{00000000-0004-0000-0300-000064080000}"/>
    <hyperlink ref="BP534" r:id="rId2150" xr:uid="{00000000-0004-0000-0300-000065080000}"/>
    <hyperlink ref="AH535" r:id="rId2151" xr:uid="{00000000-0004-0000-0300-000066080000}"/>
    <hyperlink ref="BI535" r:id="rId2152" xr:uid="{00000000-0004-0000-0300-000067080000}"/>
    <hyperlink ref="BL535" r:id="rId2153" xr:uid="{00000000-0004-0000-0300-000068080000}"/>
    <hyperlink ref="BM535" r:id="rId2154" xr:uid="{00000000-0004-0000-0300-000069080000}"/>
    <hyperlink ref="BP535" r:id="rId2155" xr:uid="{00000000-0004-0000-0300-00006A080000}"/>
    <hyperlink ref="BI536" r:id="rId2156" xr:uid="{00000000-0004-0000-0300-00006B080000}"/>
    <hyperlink ref="BP536" r:id="rId2157" xr:uid="{00000000-0004-0000-0300-00006C080000}"/>
    <hyperlink ref="AH537" r:id="rId2158" xr:uid="{00000000-0004-0000-0300-00006D080000}"/>
    <hyperlink ref="BI537" r:id="rId2159" xr:uid="{00000000-0004-0000-0300-00006E080000}"/>
    <hyperlink ref="BL537" r:id="rId2160" xr:uid="{00000000-0004-0000-0300-00006F080000}"/>
    <hyperlink ref="BM537" r:id="rId2161" xr:uid="{00000000-0004-0000-0300-000070080000}"/>
    <hyperlink ref="BN537" r:id="rId2162" xr:uid="{00000000-0004-0000-0300-000071080000}"/>
    <hyperlink ref="BP537" r:id="rId2163" xr:uid="{00000000-0004-0000-0300-000072080000}"/>
    <hyperlink ref="AH538" r:id="rId2164" xr:uid="{00000000-0004-0000-0300-000073080000}"/>
    <hyperlink ref="BI538" r:id="rId2165" xr:uid="{00000000-0004-0000-0300-000074080000}"/>
    <hyperlink ref="BL538" r:id="rId2166" xr:uid="{00000000-0004-0000-0300-000075080000}"/>
    <hyperlink ref="BM538" r:id="rId2167" xr:uid="{00000000-0004-0000-0300-000076080000}"/>
    <hyperlink ref="BN538" r:id="rId2168" xr:uid="{00000000-0004-0000-0300-000077080000}"/>
    <hyperlink ref="BP538" r:id="rId2169" xr:uid="{00000000-0004-0000-0300-000078080000}"/>
    <hyperlink ref="BI539" r:id="rId2170" xr:uid="{00000000-0004-0000-0300-000079080000}"/>
    <hyperlink ref="BL539" r:id="rId2171" xr:uid="{00000000-0004-0000-0300-00007A080000}"/>
    <hyperlink ref="BM539" r:id="rId2172" xr:uid="{00000000-0004-0000-0300-00007B080000}"/>
    <hyperlink ref="BP539" r:id="rId2173" xr:uid="{00000000-0004-0000-0300-00007C080000}"/>
    <hyperlink ref="AH540" r:id="rId2174" xr:uid="{00000000-0004-0000-0300-00007D080000}"/>
    <hyperlink ref="BI540" r:id="rId2175" xr:uid="{00000000-0004-0000-0300-00007E080000}"/>
    <hyperlink ref="BL540" r:id="rId2176" xr:uid="{00000000-0004-0000-0300-00007F080000}"/>
    <hyperlink ref="BM540" r:id="rId2177" xr:uid="{00000000-0004-0000-0300-000080080000}"/>
    <hyperlink ref="BN540" r:id="rId2178" xr:uid="{00000000-0004-0000-0300-000081080000}"/>
    <hyperlink ref="BP540" r:id="rId2179" xr:uid="{00000000-0004-0000-0300-000082080000}"/>
    <hyperlink ref="AH541" r:id="rId2180" xr:uid="{00000000-0004-0000-0300-000083080000}"/>
    <hyperlink ref="BI541" r:id="rId2181" xr:uid="{00000000-0004-0000-0300-000084080000}"/>
    <hyperlink ref="BL541" r:id="rId2182" xr:uid="{00000000-0004-0000-0300-000085080000}"/>
    <hyperlink ref="BP541" r:id="rId2183" xr:uid="{00000000-0004-0000-0300-000086080000}"/>
    <hyperlink ref="AH542" r:id="rId2184" xr:uid="{00000000-0004-0000-0300-000087080000}"/>
    <hyperlink ref="BI542" r:id="rId2185" xr:uid="{00000000-0004-0000-0300-000088080000}"/>
    <hyperlink ref="BL542" r:id="rId2186" xr:uid="{00000000-0004-0000-0300-000089080000}"/>
    <hyperlink ref="BP542" r:id="rId2187" xr:uid="{00000000-0004-0000-0300-00008A080000}"/>
    <hyperlink ref="AH543" r:id="rId2188" xr:uid="{00000000-0004-0000-0300-00008B080000}"/>
    <hyperlink ref="BI543" r:id="rId2189" xr:uid="{00000000-0004-0000-0300-00008C080000}"/>
    <hyperlink ref="BL543" r:id="rId2190" xr:uid="{00000000-0004-0000-0300-00008D080000}"/>
    <hyperlink ref="BM543" r:id="rId2191" xr:uid="{00000000-0004-0000-0300-00008E080000}"/>
    <hyperlink ref="BN543" r:id="rId2192" xr:uid="{00000000-0004-0000-0300-00008F080000}"/>
    <hyperlink ref="BP543" r:id="rId2193" xr:uid="{00000000-0004-0000-0300-000090080000}"/>
    <hyperlink ref="AH544" r:id="rId2194" xr:uid="{00000000-0004-0000-0300-000091080000}"/>
    <hyperlink ref="BI544" r:id="rId2195" xr:uid="{00000000-0004-0000-0300-000092080000}"/>
    <hyperlink ref="BL544" r:id="rId2196" xr:uid="{00000000-0004-0000-0300-000093080000}"/>
    <hyperlink ref="BM544" r:id="rId2197" xr:uid="{00000000-0004-0000-0300-000094080000}"/>
    <hyperlink ref="BN544" r:id="rId2198" xr:uid="{00000000-0004-0000-0300-000095080000}"/>
    <hyperlink ref="BP544" r:id="rId2199" xr:uid="{00000000-0004-0000-0300-000096080000}"/>
    <hyperlink ref="AH545" r:id="rId2200" xr:uid="{00000000-0004-0000-0300-000097080000}"/>
    <hyperlink ref="BI545" r:id="rId2201" xr:uid="{00000000-0004-0000-0300-000098080000}"/>
    <hyperlink ref="BL545" r:id="rId2202" xr:uid="{00000000-0004-0000-0300-000099080000}"/>
    <hyperlink ref="BP545" r:id="rId2203" xr:uid="{00000000-0004-0000-0300-00009A080000}"/>
    <hyperlink ref="AH546" r:id="rId2204" xr:uid="{00000000-0004-0000-0300-00009B080000}"/>
    <hyperlink ref="BI546" r:id="rId2205" xr:uid="{00000000-0004-0000-0300-00009C080000}"/>
    <hyperlink ref="BL546" r:id="rId2206" xr:uid="{00000000-0004-0000-0300-00009D080000}"/>
    <hyperlink ref="BM546" r:id="rId2207" xr:uid="{00000000-0004-0000-0300-00009E080000}"/>
    <hyperlink ref="BN546" r:id="rId2208" xr:uid="{00000000-0004-0000-0300-00009F080000}"/>
    <hyperlink ref="BO546" r:id="rId2209" xr:uid="{00000000-0004-0000-0300-0000A0080000}"/>
    <hyperlink ref="BP546" r:id="rId2210" xr:uid="{00000000-0004-0000-0300-0000A1080000}"/>
    <hyperlink ref="AH547" r:id="rId2211" xr:uid="{00000000-0004-0000-0300-0000A2080000}"/>
    <hyperlink ref="BI547" r:id="rId2212" xr:uid="{00000000-0004-0000-0300-0000A3080000}"/>
    <hyperlink ref="BL547" r:id="rId2213" xr:uid="{00000000-0004-0000-0300-0000A4080000}"/>
    <hyperlink ref="BM547" r:id="rId2214" xr:uid="{00000000-0004-0000-0300-0000A5080000}"/>
    <hyperlink ref="BN547" r:id="rId2215" xr:uid="{00000000-0004-0000-0300-0000A6080000}"/>
    <hyperlink ref="BP547" r:id="rId2216" xr:uid="{00000000-0004-0000-0300-0000A7080000}"/>
    <hyperlink ref="AH548" r:id="rId2217" xr:uid="{00000000-0004-0000-0300-0000A8080000}"/>
    <hyperlink ref="BI548" r:id="rId2218" xr:uid="{00000000-0004-0000-0300-0000A9080000}"/>
    <hyperlink ref="BL548" r:id="rId2219" xr:uid="{00000000-0004-0000-0300-0000AA080000}"/>
    <hyperlink ref="BM548" r:id="rId2220" xr:uid="{00000000-0004-0000-0300-0000AB080000}"/>
    <hyperlink ref="BN548" r:id="rId2221" xr:uid="{00000000-0004-0000-0300-0000AC080000}"/>
    <hyperlink ref="BO548" r:id="rId2222" xr:uid="{00000000-0004-0000-0300-0000AD080000}"/>
    <hyperlink ref="BP548" r:id="rId2223" xr:uid="{00000000-0004-0000-0300-0000AE080000}"/>
    <hyperlink ref="BI549" r:id="rId2224" xr:uid="{00000000-0004-0000-0300-0000AF080000}"/>
    <hyperlink ref="BL549" r:id="rId2225" xr:uid="{00000000-0004-0000-0300-0000B0080000}"/>
    <hyperlink ref="BM549" r:id="rId2226" xr:uid="{00000000-0004-0000-0300-0000B1080000}"/>
    <hyperlink ref="BN549" r:id="rId2227" xr:uid="{00000000-0004-0000-0300-0000B2080000}"/>
    <hyperlink ref="BP549" r:id="rId2228" xr:uid="{00000000-0004-0000-0300-0000B3080000}"/>
    <hyperlink ref="AH550" r:id="rId2229" xr:uid="{00000000-0004-0000-0300-0000B4080000}"/>
    <hyperlink ref="BI550" r:id="rId2230" xr:uid="{00000000-0004-0000-0300-0000B5080000}"/>
    <hyperlink ref="BL550" r:id="rId2231" xr:uid="{00000000-0004-0000-0300-0000B6080000}"/>
    <hyperlink ref="BM550" r:id="rId2232" xr:uid="{00000000-0004-0000-0300-0000B7080000}"/>
    <hyperlink ref="BN550" r:id="rId2233" xr:uid="{00000000-0004-0000-0300-0000B8080000}"/>
    <hyperlink ref="BP550" r:id="rId2234" xr:uid="{00000000-0004-0000-0300-0000B9080000}"/>
    <hyperlink ref="AH551" r:id="rId2235" xr:uid="{00000000-0004-0000-0300-0000BA080000}"/>
    <hyperlink ref="BI551" r:id="rId2236" xr:uid="{00000000-0004-0000-0300-0000BB080000}"/>
    <hyperlink ref="BL551" r:id="rId2237" xr:uid="{00000000-0004-0000-0300-0000BC080000}"/>
    <hyperlink ref="BM551" r:id="rId2238" xr:uid="{00000000-0004-0000-0300-0000BD080000}"/>
    <hyperlink ref="BN551" r:id="rId2239" xr:uid="{00000000-0004-0000-0300-0000BE080000}"/>
    <hyperlink ref="BP551" r:id="rId2240" xr:uid="{00000000-0004-0000-0300-0000BF080000}"/>
    <hyperlink ref="AH552" r:id="rId2241" xr:uid="{00000000-0004-0000-0300-0000C0080000}"/>
    <hyperlink ref="BI552" r:id="rId2242" xr:uid="{00000000-0004-0000-0300-0000C1080000}"/>
    <hyperlink ref="BL552" r:id="rId2243" xr:uid="{00000000-0004-0000-0300-0000C2080000}"/>
    <hyperlink ref="BM552" r:id="rId2244" xr:uid="{00000000-0004-0000-0300-0000C3080000}"/>
    <hyperlink ref="BN552" r:id="rId2245" xr:uid="{00000000-0004-0000-0300-0000C4080000}"/>
    <hyperlink ref="BO552" r:id="rId2246" xr:uid="{00000000-0004-0000-0300-0000C5080000}"/>
    <hyperlink ref="BP552" r:id="rId2247" xr:uid="{00000000-0004-0000-0300-0000C6080000}"/>
    <hyperlink ref="AH553" r:id="rId2248" xr:uid="{00000000-0004-0000-0300-0000C7080000}"/>
    <hyperlink ref="BI553" r:id="rId2249" xr:uid="{00000000-0004-0000-0300-0000C8080000}"/>
    <hyperlink ref="BL553" r:id="rId2250" xr:uid="{00000000-0004-0000-0300-0000C9080000}"/>
    <hyperlink ref="BM553" r:id="rId2251" xr:uid="{00000000-0004-0000-0300-0000CA080000}"/>
    <hyperlink ref="BN553" r:id="rId2252" xr:uid="{00000000-0004-0000-0300-0000CB080000}"/>
    <hyperlink ref="BP553" r:id="rId2253" xr:uid="{00000000-0004-0000-0300-0000CC080000}"/>
    <hyperlink ref="AH554" r:id="rId2254" xr:uid="{00000000-0004-0000-0300-0000CD080000}"/>
    <hyperlink ref="BI554" r:id="rId2255" xr:uid="{00000000-0004-0000-0300-0000CE080000}"/>
    <hyperlink ref="BL554" r:id="rId2256" xr:uid="{00000000-0004-0000-0300-0000CF080000}"/>
    <hyperlink ref="BM554" r:id="rId2257" xr:uid="{00000000-0004-0000-0300-0000D0080000}"/>
    <hyperlink ref="BN554" r:id="rId2258" xr:uid="{00000000-0004-0000-0300-0000D1080000}"/>
    <hyperlink ref="BO554" r:id="rId2259" xr:uid="{00000000-0004-0000-0300-0000D2080000}"/>
    <hyperlink ref="BP554" r:id="rId2260" xr:uid="{00000000-0004-0000-0300-0000D3080000}"/>
    <hyperlink ref="AH555" r:id="rId2261" xr:uid="{00000000-0004-0000-0300-0000D4080000}"/>
    <hyperlink ref="BI555" r:id="rId2262" xr:uid="{00000000-0004-0000-0300-0000D5080000}"/>
    <hyperlink ref="BL555" r:id="rId2263" xr:uid="{00000000-0004-0000-0300-0000D6080000}"/>
    <hyperlink ref="BN555" r:id="rId2264" xr:uid="{00000000-0004-0000-0300-0000D7080000}"/>
    <hyperlink ref="BP555" r:id="rId2265" xr:uid="{00000000-0004-0000-0300-0000D8080000}"/>
    <hyperlink ref="AH556" r:id="rId2266" xr:uid="{00000000-0004-0000-0300-0000D9080000}"/>
    <hyperlink ref="BI556" r:id="rId2267" xr:uid="{00000000-0004-0000-0300-0000DA080000}"/>
    <hyperlink ref="BL556" r:id="rId2268" xr:uid="{00000000-0004-0000-0300-0000DB080000}"/>
    <hyperlink ref="BM556" r:id="rId2269" xr:uid="{00000000-0004-0000-0300-0000DC080000}"/>
    <hyperlink ref="BN556" r:id="rId2270" xr:uid="{00000000-0004-0000-0300-0000DD080000}"/>
    <hyperlink ref="BO556" r:id="rId2271" xr:uid="{00000000-0004-0000-0300-0000DE080000}"/>
    <hyperlink ref="BP556" r:id="rId2272" xr:uid="{00000000-0004-0000-0300-0000DF080000}"/>
  </hyperlinks>
  <pageMargins left="0.7" right="0.7" top="0.75" bottom="0.75" header="0.3" footer="0.3"/>
  <drawing r:id="rId227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D8C03-5C15-4AC1-A63B-3F7EBF206D8D}">
  <dimension ref="A1:D2"/>
  <sheetViews>
    <sheetView topLeftCell="B1" workbookViewId="0">
      <selection activeCell="C2" sqref="C2"/>
    </sheetView>
  </sheetViews>
  <sheetFormatPr defaultRowHeight="14.5"/>
  <cols>
    <col min="1" max="2" width="54.26953125" customWidth="1"/>
    <col min="3" max="3" width="91.26953125" bestFit="1" customWidth="1"/>
    <col min="4" max="4" width="34.81640625" bestFit="1" customWidth="1"/>
  </cols>
  <sheetData>
    <row r="1" spans="1:4">
      <c r="A1" s="14" t="s">
        <v>10442</v>
      </c>
      <c r="B1" s="21" t="str">
        <f>IFERROR(RIGHT(A1,LEN(A1)-FIND("&gt;",A1)),"No")</f>
        <v xml:space="preserve"> B2B Ecommerce &gt; Surplus Products</v>
      </c>
      <c r="C1" t="s">
        <v>10443</v>
      </c>
      <c r="D1" t="s">
        <v>10444</v>
      </c>
    </row>
    <row r="2" spans="1:4">
      <c r="B2" t="str">
        <f>TRIM(RIGHT(SUBSTITUTE(A1,"&gt;",REPT(" ",50)),50))</f>
        <v>Surplus Products</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EFF34-9532-4E2E-884B-1E9B0797237E}">
  <dimension ref="A1:AH16"/>
  <sheetViews>
    <sheetView topLeftCell="H1" workbookViewId="0">
      <selection activeCell="M6" sqref="M6"/>
    </sheetView>
  </sheetViews>
  <sheetFormatPr defaultRowHeight="14.5"/>
  <cols>
    <col min="1" max="1" width="88.81640625" customWidth="1"/>
    <col min="2" max="2" width="72.81640625" customWidth="1"/>
    <col min="3" max="3" width="19.81640625" customWidth="1"/>
    <col min="4" max="4" width="18.54296875" customWidth="1"/>
    <col min="5" max="5" width="17" customWidth="1"/>
    <col min="6" max="6" width="18.26953125" customWidth="1"/>
    <col min="7" max="7" width="21" customWidth="1"/>
  </cols>
  <sheetData>
    <row r="1" spans="1:34" ht="37.5">
      <c r="A1" s="12" t="s">
        <v>19</v>
      </c>
      <c r="B1" s="1" t="s">
        <v>10445</v>
      </c>
      <c r="C1" s="1">
        <v>1</v>
      </c>
      <c r="D1" s="1">
        <v>2</v>
      </c>
      <c r="E1" s="1">
        <v>3</v>
      </c>
      <c r="F1" s="1">
        <v>4</v>
      </c>
      <c r="G1" s="1">
        <v>5</v>
      </c>
      <c r="H1" s="1">
        <v>6</v>
      </c>
      <c r="I1" s="1">
        <v>7</v>
      </c>
      <c r="J1" s="1">
        <v>8</v>
      </c>
      <c r="K1" s="1">
        <v>9</v>
      </c>
      <c r="L1" s="1">
        <v>10</v>
      </c>
      <c r="M1" s="1" t="s">
        <v>10446</v>
      </c>
      <c r="N1" s="1">
        <v>1</v>
      </c>
      <c r="O1" s="1">
        <v>2</v>
      </c>
      <c r="P1" s="1">
        <v>3</v>
      </c>
      <c r="Q1" s="1">
        <v>4</v>
      </c>
      <c r="R1" s="1">
        <v>5</v>
      </c>
      <c r="S1" s="1">
        <v>6</v>
      </c>
      <c r="T1" s="1">
        <v>7</v>
      </c>
      <c r="U1" s="1">
        <v>8</v>
      </c>
      <c r="V1" s="1">
        <v>9</v>
      </c>
      <c r="W1" s="1">
        <v>10</v>
      </c>
      <c r="X1" s="1" t="s">
        <v>10447</v>
      </c>
      <c r="Y1" s="1">
        <v>1</v>
      </c>
      <c r="Z1" s="1">
        <v>2</v>
      </c>
      <c r="AA1" s="1">
        <v>3</v>
      </c>
      <c r="AB1" s="1">
        <v>4</v>
      </c>
      <c r="AC1" s="1">
        <v>5</v>
      </c>
      <c r="AD1" s="1">
        <v>6</v>
      </c>
      <c r="AE1" s="1">
        <v>7</v>
      </c>
      <c r="AF1" s="1">
        <v>8</v>
      </c>
      <c r="AG1" s="1">
        <v>9</v>
      </c>
      <c r="AH1" s="1">
        <v>10</v>
      </c>
    </row>
    <row r="2" spans="1:34" ht="21" customHeight="1">
      <c r="A2" s="14" t="s">
        <v>4997</v>
      </c>
      <c r="B2" t="str">
        <f>IF(IFERROR(LEFT($A2, SEARCH(CHAR(10),$A2)-1),A2)=0,"",IFERROR(LEFT($A2, SEARCH(CHAR(10),$A2)-1),A2))</f>
        <v>Online Grocery &gt; B2B Ecommerce &gt; Farm Produce &gt; Meat and Seafood &gt; Marketplace</v>
      </c>
      <c r="C2" t="str">
        <f>TRIM(MID(SUBSTITUTE($B2,"&gt;",REPT(" ",LEN($B2))), (C$1-1)*LEN($B2)+1, LEN($B2)))</f>
        <v>Online Grocery</v>
      </c>
      <c r="D2" t="str">
        <f t="shared" ref="D2:L16" si="0">TRIM(MID(SUBSTITUTE($B2,"&gt;",REPT(" ",LEN($B2))), (D$1-1)*LEN($B2)+1, LEN($B2)))</f>
        <v>B2B Ecommerce</v>
      </c>
      <c r="E2" t="str">
        <f t="shared" si="0"/>
        <v>Farm Produce</v>
      </c>
      <c r="F2" t="str">
        <f t="shared" si="0"/>
        <v>Meat and Seafood</v>
      </c>
      <c r="G2" t="str">
        <f t="shared" si="0"/>
        <v>Marketplace</v>
      </c>
      <c r="H2" t="str">
        <f t="shared" si="0"/>
        <v/>
      </c>
      <c r="I2" t="str">
        <f t="shared" si="0"/>
        <v/>
      </c>
      <c r="J2" t="str">
        <f t="shared" si="0"/>
        <v/>
      </c>
      <c r="K2" t="str">
        <f t="shared" si="0"/>
        <v/>
      </c>
      <c r="L2" t="str">
        <f t="shared" si="0"/>
        <v/>
      </c>
      <c r="M2" t="str">
        <f>TRIM(MID(SUBSTITUTE($A2,CHAR(10),REPT(" ",LEN($A2))), (1)*LEN($A2)+1, LEN($A2)))</f>
        <v>Livestock Tech &gt; ECommerce &gt; Farm Produce &gt; B2B &gt; Marketplace &gt; Meat</v>
      </c>
      <c r="N2" t="str">
        <f>TRIM(MID(SUBSTITUTE($M2,"&gt;",REPT(" ",LEN($M2))), (N$1-1)*LEN($M2)+1, LEN($M2)))</f>
        <v>Livestock Tech</v>
      </c>
      <c r="O2" t="str">
        <f t="shared" ref="O2:W16" si="1">TRIM(MID(SUBSTITUTE($M2,"&gt;",REPT(" ",LEN($M2))), (O$1-1)*LEN($M2)+1, LEN($M2)))</f>
        <v>ECommerce</v>
      </c>
      <c r="P2" t="str">
        <f t="shared" si="1"/>
        <v>Farm Produce</v>
      </c>
      <c r="Q2" t="str">
        <f t="shared" si="1"/>
        <v>B2B</v>
      </c>
      <c r="R2" t="str">
        <f t="shared" si="1"/>
        <v>Marketplace</v>
      </c>
      <c r="S2" t="str">
        <f t="shared" si="1"/>
        <v>Meat</v>
      </c>
      <c r="T2" t="str">
        <f t="shared" si="1"/>
        <v/>
      </c>
      <c r="U2" t="str">
        <f t="shared" si="1"/>
        <v/>
      </c>
      <c r="V2" t="str">
        <f t="shared" si="1"/>
        <v/>
      </c>
      <c r="W2" t="str">
        <f t="shared" si="1"/>
        <v/>
      </c>
      <c r="X2" t="str">
        <f>TRIM(MID(SUBSTITUTE($A2,CHAR(10),REPT(" ",LEN($A2))), (2)*LEN($A2)+1, LEN($A2)))</f>
        <v/>
      </c>
      <c r="Y2" t="str">
        <f>TRIM(MID(SUBSTITUTE($X2,"&gt;",REPT(" ",LEN($X2))), (Y$1-1)*LEN($X2)+1, LEN($X2)))</f>
        <v/>
      </c>
      <c r="Z2" t="str">
        <f t="shared" ref="Z2:AH16" si="2">TRIM(MID(SUBSTITUTE($X2,"&gt;",REPT(" ",LEN($X2))), (Z$1-1)*LEN($X2)+1, LEN($X2)))</f>
        <v/>
      </c>
      <c r="AA2" t="str">
        <f t="shared" si="2"/>
        <v/>
      </c>
      <c r="AB2" t="str">
        <f t="shared" si="2"/>
        <v/>
      </c>
      <c r="AC2" t="str">
        <f t="shared" si="2"/>
        <v/>
      </c>
      <c r="AD2" t="str">
        <f t="shared" si="2"/>
        <v/>
      </c>
      <c r="AE2" t="str">
        <f t="shared" si="2"/>
        <v/>
      </c>
      <c r="AF2" t="str">
        <f t="shared" si="2"/>
        <v/>
      </c>
      <c r="AG2" t="str">
        <f t="shared" si="2"/>
        <v/>
      </c>
      <c r="AH2" t="str">
        <f t="shared" si="2"/>
        <v/>
      </c>
    </row>
    <row r="3" spans="1:34" ht="21" customHeight="1">
      <c r="A3" s="14" t="s">
        <v>257</v>
      </c>
      <c r="B3" t="str">
        <f t="shared" ref="B3:B16" si="3">IF(IFERROR(LEFT($A3, SEARCH(CHAR(10),$A3)-1),A3)=0,"",IFERROR(LEFT($A3, SEARCH(CHAR(10),$A3)-1),A3))</f>
        <v>Crop Tech &gt; Farming as a Service &gt; Tech Enabled Services</v>
      </c>
      <c r="C3" t="str">
        <f t="shared" ref="C3:C16" si="4">TRIM(MID(SUBSTITUTE($B3,"&gt;",REPT(" ",LEN($B3))), (C$1-1)*LEN($B3)+1, LEN($B3)))</f>
        <v>Crop Tech</v>
      </c>
      <c r="D3" t="str">
        <f t="shared" si="0"/>
        <v>Farming as a Service</v>
      </c>
      <c r="E3" t="str">
        <f t="shared" si="0"/>
        <v>Tech Enabled Services</v>
      </c>
      <c r="F3" t="str">
        <f t="shared" si="0"/>
        <v/>
      </c>
      <c r="G3" t="str">
        <f t="shared" si="0"/>
        <v/>
      </c>
      <c r="H3" t="str">
        <f t="shared" si="0"/>
        <v/>
      </c>
      <c r="I3" t="str">
        <f t="shared" si="0"/>
        <v/>
      </c>
      <c r="J3" t="str">
        <f t="shared" si="0"/>
        <v/>
      </c>
      <c r="K3" t="str">
        <f t="shared" si="0"/>
        <v/>
      </c>
      <c r="L3" t="str">
        <f t="shared" si="0"/>
        <v/>
      </c>
      <c r="M3" t="str">
        <f t="shared" ref="M3:M16" si="5">TRIM(MID(SUBSTITUTE($A3,CHAR(10),REPT(" ",LEN($A3))), (1)*LEN($A3)+1, LEN($A3)))</f>
        <v/>
      </c>
      <c r="N3" t="str">
        <f t="shared" ref="N3:N16" si="6">TRIM(MID(SUBSTITUTE($M3,"&gt;",REPT(" ",LEN($M3))), (N$1-1)*LEN($M3)+1, LEN($M3)))</f>
        <v/>
      </c>
      <c r="O3" t="str">
        <f t="shared" si="1"/>
        <v/>
      </c>
      <c r="P3" t="str">
        <f t="shared" si="1"/>
        <v/>
      </c>
      <c r="Q3" t="str">
        <f t="shared" si="1"/>
        <v/>
      </c>
      <c r="R3" t="str">
        <f t="shared" si="1"/>
        <v/>
      </c>
      <c r="S3" t="str">
        <f t="shared" si="1"/>
        <v/>
      </c>
      <c r="T3" t="str">
        <f t="shared" si="1"/>
        <v/>
      </c>
      <c r="U3" t="str">
        <f t="shared" si="1"/>
        <v/>
      </c>
      <c r="V3" t="str">
        <f t="shared" si="1"/>
        <v/>
      </c>
      <c r="W3" t="str">
        <f t="shared" si="1"/>
        <v/>
      </c>
      <c r="X3" t="str">
        <f t="shared" ref="X3:X16" si="7">TRIM(MID(SUBSTITUTE($A3,CHAR(10),REPT(" ",LEN($A3))), (2)*LEN($A3)+1, LEN($A3)))</f>
        <v/>
      </c>
      <c r="Y3" t="str">
        <f t="shared" ref="Y3:Y16" si="8">TRIM(MID(SUBSTITUTE($X3,"&gt;",REPT(" ",LEN($X3))), (Y$1-1)*LEN($X3)+1, LEN($X3)))</f>
        <v/>
      </c>
      <c r="Z3" t="str">
        <f t="shared" si="2"/>
        <v/>
      </c>
      <c r="AA3" t="str">
        <f t="shared" si="2"/>
        <v/>
      </c>
      <c r="AB3" t="str">
        <f t="shared" si="2"/>
        <v/>
      </c>
      <c r="AC3" t="str">
        <f t="shared" si="2"/>
        <v/>
      </c>
      <c r="AD3" t="str">
        <f t="shared" si="2"/>
        <v/>
      </c>
      <c r="AE3" t="str">
        <f t="shared" si="2"/>
        <v/>
      </c>
      <c r="AF3" t="str">
        <f t="shared" si="2"/>
        <v/>
      </c>
      <c r="AG3" t="str">
        <f t="shared" si="2"/>
        <v/>
      </c>
      <c r="AH3" t="str">
        <f t="shared" si="2"/>
        <v/>
      </c>
    </row>
    <row r="4" spans="1:34" ht="21" customHeight="1">
      <c r="A4" s="14" t="s">
        <v>257</v>
      </c>
      <c r="B4" t="str">
        <f t="shared" si="3"/>
        <v>Crop Tech &gt; Farming as a Service &gt; Tech Enabled Services</v>
      </c>
      <c r="C4" t="str">
        <f t="shared" si="4"/>
        <v>Crop Tech</v>
      </c>
      <c r="D4" t="str">
        <f t="shared" si="0"/>
        <v>Farming as a Service</v>
      </c>
      <c r="E4" t="str">
        <f t="shared" si="0"/>
        <v>Tech Enabled Services</v>
      </c>
      <c r="F4" t="str">
        <f t="shared" si="0"/>
        <v/>
      </c>
      <c r="G4" t="str">
        <f t="shared" si="0"/>
        <v/>
      </c>
      <c r="H4" t="str">
        <f t="shared" si="0"/>
        <v/>
      </c>
      <c r="I4" t="str">
        <f t="shared" si="0"/>
        <v/>
      </c>
      <c r="J4" t="str">
        <f t="shared" si="0"/>
        <v/>
      </c>
      <c r="K4" t="str">
        <f t="shared" si="0"/>
        <v/>
      </c>
      <c r="L4" t="str">
        <f t="shared" si="0"/>
        <v/>
      </c>
      <c r="M4" t="str">
        <f t="shared" si="5"/>
        <v/>
      </c>
      <c r="N4" t="str">
        <f t="shared" si="6"/>
        <v/>
      </c>
      <c r="O4" t="str">
        <f t="shared" si="1"/>
        <v/>
      </c>
      <c r="P4" t="str">
        <f t="shared" si="1"/>
        <v/>
      </c>
      <c r="Q4" t="str">
        <f t="shared" si="1"/>
        <v/>
      </c>
      <c r="R4" t="str">
        <f t="shared" si="1"/>
        <v/>
      </c>
      <c r="S4" t="str">
        <f t="shared" si="1"/>
        <v/>
      </c>
      <c r="T4" t="str">
        <f t="shared" si="1"/>
        <v/>
      </c>
      <c r="U4" t="str">
        <f t="shared" si="1"/>
        <v/>
      </c>
      <c r="V4" t="str">
        <f t="shared" si="1"/>
        <v/>
      </c>
      <c r="W4" t="str">
        <f t="shared" si="1"/>
        <v/>
      </c>
      <c r="X4" t="str">
        <f t="shared" si="7"/>
        <v/>
      </c>
      <c r="Y4" t="str">
        <f t="shared" si="8"/>
        <v/>
      </c>
      <c r="Z4" t="str">
        <f t="shared" si="2"/>
        <v/>
      </c>
      <c r="AA4" t="str">
        <f t="shared" si="2"/>
        <v/>
      </c>
      <c r="AB4" t="str">
        <f t="shared" si="2"/>
        <v/>
      </c>
      <c r="AC4" t="str">
        <f t="shared" si="2"/>
        <v/>
      </c>
      <c r="AD4" t="str">
        <f t="shared" si="2"/>
        <v/>
      </c>
      <c r="AE4" t="str">
        <f t="shared" si="2"/>
        <v/>
      </c>
      <c r="AF4" t="str">
        <f t="shared" si="2"/>
        <v/>
      </c>
      <c r="AG4" t="str">
        <f t="shared" si="2"/>
        <v/>
      </c>
      <c r="AH4" t="str">
        <f t="shared" si="2"/>
        <v/>
      </c>
    </row>
    <row r="5" spans="1:34" ht="21" customHeight="1">
      <c r="A5" s="14" t="s">
        <v>5043</v>
      </c>
      <c r="B5" t="str">
        <f t="shared" si="3"/>
        <v>IoT Applications &gt; Industry Specific &gt; Real Estate and Construction &gt; Real Estate</v>
      </c>
      <c r="C5" t="str">
        <f t="shared" si="4"/>
        <v>IoT Applications</v>
      </c>
      <c r="D5" t="str">
        <f t="shared" si="0"/>
        <v>Industry Specific</v>
      </c>
      <c r="E5" t="str">
        <f t="shared" si="0"/>
        <v>Real Estate and Construction</v>
      </c>
      <c r="F5" t="str">
        <f t="shared" si="0"/>
        <v>Real Estate</v>
      </c>
      <c r="G5" t="str">
        <f t="shared" si="0"/>
        <v/>
      </c>
      <c r="H5" t="str">
        <f t="shared" si="0"/>
        <v/>
      </c>
      <c r="I5" t="str">
        <f t="shared" si="0"/>
        <v/>
      </c>
      <c r="J5" t="str">
        <f t="shared" si="0"/>
        <v/>
      </c>
      <c r="K5" t="str">
        <f t="shared" si="0"/>
        <v/>
      </c>
      <c r="L5" t="str">
        <f t="shared" si="0"/>
        <v/>
      </c>
      <c r="M5" t="str">
        <f t="shared" si="5"/>
        <v>Crop Tech &gt; Farm Management Software &gt; Irrigation Management &gt; Water Management</v>
      </c>
      <c r="N5" t="str">
        <f t="shared" si="6"/>
        <v>Crop Tech</v>
      </c>
      <c r="O5" t="str">
        <f t="shared" si="1"/>
        <v>Farm Management Software</v>
      </c>
      <c r="P5" t="str">
        <f t="shared" si="1"/>
        <v>Irrigation Management</v>
      </c>
      <c r="Q5" t="str">
        <f t="shared" si="1"/>
        <v>Water Management</v>
      </c>
      <c r="R5" t="str">
        <f t="shared" si="1"/>
        <v/>
      </c>
      <c r="S5" t="str">
        <f t="shared" si="1"/>
        <v/>
      </c>
      <c r="T5" t="str">
        <f t="shared" si="1"/>
        <v/>
      </c>
      <c r="U5" t="str">
        <f t="shared" si="1"/>
        <v/>
      </c>
      <c r="V5" t="str">
        <f t="shared" si="1"/>
        <v/>
      </c>
      <c r="W5" t="str">
        <f t="shared" si="1"/>
        <v/>
      </c>
      <c r="X5" t="str">
        <f t="shared" si="7"/>
        <v/>
      </c>
      <c r="Y5" t="str">
        <f t="shared" si="8"/>
        <v/>
      </c>
      <c r="Z5" t="str">
        <f t="shared" si="2"/>
        <v/>
      </c>
      <c r="AA5" t="str">
        <f t="shared" si="2"/>
        <v/>
      </c>
      <c r="AB5" t="str">
        <f t="shared" si="2"/>
        <v/>
      </c>
      <c r="AC5" t="str">
        <f t="shared" si="2"/>
        <v/>
      </c>
      <c r="AD5" t="str">
        <f t="shared" si="2"/>
        <v/>
      </c>
      <c r="AE5" t="str">
        <f t="shared" si="2"/>
        <v/>
      </c>
      <c r="AF5" t="str">
        <f t="shared" si="2"/>
        <v/>
      </c>
      <c r="AG5" t="str">
        <f t="shared" si="2"/>
        <v/>
      </c>
      <c r="AH5" t="str">
        <f t="shared" si="2"/>
        <v/>
      </c>
    </row>
    <row r="6" spans="1:34" ht="21" customHeight="1">
      <c r="A6" s="14" t="s">
        <v>5053</v>
      </c>
      <c r="B6" t="str">
        <f t="shared" si="3"/>
        <v>Crop Tech &gt; Farm Management Software &gt; Pest Monitoring</v>
      </c>
      <c r="C6" t="str">
        <f t="shared" si="4"/>
        <v>Crop Tech</v>
      </c>
      <c r="D6" t="str">
        <f t="shared" si="0"/>
        <v>Farm Management Software</v>
      </c>
      <c r="E6" t="str">
        <f t="shared" si="0"/>
        <v>Pest Monitoring</v>
      </c>
      <c r="F6" t="str">
        <f t="shared" si="0"/>
        <v/>
      </c>
      <c r="G6" t="str">
        <f t="shared" si="0"/>
        <v/>
      </c>
      <c r="H6" t="str">
        <f t="shared" si="0"/>
        <v/>
      </c>
      <c r="I6" t="str">
        <f t="shared" si="0"/>
        <v/>
      </c>
      <c r="J6" t="str">
        <f t="shared" si="0"/>
        <v/>
      </c>
      <c r="K6" t="str">
        <f t="shared" si="0"/>
        <v/>
      </c>
      <c r="L6" t="str">
        <f t="shared" si="0"/>
        <v/>
      </c>
      <c r="M6" t="str">
        <f t="shared" si="5"/>
        <v/>
      </c>
      <c r="N6" t="str">
        <f t="shared" si="6"/>
        <v/>
      </c>
      <c r="O6" t="str">
        <f t="shared" si="1"/>
        <v/>
      </c>
      <c r="P6" t="str">
        <f t="shared" si="1"/>
        <v/>
      </c>
      <c r="Q6" t="str">
        <f t="shared" si="1"/>
        <v/>
      </c>
      <c r="R6" t="str">
        <f t="shared" si="1"/>
        <v/>
      </c>
      <c r="S6" t="str">
        <f t="shared" si="1"/>
        <v/>
      </c>
      <c r="T6" t="str">
        <f t="shared" si="1"/>
        <v/>
      </c>
      <c r="U6" t="str">
        <f t="shared" si="1"/>
        <v/>
      </c>
      <c r="V6" t="str">
        <f t="shared" si="1"/>
        <v/>
      </c>
      <c r="W6" t="str">
        <f t="shared" si="1"/>
        <v/>
      </c>
      <c r="X6" t="str">
        <f t="shared" si="7"/>
        <v/>
      </c>
      <c r="Y6" t="str">
        <f t="shared" si="8"/>
        <v/>
      </c>
      <c r="Z6" t="str">
        <f t="shared" si="2"/>
        <v/>
      </c>
      <c r="AA6" t="str">
        <f t="shared" si="2"/>
        <v/>
      </c>
      <c r="AB6" t="str">
        <f t="shared" si="2"/>
        <v/>
      </c>
      <c r="AC6" t="str">
        <f t="shared" si="2"/>
        <v/>
      </c>
      <c r="AD6" t="str">
        <f t="shared" si="2"/>
        <v/>
      </c>
      <c r="AE6" t="str">
        <f t="shared" si="2"/>
        <v/>
      </c>
      <c r="AF6" t="str">
        <f t="shared" si="2"/>
        <v/>
      </c>
      <c r="AG6" t="str">
        <f t="shared" si="2"/>
        <v/>
      </c>
      <c r="AH6" t="str">
        <f t="shared" si="2"/>
        <v/>
      </c>
    </row>
    <row r="7" spans="1:34" ht="21" customHeight="1">
      <c r="A7" s="14" t="s">
        <v>257</v>
      </c>
      <c r="B7" t="str">
        <f t="shared" si="3"/>
        <v>Crop Tech &gt; Farming as a Service &gt; Tech Enabled Services</v>
      </c>
      <c r="C7" t="str">
        <f t="shared" si="4"/>
        <v>Crop Tech</v>
      </c>
      <c r="D7" t="str">
        <f t="shared" si="0"/>
        <v>Farming as a Service</v>
      </c>
      <c r="E7" t="str">
        <f t="shared" si="0"/>
        <v>Tech Enabled Services</v>
      </c>
      <c r="F7" t="str">
        <f t="shared" si="0"/>
        <v/>
      </c>
      <c r="G7" t="str">
        <f t="shared" si="0"/>
        <v/>
      </c>
      <c r="H7" t="str">
        <f t="shared" si="0"/>
        <v/>
      </c>
      <c r="I7" t="str">
        <f t="shared" si="0"/>
        <v/>
      </c>
      <c r="J7" t="str">
        <f t="shared" si="0"/>
        <v/>
      </c>
      <c r="K7" t="str">
        <f t="shared" si="0"/>
        <v/>
      </c>
      <c r="L7" t="str">
        <f t="shared" si="0"/>
        <v/>
      </c>
      <c r="M7" t="str">
        <f t="shared" si="5"/>
        <v/>
      </c>
      <c r="N7" t="str">
        <f t="shared" si="6"/>
        <v/>
      </c>
      <c r="O7" t="str">
        <f t="shared" si="1"/>
        <v/>
      </c>
      <c r="P7" t="str">
        <f t="shared" si="1"/>
        <v/>
      </c>
      <c r="Q7" t="str">
        <f t="shared" si="1"/>
        <v/>
      </c>
      <c r="R7" t="str">
        <f t="shared" si="1"/>
        <v/>
      </c>
      <c r="S7" t="str">
        <f t="shared" si="1"/>
        <v/>
      </c>
      <c r="T7" t="str">
        <f t="shared" si="1"/>
        <v/>
      </c>
      <c r="U7" t="str">
        <f t="shared" si="1"/>
        <v/>
      </c>
      <c r="V7" t="str">
        <f t="shared" si="1"/>
        <v/>
      </c>
      <c r="W7" t="str">
        <f t="shared" si="1"/>
        <v/>
      </c>
      <c r="X7" t="str">
        <f t="shared" si="7"/>
        <v/>
      </c>
      <c r="Y7" t="str">
        <f t="shared" si="8"/>
        <v/>
      </c>
      <c r="Z7" t="str">
        <f t="shared" si="2"/>
        <v/>
      </c>
      <c r="AA7" t="str">
        <f t="shared" si="2"/>
        <v/>
      </c>
      <c r="AB7" t="str">
        <f t="shared" si="2"/>
        <v/>
      </c>
      <c r="AC7" t="str">
        <f t="shared" si="2"/>
        <v/>
      </c>
      <c r="AD7" t="str">
        <f t="shared" si="2"/>
        <v/>
      </c>
      <c r="AE7" t="str">
        <f t="shared" si="2"/>
        <v/>
      </c>
      <c r="AF7" t="str">
        <f t="shared" si="2"/>
        <v/>
      </c>
      <c r="AG7" t="str">
        <f t="shared" si="2"/>
        <v/>
      </c>
      <c r="AH7" t="str">
        <f t="shared" si="2"/>
        <v/>
      </c>
    </row>
    <row r="8" spans="1:34" ht="21" customHeight="1">
      <c r="A8" s="14" t="s">
        <v>5085</v>
      </c>
      <c r="B8" t="str">
        <f t="shared" si="3"/>
        <v>Livestock Tech &gt; Breeding &gt; Artificial Insemination &gt; Smart Device</v>
      </c>
      <c r="C8" t="str">
        <f t="shared" si="4"/>
        <v>Livestock Tech</v>
      </c>
      <c r="D8" t="str">
        <f t="shared" si="0"/>
        <v>Breeding</v>
      </c>
      <c r="E8" t="str">
        <f t="shared" si="0"/>
        <v>Artificial Insemination</v>
      </c>
      <c r="F8" t="str">
        <f t="shared" si="0"/>
        <v>Smart Device</v>
      </c>
      <c r="G8" t="str">
        <f t="shared" si="0"/>
        <v/>
      </c>
      <c r="H8" t="str">
        <f t="shared" si="0"/>
        <v/>
      </c>
      <c r="I8" t="str">
        <f t="shared" si="0"/>
        <v/>
      </c>
      <c r="J8" t="str">
        <f t="shared" si="0"/>
        <v/>
      </c>
      <c r="K8" t="str">
        <f t="shared" si="0"/>
        <v/>
      </c>
      <c r="L8" t="str">
        <f t="shared" si="0"/>
        <v/>
      </c>
      <c r="M8" t="str">
        <f t="shared" si="5"/>
        <v/>
      </c>
      <c r="N8" t="str">
        <f t="shared" si="6"/>
        <v/>
      </c>
      <c r="O8" t="str">
        <f t="shared" si="1"/>
        <v/>
      </c>
      <c r="P8" t="str">
        <f t="shared" si="1"/>
        <v/>
      </c>
      <c r="Q8" t="str">
        <f t="shared" si="1"/>
        <v/>
      </c>
      <c r="R8" t="str">
        <f t="shared" si="1"/>
        <v/>
      </c>
      <c r="S8" t="str">
        <f t="shared" si="1"/>
        <v/>
      </c>
      <c r="T8" t="str">
        <f t="shared" si="1"/>
        <v/>
      </c>
      <c r="U8" t="str">
        <f t="shared" si="1"/>
        <v/>
      </c>
      <c r="V8" t="str">
        <f t="shared" si="1"/>
        <v/>
      </c>
      <c r="W8" t="str">
        <f t="shared" si="1"/>
        <v/>
      </c>
      <c r="X8" t="str">
        <f t="shared" si="7"/>
        <v/>
      </c>
      <c r="Y8" t="str">
        <f t="shared" si="8"/>
        <v/>
      </c>
      <c r="Z8" t="str">
        <f t="shared" si="2"/>
        <v/>
      </c>
      <c r="AA8" t="str">
        <f t="shared" si="2"/>
        <v/>
      </c>
      <c r="AB8" t="str">
        <f t="shared" si="2"/>
        <v/>
      </c>
      <c r="AC8" t="str">
        <f t="shared" si="2"/>
        <v/>
      </c>
      <c r="AD8" t="str">
        <f t="shared" si="2"/>
        <v/>
      </c>
      <c r="AE8" t="str">
        <f t="shared" si="2"/>
        <v/>
      </c>
      <c r="AF8" t="str">
        <f t="shared" si="2"/>
        <v/>
      </c>
      <c r="AG8" t="str">
        <f t="shared" si="2"/>
        <v/>
      </c>
      <c r="AH8" t="str">
        <f t="shared" si="2"/>
        <v/>
      </c>
    </row>
    <row r="9" spans="1:34" ht="21" customHeight="1">
      <c r="A9" s="14" t="s">
        <v>5093</v>
      </c>
      <c r="B9" t="str">
        <f t="shared" si="3"/>
        <v>Crop Tech &gt; Post Harvest Management &gt; Traceability</v>
      </c>
      <c r="C9" t="str">
        <f t="shared" si="4"/>
        <v>Crop Tech</v>
      </c>
      <c r="D9" t="str">
        <f t="shared" si="0"/>
        <v>Post Harvest Management</v>
      </c>
      <c r="E9" t="str">
        <f t="shared" si="0"/>
        <v>Traceability</v>
      </c>
      <c r="F9" t="str">
        <f t="shared" si="0"/>
        <v/>
      </c>
      <c r="G9" t="str">
        <f t="shared" si="0"/>
        <v/>
      </c>
      <c r="H9" t="str">
        <f t="shared" si="0"/>
        <v/>
      </c>
      <c r="I9" t="str">
        <f t="shared" si="0"/>
        <v/>
      </c>
      <c r="J9" t="str">
        <f t="shared" si="0"/>
        <v/>
      </c>
      <c r="K9" t="str">
        <f t="shared" si="0"/>
        <v/>
      </c>
      <c r="L9" t="str">
        <f t="shared" si="0"/>
        <v/>
      </c>
      <c r="M9" t="str">
        <f t="shared" si="5"/>
        <v/>
      </c>
      <c r="N9" t="str">
        <f t="shared" si="6"/>
        <v/>
      </c>
      <c r="O9" t="str">
        <f t="shared" si="1"/>
        <v/>
      </c>
      <c r="P9" t="str">
        <f t="shared" si="1"/>
        <v/>
      </c>
      <c r="Q9" t="str">
        <f t="shared" si="1"/>
        <v/>
      </c>
      <c r="R9" t="str">
        <f t="shared" si="1"/>
        <v/>
      </c>
      <c r="S9" t="str">
        <f t="shared" si="1"/>
        <v/>
      </c>
      <c r="T9" t="str">
        <f t="shared" si="1"/>
        <v/>
      </c>
      <c r="U9" t="str">
        <f t="shared" si="1"/>
        <v/>
      </c>
      <c r="V9" t="str">
        <f t="shared" si="1"/>
        <v/>
      </c>
      <c r="W9" t="str">
        <f t="shared" si="1"/>
        <v/>
      </c>
      <c r="X9" t="str">
        <f t="shared" si="7"/>
        <v/>
      </c>
      <c r="Y9" t="str">
        <f t="shared" si="8"/>
        <v/>
      </c>
      <c r="Z9" t="str">
        <f t="shared" si="2"/>
        <v/>
      </c>
      <c r="AA9" t="str">
        <f t="shared" si="2"/>
        <v/>
      </c>
      <c r="AB9" t="str">
        <f t="shared" si="2"/>
        <v/>
      </c>
      <c r="AC9" t="str">
        <f t="shared" si="2"/>
        <v/>
      </c>
      <c r="AD9" t="str">
        <f t="shared" si="2"/>
        <v/>
      </c>
      <c r="AE9" t="str">
        <f t="shared" si="2"/>
        <v/>
      </c>
      <c r="AF9" t="str">
        <f t="shared" si="2"/>
        <v/>
      </c>
      <c r="AG9" t="str">
        <f t="shared" si="2"/>
        <v/>
      </c>
      <c r="AH9" t="str">
        <f t="shared" si="2"/>
        <v/>
      </c>
    </row>
    <row r="10" spans="1:34" ht="21" customHeight="1">
      <c r="A10" s="14" t="s">
        <v>5108</v>
      </c>
      <c r="B10" t="str">
        <f t="shared" si="3"/>
        <v>Online Grocery &gt; B2B Ecommerce &gt; Surplus Products</v>
      </c>
      <c r="C10" t="str">
        <f t="shared" si="4"/>
        <v>Online Grocery</v>
      </c>
      <c r="D10" t="str">
        <f t="shared" si="0"/>
        <v>B2B Ecommerce</v>
      </c>
      <c r="E10" t="str">
        <f t="shared" si="0"/>
        <v>Surplus Products</v>
      </c>
      <c r="F10" t="str">
        <f t="shared" si="0"/>
        <v/>
      </c>
      <c r="G10" t="str">
        <f t="shared" si="0"/>
        <v/>
      </c>
      <c r="H10" t="str">
        <f t="shared" si="0"/>
        <v/>
      </c>
      <c r="I10" t="str">
        <f t="shared" si="0"/>
        <v/>
      </c>
      <c r="J10" t="str">
        <f t="shared" si="0"/>
        <v/>
      </c>
      <c r="K10" t="str">
        <f t="shared" si="0"/>
        <v/>
      </c>
      <c r="L10" t="str">
        <f t="shared" si="0"/>
        <v/>
      </c>
      <c r="M10" t="str">
        <f t="shared" si="5"/>
        <v>Crop Tech &gt; ECommerce &gt; Farm Produce &gt; B2B &gt; Fruits and Vegetables &gt; E Distributor &gt; Ugly Produce</v>
      </c>
      <c r="N10" t="str">
        <f t="shared" si="6"/>
        <v>Crop Tech</v>
      </c>
      <c r="O10" t="str">
        <f t="shared" si="1"/>
        <v>ECommerce</v>
      </c>
      <c r="P10" t="str">
        <f t="shared" si="1"/>
        <v>Farm Produce</v>
      </c>
      <c r="Q10" t="str">
        <f t="shared" si="1"/>
        <v>B2B</v>
      </c>
      <c r="R10" t="str">
        <f t="shared" si="1"/>
        <v>Fruits and Vegetables</v>
      </c>
      <c r="S10" t="str">
        <f t="shared" si="1"/>
        <v>E Distributor</v>
      </c>
      <c r="T10" t="str">
        <f t="shared" si="1"/>
        <v>Ugly Produce</v>
      </c>
      <c r="U10" t="str">
        <f t="shared" si="1"/>
        <v/>
      </c>
      <c r="V10" t="str">
        <f t="shared" si="1"/>
        <v/>
      </c>
      <c r="W10" t="str">
        <f t="shared" si="1"/>
        <v/>
      </c>
      <c r="X10" t="str">
        <f t="shared" si="7"/>
        <v>Y Combinator Batches &gt; 2020 &gt; Winter</v>
      </c>
      <c r="Y10" t="str">
        <f t="shared" si="8"/>
        <v>Y Combinator Batches</v>
      </c>
      <c r="Z10" t="str">
        <f t="shared" si="2"/>
        <v>2020</v>
      </c>
      <c r="AA10" t="str">
        <f t="shared" si="2"/>
        <v>Winter</v>
      </c>
      <c r="AB10" t="str">
        <f t="shared" si="2"/>
        <v/>
      </c>
      <c r="AC10" t="str">
        <f t="shared" si="2"/>
        <v/>
      </c>
      <c r="AD10" t="str">
        <f t="shared" si="2"/>
        <v/>
      </c>
      <c r="AE10" t="str">
        <f t="shared" si="2"/>
        <v/>
      </c>
      <c r="AF10" t="str">
        <f t="shared" si="2"/>
        <v/>
      </c>
      <c r="AG10" t="str">
        <f t="shared" si="2"/>
        <v/>
      </c>
      <c r="AH10" t="str">
        <f t="shared" si="2"/>
        <v/>
      </c>
    </row>
    <row r="11" spans="1:34" ht="21" customHeight="1">
      <c r="A11" s="14" t="s">
        <v>5123</v>
      </c>
      <c r="B11" t="str">
        <f t="shared" si="3"/>
        <v>IoT Applications &gt; Industry Specific &gt; Agriculture &gt; Farms</v>
      </c>
      <c r="C11" t="str">
        <f t="shared" si="4"/>
        <v>IoT Applications</v>
      </c>
      <c r="D11" t="str">
        <f t="shared" si="0"/>
        <v>Industry Specific</v>
      </c>
      <c r="E11" t="str">
        <f t="shared" si="0"/>
        <v>Agriculture</v>
      </c>
      <c r="F11" t="str">
        <f t="shared" si="0"/>
        <v>Farms</v>
      </c>
      <c r="G11" t="str">
        <f t="shared" si="0"/>
        <v/>
      </c>
      <c r="H11" t="str">
        <f t="shared" si="0"/>
        <v/>
      </c>
      <c r="I11" t="str">
        <f t="shared" si="0"/>
        <v/>
      </c>
      <c r="J11" t="str">
        <f t="shared" si="0"/>
        <v/>
      </c>
      <c r="K11" t="str">
        <f t="shared" si="0"/>
        <v/>
      </c>
      <c r="L11" t="str">
        <f t="shared" si="0"/>
        <v/>
      </c>
      <c r="M11" t="str">
        <f t="shared" si="5"/>
        <v>Sensors &gt; Industry Applications &gt; Agriculture &gt; Soil Moisture</v>
      </c>
      <c r="N11" t="str">
        <f t="shared" si="6"/>
        <v>Sensors</v>
      </c>
      <c r="O11" t="str">
        <f t="shared" si="1"/>
        <v>Industry Applications</v>
      </c>
      <c r="P11" t="str">
        <f t="shared" si="1"/>
        <v>Agriculture</v>
      </c>
      <c r="Q11" t="str">
        <f t="shared" si="1"/>
        <v>Soil Moisture</v>
      </c>
      <c r="R11" t="str">
        <f t="shared" si="1"/>
        <v/>
      </c>
      <c r="S11" t="str">
        <f t="shared" si="1"/>
        <v/>
      </c>
      <c r="T11" t="str">
        <f t="shared" si="1"/>
        <v/>
      </c>
      <c r="U11" t="str">
        <f t="shared" si="1"/>
        <v/>
      </c>
      <c r="V11" t="str">
        <f t="shared" si="1"/>
        <v/>
      </c>
      <c r="W11" t="str">
        <f t="shared" si="1"/>
        <v/>
      </c>
      <c r="X11" t="str">
        <f t="shared" si="7"/>
        <v>Crop Tech &gt; Farm Management Software &gt; Soil Management &gt; Soil Moisture Monitoring &gt; Sensors</v>
      </c>
      <c r="Y11" t="str">
        <f t="shared" si="8"/>
        <v>Crop Tech</v>
      </c>
      <c r="Z11" t="str">
        <f t="shared" si="2"/>
        <v>Farm Management Software</v>
      </c>
      <c r="AA11" t="str">
        <f t="shared" si="2"/>
        <v>Soil Management</v>
      </c>
      <c r="AB11" t="str">
        <f t="shared" si="2"/>
        <v>Soil Moisture Monitoring</v>
      </c>
      <c r="AC11" t="str">
        <f t="shared" si="2"/>
        <v>Sensors</v>
      </c>
      <c r="AD11" t="str">
        <f t="shared" si="2"/>
        <v/>
      </c>
      <c r="AE11" t="str">
        <f t="shared" si="2"/>
        <v/>
      </c>
      <c r="AF11" t="str">
        <f t="shared" si="2"/>
        <v/>
      </c>
      <c r="AG11" t="str">
        <f t="shared" si="2"/>
        <v/>
      </c>
      <c r="AH11" t="str">
        <f t="shared" si="2"/>
        <v/>
      </c>
    </row>
    <row r="12" spans="1:34" ht="21" customHeight="1">
      <c r="A12" s="14" t="s">
        <v>5136</v>
      </c>
      <c r="B12" t="str">
        <f t="shared" si="3"/>
        <v>Aquaculture Tech &gt; Farm Intelligence</v>
      </c>
      <c r="C12" t="str">
        <f t="shared" si="4"/>
        <v>Aquaculture Tech</v>
      </c>
      <c r="D12" t="str">
        <f t="shared" si="0"/>
        <v>Farm Intelligence</v>
      </c>
      <c r="E12" t="str">
        <f t="shared" si="0"/>
        <v/>
      </c>
      <c r="F12" t="str">
        <f t="shared" si="0"/>
        <v/>
      </c>
      <c r="G12" t="str">
        <f t="shared" si="0"/>
        <v/>
      </c>
      <c r="H12" t="str">
        <f t="shared" si="0"/>
        <v/>
      </c>
      <c r="I12" t="str">
        <f t="shared" si="0"/>
        <v/>
      </c>
      <c r="J12" t="str">
        <f t="shared" si="0"/>
        <v/>
      </c>
      <c r="K12" t="str">
        <f t="shared" si="0"/>
        <v/>
      </c>
      <c r="L12" t="str">
        <f t="shared" si="0"/>
        <v/>
      </c>
      <c r="M12" t="str">
        <f t="shared" si="5"/>
        <v/>
      </c>
      <c r="N12" t="str">
        <f t="shared" si="6"/>
        <v/>
      </c>
      <c r="O12" t="str">
        <f t="shared" si="1"/>
        <v/>
      </c>
      <c r="P12" t="str">
        <f t="shared" si="1"/>
        <v/>
      </c>
      <c r="Q12" t="str">
        <f t="shared" si="1"/>
        <v/>
      </c>
      <c r="R12" t="str">
        <f t="shared" si="1"/>
        <v/>
      </c>
      <c r="S12" t="str">
        <f t="shared" si="1"/>
        <v/>
      </c>
      <c r="T12" t="str">
        <f t="shared" si="1"/>
        <v/>
      </c>
      <c r="U12" t="str">
        <f t="shared" si="1"/>
        <v/>
      </c>
      <c r="V12" t="str">
        <f t="shared" si="1"/>
        <v/>
      </c>
      <c r="W12" t="str">
        <f t="shared" si="1"/>
        <v/>
      </c>
      <c r="X12" t="str">
        <f t="shared" si="7"/>
        <v/>
      </c>
      <c r="Y12" t="str">
        <f t="shared" si="8"/>
        <v/>
      </c>
      <c r="Z12" t="str">
        <f t="shared" si="2"/>
        <v/>
      </c>
      <c r="AA12" t="str">
        <f t="shared" si="2"/>
        <v/>
      </c>
      <c r="AB12" t="str">
        <f t="shared" si="2"/>
        <v/>
      </c>
      <c r="AC12" t="str">
        <f t="shared" si="2"/>
        <v/>
      </c>
      <c r="AD12" t="str">
        <f t="shared" si="2"/>
        <v/>
      </c>
      <c r="AE12" t="str">
        <f t="shared" si="2"/>
        <v/>
      </c>
      <c r="AF12" t="str">
        <f t="shared" si="2"/>
        <v/>
      </c>
      <c r="AG12" t="str">
        <f t="shared" si="2"/>
        <v/>
      </c>
      <c r="AH12" t="str">
        <f t="shared" si="2"/>
        <v/>
      </c>
    </row>
    <row r="13" spans="1:34" ht="21" customHeight="1">
      <c r="A13" s="14" t="s">
        <v>5155</v>
      </c>
      <c r="B13" t="str">
        <f t="shared" si="3"/>
        <v>Internet of Things Infrastructure &gt; IoT Chips &gt; Communication Modules</v>
      </c>
      <c r="C13" t="str">
        <f t="shared" si="4"/>
        <v>Internet of Things Infrastructure</v>
      </c>
      <c r="D13" t="str">
        <f t="shared" si="0"/>
        <v>IoT Chips</v>
      </c>
      <c r="E13" t="str">
        <f t="shared" si="0"/>
        <v>Communication Modules</v>
      </c>
      <c r="F13" t="str">
        <f t="shared" si="0"/>
        <v/>
      </c>
      <c r="G13" t="str">
        <f t="shared" si="0"/>
        <v/>
      </c>
      <c r="H13" t="str">
        <f t="shared" si="0"/>
        <v/>
      </c>
      <c r="I13" t="str">
        <f t="shared" si="0"/>
        <v/>
      </c>
      <c r="J13" t="str">
        <f t="shared" si="0"/>
        <v/>
      </c>
      <c r="K13" t="str">
        <f t="shared" si="0"/>
        <v/>
      </c>
      <c r="L13" t="str">
        <f t="shared" si="0"/>
        <v/>
      </c>
      <c r="M13" t="str">
        <f t="shared" si="5"/>
        <v>Livestock Tech &gt; End-to-End Livestock Farm Automation</v>
      </c>
      <c r="N13" t="str">
        <f t="shared" si="6"/>
        <v>Livestock Tech</v>
      </c>
      <c r="O13" t="str">
        <f t="shared" si="1"/>
        <v>End-to-End Livestock Farm Automation</v>
      </c>
      <c r="P13" t="str">
        <f t="shared" si="1"/>
        <v/>
      </c>
      <c r="Q13" t="str">
        <f t="shared" si="1"/>
        <v/>
      </c>
      <c r="R13" t="str">
        <f t="shared" si="1"/>
        <v/>
      </c>
      <c r="S13" t="str">
        <f t="shared" si="1"/>
        <v/>
      </c>
      <c r="T13" t="str">
        <f t="shared" si="1"/>
        <v/>
      </c>
      <c r="U13" t="str">
        <f t="shared" si="1"/>
        <v/>
      </c>
      <c r="V13" t="str">
        <f t="shared" si="1"/>
        <v/>
      </c>
      <c r="W13" t="str">
        <f t="shared" si="1"/>
        <v/>
      </c>
      <c r="X13" t="str">
        <f t="shared" si="7"/>
        <v>Crop Tech &gt; Autonomous Farming &gt; Diversified</v>
      </c>
      <c r="Y13" t="str">
        <f t="shared" si="8"/>
        <v>Crop Tech</v>
      </c>
      <c r="Z13" t="str">
        <f t="shared" si="2"/>
        <v>Autonomous Farming</v>
      </c>
      <c r="AA13" t="str">
        <f t="shared" si="2"/>
        <v>Diversified</v>
      </c>
      <c r="AB13" t="str">
        <f t="shared" si="2"/>
        <v/>
      </c>
      <c r="AC13" t="str">
        <f t="shared" si="2"/>
        <v/>
      </c>
      <c r="AD13" t="str">
        <f t="shared" si="2"/>
        <v/>
      </c>
      <c r="AE13" t="str">
        <f t="shared" si="2"/>
        <v/>
      </c>
      <c r="AF13" t="str">
        <f t="shared" si="2"/>
        <v/>
      </c>
      <c r="AG13" t="str">
        <f t="shared" si="2"/>
        <v/>
      </c>
      <c r="AH13" t="str">
        <f t="shared" si="2"/>
        <v/>
      </c>
    </row>
    <row r="14" spans="1:34" ht="21" customHeight="1">
      <c r="A14" s="14" t="s">
        <v>5168</v>
      </c>
      <c r="B14" t="str">
        <f t="shared" si="3"/>
        <v>Renewable Energy Tech &gt; Solar Energy &gt; Applications &gt; Agriculture and Food &gt; Autonomous Beehive</v>
      </c>
      <c r="C14" t="str">
        <f t="shared" si="4"/>
        <v>Renewable Energy Tech</v>
      </c>
      <c r="D14" t="str">
        <f t="shared" si="0"/>
        <v>Solar Energy</v>
      </c>
      <c r="E14" t="str">
        <f t="shared" si="0"/>
        <v>Applications</v>
      </c>
      <c r="F14" t="str">
        <f t="shared" si="0"/>
        <v>Agriculture and Food</v>
      </c>
      <c r="G14" t="str">
        <f t="shared" si="0"/>
        <v>Autonomous Beehive</v>
      </c>
      <c r="H14" t="str">
        <f t="shared" si="0"/>
        <v/>
      </c>
      <c r="I14" t="str">
        <f t="shared" si="0"/>
        <v/>
      </c>
      <c r="J14" t="str">
        <f t="shared" si="0"/>
        <v/>
      </c>
      <c r="K14" t="str">
        <f t="shared" si="0"/>
        <v/>
      </c>
      <c r="L14" t="str">
        <f t="shared" si="0"/>
        <v/>
      </c>
      <c r="M14" t="str">
        <f t="shared" si="5"/>
        <v>Insect Farming Tech &gt; Bees &gt; Equipment ECommerce &gt; Internet First Brand &gt; Autonomous &gt; Solar Based</v>
      </c>
      <c r="N14" t="str">
        <f t="shared" si="6"/>
        <v>Insect Farming Tech</v>
      </c>
      <c r="O14" t="str">
        <f t="shared" si="1"/>
        <v>Bees</v>
      </c>
      <c r="P14" t="str">
        <f t="shared" si="1"/>
        <v>Equipment ECommerce</v>
      </c>
      <c r="Q14" t="str">
        <f t="shared" si="1"/>
        <v>Internet First Brand</v>
      </c>
      <c r="R14" t="str">
        <f t="shared" si="1"/>
        <v>Autonomous</v>
      </c>
      <c r="S14" t="str">
        <f t="shared" si="1"/>
        <v>Solar Based</v>
      </c>
      <c r="T14" t="str">
        <f t="shared" si="1"/>
        <v/>
      </c>
      <c r="U14" t="str">
        <f t="shared" si="1"/>
        <v/>
      </c>
      <c r="V14" t="str">
        <f t="shared" si="1"/>
        <v/>
      </c>
      <c r="W14" t="str">
        <f t="shared" si="1"/>
        <v/>
      </c>
      <c r="X14" t="str">
        <f t="shared" si="7"/>
        <v>MassChallenge Batches &gt; Israel &gt; 2019 &gt; Gold</v>
      </c>
      <c r="Y14" t="str">
        <f t="shared" si="8"/>
        <v>MassChallenge Batches</v>
      </c>
      <c r="Z14" t="str">
        <f t="shared" si="2"/>
        <v>Israel</v>
      </c>
      <c r="AA14" t="str">
        <f t="shared" si="2"/>
        <v>2019</v>
      </c>
      <c r="AB14" t="str">
        <f t="shared" si="2"/>
        <v>Gold</v>
      </c>
      <c r="AC14" t="str">
        <f t="shared" si="2"/>
        <v/>
      </c>
      <c r="AD14" t="str">
        <f t="shared" si="2"/>
        <v/>
      </c>
      <c r="AE14" t="str">
        <f t="shared" si="2"/>
        <v/>
      </c>
      <c r="AF14" t="str">
        <f t="shared" si="2"/>
        <v/>
      </c>
      <c r="AG14" t="str">
        <f t="shared" si="2"/>
        <v/>
      </c>
      <c r="AH14" t="str">
        <f t="shared" si="2"/>
        <v/>
      </c>
    </row>
    <row r="15" spans="1:34" ht="21" customHeight="1">
      <c r="A15" s="14" t="s">
        <v>5183</v>
      </c>
      <c r="B15" t="str">
        <f t="shared" si="3"/>
        <v>Crop Tech &gt; ECommerce &gt; Farm Produce &gt; B2C &gt; Fruits and Vegetables &gt; Retailer</v>
      </c>
      <c r="C15" t="str">
        <f t="shared" si="4"/>
        <v>Crop Tech</v>
      </c>
      <c r="D15" t="str">
        <f t="shared" si="0"/>
        <v>ECommerce</v>
      </c>
      <c r="E15" t="str">
        <f t="shared" si="0"/>
        <v>Farm Produce</v>
      </c>
      <c r="F15" t="str">
        <f t="shared" si="0"/>
        <v>B2C</v>
      </c>
      <c r="G15" t="str">
        <f t="shared" si="0"/>
        <v>Fruits and Vegetables</v>
      </c>
      <c r="H15" t="str">
        <f t="shared" si="0"/>
        <v>Retailer</v>
      </c>
      <c r="I15" t="str">
        <f t="shared" si="0"/>
        <v/>
      </c>
      <c r="J15" t="str">
        <f t="shared" si="0"/>
        <v/>
      </c>
      <c r="K15" t="str">
        <f t="shared" si="0"/>
        <v/>
      </c>
      <c r="L15" t="str">
        <f t="shared" si="0"/>
        <v/>
      </c>
      <c r="M15" t="str">
        <f t="shared" si="5"/>
        <v/>
      </c>
      <c r="N15" t="str">
        <f t="shared" si="6"/>
        <v/>
      </c>
      <c r="O15" t="str">
        <f t="shared" si="1"/>
        <v/>
      </c>
      <c r="P15" t="str">
        <f t="shared" si="1"/>
        <v/>
      </c>
      <c r="Q15" t="str">
        <f t="shared" si="1"/>
        <v/>
      </c>
      <c r="R15" t="str">
        <f t="shared" si="1"/>
        <v/>
      </c>
      <c r="S15" t="str">
        <f t="shared" si="1"/>
        <v/>
      </c>
      <c r="T15" t="str">
        <f t="shared" si="1"/>
        <v/>
      </c>
      <c r="U15" t="str">
        <f t="shared" si="1"/>
        <v/>
      </c>
      <c r="V15" t="str">
        <f t="shared" si="1"/>
        <v/>
      </c>
      <c r="W15" t="str">
        <f t="shared" si="1"/>
        <v/>
      </c>
      <c r="X15" t="str">
        <f t="shared" si="7"/>
        <v/>
      </c>
      <c r="Y15" t="str">
        <f t="shared" si="8"/>
        <v/>
      </c>
      <c r="Z15" t="str">
        <f t="shared" si="2"/>
        <v/>
      </c>
      <c r="AA15" t="str">
        <f t="shared" si="2"/>
        <v/>
      </c>
      <c r="AB15" t="str">
        <f t="shared" si="2"/>
        <v/>
      </c>
      <c r="AC15" t="str">
        <f t="shared" si="2"/>
        <v/>
      </c>
      <c r="AD15" t="str">
        <f t="shared" si="2"/>
        <v/>
      </c>
      <c r="AE15" t="str">
        <f t="shared" si="2"/>
        <v/>
      </c>
      <c r="AF15" t="str">
        <f t="shared" si="2"/>
        <v/>
      </c>
      <c r="AG15" t="str">
        <f t="shared" si="2"/>
        <v/>
      </c>
      <c r="AH15" t="str">
        <f t="shared" si="2"/>
        <v/>
      </c>
    </row>
    <row r="16" spans="1:34">
      <c r="B16" t="str">
        <f t="shared" si="3"/>
        <v/>
      </c>
      <c r="C16" t="str">
        <f t="shared" si="4"/>
        <v/>
      </c>
      <c r="D16" t="str">
        <f t="shared" si="0"/>
        <v/>
      </c>
      <c r="E16" t="str">
        <f t="shared" si="0"/>
        <v/>
      </c>
      <c r="F16" t="str">
        <f t="shared" si="0"/>
        <v/>
      </c>
      <c r="G16" t="str">
        <f t="shared" si="0"/>
        <v/>
      </c>
      <c r="H16" t="str">
        <f t="shared" si="0"/>
        <v/>
      </c>
      <c r="I16" t="str">
        <f t="shared" si="0"/>
        <v/>
      </c>
      <c r="J16" t="str">
        <f t="shared" si="0"/>
        <v/>
      </c>
      <c r="K16" t="str">
        <f t="shared" si="0"/>
        <v/>
      </c>
      <c r="L16" t="str">
        <f t="shared" si="0"/>
        <v/>
      </c>
      <c r="M16" t="str">
        <f t="shared" si="5"/>
        <v/>
      </c>
      <c r="N16" t="str">
        <f t="shared" si="6"/>
        <v/>
      </c>
      <c r="O16" t="str">
        <f t="shared" si="1"/>
        <v/>
      </c>
      <c r="P16" t="str">
        <f t="shared" si="1"/>
        <v/>
      </c>
      <c r="Q16" t="str">
        <f t="shared" si="1"/>
        <v/>
      </c>
      <c r="R16" t="str">
        <f t="shared" si="1"/>
        <v/>
      </c>
      <c r="S16" t="str">
        <f t="shared" si="1"/>
        <v/>
      </c>
      <c r="T16" t="str">
        <f t="shared" si="1"/>
        <v/>
      </c>
      <c r="U16" t="str">
        <f t="shared" si="1"/>
        <v/>
      </c>
      <c r="V16" t="str">
        <f t="shared" si="1"/>
        <v/>
      </c>
      <c r="W16" t="str">
        <f t="shared" si="1"/>
        <v/>
      </c>
      <c r="X16" t="str">
        <f t="shared" si="7"/>
        <v/>
      </c>
      <c r="Y16" t="str">
        <f t="shared" si="8"/>
        <v/>
      </c>
      <c r="Z16" t="str">
        <f t="shared" si="2"/>
        <v/>
      </c>
      <c r="AA16" t="str">
        <f t="shared" si="2"/>
        <v/>
      </c>
      <c r="AB16" t="str">
        <f t="shared" si="2"/>
        <v/>
      </c>
      <c r="AC16" t="str">
        <f t="shared" si="2"/>
        <v/>
      </c>
      <c r="AD16" t="str">
        <f t="shared" si="2"/>
        <v/>
      </c>
      <c r="AE16" t="str">
        <f t="shared" si="2"/>
        <v/>
      </c>
      <c r="AF16" t="str">
        <f t="shared" si="2"/>
        <v/>
      </c>
      <c r="AG16" t="str">
        <f t="shared" si="2"/>
        <v/>
      </c>
      <c r="AH16" t="str">
        <f t="shared" si="2"/>
        <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50C7D-0ED6-434F-8B3A-08E559B6A1D5}">
  <sheetPr>
    <tabColor theme="5" tint="0.59999389629810485"/>
  </sheetPr>
  <dimension ref="B1:AG226"/>
  <sheetViews>
    <sheetView topLeftCell="C137" zoomScale="75" workbookViewId="0">
      <selection activeCell="F137" sqref="F137"/>
    </sheetView>
  </sheetViews>
  <sheetFormatPr defaultColWidth="9.1796875" defaultRowHeight="14.5"/>
  <cols>
    <col min="1" max="1" width="3" style="28" customWidth="1"/>
    <col min="2" max="2" width="53.81640625" style="28" customWidth="1"/>
    <col min="3" max="3" width="49.81640625" style="28" customWidth="1"/>
    <col min="4" max="4" width="33.54296875" style="28" customWidth="1"/>
    <col min="5" max="5" width="30" style="28" customWidth="1"/>
    <col min="6" max="6" width="79.1796875" style="28" bestFit="1" customWidth="1"/>
    <col min="7" max="8" width="79.1796875" style="28" customWidth="1"/>
    <col min="9" max="9" width="60.7265625" style="28" customWidth="1"/>
    <col min="10" max="10" width="39.26953125" style="28" customWidth="1"/>
    <col min="11" max="11" width="25.7265625" style="28" customWidth="1"/>
    <col min="12" max="12" width="33.54296875" style="28" customWidth="1"/>
    <col min="13" max="13" width="38.81640625" style="28" bestFit="1" customWidth="1"/>
    <col min="14" max="14" width="20.1796875" style="28" bestFit="1" customWidth="1"/>
    <col min="15" max="15" width="37.26953125" style="28" bestFit="1" customWidth="1"/>
    <col min="16" max="16" width="21.54296875" style="28" customWidth="1"/>
    <col min="17" max="17" width="26.26953125" style="28" bestFit="1" customWidth="1"/>
    <col min="18" max="18" width="67.453125" style="28" bestFit="1" customWidth="1"/>
    <col min="19" max="19" width="20" style="28" customWidth="1"/>
    <col min="20" max="30" width="9.1796875" style="28"/>
    <col min="31" max="31" width="82" style="28" customWidth="1"/>
    <col min="32" max="32" width="9.1796875" style="28"/>
    <col min="33" max="33" width="30.54296875" style="28" bestFit="1" customWidth="1"/>
    <col min="34" max="16384" width="9.1796875" style="28"/>
  </cols>
  <sheetData>
    <row r="1" spans="2:33" ht="19.5">
      <c r="B1" s="27" t="s">
        <v>10475</v>
      </c>
    </row>
    <row r="3" spans="2:33">
      <c r="C3" s="29"/>
      <c r="F3" s="30" t="s">
        <v>10476</v>
      </c>
      <c r="G3" s="30"/>
      <c r="H3" s="30"/>
    </row>
    <row r="5" spans="2:33">
      <c r="B5" s="184" t="s">
        <v>10477</v>
      </c>
      <c r="C5" s="184" t="s">
        <v>10478</v>
      </c>
      <c r="D5" s="184" t="s">
        <v>10479</v>
      </c>
      <c r="E5" s="184" t="s">
        <v>10460</v>
      </c>
      <c r="F5" s="184" t="s">
        <v>10480</v>
      </c>
      <c r="G5" s="184" t="s">
        <v>10481</v>
      </c>
      <c r="H5" s="184" t="s">
        <v>10482</v>
      </c>
      <c r="I5" s="184" t="s">
        <v>10483</v>
      </c>
      <c r="J5" s="184" t="s">
        <v>10462</v>
      </c>
      <c r="K5" s="184" t="s">
        <v>10463</v>
      </c>
      <c r="L5" s="184" t="s">
        <v>10484</v>
      </c>
      <c r="M5" s="184" t="s">
        <v>10468</v>
      </c>
      <c r="N5" s="184" t="s">
        <v>10485</v>
      </c>
      <c r="O5" s="184" t="s">
        <v>10486</v>
      </c>
      <c r="P5" s="184" t="s">
        <v>10487</v>
      </c>
      <c r="Q5" s="184" t="s">
        <v>10488</v>
      </c>
      <c r="R5" s="184" t="s">
        <v>10473</v>
      </c>
      <c r="S5" s="184" t="s">
        <v>10489</v>
      </c>
      <c r="T5" s="184" t="s">
        <v>10490</v>
      </c>
      <c r="X5" s="31" t="s">
        <v>10491</v>
      </c>
      <c r="Y5" s="31" t="s">
        <v>10492</v>
      </c>
      <c r="AA5" s="31" t="s">
        <v>10493</v>
      </c>
      <c r="AB5" s="31" t="s">
        <v>10494</v>
      </c>
      <c r="AE5" s="32" t="s">
        <v>10495</v>
      </c>
      <c r="AG5" s="28" t="s">
        <v>10496</v>
      </c>
    </row>
    <row r="6" spans="2:33">
      <c r="B6" s="28" t="s">
        <v>10497</v>
      </c>
      <c r="C6" s="28" t="s">
        <v>10498</v>
      </c>
      <c r="D6" s="28" t="s">
        <v>10498</v>
      </c>
      <c r="E6" s="28" t="s">
        <v>10499</v>
      </c>
      <c r="F6" s="28" t="s">
        <v>10500</v>
      </c>
      <c r="G6" s="28" t="s">
        <v>10501</v>
      </c>
      <c r="H6" s="28" t="s">
        <v>10500</v>
      </c>
      <c r="I6" s="28" t="s">
        <v>10502</v>
      </c>
      <c r="J6" s="28" t="s">
        <v>10502</v>
      </c>
      <c r="K6" s="28" t="s">
        <v>10503</v>
      </c>
      <c r="L6" s="28" t="s">
        <v>10504</v>
      </c>
      <c r="M6" s="28" t="s">
        <v>10505</v>
      </c>
      <c r="N6" s="28" t="s">
        <v>10506</v>
      </c>
      <c r="O6" s="28" t="s">
        <v>10506</v>
      </c>
      <c r="P6" s="28" t="s">
        <v>10507</v>
      </c>
      <c r="Q6" s="28" t="s">
        <v>10508</v>
      </c>
      <c r="R6" s="28" t="s">
        <v>10509</v>
      </c>
      <c r="S6" s="28">
        <v>2010</v>
      </c>
      <c r="T6" s="28" t="s">
        <v>10510</v>
      </c>
      <c r="X6" s="31" t="s">
        <v>10511</v>
      </c>
      <c r="Y6" s="33">
        <v>0</v>
      </c>
      <c r="AA6" s="31" t="s">
        <v>10512</v>
      </c>
      <c r="AB6" s="33">
        <v>0.4</v>
      </c>
      <c r="AE6" s="34" t="s">
        <v>10513</v>
      </c>
      <c r="AG6" s="28" t="s">
        <v>10474</v>
      </c>
    </row>
    <row r="7" spans="2:33">
      <c r="B7" s="28" t="s">
        <v>10514</v>
      </c>
      <c r="C7" s="28" t="s">
        <v>10515</v>
      </c>
      <c r="D7" s="28" t="s">
        <v>10515</v>
      </c>
      <c r="E7" s="35" t="s">
        <v>10516</v>
      </c>
      <c r="F7" s="35" t="s">
        <v>10501</v>
      </c>
      <c r="G7" s="28" t="s">
        <v>10517</v>
      </c>
      <c r="H7" s="28" t="s">
        <v>10518</v>
      </c>
      <c r="I7" s="28" t="s">
        <v>10519</v>
      </c>
      <c r="J7" s="28" t="s">
        <v>10520</v>
      </c>
      <c r="K7" s="28" t="s">
        <v>2753</v>
      </c>
      <c r="L7" s="28" t="s">
        <v>10521</v>
      </c>
      <c r="M7" s="28" t="s">
        <v>10522</v>
      </c>
      <c r="N7" s="28" t="s">
        <v>10523</v>
      </c>
      <c r="O7" s="35" t="s">
        <v>10524</v>
      </c>
      <c r="P7" s="28" t="s">
        <v>10525</v>
      </c>
      <c r="Q7" s="28" t="s">
        <v>10526</v>
      </c>
      <c r="R7" s="28" t="s">
        <v>10527</v>
      </c>
      <c r="S7" s="28">
        <v>2011</v>
      </c>
      <c r="T7" s="28" t="s">
        <v>10528</v>
      </c>
      <c r="X7" s="36" t="s">
        <v>10529</v>
      </c>
      <c r="Y7" s="37">
        <v>0.2</v>
      </c>
      <c r="AA7" s="31" t="s">
        <v>10530</v>
      </c>
      <c r="AB7" s="33">
        <v>1</v>
      </c>
      <c r="AE7" s="34" t="s">
        <v>10531</v>
      </c>
      <c r="AG7" s="28" t="s">
        <v>10532</v>
      </c>
    </row>
    <row r="8" spans="2:33">
      <c r="B8" s="35" t="s">
        <v>10533</v>
      </c>
      <c r="C8" s="28" t="s">
        <v>10534</v>
      </c>
      <c r="D8" s="28" t="s">
        <v>10534</v>
      </c>
      <c r="E8" s="35" t="s">
        <v>10535</v>
      </c>
      <c r="F8" s="38" t="s">
        <v>10536</v>
      </c>
      <c r="G8" s="28" t="s">
        <v>10537</v>
      </c>
      <c r="H8" s="28" t="s">
        <v>10538</v>
      </c>
      <c r="I8" s="28" t="s">
        <v>10539</v>
      </c>
      <c r="J8" s="28" t="s">
        <v>10540</v>
      </c>
      <c r="K8" s="28" t="s">
        <v>10541</v>
      </c>
      <c r="L8" s="28" t="s">
        <v>10542</v>
      </c>
      <c r="M8" s="28" t="s">
        <v>10543</v>
      </c>
      <c r="N8" s="28" t="s">
        <v>10544</v>
      </c>
      <c r="O8" s="35" t="s">
        <v>10545</v>
      </c>
      <c r="P8" s="28" t="s">
        <v>10546</v>
      </c>
      <c r="Q8" s="28" t="s">
        <v>10547</v>
      </c>
      <c r="R8" s="28" t="s">
        <v>10548</v>
      </c>
      <c r="S8" s="28">
        <v>2012</v>
      </c>
      <c r="T8" s="28" t="s">
        <v>10549</v>
      </c>
      <c r="X8" s="31" t="s">
        <v>10550</v>
      </c>
      <c r="Y8" s="33">
        <v>0.5</v>
      </c>
      <c r="AE8" s="34" t="s">
        <v>10551</v>
      </c>
      <c r="AG8" s="28" t="s">
        <v>10552</v>
      </c>
    </row>
    <row r="9" spans="2:33">
      <c r="B9" s="35" t="s">
        <v>10553</v>
      </c>
      <c r="C9" s="28" t="s">
        <v>10554</v>
      </c>
      <c r="D9" s="28" t="s">
        <v>10554</v>
      </c>
      <c r="E9" s="35" t="s">
        <v>10555</v>
      </c>
      <c r="F9" s="38" t="s">
        <v>10556</v>
      </c>
      <c r="G9" s="28" t="s">
        <v>10557</v>
      </c>
      <c r="H9" s="28" t="s">
        <v>10558</v>
      </c>
      <c r="I9" s="28" t="s">
        <v>10559</v>
      </c>
      <c r="J9" s="28" t="s">
        <v>10560</v>
      </c>
      <c r="K9" s="28" t="s">
        <v>10561</v>
      </c>
      <c r="L9" s="28" t="s">
        <v>10558</v>
      </c>
      <c r="M9" s="28" t="s">
        <v>10562</v>
      </c>
      <c r="N9" s="28" t="s">
        <v>10563</v>
      </c>
      <c r="O9" s="133" t="s">
        <v>10564</v>
      </c>
      <c r="P9" s="28" t="s">
        <v>10558</v>
      </c>
      <c r="Q9" s="28" t="s">
        <v>10565</v>
      </c>
      <c r="R9" s="28" t="s">
        <v>10566</v>
      </c>
      <c r="S9" s="28">
        <v>2013</v>
      </c>
      <c r="T9" s="28" t="s">
        <v>10558</v>
      </c>
      <c r="X9" s="31" t="s">
        <v>10567</v>
      </c>
      <c r="Y9" s="33">
        <v>1</v>
      </c>
      <c r="AE9" s="34" t="s">
        <v>10568</v>
      </c>
    </row>
    <row r="10" spans="2:33">
      <c r="B10" s="35" t="s">
        <v>10569</v>
      </c>
      <c r="C10" s="28" t="s">
        <v>10570</v>
      </c>
      <c r="D10" s="28" t="s">
        <v>10570</v>
      </c>
      <c r="E10" s="35" t="s">
        <v>10571</v>
      </c>
      <c r="F10" s="38" t="s">
        <v>10572</v>
      </c>
      <c r="G10" s="28" t="s">
        <v>10573</v>
      </c>
      <c r="I10" s="28" t="s">
        <v>10574</v>
      </c>
      <c r="J10" s="28" t="s">
        <v>10575</v>
      </c>
      <c r="K10" s="28" t="s">
        <v>10576</v>
      </c>
      <c r="M10" s="28" t="s">
        <v>10577</v>
      </c>
      <c r="N10" s="28" t="s">
        <v>10578</v>
      </c>
      <c r="O10" s="35" t="s">
        <v>10579</v>
      </c>
      <c r="Q10" s="28" t="s">
        <v>10580</v>
      </c>
      <c r="R10" s="28" t="s">
        <v>10581</v>
      </c>
      <c r="S10" s="28">
        <v>2014</v>
      </c>
      <c r="AE10" s="34" t="s">
        <v>10582</v>
      </c>
    </row>
    <row r="11" spans="2:33">
      <c r="B11" s="35" t="s">
        <v>10583</v>
      </c>
      <c r="C11" s="28" t="s">
        <v>10584</v>
      </c>
      <c r="D11" s="28" t="s">
        <v>10584</v>
      </c>
      <c r="E11" s="35" t="s">
        <v>10585</v>
      </c>
      <c r="F11" s="38" t="s">
        <v>10586</v>
      </c>
      <c r="G11" s="28" t="s">
        <v>10587</v>
      </c>
      <c r="I11" s="28" t="s">
        <v>10588</v>
      </c>
      <c r="J11" s="28" t="s">
        <v>10589</v>
      </c>
      <c r="K11" s="28" t="s">
        <v>10590</v>
      </c>
      <c r="M11" s="28" t="s">
        <v>10591</v>
      </c>
      <c r="N11" s="28" t="s">
        <v>10558</v>
      </c>
      <c r="O11" s="35" t="s">
        <v>10592</v>
      </c>
      <c r="Q11" s="28" t="s">
        <v>10558</v>
      </c>
      <c r="R11" s="28" t="s">
        <v>10558</v>
      </c>
      <c r="S11" s="28">
        <v>2015</v>
      </c>
      <c r="AE11" s="34" t="s">
        <v>10593</v>
      </c>
    </row>
    <row r="12" spans="2:33">
      <c r="B12" s="28" t="s">
        <v>10594</v>
      </c>
      <c r="C12" s="28" t="s">
        <v>10595</v>
      </c>
      <c r="D12" s="28" t="s">
        <v>10595</v>
      </c>
      <c r="E12" s="35" t="s">
        <v>10596</v>
      </c>
      <c r="F12" s="38" t="s">
        <v>10597</v>
      </c>
      <c r="G12" s="28" t="s">
        <v>10598</v>
      </c>
      <c r="I12" s="28" t="s">
        <v>10558</v>
      </c>
      <c r="J12" s="39" t="s">
        <v>10599</v>
      </c>
      <c r="K12" s="28" t="s">
        <v>10600</v>
      </c>
      <c r="M12" s="28" t="s">
        <v>10558</v>
      </c>
      <c r="O12" s="28" t="s">
        <v>10523</v>
      </c>
      <c r="S12" s="28">
        <v>2016</v>
      </c>
      <c r="AE12" s="34" t="s">
        <v>10601</v>
      </c>
    </row>
    <row r="13" spans="2:33">
      <c r="B13" s="35" t="s">
        <v>10602</v>
      </c>
      <c r="C13" s="28" t="s">
        <v>5333</v>
      </c>
      <c r="D13" s="28" t="s">
        <v>5333</v>
      </c>
      <c r="E13" s="35" t="s">
        <v>10603</v>
      </c>
      <c r="F13" s="38" t="s">
        <v>10604</v>
      </c>
      <c r="G13" s="28" t="s">
        <v>10605</v>
      </c>
      <c r="J13" s="28" t="s">
        <v>10558</v>
      </c>
      <c r="K13" s="28" t="s">
        <v>10606</v>
      </c>
      <c r="O13" s="35" t="s">
        <v>10607</v>
      </c>
      <c r="S13" s="28">
        <v>2017</v>
      </c>
      <c r="AE13" s="34" t="s">
        <v>10608</v>
      </c>
    </row>
    <row r="14" spans="2:33">
      <c r="B14" s="35" t="s">
        <v>10609</v>
      </c>
      <c r="C14" s="28" t="s">
        <v>10610</v>
      </c>
      <c r="D14" s="28" t="s">
        <v>10610</v>
      </c>
      <c r="E14" s="28" t="s">
        <v>10611</v>
      </c>
      <c r="F14" s="38" t="s">
        <v>10612</v>
      </c>
      <c r="G14" s="28" t="s">
        <v>10613</v>
      </c>
      <c r="K14" s="28" t="s">
        <v>10614</v>
      </c>
      <c r="O14" s="35" t="s">
        <v>10615</v>
      </c>
      <c r="S14" s="28">
        <v>2018</v>
      </c>
      <c r="AE14" s="34" t="s">
        <v>10616</v>
      </c>
    </row>
    <row r="15" spans="2:33">
      <c r="B15" s="35" t="s">
        <v>10617</v>
      </c>
      <c r="C15" s="28" t="s">
        <v>10618</v>
      </c>
      <c r="D15" s="28" t="s">
        <v>10618</v>
      </c>
      <c r="E15" s="35" t="s">
        <v>10619</v>
      </c>
      <c r="F15" s="40" t="s">
        <v>10620</v>
      </c>
      <c r="G15" s="28" t="s">
        <v>10621</v>
      </c>
      <c r="K15" s="28" t="s">
        <v>10558</v>
      </c>
      <c r="O15" s="35" t="s">
        <v>10622</v>
      </c>
      <c r="S15" s="28">
        <v>2019</v>
      </c>
      <c r="AE15" s="34" t="s">
        <v>10623</v>
      </c>
    </row>
    <row r="16" spans="2:33">
      <c r="B16" s="28" t="s">
        <v>10624</v>
      </c>
      <c r="C16" s="28" t="s">
        <v>3322</v>
      </c>
      <c r="D16" s="28" t="s">
        <v>3322</v>
      </c>
      <c r="E16" s="35" t="s">
        <v>10625</v>
      </c>
      <c r="F16" s="41" t="s">
        <v>10517</v>
      </c>
      <c r="G16" s="28" t="s">
        <v>10626</v>
      </c>
      <c r="K16" s="28" t="s">
        <v>10627</v>
      </c>
      <c r="O16" s="35" t="s">
        <v>10628</v>
      </c>
      <c r="S16" s="28">
        <v>2020</v>
      </c>
      <c r="AE16" s="34" t="s">
        <v>10629</v>
      </c>
    </row>
    <row r="17" spans="2:31">
      <c r="B17" s="28" t="s">
        <v>10630</v>
      </c>
      <c r="C17" s="28" t="s">
        <v>10631</v>
      </c>
      <c r="D17" s="28" t="s">
        <v>10631</v>
      </c>
      <c r="E17" s="35" t="s">
        <v>10632</v>
      </c>
      <c r="F17" s="38" t="s">
        <v>10633</v>
      </c>
      <c r="G17" s="28" t="s">
        <v>10634</v>
      </c>
      <c r="O17" s="42" t="s">
        <v>10544</v>
      </c>
      <c r="S17" s="28" t="s">
        <v>10558</v>
      </c>
      <c r="AE17" s="34" t="s">
        <v>10635</v>
      </c>
    </row>
    <row r="18" spans="2:31">
      <c r="B18" s="28" t="s">
        <v>10636</v>
      </c>
      <c r="C18" s="28" t="s">
        <v>10637</v>
      </c>
      <c r="D18" s="28" t="s">
        <v>10637</v>
      </c>
      <c r="E18" s="28" t="s">
        <v>10638</v>
      </c>
      <c r="F18" s="38" t="s">
        <v>10623</v>
      </c>
      <c r="G18" s="28" t="s">
        <v>10639</v>
      </c>
      <c r="O18" s="35" t="s">
        <v>10640</v>
      </c>
      <c r="AE18" s="34" t="s">
        <v>10641</v>
      </c>
    </row>
    <row r="19" spans="2:31">
      <c r="B19" s="28" t="s">
        <v>10642</v>
      </c>
      <c r="C19" s="28" t="s">
        <v>10643</v>
      </c>
      <c r="D19" s="28" t="s">
        <v>10643</v>
      </c>
      <c r="E19" s="28" t="s">
        <v>10644</v>
      </c>
      <c r="F19" s="38" t="s">
        <v>10645</v>
      </c>
      <c r="G19" s="28" t="s">
        <v>10558</v>
      </c>
      <c r="O19" s="35" t="s">
        <v>10646</v>
      </c>
      <c r="AE19" s="34" t="s">
        <v>10647</v>
      </c>
    </row>
    <row r="20" spans="2:31">
      <c r="B20" s="28" t="s">
        <v>10648</v>
      </c>
      <c r="C20" s="28" t="s">
        <v>10649</v>
      </c>
      <c r="D20" s="28" t="s">
        <v>10649</v>
      </c>
      <c r="E20" s="28" t="s">
        <v>10621</v>
      </c>
      <c r="F20" s="40" t="s">
        <v>10650</v>
      </c>
      <c r="O20" s="35" t="s">
        <v>10651</v>
      </c>
      <c r="AE20" s="34" t="s">
        <v>10641</v>
      </c>
    </row>
    <row r="21" spans="2:31">
      <c r="B21" s="28" t="s">
        <v>10652</v>
      </c>
      <c r="C21" s="28" t="s">
        <v>6313</v>
      </c>
      <c r="D21" s="28" t="s">
        <v>6313</v>
      </c>
      <c r="E21" s="28" t="s">
        <v>10558</v>
      </c>
      <c r="F21" s="41" t="s">
        <v>10537</v>
      </c>
      <c r="O21" s="35" t="s">
        <v>10653</v>
      </c>
      <c r="AE21" s="34" t="s">
        <v>10654</v>
      </c>
    </row>
    <row r="22" spans="2:31">
      <c r="B22" s="28" t="s">
        <v>10655</v>
      </c>
      <c r="C22" s="28" t="s">
        <v>10656</v>
      </c>
      <c r="D22" s="28" t="s">
        <v>10656</v>
      </c>
      <c r="F22" s="38" t="s">
        <v>10657</v>
      </c>
      <c r="O22" s="35" t="s">
        <v>10658</v>
      </c>
      <c r="AE22" s="34" t="s">
        <v>10659</v>
      </c>
    </row>
    <row r="23" spans="2:31">
      <c r="B23" s="28" t="s">
        <v>10660</v>
      </c>
      <c r="C23" s="28" t="s">
        <v>10661</v>
      </c>
      <c r="D23" s="28" t="s">
        <v>10661</v>
      </c>
      <c r="F23" s="38" t="s">
        <v>10662</v>
      </c>
      <c r="O23" s="35" t="s">
        <v>10663</v>
      </c>
      <c r="AE23" s="34" t="s">
        <v>10664</v>
      </c>
    </row>
    <row r="24" spans="2:31">
      <c r="B24" s="28" t="s">
        <v>10665</v>
      </c>
      <c r="C24" s="28" t="s">
        <v>9477</v>
      </c>
      <c r="D24" s="28" t="s">
        <v>9477</v>
      </c>
      <c r="F24" s="38" t="s">
        <v>10666</v>
      </c>
      <c r="L24" s="127"/>
      <c r="M24" s="127"/>
      <c r="O24" s="133" t="s">
        <v>10667</v>
      </c>
      <c r="AE24" s="43" t="s">
        <v>10668</v>
      </c>
    </row>
    <row r="25" spans="2:31">
      <c r="B25" s="28" t="s">
        <v>10669</v>
      </c>
      <c r="C25" s="28" t="s">
        <v>10670</v>
      </c>
      <c r="D25" s="28" t="s">
        <v>10670</v>
      </c>
      <c r="F25" s="38" t="s">
        <v>10568</v>
      </c>
      <c r="O25" s="35" t="s">
        <v>10671</v>
      </c>
      <c r="AE25" s="34" t="s">
        <v>10672</v>
      </c>
    </row>
    <row r="26" spans="2:31">
      <c r="B26" s="28" t="s">
        <v>10673</v>
      </c>
      <c r="C26" s="28" t="s">
        <v>10674</v>
      </c>
      <c r="D26" s="28" t="s">
        <v>10674</v>
      </c>
      <c r="F26" s="38" t="s">
        <v>10675</v>
      </c>
      <c r="O26" s="35" t="s">
        <v>10676</v>
      </c>
      <c r="AE26" s="34" t="s">
        <v>10677</v>
      </c>
    </row>
    <row r="27" spans="2:31">
      <c r="B27" s="28" t="s">
        <v>10678</v>
      </c>
      <c r="C27" s="28" t="s">
        <v>10679</v>
      </c>
      <c r="D27" s="28" t="s">
        <v>10679</v>
      </c>
      <c r="F27" s="40" t="s">
        <v>10680</v>
      </c>
      <c r="O27" s="133" t="s">
        <v>10681</v>
      </c>
      <c r="AE27" s="34" t="s">
        <v>10682</v>
      </c>
    </row>
    <row r="28" spans="2:31">
      <c r="B28" s="28" t="s">
        <v>10683</v>
      </c>
      <c r="C28" s="28" t="s">
        <v>10684</v>
      </c>
      <c r="D28" s="28" t="s">
        <v>10684</v>
      </c>
      <c r="F28" s="41" t="s">
        <v>10557</v>
      </c>
      <c r="O28" s="42" t="s">
        <v>10563</v>
      </c>
      <c r="AE28" s="34" t="s">
        <v>10613</v>
      </c>
    </row>
    <row r="29" spans="2:31">
      <c r="B29" s="28" t="s">
        <v>10685</v>
      </c>
      <c r="C29" s="28" t="s">
        <v>10686</v>
      </c>
      <c r="D29" s="28" t="s">
        <v>10686</v>
      </c>
      <c r="F29" s="38" t="s">
        <v>10647</v>
      </c>
      <c r="O29" s="35" t="s">
        <v>10687</v>
      </c>
      <c r="AE29" s="34" t="s">
        <v>10688</v>
      </c>
    </row>
    <row r="30" spans="2:31">
      <c r="B30" s="28" t="s">
        <v>10558</v>
      </c>
      <c r="C30" s="28" t="s">
        <v>10689</v>
      </c>
      <c r="D30" s="28" t="s">
        <v>10689</v>
      </c>
      <c r="F30" s="38" t="s">
        <v>10641</v>
      </c>
      <c r="O30" s="35" t="s">
        <v>10690</v>
      </c>
      <c r="AE30" s="43" t="s">
        <v>10691</v>
      </c>
    </row>
    <row r="31" spans="2:31">
      <c r="C31" s="28" t="s">
        <v>9855</v>
      </c>
      <c r="D31" s="28" t="s">
        <v>9855</v>
      </c>
      <c r="F31" s="38" t="s">
        <v>10654</v>
      </c>
      <c r="O31" s="35" t="s">
        <v>10692</v>
      </c>
      <c r="AE31" s="34" t="s">
        <v>10693</v>
      </c>
    </row>
    <row r="32" spans="2:31">
      <c r="C32" s="28" t="s">
        <v>5208</v>
      </c>
      <c r="D32" s="28" t="s">
        <v>5208</v>
      </c>
      <c r="F32" s="38" t="s">
        <v>10694</v>
      </c>
      <c r="O32" s="41" t="s">
        <v>10695</v>
      </c>
      <c r="AE32" s="34" t="s">
        <v>10696</v>
      </c>
    </row>
    <row r="33" spans="3:31">
      <c r="C33" s="28" t="s">
        <v>10697</v>
      </c>
      <c r="D33" s="28" t="s">
        <v>10697</v>
      </c>
      <c r="F33" s="40" t="s">
        <v>10698</v>
      </c>
      <c r="O33" s="42" t="s">
        <v>10699</v>
      </c>
      <c r="AE33" s="44" t="s">
        <v>10700</v>
      </c>
    </row>
    <row r="34" spans="3:31">
      <c r="C34" s="28" t="s">
        <v>10701</v>
      </c>
      <c r="D34" s="28" t="s">
        <v>10701</v>
      </c>
      <c r="F34" s="28" t="s">
        <v>10518</v>
      </c>
      <c r="O34" s="35" t="s">
        <v>10702</v>
      </c>
    </row>
    <row r="35" spans="3:31">
      <c r="C35" s="28" t="s">
        <v>10703</v>
      </c>
      <c r="D35" s="28" t="s">
        <v>10703</v>
      </c>
      <c r="F35" s="45" t="s">
        <v>10573</v>
      </c>
      <c r="O35" s="35" t="s">
        <v>10704</v>
      </c>
    </row>
    <row r="36" spans="3:31">
      <c r="C36" s="28" t="s">
        <v>10705</v>
      </c>
      <c r="D36" s="28" t="s">
        <v>10705</v>
      </c>
      <c r="F36" s="46" t="s">
        <v>10706</v>
      </c>
      <c r="O36" s="35" t="s">
        <v>10707</v>
      </c>
    </row>
    <row r="37" spans="3:31">
      <c r="C37" s="28" t="s">
        <v>10708</v>
      </c>
      <c r="D37" s="28" t="s">
        <v>10708</v>
      </c>
      <c r="F37" s="46" t="s">
        <v>10709</v>
      </c>
      <c r="O37" s="35" t="s">
        <v>10710</v>
      </c>
    </row>
    <row r="38" spans="3:31">
      <c r="C38" s="28" t="s">
        <v>10711</v>
      </c>
      <c r="D38" s="28" t="s">
        <v>10711</v>
      </c>
      <c r="F38" s="46" t="s">
        <v>10712</v>
      </c>
      <c r="O38" s="35" t="s">
        <v>10713</v>
      </c>
    </row>
    <row r="39" spans="3:31">
      <c r="C39" s="28" t="s">
        <v>10714</v>
      </c>
      <c r="D39" s="28" t="s">
        <v>10714</v>
      </c>
      <c r="F39" s="46" t="s">
        <v>10715</v>
      </c>
      <c r="O39" s="28" t="s">
        <v>10558</v>
      </c>
    </row>
    <row r="40" spans="3:31">
      <c r="C40" s="28" t="s">
        <v>10716</v>
      </c>
      <c r="D40" s="28" t="s">
        <v>10716</v>
      </c>
      <c r="F40" s="46" t="s">
        <v>10993</v>
      </c>
    </row>
    <row r="41" spans="3:31">
      <c r="C41" s="28" t="s">
        <v>10717</v>
      </c>
      <c r="D41" s="28" t="s">
        <v>10717</v>
      </c>
      <c r="F41" s="46" t="s">
        <v>10718</v>
      </c>
    </row>
    <row r="42" spans="3:31">
      <c r="C42" s="28" t="s">
        <v>10719</v>
      </c>
      <c r="D42" s="28" t="s">
        <v>10719</v>
      </c>
      <c r="F42" s="46" t="s">
        <v>10720</v>
      </c>
    </row>
    <row r="43" spans="3:31">
      <c r="C43" s="28" t="s">
        <v>10721</v>
      </c>
      <c r="D43" s="28" t="s">
        <v>10721</v>
      </c>
      <c r="F43" s="46" t="s">
        <v>10722</v>
      </c>
    </row>
    <row r="44" spans="3:31">
      <c r="C44" s="28" t="s">
        <v>10723</v>
      </c>
      <c r="D44" s="28" t="s">
        <v>10723</v>
      </c>
      <c r="F44" s="46" t="s">
        <v>10724</v>
      </c>
    </row>
    <row r="45" spans="3:31">
      <c r="C45" s="28" t="s">
        <v>1258</v>
      </c>
      <c r="D45" s="28" t="s">
        <v>1258</v>
      </c>
      <c r="F45" s="46" t="s">
        <v>10725</v>
      </c>
    </row>
    <row r="46" spans="3:31">
      <c r="C46" s="28" t="s">
        <v>2057</v>
      </c>
      <c r="D46" s="28" t="s">
        <v>2057</v>
      </c>
      <c r="F46" s="46" t="s">
        <v>10726</v>
      </c>
    </row>
    <row r="47" spans="3:31">
      <c r="C47" s="28" t="s">
        <v>10727</v>
      </c>
      <c r="D47" s="28" t="s">
        <v>10727</v>
      </c>
      <c r="F47" s="46" t="s">
        <v>10728</v>
      </c>
    </row>
    <row r="48" spans="3:31">
      <c r="C48" s="28" t="s">
        <v>10729</v>
      </c>
      <c r="D48" s="28" t="s">
        <v>10729</v>
      </c>
      <c r="F48" s="46" t="s">
        <v>10730</v>
      </c>
    </row>
    <row r="49" spans="3:6">
      <c r="C49" s="28" t="s">
        <v>6632</v>
      </c>
      <c r="D49" s="28" t="s">
        <v>6632</v>
      </c>
      <c r="F49" s="46" t="s">
        <v>10731</v>
      </c>
    </row>
    <row r="50" spans="3:6">
      <c r="C50" s="28" t="s">
        <v>10732</v>
      </c>
      <c r="D50" s="28" t="s">
        <v>10732</v>
      </c>
      <c r="F50" s="46" t="s">
        <v>10733</v>
      </c>
    </row>
    <row r="51" spans="3:6">
      <c r="C51" s="28" t="s">
        <v>10734</v>
      </c>
      <c r="D51" s="28" t="s">
        <v>10734</v>
      </c>
      <c r="F51" s="46" t="s">
        <v>10735</v>
      </c>
    </row>
    <row r="52" spans="3:6">
      <c r="C52" s="28" t="s">
        <v>10736</v>
      </c>
      <c r="D52" s="28" t="s">
        <v>10736</v>
      </c>
      <c r="F52" s="46" t="s">
        <v>10737</v>
      </c>
    </row>
    <row r="53" spans="3:6">
      <c r="C53" s="28" t="s">
        <v>10738</v>
      </c>
      <c r="D53" s="28" t="s">
        <v>10738</v>
      </c>
      <c r="F53" s="46" t="s">
        <v>10739</v>
      </c>
    </row>
    <row r="54" spans="3:6">
      <c r="C54" s="28" t="s">
        <v>10740</v>
      </c>
      <c r="D54" s="28" t="s">
        <v>10740</v>
      </c>
      <c r="F54" s="46" t="s">
        <v>10741</v>
      </c>
    </row>
    <row r="55" spans="3:6">
      <c r="C55" s="28" t="s">
        <v>10742</v>
      </c>
      <c r="D55" s="28" t="s">
        <v>10742</v>
      </c>
      <c r="F55" s="35" t="s">
        <v>10587</v>
      </c>
    </row>
    <row r="56" spans="3:6">
      <c r="C56" s="28" t="s">
        <v>10743</v>
      </c>
      <c r="D56" s="28" t="s">
        <v>10743</v>
      </c>
      <c r="F56" s="46" t="s">
        <v>10744</v>
      </c>
    </row>
    <row r="57" spans="3:6">
      <c r="C57" s="28" t="s">
        <v>10745</v>
      </c>
      <c r="D57" s="28" t="s">
        <v>10745</v>
      </c>
      <c r="F57" s="46" t="s">
        <v>10746</v>
      </c>
    </row>
    <row r="58" spans="3:6">
      <c r="C58" s="28" t="s">
        <v>10747</v>
      </c>
      <c r="D58" s="28" t="s">
        <v>10747</v>
      </c>
      <c r="F58" s="46" t="s">
        <v>10963</v>
      </c>
    </row>
    <row r="59" spans="3:6">
      <c r="C59" s="28" t="s">
        <v>10749</v>
      </c>
      <c r="D59" s="28" t="s">
        <v>10749</v>
      </c>
      <c r="F59" s="46" t="s">
        <v>10748</v>
      </c>
    </row>
    <row r="60" spans="3:6">
      <c r="C60" s="28" t="s">
        <v>10751</v>
      </c>
      <c r="D60" s="28" t="s">
        <v>10751</v>
      </c>
      <c r="F60" s="46" t="s">
        <v>10750</v>
      </c>
    </row>
    <row r="61" spans="3:6">
      <c r="C61" s="28" t="s">
        <v>10753</v>
      </c>
      <c r="D61" s="28" t="s">
        <v>10753</v>
      </c>
      <c r="F61" s="46" t="s">
        <v>10752</v>
      </c>
    </row>
    <row r="62" spans="3:6">
      <c r="C62" s="28" t="s">
        <v>10755</v>
      </c>
      <c r="D62" s="28" t="s">
        <v>10755</v>
      </c>
      <c r="F62" s="46" t="s">
        <v>10754</v>
      </c>
    </row>
    <row r="63" spans="3:6">
      <c r="C63" s="28" t="s">
        <v>10757</v>
      </c>
      <c r="D63" s="28" t="s">
        <v>10757</v>
      </c>
      <c r="F63" s="46" t="s">
        <v>10756</v>
      </c>
    </row>
    <row r="64" spans="3:6">
      <c r="C64" s="28" t="s">
        <v>10758</v>
      </c>
      <c r="D64" s="28" t="s">
        <v>10758</v>
      </c>
      <c r="F64" s="35" t="s">
        <v>10598</v>
      </c>
    </row>
    <row r="65" spans="3:6">
      <c r="C65" s="28" t="s">
        <v>10760</v>
      </c>
      <c r="D65" s="28" t="s">
        <v>10760</v>
      </c>
      <c r="F65" s="46" t="s">
        <v>10759</v>
      </c>
    </row>
    <row r="66" spans="3:6">
      <c r="C66" s="28" t="s">
        <v>10762</v>
      </c>
      <c r="D66" s="28" t="s">
        <v>10762</v>
      </c>
      <c r="F66" s="46" t="s">
        <v>10761</v>
      </c>
    </row>
    <row r="67" spans="3:6">
      <c r="C67" s="28" t="s">
        <v>10764</v>
      </c>
      <c r="D67" s="28" t="s">
        <v>10764</v>
      </c>
      <c r="F67" s="46" t="s">
        <v>10763</v>
      </c>
    </row>
    <row r="68" spans="3:6">
      <c r="C68" s="28" t="s">
        <v>5508</v>
      </c>
      <c r="D68" s="28" t="s">
        <v>5508</v>
      </c>
      <c r="F68" s="46" t="s">
        <v>10765</v>
      </c>
    </row>
    <row r="69" spans="3:6">
      <c r="C69" s="28" t="s">
        <v>10767</v>
      </c>
      <c r="D69" s="28" t="s">
        <v>10767</v>
      </c>
      <c r="F69" s="46" t="s">
        <v>10766</v>
      </c>
    </row>
    <row r="70" spans="3:6">
      <c r="C70" s="28" t="s">
        <v>10769</v>
      </c>
      <c r="D70" s="28" t="s">
        <v>10769</v>
      </c>
      <c r="F70" s="46" t="s">
        <v>10961</v>
      </c>
    </row>
    <row r="71" spans="3:6">
      <c r="C71" s="28" t="s">
        <v>10771</v>
      </c>
      <c r="D71" s="28" t="s">
        <v>10771</v>
      </c>
      <c r="F71" s="46" t="s">
        <v>10768</v>
      </c>
    </row>
    <row r="72" spans="3:6">
      <c r="C72" s="28" t="s">
        <v>10773</v>
      </c>
      <c r="D72" s="28" t="s">
        <v>10773</v>
      </c>
      <c r="F72" s="46" t="s">
        <v>10770</v>
      </c>
    </row>
    <row r="73" spans="3:6">
      <c r="C73" s="28" t="s">
        <v>10775</v>
      </c>
      <c r="D73" s="28" t="s">
        <v>10775</v>
      </c>
      <c r="F73" s="46" t="s">
        <v>10772</v>
      </c>
    </row>
    <row r="74" spans="3:6">
      <c r="C74" s="28" t="s">
        <v>10777</v>
      </c>
      <c r="D74" s="28" t="s">
        <v>10777</v>
      </c>
      <c r="F74" s="46" t="s">
        <v>10774</v>
      </c>
    </row>
    <row r="75" spans="3:6">
      <c r="C75" s="28" t="s">
        <v>10779</v>
      </c>
      <c r="D75" s="28" t="s">
        <v>10779</v>
      </c>
      <c r="F75" s="46" t="s">
        <v>10776</v>
      </c>
    </row>
    <row r="76" spans="3:6">
      <c r="C76" s="28" t="s">
        <v>10781</v>
      </c>
      <c r="D76" s="28" t="s">
        <v>10781</v>
      </c>
      <c r="F76" s="46" t="s">
        <v>10778</v>
      </c>
    </row>
    <row r="77" spans="3:6">
      <c r="C77" s="28" t="s">
        <v>10783</v>
      </c>
      <c r="D77" s="28" t="s">
        <v>10783</v>
      </c>
      <c r="F77" s="46" t="s">
        <v>10780</v>
      </c>
    </row>
    <row r="78" spans="3:6">
      <c r="C78" s="28" t="s">
        <v>10785</v>
      </c>
      <c r="D78" s="28" t="s">
        <v>10785</v>
      </c>
      <c r="F78" s="46" t="s">
        <v>10782</v>
      </c>
    </row>
    <row r="79" spans="3:6">
      <c r="C79" s="28" t="s">
        <v>10787</v>
      </c>
      <c r="D79" s="28" t="s">
        <v>10787</v>
      </c>
      <c r="F79" s="46" t="s">
        <v>10784</v>
      </c>
    </row>
    <row r="80" spans="3:6">
      <c r="C80" s="28" t="s">
        <v>10788</v>
      </c>
      <c r="D80" s="28" t="s">
        <v>10788</v>
      </c>
      <c r="F80" s="46" t="s">
        <v>10786</v>
      </c>
    </row>
    <row r="81" spans="3:6">
      <c r="C81" s="28" t="s">
        <v>10790</v>
      </c>
      <c r="D81" s="28" t="s">
        <v>10790</v>
      </c>
      <c r="F81" s="46" t="s">
        <v>10741</v>
      </c>
    </row>
    <row r="82" spans="3:6">
      <c r="C82" s="28" t="s">
        <v>10792</v>
      </c>
      <c r="D82" s="28" t="s">
        <v>10792</v>
      </c>
      <c r="F82" s="46" t="s">
        <v>10789</v>
      </c>
    </row>
    <row r="83" spans="3:6">
      <c r="C83" s="28" t="s">
        <v>9462</v>
      </c>
      <c r="D83" s="28" t="s">
        <v>9462</v>
      </c>
      <c r="F83" s="46" t="s">
        <v>10791</v>
      </c>
    </row>
    <row r="84" spans="3:6">
      <c r="C84" s="28" t="s">
        <v>10795</v>
      </c>
      <c r="D84" s="28" t="s">
        <v>10795</v>
      </c>
      <c r="F84" s="46" t="s">
        <v>10793</v>
      </c>
    </row>
    <row r="85" spans="3:6">
      <c r="C85" s="28" t="s">
        <v>5524</v>
      </c>
      <c r="D85" s="28" t="s">
        <v>5524</v>
      </c>
      <c r="F85" s="46" t="s">
        <v>10794</v>
      </c>
    </row>
    <row r="86" spans="3:6">
      <c r="C86" s="28" t="s">
        <v>10797</v>
      </c>
      <c r="D86" s="28" t="s">
        <v>10797</v>
      </c>
      <c r="F86" s="46" t="s">
        <v>10796</v>
      </c>
    </row>
    <row r="87" spans="3:6">
      <c r="C87" s="28" t="s">
        <v>10799</v>
      </c>
      <c r="D87" s="28" t="s">
        <v>10799</v>
      </c>
      <c r="F87" s="35" t="s">
        <v>10605</v>
      </c>
    </row>
    <row r="88" spans="3:6">
      <c r="C88" s="28" t="s">
        <v>10801</v>
      </c>
      <c r="D88" s="28" t="s">
        <v>10801</v>
      </c>
      <c r="F88" s="46" t="s">
        <v>10798</v>
      </c>
    </row>
    <row r="89" spans="3:6">
      <c r="C89" s="28" t="s">
        <v>10803</v>
      </c>
      <c r="D89" s="28" t="s">
        <v>10803</v>
      </c>
      <c r="F89" s="46" t="s">
        <v>10800</v>
      </c>
    </row>
    <row r="90" spans="3:6">
      <c r="C90" s="28" t="s">
        <v>7777</v>
      </c>
      <c r="D90" s="28" t="s">
        <v>7777</v>
      </c>
      <c r="F90" s="46" t="s">
        <v>10802</v>
      </c>
    </row>
    <row r="91" spans="3:6">
      <c r="C91" s="28" t="s">
        <v>10806</v>
      </c>
      <c r="D91" s="28" t="s">
        <v>10806</v>
      </c>
      <c r="F91" s="46" t="s">
        <v>10804</v>
      </c>
    </row>
    <row r="92" spans="3:6">
      <c r="C92" s="28" t="s">
        <v>10808</v>
      </c>
      <c r="D92" s="28" t="s">
        <v>10808</v>
      </c>
      <c r="F92" s="46" t="s">
        <v>10805</v>
      </c>
    </row>
    <row r="93" spans="3:6">
      <c r="C93" s="28" t="s">
        <v>10810</v>
      </c>
      <c r="D93" s="28" t="s">
        <v>10810</v>
      </c>
      <c r="F93" s="46" t="s">
        <v>10807</v>
      </c>
    </row>
    <row r="94" spans="3:6">
      <c r="C94" s="28" t="s">
        <v>10812</v>
      </c>
      <c r="D94" s="28" t="s">
        <v>10812</v>
      </c>
      <c r="F94" s="46" t="s">
        <v>10809</v>
      </c>
    </row>
    <row r="95" spans="3:6">
      <c r="C95" s="28" t="s">
        <v>10814</v>
      </c>
      <c r="D95" s="28" t="s">
        <v>10814</v>
      </c>
      <c r="F95" s="46" t="s">
        <v>10811</v>
      </c>
    </row>
    <row r="96" spans="3:6">
      <c r="C96" s="28" t="s">
        <v>10816</v>
      </c>
      <c r="D96" s="28" t="s">
        <v>10816</v>
      </c>
      <c r="F96" s="46" t="s">
        <v>10813</v>
      </c>
    </row>
    <row r="97" spans="3:6">
      <c r="C97" s="28" t="s">
        <v>3994</v>
      </c>
      <c r="D97" s="28" t="s">
        <v>3994</v>
      </c>
      <c r="F97" s="46" t="s">
        <v>10815</v>
      </c>
    </row>
    <row r="98" spans="3:6">
      <c r="C98" s="28" t="s">
        <v>5277</v>
      </c>
      <c r="D98" s="28" t="s">
        <v>5277</v>
      </c>
      <c r="F98" s="46" t="s">
        <v>10817</v>
      </c>
    </row>
    <row r="99" spans="3:6">
      <c r="C99" s="28" t="s">
        <v>10820</v>
      </c>
      <c r="D99" s="28" t="s">
        <v>10820</v>
      </c>
      <c r="F99" s="46" t="s">
        <v>10965</v>
      </c>
    </row>
    <row r="100" spans="3:6">
      <c r="C100" s="28" t="s">
        <v>10822</v>
      </c>
      <c r="D100" s="28" t="s">
        <v>10822</v>
      </c>
      <c r="F100" s="46" t="s">
        <v>10818</v>
      </c>
    </row>
    <row r="101" spans="3:6">
      <c r="C101" s="28" t="s">
        <v>10823</v>
      </c>
      <c r="D101" s="28" t="s">
        <v>10823</v>
      </c>
      <c r="F101" s="46" t="s">
        <v>10819</v>
      </c>
    </row>
    <row r="102" spans="3:6">
      <c r="C102" s="28" t="s">
        <v>4343</v>
      </c>
      <c r="D102" s="28" t="s">
        <v>4343</v>
      </c>
      <c r="F102" s="46" t="s">
        <v>10966</v>
      </c>
    </row>
    <row r="103" spans="3:6">
      <c r="C103" s="28" t="s">
        <v>10826</v>
      </c>
      <c r="D103" s="28" t="s">
        <v>10826</v>
      </c>
      <c r="F103" s="46" t="s">
        <v>10821</v>
      </c>
    </row>
    <row r="104" spans="3:6">
      <c r="C104" s="28" t="s">
        <v>5818</v>
      </c>
      <c r="D104" s="28" t="s">
        <v>5818</v>
      </c>
      <c r="F104" s="41" t="s">
        <v>10613</v>
      </c>
    </row>
    <row r="105" spans="3:6">
      <c r="C105" s="28" t="s">
        <v>10829</v>
      </c>
      <c r="D105" s="28" t="s">
        <v>10829</v>
      </c>
      <c r="F105" s="46" t="s">
        <v>10824</v>
      </c>
    </row>
    <row r="106" spans="3:6">
      <c r="C106" s="28" t="s">
        <v>7148</v>
      </c>
      <c r="D106" s="28" t="s">
        <v>7148</v>
      </c>
      <c r="F106" s="46" t="s">
        <v>10825</v>
      </c>
    </row>
    <row r="107" spans="3:6">
      <c r="C107" s="28" t="s">
        <v>10832</v>
      </c>
      <c r="D107" s="28" t="s">
        <v>10832</v>
      </c>
      <c r="F107" s="46" t="s">
        <v>10827</v>
      </c>
    </row>
    <row r="108" spans="3:6">
      <c r="C108" s="28" t="s">
        <v>5391</v>
      </c>
      <c r="D108" s="28" t="s">
        <v>5391</v>
      </c>
      <c r="F108" s="46" t="s">
        <v>10828</v>
      </c>
    </row>
    <row r="109" spans="3:6">
      <c r="C109" s="28" t="s">
        <v>10835</v>
      </c>
      <c r="D109" s="28" t="s">
        <v>10835</v>
      </c>
      <c r="F109" s="46" t="s">
        <v>10830</v>
      </c>
    </row>
    <row r="110" spans="3:6">
      <c r="C110" s="28" t="s">
        <v>10837</v>
      </c>
      <c r="D110" s="28" t="s">
        <v>10837</v>
      </c>
      <c r="F110" s="46" t="s">
        <v>10831</v>
      </c>
    </row>
    <row r="111" spans="3:6">
      <c r="C111" s="28" t="s">
        <v>10838</v>
      </c>
      <c r="D111" s="28" t="s">
        <v>10838</v>
      </c>
      <c r="F111" s="46" t="s">
        <v>10833</v>
      </c>
    </row>
    <row r="112" spans="3:6">
      <c r="C112" s="28" t="s">
        <v>10840</v>
      </c>
      <c r="D112" s="28" t="s">
        <v>10840</v>
      </c>
      <c r="F112" s="46" t="s">
        <v>10834</v>
      </c>
    </row>
    <row r="113" spans="3:6">
      <c r="C113" s="28" t="s">
        <v>10841</v>
      </c>
      <c r="D113" s="28" t="s">
        <v>10841</v>
      </c>
      <c r="F113" s="46" t="s">
        <v>10836</v>
      </c>
    </row>
    <row r="114" spans="3:6">
      <c r="C114" s="28" t="s">
        <v>10843</v>
      </c>
      <c r="D114" s="28" t="s">
        <v>10843</v>
      </c>
      <c r="F114" s="46" t="s">
        <v>10833</v>
      </c>
    </row>
    <row r="115" spans="3:6">
      <c r="C115" s="28" t="s">
        <v>10845</v>
      </c>
      <c r="D115" s="28" t="s">
        <v>10845</v>
      </c>
      <c r="F115" s="46" t="s">
        <v>10839</v>
      </c>
    </row>
    <row r="116" spans="3:6">
      <c r="C116" s="28" t="s">
        <v>10847</v>
      </c>
      <c r="D116" s="28" t="s">
        <v>10847</v>
      </c>
      <c r="F116" s="35" t="s">
        <v>10621</v>
      </c>
    </row>
    <row r="117" spans="3:6">
      <c r="C117" s="28" t="s">
        <v>10849</v>
      </c>
      <c r="D117" s="28" t="s">
        <v>10849</v>
      </c>
      <c r="F117" s="46" t="s">
        <v>10842</v>
      </c>
    </row>
    <row r="118" spans="3:6">
      <c r="C118" s="28" t="s">
        <v>10851</v>
      </c>
      <c r="D118" s="28" t="s">
        <v>10851</v>
      </c>
      <c r="F118" s="46" t="s">
        <v>10844</v>
      </c>
    </row>
    <row r="119" spans="3:6">
      <c r="C119" s="28" t="s">
        <v>10853</v>
      </c>
      <c r="D119" s="28" t="s">
        <v>10853</v>
      </c>
      <c r="F119" s="46" t="s">
        <v>10846</v>
      </c>
    </row>
    <row r="120" spans="3:6">
      <c r="C120" s="28" t="s">
        <v>10854</v>
      </c>
      <c r="D120" s="28" t="s">
        <v>10854</v>
      </c>
      <c r="F120" s="46" t="s">
        <v>10848</v>
      </c>
    </row>
    <row r="121" spans="3:6">
      <c r="C121" s="28" t="s">
        <v>10856</v>
      </c>
      <c r="D121" s="28" t="s">
        <v>10856</v>
      </c>
      <c r="F121" s="46" t="s">
        <v>10850</v>
      </c>
    </row>
    <row r="122" spans="3:6">
      <c r="C122" s="28" t="s">
        <v>10858</v>
      </c>
      <c r="D122" s="28" t="s">
        <v>10858</v>
      </c>
      <c r="F122" s="46" t="s">
        <v>10852</v>
      </c>
    </row>
    <row r="123" spans="3:6">
      <c r="C123" s="28" t="s">
        <v>10860</v>
      </c>
      <c r="D123" s="28" t="s">
        <v>10860</v>
      </c>
      <c r="F123" s="28" t="s">
        <v>10538</v>
      </c>
    </row>
    <row r="124" spans="3:6">
      <c r="C124" s="28" t="s">
        <v>5416</v>
      </c>
      <c r="D124" s="28" t="s">
        <v>5416</v>
      </c>
      <c r="F124" s="41" t="s">
        <v>10855</v>
      </c>
    </row>
    <row r="125" spans="3:6">
      <c r="C125" s="28" t="s">
        <v>10863</v>
      </c>
      <c r="D125" s="28" t="s">
        <v>10863</v>
      </c>
      <c r="F125" s="38" t="s">
        <v>10857</v>
      </c>
    </row>
    <row r="126" spans="3:6">
      <c r="C126" s="28" t="s">
        <v>10098</v>
      </c>
      <c r="D126" s="28" t="s">
        <v>10098</v>
      </c>
      <c r="F126" s="38" t="s">
        <v>10859</v>
      </c>
    </row>
    <row r="127" spans="3:6">
      <c r="C127" s="28" t="s">
        <v>10866</v>
      </c>
      <c r="D127" s="28" t="s">
        <v>10866</v>
      </c>
      <c r="F127" s="38" t="s">
        <v>10861</v>
      </c>
    </row>
    <row r="128" spans="3:6">
      <c r="C128" s="28" t="s">
        <v>10867</v>
      </c>
      <c r="D128" s="28" t="s">
        <v>10867</v>
      </c>
      <c r="F128" s="38" t="s">
        <v>10862</v>
      </c>
    </row>
    <row r="129" spans="3:6">
      <c r="C129" s="28" t="s">
        <v>10869</v>
      </c>
      <c r="D129" s="28" t="s">
        <v>10869</v>
      </c>
      <c r="F129" s="38" t="s">
        <v>10864</v>
      </c>
    </row>
    <row r="130" spans="3:6">
      <c r="C130" s="28" t="s">
        <v>10871</v>
      </c>
      <c r="D130" s="28" t="s">
        <v>10871</v>
      </c>
      <c r="F130" s="38" t="s">
        <v>10865</v>
      </c>
    </row>
    <row r="131" spans="3:6">
      <c r="C131" s="28" t="s">
        <v>1740</v>
      </c>
      <c r="D131" s="28" t="s">
        <v>1740</v>
      </c>
      <c r="F131" s="45" t="s">
        <v>10634</v>
      </c>
    </row>
    <row r="132" spans="3:6">
      <c r="C132" s="28" t="s">
        <v>10873</v>
      </c>
      <c r="D132" s="28" t="s">
        <v>10873</v>
      </c>
      <c r="F132" s="38" t="s">
        <v>10868</v>
      </c>
    </row>
    <row r="133" spans="3:6">
      <c r="C133" s="28" t="s">
        <v>10875</v>
      </c>
      <c r="D133" s="28" t="s">
        <v>10875</v>
      </c>
      <c r="F133" s="38" t="s">
        <v>10870</v>
      </c>
    </row>
    <row r="134" spans="3:6">
      <c r="C134" s="28" t="s">
        <v>10876</v>
      </c>
      <c r="D134" s="28" t="s">
        <v>10876</v>
      </c>
      <c r="F134" s="38" t="s">
        <v>10872</v>
      </c>
    </row>
    <row r="135" spans="3:6">
      <c r="C135" s="28" t="s">
        <v>10877</v>
      </c>
      <c r="D135" s="28" t="s">
        <v>10877</v>
      </c>
      <c r="F135" s="41" t="s">
        <v>10639</v>
      </c>
    </row>
    <row r="136" spans="3:6">
      <c r="C136" s="28" t="s">
        <v>10878</v>
      </c>
      <c r="D136" s="28" t="s">
        <v>10878</v>
      </c>
      <c r="F136" s="40" t="s">
        <v>10874</v>
      </c>
    </row>
    <row r="137" spans="3:6">
      <c r="C137" s="28" t="s">
        <v>10879</v>
      </c>
      <c r="D137" s="28" t="s">
        <v>10879</v>
      </c>
      <c r="F137" s="28" t="s">
        <v>10558</v>
      </c>
    </row>
    <row r="138" spans="3:6">
      <c r="C138" s="28" t="s">
        <v>10880</v>
      </c>
      <c r="D138" s="28" t="s">
        <v>10880</v>
      </c>
    </row>
    <row r="139" spans="3:6">
      <c r="C139" s="28" t="s">
        <v>7133</v>
      </c>
      <c r="D139" s="28" t="s">
        <v>7133</v>
      </c>
    </row>
    <row r="140" spans="3:6">
      <c r="C140" s="28" t="s">
        <v>10881</v>
      </c>
      <c r="D140" s="28" t="s">
        <v>10881</v>
      </c>
    </row>
    <row r="141" spans="3:6">
      <c r="C141" s="28" t="s">
        <v>10882</v>
      </c>
      <c r="D141" s="28" t="s">
        <v>10882</v>
      </c>
    </row>
    <row r="142" spans="3:6">
      <c r="C142" s="28" t="s">
        <v>10883</v>
      </c>
      <c r="D142" s="28" t="s">
        <v>10883</v>
      </c>
    </row>
    <row r="143" spans="3:6">
      <c r="C143" s="28" t="s">
        <v>3448</v>
      </c>
      <c r="D143" s="28" t="s">
        <v>3448</v>
      </c>
    </row>
    <row r="144" spans="3:6">
      <c r="C144" s="28" t="s">
        <v>10884</v>
      </c>
      <c r="D144" s="28" t="s">
        <v>10884</v>
      </c>
    </row>
    <row r="145" spans="3:4">
      <c r="C145" s="28" t="s">
        <v>10885</v>
      </c>
      <c r="D145" s="28" t="s">
        <v>10885</v>
      </c>
    </row>
    <row r="146" spans="3:4">
      <c r="C146" s="28" t="s">
        <v>10886</v>
      </c>
      <c r="D146" s="28" t="s">
        <v>10886</v>
      </c>
    </row>
    <row r="147" spans="3:4">
      <c r="C147" s="28" t="s">
        <v>10887</v>
      </c>
      <c r="D147" s="28" t="s">
        <v>10887</v>
      </c>
    </row>
    <row r="148" spans="3:4">
      <c r="C148" s="28" t="s">
        <v>6213</v>
      </c>
      <c r="D148" s="28" t="s">
        <v>6213</v>
      </c>
    </row>
    <row r="149" spans="3:4">
      <c r="C149" s="28" t="s">
        <v>10888</v>
      </c>
      <c r="D149" s="28" t="s">
        <v>10888</v>
      </c>
    </row>
    <row r="150" spans="3:4">
      <c r="C150" s="28" t="s">
        <v>10889</v>
      </c>
      <c r="D150" s="28" t="s">
        <v>10889</v>
      </c>
    </row>
    <row r="151" spans="3:4">
      <c r="C151" s="28" t="s">
        <v>10890</v>
      </c>
      <c r="D151" s="28" t="s">
        <v>10890</v>
      </c>
    </row>
    <row r="152" spans="3:4">
      <c r="C152" s="28" t="s">
        <v>3468</v>
      </c>
      <c r="D152" s="28" t="s">
        <v>3468</v>
      </c>
    </row>
    <row r="153" spans="3:4">
      <c r="C153" s="28" t="s">
        <v>10891</v>
      </c>
      <c r="D153" s="28" t="s">
        <v>10891</v>
      </c>
    </row>
    <row r="154" spans="3:4">
      <c r="C154" s="28" t="s">
        <v>10892</v>
      </c>
      <c r="D154" s="28" t="s">
        <v>10892</v>
      </c>
    </row>
    <row r="155" spans="3:4">
      <c r="C155" s="28" t="s">
        <v>10893</v>
      </c>
      <c r="D155" s="28" t="s">
        <v>10893</v>
      </c>
    </row>
    <row r="156" spans="3:4">
      <c r="C156" s="28" t="s">
        <v>10894</v>
      </c>
      <c r="D156" s="28" t="s">
        <v>10894</v>
      </c>
    </row>
    <row r="157" spans="3:4">
      <c r="C157" s="28" t="s">
        <v>3775</v>
      </c>
      <c r="D157" s="28" t="s">
        <v>3775</v>
      </c>
    </row>
    <row r="158" spans="3:4">
      <c r="C158" s="28" t="s">
        <v>9288</v>
      </c>
      <c r="D158" s="28" t="s">
        <v>9288</v>
      </c>
    </row>
    <row r="159" spans="3:4">
      <c r="C159" s="47" t="s">
        <v>10895</v>
      </c>
      <c r="D159" s="28" t="s">
        <v>10895</v>
      </c>
    </row>
    <row r="160" spans="3:4">
      <c r="C160" s="47" t="s">
        <v>10896</v>
      </c>
      <c r="D160" s="28" t="s">
        <v>10896</v>
      </c>
    </row>
    <row r="161" spans="3:4">
      <c r="C161" s="47" t="s">
        <v>10897</v>
      </c>
      <c r="D161" s="28" t="s">
        <v>10897</v>
      </c>
    </row>
    <row r="162" spans="3:4">
      <c r="C162" s="47" t="s">
        <v>10898</v>
      </c>
      <c r="D162" s="28" t="s">
        <v>10898</v>
      </c>
    </row>
    <row r="163" spans="3:4">
      <c r="C163" s="47" t="s">
        <v>10899</v>
      </c>
      <c r="D163" s="28" t="s">
        <v>10899</v>
      </c>
    </row>
    <row r="164" spans="3:4">
      <c r="C164" s="28" t="s">
        <v>10900</v>
      </c>
      <c r="D164" s="28" t="s">
        <v>10900</v>
      </c>
    </row>
    <row r="165" spans="3:4">
      <c r="C165" s="28" t="s">
        <v>10901</v>
      </c>
      <c r="D165" s="28" t="s">
        <v>10901</v>
      </c>
    </row>
    <row r="166" spans="3:4">
      <c r="C166" s="28" t="s">
        <v>10902</v>
      </c>
      <c r="D166" s="28" t="s">
        <v>10902</v>
      </c>
    </row>
    <row r="167" spans="3:4">
      <c r="C167" s="28" t="s">
        <v>10903</v>
      </c>
      <c r="D167" s="28" t="s">
        <v>10903</v>
      </c>
    </row>
    <row r="168" spans="3:4">
      <c r="C168" s="28" t="s">
        <v>10904</v>
      </c>
      <c r="D168" s="28" t="s">
        <v>10904</v>
      </c>
    </row>
    <row r="169" spans="3:4">
      <c r="C169" s="28" t="s">
        <v>10905</v>
      </c>
      <c r="D169" s="28" t="s">
        <v>10905</v>
      </c>
    </row>
    <row r="170" spans="3:4">
      <c r="C170" s="28" t="s">
        <v>10906</v>
      </c>
      <c r="D170" s="28" t="s">
        <v>10906</v>
      </c>
    </row>
    <row r="171" spans="3:4">
      <c r="C171" s="28" t="s">
        <v>10907</v>
      </c>
      <c r="D171" s="28" t="s">
        <v>10907</v>
      </c>
    </row>
    <row r="172" spans="3:4">
      <c r="C172" s="28" t="s">
        <v>10908</v>
      </c>
      <c r="D172" s="28" t="s">
        <v>10908</v>
      </c>
    </row>
    <row r="173" spans="3:4">
      <c r="C173" s="28" t="s">
        <v>1028</v>
      </c>
      <c r="D173" s="28" t="s">
        <v>1028</v>
      </c>
    </row>
    <row r="174" spans="3:4">
      <c r="C174" s="28" t="s">
        <v>6393</v>
      </c>
      <c r="D174" s="28" t="s">
        <v>6393</v>
      </c>
    </row>
    <row r="175" spans="3:4">
      <c r="C175" s="28" t="s">
        <v>10909</v>
      </c>
      <c r="D175" s="28" t="s">
        <v>10909</v>
      </c>
    </row>
    <row r="176" spans="3:4">
      <c r="C176" s="28" t="s">
        <v>10910</v>
      </c>
      <c r="D176" s="28" t="s">
        <v>10910</v>
      </c>
    </row>
    <row r="177" spans="3:4">
      <c r="C177" s="28" t="s">
        <v>10911</v>
      </c>
      <c r="D177" s="28" t="s">
        <v>10911</v>
      </c>
    </row>
    <row r="178" spans="3:4">
      <c r="C178" s="28" t="s">
        <v>10358</v>
      </c>
      <c r="D178" s="28" t="s">
        <v>10358</v>
      </c>
    </row>
    <row r="179" spans="3:4">
      <c r="C179" s="28" t="s">
        <v>10912</v>
      </c>
      <c r="D179" s="28" t="s">
        <v>10912</v>
      </c>
    </row>
    <row r="180" spans="3:4">
      <c r="C180" s="28" t="s">
        <v>10913</v>
      </c>
      <c r="D180" s="28" t="s">
        <v>10913</v>
      </c>
    </row>
    <row r="181" spans="3:4">
      <c r="C181" s="28" t="s">
        <v>10914</v>
      </c>
      <c r="D181" s="28" t="s">
        <v>10914</v>
      </c>
    </row>
    <row r="182" spans="3:4">
      <c r="C182" s="28" t="s">
        <v>10915</v>
      </c>
      <c r="D182" s="28" t="s">
        <v>10915</v>
      </c>
    </row>
    <row r="183" spans="3:4">
      <c r="C183" s="28" t="s">
        <v>10916</v>
      </c>
      <c r="D183" s="28" t="s">
        <v>10916</v>
      </c>
    </row>
    <row r="184" spans="3:4">
      <c r="C184" s="28" t="s">
        <v>6297</v>
      </c>
      <c r="D184" s="28" t="s">
        <v>6297</v>
      </c>
    </row>
    <row r="185" spans="3:4">
      <c r="C185" s="28" t="s">
        <v>10917</v>
      </c>
      <c r="D185" s="28" t="s">
        <v>10917</v>
      </c>
    </row>
    <row r="186" spans="3:4">
      <c r="C186" s="28" t="s">
        <v>10918</v>
      </c>
      <c r="D186" s="28" t="s">
        <v>10918</v>
      </c>
    </row>
    <row r="187" spans="3:4">
      <c r="C187" s="28" t="s">
        <v>10919</v>
      </c>
      <c r="D187" s="28" t="s">
        <v>10919</v>
      </c>
    </row>
    <row r="188" spans="3:4">
      <c r="C188" s="28" t="s">
        <v>10920</v>
      </c>
      <c r="D188" s="28" t="s">
        <v>10920</v>
      </c>
    </row>
    <row r="189" spans="3:4">
      <c r="C189" s="28" t="s">
        <v>10921</v>
      </c>
      <c r="D189" s="28" t="s">
        <v>10921</v>
      </c>
    </row>
    <row r="190" spans="3:4">
      <c r="C190" s="28" t="s">
        <v>10922</v>
      </c>
      <c r="D190" s="28" t="s">
        <v>10922</v>
      </c>
    </row>
    <row r="191" spans="3:4">
      <c r="C191" s="28" t="s">
        <v>10923</v>
      </c>
      <c r="D191" s="28" t="s">
        <v>10923</v>
      </c>
    </row>
    <row r="192" spans="3:4">
      <c r="C192" s="28" t="s">
        <v>10924</v>
      </c>
      <c r="D192" s="28" t="s">
        <v>10924</v>
      </c>
    </row>
    <row r="193" spans="3:4">
      <c r="C193" s="28" t="s">
        <v>10925</v>
      </c>
      <c r="D193" s="28" t="s">
        <v>10925</v>
      </c>
    </row>
    <row r="194" spans="3:4">
      <c r="C194" s="28" t="s">
        <v>10926</v>
      </c>
      <c r="D194" s="28" t="s">
        <v>10926</v>
      </c>
    </row>
    <row r="195" spans="3:4">
      <c r="C195" s="28" t="s">
        <v>10927</v>
      </c>
      <c r="D195" s="28" t="s">
        <v>10927</v>
      </c>
    </row>
    <row r="196" spans="3:4">
      <c r="C196" s="28" t="s">
        <v>10928</v>
      </c>
      <c r="D196" s="28" t="s">
        <v>10928</v>
      </c>
    </row>
    <row r="197" spans="3:4">
      <c r="C197" s="28" t="s">
        <v>3570</v>
      </c>
      <c r="D197" s="28" t="s">
        <v>3570</v>
      </c>
    </row>
    <row r="198" spans="3:4">
      <c r="C198" s="28" t="s">
        <v>10929</v>
      </c>
      <c r="D198" s="28" t="s">
        <v>10929</v>
      </c>
    </row>
    <row r="199" spans="3:4">
      <c r="C199" s="28" t="s">
        <v>10930</v>
      </c>
      <c r="D199" s="28" t="s">
        <v>10930</v>
      </c>
    </row>
    <row r="200" spans="3:4">
      <c r="C200" s="28" t="s">
        <v>10931</v>
      </c>
      <c r="D200" s="28" t="s">
        <v>10931</v>
      </c>
    </row>
    <row r="201" spans="3:4">
      <c r="C201" s="28" t="s">
        <v>10932</v>
      </c>
      <c r="D201" s="28" t="s">
        <v>10932</v>
      </c>
    </row>
    <row r="202" spans="3:4">
      <c r="C202" s="28" t="s">
        <v>10933</v>
      </c>
      <c r="D202" s="28" t="s">
        <v>10933</v>
      </c>
    </row>
    <row r="203" spans="3:4">
      <c r="C203" s="28" t="s">
        <v>10934</v>
      </c>
      <c r="D203" s="28" t="s">
        <v>10934</v>
      </c>
    </row>
    <row r="204" spans="3:4">
      <c r="C204" s="28" t="s">
        <v>10935</v>
      </c>
      <c r="D204" s="28" t="s">
        <v>10935</v>
      </c>
    </row>
    <row r="205" spans="3:4">
      <c r="C205" s="28" t="s">
        <v>10936</v>
      </c>
      <c r="D205" s="28" t="s">
        <v>10936</v>
      </c>
    </row>
    <row r="206" spans="3:4">
      <c r="C206" s="28" t="s">
        <v>10937</v>
      </c>
      <c r="D206" s="28" t="s">
        <v>10937</v>
      </c>
    </row>
    <row r="207" spans="3:4">
      <c r="C207" s="28" t="s">
        <v>10938</v>
      </c>
      <c r="D207" s="28" t="s">
        <v>10938</v>
      </c>
    </row>
    <row r="208" spans="3:4">
      <c r="C208" s="28" t="s">
        <v>6281</v>
      </c>
      <c r="D208" s="28" t="s">
        <v>6281</v>
      </c>
    </row>
    <row r="209" spans="3:4">
      <c r="C209" s="28" t="s">
        <v>10939</v>
      </c>
      <c r="D209" s="28" t="s">
        <v>10939</v>
      </c>
    </row>
    <row r="210" spans="3:4">
      <c r="C210" s="28" t="s">
        <v>7086</v>
      </c>
      <c r="D210" s="28" t="s">
        <v>7086</v>
      </c>
    </row>
    <row r="211" spans="3:4">
      <c r="C211" s="28" t="s">
        <v>3593</v>
      </c>
      <c r="D211" s="28" t="s">
        <v>3593</v>
      </c>
    </row>
    <row r="212" spans="3:4">
      <c r="C212" s="28" t="s">
        <v>3135</v>
      </c>
      <c r="D212" s="28" t="s">
        <v>3135</v>
      </c>
    </row>
    <row r="213" spans="3:4">
      <c r="C213" s="28" t="s">
        <v>10940</v>
      </c>
      <c r="D213" s="28" t="s">
        <v>10940</v>
      </c>
    </row>
    <row r="214" spans="3:4">
      <c r="C214" s="28" t="s">
        <v>10941</v>
      </c>
      <c r="D214" s="28" t="s">
        <v>10941</v>
      </c>
    </row>
    <row r="215" spans="3:4">
      <c r="C215" s="28" t="s">
        <v>10942</v>
      </c>
      <c r="D215" s="28" t="s">
        <v>10942</v>
      </c>
    </row>
    <row r="216" spans="3:4">
      <c r="C216" s="28" t="s">
        <v>10943</v>
      </c>
      <c r="D216" s="28" t="s">
        <v>10943</v>
      </c>
    </row>
    <row r="217" spans="3:4">
      <c r="C217" s="28" t="s">
        <v>10944</v>
      </c>
      <c r="D217" s="28" t="s">
        <v>10944</v>
      </c>
    </row>
    <row r="218" spans="3:4">
      <c r="C218" s="28" t="s">
        <v>10945</v>
      </c>
      <c r="D218" s="28" t="s">
        <v>10945</v>
      </c>
    </row>
    <row r="219" spans="3:4">
      <c r="C219" s="28" t="s">
        <v>10946</v>
      </c>
      <c r="D219" s="28" t="s">
        <v>10946</v>
      </c>
    </row>
    <row r="220" spans="3:4">
      <c r="C220" s="28" t="s">
        <v>10947</v>
      </c>
      <c r="D220" s="28" t="s">
        <v>10947</v>
      </c>
    </row>
    <row r="221" spans="3:4">
      <c r="C221" s="28" t="s">
        <v>10948</v>
      </c>
      <c r="D221" s="28" t="s">
        <v>10948</v>
      </c>
    </row>
    <row r="222" spans="3:4">
      <c r="C222" s="28" t="s">
        <v>10949</v>
      </c>
      <c r="D222" s="28" t="s">
        <v>10949</v>
      </c>
    </row>
    <row r="223" spans="3:4">
      <c r="C223" s="28" t="s">
        <v>10950</v>
      </c>
      <c r="D223" s="28" t="s">
        <v>10950</v>
      </c>
    </row>
    <row r="224" spans="3:4">
      <c r="C224" s="28" t="s">
        <v>10951</v>
      </c>
      <c r="D224" s="28" t="s">
        <v>10951</v>
      </c>
    </row>
    <row r="225" spans="3:4">
      <c r="C225" s="28" t="s">
        <v>10429</v>
      </c>
      <c r="D225" s="28" t="s">
        <v>10429</v>
      </c>
    </row>
    <row r="226" spans="3:4">
      <c r="C226" s="28" t="s">
        <v>10558</v>
      </c>
      <c r="D226" s="28" t="s">
        <v>10558</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9CFC1-454E-4E83-9BE4-BD82DEBB058C}">
  <sheetPr>
    <tabColor theme="5" tint="0.59999389629810485"/>
  </sheetPr>
  <dimension ref="B2:D119"/>
  <sheetViews>
    <sheetView zoomScale="80" zoomScaleNormal="80" workbookViewId="0">
      <selection activeCell="B17" sqref="B17"/>
    </sheetView>
  </sheetViews>
  <sheetFormatPr defaultRowHeight="14.5"/>
  <cols>
    <col min="2" max="2" width="55.6328125" bestFit="1" customWidth="1"/>
    <col min="3" max="3" width="41.36328125" style="22" customWidth="1"/>
  </cols>
  <sheetData>
    <row r="2" spans="2:4">
      <c r="B2" s="63" t="s">
        <v>11156</v>
      </c>
      <c r="C2" s="63" t="s">
        <v>11157</v>
      </c>
      <c r="D2" s="63" t="s">
        <v>11158</v>
      </c>
    </row>
    <row r="3" spans="2:4">
      <c r="B3" s="28" t="s">
        <v>10500</v>
      </c>
      <c r="C3" s="35" t="s">
        <v>10501</v>
      </c>
      <c r="D3" s="38" t="s">
        <v>10536</v>
      </c>
    </row>
    <row r="4" spans="2:4">
      <c r="B4" s="28" t="s">
        <v>10500</v>
      </c>
      <c r="C4" s="35" t="s">
        <v>10501</v>
      </c>
      <c r="D4" s="38" t="s">
        <v>10556</v>
      </c>
    </row>
    <row r="5" spans="2:4">
      <c r="B5" s="28" t="s">
        <v>10500</v>
      </c>
      <c r="C5" s="35" t="s">
        <v>10501</v>
      </c>
      <c r="D5" s="38" t="s">
        <v>10572</v>
      </c>
    </row>
    <row r="6" spans="2:4">
      <c r="B6" s="28" t="s">
        <v>10500</v>
      </c>
      <c r="C6" s="35" t="s">
        <v>10501</v>
      </c>
      <c r="D6" s="38" t="s">
        <v>10586</v>
      </c>
    </row>
    <row r="7" spans="2:4">
      <c r="B7" s="28" t="s">
        <v>10500</v>
      </c>
      <c r="C7" s="35" t="s">
        <v>10501</v>
      </c>
      <c r="D7" s="38" t="s">
        <v>10597</v>
      </c>
    </row>
    <row r="8" spans="2:4">
      <c r="B8" s="28" t="s">
        <v>10500</v>
      </c>
      <c r="C8" s="35" t="s">
        <v>10501</v>
      </c>
      <c r="D8" s="38" t="s">
        <v>10604</v>
      </c>
    </row>
    <row r="9" spans="2:4">
      <c r="B9" s="28" t="s">
        <v>10500</v>
      </c>
      <c r="C9" s="35" t="s">
        <v>10501</v>
      </c>
      <c r="D9" s="38" t="s">
        <v>10612</v>
      </c>
    </row>
    <row r="10" spans="2:4">
      <c r="B10" s="28" t="s">
        <v>10500</v>
      </c>
      <c r="C10" s="35" t="s">
        <v>10501</v>
      </c>
      <c r="D10" s="40" t="s">
        <v>10620</v>
      </c>
    </row>
    <row r="11" spans="2:4">
      <c r="B11" s="28" t="s">
        <v>10500</v>
      </c>
      <c r="C11" s="41" t="s">
        <v>10517</v>
      </c>
      <c r="D11" s="38" t="s">
        <v>10633</v>
      </c>
    </row>
    <row r="12" spans="2:4">
      <c r="B12" s="28" t="s">
        <v>10500</v>
      </c>
      <c r="C12" s="41" t="s">
        <v>10517</v>
      </c>
      <c r="D12" s="38" t="s">
        <v>10623</v>
      </c>
    </row>
    <row r="13" spans="2:4">
      <c r="B13" s="28" t="s">
        <v>10500</v>
      </c>
      <c r="C13" s="41" t="s">
        <v>10517</v>
      </c>
      <c r="D13" s="38" t="s">
        <v>10645</v>
      </c>
    </row>
    <row r="14" spans="2:4">
      <c r="B14" s="28" t="s">
        <v>10500</v>
      </c>
      <c r="C14" s="41" t="s">
        <v>10517</v>
      </c>
      <c r="D14" s="40" t="s">
        <v>10650</v>
      </c>
    </row>
    <row r="15" spans="2:4">
      <c r="B15" s="28" t="s">
        <v>10500</v>
      </c>
      <c r="C15" s="41" t="s">
        <v>10537</v>
      </c>
      <c r="D15" s="38" t="s">
        <v>10657</v>
      </c>
    </row>
    <row r="16" spans="2:4">
      <c r="B16" s="28" t="s">
        <v>10500</v>
      </c>
      <c r="C16" s="41" t="s">
        <v>10537</v>
      </c>
      <c r="D16" s="38" t="s">
        <v>10662</v>
      </c>
    </row>
    <row r="17" spans="2:4">
      <c r="B17" s="28" t="s">
        <v>10500</v>
      </c>
      <c r="C17" s="41" t="s">
        <v>10537</v>
      </c>
      <c r="D17" s="38" t="s">
        <v>10666</v>
      </c>
    </row>
    <row r="18" spans="2:4">
      <c r="B18" s="28" t="s">
        <v>10500</v>
      </c>
      <c r="C18" s="41" t="s">
        <v>10537</v>
      </c>
      <c r="D18" s="38" t="s">
        <v>10568</v>
      </c>
    </row>
    <row r="19" spans="2:4">
      <c r="B19" s="28" t="s">
        <v>10500</v>
      </c>
      <c r="C19" s="41" t="s">
        <v>10537</v>
      </c>
      <c r="D19" s="38" t="s">
        <v>10675</v>
      </c>
    </row>
    <row r="20" spans="2:4">
      <c r="B20" s="28" t="s">
        <v>10500</v>
      </c>
      <c r="C20" s="41" t="s">
        <v>10537</v>
      </c>
      <c r="D20" s="40" t="s">
        <v>10680</v>
      </c>
    </row>
    <row r="21" spans="2:4">
      <c r="B21" s="28" t="s">
        <v>10500</v>
      </c>
      <c r="C21" s="41" t="s">
        <v>10557</v>
      </c>
      <c r="D21" s="38" t="s">
        <v>10647</v>
      </c>
    </row>
    <row r="22" spans="2:4">
      <c r="B22" s="28" t="s">
        <v>10500</v>
      </c>
      <c r="C22" s="41" t="s">
        <v>10557</v>
      </c>
      <c r="D22" s="38" t="s">
        <v>10641</v>
      </c>
    </row>
    <row r="23" spans="2:4">
      <c r="B23" s="28" t="s">
        <v>10500</v>
      </c>
      <c r="C23" s="41" t="s">
        <v>10557</v>
      </c>
      <c r="D23" s="38" t="s">
        <v>10654</v>
      </c>
    </row>
    <row r="24" spans="2:4">
      <c r="B24" s="28" t="s">
        <v>10500</v>
      </c>
      <c r="C24" s="41" t="s">
        <v>10557</v>
      </c>
      <c r="D24" s="38" t="s">
        <v>10694</v>
      </c>
    </row>
    <row r="25" spans="2:4">
      <c r="B25" s="28" t="s">
        <v>10500</v>
      </c>
      <c r="C25" s="41" t="s">
        <v>10557</v>
      </c>
      <c r="D25" s="40" t="s">
        <v>10698</v>
      </c>
    </row>
    <row r="26" spans="2:4">
      <c r="B26" s="28" t="s">
        <v>10518</v>
      </c>
      <c r="C26" s="45" t="s">
        <v>10573</v>
      </c>
      <c r="D26" s="46" t="s">
        <v>10706</v>
      </c>
    </row>
    <row r="27" spans="2:4">
      <c r="B27" s="28" t="s">
        <v>10518</v>
      </c>
      <c r="C27" s="45" t="s">
        <v>10573</v>
      </c>
      <c r="D27" s="46" t="s">
        <v>10709</v>
      </c>
    </row>
    <row r="28" spans="2:4">
      <c r="B28" s="28" t="s">
        <v>10518</v>
      </c>
      <c r="C28" s="45" t="s">
        <v>10573</v>
      </c>
      <c r="D28" s="46" t="s">
        <v>10712</v>
      </c>
    </row>
    <row r="29" spans="2:4">
      <c r="B29" s="28" t="s">
        <v>10518</v>
      </c>
      <c r="C29" s="45" t="s">
        <v>10573</v>
      </c>
      <c r="D29" s="46" t="s">
        <v>10715</v>
      </c>
    </row>
    <row r="30" spans="2:4">
      <c r="B30" s="28" t="s">
        <v>10518</v>
      </c>
      <c r="C30" s="45" t="s">
        <v>10573</v>
      </c>
      <c r="D30" s="46" t="s">
        <v>10993</v>
      </c>
    </row>
    <row r="31" spans="2:4">
      <c r="B31" s="28" t="s">
        <v>10518</v>
      </c>
      <c r="C31" s="45" t="s">
        <v>10573</v>
      </c>
      <c r="D31" s="46" t="s">
        <v>10718</v>
      </c>
    </row>
    <row r="32" spans="2:4">
      <c r="B32" s="28" t="s">
        <v>10518</v>
      </c>
      <c r="C32" s="45" t="s">
        <v>10573</v>
      </c>
      <c r="D32" s="46" t="s">
        <v>10720</v>
      </c>
    </row>
    <row r="33" spans="2:4">
      <c r="B33" s="28" t="s">
        <v>10518</v>
      </c>
      <c r="C33" s="45" t="s">
        <v>10573</v>
      </c>
      <c r="D33" s="46" t="s">
        <v>10722</v>
      </c>
    </row>
    <row r="34" spans="2:4">
      <c r="B34" s="28" t="s">
        <v>10518</v>
      </c>
      <c r="C34" s="45" t="s">
        <v>10573</v>
      </c>
      <c r="D34" s="46" t="s">
        <v>10724</v>
      </c>
    </row>
    <row r="35" spans="2:4">
      <c r="B35" s="28" t="s">
        <v>10518</v>
      </c>
      <c r="C35" s="45" t="s">
        <v>10573</v>
      </c>
      <c r="D35" s="46" t="s">
        <v>10725</v>
      </c>
    </row>
    <row r="36" spans="2:4">
      <c r="B36" s="28" t="s">
        <v>10518</v>
      </c>
      <c r="C36" s="45" t="s">
        <v>10573</v>
      </c>
      <c r="D36" s="46" t="s">
        <v>10726</v>
      </c>
    </row>
    <row r="37" spans="2:4">
      <c r="B37" s="28" t="s">
        <v>10518</v>
      </c>
      <c r="C37" s="45" t="s">
        <v>10573</v>
      </c>
      <c r="D37" s="46" t="s">
        <v>10728</v>
      </c>
    </row>
    <row r="38" spans="2:4">
      <c r="B38" s="28" t="s">
        <v>10518</v>
      </c>
      <c r="C38" s="45" t="s">
        <v>10573</v>
      </c>
      <c r="D38" s="46" t="s">
        <v>10730</v>
      </c>
    </row>
    <row r="39" spans="2:4">
      <c r="B39" s="28" t="s">
        <v>10518</v>
      </c>
      <c r="C39" s="45" t="s">
        <v>10573</v>
      </c>
      <c r="D39" s="46" t="s">
        <v>10731</v>
      </c>
    </row>
    <row r="40" spans="2:4">
      <c r="B40" s="28" t="s">
        <v>10518</v>
      </c>
      <c r="C40" s="45" t="s">
        <v>10573</v>
      </c>
      <c r="D40" s="46" t="s">
        <v>10733</v>
      </c>
    </row>
    <row r="41" spans="2:4">
      <c r="B41" s="28" t="s">
        <v>10518</v>
      </c>
      <c r="C41" s="45" t="s">
        <v>10573</v>
      </c>
      <c r="D41" s="46" t="s">
        <v>10735</v>
      </c>
    </row>
    <row r="42" spans="2:4">
      <c r="B42" s="28" t="s">
        <v>10518</v>
      </c>
      <c r="C42" s="45" t="s">
        <v>10573</v>
      </c>
      <c r="D42" s="46" t="s">
        <v>10737</v>
      </c>
    </row>
    <row r="43" spans="2:4">
      <c r="B43" s="28" t="s">
        <v>10518</v>
      </c>
      <c r="C43" s="45" t="s">
        <v>10573</v>
      </c>
      <c r="D43" s="46" t="s">
        <v>10739</v>
      </c>
    </row>
    <row r="44" spans="2:4">
      <c r="B44" s="28" t="s">
        <v>10518</v>
      </c>
      <c r="C44" s="45" t="s">
        <v>10573</v>
      </c>
      <c r="D44" s="46" t="s">
        <v>10741</v>
      </c>
    </row>
    <row r="45" spans="2:4">
      <c r="B45" s="28" t="s">
        <v>10518</v>
      </c>
      <c r="C45" s="35" t="s">
        <v>10587</v>
      </c>
      <c r="D45" s="46" t="s">
        <v>10744</v>
      </c>
    </row>
    <row r="46" spans="2:4">
      <c r="B46" s="28" t="s">
        <v>10518</v>
      </c>
      <c r="C46" s="35" t="s">
        <v>10587</v>
      </c>
      <c r="D46" s="46" t="s">
        <v>10746</v>
      </c>
    </row>
    <row r="47" spans="2:4">
      <c r="B47" s="28" t="s">
        <v>10518</v>
      </c>
      <c r="C47" s="35" t="s">
        <v>10587</v>
      </c>
      <c r="D47" s="46" t="s">
        <v>10963</v>
      </c>
    </row>
    <row r="48" spans="2:4">
      <c r="B48" s="28" t="s">
        <v>10518</v>
      </c>
      <c r="C48" s="35" t="s">
        <v>10587</v>
      </c>
      <c r="D48" s="46" t="s">
        <v>10748</v>
      </c>
    </row>
    <row r="49" spans="2:4">
      <c r="B49" s="28" t="s">
        <v>10518</v>
      </c>
      <c r="C49" s="35" t="s">
        <v>10587</v>
      </c>
      <c r="D49" s="46" t="s">
        <v>10750</v>
      </c>
    </row>
    <row r="50" spans="2:4">
      <c r="B50" s="28" t="s">
        <v>10518</v>
      </c>
      <c r="C50" s="35" t="s">
        <v>10587</v>
      </c>
      <c r="D50" s="46" t="s">
        <v>10752</v>
      </c>
    </row>
    <row r="51" spans="2:4">
      <c r="B51" s="28" t="s">
        <v>10518</v>
      </c>
      <c r="C51" s="35" t="s">
        <v>10587</v>
      </c>
      <c r="D51" s="46" t="s">
        <v>10754</v>
      </c>
    </row>
    <row r="52" spans="2:4">
      <c r="B52" s="28" t="s">
        <v>10518</v>
      </c>
      <c r="C52" s="35" t="s">
        <v>10587</v>
      </c>
      <c r="D52" s="46" t="s">
        <v>10756</v>
      </c>
    </row>
    <row r="53" spans="2:4">
      <c r="B53" s="28" t="s">
        <v>10518</v>
      </c>
      <c r="C53" s="35" t="s">
        <v>10598</v>
      </c>
      <c r="D53" s="46" t="s">
        <v>10759</v>
      </c>
    </row>
    <row r="54" spans="2:4">
      <c r="B54" s="28" t="s">
        <v>10518</v>
      </c>
      <c r="C54" s="35" t="s">
        <v>10598</v>
      </c>
      <c r="D54" s="46" t="s">
        <v>10761</v>
      </c>
    </row>
    <row r="55" spans="2:4">
      <c r="B55" s="28" t="s">
        <v>10518</v>
      </c>
      <c r="C55" s="35" t="s">
        <v>10598</v>
      </c>
      <c r="D55" s="46" t="s">
        <v>10763</v>
      </c>
    </row>
    <row r="56" spans="2:4">
      <c r="B56" s="28" t="s">
        <v>10518</v>
      </c>
      <c r="C56" s="35" t="s">
        <v>10598</v>
      </c>
      <c r="D56" s="46" t="s">
        <v>10765</v>
      </c>
    </row>
    <row r="57" spans="2:4">
      <c r="B57" s="28" t="s">
        <v>10518</v>
      </c>
      <c r="C57" s="35" t="s">
        <v>10598</v>
      </c>
      <c r="D57" s="46" t="s">
        <v>10766</v>
      </c>
    </row>
    <row r="58" spans="2:4">
      <c r="B58" s="28" t="s">
        <v>10518</v>
      </c>
      <c r="C58" s="35" t="s">
        <v>10598</v>
      </c>
      <c r="D58" s="46" t="s">
        <v>10961</v>
      </c>
    </row>
    <row r="59" spans="2:4">
      <c r="B59" s="28" t="s">
        <v>10518</v>
      </c>
      <c r="C59" s="35" t="s">
        <v>10598</v>
      </c>
      <c r="D59" s="46" t="s">
        <v>10768</v>
      </c>
    </row>
    <row r="60" spans="2:4">
      <c r="B60" s="28" t="s">
        <v>10518</v>
      </c>
      <c r="C60" s="35" t="s">
        <v>10598</v>
      </c>
      <c r="D60" s="46" t="s">
        <v>10770</v>
      </c>
    </row>
    <row r="61" spans="2:4">
      <c r="B61" s="28" t="s">
        <v>10518</v>
      </c>
      <c r="C61" s="35" t="s">
        <v>10598</v>
      </c>
      <c r="D61" s="46" t="s">
        <v>10772</v>
      </c>
    </row>
    <row r="62" spans="2:4">
      <c r="B62" s="28" t="s">
        <v>10518</v>
      </c>
      <c r="C62" s="35" t="s">
        <v>10598</v>
      </c>
      <c r="D62" s="46" t="s">
        <v>10774</v>
      </c>
    </row>
    <row r="63" spans="2:4">
      <c r="B63" s="28" t="s">
        <v>10518</v>
      </c>
      <c r="C63" s="35" t="s">
        <v>10598</v>
      </c>
      <c r="D63" s="46" t="s">
        <v>10776</v>
      </c>
    </row>
    <row r="64" spans="2:4">
      <c r="B64" s="28" t="s">
        <v>10518</v>
      </c>
      <c r="C64" s="35" t="s">
        <v>10598</v>
      </c>
      <c r="D64" s="46" t="s">
        <v>10778</v>
      </c>
    </row>
    <row r="65" spans="2:4">
      <c r="B65" s="28" t="s">
        <v>10518</v>
      </c>
      <c r="C65" s="35" t="s">
        <v>10598</v>
      </c>
      <c r="D65" s="46" t="s">
        <v>10780</v>
      </c>
    </row>
    <row r="66" spans="2:4">
      <c r="B66" s="28" t="s">
        <v>10518</v>
      </c>
      <c r="C66" s="35" t="s">
        <v>10598</v>
      </c>
      <c r="D66" s="46" t="s">
        <v>10782</v>
      </c>
    </row>
    <row r="67" spans="2:4">
      <c r="B67" s="28" t="s">
        <v>10518</v>
      </c>
      <c r="C67" s="35" t="s">
        <v>10598</v>
      </c>
      <c r="D67" s="46" t="s">
        <v>10784</v>
      </c>
    </row>
    <row r="68" spans="2:4">
      <c r="B68" s="28" t="s">
        <v>10518</v>
      </c>
      <c r="C68" s="35" t="s">
        <v>10598</v>
      </c>
      <c r="D68" s="46" t="s">
        <v>10786</v>
      </c>
    </row>
    <row r="69" spans="2:4">
      <c r="B69" s="28" t="s">
        <v>10518</v>
      </c>
      <c r="C69" s="35" t="s">
        <v>10598</v>
      </c>
      <c r="D69" s="46" t="s">
        <v>10741</v>
      </c>
    </row>
    <row r="70" spans="2:4">
      <c r="B70" s="28" t="s">
        <v>10518</v>
      </c>
      <c r="C70" s="35" t="s">
        <v>10598</v>
      </c>
      <c r="D70" s="46" t="s">
        <v>10789</v>
      </c>
    </row>
    <row r="71" spans="2:4">
      <c r="B71" s="28" t="s">
        <v>10518</v>
      </c>
      <c r="C71" s="35" t="s">
        <v>10598</v>
      </c>
      <c r="D71" s="46" t="s">
        <v>10791</v>
      </c>
    </row>
    <row r="72" spans="2:4">
      <c r="B72" s="28" t="s">
        <v>10518</v>
      </c>
      <c r="C72" s="35" t="s">
        <v>10598</v>
      </c>
      <c r="D72" s="46" t="s">
        <v>10793</v>
      </c>
    </row>
    <row r="73" spans="2:4">
      <c r="B73" s="28" t="s">
        <v>10518</v>
      </c>
      <c r="C73" s="35" t="s">
        <v>10598</v>
      </c>
      <c r="D73" s="46" t="s">
        <v>10794</v>
      </c>
    </row>
    <row r="74" spans="2:4">
      <c r="B74" s="28" t="s">
        <v>10518</v>
      </c>
      <c r="C74" s="35" t="s">
        <v>10598</v>
      </c>
      <c r="D74" s="46" t="s">
        <v>10796</v>
      </c>
    </row>
    <row r="75" spans="2:4">
      <c r="B75" s="28" t="s">
        <v>10518</v>
      </c>
      <c r="C75" s="35" t="s">
        <v>10605</v>
      </c>
      <c r="D75" s="46" t="s">
        <v>10798</v>
      </c>
    </row>
    <row r="76" spans="2:4">
      <c r="B76" s="28" t="s">
        <v>10518</v>
      </c>
      <c r="C76" s="35" t="s">
        <v>10605</v>
      </c>
      <c r="D76" s="46" t="s">
        <v>10800</v>
      </c>
    </row>
    <row r="77" spans="2:4">
      <c r="B77" s="28" t="s">
        <v>10518</v>
      </c>
      <c r="C77" s="35" t="s">
        <v>10605</v>
      </c>
      <c r="D77" s="46" t="s">
        <v>10802</v>
      </c>
    </row>
    <row r="78" spans="2:4">
      <c r="B78" s="28" t="s">
        <v>10518</v>
      </c>
      <c r="C78" s="35" t="s">
        <v>10605</v>
      </c>
      <c r="D78" s="46" t="s">
        <v>10804</v>
      </c>
    </row>
    <row r="79" spans="2:4">
      <c r="B79" s="28" t="s">
        <v>10518</v>
      </c>
      <c r="C79" s="35" t="s">
        <v>10605</v>
      </c>
      <c r="D79" s="46" t="s">
        <v>10805</v>
      </c>
    </row>
    <row r="80" spans="2:4">
      <c r="B80" s="28" t="s">
        <v>10518</v>
      </c>
      <c r="C80" s="35" t="s">
        <v>10605</v>
      </c>
      <c r="D80" s="46" t="s">
        <v>10807</v>
      </c>
    </row>
    <row r="81" spans="2:4">
      <c r="B81" s="28" t="s">
        <v>10518</v>
      </c>
      <c r="C81" s="35" t="s">
        <v>10605</v>
      </c>
      <c r="D81" s="46" t="s">
        <v>10809</v>
      </c>
    </row>
    <row r="82" spans="2:4">
      <c r="B82" s="28" t="s">
        <v>10518</v>
      </c>
      <c r="C82" s="35" t="s">
        <v>10605</v>
      </c>
      <c r="D82" s="46" t="s">
        <v>10811</v>
      </c>
    </row>
    <row r="83" spans="2:4">
      <c r="B83" s="28" t="s">
        <v>10518</v>
      </c>
      <c r="C83" s="35" t="s">
        <v>10605</v>
      </c>
      <c r="D83" s="46" t="s">
        <v>10813</v>
      </c>
    </row>
    <row r="84" spans="2:4">
      <c r="B84" s="28" t="s">
        <v>10518</v>
      </c>
      <c r="C84" s="35" t="s">
        <v>10605</v>
      </c>
      <c r="D84" s="46" t="s">
        <v>10815</v>
      </c>
    </row>
    <row r="85" spans="2:4">
      <c r="B85" s="28" t="s">
        <v>10518</v>
      </c>
      <c r="C85" s="35" t="s">
        <v>10605</v>
      </c>
      <c r="D85" s="46" t="s">
        <v>10817</v>
      </c>
    </row>
    <row r="86" spans="2:4">
      <c r="B86" s="28" t="s">
        <v>10518</v>
      </c>
      <c r="C86" s="35" t="s">
        <v>10605</v>
      </c>
      <c r="D86" s="46" t="s">
        <v>10965</v>
      </c>
    </row>
    <row r="87" spans="2:4">
      <c r="B87" s="28" t="s">
        <v>10518</v>
      </c>
      <c r="C87" s="35" t="s">
        <v>10605</v>
      </c>
      <c r="D87" s="46" t="s">
        <v>10818</v>
      </c>
    </row>
    <row r="88" spans="2:4">
      <c r="B88" s="28" t="s">
        <v>10518</v>
      </c>
      <c r="C88" s="35" t="s">
        <v>10605</v>
      </c>
      <c r="D88" s="46" t="s">
        <v>10819</v>
      </c>
    </row>
    <row r="89" spans="2:4">
      <c r="B89" s="28" t="s">
        <v>10518</v>
      </c>
      <c r="C89" s="35" t="s">
        <v>10605</v>
      </c>
      <c r="D89" s="46" t="s">
        <v>10966</v>
      </c>
    </row>
    <row r="90" spans="2:4">
      <c r="B90" s="28" t="s">
        <v>10518</v>
      </c>
      <c r="C90" s="35" t="s">
        <v>10605</v>
      </c>
      <c r="D90" s="206" t="s">
        <v>10821</v>
      </c>
    </row>
    <row r="91" spans="2:4">
      <c r="B91" s="28" t="s">
        <v>10518</v>
      </c>
      <c r="C91" s="41" t="s">
        <v>10613</v>
      </c>
      <c r="D91" s="46" t="s">
        <v>10824</v>
      </c>
    </row>
    <row r="92" spans="2:4">
      <c r="B92" s="28" t="s">
        <v>10518</v>
      </c>
      <c r="C92" s="41" t="s">
        <v>10613</v>
      </c>
      <c r="D92" s="46" t="s">
        <v>10825</v>
      </c>
    </row>
    <row r="93" spans="2:4">
      <c r="B93" s="28" t="s">
        <v>10518</v>
      </c>
      <c r="C93" s="41" t="s">
        <v>10613</v>
      </c>
      <c r="D93" s="46" t="s">
        <v>10827</v>
      </c>
    </row>
    <row r="94" spans="2:4">
      <c r="B94" s="28" t="s">
        <v>10518</v>
      </c>
      <c r="C94" s="41" t="s">
        <v>10613</v>
      </c>
      <c r="D94" s="46" t="s">
        <v>10828</v>
      </c>
    </row>
    <row r="95" spans="2:4">
      <c r="B95" s="28" t="s">
        <v>10518</v>
      </c>
      <c r="C95" s="41" t="s">
        <v>10613</v>
      </c>
      <c r="D95" s="46" t="s">
        <v>10830</v>
      </c>
    </row>
    <row r="96" spans="2:4">
      <c r="B96" s="28" t="s">
        <v>10518</v>
      </c>
      <c r="C96" s="41" t="s">
        <v>10613</v>
      </c>
      <c r="D96" s="46" t="s">
        <v>10831</v>
      </c>
    </row>
    <row r="97" spans="2:4">
      <c r="B97" s="28" t="s">
        <v>10518</v>
      </c>
      <c r="C97" s="41" t="s">
        <v>10613</v>
      </c>
      <c r="D97" s="46" t="s">
        <v>10833</v>
      </c>
    </row>
    <row r="98" spans="2:4">
      <c r="B98" s="28" t="s">
        <v>10518</v>
      </c>
      <c r="C98" s="41" t="s">
        <v>10613</v>
      </c>
      <c r="D98" s="46" t="s">
        <v>10834</v>
      </c>
    </row>
    <row r="99" spans="2:4">
      <c r="B99" s="28" t="s">
        <v>10518</v>
      </c>
      <c r="C99" s="41" t="s">
        <v>10613</v>
      </c>
      <c r="D99" s="46" t="s">
        <v>10836</v>
      </c>
    </row>
    <row r="100" spans="2:4">
      <c r="B100" s="28" t="s">
        <v>10518</v>
      </c>
      <c r="C100" s="41" t="s">
        <v>10613</v>
      </c>
      <c r="D100" s="46" t="s">
        <v>10833</v>
      </c>
    </row>
    <row r="101" spans="2:4">
      <c r="B101" s="28" t="s">
        <v>10518</v>
      </c>
      <c r="C101" s="41" t="s">
        <v>10613</v>
      </c>
      <c r="D101" s="46" t="s">
        <v>10839</v>
      </c>
    </row>
    <row r="102" spans="2:4">
      <c r="B102" s="28" t="s">
        <v>10518</v>
      </c>
      <c r="C102" s="35" t="s">
        <v>10621</v>
      </c>
      <c r="D102" s="46" t="s">
        <v>10842</v>
      </c>
    </row>
    <row r="103" spans="2:4">
      <c r="B103" s="28" t="s">
        <v>10518</v>
      </c>
      <c r="C103" s="35" t="s">
        <v>10621</v>
      </c>
      <c r="D103" s="46" t="s">
        <v>10844</v>
      </c>
    </row>
    <row r="104" spans="2:4">
      <c r="B104" s="28" t="s">
        <v>10518</v>
      </c>
      <c r="C104" s="35" t="s">
        <v>10621</v>
      </c>
      <c r="D104" s="46" t="s">
        <v>10846</v>
      </c>
    </row>
    <row r="105" spans="2:4">
      <c r="B105" s="28" t="s">
        <v>10518</v>
      </c>
      <c r="C105" s="35" t="s">
        <v>10621</v>
      </c>
      <c r="D105" s="46" t="s">
        <v>10848</v>
      </c>
    </row>
    <row r="106" spans="2:4">
      <c r="B106" s="28" t="s">
        <v>10518</v>
      </c>
      <c r="C106" s="35" t="s">
        <v>10621</v>
      </c>
      <c r="D106" s="46" t="s">
        <v>10850</v>
      </c>
    </row>
    <row r="107" spans="2:4">
      <c r="B107" s="28" t="s">
        <v>10518</v>
      </c>
      <c r="C107" s="35" t="s">
        <v>10621</v>
      </c>
      <c r="D107" s="46" t="s">
        <v>10852</v>
      </c>
    </row>
    <row r="108" spans="2:4">
      <c r="B108" s="28" t="s">
        <v>10538</v>
      </c>
      <c r="C108" s="41" t="s">
        <v>10855</v>
      </c>
      <c r="D108" s="38" t="s">
        <v>10857</v>
      </c>
    </row>
    <row r="109" spans="2:4">
      <c r="B109" s="28" t="s">
        <v>10538</v>
      </c>
      <c r="C109" s="41" t="s">
        <v>10855</v>
      </c>
      <c r="D109" s="38" t="s">
        <v>10859</v>
      </c>
    </row>
    <row r="110" spans="2:4">
      <c r="B110" s="28" t="s">
        <v>10538</v>
      </c>
      <c r="C110" s="41" t="s">
        <v>10855</v>
      </c>
      <c r="D110" s="38" t="s">
        <v>10861</v>
      </c>
    </row>
    <row r="111" spans="2:4">
      <c r="B111" s="28" t="s">
        <v>10538</v>
      </c>
      <c r="C111" s="41" t="s">
        <v>10855</v>
      </c>
      <c r="D111" s="38" t="s">
        <v>10862</v>
      </c>
    </row>
    <row r="112" spans="2:4">
      <c r="B112" s="28" t="s">
        <v>10538</v>
      </c>
      <c r="C112" s="41" t="s">
        <v>10855</v>
      </c>
      <c r="D112" s="38" t="s">
        <v>10864</v>
      </c>
    </row>
    <row r="113" spans="2:4">
      <c r="B113" s="28" t="s">
        <v>10538</v>
      </c>
      <c r="C113" s="41" t="s">
        <v>10855</v>
      </c>
      <c r="D113" s="38" t="s">
        <v>10865</v>
      </c>
    </row>
    <row r="114" spans="2:4">
      <c r="B114" s="28" t="s">
        <v>10538</v>
      </c>
      <c r="C114" s="45" t="s">
        <v>10634</v>
      </c>
      <c r="D114" s="38" t="s">
        <v>10868</v>
      </c>
    </row>
    <row r="115" spans="2:4">
      <c r="B115" s="28" t="s">
        <v>10538</v>
      </c>
      <c r="C115" s="45" t="s">
        <v>10634</v>
      </c>
      <c r="D115" s="38" t="s">
        <v>10870</v>
      </c>
    </row>
    <row r="116" spans="2:4">
      <c r="B116" s="28" t="s">
        <v>10538</v>
      </c>
      <c r="C116" s="45" t="s">
        <v>10634</v>
      </c>
      <c r="D116" s="38" t="s">
        <v>10872</v>
      </c>
    </row>
    <row r="117" spans="2:4">
      <c r="B117" s="28" t="s">
        <v>10538</v>
      </c>
      <c r="C117" s="41" t="s">
        <v>10639</v>
      </c>
      <c r="D117" s="41" t="s">
        <v>10639</v>
      </c>
    </row>
    <row r="118" spans="2:4">
      <c r="B118" s="28" t="s">
        <v>10538</v>
      </c>
      <c r="C118" s="41" t="s">
        <v>10639</v>
      </c>
      <c r="D118" s="40" t="s">
        <v>10874</v>
      </c>
    </row>
    <row r="119" spans="2:4">
      <c r="B119" s="205" t="s">
        <v>10558</v>
      </c>
      <c r="C119" s="28" t="s">
        <v>10558</v>
      </c>
      <c r="D119" s="28" t="s">
        <v>10558</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5F5CF-7346-4FDB-8DBA-AD8FD7F7A256}">
  <sheetPr>
    <tabColor theme="5" tint="0.59999389629810485"/>
  </sheetPr>
  <dimension ref="B1:Z79"/>
  <sheetViews>
    <sheetView topLeftCell="A23" zoomScale="70" zoomScaleNormal="70" workbookViewId="0">
      <selection activeCell="C40" sqref="C40"/>
    </sheetView>
  </sheetViews>
  <sheetFormatPr defaultRowHeight="14.5"/>
  <cols>
    <col min="2" max="2" width="34.54296875" customWidth="1"/>
  </cols>
  <sheetData>
    <row r="1" spans="2:26">
      <c r="B1" s="63" t="s">
        <v>11146</v>
      </c>
    </row>
    <row r="2" spans="2:26">
      <c r="B2" t="s">
        <v>11147</v>
      </c>
    </row>
    <row r="3" spans="2:26" s="22" customFormat="1">
      <c r="C3" s="132" t="s">
        <v>11585</v>
      </c>
      <c r="P3" s="132" t="s">
        <v>11586</v>
      </c>
    </row>
    <row r="4" spans="2:26">
      <c r="C4" s="132" t="s">
        <v>11151</v>
      </c>
      <c r="P4" s="132" t="s">
        <v>11151</v>
      </c>
      <c r="Q4" s="22"/>
      <c r="R4" s="22"/>
      <c r="S4" s="22"/>
      <c r="T4" s="22"/>
      <c r="U4" s="22"/>
      <c r="V4" s="22"/>
      <c r="W4" s="22"/>
      <c r="X4" s="22"/>
      <c r="Y4" s="22"/>
      <c r="Z4" s="22"/>
    </row>
    <row r="5" spans="2:26">
      <c r="B5" s="63"/>
      <c r="C5" s="63">
        <v>2010</v>
      </c>
      <c r="D5" s="63">
        <v>2011</v>
      </c>
      <c r="E5" s="63">
        <v>2012</v>
      </c>
      <c r="F5" s="63">
        <v>2013</v>
      </c>
      <c r="G5" s="63">
        <v>2014</v>
      </c>
      <c r="H5" s="63">
        <v>2015</v>
      </c>
      <c r="I5" s="63">
        <v>2016</v>
      </c>
      <c r="J5" s="63">
        <v>2017</v>
      </c>
      <c r="K5" s="63">
        <v>2018</v>
      </c>
      <c r="L5" s="63">
        <v>2019</v>
      </c>
      <c r="M5" s="63" t="s">
        <v>11150</v>
      </c>
      <c r="P5" s="63">
        <v>2010</v>
      </c>
      <c r="Q5" s="63">
        <v>2011</v>
      </c>
      <c r="R5" s="63">
        <v>2012</v>
      </c>
      <c r="S5" s="63">
        <v>2013</v>
      </c>
      <c r="T5" s="63">
        <v>2014</v>
      </c>
      <c r="U5" s="63">
        <v>2015</v>
      </c>
      <c r="V5" s="63">
        <v>2016</v>
      </c>
      <c r="W5" s="63">
        <v>2017</v>
      </c>
      <c r="X5" s="63">
        <v>2018</v>
      </c>
      <c r="Y5" s="63">
        <v>2019</v>
      </c>
      <c r="Z5" s="63" t="s">
        <v>11150</v>
      </c>
    </row>
    <row r="6" spans="2:26">
      <c r="B6" t="s">
        <v>3994</v>
      </c>
      <c r="C6">
        <v>100</v>
      </c>
      <c r="D6">
        <v>108.73357790025646</v>
      </c>
      <c r="E6">
        <v>117.36092237438145</v>
      </c>
      <c r="F6">
        <v>124.62146053248888</v>
      </c>
      <c r="G6">
        <v>128.77354466392322</v>
      </c>
      <c r="H6">
        <v>131.70905169372477</v>
      </c>
      <c r="I6">
        <v>135.97375702538034</v>
      </c>
      <c r="J6">
        <v>141.11098032990623</v>
      </c>
      <c r="K6">
        <v>147.53935363936216</v>
      </c>
      <c r="L6">
        <v>150.94883975306473</v>
      </c>
      <c r="M6" s="22">
        <v>935181385</v>
      </c>
      <c r="P6" s="123">
        <f t="shared" ref="P6:W6" si="0">(C6/$L6)*$Y6</f>
        <v>66.247610888290836</v>
      </c>
      <c r="Q6" s="123">
        <f t="shared" si="0"/>
        <v>72.033397592278504</v>
      </c>
      <c r="R6" s="123">
        <f t="shared" si="0"/>
        <v>77.748807189489284</v>
      </c>
      <c r="S6" s="123">
        <f t="shared" si="0"/>
        <v>82.558740256868177</v>
      </c>
      <c r="T6" s="123">
        <f t="shared" si="0"/>
        <v>85.309396796015264</v>
      </c>
      <c r="U6" s="123">
        <f t="shared" si="0"/>
        <v>87.254100070716618</v>
      </c>
      <c r="V6" s="123">
        <f t="shared" si="0"/>
        <v>90.079365464363988</v>
      </c>
      <c r="W6" s="123">
        <f t="shared" si="0"/>
        <v>93.482653169608895</v>
      </c>
      <c r="X6" s="123">
        <f>(K6/$L6)*$Y6</f>
        <v>97.741296906104012</v>
      </c>
      <c r="Y6">
        <v>100</v>
      </c>
      <c r="Z6" s="22">
        <v>935181385</v>
      </c>
    </row>
    <row r="7" spans="2:26">
      <c r="B7" t="s">
        <v>5333</v>
      </c>
      <c r="C7">
        <v>100</v>
      </c>
      <c r="D7">
        <v>123.70347218395933</v>
      </c>
      <c r="E7">
        <v>151.30775439054474</v>
      </c>
      <c r="F7">
        <v>187.54414347772828</v>
      </c>
      <c r="G7">
        <v>263.09249759149617</v>
      </c>
      <c r="H7">
        <v>333.02246135804626</v>
      </c>
      <c r="I7">
        <v>469.95923269001071</v>
      </c>
      <c r="J7">
        <v>592.18380092424491</v>
      </c>
      <c r="K7">
        <v>833.21913390833549</v>
      </c>
      <c r="L7">
        <v>1262.396457667415</v>
      </c>
      <c r="M7" s="22">
        <v>154985000</v>
      </c>
      <c r="P7" s="123">
        <f t="shared" ref="P7:P36" si="1">(C7/$L7)*$Y7</f>
        <v>7.9214417461828406</v>
      </c>
      <c r="Q7" s="123">
        <f t="shared" ref="Q7:Q36" si="2">(D7/$L7)*$Y7</f>
        <v>9.7990984870578313</v>
      </c>
      <c r="R7" s="123">
        <f t="shared" ref="R7:R36" si="3">(E7/$L7)*$Y7</f>
        <v>11.985755621504412</v>
      </c>
      <c r="S7" s="123">
        <f t="shared" ref="S7:S36" si="4">(F7/$L7)*$Y7</f>
        <v>14.856200073965811</v>
      </c>
      <c r="T7" s="123">
        <f t="shared" ref="T7:T36" si="5">(G7/$L7)*$Y7</f>
        <v>20.84071893528786</v>
      </c>
      <c r="U7" s="123">
        <f t="shared" ref="U7:U36" si="6">(H7/$L7)*$Y7</f>
        <v>26.380180278181893</v>
      </c>
      <c r="V7" s="123">
        <f t="shared" ref="V7:V36" si="7">(I7/$L7)*$Y7</f>
        <v>37.22754684834706</v>
      </c>
      <c r="W7" s="123">
        <f t="shared" ref="W7:W36" si="8">(J7/$L7)*$Y7</f>
        <v>46.909494820545419</v>
      </c>
      <c r="X7" s="123">
        <f t="shared" ref="X7:X36" si="9">(K7/$L7)*$Y7</f>
        <v>66.002968310597993</v>
      </c>
      <c r="Y7" s="22">
        <v>100</v>
      </c>
      <c r="Z7" s="22">
        <v>154985000</v>
      </c>
    </row>
    <row r="8" spans="2:26">
      <c r="B8" t="s">
        <v>5208</v>
      </c>
      <c r="C8">
        <v>100</v>
      </c>
      <c r="D8">
        <v>108.31856504451336</v>
      </c>
      <c r="E8">
        <v>116.92250232902275</v>
      </c>
      <c r="F8">
        <v>125.69699812723367</v>
      </c>
      <c r="G8">
        <v>135.56007672660564</v>
      </c>
      <c r="H8">
        <v>145.81678937823855</v>
      </c>
      <c r="I8">
        <v>157.63320507801348</v>
      </c>
      <c r="J8">
        <v>163.36692514456524</v>
      </c>
      <c r="K8">
        <v>168.73424728259786</v>
      </c>
      <c r="L8">
        <v>175.74393077980395</v>
      </c>
      <c r="M8" s="22">
        <v>84688335</v>
      </c>
      <c r="P8" s="123">
        <f t="shared" si="1"/>
        <v>56.900969243309852</v>
      </c>
      <c r="Q8" s="123">
        <f t="shared" si="2"/>
        <v>61.634313380773122</v>
      </c>
      <c r="R8" s="123">
        <f t="shared" si="3"/>
        <v>66.530037088745473</v>
      </c>
      <c r="S8" s="123">
        <f t="shared" si="4"/>
        <v>71.522810244140985</v>
      </c>
      <c r="T8" s="123">
        <f t="shared" si="5"/>
        <v>77.134997564413112</v>
      </c>
      <c r="U8" s="123">
        <f t="shared" si="6"/>
        <v>82.971166475693423</v>
      </c>
      <c r="V8" s="123">
        <f t="shared" si="7"/>
        <v>89.694821538683982</v>
      </c>
      <c r="W8" s="123">
        <f t="shared" si="8"/>
        <v>92.957363830250088</v>
      </c>
      <c r="X8" s="123">
        <f t="shared" si="9"/>
        <v>96.011422149201394</v>
      </c>
      <c r="Y8" s="22">
        <v>100</v>
      </c>
      <c r="Z8" s="22">
        <v>84688335</v>
      </c>
    </row>
    <row r="9" spans="2:26">
      <c r="B9" t="s">
        <v>11148</v>
      </c>
      <c r="C9">
        <v>100</v>
      </c>
      <c r="D9">
        <v>108.31856504451336</v>
      </c>
      <c r="E9">
        <v>116.92250232902275</v>
      </c>
      <c r="F9">
        <v>125.69699812723367</v>
      </c>
      <c r="G9">
        <v>135.56007672660564</v>
      </c>
      <c r="H9">
        <v>145.81678937823855</v>
      </c>
      <c r="I9">
        <v>157.63320507801348</v>
      </c>
      <c r="J9">
        <v>163.36692514456524</v>
      </c>
      <c r="K9">
        <v>168.73424728259786</v>
      </c>
      <c r="L9">
        <v>175.74393077980395</v>
      </c>
      <c r="M9" s="22">
        <v>59500000</v>
      </c>
      <c r="P9" s="123">
        <f t="shared" si="1"/>
        <v>56.900969243309852</v>
      </c>
      <c r="Q9" s="123">
        <f t="shared" si="2"/>
        <v>61.634313380773122</v>
      </c>
      <c r="R9" s="123">
        <f t="shared" si="3"/>
        <v>66.530037088745473</v>
      </c>
      <c r="S9" s="123">
        <f t="shared" si="4"/>
        <v>71.522810244140985</v>
      </c>
      <c r="T9" s="123">
        <f t="shared" si="5"/>
        <v>77.134997564413112</v>
      </c>
      <c r="U9" s="123">
        <f t="shared" si="6"/>
        <v>82.971166475693423</v>
      </c>
      <c r="V9" s="123">
        <f t="shared" si="7"/>
        <v>89.694821538683982</v>
      </c>
      <c r="W9" s="123">
        <f t="shared" si="8"/>
        <v>92.957363830250088</v>
      </c>
      <c r="X9" s="123">
        <f t="shared" si="9"/>
        <v>96.011422149201394</v>
      </c>
      <c r="Y9" s="22">
        <v>100</v>
      </c>
      <c r="Z9" s="22">
        <v>59500000</v>
      </c>
    </row>
    <row r="10" spans="2:26">
      <c r="B10" t="s">
        <v>5391</v>
      </c>
      <c r="C10">
        <v>100</v>
      </c>
      <c r="D10">
        <v>110.79392241579976</v>
      </c>
      <c r="E10">
        <v>121.18614931462879</v>
      </c>
      <c r="F10">
        <v>127.44995164744029</v>
      </c>
      <c r="G10">
        <v>137.73297767019395</v>
      </c>
      <c r="H10">
        <v>151.54068301095569</v>
      </c>
      <c r="I10">
        <v>159.95250619925127</v>
      </c>
      <c r="J10">
        <v>177.45439388375149</v>
      </c>
      <c r="K10">
        <v>181.753174576346</v>
      </c>
      <c r="L10">
        <v>188.95251839962913</v>
      </c>
      <c r="M10" s="22">
        <v>115462638</v>
      </c>
      <c r="P10" s="123">
        <f t="shared" si="1"/>
        <v>52.923348599409984</v>
      </c>
      <c r="Q10" s="123">
        <f t="shared" si="2"/>
        <v>58.635853787073536</v>
      </c>
      <c r="R10" s="123">
        <f t="shared" si="3"/>
        <v>64.135768255982484</v>
      </c>
      <c r="S10" s="123">
        <f t="shared" si="4"/>
        <v>67.450782200154279</v>
      </c>
      <c r="T10" s="123">
        <f t="shared" si="5"/>
        <v>72.892903908744245</v>
      </c>
      <c r="U10" s="123">
        <f t="shared" si="6"/>
        <v>80.200403939814933</v>
      </c>
      <c r="V10" s="123">
        <f t="shared" si="7"/>
        <v>84.652222449322608</v>
      </c>
      <c r="W10" s="123">
        <f t="shared" si="8"/>
        <v>93.914807480067864</v>
      </c>
      <c r="X10" s="123">
        <f t="shared" si="9"/>
        <v>96.189866171533779</v>
      </c>
      <c r="Y10" s="22">
        <v>100</v>
      </c>
      <c r="Z10" s="22">
        <v>115462638</v>
      </c>
    </row>
    <row r="11" spans="2:26">
      <c r="B11" t="s">
        <v>7086</v>
      </c>
      <c r="C11">
        <v>100</v>
      </c>
      <c r="D11">
        <v>113.16538942477104</v>
      </c>
      <c r="E11">
        <v>115.69761672080026</v>
      </c>
      <c r="F11">
        <v>114.6943448187524</v>
      </c>
      <c r="G11">
        <v>113.65576361595033</v>
      </c>
      <c r="H11">
        <v>96.06347324562833</v>
      </c>
      <c r="I11">
        <v>92.926650021933909</v>
      </c>
      <c r="J11">
        <v>98.033107024183053</v>
      </c>
      <c r="K11">
        <v>106.07823050650744</v>
      </c>
      <c r="L11">
        <v>104.06282086373812</v>
      </c>
      <c r="M11" s="22">
        <v>27950000</v>
      </c>
      <c r="P11" s="123">
        <f t="shared" si="1"/>
        <v>96.09579979668429</v>
      </c>
      <c r="Q11" s="123">
        <f t="shared" si="2"/>
        <v>108.74718606076613</v>
      </c>
      <c r="R11" s="123">
        <f t="shared" si="3"/>
        <v>111.18055013355534</v>
      </c>
      <c r="S11" s="123">
        <f t="shared" si="4"/>
        <v>110.21644797514705</v>
      </c>
      <c r="T11" s="123">
        <f t="shared" si="5"/>
        <v>109.21841506177638</v>
      </c>
      <c r="U11" s="123">
        <f t="shared" si="6"/>
        <v>92.312962927860383</v>
      </c>
      <c r="V11" s="123">
        <f t="shared" si="7"/>
        <v>89.298607562843088</v>
      </c>
      <c r="W11" s="123">
        <f t="shared" si="8"/>
        <v>94.205698260428193</v>
      </c>
      <c r="X11" s="123">
        <f t="shared" si="9"/>
        <v>101.93672401539867</v>
      </c>
      <c r="Y11" s="22">
        <v>100</v>
      </c>
      <c r="Z11" s="22">
        <v>27950000</v>
      </c>
    </row>
    <row r="12" spans="2:26">
      <c r="B12" t="s">
        <v>6213</v>
      </c>
      <c r="C12">
        <v>100</v>
      </c>
      <c r="D12">
        <v>109.77845809675884</v>
      </c>
      <c r="E12">
        <v>120.69882029018962</v>
      </c>
      <c r="F12">
        <v>126.69120979935946</v>
      </c>
      <c r="G12">
        <v>132.59834318125334</v>
      </c>
      <c r="H12">
        <v>136.39551568787968</v>
      </c>
      <c r="I12">
        <v>149.41265369585903</v>
      </c>
      <c r="J12">
        <v>166.02572425260578</v>
      </c>
      <c r="K12">
        <v>183.0076407034023</v>
      </c>
      <c r="L12">
        <v>202.01258009815137</v>
      </c>
      <c r="M12" s="22">
        <v>33100108</v>
      </c>
      <c r="P12" s="123">
        <f t="shared" si="1"/>
        <v>49.501867631913434</v>
      </c>
      <c r="Q12" s="123">
        <f t="shared" si="2"/>
        <v>54.342387015413117</v>
      </c>
      <c r="R12" s="123">
        <f t="shared" si="3"/>
        <v>59.748170253330748</v>
      </c>
      <c r="S12" s="123">
        <f t="shared" si="4"/>
        <v>62.714514976148664</v>
      </c>
      <c r="T12" s="123">
        <f t="shared" si="5"/>
        <v>65.638656323694349</v>
      </c>
      <c r="U12" s="123">
        <f t="shared" si="6"/>
        <v>67.518327631679924</v>
      </c>
      <c r="V12" s="123">
        <f t="shared" si="7"/>
        <v>73.962054057853351</v>
      </c>
      <c r="W12" s="123">
        <f t="shared" si="8"/>
        <v>82.185834254450512</v>
      </c>
      <c r="X12" s="123">
        <f t="shared" si="9"/>
        <v>90.592200057285936</v>
      </c>
      <c r="Y12" s="22">
        <v>100</v>
      </c>
      <c r="Z12" s="22">
        <v>33100108</v>
      </c>
    </row>
    <row r="13" spans="2:26">
      <c r="B13" t="s">
        <v>5277</v>
      </c>
      <c r="C13">
        <v>100</v>
      </c>
      <c r="D13">
        <v>107.46594303367513</v>
      </c>
      <c r="E13">
        <v>111.50008423618154</v>
      </c>
      <c r="F13">
        <v>117.03716759416032</v>
      </c>
      <c r="G13">
        <v>123.40770491393293</v>
      </c>
      <c r="H13">
        <v>128.31963103081654</v>
      </c>
      <c r="I13">
        <v>131.4492494202253</v>
      </c>
      <c r="J13">
        <v>137.09194259161427</v>
      </c>
      <c r="K13">
        <v>142.32849907792001</v>
      </c>
      <c r="L13">
        <v>144.61221097855369</v>
      </c>
      <c r="M13" s="22">
        <v>48345000</v>
      </c>
      <c r="P13" s="123">
        <f t="shared" si="1"/>
        <v>69.150453701887059</v>
      </c>
      <c r="Q13" s="123">
        <f t="shared" si="2"/>
        <v>74.313187182797833</v>
      </c>
      <c r="R13" s="123">
        <f t="shared" si="3"/>
        <v>77.102814127305791</v>
      </c>
      <c r="S13" s="123">
        <f t="shared" si="4"/>
        <v>80.931732391199802</v>
      </c>
      <c r="T13" s="123">
        <f t="shared" si="5"/>
        <v>85.336987851070589</v>
      </c>
      <c r="U13" s="123">
        <f t="shared" si="6"/>
        <v>88.733607046397083</v>
      </c>
      <c r="V13" s="123">
        <f t="shared" si="7"/>
        <v>90.89775236181093</v>
      </c>
      <c r="W13" s="123">
        <f t="shared" si="8"/>
        <v>94.799700290831808</v>
      </c>
      <c r="X13" s="123">
        <f t="shared" si="9"/>
        <v>98.420802859467827</v>
      </c>
      <c r="Y13" s="22">
        <v>100</v>
      </c>
      <c r="Z13" s="22">
        <v>48345000</v>
      </c>
    </row>
    <row r="14" spans="2:26">
      <c r="B14" t="s">
        <v>7133</v>
      </c>
      <c r="C14">
        <v>100</v>
      </c>
      <c r="D14">
        <v>110.25457666826708</v>
      </c>
      <c r="E14">
        <v>113.7056518125848</v>
      </c>
      <c r="F14">
        <v>118.68376580173742</v>
      </c>
      <c r="G14">
        <v>123.63706998555257</v>
      </c>
      <c r="H14">
        <v>131.41059909473304</v>
      </c>
      <c r="I14">
        <v>138.47116051455245</v>
      </c>
      <c r="J14">
        <v>146.01182833324458</v>
      </c>
      <c r="K14">
        <v>155.15978864560327</v>
      </c>
      <c r="L14">
        <v>167.0228714494057</v>
      </c>
      <c r="M14" s="22">
        <v>17800000</v>
      </c>
      <c r="P14" s="123">
        <f t="shared" si="1"/>
        <v>59.872039758514049</v>
      </c>
      <c r="Q14" s="123">
        <f t="shared" si="2"/>
        <v>66.011663978406219</v>
      </c>
      <c r="R14" s="123">
        <f t="shared" si="3"/>
        <v>68.077893060908337</v>
      </c>
      <c r="S14" s="123">
        <f t="shared" si="4"/>
        <v>71.058391447717938</v>
      </c>
      <c r="T14" s="123">
        <f t="shared" si="5"/>
        <v>74.024035698011886</v>
      </c>
      <c r="U14" s="123">
        <f t="shared" si="6"/>
        <v>78.678206136900073</v>
      </c>
      <c r="V14" s="123">
        <f t="shared" si="7"/>
        <v>82.905508277348659</v>
      </c>
      <c r="W14" s="123">
        <f t="shared" si="8"/>
        <v>87.420259911813474</v>
      </c>
      <c r="X14" s="123">
        <f t="shared" si="9"/>
        <v>92.897330347121965</v>
      </c>
      <c r="Y14" s="22">
        <v>100</v>
      </c>
      <c r="Z14" s="22">
        <v>17800000</v>
      </c>
    </row>
    <row r="15" spans="2:26">
      <c r="B15" t="s">
        <v>5416</v>
      </c>
      <c r="C15">
        <v>100</v>
      </c>
      <c r="D15">
        <v>105.41240809007968</v>
      </c>
      <c r="E15">
        <v>106.46646081043893</v>
      </c>
      <c r="F15">
        <v>106.65221761571924</v>
      </c>
      <c r="G15">
        <v>109.28382565942792</v>
      </c>
      <c r="H15">
        <v>110.61496356371907</v>
      </c>
      <c r="I15">
        <v>112.44932021785567</v>
      </c>
      <c r="J15">
        <v>116.72062751298611</v>
      </c>
      <c r="K15">
        <v>117.55156826153683</v>
      </c>
      <c r="L15">
        <v>117.64473803760878</v>
      </c>
      <c r="M15" s="22">
        <v>8774805</v>
      </c>
      <c r="P15" s="123">
        <f t="shared" si="1"/>
        <v>85.001676800905386</v>
      </c>
      <c r="Q15" s="123">
        <f t="shared" si="2"/>
        <v>89.602314432780958</v>
      </c>
      <c r="R15" s="123">
        <f t="shared" si="3"/>
        <v>90.498276919451882</v>
      </c>
      <c r="S15" s="123">
        <f t="shared" si="4"/>
        <v>90.656173318711936</v>
      </c>
      <c r="T15" s="123">
        <f t="shared" si="5"/>
        <v>92.893084282691817</v>
      </c>
      <c r="U15" s="123">
        <f t="shared" si="6"/>
        <v>94.024573821871726</v>
      </c>
      <c r="V15" s="123">
        <f t="shared" si="7"/>
        <v>95.583807736396821</v>
      </c>
      <c r="W15" s="123">
        <f t="shared" si="8"/>
        <v>99.214490558577097</v>
      </c>
      <c r="X15" s="123">
        <f t="shared" si="9"/>
        <v>99.920804128067203</v>
      </c>
      <c r="Y15" s="22">
        <v>100</v>
      </c>
      <c r="Z15" s="22">
        <v>8774805</v>
      </c>
    </row>
    <row r="16" spans="2:26">
      <c r="B16" t="s">
        <v>6297</v>
      </c>
      <c r="C16">
        <v>100</v>
      </c>
      <c r="D16">
        <v>106.53223091289495</v>
      </c>
      <c r="E16">
        <v>112.16008523937928</v>
      </c>
      <c r="F16">
        <v>119.06382704612048</v>
      </c>
      <c r="G16">
        <v>125.66830387344538</v>
      </c>
      <c r="H16">
        <v>132.16612651771217</v>
      </c>
      <c r="I16">
        <v>141.69047539018072</v>
      </c>
      <c r="J16">
        <v>149.15396184413908</v>
      </c>
      <c r="K16">
        <v>154.9956358631494</v>
      </c>
      <c r="L16">
        <v>161.22835246509112</v>
      </c>
      <c r="M16" s="22">
        <v>10273728</v>
      </c>
      <c r="P16" s="123">
        <f t="shared" si="1"/>
        <v>62.023830468435648</v>
      </c>
      <c r="Q16" s="123">
        <f t="shared" si="2"/>
        <v>66.075370295656356</v>
      </c>
      <c r="R16" s="123">
        <f t="shared" si="3"/>
        <v>69.565981122125521</v>
      </c>
      <c r="S16" s="123">
        <f t="shared" si="4"/>
        <v>73.847946236317199</v>
      </c>
      <c r="T16" s="123">
        <f t="shared" si="5"/>
        <v>77.944295747024313</v>
      </c>
      <c r="U16" s="123">
        <f t="shared" si="6"/>
        <v>81.974494248043968</v>
      </c>
      <c r="V16" s="123">
        <f t="shared" si="7"/>
        <v>87.881860245926219</v>
      </c>
      <c r="W16" s="123">
        <f t="shared" si="8"/>
        <v>92.511000431164021</v>
      </c>
      <c r="X16" s="123">
        <f t="shared" si="9"/>
        <v>96.134230421233624</v>
      </c>
      <c r="Y16" s="22">
        <v>100</v>
      </c>
      <c r="Z16" s="22">
        <v>10273728</v>
      </c>
    </row>
    <row r="17" spans="2:26">
      <c r="B17" t="s">
        <v>6632</v>
      </c>
      <c r="C17">
        <v>100</v>
      </c>
      <c r="D17">
        <v>106.38680337285258</v>
      </c>
      <c r="E17">
        <v>110.23444708306505</v>
      </c>
      <c r="F17">
        <v>112.33736365024744</v>
      </c>
      <c r="G17">
        <v>114.84881412284196</v>
      </c>
      <c r="H17">
        <v>117.66183876778295</v>
      </c>
      <c r="I17">
        <v>123.71946357713021</v>
      </c>
      <c r="J17">
        <v>130.07089409362325</v>
      </c>
      <c r="K17">
        <v>135.90259414029876</v>
      </c>
      <c r="L17">
        <v>141.72683223011461</v>
      </c>
      <c r="M17" s="22">
        <v>2904513</v>
      </c>
      <c r="P17" s="123">
        <f t="shared" si="1"/>
        <v>70.558269331551216</v>
      </c>
      <c r="Q17" s="123">
        <f t="shared" si="2"/>
        <v>75.064687257045136</v>
      </c>
      <c r="R17" s="123">
        <f t="shared" si="3"/>
        <v>77.779518069015339</v>
      </c>
      <c r="S17" s="123">
        <f t="shared" si="4"/>
        <v>79.263299604305701</v>
      </c>
      <c r="T17" s="123">
        <f t="shared" si="5"/>
        <v>81.035335592887463</v>
      </c>
      <c r="U17" s="123">
        <f t="shared" si="6"/>
        <v>83.020157098227841</v>
      </c>
      <c r="V17" s="123">
        <f t="shared" si="7"/>
        <v>87.294312326301949</v>
      </c>
      <c r="W17" s="123">
        <f t="shared" si="8"/>
        <v>91.775771776535436</v>
      </c>
      <c r="X17" s="123">
        <f t="shared" si="9"/>
        <v>95.890518402076935</v>
      </c>
      <c r="Y17" s="22">
        <v>100</v>
      </c>
      <c r="Z17" s="22">
        <v>2904513</v>
      </c>
    </row>
    <row r="18" spans="2:26">
      <c r="B18" t="s">
        <v>3468</v>
      </c>
      <c r="C18">
        <v>100</v>
      </c>
      <c r="D18">
        <v>119.64465112730527</v>
      </c>
      <c r="E18">
        <v>126.78573112264043</v>
      </c>
      <c r="F18">
        <v>135.61755298431783</v>
      </c>
      <c r="G18">
        <v>145.66892012775651</v>
      </c>
      <c r="H18">
        <v>151.65627496336003</v>
      </c>
      <c r="I18">
        <v>152.26325742427477</v>
      </c>
      <c r="J18">
        <v>158.37415681992996</v>
      </c>
      <c r="K18">
        <v>162.26903043667897</v>
      </c>
      <c r="L18">
        <v>176.25792357304132</v>
      </c>
      <c r="M18" s="22">
        <v>4023182</v>
      </c>
      <c r="P18" s="123">
        <f t="shared" si="1"/>
        <v>56.735038046990248</v>
      </c>
      <c r="Q18" s="123">
        <f t="shared" si="2"/>
        <v>67.880438338265392</v>
      </c>
      <c r="R18" s="123">
        <f t="shared" si="3"/>
        <v>71.93193279058481</v>
      </c>
      <c r="S18" s="123">
        <f t="shared" si="4"/>
        <v>76.942670284049882</v>
      </c>
      <c r="T18" s="123">
        <f t="shared" si="5"/>
        <v>82.6453172571225</v>
      </c>
      <c r="U18" s="123">
        <f t="shared" si="6"/>
        <v>86.042245301110469</v>
      </c>
      <c r="V18" s="123">
        <f t="shared" si="7"/>
        <v>86.386617031249003</v>
      </c>
      <c r="W18" s="123">
        <f t="shared" si="8"/>
        <v>89.853638128387274</v>
      </c>
      <c r="X18" s="123">
        <f t="shared" si="9"/>
        <v>92.063396156732011</v>
      </c>
      <c r="Y18" s="22">
        <v>100</v>
      </c>
      <c r="Z18" s="22">
        <v>4023182</v>
      </c>
    </row>
    <row r="19" spans="2:26">
      <c r="B19" t="s">
        <v>1028</v>
      </c>
      <c r="C19">
        <v>100</v>
      </c>
      <c r="D19">
        <v>115.52939055588294</v>
      </c>
      <c r="E19">
        <v>120.16849097514326</v>
      </c>
      <c r="F19">
        <v>118.70684004709074</v>
      </c>
      <c r="G19">
        <v>116.01219709958643</v>
      </c>
      <c r="H19">
        <v>96.396245264774578</v>
      </c>
      <c r="I19">
        <v>93.459616348155507</v>
      </c>
      <c r="J19">
        <v>100.53059649995856</v>
      </c>
      <c r="K19">
        <v>112.10014308487169</v>
      </c>
      <c r="L19">
        <v>112.64537978527407</v>
      </c>
      <c r="M19" s="22">
        <v>2100000</v>
      </c>
      <c r="P19" s="123">
        <f t="shared" si="1"/>
        <v>88.774169158665146</v>
      </c>
      <c r="Q19" s="123">
        <f t="shared" si="2"/>
        <v>102.56025660005443</v>
      </c>
      <c r="R19" s="123">
        <f t="shared" si="3"/>
        <v>106.67857945368893</v>
      </c>
      <c r="S19" s="123">
        <f t="shared" si="4"/>
        <v>105.38101098631039</v>
      </c>
      <c r="T19" s="123">
        <f t="shared" si="5"/>
        <v>102.98886409787087</v>
      </c>
      <c r="U19" s="123">
        <f t="shared" si="6"/>
        <v>85.574965833952717</v>
      </c>
      <c r="V19" s="123">
        <f t="shared" si="7"/>
        <v>82.967997911951031</v>
      </c>
      <c r="W19" s="123">
        <f t="shared" si="8"/>
        <v>89.245201793088313</v>
      </c>
      <c r="X19" s="123">
        <f t="shared" si="9"/>
        <v>99.515970649269661</v>
      </c>
      <c r="Y19" s="22">
        <v>100</v>
      </c>
      <c r="Z19" s="22">
        <v>2100000</v>
      </c>
    </row>
    <row r="20" spans="2:26">
      <c r="B20" t="s">
        <v>5524</v>
      </c>
      <c r="C20">
        <v>100</v>
      </c>
      <c r="D20">
        <v>113.91482212603579</v>
      </c>
      <c r="E20">
        <v>131.23588835813382</v>
      </c>
      <c r="F20">
        <v>200.77644916114502</v>
      </c>
      <c r="G20">
        <v>245.27654139027325</v>
      </c>
      <c r="H20">
        <v>278.60570394126023</v>
      </c>
      <c r="I20">
        <v>321.0913484424928</v>
      </c>
      <c r="J20">
        <v>354.33314077002211</v>
      </c>
      <c r="K20">
        <v>390.51127344758561</v>
      </c>
      <c r="L20">
        <v>426.3945497810995</v>
      </c>
      <c r="M20" s="22">
        <v>6039788</v>
      </c>
      <c r="P20" s="123">
        <f t="shared" si="1"/>
        <v>23.452457366384618</v>
      </c>
      <c r="Q20" s="123">
        <f t="shared" si="2"/>
        <v>26.715825093101415</v>
      </c>
      <c r="R20" s="123">
        <f t="shared" si="3"/>
        <v>30.778040766587448</v>
      </c>
      <c r="S20" s="123">
        <f t="shared" si="4"/>
        <v>47.087011141258429</v>
      </c>
      <c r="T20" s="123">
        <f t="shared" si="5"/>
        <v>57.523376299296558</v>
      </c>
      <c r="U20" s="123">
        <f t="shared" si="6"/>
        <v>65.339883937139803</v>
      </c>
      <c r="V20" s="123">
        <f t="shared" si="7"/>
        <v>75.30381160062511</v>
      </c>
      <c r="W20" s="123">
        <f t="shared" si="8"/>
        <v>83.099828774061038</v>
      </c>
      <c r="X20" s="123">
        <f t="shared" si="9"/>
        <v>91.584489916220662</v>
      </c>
      <c r="Y20" s="22">
        <v>100</v>
      </c>
      <c r="Z20" s="22">
        <v>6039788</v>
      </c>
    </row>
    <row r="21" spans="2:26">
      <c r="B21" t="s">
        <v>5844</v>
      </c>
      <c r="C21">
        <v>100</v>
      </c>
      <c r="D21">
        <v>121.26065929387484</v>
      </c>
      <c r="E21">
        <v>134.50963992543035</v>
      </c>
      <c r="F21">
        <v>140.91317960871146</v>
      </c>
      <c r="G21">
        <v>146.07396108607625</v>
      </c>
      <c r="H21">
        <v>145.79526930416543</v>
      </c>
      <c r="I21">
        <v>147.41454327592024</v>
      </c>
      <c r="J21">
        <v>153.43758927071724</v>
      </c>
      <c r="K21">
        <v>158.65155969873467</v>
      </c>
      <c r="L21">
        <v>161.48919927693814</v>
      </c>
      <c r="M21" s="22">
        <v>2163420</v>
      </c>
      <c r="P21" s="123">
        <f t="shared" si="1"/>
        <v>61.92364594520641</v>
      </c>
      <c r="Q21" s="123">
        <f t="shared" si="2"/>
        <v>75.089021331962087</v>
      </c>
      <c r="R21" s="123">
        <f t="shared" si="3"/>
        <v>83.293273189595496</v>
      </c>
      <c r="S21" s="123">
        <f t="shared" si="4"/>
        <v>87.258578431031282</v>
      </c>
      <c r="T21" s="123">
        <f t="shared" si="5"/>
        <v>90.454322481080439</v>
      </c>
      <c r="U21" s="123">
        <f t="shared" si="6"/>
        <v>90.281746368771593</v>
      </c>
      <c r="V21" s="123">
        <f t="shared" si="7"/>
        <v>91.284459849923934</v>
      </c>
      <c r="W21" s="123">
        <f t="shared" si="8"/>
        <v>95.014149526858958</v>
      </c>
      <c r="X21" s="123">
        <f t="shared" si="9"/>
        <v>98.242830114392248</v>
      </c>
      <c r="Y21" s="22">
        <v>100</v>
      </c>
      <c r="Z21" s="22">
        <v>2163420</v>
      </c>
    </row>
    <row r="22" spans="2:26">
      <c r="B22" t="s">
        <v>1258</v>
      </c>
      <c r="C22">
        <v>100</v>
      </c>
      <c r="D22">
        <v>103.11290692489503</v>
      </c>
      <c r="E22">
        <v>104.27824869997751</v>
      </c>
      <c r="F22">
        <v>106.33945976709036</v>
      </c>
      <c r="G22">
        <v>112.62023944622253</v>
      </c>
      <c r="H22">
        <v>118.19892587448429</v>
      </c>
      <c r="I22">
        <v>123.48232245406665</v>
      </c>
      <c r="J22">
        <v>129.38726467982269</v>
      </c>
      <c r="K22">
        <v>132.44142429982529</v>
      </c>
      <c r="L22">
        <v>135.97577117357781</v>
      </c>
      <c r="M22" s="22">
        <v>1868000</v>
      </c>
      <c r="P22" s="123">
        <f t="shared" si="1"/>
        <v>73.542513594092071</v>
      </c>
      <c r="Q22" s="123">
        <f t="shared" si="2"/>
        <v>75.831823592504449</v>
      </c>
      <c r="R22" s="123">
        <f t="shared" si="3"/>
        <v>76.688845225862096</v>
      </c>
      <c r="S22" s="123">
        <f t="shared" si="4"/>
        <v>78.204711655096503</v>
      </c>
      <c r="T22" s="123">
        <f t="shared" si="5"/>
        <v>82.823754904437251</v>
      </c>
      <c r="U22" s="123">
        <f t="shared" si="6"/>
        <v>86.926461129313424</v>
      </c>
      <c r="V22" s="123">
        <f t="shared" si="7"/>
        <v>90.81200377708258</v>
      </c>
      <c r="W22" s="123">
        <f t="shared" si="8"/>
        <v>95.154646716182498</v>
      </c>
      <c r="X22" s="123">
        <f t="shared" si="9"/>
        <v>97.400752469908184</v>
      </c>
      <c r="Y22" s="22">
        <v>100</v>
      </c>
      <c r="Z22" s="22">
        <v>1868000</v>
      </c>
    </row>
    <row r="23" spans="2:26">
      <c r="B23" t="s">
        <v>5818</v>
      </c>
      <c r="C23">
        <v>100</v>
      </c>
      <c r="D23">
        <v>105.79618847204975</v>
      </c>
      <c r="E23">
        <v>112.74901200559387</v>
      </c>
      <c r="F23">
        <v>122.24354413847188</v>
      </c>
      <c r="G23">
        <v>130.71428320058743</v>
      </c>
      <c r="H23">
        <v>139.41421657138719</v>
      </c>
      <c r="I23">
        <v>145.91628932290138</v>
      </c>
      <c r="J23">
        <v>155.44946431789421</v>
      </c>
      <c r="K23">
        <v>162.98390743925967</v>
      </c>
      <c r="L23">
        <v>175.35681378035909</v>
      </c>
      <c r="M23" s="22">
        <v>1000000</v>
      </c>
      <c r="P23" s="123">
        <f t="shared" si="1"/>
        <v>57.026583595008582</v>
      </c>
      <c r="Q23" s="123">
        <f t="shared" si="2"/>
        <v>60.331951859346276</v>
      </c>
      <c r="R23" s="123">
        <f t="shared" si="3"/>
        <v>64.296909583916246</v>
      </c>
      <c r="S23" s="123">
        <f t="shared" si="4"/>
        <v>69.711316887626879</v>
      </c>
      <c r="T23" s="123">
        <f t="shared" si="5"/>
        <v>74.54188997999924</v>
      </c>
      <c r="U23" s="123">
        <f t="shared" si="6"/>
        <v>79.503164756408424</v>
      </c>
      <c r="V23" s="123">
        <f t="shared" si="7"/>
        <v>83.211074709458927</v>
      </c>
      <c r="W23" s="123">
        <f t="shared" si="8"/>
        <v>88.647518717236977</v>
      </c>
      <c r="X23" s="123">
        <f t="shared" si="9"/>
        <v>92.944154222260821</v>
      </c>
      <c r="Y23" s="22">
        <v>100</v>
      </c>
      <c r="Z23" s="22">
        <v>1000000</v>
      </c>
    </row>
    <row r="24" spans="2:26">
      <c r="B24" t="s">
        <v>2057</v>
      </c>
      <c r="C24">
        <v>100</v>
      </c>
      <c r="D24">
        <v>108.0755963802111</v>
      </c>
      <c r="E24">
        <v>110.59929198242502</v>
      </c>
      <c r="F24">
        <v>112.98936385299854</v>
      </c>
      <c r="G24">
        <v>114.15567871995269</v>
      </c>
      <c r="H24">
        <v>114.15175333442258</v>
      </c>
      <c r="I24">
        <v>115.75830941589132</v>
      </c>
      <c r="J24">
        <v>120.65910592441995</v>
      </c>
      <c r="K24">
        <v>124.87972031939574</v>
      </c>
      <c r="L24">
        <v>126.85503072696345</v>
      </c>
      <c r="M24" s="22">
        <v>2040162773</v>
      </c>
      <c r="P24" s="123">
        <f t="shared" si="1"/>
        <v>78.830141325049297</v>
      </c>
      <c r="Q24" s="123">
        <f t="shared" si="2"/>
        <v>85.19614536441027</v>
      </c>
      <c r="R24" s="123">
        <f t="shared" si="3"/>
        <v>87.185578174249557</v>
      </c>
      <c r="S24" s="123">
        <f t="shared" si="4"/>
        <v>89.069675207592908</v>
      </c>
      <c r="T24" s="123">
        <f t="shared" si="5"/>
        <v>89.989082865507925</v>
      </c>
      <c r="U24" s="123">
        <f t="shared" si="6"/>
        <v>89.985988478547</v>
      </c>
      <c r="V24" s="123">
        <f t="shared" si="7"/>
        <v>91.252438908034975</v>
      </c>
      <c r="W24" s="123">
        <f t="shared" si="8"/>
        <v>95.115743721761177</v>
      </c>
      <c r="X24" s="123">
        <f t="shared" si="9"/>
        <v>98.442860014105975</v>
      </c>
      <c r="Y24" s="22">
        <v>100</v>
      </c>
      <c r="Z24" s="22">
        <v>2040162773</v>
      </c>
    </row>
    <row r="25" spans="2:26">
      <c r="B25" t="s">
        <v>1740</v>
      </c>
      <c r="C25">
        <v>100</v>
      </c>
      <c r="D25">
        <v>105.84287319478247</v>
      </c>
      <c r="E25">
        <v>110.14636712023832</v>
      </c>
      <c r="F25">
        <v>111.83131004585955</v>
      </c>
      <c r="G25">
        <v>116.77799128915578</v>
      </c>
      <c r="H25">
        <v>120.03305288944166</v>
      </c>
      <c r="I25">
        <v>126.48815939897153</v>
      </c>
      <c r="J25">
        <v>134.90876237917405</v>
      </c>
      <c r="K25">
        <v>141.60951996437399</v>
      </c>
      <c r="L25">
        <v>146.3293488524458</v>
      </c>
      <c r="M25" s="22">
        <v>353300</v>
      </c>
      <c r="P25" s="123">
        <f t="shared" si="1"/>
        <v>68.338990629171079</v>
      </c>
      <c r="Q25" s="123">
        <f t="shared" si="2"/>
        <v>72.331951194227827</v>
      </c>
      <c r="R25" s="123">
        <f t="shared" si="3"/>
        <v>75.272915504672042</v>
      </c>
      <c r="S25" s="123">
        <f t="shared" si="4"/>
        <v>76.424388492719217</v>
      </c>
      <c r="T25" s="123">
        <f t="shared" si="5"/>
        <v>79.804900524030387</v>
      </c>
      <c r="U25" s="123">
        <f t="shared" si="6"/>
        <v>82.029376766023503</v>
      </c>
      <c r="V25" s="123">
        <f t="shared" si="7"/>
        <v>86.440731398674146</v>
      </c>
      <c r="W25" s="123">
        <f t="shared" si="8"/>
        <v>92.195286480234444</v>
      </c>
      <c r="X25" s="123">
        <f t="shared" si="9"/>
        <v>96.774516578467697</v>
      </c>
      <c r="Y25" s="22">
        <v>100</v>
      </c>
      <c r="Z25" s="22">
        <v>353300</v>
      </c>
    </row>
    <row r="26" spans="2:26">
      <c r="B26" t="s">
        <v>9288</v>
      </c>
      <c r="C26">
        <v>100</v>
      </c>
      <c r="D26">
        <v>103.91880577588455</v>
      </c>
      <c r="E26">
        <v>105.99112976056522</v>
      </c>
      <c r="F26">
        <v>108.1756740995269</v>
      </c>
      <c r="G26">
        <v>111.47833725226961</v>
      </c>
      <c r="H26">
        <v>110.67604684457709</v>
      </c>
      <c r="I26">
        <v>112.0930452703486</v>
      </c>
      <c r="J26">
        <v>114.69389530246485</v>
      </c>
      <c r="K26">
        <v>118.98419688974296</v>
      </c>
      <c r="L26">
        <v>119.89280620161178</v>
      </c>
      <c r="M26" s="22">
        <v>171400</v>
      </c>
      <c r="P26" s="123">
        <f t="shared" si="1"/>
        <v>83.40784002656504</v>
      </c>
      <c r="Q26" s="123">
        <f t="shared" si="2"/>
        <v>86.676431279066605</v>
      </c>
      <c r="R26" s="123">
        <f t="shared" si="3"/>
        <v>88.404911953041193</v>
      </c>
      <c r="S26" s="123">
        <f t="shared" si="4"/>
        <v>90.22699320059175</v>
      </c>
      <c r="T26" s="123">
        <f t="shared" si="5"/>
        <v>92.981673199647702</v>
      </c>
      <c r="U26" s="123">
        <f t="shared" si="6"/>
        <v>92.31250009985105</v>
      </c>
      <c r="V26" s="123">
        <f t="shared" si="7"/>
        <v>93.49438787999749</v>
      </c>
      <c r="W26" s="123">
        <f t="shared" si="8"/>
        <v>95.66370071411589</v>
      </c>
      <c r="X26" s="123">
        <f t="shared" si="9"/>
        <v>99.24214859868998</v>
      </c>
      <c r="Y26" s="22">
        <v>100</v>
      </c>
      <c r="Z26" s="22">
        <v>171400</v>
      </c>
    </row>
    <row r="27" spans="2:26">
      <c r="B27" t="s">
        <v>7148</v>
      </c>
      <c r="C27">
        <v>100</v>
      </c>
      <c r="D27">
        <v>106.38652134776476</v>
      </c>
      <c r="E27">
        <v>111.1745672180069</v>
      </c>
      <c r="F27">
        <v>117.40009686792061</v>
      </c>
      <c r="G27">
        <v>121.44373446530119</v>
      </c>
      <c r="H27">
        <v>124.20344356278692</v>
      </c>
      <c r="I27">
        <v>125.45469117717552</v>
      </c>
      <c r="J27">
        <v>127.59534795902756</v>
      </c>
      <c r="K27">
        <v>129.84748440068913</v>
      </c>
      <c r="L27">
        <v>131.86031180886778</v>
      </c>
      <c r="M27" s="22">
        <v>120000</v>
      </c>
      <c r="P27" s="123">
        <f t="shared" si="1"/>
        <v>75.837830677171851</v>
      </c>
      <c r="Q27" s="123">
        <f t="shared" si="2"/>
        <v>80.681229923051134</v>
      </c>
      <c r="R27" s="123">
        <f t="shared" si="3"/>
        <v>84.3123800428707</v>
      </c>
      <c r="S27" s="123">
        <f t="shared" si="4"/>
        <v>89.033686677529374</v>
      </c>
      <c r="T27" s="123">
        <f t="shared" si="5"/>
        <v>92.100293711829323</v>
      </c>
      <c r="U27" s="123">
        <f t="shared" si="6"/>
        <v>94.193197224363061</v>
      </c>
      <c r="V27" s="123">
        <f t="shared" si="7"/>
        <v>95.142116271515249</v>
      </c>
      <c r="W27" s="123">
        <f t="shared" si="8"/>
        <v>96.765543937115581</v>
      </c>
      <c r="X27" s="123">
        <f t="shared" si="9"/>
        <v>98.473515358361766</v>
      </c>
      <c r="Y27" s="22">
        <v>100</v>
      </c>
      <c r="Z27" s="22">
        <v>120000</v>
      </c>
    </row>
    <row r="28" spans="2:26">
      <c r="B28" t="s">
        <v>1028</v>
      </c>
      <c r="C28">
        <v>100</v>
      </c>
      <c r="D28">
        <v>115.52939055588294</v>
      </c>
      <c r="E28">
        <v>120.16849097514326</v>
      </c>
      <c r="F28">
        <v>118.70684004709074</v>
      </c>
      <c r="G28">
        <v>116.01219709958643</v>
      </c>
      <c r="H28">
        <v>96.396245264774578</v>
      </c>
      <c r="I28">
        <v>93.459616348155507</v>
      </c>
      <c r="J28">
        <v>100.53059649995856</v>
      </c>
      <c r="K28">
        <v>112.10014308487169</v>
      </c>
      <c r="L28">
        <v>112.64537978527407</v>
      </c>
      <c r="M28" s="22">
        <v>2100000</v>
      </c>
      <c r="P28" s="123">
        <f t="shared" si="1"/>
        <v>88.774169158665146</v>
      </c>
      <c r="Q28" s="123">
        <f t="shared" si="2"/>
        <v>102.56025660005443</v>
      </c>
      <c r="R28" s="123">
        <f t="shared" si="3"/>
        <v>106.67857945368893</v>
      </c>
      <c r="S28" s="123">
        <f t="shared" si="4"/>
        <v>105.38101098631039</v>
      </c>
      <c r="T28" s="123">
        <f t="shared" si="5"/>
        <v>102.98886409787087</v>
      </c>
      <c r="U28" s="123">
        <f t="shared" si="6"/>
        <v>85.574965833952717</v>
      </c>
      <c r="V28" s="123">
        <f t="shared" si="7"/>
        <v>82.967997911951031</v>
      </c>
      <c r="W28" s="123">
        <f t="shared" si="8"/>
        <v>89.245201793088313</v>
      </c>
      <c r="X28" s="123">
        <f t="shared" si="9"/>
        <v>99.515970649269661</v>
      </c>
      <c r="Y28" s="22">
        <v>100</v>
      </c>
      <c r="Z28" s="22">
        <v>2100000</v>
      </c>
    </row>
    <row r="29" spans="2:26">
      <c r="B29" t="s">
        <v>6393</v>
      </c>
      <c r="C29">
        <v>100</v>
      </c>
      <c r="D29">
        <v>103.53846772882356</v>
      </c>
      <c r="E29">
        <v>106.25001652806556</v>
      </c>
      <c r="F29">
        <v>106.36251904554011</v>
      </c>
      <c r="G29">
        <v>104.10948267060753</v>
      </c>
      <c r="H29">
        <v>105.22322990381075</v>
      </c>
      <c r="I29">
        <v>106.22879519540864</v>
      </c>
      <c r="J29">
        <v>106.86501732483278</v>
      </c>
      <c r="K29">
        <v>106.34410945139945</v>
      </c>
      <c r="L29">
        <v>108.1285349511071</v>
      </c>
      <c r="M29" s="22">
        <v>100000</v>
      </c>
      <c r="P29" s="123">
        <f t="shared" si="1"/>
        <v>92.482525584220099</v>
      </c>
      <c r="Q29" s="123">
        <f t="shared" si="2"/>
        <v>95.754989906818722</v>
      </c>
      <c r="R29" s="123">
        <f t="shared" si="3"/>
        <v>98.26269871880632</v>
      </c>
      <c r="S29" s="123">
        <f t="shared" si="4"/>
        <v>98.366743888312612</v>
      </c>
      <c r="T29" s="123">
        <f t="shared" si="5"/>
        <v>96.283078946443808</v>
      </c>
      <c r="U29" s="123">
        <f t="shared" si="6"/>
        <v>97.313100516334515</v>
      </c>
      <c r="V29" s="123">
        <f t="shared" si="7"/>
        <v>98.243072694402571</v>
      </c>
      <c r="W29" s="123">
        <f t="shared" si="8"/>
        <v>98.831466988019727</v>
      </c>
      <c r="X29" s="123">
        <f t="shared" si="9"/>
        <v>98.349718230701527</v>
      </c>
      <c r="Y29" s="22">
        <v>100</v>
      </c>
      <c r="Z29" s="22">
        <v>100000</v>
      </c>
    </row>
    <row r="30" spans="2:26">
      <c r="B30" t="s">
        <v>9462</v>
      </c>
      <c r="C30">
        <v>100</v>
      </c>
      <c r="D30">
        <v>108.71422974274066</v>
      </c>
      <c r="E30">
        <v>109.21910019363916</v>
      </c>
      <c r="F30">
        <v>110.68944296035764</v>
      </c>
      <c r="G30">
        <v>115.37376963256733</v>
      </c>
      <c r="H30">
        <v>122.10365906734199</v>
      </c>
      <c r="I30">
        <v>125.30194254902504</v>
      </c>
      <c r="J30">
        <v>135.94138896765489</v>
      </c>
      <c r="K30">
        <v>141.83339494335291</v>
      </c>
      <c r="L30">
        <v>151.24565855996605</v>
      </c>
      <c r="M30" s="22">
        <v>100000</v>
      </c>
      <c r="P30" s="123">
        <f t="shared" si="1"/>
        <v>66.117600301467093</v>
      </c>
      <c r="Q30" s="123">
        <f t="shared" si="2"/>
        <v>71.87923989212392</v>
      </c>
      <c r="R30" s="123">
        <f t="shared" si="3"/>
        <v>72.213048118889205</v>
      </c>
      <c r="S30" s="123">
        <f t="shared" si="4"/>
        <v>73.185203472449672</v>
      </c>
      <c r="T30" s="123">
        <f t="shared" si="5"/>
        <v>76.282367858396285</v>
      </c>
      <c r="U30" s="123">
        <f t="shared" si="6"/>
        <v>80.73200925561126</v>
      </c>
      <c r="V30" s="123">
        <f t="shared" si="7"/>
        <v>82.846637544538311</v>
      </c>
      <c r="W30" s="123">
        <f t="shared" si="8"/>
        <v>89.881184201896744</v>
      </c>
      <c r="X30" s="123">
        <f t="shared" si="9"/>
        <v>93.776837162647325</v>
      </c>
      <c r="Y30" s="22">
        <v>100</v>
      </c>
      <c r="Z30" s="22">
        <v>100000</v>
      </c>
    </row>
    <row r="31" spans="2:26">
      <c r="B31" t="s">
        <v>1258</v>
      </c>
      <c r="C31">
        <v>100</v>
      </c>
      <c r="D31">
        <v>103.11290692489503</v>
      </c>
      <c r="E31">
        <v>104.27824869997751</v>
      </c>
      <c r="F31">
        <v>106.33945976709036</v>
      </c>
      <c r="G31">
        <v>112.62023944622253</v>
      </c>
      <c r="H31">
        <v>118.19892587448429</v>
      </c>
      <c r="I31">
        <v>123.48232245406665</v>
      </c>
      <c r="J31">
        <v>129.38726467982269</v>
      </c>
      <c r="K31">
        <v>132.44142429982529</v>
      </c>
      <c r="L31">
        <v>135.97577117357781</v>
      </c>
      <c r="M31" s="22">
        <v>1868000</v>
      </c>
      <c r="P31" s="123">
        <f t="shared" si="1"/>
        <v>73.542513594092071</v>
      </c>
      <c r="Q31" s="123">
        <f t="shared" si="2"/>
        <v>75.831823592504449</v>
      </c>
      <c r="R31" s="123">
        <f t="shared" si="3"/>
        <v>76.688845225862096</v>
      </c>
      <c r="S31" s="123">
        <f t="shared" si="4"/>
        <v>78.204711655096503</v>
      </c>
      <c r="T31" s="123">
        <f t="shared" si="5"/>
        <v>82.823754904437251</v>
      </c>
      <c r="U31" s="123">
        <f t="shared" si="6"/>
        <v>86.926461129313424</v>
      </c>
      <c r="V31" s="123">
        <f t="shared" si="7"/>
        <v>90.81200377708258</v>
      </c>
      <c r="W31" s="123">
        <f t="shared" si="8"/>
        <v>95.154646716182498</v>
      </c>
      <c r="X31" s="123">
        <f t="shared" si="9"/>
        <v>97.400752469908184</v>
      </c>
      <c r="Y31" s="22">
        <v>100</v>
      </c>
      <c r="Z31" s="22">
        <v>1868000</v>
      </c>
    </row>
    <row r="32" spans="2:26">
      <c r="B32" t="s">
        <v>6313</v>
      </c>
      <c r="C32">
        <v>100</v>
      </c>
      <c r="D32">
        <v>107.85944603491285</v>
      </c>
      <c r="E32">
        <v>116.66573593430236</v>
      </c>
      <c r="F32">
        <v>125.03644260075026</v>
      </c>
      <c r="G32">
        <v>132.12449411421295</v>
      </c>
      <c r="H32">
        <v>139.88387106942463</v>
      </c>
      <c r="I32">
        <v>149.29500043469244</v>
      </c>
      <c r="J32">
        <v>158.66879501907349</v>
      </c>
      <c r="K32">
        <v>167.55015374678334</v>
      </c>
      <c r="L32">
        <v>175.02113342601243</v>
      </c>
      <c r="M32" s="22">
        <v>74190</v>
      </c>
      <c r="P32" s="123">
        <f t="shared" si="1"/>
        <v>57.13595726556845</v>
      </c>
      <c r="Q32" s="123">
        <f t="shared" si="2"/>
        <v>61.626526993386676</v>
      </c>
      <c r="R32" s="123">
        <f t="shared" si="3"/>
        <v>66.65808502698394</v>
      </c>
      <c r="S32" s="123">
        <f t="shared" si="4"/>
        <v>71.440768410751701</v>
      </c>
      <c r="T32" s="123">
        <f t="shared" si="5"/>
        <v>75.490594494445219</v>
      </c>
      <c r="U32" s="123">
        <f t="shared" si="6"/>
        <v>79.923988795649322</v>
      </c>
      <c r="V32" s="123">
        <f t="shared" si="7"/>
        <v>85.301127647996111</v>
      </c>
      <c r="W32" s="123">
        <f t="shared" si="8"/>
        <v>90.656934915890233</v>
      </c>
      <c r="X32" s="123">
        <f t="shared" si="9"/>
        <v>95.73138424315637</v>
      </c>
      <c r="Y32" s="22">
        <v>100</v>
      </c>
      <c r="Z32" s="22">
        <v>74190</v>
      </c>
    </row>
    <row r="33" spans="2:26">
      <c r="B33" t="s">
        <v>9855</v>
      </c>
      <c r="C33">
        <v>100</v>
      </c>
      <c r="D33">
        <v>113.95812586651559</v>
      </c>
      <c r="E33">
        <v>114.17894457915911</v>
      </c>
      <c r="F33">
        <v>116.81547240924306</v>
      </c>
      <c r="G33">
        <v>130.72102632259094</v>
      </c>
      <c r="H33">
        <v>133.15941333127046</v>
      </c>
      <c r="I33">
        <v>149.07623013681197</v>
      </c>
      <c r="J33">
        <v>152.97074998391503</v>
      </c>
      <c r="K33">
        <v>154.75660899320985</v>
      </c>
      <c r="L33">
        <v>155.74897059489916</v>
      </c>
      <c r="M33" s="22">
        <v>64417</v>
      </c>
      <c r="P33" s="123">
        <f t="shared" si="1"/>
        <v>64.205881822550566</v>
      </c>
      <c r="Q33" s="123">
        <f t="shared" si="2"/>
        <v>73.167819621048437</v>
      </c>
      <c r="R33" s="123">
        <f t="shared" si="3"/>
        <v>73.309598222730415</v>
      </c>
      <c r="S33" s="123">
        <f t="shared" si="4"/>
        <v>75.002404165532766</v>
      </c>
      <c r="T33" s="123">
        <f t="shared" si="5"/>
        <v>83.93058767790798</v>
      </c>
      <c r="U33" s="123">
        <f t="shared" si="6"/>
        <v>85.496175559077159</v>
      </c>
      <c r="V33" s="123">
        <f t="shared" si="7"/>
        <v>95.715708147155027</v>
      </c>
      <c r="W33" s="123">
        <f t="shared" si="8"/>
        <v>98.216218957741788</v>
      </c>
      <c r="X33" s="123">
        <f t="shared" si="9"/>
        <v>99.362845482767</v>
      </c>
      <c r="Y33" s="22">
        <v>100</v>
      </c>
      <c r="Z33" s="22">
        <v>64417</v>
      </c>
    </row>
    <row r="34" spans="2:26">
      <c r="B34" t="s">
        <v>6281</v>
      </c>
      <c r="C34">
        <v>100</v>
      </c>
      <c r="D34">
        <v>109.39165549285872</v>
      </c>
      <c r="E34">
        <v>113.58951170900802</v>
      </c>
      <c r="F34">
        <v>117.6638605225567</v>
      </c>
      <c r="G34">
        <v>123.67213885047705</v>
      </c>
      <c r="H34">
        <v>130.08807610315699</v>
      </c>
      <c r="I34">
        <v>136.3075874007969</v>
      </c>
      <c r="J34">
        <v>142.74924442757526</v>
      </c>
      <c r="K34">
        <v>148.58479987820513</v>
      </c>
      <c r="L34">
        <v>149.503436587327</v>
      </c>
      <c r="M34" s="22">
        <v>47500</v>
      </c>
      <c r="P34" s="123">
        <f t="shared" si="1"/>
        <v>66.888094536601926</v>
      </c>
      <c r="Q34" s="123">
        <f t="shared" si="2"/>
        <v>73.169993941217243</v>
      </c>
      <c r="R34" s="123">
        <f t="shared" si="3"/>
        <v>75.977859975585801</v>
      </c>
      <c r="S34" s="123">
        <f t="shared" si="4"/>
        <v>78.703114261743167</v>
      </c>
      <c r="T34" s="123">
        <f t="shared" si="5"/>
        <v>82.72193714974469</v>
      </c>
      <c r="U34" s="123">
        <f t="shared" si="6"/>
        <v>87.013435324726302</v>
      </c>
      <c r="V34" s="123">
        <f t="shared" si="7"/>
        <v>91.173547921206335</v>
      </c>
      <c r="W34" s="123">
        <f t="shared" si="8"/>
        <v>95.482249563001503</v>
      </c>
      <c r="X34" s="123">
        <f t="shared" si="9"/>
        <v>99.385541409554634</v>
      </c>
      <c r="Y34" s="22">
        <v>100</v>
      </c>
      <c r="Z34" s="22">
        <v>47500</v>
      </c>
    </row>
    <row r="35" spans="2:26">
      <c r="B35" t="s">
        <v>1740</v>
      </c>
      <c r="C35">
        <v>100</v>
      </c>
      <c r="D35">
        <v>105.84287319478247</v>
      </c>
      <c r="E35">
        <v>110.14636712023832</v>
      </c>
      <c r="F35">
        <v>111.83131004585955</v>
      </c>
      <c r="G35">
        <v>116.77799128915578</v>
      </c>
      <c r="H35">
        <v>120.03305288944166</v>
      </c>
      <c r="I35">
        <v>126.48815939897153</v>
      </c>
      <c r="J35">
        <v>134.90876237917405</v>
      </c>
      <c r="K35">
        <v>141.60951996437399</v>
      </c>
      <c r="L35">
        <v>146.3293488524458</v>
      </c>
      <c r="M35" s="22">
        <v>353300</v>
      </c>
      <c r="P35" s="123">
        <f t="shared" si="1"/>
        <v>68.338990629171079</v>
      </c>
      <c r="Q35" s="123">
        <f t="shared" si="2"/>
        <v>72.331951194227827</v>
      </c>
      <c r="R35" s="123">
        <f t="shared" si="3"/>
        <v>75.272915504672042</v>
      </c>
      <c r="S35" s="123">
        <f t="shared" si="4"/>
        <v>76.424388492719217</v>
      </c>
      <c r="T35" s="123">
        <f t="shared" si="5"/>
        <v>79.804900524030387</v>
      </c>
      <c r="U35" s="123">
        <f t="shared" si="6"/>
        <v>82.029376766023503</v>
      </c>
      <c r="V35" s="123">
        <f t="shared" si="7"/>
        <v>86.440731398674146</v>
      </c>
      <c r="W35" s="123">
        <f t="shared" si="8"/>
        <v>92.195286480234444</v>
      </c>
      <c r="X35" s="123">
        <f t="shared" si="9"/>
        <v>96.774516578467697</v>
      </c>
      <c r="Y35" s="22">
        <v>100</v>
      </c>
      <c r="Z35" s="22">
        <v>353300</v>
      </c>
    </row>
    <row r="36" spans="2:26">
      <c r="B36" t="s">
        <v>10098</v>
      </c>
      <c r="C36">
        <v>100</v>
      </c>
      <c r="D36">
        <v>112.18289012879177</v>
      </c>
      <c r="E36">
        <v>117.34924272536753</v>
      </c>
      <c r="F36">
        <v>118.10505810223178</v>
      </c>
      <c r="G36">
        <v>119.58874440877648</v>
      </c>
      <c r="H36">
        <v>123.03857624646088</v>
      </c>
      <c r="I36">
        <v>124.75149633517239</v>
      </c>
      <c r="J36">
        <v>127.16449372792735</v>
      </c>
      <c r="K36">
        <v>129.8184659618959</v>
      </c>
      <c r="L36">
        <v>132.9339449341081</v>
      </c>
      <c r="M36" s="22">
        <v>10772</v>
      </c>
      <c r="P36" s="123">
        <f t="shared" si="1"/>
        <v>75.225330933771204</v>
      </c>
      <c r="Q36" s="123">
        <f t="shared" si="2"/>
        <v>84.389950350452551</v>
      </c>
      <c r="R36" s="123">
        <f t="shared" si="3"/>
        <v>88.27635618843216</v>
      </c>
      <c r="S36" s="123">
        <f t="shared" si="4"/>
        <v>88.844920806926623</v>
      </c>
      <c r="T36" s="123">
        <f t="shared" si="5"/>
        <v>89.961028741043918</v>
      </c>
      <c r="U36" s="123">
        <f t="shared" si="6"/>
        <v>92.556176157600603</v>
      </c>
      <c r="V36" s="123">
        <f t="shared" si="7"/>
        <v>93.844725962964887</v>
      </c>
      <c r="W36" s="123">
        <f t="shared" si="8"/>
        <v>95.659911237088082</v>
      </c>
      <c r="X36" s="123">
        <f t="shared" si="9"/>
        <v>97.656370632981321</v>
      </c>
      <c r="Y36" s="22">
        <v>100</v>
      </c>
      <c r="Z36" s="22">
        <v>10772</v>
      </c>
    </row>
    <row r="39" spans="2:26">
      <c r="B39" t="s">
        <v>11149</v>
      </c>
      <c r="C39">
        <f t="shared" ref="C39:M39" si="10">SUMPRODUCT(C$6:C$36,$M$6:$M$36)/SUM($M$6:$M$36)</f>
        <v>100</v>
      </c>
      <c r="D39" s="22">
        <f t="shared" si="10"/>
        <v>109.10559555310945</v>
      </c>
      <c r="E39" s="22">
        <f t="shared" si="10"/>
        <v>114.9737697433729</v>
      </c>
      <c r="F39" s="22">
        <f t="shared" si="10"/>
        <v>120.6900957416462</v>
      </c>
      <c r="G39" s="22">
        <f t="shared" si="10"/>
        <v>126.7515873742251</v>
      </c>
      <c r="H39" s="22">
        <f t="shared" si="10"/>
        <v>131.50248709812305</v>
      </c>
      <c r="I39" s="22">
        <f t="shared" si="10"/>
        <v>140.54306016803281</v>
      </c>
      <c r="J39" s="22">
        <f t="shared" si="10"/>
        <v>151.24983565740618</v>
      </c>
      <c r="K39" s="22">
        <f t="shared" si="10"/>
        <v>166.65184306420343</v>
      </c>
      <c r="L39" s="22">
        <f t="shared" si="10"/>
        <v>188.23294303843022</v>
      </c>
      <c r="M39" s="22">
        <f t="shared" si="10"/>
        <v>1429011340.9439011</v>
      </c>
      <c r="P39" s="22">
        <f t="shared" ref="P39:Y39" si="11">SUMPRODUCT(P$6:P$36,$M$6:$M$36)/SUM($M$6:$M$36)</f>
        <v>70.178097199647496</v>
      </c>
      <c r="Q39" s="22">
        <f t="shared" si="11"/>
        <v>76.121429733682348</v>
      </c>
      <c r="R39" s="22">
        <f t="shared" si="11"/>
        <v>79.389671009832981</v>
      </c>
      <c r="S39" s="22">
        <f t="shared" si="11"/>
        <v>82.305121153371886</v>
      </c>
      <c r="T39" s="22">
        <f t="shared" si="11"/>
        <v>84.361462811773549</v>
      </c>
      <c r="U39" s="22">
        <f t="shared" si="11"/>
        <v>85.557681653248082</v>
      </c>
      <c r="V39" s="22">
        <f t="shared" si="11"/>
        <v>88.045908873367637</v>
      </c>
      <c r="W39" s="22">
        <f t="shared" si="11"/>
        <v>92.257124221333456</v>
      </c>
      <c r="X39" s="22">
        <f t="shared" si="11"/>
        <v>96.576137939455236</v>
      </c>
      <c r="Y39" s="22">
        <f t="shared" si="11"/>
        <v>100</v>
      </c>
    </row>
    <row r="40" spans="2:26">
      <c r="C40" s="22">
        <f t="shared" ref="C40:J40" si="12">(C39/D39)*D40</f>
        <v>53.1256635452933</v>
      </c>
      <c r="D40" s="22">
        <f t="shared" si="12"/>
        <v>57.96307160263342</v>
      </c>
      <c r="E40" s="22">
        <f t="shared" si="12"/>
        <v>61.080578079204514</v>
      </c>
      <c r="F40" s="22">
        <f t="shared" si="12"/>
        <v>64.11741419619932</v>
      </c>
      <c r="G40" s="22">
        <f t="shared" si="12"/>
        <v>67.337621846749286</v>
      </c>
      <c r="H40" s="22">
        <f t="shared" si="12"/>
        <v>69.861568849441582</v>
      </c>
      <c r="I40" s="22">
        <f t="shared" si="12"/>
        <v>74.664433281128225</v>
      </c>
      <c r="J40" s="22">
        <f t="shared" si="12"/>
        <v>80.352478804162658</v>
      </c>
      <c r="K40">
        <f>(K39/L39)*L40</f>
        <v>88.534897438318907</v>
      </c>
      <c r="L40">
        <v>100</v>
      </c>
    </row>
    <row r="45" spans="2:26">
      <c r="C45">
        <v>2010</v>
      </c>
      <c r="D45">
        <v>2011</v>
      </c>
      <c r="E45">
        <v>2012</v>
      </c>
      <c r="F45">
        <v>2013</v>
      </c>
      <c r="G45">
        <v>2014</v>
      </c>
      <c r="H45">
        <v>2015</v>
      </c>
      <c r="I45">
        <v>2016</v>
      </c>
      <c r="J45">
        <v>2017</v>
      </c>
      <c r="K45">
        <v>2018</v>
      </c>
      <c r="L45">
        <v>2019</v>
      </c>
      <c r="M45" t="s">
        <v>11150</v>
      </c>
      <c r="P45" s="22">
        <v>2010</v>
      </c>
      <c r="Q45" s="22">
        <v>2011</v>
      </c>
      <c r="R45" s="22">
        <v>2012</v>
      </c>
      <c r="S45" s="22">
        <v>2013</v>
      </c>
      <c r="T45" s="22">
        <v>2014</v>
      </c>
      <c r="U45" s="22">
        <v>2015</v>
      </c>
      <c r="V45" s="22">
        <v>2016</v>
      </c>
      <c r="W45" s="22">
        <v>2017</v>
      </c>
      <c r="X45" s="22">
        <v>2018</v>
      </c>
      <c r="Y45" s="22">
        <v>2019</v>
      </c>
      <c r="Z45" s="22" t="s">
        <v>11150</v>
      </c>
    </row>
    <row r="46" spans="2:26">
      <c r="B46" t="s">
        <v>3994</v>
      </c>
      <c r="C46">
        <f>INDEX('exch rate'!$BC$5:$BL$268,MATCH('GDP deflators'!$B46,'exch rate'!$A$5:$A$268,),MATCH('GDP deflators'!C$45,'exch rate'!$BC$4:$BL$4,))</f>
        <v>45.725812121212101</v>
      </c>
      <c r="D46" s="22">
        <f>INDEX('exch rate'!$BC$5:$BL$268,MATCH('GDP deflators'!$B46,'exch rate'!$A$5:$A$268,),MATCH('GDP deflators'!D$45,'exch rate'!$BC$4:$BL$4,))</f>
        <v>46.670466666666698</v>
      </c>
      <c r="E46" s="22">
        <f>INDEX('exch rate'!$BC$5:$BL$268,MATCH('GDP deflators'!$B46,'exch rate'!$A$5:$A$268,),MATCH('GDP deflators'!E$45,'exch rate'!$BC$4:$BL$4,))</f>
        <v>53.437233333333303</v>
      </c>
      <c r="F46" s="22">
        <f>INDEX('exch rate'!$BC$5:$BL$268,MATCH('GDP deflators'!$B46,'exch rate'!$A$5:$A$268,),MATCH('GDP deflators'!F$45,'exch rate'!$BC$4:$BL$4,))</f>
        <v>58.597845416666701</v>
      </c>
      <c r="G46" s="22">
        <f>INDEX('exch rate'!$BC$5:$BL$268,MATCH('GDP deflators'!$B46,'exch rate'!$A$5:$A$268,),MATCH('GDP deflators'!G$45,'exch rate'!$BC$4:$BL$4,))</f>
        <v>61.029514460784299</v>
      </c>
      <c r="H46" s="22">
        <f>INDEX('exch rate'!$BC$5:$BL$268,MATCH('GDP deflators'!$B46,'exch rate'!$A$5:$A$268,),MATCH('GDP deflators'!H$45,'exch rate'!$BC$4:$BL$4,))</f>
        <v>64.151944463278596</v>
      </c>
      <c r="I46" s="22">
        <f>INDEX('exch rate'!$BC$5:$BL$268,MATCH('GDP deflators'!$B46,'exch rate'!$A$5:$A$268,),MATCH('GDP deflators'!I$45,'exch rate'!$BC$4:$BL$4,))</f>
        <v>67.195312807389399</v>
      </c>
      <c r="J46" s="22">
        <f>INDEX('exch rate'!$BC$5:$BL$268,MATCH('GDP deflators'!$B46,'exch rate'!$A$5:$A$268,),MATCH('GDP deflators'!J$45,'exch rate'!$BC$4:$BL$4,))</f>
        <v>65.121568645066006</v>
      </c>
      <c r="K46" s="22">
        <f>INDEX('exch rate'!$BC$5:$BL$268,MATCH('GDP deflators'!$B46,'exch rate'!$A$5:$A$268,),MATCH('GDP deflators'!K$45,'exch rate'!$BC$4:$BL$4,))</f>
        <v>68.389467093542095</v>
      </c>
      <c r="L46" s="22">
        <f>INDEX('exch rate'!$BC$5:$BL$268,MATCH('GDP deflators'!$B46,'exch rate'!$A$5:$A$268,),MATCH('GDP deflators'!L$45,'exch rate'!$BC$4:$BL$4,))</f>
        <v>70.420340535955106</v>
      </c>
      <c r="M46">
        <v>935181385</v>
      </c>
      <c r="P46" s="22">
        <f>INDEX('exch rate'!$BC$5:$BL$268,MATCH('GDP deflators'!$B46,'exch rate'!$A$5:$A$268,),MATCH('GDP deflators'!P$45,'exch rate'!$BC$4:$BL$4,))</f>
        <v>45.725812121212101</v>
      </c>
      <c r="Q46" s="22">
        <f>INDEX('exch rate'!$BC$5:$BL$268,MATCH('GDP deflators'!$B46,'exch rate'!$A$5:$A$268,),MATCH('GDP deflators'!Q$45,'exch rate'!$BC$4:$BL$4,))</f>
        <v>46.670466666666698</v>
      </c>
      <c r="R46" s="22">
        <f>INDEX('exch rate'!$BC$5:$BL$268,MATCH('GDP deflators'!$B46,'exch rate'!$A$5:$A$268,),MATCH('GDP deflators'!R$45,'exch rate'!$BC$4:$BL$4,))</f>
        <v>53.437233333333303</v>
      </c>
      <c r="S46" s="22">
        <f>INDEX('exch rate'!$BC$5:$BL$268,MATCH('GDP deflators'!$B46,'exch rate'!$A$5:$A$268,),MATCH('GDP deflators'!S$45,'exch rate'!$BC$4:$BL$4,))</f>
        <v>58.597845416666701</v>
      </c>
      <c r="T46" s="22">
        <f>INDEX('exch rate'!$BC$5:$BL$268,MATCH('GDP deflators'!$B46,'exch rate'!$A$5:$A$268,),MATCH('GDP deflators'!T$45,'exch rate'!$BC$4:$BL$4,))</f>
        <v>61.029514460784299</v>
      </c>
      <c r="U46" s="22">
        <f>INDEX('exch rate'!$BC$5:$BL$268,MATCH('GDP deflators'!$B46,'exch rate'!$A$5:$A$268,),MATCH('GDP deflators'!U$45,'exch rate'!$BC$4:$BL$4,))</f>
        <v>64.151944463278596</v>
      </c>
      <c r="V46" s="22">
        <f>INDEX('exch rate'!$BC$5:$BL$268,MATCH('GDP deflators'!$B46,'exch rate'!$A$5:$A$268,),MATCH('GDP deflators'!V$45,'exch rate'!$BC$4:$BL$4,))</f>
        <v>67.195312807389399</v>
      </c>
      <c r="W46" s="22">
        <f>INDEX('exch rate'!$BC$5:$BL$268,MATCH('GDP deflators'!$B46,'exch rate'!$A$5:$A$268,),MATCH('GDP deflators'!W$45,'exch rate'!$BC$4:$BL$4,))</f>
        <v>65.121568645066006</v>
      </c>
      <c r="X46" s="22">
        <f>INDEX('exch rate'!$BC$5:$BL$268,MATCH('GDP deflators'!$B46,'exch rate'!$A$5:$A$268,),MATCH('GDP deflators'!X$45,'exch rate'!$BC$4:$BL$4,))</f>
        <v>68.389467093542095</v>
      </c>
      <c r="Y46" s="22">
        <f>INDEX('exch rate'!$BC$5:$BL$268,MATCH('GDP deflators'!$B46,'exch rate'!$A$5:$A$268,),MATCH('GDP deflators'!Y$45,'exch rate'!$BC$4:$BL$4,))</f>
        <v>70.420340535955106</v>
      </c>
      <c r="Z46" s="22">
        <v>935181385</v>
      </c>
    </row>
    <row r="47" spans="2:26">
      <c r="B47" t="s">
        <v>5333</v>
      </c>
      <c r="C47" s="22">
        <f>INDEX('exch rate'!$BC$5:$BL$268,MATCH('GDP deflators'!$B47,'exch rate'!$A$5:$A$268,),MATCH('GDP deflators'!C$45,'exch rate'!$BC$4:$BL$4,))</f>
        <v>3.8962951544704998</v>
      </c>
      <c r="D47" s="22">
        <f>INDEX('exch rate'!$BC$5:$BL$268,MATCH('GDP deflators'!$B47,'exch rate'!$A$5:$A$268,),MATCH('GDP deflators'!D$45,'exch rate'!$BC$4:$BL$4,))</f>
        <v>4.1101395762132604</v>
      </c>
      <c r="E47" s="22">
        <f>INDEX('exch rate'!$BC$5:$BL$268,MATCH('GDP deflators'!$B47,'exch rate'!$A$5:$A$268,),MATCH('GDP deflators'!E$45,'exch rate'!$BC$4:$BL$4,))</f>
        <v>4.5369343601874599</v>
      </c>
      <c r="F47" s="22">
        <f>INDEX('exch rate'!$BC$5:$BL$268,MATCH('GDP deflators'!$B47,'exch rate'!$A$5:$A$268,),MATCH('GDP deflators'!F$45,'exch rate'!$BC$4:$BL$4,))</f>
        <v>5.4593526646570396</v>
      </c>
      <c r="G47" s="22">
        <f>INDEX('exch rate'!$BC$5:$BL$268,MATCH('GDP deflators'!$B47,'exch rate'!$A$5:$A$268,),MATCH('GDP deflators'!G$45,'exch rate'!$BC$4:$BL$4,))</f>
        <v>8.0752759928133404</v>
      </c>
      <c r="H47" s="22">
        <f>INDEX('exch rate'!$BC$5:$BL$268,MATCH('GDP deflators'!$B47,'exch rate'!$A$5:$A$268,),MATCH('GDP deflators'!H$45,'exch rate'!$BC$4:$BL$4,))</f>
        <v>9.2331855247242896</v>
      </c>
      <c r="I47" s="22">
        <f>INDEX('exch rate'!$BC$5:$BL$268,MATCH('GDP deflators'!$B47,'exch rate'!$A$5:$A$268,),MATCH('GDP deflators'!I$45,'exch rate'!$BC$4:$BL$4,))</f>
        <v>14.7581750873396</v>
      </c>
      <c r="J47" s="22">
        <f>INDEX('exch rate'!$BC$5:$BL$268,MATCH('GDP deflators'!$B47,'exch rate'!$A$5:$A$268,),MATCH('GDP deflators'!J$45,'exch rate'!$BC$4:$BL$4,))</f>
        <v>16.5627069251411</v>
      </c>
      <c r="K47" s="22">
        <f>INDEX('exch rate'!$BC$5:$BL$268,MATCH('GDP deflators'!$B47,'exch rate'!$A$5:$A$268,),MATCH('GDP deflators'!K$45,'exch rate'!$BC$4:$BL$4,))</f>
        <v>28.094991666666701</v>
      </c>
      <c r="L47" s="22">
        <f>INDEX('exch rate'!$BC$5:$BL$268,MATCH('GDP deflators'!$B47,'exch rate'!$A$5:$A$268,),MATCH('GDP deflators'!L$45,'exch rate'!$BC$4:$BL$4,))</f>
        <v>48.147891666666702</v>
      </c>
      <c r="M47">
        <v>154985000</v>
      </c>
      <c r="P47" s="22">
        <f>INDEX('exch rate'!$BC$5:$BL$268,MATCH('GDP deflators'!$B47,'exch rate'!$A$5:$A$268,),MATCH('GDP deflators'!P$45,'exch rate'!$BC$4:$BL$4,))</f>
        <v>3.8962951544704998</v>
      </c>
      <c r="Q47" s="22">
        <f>INDEX('exch rate'!$BC$5:$BL$268,MATCH('GDP deflators'!$B47,'exch rate'!$A$5:$A$268,),MATCH('GDP deflators'!Q$45,'exch rate'!$BC$4:$BL$4,))</f>
        <v>4.1101395762132604</v>
      </c>
      <c r="R47" s="22">
        <f>INDEX('exch rate'!$BC$5:$BL$268,MATCH('GDP deflators'!$B47,'exch rate'!$A$5:$A$268,),MATCH('GDP deflators'!R$45,'exch rate'!$BC$4:$BL$4,))</f>
        <v>4.5369343601874599</v>
      </c>
      <c r="S47" s="22">
        <f>INDEX('exch rate'!$BC$5:$BL$268,MATCH('GDP deflators'!$B47,'exch rate'!$A$5:$A$268,),MATCH('GDP deflators'!S$45,'exch rate'!$BC$4:$BL$4,))</f>
        <v>5.4593526646570396</v>
      </c>
      <c r="T47" s="22">
        <f>INDEX('exch rate'!$BC$5:$BL$268,MATCH('GDP deflators'!$B47,'exch rate'!$A$5:$A$268,),MATCH('GDP deflators'!T$45,'exch rate'!$BC$4:$BL$4,))</f>
        <v>8.0752759928133404</v>
      </c>
      <c r="U47" s="22">
        <f>INDEX('exch rate'!$BC$5:$BL$268,MATCH('GDP deflators'!$B47,'exch rate'!$A$5:$A$268,),MATCH('GDP deflators'!U$45,'exch rate'!$BC$4:$BL$4,))</f>
        <v>9.2331855247242896</v>
      </c>
      <c r="V47" s="22">
        <f>INDEX('exch rate'!$BC$5:$BL$268,MATCH('GDP deflators'!$B47,'exch rate'!$A$5:$A$268,),MATCH('GDP deflators'!V$45,'exch rate'!$BC$4:$BL$4,))</f>
        <v>14.7581750873396</v>
      </c>
      <c r="W47" s="22">
        <f>INDEX('exch rate'!$BC$5:$BL$268,MATCH('GDP deflators'!$B47,'exch rate'!$A$5:$A$268,),MATCH('GDP deflators'!W$45,'exch rate'!$BC$4:$BL$4,))</f>
        <v>16.5627069251411</v>
      </c>
      <c r="X47" s="22">
        <f>INDEX('exch rate'!$BC$5:$BL$268,MATCH('GDP deflators'!$B47,'exch rate'!$A$5:$A$268,),MATCH('GDP deflators'!X$45,'exch rate'!$BC$4:$BL$4,))</f>
        <v>28.094991666666701</v>
      </c>
      <c r="Y47" s="22">
        <f>INDEX('exch rate'!$BC$5:$BL$268,MATCH('GDP deflators'!$B47,'exch rate'!$A$5:$A$268,),MATCH('GDP deflators'!Y$45,'exch rate'!$BC$4:$BL$4,))</f>
        <v>48.147891666666702</v>
      </c>
      <c r="Z47" s="22">
        <v>154985000</v>
      </c>
    </row>
    <row r="48" spans="2:26">
      <c r="B48" t="s">
        <v>5208</v>
      </c>
      <c r="C48" s="22">
        <f>INDEX('exch rate'!$BC$5:$BL$268,MATCH('GDP deflators'!$B48,'exch rate'!$A$5:$A$268,),MATCH('GDP deflators'!C$45,'exch rate'!$BC$4:$BL$4,))</f>
        <v>1.7592267105871799</v>
      </c>
      <c r="D48" s="22">
        <f>INDEX('exch rate'!$BC$5:$BL$268,MATCH('GDP deflators'!$B48,'exch rate'!$A$5:$A$268,),MATCH('GDP deflators'!D$45,'exch rate'!$BC$4:$BL$4,))</f>
        <v>1.6728287552565899</v>
      </c>
      <c r="E48" s="22">
        <f>INDEX('exch rate'!$BC$5:$BL$268,MATCH('GDP deflators'!$B48,'exch rate'!$A$5:$A$268,),MATCH('GDP deflators'!E$45,'exch rate'!$BC$4:$BL$4,))</f>
        <v>1.9530686111248701</v>
      </c>
      <c r="F48" s="22">
        <f>INDEX('exch rate'!$BC$5:$BL$268,MATCH('GDP deflators'!$B48,'exch rate'!$A$5:$A$268,),MATCH('GDP deflators'!F$45,'exch rate'!$BC$4:$BL$4,))</f>
        <v>2.1560891512631102</v>
      </c>
      <c r="G48" s="22">
        <f>INDEX('exch rate'!$BC$5:$BL$268,MATCH('GDP deflators'!$B48,'exch rate'!$A$5:$A$268,),MATCH('GDP deflators'!G$45,'exch rate'!$BC$4:$BL$4,))</f>
        <v>2.3529519627666899</v>
      </c>
      <c r="H48" s="22">
        <f>INDEX('exch rate'!$BC$5:$BL$268,MATCH('GDP deflators'!$B48,'exch rate'!$A$5:$A$268,),MATCH('GDP deflators'!H$45,'exch rate'!$BC$4:$BL$4,))</f>
        <v>3.3269043827687899</v>
      </c>
      <c r="I48" s="22">
        <f>INDEX('exch rate'!$BC$5:$BL$268,MATCH('GDP deflators'!$B48,'exch rate'!$A$5:$A$268,),MATCH('GDP deflators'!I$45,'exch rate'!$BC$4:$BL$4,))</f>
        <v>3.49131342157271</v>
      </c>
      <c r="J48" s="22">
        <f>INDEX('exch rate'!$BC$5:$BL$268,MATCH('GDP deflators'!$B48,'exch rate'!$A$5:$A$268,),MATCH('GDP deflators'!J$45,'exch rate'!$BC$4:$BL$4,))</f>
        <v>3.1913894463004802</v>
      </c>
      <c r="K48" s="22">
        <f>INDEX('exch rate'!$BC$5:$BL$268,MATCH('GDP deflators'!$B48,'exch rate'!$A$5:$A$268,),MATCH('GDP deflators'!K$45,'exch rate'!$BC$4:$BL$4,))</f>
        <v>3.65382536145755</v>
      </c>
      <c r="L48" s="22">
        <f>INDEX('exch rate'!$BC$5:$BL$268,MATCH('GDP deflators'!$B48,'exch rate'!$A$5:$A$268,),MATCH('GDP deflators'!L$45,'exch rate'!$BC$4:$BL$4,))</f>
        <v>3.9444710972507</v>
      </c>
      <c r="M48">
        <v>84688335</v>
      </c>
      <c r="P48" s="22">
        <f>INDEX('exch rate'!$BC$5:$BL$268,MATCH('GDP deflators'!$B48,'exch rate'!$A$5:$A$268,),MATCH('GDP deflators'!P$45,'exch rate'!$BC$4:$BL$4,))</f>
        <v>1.7592267105871799</v>
      </c>
      <c r="Q48" s="22">
        <f>INDEX('exch rate'!$BC$5:$BL$268,MATCH('GDP deflators'!$B48,'exch rate'!$A$5:$A$268,),MATCH('GDP deflators'!Q$45,'exch rate'!$BC$4:$BL$4,))</f>
        <v>1.6728287552565899</v>
      </c>
      <c r="R48" s="22">
        <f>INDEX('exch rate'!$BC$5:$BL$268,MATCH('GDP deflators'!$B48,'exch rate'!$A$5:$A$268,),MATCH('GDP deflators'!R$45,'exch rate'!$BC$4:$BL$4,))</f>
        <v>1.9530686111248701</v>
      </c>
      <c r="S48" s="22">
        <f>INDEX('exch rate'!$BC$5:$BL$268,MATCH('GDP deflators'!$B48,'exch rate'!$A$5:$A$268,),MATCH('GDP deflators'!S$45,'exch rate'!$BC$4:$BL$4,))</f>
        <v>2.1560891512631102</v>
      </c>
      <c r="T48" s="22">
        <f>INDEX('exch rate'!$BC$5:$BL$268,MATCH('GDP deflators'!$B48,'exch rate'!$A$5:$A$268,),MATCH('GDP deflators'!T$45,'exch rate'!$BC$4:$BL$4,))</f>
        <v>2.3529519627666899</v>
      </c>
      <c r="U48" s="22">
        <f>INDEX('exch rate'!$BC$5:$BL$268,MATCH('GDP deflators'!$B48,'exch rate'!$A$5:$A$268,),MATCH('GDP deflators'!U$45,'exch rate'!$BC$4:$BL$4,))</f>
        <v>3.3269043827687899</v>
      </c>
      <c r="V48" s="22">
        <f>INDEX('exch rate'!$BC$5:$BL$268,MATCH('GDP deflators'!$B48,'exch rate'!$A$5:$A$268,),MATCH('GDP deflators'!V$45,'exch rate'!$BC$4:$BL$4,))</f>
        <v>3.49131342157271</v>
      </c>
      <c r="W48" s="22">
        <f>INDEX('exch rate'!$BC$5:$BL$268,MATCH('GDP deflators'!$B48,'exch rate'!$A$5:$A$268,),MATCH('GDP deflators'!W$45,'exch rate'!$BC$4:$BL$4,))</f>
        <v>3.1913894463004802</v>
      </c>
      <c r="X48" s="22">
        <f>INDEX('exch rate'!$BC$5:$BL$268,MATCH('GDP deflators'!$B48,'exch rate'!$A$5:$A$268,),MATCH('GDP deflators'!X$45,'exch rate'!$BC$4:$BL$4,))</f>
        <v>3.65382536145755</v>
      </c>
      <c r="Y48" s="22">
        <f>INDEX('exch rate'!$BC$5:$BL$268,MATCH('GDP deflators'!$B48,'exch rate'!$A$5:$A$268,),MATCH('GDP deflators'!Y$45,'exch rate'!$BC$4:$BL$4,))</f>
        <v>3.9444710972507</v>
      </c>
      <c r="Z48" s="22">
        <v>84688335</v>
      </c>
    </row>
    <row r="49" spans="2:26">
      <c r="B49" t="s">
        <v>11148</v>
      </c>
      <c r="C49" s="22">
        <v>1.7592267105871799</v>
      </c>
      <c r="D49" s="22">
        <v>1.6728287552565899</v>
      </c>
      <c r="E49" s="22">
        <v>1.9530686111248701</v>
      </c>
      <c r="F49" s="22">
        <v>2.1560891512631102</v>
      </c>
      <c r="G49" s="22">
        <v>2.3529519627666899</v>
      </c>
      <c r="H49" s="22">
        <v>3.3269043827687899</v>
      </c>
      <c r="I49" s="22">
        <v>3.49131342157271</v>
      </c>
      <c r="J49" s="22">
        <v>3.1913894463004802</v>
      </c>
      <c r="K49" s="22">
        <v>3.65382536145755</v>
      </c>
      <c r="L49" s="22">
        <v>3.9444710972507</v>
      </c>
      <c r="M49" s="22">
        <v>59500000</v>
      </c>
      <c r="P49" s="22">
        <v>1.7592267105871799</v>
      </c>
      <c r="Q49" s="22">
        <v>1.6728287552565899</v>
      </c>
      <c r="R49" s="22">
        <v>1.9530686111248701</v>
      </c>
      <c r="S49" s="22">
        <v>2.1560891512631102</v>
      </c>
      <c r="T49" s="22">
        <v>2.3529519627666899</v>
      </c>
      <c r="U49" s="22">
        <v>3.3269043827687899</v>
      </c>
      <c r="V49" s="22">
        <v>3.49131342157271</v>
      </c>
      <c r="W49" s="22">
        <v>3.1913894463004802</v>
      </c>
      <c r="X49" s="22">
        <v>3.65382536145755</v>
      </c>
      <c r="Y49" s="22">
        <v>3.9444710972507</v>
      </c>
      <c r="Z49" s="22">
        <v>59500000</v>
      </c>
    </row>
    <row r="50" spans="2:26">
      <c r="B50" t="s">
        <v>5391</v>
      </c>
      <c r="C50" s="22">
        <f>INDEX('exch rate'!$BC$5:$BL$268,MATCH('GDP deflators'!$B50,'exch rate'!$A$5:$A$268,),MATCH('GDP deflators'!C$45,'exch rate'!$BC$4:$BL$4,))</f>
        <v>79.233333333333306</v>
      </c>
      <c r="D50" s="22">
        <f>INDEX('exch rate'!$BC$5:$BL$268,MATCH('GDP deflators'!$B50,'exch rate'!$A$5:$A$268,),MATCH('GDP deflators'!D$45,'exch rate'!$BC$4:$BL$4,))</f>
        <v>88.811666666666696</v>
      </c>
      <c r="E50" s="22">
        <f>INDEX('exch rate'!$BC$5:$BL$268,MATCH('GDP deflators'!$B50,'exch rate'!$A$5:$A$268,),MATCH('GDP deflators'!E$45,'exch rate'!$BC$4:$BL$4,))</f>
        <v>84.53</v>
      </c>
      <c r="F50" s="22">
        <f>INDEX('exch rate'!$BC$5:$BL$268,MATCH('GDP deflators'!$B50,'exch rate'!$A$5:$A$268,),MATCH('GDP deflators'!F$45,'exch rate'!$BC$4:$BL$4,))</f>
        <v>86.123333333333306</v>
      </c>
      <c r="G50" s="22">
        <f>INDEX('exch rate'!$BC$5:$BL$268,MATCH('GDP deflators'!$B50,'exch rate'!$A$5:$A$268,),MATCH('GDP deflators'!G$45,'exch rate'!$BC$4:$BL$4,))</f>
        <v>87.922499999999999</v>
      </c>
      <c r="H50" s="22">
        <f>INDEX('exch rate'!$BC$5:$BL$268,MATCH('GDP deflators'!$B50,'exch rate'!$A$5:$A$268,),MATCH('GDP deflators'!H$45,'exch rate'!$BC$4:$BL$4,))</f>
        <v>98.179166666666703</v>
      </c>
      <c r="I50" s="22">
        <f>INDEX('exch rate'!$BC$5:$BL$268,MATCH('GDP deflators'!$B50,'exch rate'!$A$5:$A$268,),MATCH('GDP deflators'!I$45,'exch rate'!$BC$4:$BL$4,))</f>
        <v>101.504166666667</v>
      </c>
      <c r="J50" s="22">
        <f>INDEX('exch rate'!$BC$5:$BL$268,MATCH('GDP deflators'!$B50,'exch rate'!$A$5:$A$268,),MATCH('GDP deflators'!J$45,'exch rate'!$BC$4:$BL$4,))</f>
        <v>103.41044618568</v>
      </c>
      <c r="K50" s="22">
        <f>INDEX('exch rate'!$BC$5:$BL$268,MATCH('GDP deflators'!$B50,'exch rate'!$A$5:$A$268,),MATCH('GDP deflators'!K$45,'exch rate'!$BC$4:$BL$4,))</f>
        <v>101.301574049018</v>
      </c>
      <c r="L50" s="22">
        <f>INDEX('exch rate'!$BC$5:$BL$268,MATCH('GDP deflators'!$B50,'exch rate'!$A$5:$A$268,),MATCH('GDP deflators'!L$45,'exch rate'!$BC$4:$BL$4,))</f>
        <v>101.99129838935001</v>
      </c>
      <c r="M50">
        <v>115462638</v>
      </c>
      <c r="P50" s="22">
        <f>INDEX('exch rate'!$BC$5:$BL$268,MATCH('GDP deflators'!$B50,'exch rate'!$A$5:$A$268,),MATCH('GDP deflators'!P$45,'exch rate'!$BC$4:$BL$4,))</f>
        <v>79.233333333333306</v>
      </c>
      <c r="Q50" s="22">
        <f>INDEX('exch rate'!$BC$5:$BL$268,MATCH('GDP deflators'!$B50,'exch rate'!$A$5:$A$268,),MATCH('GDP deflators'!Q$45,'exch rate'!$BC$4:$BL$4,))</f>
        <v>88.811666666666696</v>
      </c>
      <c r="R50" s="22">
        <f>INDEX('exch rate'!$BC$5:$BL$268,MATCH('GDP deflators'!$B50,'exch rate'!$A$5:$A$268,),MATCH('GDP deflators'!R$45,'exch rate'!$BC$4:$BL$4,))</f>
        <v>84.53</v>
      </c>
      <c r="S50" s="22">
        <f>INDEX('exch rate'!$BC$5:$BL$268,MATCH('GDP deflators'!$B50,'exch rate'!$A$5:$A$268,),MATCH('GDP deflators'!S$45,'exch rate'!$BC$4:$BL$4,))</f>
        <v>86.123333333333306</v>
      </c>
      <c r="T50" s="22">
        <f>INDEX('exch rate'!$BC$5:$BL$268,MATCH('GDP deflators'!$B50,'exch rate'!$A$5:$A$268,),MATCH('GDP deflators'!T$45,'exch rate'!$BC$4:$BL$4,))</f>
        <v>87.922499999999999</v>
      </c>
      <c r="U50" s="22">
        <f>INDEX('exch rate'!$BC$5:$BL$268,MATCH('GDP deflators'!$B50,'exch rate'!$A$5:$A$268,),MATCH('GDP deflators'!U$45,'exch rate'!$BC$4:$BL$4,))</f>
        <v>98.179166666666703</v>
      </c>
      <c r="V50" s="22">
        <f>INDEX('exch rate'!$BC$5:$BL$268,MATCH('GDP deflators'!$B50,'exch rate'!$A$5:$A$268,),MATCH('GDP deflators'!V$45,'exch rate'!$BC$4:$BL$4,))</f>
        <v>101.504166666667</v>
      </c>
      <c r="W50" s="22">
        <f>INDEX('exch rate'!$BC$5:$BL$268,MATCH('GDP deflators'!$B50,'exch rate'!$A$5:$A$268,),MATCH('GDP deflators'!W$45,'exch rate'!$BC$4:$BL$4,))</f>
        <v>103.41044618568</v>
      </c>
      <c r="X50" s="22">
        <f>INDEX('exch rate'!$BC$5:$BL$268,MATCH('GDP deflators'!$B50,'exch rate'!$A$5:$A$268,),MATCH('GDP deflators'!X$45,'exch rate'!$BC$4:$BL$4,))</f>
        <v>101.301574049018</v>
      </c>
      <c r="Y50" s="22">
        <f>INDEX('exch rate'!$BC$5:$BL$268,MATCH('GDP deflators'!$B50,'exch rate'!$A$5:$A$268,),MATCH('GDP deflators'!Y$45,'exch rate'!$BC$4:$BL$4,))</f>
        <v>101.99129838935001</v>
      </c>
      <c r="Z50" s="22">
        <v>115462638</v>
      </c>
    </row>
    <row r="51" spans="2:26">
      <c r="B51" t="s">
        <v>7086</v>
      </c>
      <c r="C51" s="22">
        <f>INDEX('exch rate'!$BC$5:$BL$268,MATCH('GDP deflators'!$B51,'exch rate'!$A$5:$A$268,),MATCH('GDP deflators'!C$45,'exch rate'!$BC$4:$BL$4,))</f>
        <v>3.6724999999999999</v>
      </c>
      <c r="D51" s="22">
        <f>INDEX('exch rate'!$BC$5:$BL$268,MATCH('GDP deflators'!$B51,'exch rate'!$A$5:$A$268,),MATCH('GDP deflators'!D$45,'exch rate'!$BC$4:$BL$4,))</f>
        <v>3.6724999999999999</v>
      </c>
      <c r="E51" s="22">
        <f>INDEX('exch rate'!$BC$5:$BL$268,MATCH('GDP deflators'!$B51,'exch rate'!$A$5:$A$268,),MATCH('GDP deflators'!E$45,'exch rate'!$BC$4:$BL$4,))</f>
        <v>3.6724999999999999</v>
      </c>
      <c r="F51" s="22">
        <f>INDEX('exch rate'!$BC$5:$BL$268,MATCH('GDP deflators'!$B51,'exch rate'!$A$5:$A$268,),MATCH('GDP deflators'!F$45,'exch rate'!$BC$4:$BL$4,))</f>
        <v>3.6724999999999999</v>
      </c>
      <c r="G51" s="22">
        <f>INDEX('exch rate'!$BC$5:$BL$268,MATCH('GDP deflators'!$B51,'exch rate'!$A$5:$A$268,),MATCH('GDP deflators'!G$45,'exch rate'!$BC$4:$BL$4,))</f>
        <v>3.6724999999999999</v>
      </c>
      <c r="H51" s="22">
        <f>INDEX('exch rate'!$BC$5:$BL$268,MATCH('GDP deflators'!$B51,'exch rate'!$A$5:$A$268,),MATCH('GDP deflators'!H$45,'exch rate'!$BC$4:$BL$4,))</f>
        <v>3.6724999999999999</v>
      </c>
      <c r="I51" s="22">
        <f>INDEX('exch rate'!$BC$5:$BL$268,MATCH('GDP deflators'!$B51,'exch rate'!$A$5:$A$268,),MATCH('GDP deflators'!I$45,'exch rate'!$BC$4:$BL$4,))</f>
        <v>3.6724999999999999</v>
      </c>
      <c r="J51" s="22">
        <f>INDEX('exch rate'!$BC$5:$BL$268,MATCH('GDP deflators'!$B51,'exch rate'!$A$5:$A$268,),MATCH('GDP deflators'!J$45,'exch rate'!$BC$4:$BL$4,))</f>
        <v>3.6724999999999999</v>
      </c>
      <c r="K51" s="22">
        <f>INDEX('exch rate'!$BC$5:$BL$268,MATCH('GDP deflators'!$B51,'exch rate'!$A$5:$A$268,),MATCH('GDP deflators'!K$45,'exch rate'!$BC$4:$BL$4,))</f>
        <v>3.6724999999999999</v>
      </c>
      <c r="L51" s="22">
        <f>INDEX('exch rate'!$BC$5:$BL$268,MATCH('GDP deflators'!$B51,'exch rate'!$A$5:$A$268,),MATCH('GDP deflators'!L$45,'exch rate'!$BC$4:$BL$4,))</f>
        <v>3.6724999999999999</v>
      </c>
      <c r="M51">
        <v>27950000</v>
      </c>
      <c r="P51" s="22">
        <f>INDEX('exch rate'!$BC$5:$BL$268,MATCH('GDP deflators'!$B51,'exch rate'!$A$5:$A$268,),MATCH('GDP deflators'!P$45,'exch rate'!$BC$4:$BL$4,))</f>
        <v>3.6724999999999999</v>
      </c>
      <c r="Q51" s="22">
        <f>INDEX('exch rate'!$BC$5:$BL$268,MATCH('GDP deflators'!$B51,'exch rate'!$A$5:$A$268,),MATCH('GDP deflators'!Q$45,'exch rate'!$BC$4:$BL$4,))</f>
        <v>3.6724999999999999</v>
      </c>
      <c r="R51" s="22">
        <f>INDEX('exch rate'!$BC$5:$BL$268,MATCH('GDP deflators'!$B51,'exch rate'!$A$5:$A$268,),MATCH('GDP deflators'!R$45,'exch rate'!$BC$4:$BL$4,))</f>
        <v>3.6724999999999999</v>
      </c>
      <c r="S51" s="22">
        <f>INDEX('exch rate'!$BC$5:$BL$268,MATCH('GDP deflators'!$B51,'exch rate'!$A$5:$A$268,),MATCH('GDP deflators'!S$45,'exch rate'!$BC$4:$BL$4,))</f>
        <v>3.6724999999999999</v>
      </c>
      <c r="T51" s="22">
        <f>INDEX('exch rate'!$BC$5:$BL$268,MATCH('GDP deflators'!$B51,'exch rate'!$A$5:$A$268,),MATCH('GDP deflators'!T$45,'exch rate'!$BC$4:$BL$4,))</f>
        <v>3.6724999999999999</v>
      </c>
      <c r="U51" s="22">
        <f>INDEX('exch rate'!$BC$5:$BL$268,MATCH('GDP deflators'!$B51,'exch rate'!$A$5:$A$268,),MATCH('GDP deflators'!U$45,'exch rate'!$BC$4:$BL$4,))</f>
        <v>3.6724999999999999</v>
      </c>
      <c r="V51" s="22">
        <f>INDEX('exch rate'!$BC$5:$BL$268,MATCH('GDP deflators'!$B51,'exch rate'!$A$5:$A$268,),MATCH('GDP deflators'!V$45,'exch rate'!$BC$4:$BL$4,))</f>
        <v>3.6724999999999999</v>
      </c>
      <c r="W51" s="22">
        <f>INDEX('exch rate'!$BC$5:$BL$268,MATCH('GDP deflators'!$B51,'exch rate'!$A$5:$A$268,),MATCH('GDP deflators'!W$45,'exch rate'!$BC$4:$BL$4,))</f>
        <v>3.6724999999999999</v>
      </c>
      <c r="X51" s="22">
        <f>INDEX('exch rate'!$BC$5:$BL$268,MATCH('GDP deflators'!$B51,'exch rate'!$A$5:$A$268,),MATCH('GDP deflators'!X$45,'exch rate'!$BC$4:$BL$4,))</f>
        <v>3.6724999999999999</v>
      </c>
      <c r="Y51" s="22">
        <f>INDEX('exch rate'!$BC$5:$BL$268,MATCH('GDP deflators'!$B51,'exch rate'!$A$5:$A$268,),MATCH('GDP deflators'!Y$45,'exch rate'!$BC$4:$BL$4,))</f>
        <v>3.6724999999999999</v>
      </c>
      <c r="Z51" s="22">
        <v>27950000</v>
      </c>
    </row>
    <row r="52" spans="2:26">
      <c r="B52" t="s">
        <v>6213</v>
      </c>
      <c r="C52" s="22">
        <f>INDEX('exch rate'!$BC$5:$BL$268,MATCH('GDP deflators'!$B52,'exch rate'!$A$5:$A$268,),MATCH('GDP deflators'!C$45,'exch rate'!$BC$4:$BL$4,))</f>
        <v>150.29750000000001</v>
      </c>
      <c r="D52" s="22">
        <f>INDEX('exch rate'!$BC$5:$BL$268,MATCH('GDP deflators'!$B52,'exch rate'!$A$5:$A$268,),MATCH('GDP deflators'!D$45,'exch rate'!$BC$4:$BL$4,))</f>
        <v>153.86250000000001</v>
      </c>
      <c r="E52" s="22">
        <f>INDEX('exch rate'!$BC$5:$BL$268,MATCH('GDP deflators'!$B52,'exch rate'!$A$5:$A$268,),MATCH('GDP deflators'!E$45,'exch rate'!$BC$4:$BL$4,))</f>
        <v>157.5</v>
      </c>
      <c r="F52" s="22">
        <f>INDEX('exch rate'!$BC$5:$BL$268,MATCH('GDP deflators'!$B52,'exch rate'!$A$5:$A$268,),MATCH('GDP deflators'!F$45,'exch rate'!$BC$4:$BL$4,))</f>
        <v>157.31166666666701</v>
      </c>
      <c r="G52" s="22">
        <f>INDEX('exch rate'!$BC$5:$BL$268,MATCH('GDP deflators'!$B52,'exch rate'!$A$5:$A$268,),MATCH('GDP deflators'!G$45,'exch rate'!$BC$4:$BL$4,))</f>
        <v>158.552641666667</v>
      </c>
      <c r="H52" s="22">
        <f>INDEX('exch rate'!$BC$5:$BL$268,MATCH('GDP deflators'!$B52,'exch rate'!$A$5:$A$268,),MATCH('GDP deflators'!H$45,'exch rate'!$BC$4:$BL$4,))</f>
        <v>192.440333333333</v>
      </c>
      <c r="I52" s="22">
        <f>INDEX('exch rate'!$BC$5:$BL$268,MATCH('GDP deflators'!$B52,'exch rate'!$A$5:$A$268,),MATCH('GDP deflators'!I$45,'exch rate'!$BC$4:$BL$4,))</f>
        <v>253.49199999999999</v>
      </c>
      <c r="J52" s="22">
        <f>INDEX('exch rate'!$BC$5:$BL$268,MATCH('GDP deflators'!$B52,'exch rate'!$A$5:$A$268,),MATCH('GDP deflators'!J$45,'exch rate'!$BC$4:$BL$4,))</f>
        <v>305.79010916000499</v>
      </c>
      <c r="K52" s="22">
        <f>INDEX('exch rate'!$BC$5:$BL$268,MATCH('GDP deflators'!$B52,'exch rate'!$A$5:$A$268,),MATCH('GDP deflators'!K$45,'exch rate'!$BC$4:$BL$4,))</f>
        <v>306.08368824523399</v>
      </c>
      <c r="L52" s="22">
        <f>INDEX('exch rate'!$BC$5:$BL$268,MATCH('GDP deflators'!$B52,'exch rate'!$A$5:$A$268,),MATCH('GDP deflators'!L$45,'exch rate'!$BC$4:$BL$4,))</f>
        <v>306.92095149522299</v>
      </c>
      <c r="M52">
        <v>33100108</v>
      </c>
      <c r="P52" s="22">
        <f>INDEX('exch rate'!$BC$5:$BL$268,MATCH('GDP deflators'!$B52,'exch rate'!$A$5:$A$268,),MATCH('GDP deflators'!P$45,'exch rate'!$BC$4:$BL$4,))</f>
        <v>150.29750000000001</v>
      </c>
      <c r="Q52" s="22">
        <f>INDEX('exch rate'!$BC$5:$BL$268,MATCH('GDP deflators'!$B52,'exch rate'!$A$5:$A$268,),MATCH('GDP deflators'!Q$45,'exch rate'!$BC$4:$BL$4,))</f>
        <v>153.86250000000001</v>
      </c>
      <c r="R52" s="22">
        <f>INDEX('exch rate'!$BC$5:$BL$268,MATCH('GDP deflators'!$B52,'exch rate'!$A$5:$A$268,),MATCH('GDP deflators'!R$45,'exch rate'!$BC$4:$BL$4,))</f>
        <v>157.5</v>
      </c>
      <c r="S52" s="22">
        <f>INDEX('exch rate'!$BC$5:$BL$268,MATCH('GDP deflators'!$B52,'exch rate'!$A$5:$A$268,),MATCH('GDP deflators'!S$45,'exch rate'!$BC$4:$BL$4,))</f>
        <v>157.31166666666701</v>
      </c>
      <c r="T52" s="22">
        <f>INDEX('exch rate'!$BC$5:$BL$268,MATCH('GDP deflators'!$B52,'exch rate'!$A$5:$A$268,),MATCH('GDP deflators'!T$45,'exch rate'!$BC$4:$BL$4,))</f>
        <v>158.552641666667</v>
      </c>
      <c r="U52" s="22">
        <f>INDEX('exch rate'!$BC$5:$BL$268,MATCH('GDP deflators'!$B52,'exch rate'!$A$5:$A$268,),MATCH('GDP deflators'!U$45,'exch rate'!$BC$4:$BL$4,))</f>
        <v>192.440333333333</v>
      </c>
      <c r="V52" s="22">
        <f>INDEX('exch rate'!$BC$5:$BL$268,MATCH('GDP deflators'!$B52,'exch rate'!$A$5:$A$268,),MATCH('GDP deflators'!V$45,'exch rate'!$BC$4:$BL$4,))</f>
        <v>253.49199999999999</v>
      </c>
      <c r="W52" s="22">
        <f>INDEX('exch rate'!$BC$5:$BL$268,MATCH('GDP deflators'!$B52,'exch rate'!$A$5:$A$268,),MATCH('GDP deflators'!W$45,'exch rate'!$BC$4:$BL$4,))</f>
        <v>305.79010916000499</v>
      </c>
      <c r="X52" s="22">
        <f>INDEX('exch rate'!$BC$5:$BL$268,MATCH('GDP deflators'!$B52,'exch rate'!$A$5:$A$268,),MATCH('GDP deflators'!X$45,'exch rate'!$BC$4:$BL$4,))</f>
        <v>306.08368824523399</v>
      </c>
      <c r="Y52" s="22">
        <f>INDEX('exch rate'!$BC$5:$BL$268,MATCH('GDP deflators'!$B52,'exch rate'!$A$5:$A$268,),MATCH('GDP deflators'!Y$45,'exch rate'!$BC$4:$BL$4,))</f>
        <v>306.92095149522299</v>
      </c>
      <c r="Z52" s="22">
        <v>33100108</v>
      </c>
    </row>
    <row r="53" spans="2:26">
      <c r="B53" t="s">
        <v>5277</v>
      </c>
      <c r="C53" s="22">
        <f>INDEX('exch rate'!$BC$5:$BL$268,MATCH('GDP deflators'!$B53,'exch rate'!$A$5:$A$268,),MATCH('GDP deflators'!C$45,'exch rate'!$BC$4:$BL$4,))</f>
        <v>9090.4333333333307</v>
      </c>
      <c r="D53" s="22">
        <f>INDEX('exch rate'!$BC$5:$BL$268,MATCH('GDP deflators'!$B53,'exch rate'!$A$5:$A$268,),MATCH('GDP deflators'!D$45,'exch rate'!$BC$4:$BL$4,))</f>
        <v>8770.4333333333307</v>
      </c>
      <c r="E53" s="22">
        <f>INDEX('exch rate'!$BC$5:$BL$268,MATCH('GDP deflators'!$B53,'exch rate'!$A$5:$A$268,),MATCH('GDP deflators'!E$45,'exch rate'!$BC$4:$BL$4,))</f>
        <v>9386.6291666666693</v>
      </c>
      <c r="F53" s="22">
        <f>INDEX('exch rate'!$BC$5:$BL$268,MATCH('GDP deflators'!$B53,'exch rate'!$A$5:$A$268,),MATCH('GDP deflators'!F$45,'exch rate'!$BC$4:$BL$4,))</f>
        <v>10461.24</v>
      </c>
      <c r="G53" s="22">
        <f>INDEX('exch rate'!$BC$5:$BL$268,MATCH('GDP deflators'!$B53,'exch rate'!$A$5:$A$268,),MATCH('GDP deflators'!G$45,'exch rate'!$BC$4:$BL$4,))</f>
        <v>11865.2112962963</v>
      </c>
      <c r="H53" s="22">
        <f>INDEX('exch rate'!$BC$5:$BL$268,MATCH('GDP deflators'!$B53,'exch rate'!$A$5:$A$268,),MATCH('GDP deflators'!H$45,'exch rate'!$BC$4:$BL$4,))</f>
        <v>13389.412936507901</v>
      </c>
      <c r="I53" s="22">
        <f>INDEX('exch rate'!$BC$5:$BL$268,MATCH('GDP deflators'!$B53,'exch rate'!$A$5:$A$268,),MATCH('GDP deflators'!I$45,'exch rate'!$BC$4:$BL$4,))</f>
        <v>13308.3268020542</v>
      </c>
      <c r="J53" s="22">
        <f>INDEX('exch rate'!$BC$5:$BL$268,MATCH('GDP deflators'!$B53,'exch rate'!$A$5:$A$268,),MATCH('GDP deflators'!J$45,'exch rate'!$BC$4:$BL$4,))</f>
        <v>13380.8338788891</v>
      </c>
      <c r="K53" s="22">
        <f>INDEX('exch rate'!$BC$5:$BL$268,MATCH('GDP deflators'!$B53,'exch rate'!$A$5:$A$268,),MATCH('GDP deflators'!K$45,'exch rate'!$BC$4:$BL$4,))</f>
        <v>14236.938773481799</v>
      </c>
      <c r="L53" s="22">
        <f>INDEX('exch rate'!$BC$5:$BL$268,MATCH('GDP deflators'!$B53,'exch rate'!$A$5:$A$268,),MATCH('GDP deflators'!L$45,'exch rate'!$BC$4:$BL$4,))</f>
        <v>14147.671360545401</v>
      </c>
      <c r="M53">
        <v>48345000</v>
      </c>
      <c r="P53" s="22">
        <f>INDEX('exch rate'!$BC$5:$BL$268,MATCH('GDP deflators'!$B53,'exch rate'!$A$5:$A$268,),MATCH('GDP deflators'!P$45,'exch rate'!$BC$4:$BL$4,))</f>
        <v>9090.4333333333307</v>
      </c>
      <c r="Q53" s="22">
        <f>INDEX('exch rate'!$BC$5:$BL$268,MATCH('GDP deflators'!$B53,'exch rate'!$A$5:$A$268,),MATCH('GDP deflators'!Q$45,'exch rate'!$BC$4:$BL$4,))</f>
        <v>8770.4333333333307</v>
      </c>
      <c r="R53" s="22">
        <f>INDEX('exch rate'!$BC$5:$BL$268,MATCH('GDP deflators'!$B53,'exch rate'!$A$5:$A$268,),MATCH('GDP deflators'!R$45,'exch rate'!$BC$4:$BL$4,))</f>
        <v>9386.6291666666693</v>
      </c>
      <c r="S53" s="22">
        <f>INDEX('exch rate'!$BC$5:$BL$268,MATCH('GDP deflators'!$B53,'exch rate'!$A$5:$A$268,),MATCH('GDP deflators'!S$45,'exch rate'!$BC$4:$BL$4,))</f>
        <v>10461.24</v>
      </c>
      <c r="T53" s="22">
        <f>INDEX('exch rate'!$BC$5:$BL$268,MATCH('GDP deflators'!$B53,'exch rate'!$A$5:$A$268,),MATCH('GDP deflators'!T$45,'exch rate'!$BC$4:$BL$4,))</f>
        <v>11865.2112962963</v>
      </c>
      <c r="U53" s="22">
        <f>INDEX('exch rate'!$BC$5:$BL$268,MATCH('GDP deflators'!$B53,'exch rate'!$A$5:$A$268,),MATCH('GDP deflators'!U$45,'exch rate'!$BC$4:$BL$4,))</f>
        <v>13389.412936507901</v>
      </c>
      <c r="V53" s="22">
        <f>INDEX('exch rate'!$BC$5:$BL$268,MATCH('GDP deflators'!$B53,'exch rate'!$A$5:$A$268,),MATCH('GDP deflators'!V$45,'exch rate'!$BC$4:$BL$4,))</f>
        <v>13308.3268020542</v>
      </c>
      <c r="W53" s="22">
        <f>INDEX('exch rate'!$BC$5:$BL$268,MATCH('GDP deflators'!$B53,'exch rate'!$A$5:$A$268,),MATCH('GDP deflators'!W$45,'exch rate'!$BC$4:$BL$4,))</f>
        <v>13380.8338788891</v>
      </c>
      <c r="X53" s="22">
        <f>INDEX('exch rate'!$BC$5:$BL$268,MATCH('GDP deflators'!$B53,'exch rate'!$A$5:$A$268,),MATCH('GDP deflators'!X$45,'exch rate'!$BC$4:$BL$4,))</f>
        <v>14236.938773481799</v>
      </c>
      <c r="Y53" s="22">
        <f>INDEX('exch rate'!$BC$5:$BL$268,MATCH('GDP deflators'!$B53,'exch rate'!$A$5:$A$268,),MATCH('GDP deflators'!Y$45,'exch rate'!$BC$4:$BL$4,))</f>
        <v>14147.671360545401</v>
      </c>
      <c r="Z53" s="22">
        <v>48345000</v>
      </c>
    </row>
    <row r="54" spans="2:26">
      <c r="B54" t="s">
        <v>7133</v>
      </c>
      <c r="C54" s="22">
        <f>INDEX('exch rate'!$BC$5:$BL$268,MATCH('GDP deflators'!$B54,'exch rate'!$A$5:$A$268,),MATCH('GDP deflators'!C$45,'exch rate'!$BC$4:$BL$4,))</f>
        <v>5.6348833333333301</v>
      </c>
      <c r="D54" s="22">
        <f>INDEX('exch rate'!$BC$5:$BL$268,MATCH('GDP deflators'!$B54,'exch rate'!$A$5:$A$268,),MATCH('GDP deflators'!D$45,'exch rate'!$BC$4:$BL$4,))</f>
        <v>5.4441083333333298</v>
      </c>
      <c r="E54" s="22">
        <f>INDEX('exch rate'!$BC$5:$BL$268,MATCH('GDP deflators'!$B54,'exch rate'!$A$5:$A$268,),MATCH('GDP deflators'!E$45,'exch rate'!$BC$4:$BL$4,))</f>
        <v>5.4441083333333298</v>
      </c>
      <c r="F54" s="22">
        <f>INDEX('exch rate'!$BC$5:$BL$268,MATCH('GDP deflators'!$B54,'exch rate'!$A$5:$A$268,),MATCH('GDP deflators'!F$45,'exch rate'!$BC$4:$BL$4,))</f>
        <v>5.4441083333333298</v>
      </c>
      <c r="G54" s="22">
        <f>INDEX('exch rate'!$BC$5:$BL$268,MATCH('GDP deflators'!$B54,'exch rate'!$A$5:$A$268,),MATCH('GDP deflators'!G$45,'exch rate'!$BC$4:$BL$4,))</f>
        <v>5.4441083333333298</v>
      </c>
      <c r="H54" s="22">
        <f>INDEX('exch rate'!$BC$5:$BL$268,MATCH('GDP deflators'!$B54,'exch rate'!$A$5:$A$268,),MATCH('GDP deflators'!H$45,'exch rate'!$BC$4:$BL$4,))</f>
        <v>5.4441083333333298</v>
      </c>
      <c r="I54" s="22">
        <f>INDEX('exch rate'!$BC$5:$BL$268,MATCH('GDP deflators'!$B54,'exch rate'!$A$5:$A$268,),MATCH('GDP deflators'!I$45,'exch rate'!$BC$4:$BL$4,))</f>
        <v>5.4441083333333298</v>
      </c>
      <c r="J54" s="22">
        <f>INDEX('exch rate'!$BC$5:$BL$268,MATCH('GDP deflators'!$B54,'exch rate'!$A$5:$A$268,),MATCH('GDP deflators'!J$45,'exch rate'!$BC$4:$BL$4,))</f>
        <v>5.4441083333333298</v>
      </c>
      <c r="K54" s="22">
        <f>INDEX('exch rate'!$BC$5:$BL$268,MATCH('GDP deflators'!$B54,'exch rate'!$A$5:$A$268,),MATCH('GDP deflators'!K$45,'exch rate'!$BC$4:$BL$4,))</f>
        <v>5.4441083333333298</v>
      </c>
      <c r="L54" s="22">
        <f>INDEX('exch rate'!$BC$5:$BL$268,MATCH('GDP deflators'!$B54,'exch rate'!$A$5:$A$268,),MATCH('GDP deflators'!L$45,'exch rate'!$BC$4:$BL$4,))</f>
        <v>5.4441083333333298</v>
      </c>
      <c r="M54">
        <v>17800000</v>
      </c>
      <c r="P54" s="22">
        <f>INDEX('exch rate'!$BC$5:$BL$268,MATCH('GDP deflators'!$B54,'exch rate'!$A$5:$A$268,),MATCH('GDP deflators'!P$45,'exch rate'!$BC$4:$BL$4,))</f>
        <v>5.6348833333333301</v>
      </c>
      <c r="Q54" s="22">
        <f>INDEX('exch rate'!$BC$5:$BL$268,MATCH('GDP deflators'!$B54,'exch rate'!$A$5:$A$268,),MATCH('GDP deflators'!Q$45,'exch rate'!$BC$4:$BL$4,))</f>
        <v>5.4441083333333298</v>
      </c>
      <c r="R54" s="22">
        <f>INDEX('exch rate'!$BC$5:$BL$268,MATCH('GDP deflators'!$B54,'exch rate'!$A$5:$A$268,),MATCH('GDP deflators'!R$45,'exch rate'!$BC$4:$BL$4,))</f>
        <v>5.4441083333333298</v>
      </c>
      <c r="S54" s="22">
        <f>INDEX('exch rate'!$BC$5:$BL$268,MATCH('GDP deflators'!$B54,'exch rate'!$A$5:$A$268,),MATCH('GDP deflators'!S$45,'exch rate'!$BC$4:$BL$4,))</f>
        <v>5.4441083333333298</v>
      </c>
      <c r="T54" s="22">
        <f>INDEX('exch rate'!$BC$5:$BL$268,MATCH('GDP deflators'!$B54,'exch rate'!$A$5:$A$268,),MATCH('GDP deflators'!T$45,'exch rate'!$BC$4:$BL$4,))</f>
        <v>5.4441083333333298</v>
      </c>
      <c r="U54" s="22">
        <f>INDEX('exch rate'!$BC$5:$BL$268,MATCH('GDP deflators'!$B54,'exch rate'!$A$5:$A$268,),MATCH('GDP deflators'!U$45,'exch rate'!$BC$4:$BL$4,))</f>
        <v>5.4441083333333298</v>
      </c>
      <c r="V54" s="22">
        <f>INDEX('exch rate'!$BC$5:$BL$268,MATCH('GDP deflators'!$B54,'exch rate'!$A$5:$A$268,),MATCH('GDP deflators'!V$45,'exch rate'!$BC$4:$BL$4,))</f>
        <v>5.4441083333333298</v>
      </c>
      <c r="W54" s="22">
        <f>INDEX('exch rate'!$BC$5:$BL$268,MATCH('GDP deflators'!$B54,'exch rate'!$A$5:$A$268,),MATCH('GDP deflators'!W$45,'exch rate'!$BC$4:$BL$4,))</f>
        <v>5.4441083333333298</v>
      </c>
      <c r="X54" s="22">
        <f>INDEX('exch rate'!$BC$5:$BL$268,MATCH('GDP deflators'!$B54,'exch rate'!$A$5:$A$268,),MATCH('GDP deflators'!X$45,'exch rate'!$BC$4:$BL$4,))</f>
        <v>5.4441083333333298</v>
      </c>
      <c r="Y54" s="22">
        <f>INDEX('exch rate'!$BC$5:$BL$268,MATCH('GDP deflators'!$B54,'exch rate'!$A$5:$A$268,),MATCH('GDP deflators'!Y$45,'exch rate'!$BC$4:$BL$4,))</f>
        <v>5.4441083333333298</v>
      </c>
      <c r="Z54" s="22">
        <v>17800000</v>
      </c>
    </row>
    <row r="55" spans="2:26">
      <c r="B55" t="s">
        <v>5416</v>
      </c>
      <c r="C55" s="22">
        <f>INDEX('exch rate'!$BC$5:$BL$268,MATCH('GDP deflators'!$B55,'exch rate'!$A$5:$A$268,),MATCH('GDP deflators'!C$45,'exch rate'!$BC$4:$BL$4,))</f>
        <v>3.22108691472175</v>
      </c>
      <c r="D55" s="22">
        <f>INDEX('exch rate'!$BC$5:$BL$268,MATCH('GDP deflators'!$B55,'exch rate'!$A$5:$A$268,),MATCH('GDP deflators'!D$45,'exch rate'!$BC$4:$BL$4,))</f>
        <v>3.06000301052058</v>
      </c>
      <c r="E55" s="22">
        <f>INDEX('exch rate'!$BC$5:$BL$268,MATCH('GDP deflators'!$B55,'exch rate'!$A$5:$A$268,),MATCH('GDP deflators'!E$45,'exch rate'!$BC$4:$BL$4,))</f>
        <v>3.08880086662188</v>
      </c>
      <c r="F55" s="22">
        <f>INDEX('exch rate'!$BC$5:$BL$268,MATCH('GDP deflators'!$B55,'exch rate'!$A$5:$A$268,),MATCH('GDP deflators'!F$45,'exch rate'!$BC$4:$BL$4,))</f>
        <v>3.1509085500972498</v>
      </c>
      <c r="G55" s="22">
        <f>INDEX('exch rate'!$BC$5:$BL$268,MATCH('GDP deflators'!$B55,'exch rate'!$A$5:$A$268,),MATCH('GDP deflators'!G$45,'exch rate'!$BC$4:$BL$4,))</f>
        <v>3.2728597464304698</v>
      </c>
      <c r="H55" s="22">
        <f>INDEX('exch rate'!$BC$5:$BL$268,MATCH('GDP deflators'!$B55,'exch rate'!$A$5:$A$268,),MATCH('GDP deflators'!H$45,'exch rate'!$BC$4:$BL$4,))</f>
        <v>3.9055002630276801</v>
      </c>
      <c r="I55" s="22">
        <f>INDEX('exch rate'!$BC$5:$BL$268,MATCH('GDP deflators'!$B55,'exch rate'!$A$5:$A$268,),MATCH('GDP deflators'!I$45,'exch rate'!$BC$4:$BL$4,))</f>
        <v>4.14830066287879</v>
      </c>
      <c r="J55" s="22">
        <f>INDEX('exch rate'!$BC$5:$BL$268,MATCH('GDP deflators'!$B55,'exch rate'!$A$5:$A$268,),MATCH('GDP deflators'!J$45,'exch rate'!$BC$4:$BL$4,))</f>
        <v>4.3004408776112397</v>
      </c>
      <c r="K55" s="22">
        <f>INDEX('exch rate'!$BC$5:$BL$268,MATCH('GDP deflators'!$B55,'exch rate'!$A$5:$A$268,),MATCH('GDP deflators'!K$45,'exch rate'!$BC$4:$BL$4,))</f>
        <v>4.0351301370680597</v>
      </c>
      <c r="L55" s="22">
        <f>INDEX('exch rate'!$BC$5:$BL$268,MATCH('GDP deflators'!$B55,'exch rate'!$A$5:$A$268,),MATCH('GDP deflators'!L$45,'exch rate'!$BC$4:$BL$4,))</f>
        <v>4.1424697356973104</v>
      </c>
      <c r="M55">
        <v>8774805</v>
      </c>
      <c r="P55" s="22">
        <f>INDEX('exch rate'!$BC$5:$BL$268,MATCH('GDP deflators'!$B55,'exch rate'!$A$5:$A$268,),MATCH('GDP deflators'!P$45,'exch rate'!$BC$4:$BL$4,))</f>
        <v>3.22108691472175</v>
      </c>
      <c r="Q55" s="22">
        <f>INDEX('exch rate'!$BC$5:$BL$268,MATCH('GDP deflators'!$B55,'exch rate'!$A$5:$A$268,),MATCH('GDP deflators'!Q$45,'exch rate'!$BC$4:$BL$4,))</f>
        <v>3.06000301052058</v>
      </c>
      <c r="R55" s="22">
        <f>INDEX('exch rate'!$BC$5:$BL$268,MATCH('GDP deflators'!$B55,'exch rate'!$A$5:$A$268,),MATCH('GDP deflators'!R$45,'exch rate'!$BC$4:$BL$4,))</f>
        <v>3.08880086662188</v>
      </c>
      <c r="S55" s="22">
        <f>INDEX('exch rate'!$BC$5:$BL$268,MATCH('GDP deflators'!$B55,'exch rate'!$A$5:$A$268,),MATCH('GDP deflators'!S$45,'exch rate'!$BC$4:$BL$4,))</f>
        <v>3.1509085500972498</v>
      </c>
      <c r="T55" s="22">
        <f>INDEX('exch rate'!$BC$5:$BL$268,MATCH('GDP deflators'!$B55,'exch rate'!$A$5:$A$268,),MATCH('GDP deflators'!T$45,'exch rate'!$BC$4:$BL$4,))</f>
        <v>3.2728597464304698</v>
      </c>
      <c r="U55" s="22">
        <f>INDEX('exch rate'!$BC$5:$BL$268,MATCH('GDP deflators'!$B55,'exch rate'!$A$5:$A$268,),MATCH('GDP deflators'!U$45,'exch rate'!$BC$4:$BL$4,))</f>
        <v>3.9055002630276801</v>
      </c>
      <c r="V55" s="22">
        <f>INDEX('exch rate'!$BC$5:$BL$268,MATCH('GDP deflators'!$B55,'exch rate'!$A$5:$A$268,),MATCH('GDP deflators'!V$45,'exch rate'!$BC$4:$BL$4,))</f>
        <v>4.14830066287879</v>
      </c>
      <c r="W55" s="22">
        <f>INDEX('exch rate'!$BC$5:$BL$268,MATCH('GDP deflators'!$B55,'exch rate'!$A$5:$A$268,),MATCH('GDP deflators'!W$45,'exch rate'!$BC$4:$BL$4,))</f>
        <v>4.3004408776112397</v>
      </c>
      <c r="X55" s="22">
        <f>INDEX('exch rate'!$BC$5:$BL$268,MATCH('GDP deflators'!$B55,'exch rate'!$A$5:$A$268,),MATCH('GDP deflators'!X$45,'exch rate'!$BC$4:$BL$4,))</f>
        <v>4.0351301370680597</v>
      </c>
      <c r="Y55" s="22">
        <f>INDEX('exch rate'!$BC$5:$BL$268,MATCH('GDP deflators'!$B55,'exch rate'!$A$5:$A$268,),MATCH('GDP deflators'!Y$45,'exch rate'!$BC$4:$BL$4,))</f>
        <v>4.1424697356973104</v>
      </c>
      <c r="Z55" s="22">
        <v>8774805</v>
      </c>
    </row>
    <row r="56" spans="2:26">
      <c r="B56" t="s">
        <v>6297</v>
      </c>
      <c r="C56" s="22">
        <f>INDEX('exch rate'!$BC$5:$BL$268,MATCH('GDP deflators'!$B56,'exch rate'!$A$5:$A$268,),MATCH('GDP deflators'!C$45,'exch rate'!$BC$4:$BL$4,))</f>
        <v>7.3212219611528804</v>
      </c>
      <c r="D56" s="22">
        <f>INDEX('exch rate'!$BC$5:$BL$268,MATCH('GDP deflators'!$B56,'exch rate'!$A$5:$A$268,),MATCH('GDP deflators'!D$45,'exch rate'!$BC$4:$BL$4,))</f>
        <v>7.2611321323273499</v>
      </c>
      <c r="E56" s="22">
        <f>INDEX('exch rate'!$BC$5:$BL$268,MATCH('GDP deflators'!$B56,'exch rate'!$A$5:$A$268,),MATCH('GDP deflators'!E$45,'exch rate'!$BC$4:$BL$4,))</f>
        <v>8.2099686265933105</v>
      </c>
      <c r="F56" s="22">
        <f>INDEX('exch rate'!$BC$5:$BL$268,MATCH('GDP deflators'!$B56,'exch rate'!$A$5:$A$268,),MATCH('GDP deflators'!F$45,'exch rate'!$BC$4:$BL$4,))</f>
        <v>9.6550560691352594</v>
      </c>
      <c r="G56" s="22">
        <f>INDEX('exch rate'!$BC$5:$BL$268,MATCH('GDP deflators'!$B56,'exch rate'!$A$5:$A$268,),MATCH('GDP deflators'!G$45,'exch rate'!$BC$4:$BL$4,))</f>
        <v>10.852655568783099</v>
      </c>
      <c r="H56" s="22">
        <f>INDEX('exch rate'!$BC$5:$BL$268,MATCH('GDP deflators'!$B56,'exch rate'!$A$5:$A$268,),MATCH('GDP deflators'!H$45,'exch rate'!$BC$4:$BL$4,))</f>
        <v>12.7589308811644</v>
      </c>
      <c r="I56" s="22">
        <f>INDEX('exch rate'!$BC$5:$BL$268,MATCH('GDP deflators'!$B56,'exch rate'!$A$5:$A$268,),MATCH('GDP deflators'!I$45,'exch rate'!$BC$4:$BL$4,))</f>
        <v>14.7096108855267</v>
      </c>
      <c r="J56" s="22">
        <f>INDEX('exch rate'!$BC$5:$BL$268,MATCH('GDP deflators'!$B56,'exch rate'!$A$5:$A$268,),MATCH('GDP deflators'!J$45,'exch rate'!$BC$4:$BL$4,))</f>
        <v>13.3238014244992</v>
      </c>
      <c r="K56" s="22">
        <f>INDEX('exch rate'!$BC$5:$BL$268,MATCH('GDP deflators'!$B56,'exch rate'!$A$5:$A$268,),MATCH('GDP deflators'!K$45,'exch rate'!$BC$4:$BL$4,))</f>
        <v>13.233926471583301</v>
      </c>
      <c r="L56" s="22">
        <f>INDEX('exch rate'!$BC$5:$BL$268,MATCH('GDP deflators'!$B56,'exch rate'!$A$5:$A$268,),MATCH('GDP deflators'!L$45,'exch rate'!$BC$4:$BL$4,))</f>
        <v>14.448427054833299</v>
      </c>
      <c r="M56">
        <v>10273728</v>
      </c>
      <c r="P56" s="22">
        <f>INDEX('exch rate'!$BC$5:$BL$268,MATCH('GDP deflators'!$B56,'exch rate'!$A$5:$A$268,),MATCH('GDP deflators'!P$45,'exch rate'!$BC$4:$BL$4,))</f>
        <v>7.3212219611528804</v>
      </c>
      <c r="Q56" s="22">
        <f>INDEX('exch rate'!$BC$5:$BL$268,MATCH('GDP deflators'!$B56,'exch rate'!$A$5:$A$268,),MATCH('GDP deflators'!Q$45,'exch rate'!$BC$4:$BL$4,))</f>
        <v>7.2611321323273499</v>
      </c>
      <c r="R56" s="22">
        <f>INDEX('exch rate'!$BC$5:$BL$268,MATCH('GDP deflators'!$B56,'exch rate'!$A$5:$A$268,),MATCH('GDP deflators'!R$45,'exch rate'!$BC$4:$BL$4,))</f>
        <v>8.2099686265933105</v>
      </c>
      <c r="S56" s="22">
        <f>INDEX('exch rate'!$BC$5:$BL$268,MATCH('GDP deflators'!$B56,'exch rate'!$A$5:$A$268,),MATCH('GDP deflators'!S$45,'exch rate'!$BC$4:$BL$4,))</f>
        <v>9.6550560691352594</v>
      </c>
      <c r="T56" s="22">
        <f>INDEX('exch rate'!$BC$5:$BL$268,MATCH('GDP deflators'!$B56,'exch rate'!$A$5:$A$268,),MATCH('GDP deflators'!T$45,'exch rate'!$BC$4:$BL$4,))</f>
        <v>10.852655568783099</v>
      </c>
      <c r="U56" s="22">
        <f>INDEX('exch rate'!$BC$5:$BL$268,MATCH('GDP deflators'!$B56,'exch rate'!$A$5:$A$268,),MATCH('GDP deflators'!U$45,'exch rate'!$BC$4:$BL$4,))</f>
        <v>12.7589308811644</v>
      </c>
      <c r="V56" s="22">
        <f>INDEX('exch rate'!$BC$5:$BL$268,MATCH('GDP deflators'!$B56,'exch rate'!$A$5:$A$268,),MATCH('GDP deflators'!V$45,'exch rate'!$BC$4:$BL$4,))</f>
        <v>14.7096108855267</v>
      </c>
      <c r="W56" s="22">
        <f>INDEX('exch rate'!$BC$5:$BL$268,MATCH('GDP deflators'!$B56,'exch rate'!$A$5:$A$268,),MATCH('GDP deflators'!W$45,'exch rate'!$BC$4:$BL$4,))</f>
        <v>13.3238014244992</v>
      </c>
      <c r="X56" s="22">
        <f>INDEX('exch rate'!$BC$5:$BL$268,MATCH('GDP deflators'!$B56,'exch rate'!$A$5:$A$268,),MATCH('GDP deflators'!X$45,'exch rate'!$BC$4:$BL$4,))</f>
        <v>13.233926471583301</v>
      </c>
      <c r="Y56" s="22">
        <f>INDEX('exch rate'!$BC$5:$BL$268,MATCH('GDP deflators'!$B56,'exch rate'!$A$5:$A$268,),MATCH('GDP deflators'!Y$45,'exch rate'!$BC$4:$BL$4,))</f>
        <v>14.448427054833299</v>
      </c>
      <c r="Z56" s="22">
        <v>10273728</v>
      </c>
    </row>
    <row r="57" spans="2:26">
      <c r="B57" t="s">
        <v>6632</v>
      </c>
      <c r="C57" s="22">
        <f>INDEX('exch rate'!$BC$5:$BL$268,MATCH('GDP deflators'!$B57,'exch rate'!$A$5:$A$268,),MATCH('GDP deflators'!C$45,'exch rate'!$BC$4:$BL$4,))</f>
        <v>1898.56963600842</v>
      </c>
      <c r="D57" s="22">
        <f>INDEX('exch rate'!$BC$5:$BL$268,MATCH('GDP deflators'!$B57,'exch rate'!$A$5:$A$268,),MATCH('GDP deflators'!D$45,'exch rate'!$BC$4:$BL$4,))</f>
        <v>1848.1394699518301</v>
      </c>
      <c r="E57" s="22">
        <f>INDEX('exch rate'!$BC$5:$BL$268,MATCH('GDP deflators'!$B57,'exch rate'!$A$5:$A$268,),MATCH('GDP deflators'!E$45,'exch rate'!$BC$4:$BL$4,))</f>
        <v>1796.8959123110001</v>
      </c>
      <c r="F57" s="22">
        <f>INDEX('exch rate'!$BC$5:$BL$268,MATCH('GDP deflators'!$B57,'exch rate'!$A$5:$A$268,),MATCH('GDP deflators'!F$45,'exch rate'!$BC$4:$BL$4,))</f>
        <v>1868.7853270907999</v>
      </c>
      <c r="G57" s="22">
        <f>INDEX('exch rate'!$BC$5:$BL$268,MATCH('GDP deflators'!$B57,'exch rate'!$A$5:$A$268,),MATCH('GDP deflators'!G$45,'exch rate'!$BC$4:$BL$4,))</f>
        <v>2001.781048176</v>
      </c>
      <c r="H57" s="22">
        <f>INDEX('exch rate'!$BC$5:$BL$268,MATCH('GDP deflators'!$B57,'exch rate'!$A$5:$A$268,),MATCH('GDP deflators'!H$45,'exch rate'!$BC$4:$BL$4,))</f>
        <v>2741.88085479965</v>
      </c>
      <c r="I57" s="22">
        <f>INDEX('exch rate'!$BC$5:$BL$268,MATCH('GDP deflators'!$B57,'exch rate'!$A$5:$A$268,),MATCH('GDP deflators'!I$45,'exch rate'!$BC$4:$BL$4,))</f>
        <v>3054.1216732108101</v>
      </c>
      <c r="J57" s="22">
        <f>INDEX('exch rate'!$BC$5:$BL$268,MATCH('GDP deflators'!$B57,'exch rate'!$A$5:$A$268,),MATCH('GDP deflators'!J$45,'exch rate'!$BC$4:$BL$4,))</f>
        <v>2951.3274023476001</v>
      </c>
      <c r="K57" s="22">
        <f>INDEX('exch rate'!$BC$5:$BL$268,MATCH('GDP deflators'!$B57,'exch rate'!$A$5:$A$268,),MATCH('GDP deflators'!K$45,'exch rate'!$BC$4:$BL$4,))</f>
        <v>2955.70396997842</v>
      </c>
      <c r="L57" s="22">
        <f>INDEX('exch rate'!$BC$5:$BL$268,MATCH('GDP deflators'!$B57,'exch rate'!$A$5:$A$268,),MATCH('GDP deflators'!L$45,'exch rate'!$BC$4:$BL$4,))</f>
        <v>3280.83163119763</v>
      </c>
      <c r="M57">
        <v>2904513</v>
      </c>
      <c r="P57" s="22">
        <f>INDEX('exch rate'!$BC$5:$BL$268,MATCH('GDP deflators'!$B57,'exch rate'!$A$5:$A$268,),MATCH('GDP deflators'!P$45,'exch rate'!$BC$4:$BL$4,))</f>
        <v>1898.56963600842</v>
      </c>
      <c r="Q57" s="22">
        <f>INDEX('exch rate'!$BC$5:$BL$268,MATCH('GDP deflators'!$B57,'exch rate'!$A$5:$A$268,),MATCH('GDP deflators'!Q$45,'exch rate'!$BC$4:$BL$4,))</f>
        <v>1848.1394699518301</v>
      </c>
      <c r="R57" s="22">
        <f>INDEX('exch rate'!$BC$5:$BL$268,MATCH('GDP deflators'!$B57,'exch rate'!$A$5:$A$268,),MATCH('GDP deflators'!R$45,'exch rate'!$BC$4:$BL$4,))</f>
        <v>1796.8959123110001</v>
      </c>
      <c r="S57" s="22">
        <f>INDEX('exch rate'!$BC$5:$BL$268,MATCH('GDP deflators'!$B57,'exch rate'!$A$5:$A$268,),MATCH('GDP deflators'!S$45,'exch rate'!$BC$4:$BL$4,))</f>
        <v>1868.7853270907999</v>
      </c>
      <c r="T57" s="22">
        <f>INDEX('exch rate'!$BC$5:$BL$268,MATCH('GDP deflators'!$B57,'exch rate'!$A$5:$A$268,),MATCH('GDP deflators'!T$45,'exch rate'!$BC$4:$BL$4,))</f>
        <v>2001.781048176</v>
      </c>
      <c r="U57" s="22">
        <f>INDEX('exch rate'!$BC$5:$BL$268,MATCH('GDP deflators'!$B57,'exch rate'!$A$5:$A$268,),MATCH('GDP deflators'!U$45,'exch rate'!$BC$4:$BL$4,))</f>
        <v>2741.88085479965</v>
      </c>
      <c r="V57" s="22">
        <f>INDEX('exch rate'!$BC$5:$BL$268,MATCH('GDP deflators'!$B57,'exch rate'!$A$5:$A$268,),MATCH('GDP deflators'!V$45,'exch rate'!$BC$4:$BL$4,))</f>
        <v>3054.1216732108101</v>
      </c>
      <c r="W57" s="22">
        <f>INDEX('exch rate'!$BC$5:$BL$268,MATCH('GDP deflators'!$B57,'exch rate'!$A$5:$A$268,),MATCH('GDP deflators'!W$45,'exch rate'!$BC$4:$BL$4,))</f>
        <v>2951.3274023476001</v>
      </c>
      <c r="X57" s="22">
        <f>INDEX('exch rate'!$BC$5:$BL$268,MATCH('GDP deflators'!$B57,'exch rate'!$A$5:$A$268,),MATCH('GDP deflators'!X$45,'exch rate'!$BC$4:$BL$4,))</f>
        <v>2955.70396997842</v>
      </c>
      <c r="Y57" s="22">
        <f>INDEX('exch rate'!$BC$5:$BL$268,MATCH('GDP deflators'!$B57,'exch rate'!$A$5:$A$268,),MATCH('GDP deflators'!Y$45,'exch rate'!$BC$4:$BL$4,))</f>
        <v>3280.83163119763</v>
      </c>
      <c r="Z57" s="22">
        <v>2904513</v>
      </c>
    </row>
    <row r="58" spans="2:26">
      <c r="B58" t="s">
        <v>3468</v>
      </c>
      <c r="C58" s="22">
        <f>INDEX('exch rate'!$BC$5:$BL$268,MATCH('GDP deflators'!$B58,'exch rate'!$A$5:$A$268,),MATCH('GDP deflators'!C$45,'exch rate'!$BC$4:$BL$4,))</f>
        <v>85.193816325757595</v>
      </c>
      <c r="D58" s="22">
        <f>INDEX('exch rate'!$BC$5:$BL$268,MATCH('GDP deflators'!$B58,'exch rate'!$A$5:$A$268,),MATCH('GDP deflators'!D$45,'exch rate'!$BC$4:$BL$4,))</f>
        <v>86.343383333333307</v>
      </c>
      <c r="E58" s="22">
        <f>INDEX('exch rate'!$BC$5:$BL$268,MATCH('GDP deflators'!$B58,'exch rate'!$A$5:$A$268,),MATCH('GDP deflators'!E$45,'exch rate'!$BC$4:$BL$4,))</f>
        <v>93.395197222222194</v>
      </c>
      <c r="F58" s="22">
        <f>INDEX('exch rate'!$BC$5:$BL$268,MATCH('GDP deflators'!$B58,'exch rate'!$A$5:$A$268,),MATCH('GDP deflators'!F$45,'exch rate'!$BC$4:$BL$4,))</f>
        <v>101.628899206349</v>
      </c>
      <c r="G58" s="22">
        <f>INDEX('exch rate'!$BC$5:$BL$268,MATCH('GDP deflators'!$B58,'exch rate'!$A$5:$A$268,),MATCH('GDP deflators'!G$45,'exch rate'!$BC$4:$BL$4,))</f>
        <v>101.100088423521</v>
      </c>
      <c r="H58" s="22">
        <f>INDEX('exch rate'!$BC$5:$BL$268,MATCH('GDP deflators'!$B58,'exch rate'!$A$5:$A$268,),MATCH('GDP deflators'!H$45,'exch rate'!$BC$4:$BL$4,))</f>
        <v>102.769271604675</v>
      </c>
      <c r="I58" s="22">
        <f>INDEX('exch rate'!$BC$5:$BL$268,MATCH('GDP deflators'!$B58,'exch rate'!$A$5:$A$268,),MATCH('GDP deflators'!I$45,'exch rate'!$BC$4:$BL$4,))</f>
        <v>104.769117033301</v>
      </c>
      <c r="J58" s="22">
        <f>INDEX('exch rate'!$BC$5:$BL$268,MATCH('GDP deflators'!$B58,'exch rate'!$A$5:$A$268,),MATCH('GDP deflators'!J$45,'exch rate'!$BC$4:$BL$4,))</f>
        <v>105.45516208793801</v>
      </c>
      <c r="K58" s="22">
        <f>INDEX('exch rate'!$BC$5:$BL$268,MATCH('GDP deflators'!$B58,'exch rate'!$A$5:$A$268,),MATCH('GDP deflators'!K$45,'exch rate'!$BC$4:$BL$4,))</f>
        <v>121.824068875756</v>
      </c>
      <c r="L58" s="22">
        <f>INDEX('exch rate'!$BC$5:$BL$268,MATCH('GDP deflators'!$B58,'exch rate'!$A$5:$A$268,),MATCH('GDP deflators'!L$45,'exch rate'!$BC$4:$BL$4,))</f>
        <v>150.036253839864</v>
      </c>
      <c r="M58">
        <v>4023182</v>
      </c>
      <c r="P58" s="22">
        <f>INDEX('exch rate'!$BC$5:$BL$268,MATCH('GDP deflators'!$B58,'exch rate'!$A$5:$A$268,),MATCH('GDP deflators'!P$45,'exch rate'!$BC$4:$BL$4,))</f>
        <v>85.193816325757595</v>
      </c>
      <c r="Q58" s="22">
        <f>INDEX('exch rate'!$BC$5:$BL$268,MATCH('GDP deflators'!$B58,'exch rate'!$A$5:$A$268,),MATCH('GDP deflators'!Q$45,'exch rate'!$BC$4:$BL$4,))</f>
        <v>86.343383333333307</v>
      </c>
      <c r="R58" s="22">
        <f>INDEX('exch rate'!$BC$5:$BL$268,MATCH('GDP deflators'!$B58,'exch rate'!$A$5:$A$268,),MATCH('GDP deflators'!R$45,'exch rate'!$BC$4:$BL$4,))</f>
        <v>93.395197222222194</v>
      </c>
      <c r="S58" s="22">
        <f>INDEX('exch rate'!$BC$5:$BL$268,MATCH('GDP deflators'!$B58,'exch rate'!$A$5:$A$268,),MATCH('GDP deflators'!S$45,'exch rate'!$BC$4:$BL$4,))</f>
        <v>101.628899206349</v>
      </c>
      <c r="T58" s="22">
        <f>INDEX('exch rate'!$BC$5:$BL$268,MATCH('GDP deflators'!$B58,'exch rate'!$A$5:$A$268,),MATCH('GDP deflators'!T$45,'exch rate'!$BC$4:$BL$4,))</f>
        <v>101.100088423521</v>
      </c>
      <c r="U58" s="22">
        <f>INDEX('exch rate'!$BC$5:$BL$268,MATCH('GDP deflators'!$B58,'exch rate'!$A$5:$A$268,),MATCH('GDP deflators'!U$45,'exch rate'!$BC$4:$BL$4,))</f>
        <v>102.769271604675</v>
      </c>
      <c r="V58" s="22">
        <f>INDEX('exch rate'!$BC$5:$BL$268,MATCH('GDP deflators'!$B58,'exch rate'!$A$5:$A$268,),MATCH('GDP deflators'!V$45,'exch rate'!$BC$4:$BL$4,))</f>
        <v>104.769117033301</v>
      </c>
      <c r="W58" s="22">
        <f>INDEX('exch rate'!$BC$5:$BL$268,MATCH('GDP deflators'!$B58,'exch rate'!$A$5:$A$268,),MATCH('GDP deflators'!W$45,'exch rate'!$BC$4:$BL$4,))</f>
        <v>105.45516208793801</v>
      </c>
      <c r="X58" s="22">
        <f>INDEX('exch rate'!$BC$5:$BL$268,MATCH('GDP deflators'!$B58,'exch rate'!$A$5:$A$268,),MATCH('GDP deflators'!X$45,'exch rate'!$BC$4:$BL$4,))</f>
        <v>121.824068875756</v>
      </c>
      <c r="Y58" s="22">
        <f>INDEX('exch rate'!$BC$5:$BL$268,MATCH('GDP deflators'!$B58,'exch rate'!$A$5:$A$268,),MATCH('GDP deflators'!Y$45,'exch rate'!$BC$4:$BL$4,))</f>
        <v>150.036253839864</v>
      </c>
      <c r="Z58" s="22">
        <v>4023182</v>
      </c>
    </row>
    <row r="59" spans="2:26">
      <c r="B59" t="s">
        <v>1028</v>
      </c>
      <c r="C59" s="22">
        <f>INDEX('exch rate'!$BC$5:$BL$268,MATCH('GDP deflators'!$B59,'exch rate'!$A$5:$A$268,),MATCH('GDP deflators'!C$45,'exch rate'!$BC$4:$BL$4,))</f>
        <v>3.75</v>
      </c>
      <c r="D59" s="22">
        <f>INDEX('exch rate'!$BC$5:$BL$268,MATCH('GDP deflators'!$B59,'exch rate'!$A$5:$A$268,),MATCH('GDP deflators'!D$45,'exch rate'!$BC$4:$BL$4,))</f>
        <v>3.75</v>
      </c>
      <c r="E59" s="22">
        <f>INDEX('exch rate'!$BC$5:$BL$268,MATCH('GDP deflators'!$B59,'exch rate'!$A$5:$A$268,),MATCH('GDP deflators'!E$45,'exch rate'!$BC$4:$BL$4,))</f>
        <v>3.75</v>
      </c>
      <c r="F59" s="22">
        <f>INDEX('exch rate'!$BC$5:$BL$268,MATCH('GDP deflators'!$B59,'exch rate'!$A$5:$A$268,),MATCH('GDP deflators'!F$45,'exch rate'!$BC$4:$BL$4,))</f>
        <v>3.75</v>
      </c>
      <c r="G59" s="22">
        <f>INDEX('exch rate'!$BC$5:$BL$268,MATCH('GDP deflators'!$B59,'exch rate'!$A$5:$A$268,),MATCH('GDP deflators'!G$45,'exch rate'!$BC$4:$BL$4,))</f>
        <v>3.75</v>
      </c>
      <c r="H59" s="22">
        <f>INDEX('exch rate'!$BC$5:$BL$268,MATCH('GDP deflators'!$B59,'exch rate'!$A$5:$A$268,),MATCH('GDP deflators'!H$45,'exch rate'!$BC$4:$BL$4,))</f>
        <v>3.75</v>
      </c>
      <c r="I59" s="22">
        <f>INDEX('exch rate'!$BC$5:$BL$268,MATCH('GDP deflators'!$B59,'exch rate'!$A$5:$A$268,),MATCH('GDP deflators'!I$45,'exch rate'!$BC$4:$BL$4,))</f>
        <v>3.75</v>
      </c>
      <c r="J59" s="22">
        <f>INDEX('exch rate'!$BC$5:$BL$268,MATCH('GDP deflators'!$B59,'exch rate'!$A$5:$A$268,),MATCH('GDP deflators'!J$45,'exch rate'!$BC$4:$BL$4,))</f>
        <v>3.75</v>
      </c>
      <c r="K59" s="22">
        <f>INDEX('exch rate'!$BC$5:$BL$268,MATCH('GDP deflators'!$B59,'exch rate'!$A$5:$A$268,),MATCH('GDP deflators'!K$45,'exch rate'!$BC$4:$BL$4,))</f>
        <v>3.75</v>
      </c>
      <c r="L59" s="22">
        <f>INDEX('exch rate'!$BC$5:$BL$268,MATCH('GDP deflators'!$B59,'exch rate'!$A$5:$A$268,),MATCH('GDP deflators'!L$45,'exch rate'!$BC$4:$BL$4,))</f>
        <v>3.75</v>
      </c>
      <c r="M59">
        <v>2100000</v>
      </c>
      <c r="P59" s="22">
        <f>INDEX('exch rate'!$BC$5:$BL$268,MATCH('GDP deflators'!$B59,'exch rate'!$A$5:$A$268,),MATCH('GDP deflators'!P$45,'exch rate'!$BC$4:$BL$4,))</f>
        <v>3.75</v>
      </c>
      <c r="Q59" s="22">
        <f>INDEX('exch rate'!$BC$5:$BL$268,MATCH('GDP deflators'!$B59,'exch rate'!$A$5:$A$268,),MATCH('GDP deflators'!Q$45,'exch rate'!$BC$4:$BL$4,))</f>
        <v>3.75</v>
      </c>
      <c r="R59" s="22">
        <f>INDEX('exch rate'!$BC$5:$BL$268,MATCH('GDP deflators'!$B59,'exch rate'!$A$5:$A$268,),MATCH('GDP deflators'!R$45,'exch rate'!$BC$4:$BL$4,))</f>
        <v>3.75</v>
      </c>
      <c r="S59" s="22">
        <f>INDEX('exch rate'!$BC$5:$BL$268,MATCH('GDP deflators'!$B59,'exch rate'!$A$5:$A$268,),MATCH('GDP deflators'!S$45,'exch rate'!$BC$4:$BL$4,))</f>
        <v>3.75</v>
      </c>
      <c r="T59" s="22">
        <f>INDEX('exch rate'!$BC$5:$BL$268,MATCH('GDP deflators'!$B59,'exch rate'!$A$5:$A$268,),MATCH('GDP deflators'!T$45,'exch rate'!$BC$4:$BL$4,))</f>
        <v>3.75</v>
      </c>
      <c r="U59" s="22">
        <f>INDEX('exch rate'!$BC$5:$BL$268,MATCH('GDP deflators'!$B59,'exch rate'!$A$5:$A$268,),MATCH('GDP deflators'!U$45,'exch rate'!$BC$4:$BL$4,))</f>
        <v>3.75</v>
      </c>
      <c r="V59" s="22">
        <f>INDEX('exch rate'!$BC$5:$BL$268,MATCH('GDP deflators'!$B59,'exch rate'!$A$5:$A$268,),MATCH('GDP deflators'!V$45,'exch rate'!$BC$4:$BL$4,))</f>
        <v>3.75</v>
      </c>
      <c r="W59" s="22">
        <f>INDEX('exch rate'!$BC$5:$BL$268,MATCH('GDP deflators'!$B59,'exch rate'!$A$5:$A$268,),MATCH('GDP deflators'!W$45,'exch rate'!$BC$4:$BL$4,))</f>
        <v>3.75</v>
      </c>
      <c r="X59" s="22">
        <f>INDEX('exch rate'!$BC$5:$BL$268,MATCH('GDP deflators'!$B59,'exch rate'!$A$5:$A$268,),MATCH('GDP deflators'!X$45,'exch rate'!$BC$4:$BL$4,))</f>
        <v>3.75</v>
      </c>
      <c r="Y59" s="22">
        <f>INDEX('exch rate'!$BC$5:$BL$268,MATCH('GDP deflators'!$B59,'exch rate'!$A$5:$A$268,),MATCH('GDP deflators'!Y$45,'exch rate'!$BC$4:$BL$4,))</f>
        <v>3.75</v>
      </c>
      <c r="Z59" s="22">
        <v>2100000</v>
      </c>
    </row>
    <row r="60" spans="2:26">
      <c r="B60" t="s">
        <v>5524</v>
      </c>
      <c r="C60" s="22">
        <f>INDEX('exch rate'!$BC$5:$BL$268,MATCH('GDP deflators'!$B60,'exch rate'!$A$5:$A$268,),MATCH('GDP deflators'!C$45,'exch rate'!$BC$4:$BL$4,))</f>
        <v>1.4299833333333301</v>
      </c>
      <c r="D60" s="22">
        <f>INDEX('exch rate'!$BC$5:$BL$268,MATCH('GDP deflators'!$B60,'exch rate'!$A$5:$A$268,),MATCH('GDP deflators'!D$45,'exch rate'!$BC$4:$BL$4,))</f>
        <v>1.5206249999999999</v>
      </c>
      <c r="E60" s="22">
        <f>INDEX('exch rate'!$BC$5:$BL$268,MATCH('GDP deflators'!$B60,'exch rate'!$A$5:$A$268,),MATCH('GDP deflators'!E$45,'exch rate'!$BC$4:$BL$4,))</f>
        <v>1.82486666666667</v>
      </c>
      <c r="F60" s="22">
        <f>INDEX('exch rate'!$BC$5:$BL$268,MATCH('GDP deflators'!$B60,'exch rate'!$A$5:$A$268,),MATCH('GDP deflators'!F$45,'exch rate'!$BC$4:$BL$4,))</f>
        <v>1.9813499999999999</v>
      </c>
      <c r="G60" s="22">
        <f>INDEX('exch rate'!$BC$5:$BL$268,MATCH('GDP deflators'!$B60,'exch rate'!$A$5:$A$268,),MATCH('GDP deflators'!G$45,'exch rate'!$BC$4:$BL$4,))</f>
        <v>2.8965749999999999</v>
      </c>
      <c r="H60" s="22">
        <f>INDEX('exch rate'!$BC$5:$BL$268,MATCH('GDP deflators'!$B60,'exch rate'!$A$5:$A$268,),MATCH('GDP deflators'!H$45,'exch rate'!$BC$4:$BL$4,))</f>
        <v>3.7146416666666702</v>
      </c>
      <c r="I60" s="22">
        <f>INDEX('exch rate'!$BC$5:$BL$268,MATCH('GDP deflators'!$B60,'exch rate'!$A$5:$A$268,),MATCH('GDP deflators'!I$45,'exch rate'!$BC$4:$BL$4,))</f>
        <v>3.90981666666667</v>
      </c>
      <c r="J60" s="22">
        <f>INDEX('exch rate'!$BC$5:$BL$268,MATCH('GDP deflators'!$B60,'exch rate'!$A$5:$A$268,),MATCH('GDP deflators'!J$45,'exch rate'!$BC$4:$BL$4,))</f>
        <v>4.3505333333333303</v>
      </c>
      <c r="K60" s="22">
        <f>INDEX('exch rate'!$BC$5:$BL$268,MATCH('GDP deflators'!$B60,'exch rate'!$A$5:$A$268,),MATCH('GDP deflators'!K$45,'exch rate'!$BC$4:$BL$4,))</f>
        <v>4.5853250000000001</v>
      </c>
      <c r="L60" s="22">
        <f>INDEX('exch rate'!$BC$5:$BL$268,MATCH('GDP deflators'!$B60,'exch rate'!$A$5:$A$268,),MATCH('GDP deflators'!L$45,'exch rate'!$BC$4:$BL$4,))</f>
        <v>5.2173666666666696</v>
      </c>
      <c r="M60">
        <v>6039788</v>
      </c>
      <c r="P60" s="22">
        <f>INDEX('exch rate'!$BC$5:$BL$268,MATCH('GDP deflators'!$B60,'exch rate'!$A$5:$A$268,),MATCH('GDP deflators'!P$45,'exch rate'!$BC$4:$BL$4,))</f>
        <v>1.4299833333333301</v>
      </c>
      <c r="Q60" s="22">
        <f>INDEX('exch rate'!$BC$5:$BL$268,MATCH('GDP deflators'!$B60,'exch rate'!$A$5:$A$268,),MATCH('GDP deflators'!Q$45,'exch rate'!$BC$4:$BL$4,))</f>
        <v>1.5206249999999999</v>
      </c>
      <c r="R60" s="22">
        <f>INDEX('exch rate'!$BC$5:$BL$268,MATCH('GDP deflators'!$B60,'exch rate'!$A$5:$A$268,),MATCH('GDP deflators'!R$45,'exch rate'!$BC$4:$BL$4,))</f>
        <v>1.82486666666667</v>
      </c>
      <c r="S60" s="22">
        <f>INDEX('exch rate'!$BC$5:$BL$268,MATCH('GDP deflators'!$B60,'exch rate'!$A$5:$A$268,),MATCH('GDP deflators'!S$45,'exch rate'!$BC$4:$BL$4,))</f>
        <v>1.9813499999999999</v>
      </c>
      <c r="T60" s="22">
        <f>INDEX('exch rate'!$BC$5:$BL$268,MATCH('GDP deflators'!$B60,'exch rate'!$A$5:$A$268,),MATCH('GDP deflators'!T$45,'exch rate'!$BC$4:$BL$4,))</f>
        <v>2.8965749999999999</v>
      </c>
      <c r="U60" s="22">
        <f>INDEX('exch rate'!$BC$5:$BL$268,MATCH('GDP deflators'!$B60,'exch rate'!$A$5:$A$268,),MATCH('GDP deflators'!U$45,'exch rate'!$BC$4:$BL$4,))</f>
        <v>3.7146416666666702</v>
      </c>
      <c r="V60" s="22">
        <f>INDEX('exch rate'!$BC$5:$BL$268,MATCH('GDP deflators'!$B60,'exch rate'!$A$5:$A$268,),MATCH('GDP deflators'!V$45,'exch rate'!$BC$4:$BL$4,))</f>
        <v>3.90981666666667</v>
      </c>
      <c r="W60" s="22">
        <f>INDEX('exch rate'!$BC$5:$BL$268,MATCH('GDP deflators'!$B60,'exch rate'!$A$5:$A$268,),MATCH('GDP deflators'!W$45,'exch rate'!$BC$4:$BL$4,))</f>
        <v>4.3505333333333303</v>
      </c>
      <c r="X60" s="22">
        <f>INDEX('exch rate'!$BC$5:$BL$268,MATCH('GDP deflators'!$B60,'exch rate'!$A$5:$A$268,),MATCH('GDP deflators'!X$45,'exch rate'!$BC$4:$BL$4,))</f>
        <v>4.5853250000000001</v>
      </c>
      <c r="Y60" s="22">
        <f>INDEX('exch rate'!$BC$5:$BL$268,MATCH('GDP deflators'!$B60,'exch rate'!$A$5:$A$268,),MATCH('GDP deflators'!Y$45,'exch rate'!$BC$4:$BL$4,))</f>
        <v>5.2173666666666696</v>
      </c>
      <c r="Z60" s="22">
        <v>6039788</v>
      </c>
    </row>
    <row r="61" spans="2:26">
      <c r="B61" t="s">
        <v>5844</v>
      </c>
      <c r="C61" s="22">
        <f>INDEX('exch rate'!$BC$5:$BL$268,MATCH('GDP deflators'!$B61,'exch rate'!$A$5:$A$268,),MATCH('GDP deflators'!C$45,'exch rate'!$BC$4:$BL$4,))</f>
        <v>18612.916666666701</v>
      </c>
      <c r="D61" s="22">
        <f>INDEX('exch rate'!$BC$5:$BL$268,MATCH('GDP deflators'!$B61,'exch rate'!$A$5:$A$268,),MATCH('GDP deflators'!D$45,'exch rate'!$BC$4:$BL$4,))</f>
        <v>20509.75</v>
      </c>
      <c r="E61" s="22">
        <f>INDEX('exch rate'!$BC$5:$BL$268,MATCH('GDP deflators'!$B61,'exch rate'!$A$5:$A$268,),MATCH('GDP deflators'!E$45,'exch rate'!$BC$4:$BL$4,))</f>
        <v>20828</v>
      </c>
      <c r="F61" s="22">
        <f>INDEX('exch rate'!$BC$5:$BL$268,MATCH('GDP deflators'!$B61,'exch rate'!$A$5:$A$268,),MATCH('GDP deflators'!F$45,'exch rate'!$BC$4:$BL$4,))</f>
        <v>20933.416666666701</v>
      </c>
      <c r="G61" s="22">
        <f>INDEX('exch rate'!$BC$5:$BL$268,MATCH('GDP deflators'!$B61,'exch rate'!$A$5:$A$268,),MATCH('GDP deflators'!G$45,'exch rate'!$BC$4:$BL$4,))</f>
        <v>21148</v>
      </c>
      <c r="H61" s="22">
        <f>INDEX('exch rate'!$BC$5:$BL$268,MATCH('GDP deflators'!$B61,'exch rate'!$A$5:$A$268,),MATCH('GDP deflators'!H$45,'exch rate'!$BC$4:$BL$4,))</f>
        <v>21697.567500000001</v>
      </c>
      <c r="I61" s="22">
        <f>INDEX('exch rate'!$BC$5:$BL$268,MATCH('GDP deflators'!$B61,'exch rate'!$A$5:$A$268,),MATCH('GDP deflators'!I$45,'exch rate'!$BC$4:$BL$4,))</f>
        <v>21935.000833333299</v>
      </c>
      <c r="J61" s="22">
        <f>INDEX('exch rate'!$BC$5:$BL$268,MATCH('GDP deflators'!$B61,'exch rate'!$A$5:$A$268,),MATCH('GDP deflators'!J$45,'exch rate'!$BC$4:$BL$4,))</f>
        <v>22370.086666666699</v>
      </c>
      <c r="K61" s="22">
        <f>INDEX('exch rate'!$BC$5:$BL$268,MATCH('GDP deflators'!$B61,'exch rate'!$A$5:$A$268,),MATCH('GDP deflators'!K$45,'exch rate'!$BC$4:$BL$4,))</f>
        <v>22602.05</v>
      </c>
      <c r="L61" s="22">
        <f>INDEX('exch rate'!$BC$5:$BL$268,MATCH('GDP deflators'!$B61,'exch rate'!$A$5:$A$268,),MATCH('GDP deflators'!L$45,'exch rate'!$BC$4:$BL$4,))</f>
        <v>23050.241666666701</v>
      </c>
      <c r="M61">
        <v>2163420</v>
      </c>
      <c r="P61" s="22">
        <f>INDEX('exch rate'!$BC$5:$BL$268,MATCH('GDP deflators'!$B61,'exch rate'!$A$5:$A$268,),MATCH('GDP deflators'!P$45,'exch rate'!$BC$4:$BL$4,))</f>
        <v>18612.916666666701</v>
      </c>
      <c r="Q61" s="22">
        <f>INDEX('exch rate'!$BC$5:$BL$268,MATCH('GDP deflators'!$B61,'exch rate'!$A$5:$A$268,),MATCH('GDP deflators'!Q$45,'exch rate'!$BC$4:$BL$4,))</f>
        <v>20509.75</v>
      </c>
      <c r="R61" s="22">
        <f>INDEX('exch rate'!$BC$5:$BL$268,MATCH('GDP deflators'!$B61,'exch rate'!$A$5:$A$268,),MATCH('GDP deflators'!R$45,'exch rate'!$BC$4:$BL$4,))</f>
        <v>20828</v>
      </c>
      <c r="S61" s="22">
        <f>INDEX('exch rate'!$BC$5:$BL$268,MATCH('GDP deflators'!$B61,'exch rate'!$A$5:$A$268,),MATCH('GDP deflators'!S$45,'exch rate'!$BC$4:$BL$4,))</f>
        <v>20933.416666666701</v>
      </c>
      <c r="T61" s="22">
        <f>INDEX('exch rate'!$BC$5:$BL$268,MATCH('GDP deflators'!$B61,'exch rate'!$A$5:$A$268,),MATCH('GDP deflators'!T$45,'exch rate'!$BC$4:$BL$4,))</f>
        <v>21148</v>
      </c>
      <c r="U61" s="22">
        <f>INDEX('exch rate'!$BC$5:$BL$268,MATCH('GDP deflators'!$B61,'exch rate'!$A$5:$A$268,),MATCH('GDP deflators'!U$45,'exch rate'!$BC$4:$BL$4,))</f>
        <v>21697.567500000001</v>
      </c>
      <c r="V61" s="22">
        <f>INDEX('exch rate'!$BC$5:$BL$268,MATCH('GDP deflators'!$B61,'exch rate'!$A$5:$A$268,),MATCH('GDP deflators'!V$45,'exch rate'!$BC$4:$BL$4,))</f>
        <v>21935.000833333299</v>
      </c>
      <c r="W61" s="22">
        <f>INDEX('exch rate'!$BC$5:$BL$268,MATCH('GDP deflators'!$B61,'exch rate'!$A$5:$A$268,),MATCH('GDP deflators'!W$45,'exch rate'!$BC$4:$BL$4,))</f>
        <v>22370.086666666699</v>
      </c>
      <c r="X61" s="22">
        <f>INDEX('exch rate'!$BC$5:$BL$268,MATCH('GDP deflators'!$B61,'exch rate'!$A$5:$A$268,),MATCH('GDP deflators'!X$45,'exch rate'!$BC$4:$BL$4,))</f>
        <v>22602.05</v>
      </c>
      <c r="Y61" s="22">
        <f>INDEX('exch rate'!$BC$5:$BL$268,MATCH('GDP deflators'!$B61,'exch rate'!$A$5:$A$268,),MATCH('GDP deflators'!Y$45,'exch rate'!$BC$4:$BL$4,))</f>
        <v>23050.241666666701</v>
      </c>
      <c r="Z61" s="22">
        <v>2163420</v>
      </c>
    </row>
    <row r="62" spans="2:26">
      <c r="B62" t="s">
        <v>1258</v>
      </c>
      <c r="C62" s="22">
        <f>INDEX('exch rate'!$BC$5:$BL$268,MATCH('GDP deflators'!$B62,'exch rate'!$A$5:$A$268,),MATCH('GDP deflators'!C$45,'exch rate'!$BC$4:$BL$4,))</f>
        <v>510.24916666666701</v>
      </c>
      <c r="D62" s="22">
        <f>INDEX('exch rate'!$BC$5:$BL$268,MATCH('GDP deflators'!$B62,'exch rate'!$A$5:$A$268,),MATCH('GDP deflators'!D$45,'exch rate'!$BC$4:$BL$4,))</f>
        <v>483.66750000000002</v>
      </c>
      <c r="E62" s="22">
        <f>INDEX('exch rate'!$BC$5:$BL$268,MATCH('GDP deflators'!$B62,'exch rate'!$A$5:$A$268,),MATCH('GDP deflators'!E$45,'exch rate'!$BC$4:$BL$4,))</f>
        <v>486.47130339105303</v>
      </c>
      <c r="F62" s="22">
        <f>INDEX('exch rate'!$BC$5:$BL$268,MATCH('GDP deflators'!$B62,'exch rate'!$A$5:$A$268,),MATCH('GDP deflators'!F$45,'exch rate'!$BC$4:$BL$4,))</f>
        <v>495.272877645503</v>
      </c>
      <c r="G62" s="22">
        <f>INDEX('exch rate'!$BC$5:$BL$268,MATCH('GDP deflators'!$B62,'exch rate'!$A$5:$A$268,),MATCH('GDP deflators'!G$45,'exch rate'!$BC$4:$BL$4,))</f>
        <v>570.34821612743997</v>
      </c>
      <c r="H62" s="22">
        <f>INDEX('exch rate'!$BC$5:$BL$268,MATCH('GDP deflators'!$B62,'exch rate'!$A$5:$A$268,),MATCH('GDP deflators'!H$45,'exch rate'!$BC$4:$BL$4,))</f>
        <v>654.12408425419596</v>
      </c>
      <c r="I62" s="22">
        <f>INDEX('exch rate'!$BC$5:$BL$268,MATCH('GDP deflators'!$B62,'exch rate'!$A$5:$A$268,),MATCH('GDP deflators'!I$45,'exch rate'!$BC$4:$BL$4,))</f>
        <v>676.95773604465705</v>
      </c>
      <c r="J62" s="22">
        <f>INDEX('exch rate'!$BC$5:$BL$268,MATCH('GDP deflators'!$B62,'exch rate'!$A$5:$A$268,),MATCH('GDP deflators'!J$45,'exch rate'!$BC$4:$BL$4,))</f>
        <v>648.83379259826097</v>
      </c>
      <c r="K62" s="22">
        <f>INDEX('exch rate'!$BC$5:$BL$268,MATCH('GDP deflators'!$B62,'exch rate'!$A$5:$A$268,),MATCH('GDP deflators'!K$45,'exch rate'!$BC$4:$BL$4,))</f>
        <v>641.27681306639499</v>
      </c>
      <c r="L62" s="22">
        <f>INDEX('exch rate'!$BC$5:$BL$268,MATCH('GDP deflators'!$B62,'exch rate'!$A$5:$A$268,),MATCH('GDP deflators'!L$45,'exch rate'!$BC$4:$BL$4,))</f>
        <v>702.89742256152897</v>
      </c>
      <c r="M62">
        <v>1868000</v>
      </c>
      <c r="P62" s="22">
        <f>INDEX('exch rate'!$BC$5:$BL$268,MATCH('GDP deflators'!$B62,'exch rate'!$A$5:$A$268,),MATCH('GDP deflators'!P$45,'exch rate'!$BC$4:$BL$4,))</f>
        <v>510.24916666666701</v>
      </c>
      <c r="Q62" s="22">
        <f>INDEX('exch rate'!$BC$5:$BL$268,MATCH('GDP deflators'!$B62,'exch rate'!$A$5:$A$268,),MATCH('GDP deflators'!Q$45,'exch rate'!$BC$4:$BL$4,))</f>
        <v>483.66750000000002</v>
      </c>
      <c r="R62" s="22">
        <f>INDEX('exch rate'!$BC$5:$BL$268,MATCH('GDP deflators'!$B62,'exch rate'!$A$5:$A$268,),MATCH('GDP deflators'!R$45,'exch rate'!$BC$4:$BL$4,))</f>
        <v>486.47130339105303</v>
      </c>
      <c r="S62" s="22">
        <f>INDEX('exch rate'!$BC$5:$BL$268,MATCH('GDP deflators'!$B62,'exch rate'!$A$5:$A$268,),MATCH('GDP deflators'!S$45,'exch rate'!$BC$4:$BL$4,))</f>
        <v>495.272877645503</v>
      </c>
      <c r="T62" s="22">
        <f>INDEX('exch rate'!$BC$5:$BL$268,MATCH('GDP deflators'!$B62,'exch rate'!$A$5:$A$268,),MATCH('GDP deflators'!T$45,'exch rate'!$BC$4:$BL$4,))</f>
        <v>570.34821612743997</v>
      </c>
      <c r="U62" s="22">
        <f>INDEX('exch rate'!$BC$5:$BL$268,MATCH('GDP deflators'!$B62,'exch rate'!$A$5:$A$268,),MATCH('GDP deflators'!U$45,'exch rate'!$BC$4:$BL$4,))</f>
        <v>654.12408425419596</v>
      </c>
      <c r="V62" s="22">
        <f>INDEX('exch rate'!$BC$5:$BL$268,MATCH('GDP deflators'!$B62,'exch rate'!$A$5:$A$268,),MATCH('GDP deflators'!V$45,'exch rate'!$BC$4:$BL$4,))</f>
        <v>676.95773604465705</v>
      </c>
      <c r="W62" s="22">
        <f>INDEX('exch rate'!$BC$5:$BL$268,MATCH('GDP deflators'!$B62,'exch rate'!$A$5:$A$268,),MATCH('GDP deflators'!W$45,'exch rate'!$BC$4:$BL$4,))</f>
        <v>648.83379259826097</v>
      </c>
      <c r="X62" s="22">
        <f>INDEX('exch rate'!$BC$5:$BL$268,MATCH('GDP deflators'!$B62,'exch rate'!$A$5:$A$268,),MATCH('GDP deflators'!X$45,'exch rate'!$BC$4:$BL$4,))</f>
        <v>641.27681306639499</v>
      </c>
      <c r="Y62" s="22">
        <f>INDEX('exch rate'!$BC$5:$BL$268,MATCH('GDP deflators'!$B62,'exch rate'!$A$5:$A$268,),MATCH('GDP deflators'!Y$45,'exch rate'!$BC$4:$BL$4,))</f>
        <v>702.89742256152897</v>
      </c>
      <c r="Z62" s="22">
        <v>1868000</v>
      </c>
    </row>
    <row r="63" spans="2:26">
      <c r="B63" t="s">
        <v>5818</v>
      </c>
      <c r="C63" s="22">
        <f>INDEX('exch rate'!$BC$5:$BL$268,MATCH('GDP deflators'!$B63,'exch rate'!$A$5:$A$268,),MATCH('GDP deflators'!C$45,'exch rate'!$BC$4:$BL$4,))</f>
        <v>87.196146330091494</v>
      </c>
      <c r="D63" s="22">
        <f>INDEX('exch rate'!$BC$5:$BL$268,MATCH('GDP deflators'!$B63,'exch rate'!$A$5:$A$268,),MATCH('GDP deflators'!D$45,'exch rate'!$BC$4:$BL$4,))</f>
        <v>85.893463202276493</v>
      </c>
      <c r="E63" s="22">
        <f>INDEX('exch rate'!$BC$5:$BL$268,MATCH('GDP deflators'!$B63,'exch rate'!$A$5:$A$268,),MATCH('GDP deflators'!E$45,'exch rate'!$BC$4:$BL$4,))</f>
        <v>88.749802387645204</v>
      </c>
      <c r="F63" s="22">
        <f>INDEX('exch rate'!$BC$5:$BL$268,MATCH('GDP deflators'!$B63,'exch rate'!$A$5:$A$268,),MATCH('GDP deflators'!F$45,'exch rate'!$BC$4:$BL$4,))</f>
        <v>100.39788320357999</v>
      </c>
      <c r="G63" s="22">
        <f>INDEX('exch rate'!$BC$5:$BL$268,MATCH('GDP deflators'!$B63,'exch rate'!$A$5:$A$268,),MATCH('GDP deflators'!G$45,'exch rate'!$BC$4:$BL$4,))</f>
        <v>110.934527811188</v>
      </c>
      <c r="H63" s="22">
        <f>INDEX('exch rate'!$BC$5:$BL$268,MATCH('GDP deflators'!$B63,'exch rate'!$A$5:$A$268,),MATCH('GDP deflators'!H$45,'exch rate'!$BC$4:$BL$4,))</f>
        <v>116.969776646049</v>
      </c>
      <c r="I63" s="22">
        <f>INDEX('exch rate'!$BC$5:$BL$268,MATCH('GDP deflators'!$B63,'exch rate'!$A$5:$A$268,),MATCH('GDP deflators'!I$45,'exch rate'!$BC$4:$BL$4,))</f>
        <v>125.095034603174</v>
      </c>
      <c r="J63" s="22">
        <f>INDEX('exch rate'!$BC$5:$BL$268,MATCH('GDP deflators'!$B63,'exch rate'!$A$5:$A$268,),MATCH('GDP deflators'!J$45,'exch rate'!$BC$4:$BL$4,))</f>
        <v>127.964544179198</v>
      </c>
      <c r="K63" s="22">
        <f>INDEX('exch rate'!$BC$5:$BL$268,MATCH('GDP deflators'!$B63,'exch rate'!$A$5:$A$268,),MATCH('GDP deflators'!K$45,'exch rate'!$BC$4:$BL$4,))</f>
        <v>128.87151906465999</v>
      </c>
      <c r="L63" s="22">
        <f>INDEX('exch rate'!$BC$5:$BL$268,MATCH('GDP deflators'!$B63,'exch rate'!$A$5:$A$268,),MATCH('GDP deflators'!L$45,'exch rate'!$BC$4:$BL$4,))</f>
        <v>133.31211833795999</v>
      </c>
      <c r="M63">
        <v>1000000</v>
      </c>
      <c r="P63" s="22">
        <f>INDEX('exch rate'!$BC$5:$BL$268,MATCH('GDP deflators'!$B63,'exch rate'!$A$5:$A$268,),MATCH('GDP deflators'!P$45,'exch rate'!$BC$4:$BL$4,))</f>
        <v>87.196146330091494</v>
      </c>
      <c r="Q63" s="22">
        <f>INDEX('exch rate'!$BC$5:$BL$268,MATCH('GDP deflators'!$B63,'exch rate'!$A$5:$A$268,),MATCH('GDP deflators'!Q$45,'exch rate'!$BC$4:$BL$4,))</f>
        <v>85.893463202276493</v>
      </c>
      <c r="R63" s="22">
        <f>INDEX('exch rate'!$BC$5:$BL$268,MATCH('GDP deflators'!$B63,'exch rate'!$A$5:$A$268,),MATCH('GDP deflators'!R$45,'exch rate'!$BC$4:$BL$4,))</f>
        <v>88.749802387645204</v>
      </c>
      <c r="S63" s="22">
        <f>INDEX('exch rate'!$BC$5:$BL$268,MATCH('GDP deflators'!$B63,'exch rate'!$A$5:$A$268,),MATCH('GDP deflators'!S$45,'exch rate'!$BC$4:$BL$4,))</f>
        <v>100.39788320357999</v>
      </c>
      <c r="T63" s="22">
        <f>INDEX('exch rate'!$BC$5:$BL$268,MATCH('GDP deflators'!$B63,'exch rate'!$A$5:$A$268,),MATCH('GDP deflators'!T$45,'exch rate'!$BC$4:$BL$4,))</f>
        <v>110.934527811188</v>
      </c>
      <c r="U63" s="22">
        <f>INDEX('exch rate'!$BC$5:$BL$268,MATCH('GDP deflators'!$B63,'exch rate'!$A$5:$A$268,),MATCH('GDP deflators'!U$45,'exch rate'!$BC$4:$BL$4,))</f>
        <v>116.969776646049</v>
      </c>
      <c r="V63" s="22">
        <f>INDEX('exch rate'!$BC$5:$BL$268,MATCH('GDP deflators'!$B63,'exch rate'!$A$5:$A$268,),MATCH('GDP deflators'!V$45,'exch rate'!$BC$4:$BL$4,))</f>
        <v>125.095034603174</v>
      </c>
      <c r="W63" s="22">
        <f>INDEX('exch rate'!$BC$5:$BL$268,MATCH('GDP deflators'!$B63,'exch rate'!$A$5:$A$268,),MATCH('GDP deflators'!W$45,'exch rate'!$BC$4:$BL$4,))</f>
        <v>127.964544179198</v>
      </c>
      <c r="X63" s="22">
        <f>INDEX('exch rate'!$BC$5:$BL$268,MATCH('GDP deflators'!$B63,'exch rate'!$A$5:$A$268,),MATCH('GDP deflators'!X$45,'exch rate'!$BC$4:$BL$4,))</f>
        <v>128.87151906465999</v>
      </c>
      <c r="Y63" s="22">
        <f>INDEX('exch rate'!$BC$5:$BL$268,MATCH('GDP deflators'!$B63,'exch rate'!$A$5:$A$268,),MATCH('GDP deflators'!Y$45,'exch rate'!$BC$4:$BL$4,))</f>
        <v>133.31211833795999</v>
      </c>
      <c r="Z63" s="22">
        <v>1000000</v>
      </c>
    </row>
    <row r="64" spans="2:26">
      <c r="B64" t="s">
        <v>2057</v>
      </c>
      <c r="C64" s="22">
        <f>INDEX('exch rate'!$BC$5:$BL$268,MATCH('GDP deflators'!$B64,'exch rate'!$A$5:$A$268,),MATCH('GDP deflators'!C$45,'exch rate'!$BC$4:$BL$4,))</f>
        <v>6.7702690287094001</v>
      </c>
      <c r="D64" s="22">
        <f>INDEX('exch rate'!$BC$5:$BL$268,MATCH('GDP deflators'!$B64,'exch rate'!$A$5:$A$268,),MATCH('GDP deflators'!D$45,'exch rate'!$BC$4:$BL$4,))</f>
        <v>6.4614613265500704</v>
      </c>
      <c r="E64" s="22">
        <f>INDEX('exch rate'!$BC$5:$BL$268,MATCH('GDP deflators'!$B64,'exch rate'!$A$5:$A$268,),MATCH('GDP deflators'!E$45,'exch rate'!$BC$4:$BL$4,))</f>
        <v>6.3123328268318604</v>
      </c>
      <c r="F64" s="22">
        <f>INDEX('exch rate'!$BC$5:$BL$268,MATCH('GDP deflators'!$B64,'exch rate'!$A$5:$A$268,),MATCH('GDP deflators'!F$45,'exch rate'!$BC$4:$BL$4,))</f>
        <v>6.19575834608231</v>
      </c>
      <c r="G64" s="22">
        <f>INDEX('exch rate'!$BC$5:$BL$268,MATCH('GDP deflators'!$B64,'exch rate'!$A$5:$A$268,),MATCH('GDP deflators'!G$45,'exch rate'!$BC$4:$BL$4,))</f>
        <v>6.1434340944886703</v>
      </c>
      <c r="H64" s="22">
        <f>INDEX('exch rate'!$BC$5:$BL$268,MATCH('GDP deflators'!$B64,'exch rate'!$A$5:$A$268,),MATCH('GDP deflators'!H$45,'exch rate'!$BC$4:$BL$4,))</f>
        <v>6.22748867298455</v>
      </c>
      <c r="I64" s="22">
        <f>INDEX('exch rate'!$BC$5:$BL$268,MATCH('GDP deflators'!$B64,'exch rate'!$A$5:$A$268,),MATCH('GDP deflators'!I$45,'exch rate'!$BC$4:$BL$4,))</f>
        <v>6.6444778294468003</v>
      </c>
      <c r="J64" s="22">
        <f>INDEX('exch rate'!$BC$5:$BL$268,MATCH('GDP deflators'!$B64,'exch rate'!$A$5:$A$268,),MATCH('GDP deflators'!J$45,'exch rate'!$BC$4:$BL$4,))</f>
        <v>6.7587550863359702</v>
      </c>
      <c r="K64" s="22">
        <f>INDEX('exch rate'!$BC$5:$BL$268,MATCH('GDP deflators'!$B64,'exch rate'!$A$5:$A$268,),MATCH('GDP deflators'!K$45,'exch rate'!$BC$4:$BL$4,))</f>
        <v>6.6159571773543897</v>
      </c>
      <c r="L64" s="22">
        <f>INDEX('exch rate'!$BC$5:$BL$268,MATCH('GDP deflators'!$B64,'exch rate'!$A$5:$A$268,),MATCH('GDP deflators'!L$45,'exch rate'!$BC$4:$BL$4,))</f>
        <v>6.9083850099290096</v>
      </c>
      <c r="M64">
        <v>2040162773</v>
      </c>
      <c r="P64" s="22">
        <f>INDEX('exch rate'!$BC$5:$BL$268,MATCH('GDP deflators'!$B64,'exch rate'!$A$5:$A$268,),MATCH('GDP deflators'!P$45,'exch rate'!$BC$4:$BL$4,))</f>
        <v>6.7702690287094001</v>
      </c>
      <c r="Q64" s="22">
        <f>INDEX('exch rate'!$BC$5:$BL$268,MATCH('GDP deflators'!$B64,'exch rate'!$A$5:$A$268,),MATCH('GDP deflators'!Q$45,'exch rate'!$BC$4:$BL$4,))</f>
        <v>6.4614613265500704</v>
      </c>
      <c r="R64" s="22">
        <f>INDEX('exch rate'!$BC$5:$BL$268,MATCH('GDP deflators'!$B64,'exch rate'!$A$5:$A$268,),MATCH('GDP deflators'!R$45,'exch rate'!$BC$4:$BL$4,))</f>
        <v>6.3123328268318604</v>
      </c>
      <c r="S64" s="22">
        <f>INDEX('exch rate'!$BC$5:$BL$268,MATCH('GDP deflators'!$B64,'exch rate'!$A$5:$A$268,),MATCH('GDP deflators'!S$45,'exch rate'!$BC$4:$BL$4,))</f>
        <v>6.19575834608231</v>
      </c>
      <c r="T64" s="22">
        <f>INDEX('exch rate'!$BC$5:$BL$268,MATCH('GDP deflators'!$B64,'exch rate'!$A$5:$A$268,),MATCH('GDP deflators'!T$45,'exch rate'!$BC$4:$BL$4,))</f>
        <v>6.1434340944886703</v>
      </c>
      <c r="U64" s="22">
        <f>INDEX('exch rate'!$BC$5:$BL$268,MATCH('GDP deflators'!$B64,'exch rate'!$A$5:$A$268,),MATCH('GDP deflators'!U$45,'exch rate'!$BC$4:$BL$4,))</f>
        <v>6.22748867298455</v>
      </c>
      <c r="V64" s="22">
        <f>INDEX('exch rate'!$BC$5:$BL$268,MATCH('GDP deflators'!$B64,'exch rate'!$A$5:$A$268,),MATCH('GDP deflators'!V$45,'exch rate'!$BC$4:$BL$4,))</f>
        <v>6.6444778294468003</v>
      </c>
      <c r="W64" s="22">
        <f>INDEX('exch rate'!$BC$5:$BL$268,MATCH('GDP deflators'!$B64,'exch rate'!$A$5:$A$268,),MATCH('GDP deflators'!W$45,'exch rate'!$BC$4:$BL$4,))</f>
        <v>6.7587550863359702</v>
      </c>
      <c r="X64" s="22">
        <f>INDEX('exch rate'!$BC$5:$BL$268,MATCH('GDP deflators'!$B64,'exch rate'!$A$5:$A$268,),MATCH('GDP deflators'!X$45,'exch rate'!$BC$4:$BL$4,))</f>
        <v>6.6159571773543897</v>
      </c>
      <c r="Y64" s="22">
        <f>INDEX('exch rate'!$BC$5:$BL$268,MATCH('GDP deflators'!$B64,'exch rate'!$A$5:$A$268,),MATCH('GDP deflators'!Y$45,'exch rate'!$BC$4:$BL$4,))</f>
        <v>6.9083850099290096</v>
      </c>
      <c r="Z64" s="22">
        <v>2040162773</v>
      </c>
    </row>
    <row r="65" spans="2:26">
      <c r="B65" t="s">
        <v>1740</v>
      </c>
      <c r="C65" s="22">
        <f>INDEX('exch rate'!$BC$5:$BL$268,MATCH('GDP deflators'!$B65,'exch rate'!$A$5:$A$268,),MATCH('GDP deflators'!C$45,'exch rate'!$BC$4:$BL$4,))</f>
        <v>12.636008333333301</v>
      </c>
      <c r="D65" s="22">
        <f>INDEX('exch rate'!$BC$5:$BL$268,MATCH('GDP deflators'!$B65,'exch rate'!$A$5:$A$268,),MATCH('GDP deflators'!D$45,'exch rate'!$BC$4:$BL$4,))</f>
        <v>12.423325</v>
      </c>
      <c r="E65" s="22">
        <f>INDEX('exch rate'!$BC$5:$BL$268,MATCH('GDP deflators'!$B65,'exch rate'!$A$5:$A$268,),MATCH('GDP deflators'!E$45,'exch rate'!$BC$4:$BL$4,))</f>
        <v>13.169458333333299</v>
      </c>
      <c r="F65" s="22">
        <f>INDEX('exch rate'!$BC$5:$BL$268,MATCH('GDP deflators'!$B65,'exch rate'!$A$5:$A$268,),MATCH('GDP deflators'!F$45,'exch rate'!$BC$4:$BL$4,))</f>
        <v>12.7719916666667</v>
      </c>
      <c r="G65" s="22">
        <f>INDEX('exch rate'!$BC$5:$BL$268,MATCH('GDP deflators'!$B65,'exch rate'!$A$5:$A$268,),MATCH('GDP deflators'!G$45,'exch rate'!$BC$4:$BL$4,))</f>
        <v>13.292450000000001</v>
      </c>
      <c r="H65" s="22">
        <f>INDEX('exch rate'!$BC$5:$BL$268,MATCH('GDP deflators'!$B65,'exch rate'!$A$5:$A$268,),MATCH('GDP deflators'!H$45,'exch rate'!$BC$4:$BL$4,))</f>
        <v>15.848266666666699</v>
      </c>
      <c r="I65" s="22">
        <f>INDEX('exch rate'!$BC$5:$BL$268,MATCH('GDP deflators'!$B65,'exch rate'!$A$5:$A$268,),MATCH('GDP deflators'!I$45,'exch rate'!$BC$4:$BL$4,))</f>
        <v>18.664058333333301</v>
      </c>
      <c r="J65" s="22">
        <f>INDEX('exch rate'!$BC$5:$BL$268,MATCH('GDP deflators'!$B65,'exch rate'!$A$5:$A$268,),MATCH('GDP deflators'!J$45,'exch rate'!$BC$4:$BL$4,))</f>
        <v>18.9265166666667</v>
      </c>
      <c r="K65" s="22">
        <f>INDEX('exch rate'!$BC$5:$BL$268,MATCH('GDP deflators'!$B65,'exch rate'!$A$5:$A$268,),MATCH('GDP deflators'!K$45,'exch rate'!$BC$4:$BL$4,))</f>
        <v>19.244341666666699</v>
      </c>
      <c r="L65" s="22">
        <f>INDEX('exch rate'!$BC$5:$BL$268,MATCH('GDP deflators'!$B65,'exch rate'!$A$5:$A$268,),MATCH('GDP deflators'!L$45,'exch rate'!$BC$4:$BL$4,))</f>
        <v>19.263633333333299</v>
      </c>
      <c r="M65">
        <v>353300</v>
      </c>
      <c r="P65" s="22">
        <f>INDEX('exch rate'!$BC$5:$BL$268,MATCH('GDP deflators'!$B65,'exch rate'!$A$5:$A$268,),MATCH('GDP deflators'!P$45,'exch rate'!$BC$4:$BL$4,))</f>
        <v>12.636008333333301</v>
      </c>
      <c r="Q65" s="22">
        <f>INDEX('exch rate'!$BC$5:$BL$268,MATCH('GDP deflators'!$B65,'exch rate'!$A$5:$A$268,),MATCH('GDP deflators'!Q$45,'exch rate'!$BC$4:$BL$4,))</f>
        <v>12.423325</v>
      </c>
      <c r="R65" s="22">
        <f>INDEX('exch rate'!$BC$5:$BL$268,MATCH('GDP deflators'!$B65,'exch rate'!$A$5:$A$268,),MATCH('GDP deflators'!R$45,'exch rate'!$BC$4:$BL$4,))</f>
        <v>13.169458333333299</v>
      </c>
      <c r="S65" s="22">
        <f>INDEX('exch rate'!$BC$5:$BL$268,MATCH('GDP deflators'!$B65,'exch rate'!$A$5:$A$268,),MATCH('GDP deflators'!S$45,'exch rate'!$BC$4:$BL$4,))</f>
        <v>12.7719916666667</v>
      </c>
      <c r="T65" s="22">
        <f>INDEX('exch rate'!$BC$5:$BL$268,MATCH('GDP deflators'!$B65,'exch rate'!$A$5:$A$268,),MATCH('GDP deflators'!T$45,'exch rate'!$BC$4:$BL$4,))</f>
        <v>13.292450000000001</v>
      </c>
      <c r="U65" s="22">
        <f>INDEX('exch rate'!$BC$5:$BL$268,MATCH('GDP deflators'!$B65,'exch rate'!$A$5:$A$268,),MATCH('GDP deflators'!U$45,'exch rate'!$BC$4:$BL$4,))</f>
        <v>15.848266666666699</v>
      </c>
      <c r="V65" s="22">
        <f>INDEX('exch rate'!$BC$5:$BL$268,MATCH('GDP deflators'!$B65,'exch rate'!$A$5:$A$268,),MATCH('GDP deflators'!V$45,'exch rate'!$BC$4:$BL$4,))</f>
        <v>18.664058333333301</v>
      </c>
      <c r="W65" s="22">
        <f>INDEX('exch rate'!$BC$5:$BL$268,MATCH('GDP deflators'!$B65,'exch rate'!$A$5:$A$268,),MATCH('GDP deflators'!W$45,'exch rate'!$BC$4:$BL$4,))</f>
        <v>18.9265166666667</v>
      </c>
      <c r="X65" s="22">
        <f>INDEX('exch rate'!$BC$5:$BL$268,MATCH('GDP deflators'!$B65,'exch rate'!$A$5:$A$268,),MATCH('GDP deflators'!X$45,'exch rate'!$BC$4:$BL$4,))</f>
        <v>19.244341666666699</v>
      </c>
      <c r="Y65" s="22">
        <f>INDEX('exch rate'!$BC$5:$BL$268,MATCH('GDP deflators'!$B65,'exch rate'!$A$5:$A$268,),MATCH('GDP deflators'!Y$45,'exch rate'!$BC$4:$BL$4,))</f>
        <v>19.263633333333299</v>
      </c>
      <c r="Z65" s="22">
        <v>353300</v>
      </c>
    </row>
    <row r="66" spans="2:26">
      <c r="B66" t="s">
        <v>9288</v>
      </c>
      <c r="C66" s="22">
        <f>INDEX('exch rate'!$BC$5:$BL$268,MATCH('GDP deflators'!$B66,'exch rate'!$A$5:$A$268,),MATCH('GDP deflators'!C$45,'exch rate'!$BC$4:$BL$4,))</f>
        <v>45.109664180089602</v>
      </c>
      <c r="D66" s="22">
        <f>INDEX('exch rate'!$BC$5:$BL$268,MATCH('GDP deflators'!$B66,'exch rate'!$A$5:$A$268,),MATCH('GDP deflators'!D$45,'exch rate'!$BC$4:$BL$4,))</f>
        <v>43.3131369237488</v>
      </c>
      <c r="E66" s="22">
        <f>INDEX('exch rate'!$BC$5:$BL$268,MATCH('GDP deflators'!$B66,'exch rate'!$A$5:$A$268,),MATCH('GDP deflators'!E$45,'exch rate'!$BC$4:$BL$4,))</f>
        <v>42.228794734943399</v>
      </c>
      <c r="F66" s="22">
        <f>INDEX('exch rate'!$BC$5:$BL$268,MATCH('GDP deflators'!$B66,'exch rate'!$A$5:$A$268,),MATCH('GDP deflators'!F$45,'exch rate'!$BC$4:$BL$4,))</f>
        <v>42.446184830673999</v>
      </c>
      <c r="G66" s="22">
        <f>INDEX('exch rate'!$BC$5:$BL$268,MATCH('GDP deflators'!$B66,'exch rate'!$A$5:$A$268,),MATCH('GDP deflators'!G$45,'exch rate'!$BC$4:$BL$4,))</f>
        <v>44.395154304209697</v>
      </c>
      <c r="H66" s="22">
        <f>INDEX('exch rate'!$BC$5:$BL$268,MATCH('GDP deflators'!$B66,'exch rate'!$A$5:$A$268,),MATCH('GDP deflators'!H$45,'exch rate'!$BC$4:$BL$4,))</f>
        <v>45.502839942143098</v>
      </c>
      <c r="I66" s="22">
        <f>INDEX('exch rate'!$BC$5:$BL$268,MATCH('GDP deflators'!$B66,'exch rate'!$A$5:$A$268,),MATCH('GDP deflators'!I$45,'exch rate'!$BC$4:$BL$4,))</f>
        <v>47.4924638585099</v>
      </c>
      <c r="J66" s="22">
        <f>INDEX('exch rate'!$BC$5:$BL$268,MATCH('GDP deflators'!$B66,'exch rate'!$A$5:$A$268,),MATCH('GDP deflators'!J$45,'exch rate'!$BC$4:$BL$4,))</f>
        <v>50.403719793717698</v>
      </c>
      <c r="K66" s="22">
        <f>INDEX('exch rate'!$BC$5:$BL$268,MATCH('GDP deflators'!$B66,'exch rate'!$A$5:$A$268,),MATCH('GDP deflators'!K$45,'exch rate'!$BC$4:$BL$4,))</f>
        <v>52.661429953968302</v>
      </c>
      <c r="L66" s="22">
        <f>INDEX('exch rate'!$BC$5:$BL$268,MATCH('GDP deflators'!$B66,'exch rate'!$A$5:$A$268,),MATCH('GDP deflators'!L$45,'exch rate'!$BC$4:$BL$4,))</f>
        <v>51.795782651733298</v>
      </c>
      <c r="M66">
        <v>171400</v>
      </c>
      <c r="P66" s="22">
        <f>INDEX('exch rate'!$BC$5:$BL$268,MATCH('GDP deflators'!$B66,'exch rate'!$A$5:$A$268,),MATCH('GDP deflators'!P$45,'exch rate'!$BC$4:$BL$4,))</f>
        <v>45.109664180089602</v>
      </c>
      <c r="Q66" s="22">
        <f>INDEX('exch rate'!$BC$5:$BL$268,MATCH('GDP deflators'!$B66,'exch rate'!$A$5:$A$268,),MATCH('GDP deflators'!Q$45,'exch rate'!$BC$4:$BL$4,))</f>
        <v>43.3131369237488</v>
      </c>
      <c r="R66" s="22">
        <f>INDEX('exch rate'!$BC$5:$BL$268,MATCH('GDP deflators'!$B66,'exch rate'!$A$5:$A$268,),MATCH('GDP deflators'!R$45,'exch rate'!$BC$4:$BL$4,))</f>
        <v>42.228794734943399</v>
      </c>
      <c r="S66" s="22">
        <f>INDEX('exch rate'!$BC$5:$BL$268,MATCH('GDP deflators'!$B66,'exch rate'!$A$5:$A$268,),MATCH('GDP deflators'!S$45,'exch rate'!$BC$4:$BL$4,))</f>
        <v>42.446184830673999</v>
      </c>
      <c r="T66" s="22">
        <f>INDEX('exch rate'!$BC$5:$BL$268,MATCH('GDP deflators'!$B66,'exch rate'!$A$5:$A$268,),MATCH('GDP deflators'!T$45,'exch rate'!$BC$4:$BL$4,))</f>
        <v>44.395154304209697</v>
      </c>
      <c r="U66" s="22">
        <f>INDEX('exch rate'!$BC$5:$BL$268,MATCH('GDP deflators'!$B66,'exch rate'!$A$5:$A$268,),MATCH('GDP deflators'!U$45,'exch rate'!$BC$4:$BL$4,))</f>
        <v>45.502839942143098</v>
      </c>
      <c r="V66" s="22">
        <f>INDEX('exch rate'!$BC$5:$BL$268,MATCH('GDP deflators'!$B66,'exch rate'!$A$5:$A$268,),MATCH('GDP deflators'!V$45,'exch rate'!$BC$4:$BL$4,))</f>
        <v>47.4924638585099</v>
      </c>
      <c r="W66" s="22">
        <f>INDEX('exch rate'!$BC$5:$BL$268,MATCH('GDP deflators'!$B66,'exch rate'!$A$5:$A$268,),MATCH('GDP deflators'!W$45,'exch rate'!$BC$4:$BL$4,))</f>
        <v>50.403719793717698</v>
      </c>
      <c r="X66" s="22">
        <f>INDEX('exch rate'!$BC$5:$BL$268,MATCH('GDP deflators'!$B66,'exch rate'!$A$5:$A$268,),MATCH('GDP deflators'!X$45,'exch rate'!$BC$4:$BL$4,))</f>
        <v>52.661429953968302</v>
      </c>
      <c r="Y66" s="22">
        <f>INDEX('exch rate'!$BC$5:$BL$268,MATCH('GDP deflators'!$B66,'exch rate'!$A$5:$A$268,),MATCH('GDP deflators'!Y$45,'exch rate'!$BC$4:$BL$4,))</f>
        <v>51.795782651733298</v>
      </c>
      <c r="Z66" s="22">
        <v>171400</v>
      </c>
    </row>
    <row r="67" spans="2:26">
      <c r="B67" t="s">
        <v>7148</v>
      </c>
      <c r="C67" s="22">
        <f>INDEX('exch rate'!$BC$5:$BL$268,MATCH('GDP deflators'!$B67,'exch rate'!$A$5:$A$268,),MATCH('GDP deflators'!C$45,'exch rate'!$BC$4:$BL$4,))</f>
        <v>0.71</v>
      </c>
      <c r="D67" s="22">
        <f>INDEX('exch rate'!$BC$5:$BL$268,MATCH('GDP deflators'!$B67,'exch rate'!$A$5:$A$268,),MATCH('GDP deflators'!D$45,'exch rate'!$BC$4:$BL$4,))</f>
        <v>0.71</v>
      </c>
      <c r="E67" s="22">
        <f>INDEX('exch rate'!$BC$5:$BL$268,MATCH('GDP deflators'!$B67,'exch rate'!$A$5:$A$268,),MATCH('GDP deflators'!E$45,'exch rate'!$BC$4:$BL$4,))</f>
        <v>0.71</v>
      </c>
      <c r="F67" s="22">
        <f>INDEX('exch rate'!$BC$5:$BL$268,MATCH('GDP deflators'!$B67,'exch rate'!$A$5:$A$268,),MATCH('GDP deflators'!F$45,'exch rate'!$BC$4:$BL$4,))</f>
        <v>0.71</v>
      </c>
      <c r="G67" s="22">
        <f>INDEX('exch rate'!$BC$5:$BL$268,MATCH('GDP deflators'!$B67,'exch rate'!$A$5:$A$268,),MATCH('GDP deflators'!G$45,'exch rate'!$BC$4:$BL$4,))</f>
        <v>0.71</v>
      </c>
      <c r="H67" s="22">
        <f>INDEX('exch rate'!$BC$5:$BL$268,MATCH('GDP deflators'!$B67,'exch rate'!$A$5:$A$268,),MATCH('GDP deflators'!H$45,'exch rate'!$BC$4:$BL$4,))</f>
        <v>0.71</v>
      </c>
      <c r="I67" s="22">
        <f>INDEX('exch rate'!$BC$5:$BL$268,MATCH('GDP deflators'!$B67,'exch rate'!$A$5:$A$268,),MATCH('GDP deflators'!I$45,'exch rate'!$BC$4:$BL$4,))</f>
        <v>0.71</v>
      </c>
      <c r="J67" s="22">
        <f>INDEX('exch rate'!$BC$5:$BL$268,MATCH('GDP deflators'!$B67,'exch rate'!$A$5:$A$268,),MATCH('GDP deflators'!J$45,'exch rate'!$BC$4:$BL$4,))</f>
        <v>0.71</v>
      </c>
      <c r="K67" s="22">
        <f>INDEX('exch rate'!$BC$5:$BL$268,MATCH('GDP deflators'!$B67,'exch rate'!$A$5:$A$268,),MATCH('GDP deflators'!K$45,'exch rate'!$BC$4:$BL$4,))</f>
        <v>0.71</v>
      </c>
      <c r="L67" s="22">
        <f>INDEX('exch rate'!$BC$5:$BL$268,MATCH('GDP deflators'!$B67,'exch rate'!$A$5:$A$268,),MATCH('GDP deflators'!L$45,'exch rate'!$BC$4:$BL$4,))</f>
        <v>0.71</v>
      </c>
      <c r="M67">
        <v>120000</v>
      </c>
      <c r="P67" s="22">
        <f>INDEX('exch rate'!$BC$5:$BL$268,MATCH('GDP deflators'!$B67,'exch rate'!$A$5:$A$268,),MATCH('GDP deflators'!P$45,'exch rate'!$BC$4:$BL$4,))</f>
        <v>0.71</v>
      </c>
      <c r="Q67" s="22">
        <f>INDEX('exch rate'!$BC$5:$BL$268,MATCH('GDP deflators'!$B67,'exch rate'!$A$5:$A$268,),MATCH('GDP deflators'!Q$45,'exch rate'!$BC$4:$BL$4,))</f>
        <v>0.71</v>
      </c>
      <c r="R67" s="22">
        <f>INDEX('exch rate'!$BC$5:$BL$268,MATCH('GDP deflators'!$B67,'exch rate'!$A$5:$A$268,),MATCH('GDP deflators'!R$45,'exch rate'!$BC$4:$BL$4,))</f>
        <v>0.71</v>
      </c>
      <c r="S67" s="22">
        <f>INDEX('exch rate'!$BC$5:$BL$268,MATCH('GDP deflators'!$B67,'exch rate'!$A$5:$A$268,),MATCH('GDP deflators'!S$45,'exch rate'!$BC$4:$BL$4,))</f>
        <v>0.71</v>
      </c>
      <c r="T67" s="22">
        <f>INDEX('exch rate'!$BC$5:$BL$268,MATCH('GDP deflators'!$B67,'exch rate'!$A$5:$A$268,),MATCH('GDP deflators'!T$45,'exch rate'!$BC$4:$BL$4,))</f>
        <v>0.71</v>
      </c>
      <c r="U67" s="22">
        <f>INDEX('exch rate'!$BC$5:$BL$268,MATCH('GDP deflators'!$B67,'exch rate'!$A$5:$A$268,),MATCH('GDP deflators'!U$45,'exch rate'!$BC$4:$BL$4,))</f>
        <v>0.71</v>
      </c>
      <c r="V67" s="22">
        <f>INDEX('exch rate'!$BC$5:$BL$268,MATCH('GDP deflators'!$B67,'exch rate'!$A$5:$A$268,),MATCH('GDP deflators'!V$45,'exch rate'!$BC$4:$BL$4,))</f>
        <v>0.71</v>
      </c>
      <c r="W67" s="22">
        <f>INDEX('exch rate'!$BC$5:$BL$268,MATCH('GDP deflators'!$B67,'exch rate'!$A$5:$A$268,),MATCH('GDP deflators'!W$45,'exch rate'!$BC$4:$BL$4,))</f>
        <v>0.71</v>
      </c>
      <c r="X67" s="22">
        <f>INDEX('exch rate'!$BC$5:$BL$268,MATCH('GDP deflators'!$B67,'exch rate'!$A$5:$A$268,),MATCH('GDP deflators'!X$45,'exch rate'!$BC$4:$BL$4,))</f>
        <v>0.71</v>
      </c>
      <c r="Y67" s="22">
        <f>INDEX('exch rate'!$BC$5:$BL$268,MATCH('GDP deflators'!$B67,'exch rate'!$A$5:$A$268,),MATCH('GDP deflators'!Y$45,'exch rate'!$BC$4:$BL$4,))</f>
        <v>0.71</v>
      </c>
      <c r="Z67" s="22">
        <v>120000</v>
      </c>
    </row>
    <row r="68" spans="2:26">
      <c r="B68" t="s">
        <v>1028</v>
      </c>
      <c r="C68" s="22">
        <f>INDEX('exch rate'!$BC$5:$BL$268,MATCH('GDP deflators'!$B68,'exch rate'!$A$5:$A$268,),MATCH('GDP deflators'!C$45,'exch rate'!$BC$4:$BL$4,))</f>
        <v>3.75</v>
      </c>
      <c r="D68" s="22">
        <f>INDEX('exch rate'!$BC$5:$BL$268,MATCH('GDP deflators'!$B68,'exch rate'!$A$5:$A$268,),MATCH('GDP deflators'!D$45,'exch rate'!$BC$4:$BL$4,))</f>
        <v>3.75</v>
      </c>
      <c r="E68" s="22">
        <f>INDEX('exch rate'!$BC$5:$BL$268,MATCH('GDP deflators'!$B68,'exch rate'!$A$5:$A$268,),MATCH('GDP deflators'!E$45,'exch rate'!$BC$4:$BL$4,))</f>
        <v>3.75</v>
      </c>
      <c r="F68" s="22">
        <f>INDEX('exch rate'!$BC$5:$BL$268,MATCH('GDP deflators'!$B68,'exch rate'!$A$5:$A$268,),MATCH('GDP deflators'!F$45,'exch rate'!$BC$4:$BL$4,))</f>
        <v>3.75</v>
      </c>
      <c r="G68" s="22">
        <f>INDEX('exch rate'!$BC$5:$BL$268,MATCH('GDP deflators'!$B68,'exch rate'!$A$5:$A$268,),MATCH('GDP deflators'!G$45,'exch rate'!$BC$4:$BL$4,))</f>
        <v>3.75</v>
      </c>
      <c r="H68" s="22">
        <f>INDEX('exch rate'!$BC$5:$BL$268,MATCH('GDP deflators'!$B68,'exch rate'!$A$5:$A$268,),MATCH('GDP deflators'!H$45,'exch rate'!$BC$4:$BL$4,))</f>
        <v>3.75</v>
      </c>
      <c r="I68" s="22">
        <f>INDEX('exch rate'!$BC$5:$BL$268,MATCH('GDP deflators'!$B68,'exch rate'!$A$5:$A$268,),MATCH('GDP deflators'!I$45,'exch rate'!$BC$4:$BL$4,))</f>
        <v>3.75</v>
      </c>
      <c r="J68" s="22">
        <f>INDEX('exch rate'!$BC$5:$BL$268,MATCH('GDP deflators'!$B68,'exch rate'!$A$5:$A$268,),MATCH('GDP deflators'!J$45,'exch rate'!$BC$4:$BL$4,))</f>
        <v>3.75</v>
      </c>
      <c r="K68" s="22">
        <f>INDEX('exch rate'!$BC$5:$BL$268,MATCH('GDP deflators'!$B68,'exch rate'!$A$5:$A$268,),MATCH('GDP deflators'!K$45,'exch rate'!$BC$4:$BL$4,))</f>
        <v>3.75</v>
      </c>
      <c r="L68" s="22">
        <f>INDEX('exch rate'!$BC$5:$BL$268,MATCH('GDP deflators'!$B68,'exch rate'!$A$5:$A$268,),MATCH('GDP deflators'!L$45,'exch rate'!$BC$4:$BL$4,))</f>
        <v>3.75</v>
      </c>
      <c r="M68">
        <v>2100000</v>
      </c>
      <c r="P68" s="22">
        <f>INDEX('exch rate'!$BC$5:$BL$268,MATCH('GDP deflators'!$B68,'exch rate'!$A$5:$A$268,),MATCH('GDP deflators'!P$45,'exch rate'!$BC$4:$BL$4,))</f>
        <v>3.75</v>
      </c>
      <c r="Q68" s="22">
        <f>INDEX('exch rate'!$BC$5:$BL$268,MATCH('GDP deflators'!$B68,'exch rate'!$A$5:$A$268,),MATCH('GDP deflators'!Q$45,'exch rate'!$BC$4:$BL$4,))</f>
        <v>3.75</v>
      </c>
      <c r="R68" s="22">
        <f>INDEX('exch rate'!$BC$5:$BL$268,MATCH('GDP deflators'!$B68,'exch rate'!$A$5:$A$268,),MATCH('GDP deflators'!R$45,'exch rate'!$BC$4:$BL$4,))</f>
        <v>3.75</v>
      </c>
      <c r="S68" s="22">
        <f>INDEX('exch rate'!$BC$5:$BL$268,MATCH('GDP deflators'!$B68,'exch rate'!$A$5:$A$268,),MATCH('GDP deflators'!S$45,'exch rate'!$BC$4:$BL$4,))</f>
        <v>3.75</v>
      </c>
      <c r="T68" s="22">
        <f>INDEX('exch rate'!$BC$5:$BL$268,MATCH('GDP deflators'!$B68,'exch rate'!$A$5:$A$268,),MATCH('GDP deflators'!T$45,'exch rate'!$BC$4:$BL$4,))</f>
        <v>3.75</v>
      </c>
      <c r="U68" s="22">
        <f>INDEX('exch rate'!$BC$5:$BL$268,MATCH('GDP deflators'!$B68,'exch rate'!$A$5:$A$268,),MATCH('GDP deflators'!U$45,'exch rate'!$BC$4:$BL$4,))</f>
        <v>3.75</v>
      </c>
      <c r="V68" s="22">
        <f>INDEX('exch rate'!$BC$5:$BL$268,MATCH('GDP deflators'!$B68,'exch rate'!$A$5:$A$268,),MATCH('GDP deflators'!V$45,'exch rate'!$BC$4:$BL$4,))</f>
        <v>3.75</v>
      </c>
      <c r="W68" s="22">
        <f>INDEX('exch rate'!$BC$5:$BL$268,MATCH('GDP deflators'!$B68,'exch rate'!$A$5:$A$268,),MATCH('GDP deflators'!W$45,'exch rate'!$BC$4:$BL$4,))</f>
        <v>3.75</v>
      </c>
      <c r="X68" s="22">
        <f>INDEX('exch rate'!$BC$5:$BL$268,MATCH('GDP deflators'!$B68,'exch rate'!$A$5:$A$268,),MATCH('GDP deflators'!X$45,'exch rate'!$BC$4:$BL$4,))</f>
        <v>3.75</v>
      </c>
      <c r="Y68" s="22">
        <f>INDEX('exch rate'!$BC$5:$BL$268,MATCH('GDP deflators'!$B68,'exch rate'!$A$5:$A$268,),MATCH('GDP deflators'!Y$45,'exch rate'!$BC$4:$BL$4,))</f>
        <v>3.75</v>
      </c>
      <c r="Z68" s="22">
        <v>2100000</v>
      </c>
    </row>
    <row r="69" spans="2:26">
      <c r="B69" t="s">
        <v>6393</v>
      </c>
      <c r="C69" s="22">
        <f>INDEX('exch rate'!$BC$5:$BL$268,MATCH('GDP deflators'!$B69,'exch rate'!$A$5:$A$268,),MATCH('GDP deflators'!C$45,'exch rate'!$BC$4:$BL$4,))</f>
        <v>494.794262222947</v>
      </c>
      <c r="D69" s="22">
        <f>INDEX('exch rate'!$BC$5:$BL$268,MATCH('GDP deflators'!$B69,'exch rate'!$A$5:$A$268,),MATCH('GDP deflators'!D$45,'exch rate'!$BC$4:$BL$4,))</f>
        <v>471.24862571893698</v>
      </c>
      <c r="E69" s="22">
        <f>INDEX('exch rate'!$BC$5:$BL$268,MATCH('GDP deflators'!$B69,'exch rate'!$A$5:$A$268,),MATCH('GDP deflators'!E$45,'exch rate'!$BC$4:$BL$4,))</f>
        <v>510.55633845425098</v>
      </c>
      <c r="F69" s="22">
        <f>INDEX('exch rate'!$BC$5:$BL$268,MATCH('GDP deflators'!$B69,'exch rate'!$A$5:$A$268,),MATCH('GDP deflators'!F$45,'exch rate'!$BC$4:$BL$4,))</f>
        <v>493.89962385223703</v>
      </c>
      <c r="G69" s="22">
        <f>INDEX('exch rate'!$BC$5:$BL$268,MATCH('GDP deflators'!$B69,'exch rate'!$A$5:$A$268,),MATCH('GDP deflators'!G$45,'exch rate'!$BC$4:$BL$4,))</f>
        <v>493.757329875312</v>
      </c>
      <c r="H69" s="22">
        <f>INDEX('exch rate'!$BC$5:$BL$268,MATCH('GDP deflators'!$B69,'exch rate'!$A$5:$A$268,),MATCH('GDP deflators'!H$45,'exch rate'!$BC$4:$BL$4,))</f>
        <v>591.21169798260996</v>
      </c>
      <c r="I69" s="22">
        <f>INDEX('exch rate'!$BC$5:$BL$268,MATCH('GDP deflators'!$B69,'exch rate'!$A$5:$A$268,),MATCH('GDP deflators'!I$45,'exch rate'!$BC$4:$BL$4,))</f>
        <v>592.60561506302201</v>
      </c>
      <c r="J69" s="22">
        <f>INDEX('exch rate'!$BC$5:$BL$268,MATCH('GDP deflators'!$B69,'exch rate'!$A$5:$A$268,),MATCH('GDP deflators'!J$45,'exch rate'!$BC$4:$BL$4,))</f>
        <v>580.65674958785803</v>
      </c>
      <c r="K69" s="22">
        <f>INDEX('exch rate'!$BC$5:$BL$268,MATCH('GDP deflators'!$B69,'exch rate'!$A$5:$A$268,),MATCH('GDP deflators'!K$45,'exch rate'!$BC$4:$BL$4,))</f>
        <v>555.44645839822601</v>
      </c>
      <c r="L69" s="22">
        <f>INDEX('exch rate'!$BC$5:$BL$268,MATCH('GDP deflators'!$B69,'exch rate'!$A$5:$A$268,),MATCH('GDP deflators'!L$45,'exch rate'!$BC$4:$BL$4,))</f>
        <v>585.91101318036897</v>
      </c>
      <c r="M69">
        <v>100000</v>
      </c>
      <c r="P69" s="22">
        <f>INDEX('exch rate'!$BC$5:$BL$268,MATCH('GDP deflators'!$B69,'exch rate'!$A$5:$A$268,),MATCH('GDP deflators'!P$45,'exch rate'!$BC$4:$BL$4,))</f>
        <v>494.794262222947</v>
      </c>
      <c r="Q69" s="22">
        <f>INDEX('exch rate'!$BC$5:$BL$268,MATCH('GDP deflators'!$B69,'exch rate'!$A$5:$A$268,),MATCH('GDP deflators'!Q$45,'exch rate'!$BC$4:$BL$4,))</f>
        <v>471.24862571893698</v>
      </c>
      <c r="R69" s="22">
        <f>INDEX('exch rate'!$BC$5:$BL$268,MATCH('GDP deflators'!$B69,'exch rate'!$A$5:$A$268,),MATCH('GDP deflators'!R$45,'exch rate'!$BC$4:$BL$4,))</f>
        <v>510.55633845425098</v>
      </c>
      <c r="S69" s="22">
        <f>INDEX('exch rate'!$BC$5:$BL$268,MATCH('GDP deflators'!$B69,'exch rate'!$A$5:$A$268,),MATCH('GDP deflators'!S$45,'exch rate'!$BC$4:$BL$4,))</f>
        <v>493.89962385223703</v>
      </c>
      <c r="T69" s="22">
        <f>INDEX('exch rate'!$BC$5:$BL$268,MATCH('GDP deflators'!$B69,'exch rate'!$A$5:$A$268,),MATCH('GDP deflators'!T$45,'exch rate'!$BC$4:$BL$4,))</f>
        <v>493.757329875312</v>
      </c>
      <c r="U69" s="22">
        <f>INDEX('exch rate'!$BC$5:$BL$268,MATCH('GDP deflators'!$B69,'exch rate'!$A$5:$A$268,),MATCH('GDP deflators'!U$45,'exch rate'!$BC$4:$BL$4,))</f>
        <v>591.21169798260996</v>
      </c>
      <c r="V69" s="22">
        <f>INDEX('exch rate'!$BC$5:$BL$268,MATCH('GDP deflators'!$B69,'exch rate'!$A$5:$A$268,),MATCH('GDP deflators'!V$45,'exch rate'!$BC$4:$BL$4,))</f>
        <v>592.60561506302201</v>
      </c>
      <c r="W69" s="22">
        <f>INDEX('exch rate'!$BC$5:$BL$268,MATCH('GDP deflators'!$B69,'exch rate'!$A$5:$A$268,),MATCH('GDP deflators'!W$45,'exch rate'!$BC$4:$BL$4,))</f>
        <v>580.65674958785803</v>
      </c>
      <c r="X69" s="22">
        <f>INDEX('exch rate'!$BC$5:$BL$268,MATCH('GDP deflators'!$B69,'exch rate'!$A$5:$A$268,),MATCH('GDP deflators'!X$45,'exch rate'!$BC$4:$BL$4,))</f>
        <v>555.44645839822601</v>
      </c>
      <c r="Y69" s="22">
        <f>INDEX('exch rate'!$BC$5:$BL$268,MATCH('GDP deflators'!$B69,'exch rate'!$A$5:$A$268,),MATCH('GDP deflators'!Y$45,'exch rate'!$BC$4:$BL$4,))</f>
        <v>585.91101318036897</v>
      </c>
      <c r="Z69" s="22">
        <v>100000</v>
      </c>
    </row>
    <row r="70" spans="2:26">
      <c r="B70" t="s">
        <v>9462</v>
      </c>
      <c r="C70" s="22">
        <f>INDEX('exch rate'!$BC$5:$BL$268,MATCH('GDP deflators'!$B70,'exch rate'!$A$5:$A$268,),MATCH('GDP deflators'!C$45,'exch rate'!$BC$4:$BL$4,))</f>
        <v>1.78234166666667</v>
      </c>
      <c r="D70" s="22">
        <f>INDEX('exch rate'!$BC$5:$BL$268,MATCH('GDP deflators'!$B70,'exch rate'!$A$5:$A$268,),MATCH('GDP deflators'!D$45,'exch rate'!$BC$4:$BL$4,))</f>
        <v>1.6864954301075299</v>
      </c>
      <c r="E70" s="22">
        <f>INDEX('exch rate'!$BC$5:$BL$268,MATCH('GDP deflators'!$B70,'exch rate'!$A$5:$A$268,),MATCH('GDP deflators'!E$45,'exch rate'!$BC$4:$BL$4,))</f>
        <v>1.6512583333333299</v>
      </c>
      <c r="F70" s="22">
        <f>INDEX('exch rate'!$BC$5:$BL$268,MATCH('GDP deflators'!$B70,'exch rate'!$A$5:$A$268,),MATCH('GDP deflators'!F$45,'exch rate'!$BC$4:$BL$4,))</f>
        <v>1.6633500000000001</v>
      </c>
      <c r="G70" s="22">
        <f>INDEX('exch rate'!$BC$5:$BL$268,MATCH('GDP deflators'!$B70,'exch rate'!$A$5:$A$268,),MATCH('GDP deflators'!G$45,'exch rate'!$BC$4:$BL$4,))</f>
        <v>1.76566666666667</v>
      </c>
      <c r="H70" s="22">
        <f>INDEX('exch rate'!$BC$5:$BL$268,MATCH('GDP deflators'!$B70,'exch rate'!$A$5:$A$268,),MATCH('GDP deflators'!H$45,'exch rate'!$BC$4:$BL$4,))</f>
        <v>2.2693416666666701</v>
      </c>
      <c r="I70" s="22">
        <f>INDEX('exch rate'!$BC$5:$BL$268,MATCH('GDP deflators'!$B70,'exch rate'!$A$5:$A$268,),MATCH('GDP deflators'!I$45,'exch rate'!$BC$4:$BL$4,))</f>
        <v>2.3667250000000002</v>
      </c>
      <c r="J70" s="22">
        <f>INDEX('exch rate'!$BC$5:$BL$268,MATCH('GDP deflators'!$B70,'exch rate'!$A$5:$A$268,),MATCH('GDP deflators'!J$45,'exch rate'!$BC$4:$BL$4,))</f>
        <v>2.5095416666666699</v>
      </c>
      <c r="K70" s="22">
        <f>INDEX('exch rate'!$BC$5:$BL$268,MATCH('GDP deflators'!$B70,'exch rate'!$A$5:$A$268,),MATCH('GDP deflators'!K$45,'exch rate'!$BC$4:$BL$4,))</f>
        <v>2.53411083333333</v>
      </c>
      <c r="L70" s="22">
        <f>INDEX('exch rate'!$BC$5:$BL$268,MATCH('GDP deflators'!$B70,'exch rate'!$A$5:$A$268,),MATCH('GDP deflators'!L$45,'exch rate'!$BC$4:$BL$4,))</f>
        <v>2.8181449999999999</v>
      </c>
      <c r="M70">
        <v>100000</v>
      </c>
      <c r="P70" s="22">
        <f>INDEX('exch rate'!$BC$5:$BL$268,MATCH('GDP deflators'!$B70,'exch rate'!$A$5:$A$268,),MATCH('GDP deflators'!P$45,'exch rate'!$BC$4:$BL$4,))</f>
        <v>1.78234166666667</v>
      </c>
      <c r="Q70" s="22">
        <f>INDEX('exch rate'!$BC$5:$BL$268,MATCH('GDP deflators'!$B70,'exch rate'!$A$5:$A$268,),MATCH('GDP deflators'!Q$45,'exch rate'!$BC$4:$BL$4,))</f>
        <v>1.6864954301075299</v>
      </c>
      <c r="R70" s="22">
        <f>INDEX('exch rate'!$BC$5:$BL$268,MATCH('GDP deflators'!$B70,'exch rate'!$A$5:$A$268,),MATCH('GDP deflators'!R$45,'exch rate'!$BC$4:$BL$4,))</f>
        <v>1.6512583333333299</v>
      </c>
      <c r="S70" s="22">
        <f>INDEX('exch rate'!$BC$5:$BL$268,MATCH('GDP deflators'!$B70,'exch rate'!$A$5:$A$268,),MATCH('GDP deflators'!S$45,'exch rate'!$BC$4:$BL$4,))</f>
        <v>1.6633500000000001</v>
      </c>
      <c r="T70" s="22">
        <f>INDEX('exch rate'!$BC$5:$BL$268,MATCH('GDP deflators'!$B70,'exch rate'!$A$5:$A$268,),MATCH('GDP deflators'!T$45,'exch rate'!$BC$4:$BL$4,))</f>
        <v>1.76566666666667</v>
      </c>
      <c r="U70" s="22">
        <f>INDEX('exch rate'!$BC$5:$BL$268,MATCH('GDP deflators'!$B70,'exch rate'!$A$5:$A$268,),MATCH('GDP deflators'!U$45,'exch rate'!$BC$4:$BL$4,))</f>
        <v>2.2693416666666701</v>
      </c>
      <c r="V70" s="22">
        <f>INDEX('exch rate'!$BC$5:$BL$268,MATCH('GDP deflators'!$B70,'exch rate'!$A$5:$A$268,),MATCH('GDP deflators'!V$45,'exch rate'!$BC$4:$BL$4,))</f>
        <v>2.3667250000000002</v>
      </c>
      <c r="W70" s="22">
        <f>INDEX('exch rate'!$BC$5:$BL$268,MATCH('GDP deflators'!$B70,'exch rate'!$A$5:$A$268,),MATCH('GDP deflators'!W$45,'exch rate'!$BC$4:$BL$4,))</f>
        <v>2.5095416666666699</v>
      </c>
      <c r="X70" s="22">
        <f>INDEX('exch rate'!$BC$5:$BL$268,MATCH('GDP deflators'!$B70,'exch rate'!$A$5:$A$268,),MATCH('GDP deflators'!X$45,'exch rate'!$BC$4:$BL$4,))</f>
        <v>2.53411083333333</v>
      </c>
      <c r="Y70" s="22">
        <f>INDEX('exch rate'!$BC$5:$BL$268,MATCH('GDP deflators'!$B70,'exch rate'!$A$5:$A$268,),MATCH('GDP deflators'!Y$45,'exch rate'!$BC$4:$BL$4,))</f>
        <v>2.8181449999999999</v>
      </c>
      <c r="Z70" s="22">
        <v>100000</v>
      </c>
    </row>
    <row r="71" spans="2:26">
      <c r="B71" t="s">
        <v>1258</v>
      </c>
      <c r="C71" s="22">
        <f>INDEX('exch rate'!$BC$5:$BL$268,MATCH('GDP deflators'!$B71,'exch rate'!$A$5:$A$268,),MATCH('GDP deflators'!C$45,'exch rate'!$BC$4:$BL$4,))</f>
        <v>510.24916666666701</v>
      </c>
      <c r="D71" s="22">
        <f>INDEX('exch rate'!$BC$5:$BL$268,MATCH('GDP deflators'!$B71,'exch rate'!$A$5:$A$268,),MATCH('GDP deflators'!D$45,'exch rate'!$BC$4:$BL$4,))</f>
        <v>483.66750000000002</v>
      </c>
      <c r="E71" s="22">
        <f>INDEX('exch rate'!$BC$5:$BL$268,MATCH('GDP deflators'!$B71,'exch rate'!$A$5:$A$268,),MATCH('GDP deflators'!E$45,'exch rate'!$BC$4:$BL$4,))</f>
        <v>486.47130339105303</v>
      </c>
      <c r="F71" s="22">
        <f>INDEX('exch rate'!$BC$5:$BL$268,MATCH('GDP deflators'!$B71,'exch rate'!$A$5:$A$268,),MATCH('GDP deflators'!F$45,'exch rate'!$BC$4:$BL$4,))</f>
        <v>495.272877645503</v>
      </c>
      <c r="G71" s="22">
        <f>INDEX('exch rate'!$BC$5:$BL$268,MATCH('GDP deflators'!$B71,'exch rate'!$A$5:$A$268,),MATCH('GDP deflators'!G$45,'exch rate'!$BC$4:$BL$4,))</f>
        <v>570.34821612743997</v>
      </c>
      <c r="H71" s="22">
        <f>INDEX('exch rate'!$BC$5:$BL$268,MATCH('GDP deflators'!$B71,'exch rate'!$A$5:$A$268,),MATCH('GDP deflators'!H$45,'exch rate'!$BC$4:$BL$4,))</f>
        <v>654.12408425419596</v>
      </c>
      <c r="I71" s="22">
        <f>INDEX('exch rate'!$BC$5:$BL$268,MATCH('GDP deflators'!$B71,'exch rate'!$A$5:$A$268,),MATCH('GDP deflators'!I$45,'exch rate'!$BC$4:$BL$4,))</f>
        <v>676.95773604465705</v>
      </c>
      <c r="J71" s="22">
        <f>INDEX('exch rate'!$BC$5:$BL$268,MATCH('GDP deflators'!$B71,'exch rate'!$A$5:$A$268,),MATCH('GDP deflators'!J$45,'exch rate'!$BC$4:$BL$4,))</f>
        <v>648.83379259826097</v>
      </c>
      <c r="K71" s="22">
        <f>INDEX('exch rate'!$BC$5:$BL$268,MATCH('GDP deflators'!$B71,'exch rate'!$A$5:$A$268,),MATCH('GDP deflators'!K$45,'exch rate'!$BC$4:$BL$4,))</f>
        <v>641.27681306639499</v>
      </c>
      <c r="L71" s="22">
        <f>INDEX('exch rate'!$BC$5:$BL$268,MATCH('GDP deflators'!$B71,'exch rate'!$A$5:$A$268,),MATCH('GDP deflators'!L$45,'exch rate'!$BC$4:$BL$4,))</f>
        <v>702.89742256152897</v>
      </c>
      <c r="M71">
        <v>1868000</v>
      </c>
      <c r="P71" s="22">
        <f>INDEX('exch rate'!$BC$5:$BL$268,MATCH('GDP deflators'!$B71,'exch rate'!$A$5:$A$268,),MATCH('GDP deflators'!P$45,'exch rate'!$BC$4:$BL$4,))</f>
        <v>510.24916666666701</v>
      </c>
      <c r="Q71" s="22">
        <f>INDEX('exch rate'!$BC$5:$BL$268,MATCH('GDP deflators'!$B71,'exch rate'!$A$5:$A$268,),MATCH('GDP deflators'!Q$45,'exch rate'!$BC$4:$BL$4,))</f>
        <v>483.66750000000002</v>
      </c>
      <c r="R71" s="22">
        <f>INDEX('exch rate'!$BC$5:$BL$268,MATCH('GDP deflators'!$B71,'exch rate'!$A$5:$A$268,),MATCH('GDP deflators'!R$45,'exch rate'!$BC$4:$BL$4,))</f>
        <v>486.47130339105303</v>
      </c>
      <c r="S71" s="22">
        <f>INDEX('exch rate'!$BC$5:$BL$268,MATCH('GDP deflators'!$B71,'exch rate'!$A$5:$A$268,),MATCH('GDP deflators'!S$45,'exch rate'!$BC$4:$BL$4,))</f>
        <v>495.272877645503</v>
      </c>
      <c r="T71" s="22">
        <f>INDEX('exch rate'!$BC$5:$BL$268,MATCH('GDP deflators'!$B71,'exch rate'!$A$5:$A$268,),MATCH('GDP deflators'!T$45,'exch rate'!$BC$4:$BL$4,))</f>
        <v>570.34821612743997</v>
      </c>
      <c r="U71" s="22">
        <f>INDEX('exch rate'!$BC$5:$BL$268,MATCH('GDP deflators'!$B71,'exch rate'!$A$5:$A$268,),MATCH('GDP deflators'!U$45,'exch rate'!$BC$4:$BL$4,))</f>
        <v>654.12408425419596</v>
      </c>
      <c r="V71" s="22">
        <f>INDEX('exch rate'!$BC$5:$BL$268,MATCH('GDP deflators'!$B71,'exch rate'!$A$5:$A$268,),MATCH('GDP deflators'!V$45,'exch rate'!$BC$4:$BL$4,))</f>
        <v>676.95773604465705</v>
      </c>
      <c r="W71" s="22">
        <f>INDEX('exch rate'!$BC$5:$BL$268,MATCH('GDP deflators'!$B71,'exch rate'!$A$5:$A$268,),MATCH('GDP deflators'!W$45,'exch rate'!$BC$4:$BL$4,))</f>
        <v>648.83379259826097</v>
      </c>
      <c r="X71" s="22">
        <f>INDEX('exch rate'!$BC$5:$BL$268,MATCH('GDP deflators'!$B71,'exch rate'!$A$5:$A$268,),MATCH('GDP deflators'!X$45,'exch rate'!$BC$4:$BL$4,))</f>
        <v>641.27681306639499</v>
      </c>
      <c r="Y71" s="22">
        <f>INDEX('exch rate'!$BC$5:$BL$268,MATCH('GDP deflators'!$B71,'exch rate'!$A$5:$A$268,),MATCH('GDP deflators'!Y$45,'exch rate'!$BC$4:$BL$4,))</f>
        <v>702.89742256152897</v>
      </c>
      <c r="Z71" s="22">
        <v>1868000</v>
      </c>
    </row>
    <row r="72" spans="2:26">
      <c r="B72" t="s">
        <v>6313</v>
      </c>
      <c r="C72" s="22">
        <f>INDEX('exch rate'!$BC$5:$BL$268,MATCH('GDP deflators'!$B72,'exch rate'!$A$5:$A$268,),MATCH('GDP deflators'!C$45,'exch rate'!$BC$4:$BL$4,))</f>
        <v>69.649291666666699</v>
      </c>
      <c r="D72" s="22">
        <f>INDEX('exch rate'!$BC$5:$BL$268,MATCH('GDP deflators'!$B72,'exch rate'!$A$5:$A$268,),MATCH('GDP deflators'!D$45,'exch rate'!$BC$4:$BL$4,))</f>
        <v>74.1524</v>
      </c>
      <c r="E72" s="22">
        <f>INDEX('exch rate'!$BC$5:$BL$268,MATCH('GDP deflators'!$B72,'exch rate'!$A$5:$A$268,),MATCH('GDP deflators'!E$45,'exch rate'!$BC$4:$BL$4,))</f>
        <v>81.8626583333333</v>
      </c>
      <c r="F72" s="22">
        <f>INDEX('exch rate'!$BC$5:$BL$268,MATCH('GDP deflators'!$B72,'exch rate'!$A$5:$A$268,),MATCH('GDP deflators'!F$45,'exch rate'!$BC$4:$BL$4,))</f>
        <v>78.103234999999998</v>
      </c>
      <c r="G72" s="22">
        <f>INDEX('exch rate'!$BC$5:$BL$268,MATCH('GDP deflators'!$B72,'exch rate'!$A$5:$A$268,),MATCH('GDP deflators'!G$45,'exch rate'!$BC$4:$BL$4,))</f>
        <v>77.641408333333302</v>
      </c>
      <c r="H72" s="22">
        <f>INDEX('exch rate'!$BC$5:$BL$268,MATCH('GDP deflators'!$B72,'exch rate'!$A$5:$A$268,),MATCH('GDP deflators'!H$45,'exch rate'!$BC$4:$BL$4,))</f>
        <v>77.946908333333297</v>
      </c>
      <c r="I72" s="22">
        <f>INDEX('exch rate'!$BC$5:$BL$268,MATCH('GDP deflators'!$B72,'exch rate'!$A$5:$A$268,),MATCH('GDP deflators'!I$45,'exch rate'!$BC$4:$BL$4,))</f>
        <v>78.468091666666695</v>
      </c>
      <c r="J72" s="22">
        <f>INDEX('exch rate'!$BC$5:$BL$268,MATCH('GDP deflators'!$B72,'exch rate'!$A$5:$A$268,),MATCH('GDP deflators'!J$45,'exch rate'!$BC$4:$BL$4,))</f>
        <v>80.437541666666704</v>
      </c>
      <c r="K72" s="22">
        <f>INDEX('exch rate'!$BC$5:$BL$268,MATCH('GDP deflators'!$B72,'exch rate'!$A$5:$A$268,),MATCH('GDP deflators'!K$45,'exch rate'!$BC$4:$BL$4,))</f>
        <v>83.466201916666705</v>
      </c>
      <c r="L72" s="22">
        <f>INDEX('exch rate'!$BC$5:$BL$268,MATCH('GDP deflators'!$B72,'exch rate'!$A$5:$A$268,),MATCH('GDP deflators'!L$45,'exch rate'!$BC$4:$BL$4,))</f>
        <v>84.453522500000005</v>
      </c>
      <c r="M72">
        <v>74190</v>
      </c>
      <c r="P72" s="22">
        <f>INDEX('exch rate'!$BC$5:$BL$268,MATCH('GDP deflators'!$B72,'exch rate'!$A$5:$A$268,),MATCH('GDP deflators'!P$45,'exch rate'!$BC$4:$BL$4,))</f>
        <v>69.649291666666699</v>
      </c>
      <c r="Q72" s="22">
        <f>INDEX('exch rate'!$BC$5:$BL$268,MATCH('GDP deflators'!$B72,'exch rate'!$A$5:$A$268,),MATCH('GDP deflators'!Q$45,'exch rate'!$BC$4:$BL$4,))</f>
        <v>74.1524</v>
      </c>
      <c r="R72" s="22">
        <f>INDEX('exch rate'!$BC$5:$BL$268,MATCH('GDP deflators'!$B72,'exch rate'!$A$5:$A$268,),MATCH('GDP deflators'!R$45,'exch rate'!$BC$4:$BL$4,))</f>
        <v>81.8626583333333</v>
      </c>
      <c r="S72" s="22">
        <f>INDEX('exch rate'!$BC$5:$BL$268,MATCH('GDP deflators'!$B72,'exch rate'!$A$5:$A$268,),MATCH('GDP deflators'!S$45,'exch rate'!$BC$4:$BL$4,))</f>
        <v>78.103234999999998</v>
      </c>
      <c r="T72" s="22">
        <f>INDEX('exch rate'!$BC$5:$BL$268,MATCH('GDP deflators'!$B72,'exch rate'!$A$5:$A$268,),MATCH('GDP deflators'!T$45,'exch rate'!$BC$4:$BL$4,))</f>
        <v>77.641408333333302</v>
      </c>
      <c r="U72" s="22">
        <f>INDEX('exch rate'!$BC$5:$BL$268,MATCH('GDP deflators'!$B72,'exch rate'!$A$5:$A$268,),MATCH('GDP deflators'!U$45,'exch rate'!$BC$4:$BL$4,))</f>
        <v>77.946908333333297</v>
      </c>
      <c r="V72" s="22">
        <f>INDEX('exch rate'!$BC$5:$BL$268,MATCH('GDP deflators'!$B72,'exch rate'!$A$5:$A$268,),MATCH('GDP deflators'!V$45,'exch rate'!$BC$4:$BL$4,))</f>
        <v>78.468091666666695</v>
      </c>
      <c r="W72" s="22">
        <f>INDEX('exch rate'!$BC$5:$BL$268,MATCH('GDP deflators'!$B72,'exch rate'!$A$5:$A$268,),MATCH('GDP deflators'!W$45,'exch rate'!$BC$4:$BL$4,))</f>
        <v>80.437541666666704</v>
      </c>
      <c r="X72" s="22">
        <f>INDEX('exch rate'!$BC$5:$BL$268,MATCH('GDP deflators'!$B72,'exch rate'!$A$5:$A$268,),MATCH('GDP deflators'!X$45,'exch rate'!$BC$4:$BL$4,))</f>
        <v>83.466201916666705</v>
      </c>
      <c r="Y72" s="22">
        <f>INDEX('exch rate'!$BC$5:$BL$268,MATCH('GDP deflators'!$B72,'exch rate'!$A$5:$A$268,),MATCH('GDP deflators'!Y$45,'exch rate'!$BC$4:$BL$4,))</f>
        <v>84.453522500000005</v>
      </c>
      <c r="Z72" s="22">
        <v>74190</v>
      </c>
    </row>
    <row r="73" spans="2:26">
      <c r="B73" t="s">
        <v>9855</v>
      </c>
      <c r="C73" s="22">
        <f>INDEX('exch rate'!$BC$5:$BL$268,MATCH('GDP deflators'!$B73,'exch rate'!$A$5:$A$268,),MATCH('GDP deflators'!C$45,'exch rate'!$BC$4:$BL$4,))</f>
        <v>6.7936249999999996</v>
      </c>
      <c r="D73" s="22">
        <f>INDEX('exch rate'!$BC$5:$BL$268,MATCH('GDP deflators'!$B73,'exch rate'!$A$5:$A$268,),MATCH('GDP deflators'!D$45,'exch rate'!$BC$4:$BL$4,))</f>
        <v>6.8382333333333296</v>
      </c>
      <c r="E73" s="22">
        <f>INDEX('exch rate'!$BC$5:$BL$268,MATCH('GDP deflators'!$B73,'exch rate'!$A$5:$A$268,),MATCH('GDP deflators'!E$45,'exch rate'!$BC$4:$BL$4,))</f>
        <v>7.6405250000000002</v>
      </c>
      <c r="F73" s="22">
        <f>INDEX('exch rate'!$BC$5:$BL$268,MATCH('GDP deflators'!$B73,'exch rate'!$A$5:$A$268,),MATCH('GDP deflators'!F$45,'exch rate'!$BC$4:$BL$4,))</f>
        <v>8.3989083333333294</v>
      </c>
      <c r="G73" s="22">
        <f>INDEX('exch rate'!$BC$5:$BL$268,MATCH('GDP deflators'!$B73,'exch rate'!$A$5:$A$268,),MATCH('GDP deflators'!G$45,'exch rate'!$BC$4:$BL$4,))</f>
        <v>8.9760833333333405</v>
      </c>
      <c r="H73" s="22">
        <f>INDEX('exch rate'!$BC$5:$BL$268,MATCH('GDP deflators'!$B73,'exch rate'!$A$5:$A$268,),MATCH('GDP deflators'!H$45,'exch rate'!$BC$4:$BL$4,))</f>
        <v>10.1289916666667</v>
      </c>
      <c r="I73" s="22">
        <f>INDEX('exch rate'!$BC$5:$BL$268,MATCH('GDP deflators'!$B73,'exch rate'!$A$5:$A$268,),MATCH('GDP deflators'!I$45,'exch rate'!$BC$4:$BL$4,))</f>
        <v>10.901158333333299</v>
      </c>
      <c r="J73" s="22">
        <f>INDEX('exch rate'!$BC$5:$BL$268,MATCH('GDP deflators'!$B73,'exch rate'!$A$5:$A$268,),MATCH('GDP deflators'!J$45,'exch rate'!$BC$4:$BL$4,))</f>
        <v>10.3474166666667</v>
      </c>
      <c r="K73" s="22">
        <f>INDEX('exch rate'!$BC$5:$BL$268,MATCH('GDP deflators'!$B73,'exch rate'!$A$5:$A$268,),MATCH('GDP deflators'!K$45,'exch rate'!$BC$4:$BL$4,))</f>
        <v>10.199975</v>
      </c>
      <c r="L73" s="22">
        <f>INDEX('exch rate'!$BC$5:$BL$268,MATCH('GDP deflators'!$B73,'exch rate'!$A$5:$A$268,),MATCH('GDP deflators'!L$45,'exch rate'!$BC$4:$BL$4,))</f>
        <v>10.7558666666667</v>
      </c>
      <c r="M73">
        <v>64417</v>
      </c>
      <c r="P73" s="22">
        <f>INDEX('exch rate'!$BC$5:$BL$268,MATCH('GDP deflators'!$B73,'exch rate'!$A$5:$A$268,),MATCH('GDP deflators'!P$45,'exch rate'!$BC$4:$BL$4,))</f>
        <v>6.7936249999999996</v>
      </c>
      <c r="Q73" s="22">
        <f>INDEX('exch rate'!$BC$5:$BL$268,MATCH('GDP deflators'!$B73,'exch rate'!$A$5:$A$268,),MATCH('GDP deflators'!Q$45,'exch rate'!$BC$4:$BL$4,))</f>
        <v>6.8382333333333296</v>
      </c>
      <c r="R73" s="22">
        <f>INDEX('exch rate'!$BC$5:$BL$268,MATCH('GDP deflators'!$B73,'exch rate'!$A$5:$A$268,),MATCH('GDP deflators'!R$45,'exch rate'!$BC$4:$BL$4,))</f>
        <v>7.6405250000000002</v>
      </c>
      <c r="S73" s="22">
        <f>INDEX('exch rate'!$BC$5:$BL$268,MATCH('GDP deflators'!$B73,'exch rate'!$A$5:$A$268,),MATCH('GDP deflators'!S$45,'exch rate'!$BC$4:$BL$4,))</f>
        <v>8.3989083333333294</v>
      </c>
      <c r="T73" s="22">
        <f>INDEX('exch rate'!$BC$5:$BL$268,MATCH('GDP deflators'!$B73,'exch rate'!$A$5:$A$268,),MATCH('GDP deflators'!T$45,'exch rate'!$BC$4:$BL$4,))</f>
        <v>8.9760833333333405</v>
      </c>
      <c r="U73" s="22">
        <f>INDEX('exch rate'!$BC$5:$BL$268,MATCH('GDP deflators'!$B73,'exch rate'!$A$5:$A$268,),MATCH('GDP deflators'!U$45,'exch rate'!$BC$4:$BL$4,))</f>
        <v>10.1289916666667</v>
      </c>
      <c r="V73" s="22">
        <f>INDEX('exch rate'!$BC$5:$BL$268,MATCH('GDP deflators'!$B73,'exch rate'!$A$5:$A$268,),MATCH('GDP deflators'!V$45,'exch rate'!$BC$4:$BL$4,))</f>
        <v>10.901158333333299</v>
      </c>
      <c r="W73" s="22">
        <f>INDEX('exch rate'!$BC$5:$BL$268,MATCH('GDP deflators'!$B73,'exch rate'!$A$5:$A$268,),MATCH('GDP deflators'!W$45,'exch rate'!$BC$4:$BL$4,))</f>
        <v>10.3474166666667</v>
      </c>
      <c r="X73" s="22">
        <f>INDEX('exch rate'!$BC$5:$BL$268,MATCH('GDP deflators'!$B73,'exch rate'!$A$5:$A$268,),MATCH('GDP deflators'!X$45,'exch rate'!$BC$4:$BL$4,))</f>
        <v>10.199975</v>
      </c>
      <c r="Y73" s="22">
        <f>INDEX('exch rate'!$BC$5:$BL$268,MATCH('GDP deflators'!$B73,'exch rate'!$A$5:$A$268,),MATCH('GDP deflators'!Y$45,'exch rate'!$BC$4:$BL$4,))</f>
        <v>10.7558666666667</v>
      </c>
      <c r="Z73" s="22">
        <v>64417</v>
      </c>
    </row>
    <row r="74" spans="2:26">
      <c r="B74" t="s">
        <v>6281</v>
      </c>
      <c r="C74" s="22">
        <f>INDEX('exch rate'!$BC$5:$BL$268,MATCH('GDP deflators'!$B74,'exch rate'!$A$5:$A$268,),MATCH('GDP deflators'!C$45,'exch rate'!$BC$4:$BL$4,))</f>
        <v>2177.5575068335802</v>
      </c>
      <c r="D74" s="22">
        <f>INDEX('exch rate'!$BC$5:$BL$268,MATCH('GDP deflators'!$B74,'exch rate'!$A$5:$A$268,),MATCH('GDP deflators'!D$45,'exch rate'!$BC$4:$BL$4,))</f>
        <v>2522.8020325226398</v>
      </c>
      <c r="E74" s="22">
        <f>INDEX('exch rate'!$BC$5:$BL$268,MATCH('GDP deflators'!$B74,'exch rate'!$A$5:$A$268,),MATCH('GDP deflators'!E$45,'exch rate'!$BC$4:$BL$4,))</f>
        <v>2504.5630775832801</v>
      </c>
      <c r="F74" s="22">
        <f>INDEX('exch rate'!$BC$5:$BL$268,MATCH('GDP deflators'!$B74,'exch rate'!$A$5:$A$268,),MATCH('GDP deflators'!F$45,'exch rate'!$BC$4:$BL$4,))</f>
        <v>2586.8895685656098</v>
      </c>
      <c r="G74" s="22">
        <f>INDEX('exch rate'!$BC$5:$BL$268,MATCH('GDP deflators'!$B74,'exch rate'!$A$5:$A$268,),MATCH('GDP deflators'!G$45,'exch rate'!$BC$4:$BL$4,))</f>
        <v>2599.7882006106702</v>
      </c>
      <c r="H74" s="22">
        <f>INDEX('exch rate'!$BC$5:$BL$268,MATCH('GDP deflators'!$B74,'exch rate'!$A$5:$A$268,),MATCH('GDP deflators'!H$45,'exch rate'!$BC$4:$BL$4,))</f>
        <v>3240.64542033826</v>
      </c>
      <c r="I74" s="22">
        <f>INDEX('exch rate'!$BC$5:$BL$268,MATCH('GDP deflators'!$B74,'exch rate'!$A$5:$A$268,),MATCH('GDP deflators'!I$45,'exch rate'!$BC$4:$BL$4,))</f>
        <v>3420.0980072473599</v>
      </c>
      <c r="J74" s="22">
        <f>INDEX('exch rate'!$BC$5:$BL$268,MATCH('GDP deflators'!$B74,'exch rate'!$A$5:$A$268,),MATCH('GDP deflators'!J$45,'exch rate'!$BC$4:$BL$4,))</f>
        <v>3611.2244580446099</v>
      </c>
      <c r="K74" s="22">
        <f>INDEX('exch rate'!$BC$5:$BL$268,MATCH('GDP deflators'!$B74,'exch rate'!$A$5:$A$268,),MATCH('GDP deflators'!K$45,'exch rate'!$BC$4:$BL$4,))</f>
        <v>3727.0689948461199</v>
      </c>
      <c r="L74" s="22">
        <f>INDEX('exch rate'!$BC$5:$BL$268,MATCH('GDP deflators'!$B74,'exch rate'!$A$5:$A$268,),MATCH('GDP deflators'!L$45,'exch rate'!$BC$4:$BL$4,))</f>
        <v>3704.0490716968102</v>
      </c>
      <c r="M74">
        <v>47500</v>
      </c>
      <c r="P74" s="22">
        <f>INDEX('exch rate'!$BC$5:$BL$268,MATCH('GDP deflators'!$B74,'exch rate'!$A$5:$A$268,),MATCH('GDP deflators'!P$45,'exch rate'!$BC$4:$BL$4,))</f>
        <v>2177.5575068335802</v>
      </c>
      <c r="Q74" s="22">
        <f>INDEX('exch rate'!$BC$5:$BL$268,MATCH('GDP deflators'!$B74,'exch rate'!$A$5:$A$268,),MATCH('GDP deflators'!Q$45,'exch rate'!$BC$4:$BL$4,))</f>
        <v>2522.8020325226398</v>
      </c>
      <c r="R74" s="22">
        <f>INDEX('exch rate'!$BC$5:$BL$268,MATCH('GDP deflators'!$B74,'exch rate'!$A$5:$A$268,),MATCH('GDP deflators'!R$45,'exch rate'!$BC$4:$BL$4,))</f>
        <v>2504.5630775832801</v>
      </c>
      <c r="S74" s="22">
        <f>INDEX('exch rate'!$BC$5:$BL$268,MATCH('GDP deflators'!$B74,'exch rate'!$A$5:$A$268,),MATCH('GDP deflators'!S$45,'exch rate'!$BC$4:$BL$4,))</f>
        <v>2586.8895685656098</v>
      </c>
      <c r="T74" s="22">
        <f>INDEX('exch rate'!$BC$5:$BL$268,MATCH('GDP deflators'!$B74,'exch rate'!$A$5:$A$268,),MATCH('GDP deflators'!T$45,'exch rate'!$BC$4:$BL$4,))</f>
        <v>2599.7882006106702</v>
      </c>
      <c r="U74" s="22">
        <f>INDEX('exch rate'!$BC$5:$BL$268,MATCH('GDP deflators'!$B74,'exch rate'!$A$5:$A$268,),MATCH('GDP deflators'!U$45,'exch rate'!$BC$4:$BL$4,))</f>
        <v>3240.64542033826</v>
      </c>
      <c r="V74" s="22">
        <f>INDEX('exch rate'!$BC$5:$BL$268,MATCH('GDP deflators'!$B74,'exch rate'!$A$5:$A$268,),MATCH('GDP deflators'!V$45,'exch rate'!$BC$4:$BL$4,))</f>
        <v>3420.0980072473599</v>
      </c>
      <c r="W74" s="22">
        <f>INDEX('exch rate'!$BC$5:$BL$268,MATCH('GDP deflators'!$B74,'exch rate'!$A$5:$A$268,),MATCH('GDP deflators'!W$45,'exch rate'!$BC$4:$BL$4,))</f>
        <v>3611.2244580446099</v>
      </c>
      <c r="X74" s="22">
        <f>INDEX('exch rate'!$BC$5:$BL$268,MATCH('GDP deflators'!$B74,'exch rate'!$A$5:$A$268,),MATCH('GDP deflators'!X$45,'exch rate'!$BC$4:$BL$4,))</f>
        <v>3727.0689948461199</v>
      </c>
      <c r="Y74" s="22">
        <f>INDEX('exch rate'!$BC$5:$BL$268,MATCH('GDP deflators'!$B74,'exch rate'!$A$5:$A$268,),MATCH('GDP deflators'!Y$45,'exch rate'!$BC$4:$BL$4,))</f>
        <v>3704.0490716968102</v>
      </c>
      <c r="Z74" s="22">
        <v>47500</v>
      </c>
    </row>
    <row r="75" spans="2:26">
      <c r="B75" t="s">
        <v>1740</v>
      </c>
      <c r="C75" s="22">
        <f>INDEX('exch rate'!$BC$5:$BL$268,MATCH('GDP deflators'!$B75,'exch rate'!$A$5:$A$268,),MATCH('GDP deflators'!C$45,'exch rate'!$BC$4:$BL$4,))</f>
        <v>12.636008333333301</v>
      </c>
      <c r="D75" s="22">
        <f>INDEX('exch rate'!$BC$5:$BL$268,MATCH('GDP deflators'!$B75,'exch rate'!$A$5:$A$268,),MATCH('GDP deflators'!D$45,'exch rate'!$BC$4:$BL$4,))</f>
        <v>12.423325</v>
      </c>
      <c r="E75" s="22">
        <f>INDEX('exch rate'!$BC$5:$BL$268,MATCH('GDP deflators'!$B75,'exch rate'!$A$5:$A$268,),MATCH('GDP deflators'!E$45,'exch rate'!$BC$4:$BL$4,))</f>
        <v>13.169458333333299</v>
      </c>
      <c r="F75" s="22">
        <f>INDEX('exch rate'!$BC$5:$BL$268,MATCH('GDP deflators'!$B75,'exch rate'!$A$5:$A$268,),MATCH('GDP deflators'!F$45,'exch rate'!$BC$4:$BL$4,))</f>
        <v>12.7719916666667</v>
      </c>
      <c r="G75" s="22">
        <f>INDEX('exch rate'!$BC$5:$BL$268,MATCH('GDP deflators'!$B75,'exch rate'!$A$5:$A$268,),MATCH('GDP deflators'!G$45,'exch rate'!$BC$4:$BL$4,))</f>
        <v>13.292450000000001</v>
      </c>
      <c r="H75" s="22">
        <f>INDEX('exch rate'!$BC$5:$BL$268,MATCH('GDP deflators'!$B75,'exch rate'!$A$5:$A$268,),MATCH('GDP deflators'!H$45,'exch rate'!$BC$4:$BL$4,))</f>
        <v>15.848266666666699</v>
      </c>
      <c r="I75" s="22">
        <f>INDEX('exch rate'!$BC$5:$BL$268,MATCH('GDP deflators'!$B75,'exch rate'!$A$5:$A$268,),MATCH('GDP deflators'!I$45,'exch rate'!$BC$4:$BL$4,))</f>
        <v>18.664058333333301</v>
      </c>
      <c r="J75" s="22">
        <f>INDEX('exch rate'!$BC$5:$BL$268,MATCH('GDP deflators'!$B75,'exch rate'!$A$5:$A$268,),MATCH('GDP deflators'!J$45,'exch rate'!$BC$4:$BL$4,))</f>
        <v>18.9265166666667</v>
      </c>
      <c r="K75" s="22">
        <f>INDEX('exch rate'!$BC$5:$BL$268,MATCH('GDP deflators'!$B75,'exch rate'!$A$5:$A$268,),MATCH('GDP deflators'!K$45,'exch rate'!$BC$4:$BL$4,))</f>
        <v>19.244341666666699</v>
      </c>
      <c r="L75" s="22">
        <f>INDEX('exch rate'!$BC$5:$BL$268,MATCH('GDP deflators'!$B75,'exch rate'!$A$5:$A$268,),MATCH('GDP deflators'!L$45,'exch rate'!$BC$4:$BL$4,))</f>
        <v>19.263633333333299</v>
      </c>
      <c r="M75">
        <v>353300</v>
      </c>
      <c r="P75" s="22">
        <f>INDEX('exch rate'!$BC$5:$BL$268,MATCH('GDP deflators'!$B75,'exch rate'!$A$5:$A$268,),MATCH('GDP deflators'!P$45,'exch rate'!$BC$4:$BL$4,))</f>
        <v>12.636008333333301</v>
      </c>
      <c r="Q75" s="22">
        <f>INDEX('exch rate'!$BC$5:$BL$268,MATCH('GDP deflators'!$B75,'exch rate'!$A$5:$A$268,),MATCH('GDP deflators'!Q$45,'exch rate'!$BC$4:$BL$4,))</f>
        <v>12.423325</v>
      </c>
      <c r="R75" s="22">
        <f>INDEX('exch rate'!$BC$5:$BL$268,MATCH('GDP deflators'!$B75,'exch rate'!$A$5:$A$268,),MATCH('GDP deflators'!R$45,'exch rate'!$BC$4:$BL$4,))</f>
        <v>13.169458333333299</v>
      </c>
      <c r="S75" s="22">
        <f>INDEX('exch rate'!$BC$5:$BL$268,MATCH('GDP deflators'!$B75,'exch rate'!$A$5:$A$268,),MATCH('GDP deflators'!S$45,'exch rate'!$BC$4:$BL$4,))</f>
        <v>12.7719916666667</v>
      </c>
      <c r="T75" s="22">
        <f>INDEX('exch rate'!$BC$5:$BL$268,MATCH('GDP deflators'!$B75,'exch rate'!$A$5:$A$268,),MATCH('GDP deflators'!T$45,'exch rate'!$BC$4:$BL$4,))</f>
        <v>13.292450000000001</v>
      </c>
      <c r="U75" s="22">
        <f>INDEX('exch rate'!$BC$5:$BL$268,MATCH('GDP deflators'!$B75,'exch rate'!$A$5:$A$268,),MATCH('GDP deflators'!U$45,'exch rate'!$BC$4:$BL$4,))</f>
        <v>15.848266666666699</v>
      </c>
      <c r="V75" s="22">
        <f>INDEX('exch rate'!$BC$5:$BL$268,MATCH('GDP deflators'!$B75,'exch rate'!$A$5:$A$268,),MATCH('GDP deflators'!V$45,'exch rate'!$BC$4:$BL$4,))</f>
        <v>18.664058333333301</v>
      </c>
      <c r="W75" s="22">
        <f>INDEX('exch rate'!$BC$5:$BL$268,MATCH('GDP deflators'!$B75,'exch rate'!$A$5:$A$268,),MATCH('GDP deflators'!W$45,'exch rate'!$BC$4:$BL$4,))</f>
        <v>18.9265166666667</v>
      </c>
      <c r="X75" s="22">
        <f>INDEX('exch rate'!$BC$5:$BL$268,MATCH('GDP deflators'!$B75,'exch rate'!$A$5:$A$268,),MATCH('GDP deflators'!X$45,'exch rate'!$BC$4:$BL$4,))</f>
        <v>19.244341666666699</v>
      </c>
      <c r="Y75" s="22">
        <f>INDEX('exch rate'!$BC$5:$BL$268,MATCH('GDP deflators'!$B75,'exch rate'!$A$5:$A$268,),MATCH('GDP deflators'!Y$45,'exch rate'!$BC$4:$BL$4,))</f>
        <v>19.263633333333299</v>
      </c>
      <c r="Z75" s="22">
        <v>353300</v>
      </c>
    </row>
    <row r="76" spans="2:26">
      <c r="B76" t="s">
        <v>10098</v>
      </c>
      <c r="C76" s="22">
        <f>INDEX('exch rate'!$BC$5:$BL$268,MATCH('GDP deflators'!$B76,'exch rate'!$A$5:$A$268,),MATCH('GDP deflators'!C$45,'exch rate'!$BC$4:$BL$4,))</f>
        <v>494.794262222947</v>
      </c>
      <c r="D76" s="22">
        <f>INDEX('exch rate'!$BC$5:$BL$268,MATCH('GDP deflators'!$B76,'exch rate'!$A$5:$A$268,),MATCH('GDP deflators'!D$45,'exch rate'!$BC$4:$BL$4,))</f>
        <v>471.24862571893698</v>
      </c>
      <c r="E76" s="22">
        <f>INDEX('exch rate'!$BC$5:$BL$268,MATCH('GDP deflators'!$B76,'exch rate'!$A$5:$A$268,),MATCH('GDP deflators'!E$45,'exch rate'!$BC$4:$BL$4,))</f>
        <v>510.55633845425098</v>
      </c>
      <c r="F76" s="22">
        <f>INDEX('exch rate'!$BC$5:$BL$268,MATCH('GDP deflators'!$B76,'exch rate'!$A$5:$A$268,),MATCH('GDP deflators'!F$45,'exch rate'!$BC$4:$BL$4,))</f>
        <v>493.89962385223703</v>
      </c>
      <c r="G76" s="22">
        <f>INDEX('exch rate'!$BC$5:$BL$268,MATCH('GDP deflators'!$B76,'exch rate'!$A$5:$A$268,),MATCH('GDP deflators'!G$45,'exch rate'!$BC$4:$BL$4,))</f>
        <v>493.757329875312</v>
      </c>
      <c r="H76" s="22">
        <f>INDEX('exch rate'!$BC$5:$BL$268,MATCH('GDP deflators'!$B76,'exch rate'!$A$5:$A$268,),MATCH('GDP deflators'!H$45,'exch rate'!$BC$4:$BL$4,))</f>
        <v>591.21169798260996</v>
      </c>
      <c r="I76" s="22">
        <f>INDEX('exch rate'!$BC$5:$BL$268,MATCH('GDP deflators'!$B76,'exch rate'!$A$5:$A$268,),MATCH('GDP deflators'!I$45,'exch rate'!$BC$4:$BL$4,))</f>
        <v>592.60561506302201</v>
      </c>
      <c r="J76" s="22">
        <f>INDEX('exch rate'!$BC$5:$BL$268,MATCH('GDP deflators'!$B76,'exch rate'!$A$5:$A$268,),MATCH('GDP deflators'!J$45,'exch rate'!$BC$4:$BL$4,))</f>
        <v>580.65674958785803</v>
      </c>
      <c r="K76" s="22">
        <f>INDEX('exch rate'!$BC$5:$BL$268,MATCH('GDP deflators'!$B76,'exch rate'!$A$5:$A$268,),MATCH('GDP deflators'!K$45,'exch rate'!$BC$4:$BL$4,))</f>
        <v>555.44645839822601</v>
      </c>
      <c r="L76" s="22">
        <f>INDEX('exch rate'!$BC$5:$BL$268,MATCH('GDP deflators'!$B76,'exch rate'!$A$5:$A$268,),MATCH('GDP deflators'!L$45,'exch rate'!$BC$4:$BL$4,))</f>
        <v>585.91101318036897</v>
      </c>
      <c r="M76">
        <v>10772</v>
      </c>
      <c r="P76" s="22">
        <f>INDEX('exch rate'!$BC$5:$BL$268,MATCH('GDP deflators'!$B76,'exch rate'!$A$5:$A$268,),MATCH('GDP deflators'!P$45,'exch rate'!$BC$4:$BL$4,))</f>
        <v>494.794262222947</v>
      </c>
      <c r="Q76" s="22">
        <f>INDEX('exch rate'!$BC$5:$BL$268,MATCH('GDP deflators'!$B76,'exch rate'!$A$5:$A$268,),MATCH('GDP deflators'!Q$45,'exch rate'!$BC$4:$BL$4,))</f>
        <v>471.24862571893698</v>
      </c>
      <c r="R76" s="22">
        <f>INDEX('exch rate'!$BC$5:$BL$268,MATCH('GDP deflators'!$B76,'exch rate'!$A$5:$A$268,),MATCH('GDP deflators'!R$45,'exch rate'!$BC$4:$BL$4,))</f>
        <v>510.55633845425098</v>
      </c>
      <c r="S76" s="22">
        <f>INDEX('exch rate'!$BC$5:$BL$268,MATCH('GDP deflators'!$B76,'exch rate'!$A$5:$A$268,),MATCH('GDP deflators'!S$45,'exch rate'!$BC$4:$BL$4,))</f>
        <v>493.89962385223703</v>
      </c>
      <c r="T76" s="22">
        <f>INDEX('exch rate'!$BC$5:$BL$268,MATCH('GDP deflators'!$B76,'exch rate'!$A$5:$A$268,),MATCH('GDP deflators'!T$45,'exch rate'!$BC$4:$BL$4,))</f>
        <v>493.757329875312</v>
      </c>
      <c r="U76" s="22">
        <f>INDEX('exch rate'!$BC$5:$BL$268,MATCH('GDP deflators'!$B76,'exch rate'!$A$5:$A$268,),MATCH('GDP deflators'!U$45,'exch rate'!$BC$4:$BL$4,))</f>
        <v>591.21169798260996</v>
      </c>
      <c r="V76" s="22">
        <f>INDEX('exch rate'!$BC$5:$BL$268,MATCH('GDP deflators'!$B76,'exch rate'!$A$5:$A$268,),MATCH('GDP deflators'!V$45,'exch rate'!$BC$4:$BL$4,))</f>
        <v>592.60561506302201</v>
      </c>
      <c r="W76" s="22">
        <f>INDEX('exch rate'!$BC$5:$BL$268,MATCH('GDP deflators'!$B76,'exch rate'!$A$5:$A$268,),MATCH('GDP deflators'!W$45,'exch rate'!$BC$4:$BL$4,))</f>
        <v>580.65674958785803</v>
      </c>
      <c r="X76" s="22">
        <f>INDEX('exch rate'!$BC$5:$BL$268,MATCH('GDP deflators'!$B76,'exch rate'!$A$5:$A$268,),MATCH('GDP deflators'!X$45,'exch rate'!$BC$4:$BL$4,))</f>
        <v>555.44645839822601</v>
      </c>
      <c r="Y76" s="22">
        <f>INDEX('exch rate'!$BC$5:$BL$268,MATCH('GDP deflators'!$B76,'exch rate'!$A$5:$A$268,),MATCH('GDP deflators'!Y$45,'exch rate'!$BC$4:$BL$4,))</f>
        <v>585.91101318036897</v>
      </c>
      <c r="Z76" s="22">
        <v>10772</v>
      </c>
    </row>
    <row r="79" spans="2:26">
      <c r="B79" t="s">
        <v>11584</v>
      </c>
      <c r="C79" s="22">
        <f>SUMPRODUCT(C$46:C$76,$M$46:$M$76)/SUM($M$46:$M$76)</f>
        <v>157.13404539661778</v>
      </c>
      <c r="D79" s="22">
        <f t="shared" ref="D79:M79" si="13">SUMPRODUCT(D$46:D$76,$M$46:$M$76)/SUM($M$46:$M$76)</f>
        <v>154.2976350190435</v>
      </c>
      <c r="E79" s="22">
        <f t="shared" si="13"/>
        <v>164.44567832245829</v>
      </c>
      <c r="F79" s="22">
        <f t="shared" si="13"/>
        <v>180.5680334102413</v>
      </c>
      <c r="G79" s="22">
        <f t="shared" si="13"/>
        <v>200.75076594968309</v>
      </c>
      <c r="H79" s="22">
        <f t="shared" si="13"/>
        <v>224.09439291608291</v>
      </c>
      <c r="I79" s="22">
        <f t="shared" si="13"/>
        <v>225.39095734057793</v>
      </c>
      <c r="J79" s="22">
        <f t="shared" si="13"/>
        <v>226.66236855833515</v>
      </c>
      <c r="K79" s="22">
        <f t="shared" si="13"/>
        <v>239.66973510921235</v>
      </c>
      <c r="L79" s="22">
        <f t="shared" si="13"/>
        <v>240.71390437086373</v>
      </c>
      <c r="M79" s="22">
        <f t="shared" si="13"/>
        <v>1429011340.9439011</v>
      </c>
      <c r="P79" s="22">
        <f>SUMPRODUCT(P$46:P$76,$M$46:$M$76)/SUM($M$46:$M$76)</f>
        <v>157.13404539661778</v>
      </c>
      <c r="Q79" s="22">
        <f t="shared" ref="Q79:Z79" si="14">SUMPRODUCT(Q$46:Q$76,$M$46:$M$76)/SUM($M$46:$M$76)</f>
        <v>154.2976350190435</v>
      </c>
      <c r="R79" s="22">
        <f t="shared" si="14"/>
        <v>164.44567832245829</v>
      </c>
      <c r="S79" s="22">
        <f t="shared" si="14"/>
        <v>180.5680334102413</v>
      </c>
      <c r="T79" s="22">
        <f t="shared" si="14"/>
        <v>200.75076594968309</v>
      </c>
      <c r="U79" s="22">
        <f t="shared" si="14"/>
        <v>224.09439291608291</v>
      </c>
      <c r="V79" s="22">
        <f t="shared" si="14"/>
        <v>225.39095734057793</v>
      </c>
      <c r="W79" s="22">
        <f t="shared" si="14"/>
        <v>226.66236855833515</v>
      </c>
      <c r="X79" s="22">
        <f t="shared" si="14"/>
        <v>239.66973510921235</v>
      </c>
      <c r="Y79" s="22">
        <f t="shared" si="14"/>
        <v>240.71390437086373</v>
      </c>
      <c r="Z79" s="22">
        <f t="shared" si="14"/>
        <v>1429011340.9439011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E4122-470A-4EFE-B88C-6DF14855CA5A}">
  <sheetPr>
    <tabColor theme="0" tint="-0.499984740745262"/>
  </sheetPr>
  <dimension ref="A3:I32"/>
  <sheetViews>
    <sheetView showGridLines="0" zoomScale="50" zoomScaleNormal="50" workbookViewId="0">
      <selection activeCell="C4" sqref="C4:D4"/>
    </sheetView>
  </sheetViews>
  <sheetFormatPr defaultColWidth="0" defaultRowHeight="14.5"/>
  <cols>
    <col min="1" max="1" width="3.7265625" style="69" customWidth="1"/>
    <col min="2" max="2" width="3.81640625" style="69" customWidth="1"/>
    <col min="3" max="3" width="56.26953125" style="69" customWidth="1"/>
    <col min="4" max="4" width="161.453125" style="69" customWidth="1"/>
    <col min="5" max="9" width="9.1796875" style="69" customWidth="1"/>
    <col min="10" max="16384" width="9.1796875" style="69" hidden="1"/>
  </cols>
  <sheetData>
    <row r="3" spans="2:4" ht="16" thickBot="1">
      <c r="B3" s="74" t="s">
        <v>11009</v>
      </c>
      <c r="C3" s="75"/>
      <c r="D3" s="76"/>
    </row>
    <row r="4" spans="2:4" ht="113.5" customHeight="1" thickTop="1">
      <c r="B4" s="77"/>
      <c r="C4" s="245" t="s">
        <v>11152</v>
      </c>
      <c r="D4" s="246"/>
    </row>
    <row r="6" spans="2:4" ht="16" thickBot="1">
      <c r="B6" s="74" t="s">
        <v>11010</v>
      </c>
      <c r="C6" s="75"/>
      <c r="D6" s="78"/>
    </row>
    <row r="7" spans="2:4" ht="19.5" customHeight="1" thickTop="1">
      <c r="B7" s="79"/>
      <c r="C7" s="80" t="s">
        <v>11011</v>
      </c>
      <c r="D7" s="80" t="s">
        <v>11012</v>
      </c>
    </row>
    <row r="8" spans="2:4" ht="5.15" customHeight="1">
      <c r="B8" s="81"/>
      <c r="C8" s="81"/>
      <c r="D8" s="194"/>
    </row>
    <row r="9" spans="2:4">
      <c r="C9" s="82" t="s">
        <v>11013</v>
      </c>
      <c r="D9" s="83" t="s">
        <v>11044</v>
      </c>
    </row>
    <row r="10" spans="2:4" ht="5.15" customHeight="1">
      <c r="C10" s="84"/>
      <c r="D10" s="83"/>
    </row>
    <row r="11" spans="2:4" ht="45.75" customHeight="1">
      <c r="C11" s="86" t="s">
        <v>11045</v>
      </c>
      <c r="D11" s="238" t="s">
        <v>11594</v>
      </c>
    </row>
    <row r="12" spans="2:4" ht="5.15" customHeight="1">
      <c r="C12" s="84"/>
      <c r="D12" s="83"/>
    </row>
    <row r="13" spans="2:4">
      <c r="C13" s="85" t="s">
        <v>11059</v>
      </c>
      <c r="D13" s="83" t="s">
        <v>11060</v>
      </c>
    </row>
    <row r="14" spans="2:4" ht="5.15" customHeight="1">
      <c r="C14" s="84"/>
      <c r="D14" s="83"/>
    </row>
    <row r="15" spans="2:4" ht="43.5">
      <c r="C15" s="87" t="s">
        <v>11595</v>
      </c>
      <c r="D15" s="238" t="s">
        <v>11596</v>
      </c>
    </row>
    <row r="16" spans="2:4" ht="5.25" customHeight="1"/>
    <row r="17" spans="2:4" ht="24" customHeight="1">
      <c r="C17" s="202" t="s">
        <v>11153</v>
      </c>
      <c r="D17" s="201" t="s">
        <v>11154</v>
      </c>
    </row>
    <row r="18" spans="2:4" ht="5.25" customHeight="1"/>
    <row r="19" spans="2:4">
      <c r="C19" s="88" t="s">
        <v>11597</v>
      </c>
      <c r="D19" s="83" t="s">
        <v>11061</v>
      </c>
    </row>
    <row r="20" spans="2:4">
      <c r="C20" s="83"/>
      <c r="D20" s="83"/>
    </row>
    <row r="21" spans="2:4" ht="16" thickBot="1">
      <c r="B21" s="74" t="s">
        <v>11014</v>
      </c>
      <c r="C21" s="75"/>
      <c r="D21" s="89"/>
    </row>
    <row r="22" spans="2:4" ht="15" thickTop="1">
      <c r="B22" s="81" t="s">
        <v>11015</v>
      </c>
      <c r="C22" s="246" t="s">
        <v>11016</v>
      </c>
      <c r="D22" s="246"/>
    </row>
    <row r="23" spans="2:4">
      <c r="B23" s="81" t="s">
        <v>11015</v>
      </c>
      <c r="C23" s="241" t="s">
        <v>11017</v>
      </c>
      <c r="D23" s="241"/>
    </row>
    <row r="24" spans="2:4" ht="33" customHeight="1">
      <c r="B24" s="81" t="s">
        <v>11015</v>
      </c>
      <c r="C24" s="241" t="s">
        <v>11018</v>
      </c>
      <c r="D24" s="241"/>
    </row>
    <row r="25" spans="2:4">
      <c r="B25" s="81" t="s">
        <v>11015</v>
      </c>
      <c r="C25" s="241" t="s">
        <v>11019</v>
      </c>
      <c r="D25" s="241"/>
    </row>
    <row r="26" spans="2:4">
      <c r="B26" s="81"/>
      <c r="C26" s="242" t="s">
        <v>11020</v>
      </c>
      <c r="D26" s="243"/>
    </row>
    <row r="27" spans="2:4" ht="28.5" customHeight="1">
      <c r="B27" s="81"/>
      <c r="C27" s="244" t="s">
        <v>11021</v>
      </c>
      <c r="D27" s="243"/>
    </row>
    <row r="28" spans="2:4" ht="31" customHeight="1">
      <c r="B28" s="81"/>
      <c r="C28" s="244" t="s">
        <v>11022</v>
      </c>
      <c r="D28" s="243"/>
    </row>
    <row r="29" spans="2:4" ht="57" customHeight="1">
      <c r="C29" s="244" t="s">
        <v>11023</v>
      </c>
      <c r="D29" s="243"/>
    </row>
    <row r="31" spans="2:4" ht="16" thickBot="1">
      <c r="B31" s="74" t="s">
        <v>11024</v>
      </c>
      <c r="C31" s="75"/>
      <c r="D31" s="89"/>
    </row>
    <row r="32" spans="2:4" ht="409.6" customHeight="1" thickTop="1">
      <c r="B32" s="239" t="s">
        <v>11592</v>
      </c>
      <c r="C32" s="240"/>
      <c r="D32" s="240"/>
    </row>
  </sheetData>
  <mergeCells count="10">
    <mergeCell ref="B32:D32"/>
    <mergeCell ref="C25:D25"/>
    <mergeCell ref="C26:D26"/>
    <mergeCell ref="C27:D27"/>
    <mergeCell ref="C4:D4"/>
    <mergeCell ref="C22:D22"/>
    <mergeCell ref="C23:D23"/>
    <mergeCell ref="C24:D24"/>
    <mergeCell ref="C28:D28"/>
    <mergeCell ref="C29:D29"/>
  </mergeCells>
  <pageMargins left="0.7" right="0.7" top="0.75" bottom="0.75" header="0.3" footer="0.3"/>
  <pageSetup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273FE-7D7E-46C4-87C4-9592ABA742C5}">
  <sheetPr>
    <tabColor theme="5" tint="0.59999389629810485"/>
  </sheetPr>
  <dimension ref="A1:BM268"/>
  <sheetViews>
    <sheetView workbookViewId="0">
      <pane xSplit="4" ySplit="4" topLeftCell="E5" activePane="bottomRight" state="frozen"/>
      <selection pane="topRight" activeCell="E1" sqref="E1"/>
      <selection pane="bottomLeft" activeCell="A5" sqref="A5"/>
      <selection pane="bottomRight" activeCell="B4" sqref="B4"/>
    </sheetView>
  </sheetViews>
  <sheetFormatPr defaultRowHeight="14.5"/>
  <cols>
    <col min="1" max="1" width="44.08984375" style="22" bestFit="1" customWidth="1"/>
    <col min="2" max="2" width="25.6328125" style="22" bestFit="1" customWidth="1"/>
    <col min="3" max="3" width="42.90625" style="22" bestFit="1" customWidth="1"/>
    <col min="4" max="4" width="12.7265625" style="22" bestFit="1" customWidth="1"/>
    <col min="5" max="64" width="11.453125" style="22" bestFit="1" customWidth="1"/>
    <col min="65" max="65" width="5" style="22" bestFit="1" customWidth="1"/>
    <col min="66" max="256" width="8.7265625" style="22"/>
    <col min="257" max="257" width="44.08984375" style="22" bestFit="1" customWidth="1"/>
    <col min="258" max="258" width="25.6328125" style="22" bestFit="1" customWidth="1"/>
    <col min="259" max="259" width="42.90625" style="22" bestFit="1" customWidth="1"/>
    <col min="260" max="260" width="12.7265625" style="22" bestFit="1" customWidth="1"/>
    <col min="261" max="320" width="11.453125" style="22" bestFit="1" customWidth="1"/>
    <col min="321" max="321" width="5" style="22" bestFit="1" customWidth="1"/>
    <col min="322" max="512" width="8.7265625" style="22"/>
    <col min="513" max="513" width="44.08984375" style="22" bestFit="1" customWidth="1"/>
    <col min="514" max="514" width="25.6328125" style="22" bestFit="1" customWidth="1"/>
    <col min="515" max="515" width="42.90625" style="22" bestFit="1" customWidth="1"/>
    <col min="516" max="516" width="12.7265625" style="22" bestFit="1" customWidth="1"/>
    <col min="517" max="576" width="11.453125" style="22" bestFit="1" customWidth="1"/>
    <col min="577" max="577" width="5" style="22" bestFit="1" customWidth="1"/>
    <col min="578" max="768" width="8.7265625" style="22"/>
    <col min="769" max="769" width="44.08984375" style="22" bestFit="1" customWidth="1"/>
    <col min="770" max="770" width="25.6328125" style="22" bestFit="1" customWidth="1"/>
    <col min="771" max="771" width="42.90625" style="22" bestFit="1" customWidth="1"/>
    <col min="772" max="772" width="12.7265625" style="22" bestFit="1" customWidth="1"/>
    <col min="773" max="832" width="11.453125" style="22" bestFit="1" customWidth="1"/>
    <col min="833" max="833" width="5" style="22" bestFit="1" customWidth="1"/>
    <col min="834" max="1024" width="8.7265625" style="22"/>
    <col min="1025" max="1025" width="44.08984375" style="22" bestFit="1" customWidth="1"/>
    <col min="1026" max="1026" width="25.6328125" style="22" bestFit="1" customWidth="1"/>
    <col min="1027" max="1027" width="42.90625" style="22" bestFit="1" customWidth="1"/>
    <col min="1028" max="1028" width="12.7265625" style="22" bestFit="1" customWidth="1"/>
    <col min="1029" max="1088" width="11.453125" style="22" bestFit="1" customWidth="1"/>
    <col min="1089" max="1089" width="5" style="22" bestFit="1" customWidth="1"/>
    <col min="1090" max="1280" width="8.7265625" style="22"/>
    <col min="1281" max="1281" width="44.08984375" style="22" bestFit="1" customWidth="1"/>
    <col min="1282" max="1282" width="25.6328125" style="22" bestFit="1" customWidth="1"/>
    <col min="1283" max="1283" width="42.90625" style="22" bestFit="1" customWidth="1"/>
    <col min="1284" max="1284" width="12.7265625" style="22" bestFit="1" customWidth="1"/>
    <col min="1285" max="1344" width="11.453125" style="22" bestFit="1" customWidth="1"/>
    <col min="1345" max="1345" width="5" style="22" bestFit="1" customWidth="1"/>
    <col min="1346" max="1536" width="8.7265625" style="22"/>
    <col min="1537" max="1537" width="44.08984375" style="22" bestFit="1" customWidth="1"/>
    <col min="1538" max="1538" width="25.6328125" style="22" bestFit="1" customWidth="1"/>
    <col min="1539" max="1539" width="42.90625" style="22" bestFit="1" customWidth="1"/>
    <col min="1540" max="1540" width="12.7265625" style="22" bestFit="1" customWidth="1"/>
    <col min="1541" max="1600" width="11.453125" style="22" bestFit="1" customWidth="1"/>
    <col min="1601" max="1601" width="5" style="22" bestFit="1" customWidth="1"/>
    <col min="1602" max="1792" width="8.7265625" style="22"/>
    <col min="1793" max="1793" width="44.08984375" style="22" bestFit="1" customWidth="1"/>
    <col min="1794" max="1794" width="25.6328125" style="22" bestFit="1" customWidth="1"/>
    <col min="1795" max="1795" width="42.90625" style="22" bestFit="1" customWidth="1"/>
    <col min="1796" max="1796" width="12.7265625" style="22" bestFit="1" customWidth="1"/>
    <col min="1797" max="1856" width="11.453125" style="22" bestFit="1" customWidth="1"/>
    <col min="1857" max="1857" width="5" style="22" bestFit="1" customWidth="1"/>
    <col min="1858" max="2048" width="8.7265625" style="22"/>
    <col min="2049" max="2049" width="44.08984375" style="22" bestFit="1" customWidth="1"/>
    <col min="2050" max="2050" width="25.6328125" style="22" bestFit="1" customWidth="1"/>
    <col min="2051" max="2051" width="42.90625" style="22" bestFit="1" customWidth="1"/>
    <col min="2052" max="2052" width="12.7265625" style="22" bestFit="1" customWidth="1"/>
    <col min="2053" max="2112" width="11.453125" style="22" bestFit="1" customWidth="1"/>
    <col min="2113" max="2113" width="5" style="22" bestFit="1" customWidth="1"/>
    <col min="2114" max="2304" width="8.7265625" style="22"/>
    <col min="2305" max="2305" width="44.08984375" style="22" bestFit="1" customWidth="1"/>
    <col min="2306" max="2306" width="25.6328125" style="22" bestFit="1" customWidth="1"/>
    <col min="2307" max="2307" width="42.90625" style="22" bestFit="1" customWidth="1"/>
    <col min="2308" max="2308" width="12.7265625" style="22" bestFit="1" customWidth="1"/>
    <col min="2309" max="2368" width="11.453125" style="22" bestFit="1" customWidth="1"/>
    <col min="2369" max="2369" width="5" style="22" bestFit="1" customWidth="1"/>
    <col min="2370" max="2560" width="8.7265625" style="22"/>
    <col min="2561" max="2561" width="44.08984375" style="22" bestFit="1" customWidth="1"/>
    <col min="2562" max="2562" width="25.6328125" style="22" bestFit="1" customWidth="1"/>
    <col min="2563" max="2563" width="42.90625" style="22" bestFit="1" customWidth="1"/>
    <col min="2564" max="2564" width="12.7265625" style="22" bestFit="1" customWidth="1"/>
    <col min="2565" max="2624" width="11.453125" style="22" bestFit="1" customWidth="1"/>
    <col min="2625" max="2625" width="5" style="22" bestFit="1" customWidth="1"/>
    <col min="2626" max="2816" width="8.7265625" style="22"/>
    <col min="2817" max="2817" width="44.08984375" style="22" bestFit="1" customWidth="1"/>
    <col min="2818" max="2818" width="25.6328125" style="22" bestFit="1" customWidth="1"/>
    <col min="2819" max="2819" width="42.90625" style="22" bestFit="1" customWidth="1"/>
    <col min="2820" max="2820" width="12.7265625" style="22" bestFit="1" customWidth="1"/>
    <col min="2821" max="2880" width="11.453125" style="22" bestFit="1" customWidth="1"/>
    <col min="2881" max="2881" width="5" style="22" bestFit="1" customWidth="1"/>
    <col min="2882" max="3072" width="8.7265625" style="22"/>
    <col min="3073" max="3073" width="44.08984375" style="22" bestFit="1" customWidth="1"/>
    <col min="3074" max="3074" width="25.6328125" style="22" bestFit="1" customWidth="1"/>
    <col min="3075" max="3075" width="42.90625" style="22" bestFit="1" customWidth="1"/>
    <col min="3076" max="3076" width="12.7265625" style="22" bestFit="1" customWidth="1"/>
    <col min="3077" max="3136" width="11.453125" style="22" bestFit="1" customWidth="1"/>
    <col min="3137" max="3137" width="5" style="22" bestFit="1" customWidth="1"/>
    <col min="3138" max="3328" width="8.7265625" style="22"/>
    <col min="3329" max="3329" width="44.08984375" style="22" bestFit="1" customWidth="1"/>
    <col min="3330" max="3330" width="25.6328125" style="22" bestFit="1" customWidth="1"/>
    <col min="3331" max="3331" width="42.90625" style="22" bestFit="1" customWidth="1"/>
    <col min="3332" max="3332" width="12.7265625" style="22" bestFit="1" customWidth="1"/>
    <col min="3333" max="3392" width="11.453125" style="22" bestFit="1" customWidth="1"/>
    <col min="3393" max="3393" width="5" style="22" bestFit="1" customWidth="1"/>
    <col min="3394" max="3584" width="8.7265625" style="22"/>
    <col min="3585" max="3585" width="44.08984375" style="22" bestFit="1" customWidth="1"/>
    <col min="3586" max="3586" width="25.6328125" style="22" bestFit="1" customWidth="1"/>
    <col min="3587" max="3587" width="42.90625" style="22" bestFit="1" customWidth="1"/>
    <col min="3588" max="3588" width="12.7265625" style="22" bestFit="1" customWidth="1"/>
    <col min="3589" max="3648" width="11.453125" style="22" bestFit="1" customWidth="1"/>
    <col min="3649" max="3649" width="5" style="22" bestFit="1" customWidth="1"/>
    <col min="3650" max="3840" width="8.7265625" style="22"/>
    <col min="3841" max="3841" width="44.08984375" style="22" bestFit="1" customWidth="1"/>
    <col min="3842" max="3842" width="25.6328125" style="22" bestFit="1" customWidth="1"/>
    <col min="3843" max="3843" width="42.90625" style="22" bestFit="1" customWidth="1"/>
    <col min="3844" max="3844" width="12.7265625" style="22" bestFit="1" customWidth="1"/>
    <col min="3845" max="3904" width="11.453125" style="22" bestFit="1" customWidth="1"/>
    <col min="3905" max="3905" width="5" style="22" bestFit="1" customWidth="1"/>
    <col min="3906" max="4096" width="8.7265625" style="22"/>
    <col min="4097" max="4097" width="44.08984375" style="22" bestFit="1" customWidth="1"/>
    <col min="4098" max="4098" width="25.6328125" style="22" bestFit="1" customWidth="1"/>
    <col min="4099" max="4099" width="42.90625" style="22" bestFit="1" customWidth="1"/>
    <col min="4100" max="4100" width="12.7265625" style="22" bestFit="1" customWidth="1"/>
    <col min="4101" max="4160" width="11.453125" style="22" bestFit="1" customWidth="1"/>
    <col min="4161" max="4161" width="5" style="22" bestFit="1" customWidth="1"/>
    <col min="4162" max="4352" width="8.7265625" style="22"/>
    <col min="4353" max="4353" width="44.08984375" style="22" bestFit="1" customWidth="1"/>
    <col min="4354" max="4354" width="25.6328125" style="22" bestFit="1" customWidth="1"/>
    <col min="4355" max="4355" width="42.90625" style="22" bestFit="1" customWidth="1"/>
    <col min="4356" max="4356" width="12.7265625" style="22" bestFit="1" customWidth="1"/>
    <col min="4357" max="4416" width="11.453125" style="22" bestFit="1" customWidth="1"/>
    <col min="4417" max="4417" width="5" style="22" bestFit="1" customWidth="1"/>
    <col min="4418" max="4608" width="8.7265625" style="22"/>
    <col min="4609" max="4609" width="44.08984375" style="22" bestFit="1" customWidth="1"/>
    <col min="4610" max="4610" width="25.6328125" style="22" bestFit="1" customWidth="1"/>
    <col min="4611" max="4611" width="42.90625" style="22" bestFit="1" customWidth="1"/>
    <col min="4612" max="4612" width="12.7265625" style="22" bestFit="1" customWidth="1"/>
    <col min="4613" max="4672" width="11.453125" style="22" bestFit="1" customWidth="1"/>
    <col min="4673" max="4673" width="5" style="22" bestFit="1" customWidth="1"/>
    <col min="4674" max="4864" width="8.7265625" style="22"/>
    <col min="4865" max="4865" width="44.08984375" style="22" bestFit="1" customWidth="1"/>
    <col min="4866" max="4866" width="25.6328125" style="22" bestFit="1" customWidth="1"/>
    <col min="4867" max="4867" width="42.90625" style="22" bestFit="1" customWidth="1"/>
    <col min="4868" max="4868" width="12.7265625" style="22" bestFit="1" customWidth="1"/>
    <col min="4869" max="4928" width="11.453125" style="22" bestFit="1" customWidth="1"/>
    <col min="4929" max="4929" width="5" style="22" bestFit="1" customWidth="1"/>
    <col min="4930" max="5120" width="8.7265625" style="22"/>
    <col min="5121" max="5121" width="44.08984375" style="22" bestFit="1" customWidth="1"/>
    <col min="5122" max="5122" width="25.6328125" style="22" bestFit="1" customWidth="1"/>
    <col min="5123" max="5123" width="42.90625" style="22" bestFit="1" customWidth="1"/>
    <col min="5124" max="5124" width="12.7265625" style="22" bestFit="1" customWidth="1"/>
    <col min="5125" max="5184" width="11.453125" style="22" bestFit="1" customWidth="1"/>
    <col min="5185" max="5185" width="5" style="22" bestFit="1" customWidth="1"/>
    <col min="5186" max="5376" width="8.7265625" style="22"/>
    <col min="5377" max="5377" width="44.08984375" style="22" bestFit="1" customWidth="1"/>
    <col min="5378" max="5378" width="25.6328125" style="22" bestFit="1" customWidth="1"/>
    <col min="5379" max="5379" width="42.90625" style="22" bestFit="1" customWidth="1"/>
    <col min="5380" max="5380" width="12.7265625" style="22" bestFit="1" customWidth="1"/>
    <col min="5381" max="5440" width="11.453125" style="22" bestFit="1" customWidth="1"/>
    <col min="5441" max="5441" width="5" style="22" bestFit="1" customWidth="1"/>
    <col min="5442" max="5632" width="8.7265625" style="22"/>
    <col min="5633" max="5633" width="44.08984375" style="22" bestFit="1" customWidth="1"/>
    <col min="5634" max="5634" width="25.6328125" style="22" bestFit="1" customWidth="1"/>
    <col min="5635" max="5635" width="42.90625" style="22" bestFit="1" customWidth="1"/>
    <col min="5636" max="5636" width="12.7265625" style="22" bestFit="1" customWidth="1"/>
    <col min="5637" max="5696" width="11.453125" style="22" bestFit="1" customWidth="1"/>
    <col min="5697" max="5697" width="5" style="22" bestFit="1" customWidth="1"/>
    <col min="5698" max="5888" width="8.7265625" style="22"/>
    <col min="5889" max="5889" width="44.08984375" style="22" bestFit="1" customWidth="1"/>
    <col min="5890" max="5890" width="25.6328125" style="22" bestFit="1" customWidth="1"/>
    <col min="5891" max="5891" width="42.90625" style="22" bestFit="1" customWidth="1"/>
    <col min="5892" max="5892" width="12.7265625" style="22" bestFit="1" customWidth="1"/>
    <col min="5893" max="5952" width="11.453125" style="22" bestFit="1" customWidth="1"/>
    <col min="5953" max="5953" width="5" style="22" bestFit="1" customWidth="1"/>
    <col min="5954" max="6144" width="8.7265625" style="22"/>
    <col min="6145" max="6145" width="44.08984375" style="22" bestFit="1" customWidth="1"/>
    <col min="6146" max="6146" width="25.6328125" style="22" bestFit="1" customWidth="1"/>
    <col min="6147" max="6147" width="42.90625" style="22" bestFit="1" customWidth="1"/>
    <col min="6148" max="6148" width="12.7265625" style="22" bestFit="1" customWidth="1"/>
    <col min="6149" max="6208" width="11.453125" style="22" bestFit="1" customWidth="1"/>
    <col min="6209" max="6209" width="5" style="22" bestFit="1" customWidth="1"/>
    <col min="6210" max="6400" width="8.7265625" style="22"/>
    <col min="6401" max="6401" width="44.08984375" style="22" bestFit="1" customWidth="1"/>
    <col min="6402" max="6402" width="25.6328125" style="22" bestFit="1" customWidth="1"/>
    <col min="6403" max="6403" width="42.90625" style="22" bestFit="1" customWidth="1"/>
    <col min="6404" max="6404" width="12.7265625" style="22" bestFit="1" customWidth="1"/>
    <col min="6405" max="6464" width="11.453125" style="22" bestFit="1" customWidth="1"/>
    <col min="6465" max="6465" width="5" style="22" bestFit="1" customWidth="1"/>
    <col min="6466" max="6656" width="8.7265625" style="22"/>
    <col min="6657" max="6657" width="44.08984375" style="22" bestFit="1" customWidth="1"/>
    <col min="6658" max="6658" width="25.6328125" style="22" bestFit="1" customWidth="1"/>
    <col min="6659" max="6659" width="42.90625" style="22" bestFit="1" customWidth="1"/>
    <col min="6660" max="6660" width="12.7265625" style="22" bestFit="1" customWidth="1"/>
    <col min="6661" max="6720" width="11.453125" style="22" bestFit="1" customWidth="1"/>
    <col min="6721" max="6721" width="5" style="22" bestFit="1" customWidth="1"/>
    <col min="6722" max="6912" width="8.7265625" style="22"/>
    <col min="6913" max="6913" width="44.08984375" style="22" bestFit="1" customWidth="1"/>
    <col min="6914" max="6914" width="25.6328125" style="22" bestFit="1" customWidth="1"/>
    <col min="6915" max="6915" width="42.90625" style="22" bestFit="1" customWidth="1"/>
    <col min="6916" max="6916" width="12.7265625" style="22" bestFit="1" customWidth="1"/>
    <col min="6917" max="6976" width="11.453125" style="22" bestFit="1" customWidth="1"/>
    <col min="6977" max="6977" width="5" style="22" bestFit="1" customWidth="1"/>
    <col min="6978" max="7168" width="8.7265625" style="22"/>
    <col min="7169" max="7169" width="44.08984375" style="22" bestFit="1" customWidth="1"/>
    <col min="7170" max="7170" width="25.6328125" style="22" bestFit="1" customWidth="1"/>
    <col min="7171" max="7171" width="42.90625" style="22" bestFit="1" customWidth="1"/>
    <col min="7172" max="7172" width="12.7265625" style="22" bestFit="1" customWidth="1"/>
    <col min="7173" max="7232" width="11.453125" style="22" bestFit="1" customWidth="1"/>
    <col min="7233" max="7233" width="5" style="22" bestFit="1" customWidth="1"/>
    <col min="7234" max="7424" width="8.7265625" style="22"/>
    <col min="7425" max="7425" width="44.08984375" style="22" bestFit="1" customWidth="1"/>
    <col min="7426" max="7426" width="25.6328125" style="22" bestFit="1" customWidth="1"/>
    <col min="7427" max="7427" width="42.90625" style="22" bestFit="1" customWidth="1"/>
    <col min="7428" max="7428" width="12.7265625" style="22" bestFit="1" customWidth="1"/>
    <col min="7429" max="7488" width="11.453125" style="22" bestFit="1" customWidth="1"/>
    <col min="7489" max="7489" width="5" style="22" bestFit="1" customWidth="1"/>
    <col min="7490" max="7680" width="8.7265625" style="22"/>
    <col min="7681" max="7681" width="44.08984375" style="22" bestFit="1" customWidth="1"/>
    <col min="7682" max="7682" width="25.6328125" style="22" bestFit="1" customWidth="1"/>
    <col min="7683" max="7683" width="42.90625" style="22" bestFit="1" customWidth="1"/>
    <col min="7684" max="7684" width="12.7265625" style="22" bestFit="1" customWidth="1"/>
    <col min="7685" max="7744" width="11.453125" style="22" bestFit="1" customWidth="1"/>
    <col min="7745" max="7745" width="5" style="22" bestFit="1" customWidth="1"/>
    <col min="7746" max="7936" width="8.7265625" style="22"/>
    <col min="7937" max="7937" width="44.08984375" style="22" bestFit="1" customWidth="1"/>
    <col min="7938" max="7938" width="25.6328125" style="22" bestFit="1" customWidth="1"/>
    <col min="7939" max="7939" width="42.90625" style="22" bestFit="1" customWidth="1"/>
    <col min="7940" max="7940" width="12.7265625" style="22" bestFit="1" customWidth="1"/>
    <col min="7941" max="8000" width="11.453125" style="22" bestFit="1" customWidth="1"/>
    <col min="8001" max="8001" width="5" style="22" bestFit="1" customWidth="1"/>
    <col min="8002" max="8192" width="8.7265625" style="22"/>
    <col min="8193" max="8193" width="44.08984375" style="22" bestFit="1" customWidth="1"/>
    <col min="8194" max="8194" width="25.6328125" style="22" bestFit="1" customWidth="1"/>
    <col min="8195" max="8195" width="42.90625" style="22" bestFit="1" customWidth="1"/>
    <col min="8196" max="8196" width="12.7265625" style="22" bestFit="1" customWidth="1"/>
    <col min="8197" max="8256" width="11.453125" style="22" bestFit="1" customWidth="1"/>
    <col min="8257" max="8257" width="5" style="22" bestFit="1" customWidth="1"/>
    <col min="8258" max="8448" width="8.7265625" style="22"/>
    <col min="8449" max="8449" width="44.08984375" style="22" bestFit="1" customWidth="1"/>
    <col min="8450" max="8450" width="25.6328125" style="22" bestFit="1" customWidth="1"/>
    <col min="8451" max="8451" width="42.90625" style="22" bestFit="1" customWidth="1"/>
    <col min="8452" max="8452" width="12.7265625" style="22" bestFit="1" customWidth="1"/>
    <col min="8453" max="8512" width="11.453125" style="22" bestFit="1" customWidth="1"/>
    <col min="8513" max="8513" width="5" style="22" bestFit="1" customWidth="1"/>
    <col min="8514" max="8704" width="8.7265625" style="22"/>
    <col min="8705" max="8705" width="44.08984375" style="22" bestFit="1" customWidth="1"/>
    <col min="8706" max="8706" width="25.6328125" style="22" bestFit="1" customWidth="1"/>
    <col min="8707" max="8707" width="42.90625" style="22" bestFit="1" customWidth="1"/>
    <col min="8708" max="8708" width="12.7265625" style="22" bestFit="1" customWidth="1"/>
    <col min="8709" max="8768" width="11.453125" style="22" bestFit="1" customWidth="1"/>
    <col min="8769" max="8769" width="5" style="22" bestFit="1" customWidth="1"/>
    <col min="8770" max="8960" width="8.7265625" style="22"/>
    <col min="8961" max="8961" width="44.08984375" style="22" bestFit="1" customWidth="1"/>
    <col min="8962" max="8962" width="25.6328125" style="22" bestFit="1" customWidth="1"/>
    <col min="8963" max="8963" width="42.90625" style="22" bestFit="1" customWidth="1"/>
    <col min="8964" max="8964" width="12.7265625" style="22" bestFit="1" customWidth="1"/>
    <col min="8965" max="9024" width="11.453125" style="22" bestFit="1" customWidth="1"/>
    <col min="9025" max="9025" width="5" style="22" bestFit="1" customWidth="1"/>
    <col min="9026" max="9216" width="8.7265625" style="22"/>
    <col min="9217" max="9217" width="44.08984375" style="22" bestFit="1" customWidth="1"/>
    <col min="9218" max="9218" width="25.6328125" style="22" bestFit="1" customWidth="1"/>
    <col min="9219" max="9219" width="42.90625" style="22" bestFit="1" customWidth="1"/>
    <col min="9220" max="9220" width="12.7265625" style="22" bestFit="1" customWidth="1"/>
    <col min="9221" max="9280" width="11.453125" style="22" bestFit="1" customWidth="1"/>
    <col min="9281" max="9281" width="5" style="22" bestFit="1" customWidth="1"/>
    <col min="9282" max="9472" width="8.7265625" style="22"/>
    <col min="9473" max="9473" width="44.08984375" style="22" bestFit="1" customWidth="1"/>
    <col min="9474" max="9474" width="25.6328125" style="22" bestFit="1" customWidth="1"/>
    <col min="9475" max="9475" width="42.90625" style="22" bestFit="1" customWidth="1"/>
    <col min="9476" max="9476" width="12.7265625" style="22" bestFit="1" customWidth="1"/>
    <col min="9477" max="9536" width="11.453125" style="22" bestFit="1" customWidth="1"/>
    <col min="9537" max="9537" width="5" style="22" bestFit="1" customWidth="1"/>
    <col min="9538" max="9728" width="8.7265625" style="22"/>
    <col min="9729" max="9729" width="44.08984375" style="22" bestFit="1" customWidth="1"/>
    <col min="9730" max="9730" width="25.6328125" style="22" bestFit="1" customWidth="1"/>
    <col min="9731" max="9731" width="42.90625" style="22" bestFit="1" customWidth="1"/>
    <col min="9732" max="9732" width="12.7265625" style="22" bestFit="1" customWidth="1"/>
    <col min="9733" max="9792" width="11.453125" style="22" bestFit="1" customWidth="1"/>
    <col min="9793" max="9793" width="5" style="22" bestFit="1" customWidth="1"/>
    <col min="9794" max="9984" width="8.7265625" style="22"/>
    <col min="9985" max="9985" width="44.08984375" style="22" bestFit="1" customWidth="1"/>
    <col min="9986" max="9986" width="25.6328125" style="22" bestFit="1" customWidth="1"/>
    <col min="9987" max="9987" width="42.90625" style="22" bestFit="1" customWidth="1"/>
    <col min="9988" max="9988" width="12.7265625" style="22" bestFit="1" customWidth="1"/>
    <col min="9989" max="10048" width="11.453125" style="22" bestFit="1" customWidth="1"/>
    <col min="10049" max="10049" width="5" style="22" bestFit="1" customWidth="1"/>
    <col min="10050" max="10240" width="8.7265625" style="22"/>
    <col min="10241" max="10241" width="44.08984375" style="22" bestFit="1" customWidth="1"/>
    <col min="10242" max="10242" width="25.6328125" style="22" bestFit="1" customWidth="1"/>
    <col min="10243" max="10243" width="42.90625" style="22" bestFit="1" customWidth="1"/>
    <col min="10244" max="10244" width="12.7265625" style="22" bestFit="1" customWidth="1"/>
    <col min="10245" max="10304" width="11.453125" style="22" bestFit="1" customWidth="1"/>
    <col min="10305" max="10305" width="5" style="22" bestFit="1" customWidth="1"/>
    <col min="10306" max="10496" width="8.7265625" style="22"/>
    <col min="10497" max="10497" width="44.08984375" style="22" bestFit="1" customWidth="1"/>
    <col min="10498" max="10498" width="25.6328125" style="22" bestFit="1" customWidth="1"/>
    <col min="10499" max="10499" width="42.90625" style="22" bestFit="1" customWidth="1"/>
    <col min="10500" max="10500" width="12.7265625" style="22" bestFit="1" customWidth="1"/>
    <col min="10501" max="10560" width="11.453125" style="22" bestFit="1" customWidth="1"/>
    <col min="10561" max="10561" width="5" style="22" bestFit="1" customWidth="1"/>
    <col min="10562" max="10752" width="8.7265625" style="22"/>
    <col min="10753" max="10753" width="44.08984375" style="22" bestFit="1" customWidth="1"/>
    <col min="10754" max="10754" width="25.6328125" style="22" bestFit="1" customWidth="1"/>
    <col min="10755" max="10755" width="42.90625" style="22" bestFit="1" customWidth="1"/>
    <col min="10756" max="10756" width="12.7265625" style="22" bestFit="1" customWidth="1"/>
    <col min="10757" max="10816" width="11.453125" style="22" bestFit="1" customWidth="1"/>
    <col min="10817" max="10817" width="5" style="22" bestFit="1" customWidth="1"/>
    <col min="10818" max="11008" width="8.7265625" style="22"/>
    <col min="11009" max="11009" width="44.08984375" style="22" bestFit="1" customWidth="1"/>
    <col min="11010" max="11010" width="25.6328125" style="22" bestFit="1" customWidth="1"/>
    <col min="11011" max="11011" width="42.90625" style="22" bestFit="1" customWidth="1"/>
    <col min="11012" max="11012" width="12.7265625" style="22" bestFit="1" customWidth="1"/>
    <col min="11013" max="11072" width="11.453125" style="22" bestFit="1" customWidth="1"/>
    <col min="11073" max="11073" width="5" style="22" bestFit="1" customWidth="1"/>
    <col min="11074" max="11264" width="8.7265625" style="22"/>
    <col min="11265" max="11265" width="44.08984375" style="22" bestFit="1" customWidth="1"/>
    <col min="11266" max="11266" width="25.6328125" style="22" bestFit="1" customWidth="1"/>
    <col min="11267" max="11267" width="42.90625" style="22" bestFit="1" customWidth="1"/>
    <col min="11268" max="11268" width="12.7265625" style="22" bestFit="1" customWidth="1"/>
    <col min="11269" max="11328" width="11.453125" style="22" bestFit="1" customWidth="1"/>
    <col min="11329" max="11329" width="5" style="22" bestFit="1" customWidth="1"/>
    <col min="11330" max="11520" width="8.7265625" style="22"/>
    <col min="11521" max="11521" width="44.08984375" style="22" bestFit="1" customWidth="1"/>
    <col min="11522" max="11522" width="25.6328125" style="22" bestFit="1" customWidth="1"/>
    <col min="11523" max="11523" width="42.90625" style="22" bestFit="1" customWidth="1"/>
    <col min="11524" max="11524" width="12.7265625" style="22" bestFit="1" customWidth="1"/>
    <col min="11525" max="11584" width="11.453125" style="22" bestFit="1" customWidth="1"/>
    <col min="11585" max="11585" width="5" style="22" bestFit="1" customWidth="1"/>
    <col min="11586" max="11776" width="8.7265625" style="22"/>
    <col min="11777" max="11777" width="44.08984375" style="22" bestFit="1" customWidth="1"/>
    <col min="11778" max="11778" width="25.6328125" style="22" bestFit="1" customWidth="1"/>
    <col min="11779" max="11779" width="42.90625" style="22" bestFit="1" customWidth="1"/>
    <col min="11780" max="11780" width="12.7265625" style="22" bestFit="1" customWidth="1"/>
    <col min="11781" max="11840" width="11.453125" style="22" bestFit="1" customWidth="1"/>
    <col min="11841" max="11841" width="5" style="22" bestFit="1" customWidth="1"/>
    <col min="11842" max="12032" width="8.7265625" style="22"/>
    <col min="12033" max="12033" width="44.08984375" style="22" bestFit="1" customWidth="1"/>
    <col min="12034" max="12034" width="25.6328125" style="22" bestFit="1" customWidth="1"/>
    <col min="12035" max="12035" width="42.90625" style="22" bestFit="1" customWidth="1"/>
    <col min="12036" max="12036" width="12.7265625" style="22" bestFit="1" customWidth="1"/>
    <col min="12037" max="12096" width="11.453125" style="22" bestFit="1" customWidth="1"/>
    <col min="12097" max="12097" width="5" style="22" bestFit="1" customWidth="1"/>
    <col min="12098" max="12288" width="8.7265625" style="22"/>
    <col min="12289" max="12289" width="44.08984375" style="22" bestFit="1" customWidth="1"/>
    <col min="12290" max="12290" width="25.6328125" style="22" bestFit="1" customWidth="1"/>
    <col min="12291" max="12291" width="42.90625" style="22" bestFit="1" customWidth="1"/>
    <col min="12292" max="12292" width="12.7265625" style="22" bestFit="1" customWidth="1"/>
    <col min="12293" max="12352" width="11.453125" style="22" bestFit="1" customWidth="1"/>
    <col min="12353" max="12353" width="5" style="22" bestFit="1" customWidth="1"/>
    <col min="12354" max="12544" width="8.7265625" style="22"/>
    <col min="12545" max="12545" width="44.08984375" style="22" bestFit="1" customWidth="1"/>
    <col min="12546" max="12546" width="25.6328125" style="22" bestFit="1" customWidth="1"/>
    <col min="12547" max="12547" width="42.90625" style="22" bestFit="1" customWidth="1"/>
    <col min="12548" max="12548" width="12.7265625" style="22" bestFit="1" customWidth="1"/>
    <col min="12549" max="12608" width="11.453125" style="22" bestFit="1" customWidth="1"/>
    <col min="12609" max="12609" width="5" style="22" bestFit="1" customWidth="1"/>
    <col min="12610" max="12800" width="8.7265625" style="22"/>
    <col min="12801" max="12801" width="44.08984375" style="22" bestFit="1" customWidth="1"/>
    <col min="12802" max="12802" width="25.6328125" style="22" bestFit="1" customWidth="1"/>
    <col min="12803" max="12803" width="42.90625" style="22" bestFit="1" customWidth="1"/>
    <col min="12804" max="12804" width="12.7265625" style="22" bestFit="1" customWidth="1"/>
    <col min="12805" max="12864" width="11.453125" style="22" bestFit="1" customWidth="1"/>
    <col min="12865" max="12865" width="5" style="22" bestFit="1" customWidth="1"/>
    <col min="12866" max="13056" width="8.7265625" style="22"/>
    <col min="13057" max="13057" width="44.08984375" style="22" bestFit="1" customWidth="1"/>
    <col min="13058" max="13058" width="25.6328125" style="22" bestFit="1" customWidth="1"/>
    <col min="13059" max="13059" width="42.90625" style="22" bestFit="1" customWidth="1"/>
    <col min="13060" max="13060" width="12.7265625" style="22" bestFit="1" customWidth="1"/>
    <col min="13061" max="13120" width="11.453125" style="22" bestFit="1" customWidth="1"/>
    <col min="13121" max="13121" width="5" style="22" bestFit="1" customWidth="1"/>
    <col min="13122" max="13312" width="8.7265625" style="22"/>
    <col min="13313" max="13313" width="44.08984375" style="22" bestFit="1" customWidth="1"/>
    <col min="13314" max="13314" width="25.6328125" style="22" bestFit="1" customWidth="1"/>
    <col min="13315" max="13315" width="42.90625" style="22" bestFit="1" customWidth="1"/>
    <col min="13316" max="13316" width="12.7265625" style="22" bestFit="1" customWidth="1"/>
    <col min="13317" max="13376" width="11.453125" style="22" bestFit="1" customWidth="1"/>
    <col min="13377" max="13377" width="5" style="22" bestFit="1" customWidth="1"/>
    <col min="13378" max="13568" width="8.7265625" style="22"/>
    <col min="13569" max="13569" width="44.08984375" style="22" bestFit="1" customWidth="1"/>
    <col min="13570" max="13570" width="25.6328125" style="22" bestFit="1" customWidth="1"/>
    <col min="13571" max="13571" width="42.90625" style="22" bestFit="1" customWidth="1"/>
    <col min="13572" max="13572" width="12.7265625" style="22" bestFit="1" customWidth="1"/>
    <col min="13573" max="13632" width="11.453125" style="22" bestFit="1" customWidth="1"/>
    <col min="13633" max="13633" width="5" style="22" bestFit="1" customWidth="1"/>
    <col min="13634" max="13824" width="8.7265625" style="22"/>
    <col min="13825" max="13825" width="44.08984375" style="22" bestFit="1" customWidth="1"/>
    <col min="13826" max="13826" width="25.6328125" style="22" bestFit="1" customWidth="1"/>
    <col min="13827" max="13827" width="42.90625" style="22" bestFit="1" customWidth="1"/>
    <col min="13828" max="13828" width="12.7265625" style="22" bestFit="1" customWidth="1"/>
    <col min="13829" max="13888" width="11.453125" style="22" bestFit="1" customWidth="1"/>
    <col min="13889" max="13889" width="5" style="22" bestFit="1" customWidth="1"/>
    <col min="13890" max="14080" width="8.7265625" style="22"/>
    <col min="14081" max="14081" width="44.08984375" style="22" bestFit="1" customWidth="1"/>
    <col min="14082" max="14082" width="25.6328125" style="22" bestFit="1" customWidth="1"/>
    <col min="14083" max="14083" width="42.90625" style="22" bestFit="1" customWidth="1"/>
    <col min="14084" max="14084" width="12.7265625" style="22" bestFit="1" customWidth="1"/>
    <col min="14085" max="14144" width="11.453125" style="22" bestFit="1" customWidth="1"/>
    <col min="14145" max="14145" width="5" style="22" bestFit="1" customWidth="1"/>
    <col min="14146" max="14336" width="8.7265625" style="22"/>
    <col min="14337" max="14337" width="44.08984375" style="22" bestFit="1" customWidth="1"/>
    <col min="14338" max="14338" width="25.6328125" style="22" bestFit="1" customWidth="1"/>
    <col min="14339" max="14339" width="42.90625" style="22" bestFit="1" customWidth="1"/>
    <col min="14340" max="14340" width="12.7265625" style="22" bestFit="1" customWidth="1"/>
    <col min="14341" max="14400" width="11.453125" style="22" bestFit="1" customWidth="1"/>
    <col min="14401" max="14401" width="5" style="22" bestFit="1" customWidth="1"/>
    <col min="14402" max="14592" width="8.7265625" style="22"/>
    <col min="14593" max="14593" width="44.08984375" style="22" bestFit="1" customWidth="1"/>
    <col min="14594" max="14594" width="25.6328125" style="22" bestFit="1" customWidth="1"/>
    <col min="14595" max="14595" width="42.90625" style="22" bestFit="1" customWidth="1"/>
    <col min="14596" max="14596" width="12.7265625" style="22" bestFit="1" customWidth="1"/>
    <col min="14597" max="14656" width="11.453125" style="22" bestFit="1" customWidth="1"/>
    <col min="14657" max="14657" width="5" style="22" bestFit="1" customWidth="1"/>
    <col min="14658" max="14848" width="8.7265625" style="22"/>
    <col min="14849" max="14849" width="44.08984375" style="22" bestFit="1" customWidth="1"/>
    <col min="14850" max="14850" width="25.6328125" style="22" bestFit="1" customWidth="1"/>
    <col min="14851" max="14851" width="42.90625" style="22" bestFit="1" customWidth="1"/>
    <col min="14852" max="14852" width="12.7265625" style="22" bestFit="1" customWidth="1"/>
    <col min="14853" max="14912" width="11.453125" style="22" bestFit="1" customWidth="1"/>
    <col min="14913" max="14913" width="5" style="22" bestFit="1" customWidth="1"/>
    <col min="14914" max="15104" width="8.7265625" style="22"/>
    <col min="15105" max="15105" width="44.08984375" style="22" bestFit="1" customWidth="1"/>
    <col min="15106" max="15106" width="25.6328125" style="22" bestFit="1" customWidth="1"/>
    <col min="15107" max="15107" width="42.90625" style="22" bestFit="1" customWidth="1"/>
    <col min="15108" max="15108" width="12.7265625" style="22" bestFit="1" customWidth="1"/>
    <col min="15109" max="15168" width="11.453125" style="22" bestFit="1" customWidth="1"/>
    <col min="15169" max="15169" width="5" style="22" bestFit="1" customWidth="1"/>
    <col min="15170" max="15360" width="8.7265625" style="22"/>
    <col min="15361" max="15361" width="44.08984375" style="22" bestFit="1" customWidth="1"/>
    <col min="15362" max="15362" width="25.6328125" style="22" bestFit="1" customWidth="1"/>
    <col min="15363" max="15363" width="42.90625" style="22" bestFit="1" customWidth="1"/>
    <col min="15364" max="15364" width="12.7265625" style="22" bestFit="1" customWidth="1"/>
    <col min="15365" max="15424" width="11.453125" style="22" bestFit="1" customWidth="1"/>
    <col min="15425" max="15425" width="5" style="22" bestFit="1" customWidth="1"/>
    <col min="15426" max="15616" width="8.7265625" style="22"/>
    <col min="15617" max="15617" width="44.08984375" style="22" bestFit="1" customWidth="1"/>
    <col min="15618" max="15618" width="25.6328125" style="22" bestFit="1" customWidth="1"/>
    <col min="15619" max="15619" width="42.90625" style="22" bestFit="1" customWidth="1"/>
    <col min="15620" max="15620" width="12.7265625" style="22" bestFit="1" customWidth="1"/>
    <col min="15621" max="15680" width="11.453125" style="22" bestFit="1" customWidth="1"/>
    <col min="15681" max="15681" width="5" style="22" bestFit="1" customWidth="1"/>
    <col min="15682" max="15872" width="8.7265625" style="22"/>
    <col min="15873" max="15873" width="44.08984375" style="22" bestFit="1" customWidth="1"/>
    <col min="15874" max="15874" width="25.6328125" style="22" bestFit="1" customWidth="1"/>
    <col min="15875" max="15875" width="42.90625" style="22" bestFit="1" customWidth="1"/>
    <col min="15876" max="15876" width="12.7265625" style="22" bestFit="1" customWidth="1"/>
    <col min="15877" max="15936" width="11.453125" style="22" bestFit="1" customWidth="1"/>
    <col min="15937" max="15937" width="5" style="22" bestFit="1" customWidth="1"/>
    <col min="15938" max="16128" width="8.7265625" style="22"/>
    <col min="16129" max="16129" width="44.08984375" style="22" bestFit="1" customWidth="1"/>
    <col min="16130" max="16130" width="25.6328125" style="22" bestFit="1" customWidth="1"/>
    <col min="16131" max="16131" width="42.90625" style="22" bestFit="1" customWidth="1"/>
    <col min="16132" max="16132" width="12.7265625" style="22" bestFit="1" customWidth="1"/>
    <col min="16133" max="16192" width="11.453125" style="22" bestFit="1" customWidth="1"/>
    <col min="16193" max="16193" width="5" style="22" bestFit="1" customWidth="1"/>
    <col min="16194" max="16384" width="8.7265625" style="22"/>
  </cols>
  <sheetData>
    <row r="1" spans="1:65">
      <c r="A1" s="22" t="s">
        <v>11182</v>
      </c>
      <c r="B1" s="22" t="s">
        <v>11183</v>
      </c>
    </row>
    <row r="2" spans="1:65">
      <c r="A2" s="22" t="s">
        <v>11184</v>
      </c>
      <c r="B2" s="219">
        <v>44119</v>
      </c>
    </row>
    <row r="4" spans="1:65">
      <c r="A4" s="22" t="s">
        <v>11185</v>
      </c>
      <c r="B4" s="22" t="s">
        <v>11186</v>
      </c>
      <c r="C4" s="22" t="s">
        <v>11187</v>
      </c>
      <c r="D4" s="22" t="s">
        <v>11188</v>
      </c>
      <c r="E4" s="22" t="s">
        <v>11189</v>
      </c>
      <c r="F4" s="22" t="s">
        <v>11190</v>
      </c>
      <c r="G4" s="22" t="s">
        <v>11191</v>
      </c>
      <c r="H4" s="22" t="s">
        <v>11192</v>
      </c>
      <c r="I4" s="22" t="s">
        <v>11193</v>
      </c>
      <c r="J4" s="22" t="s">
        <v>11194</v>
      </c>
      <c r="K4" s="22" t="s">
        <v>11195</v>
      </c>
      <c r="L4" s="22" t="s">
        <v>11196</v>
      </c>
      <c r="M4" s="22" t="s">
        <v>11197</v>
      </c>
      <c r="N4" s="22" t="s">
        <v>11198</v>
      </c>
      <c r="O4" s="22" t="s">
        <v>11199</v>
      </c>
      <c r="P4" s="22" t="s">
        <v>11200</v>
      </c>
      <c r="Q4" s="22" t="s">
        <v>11201</v>
      </c>
      <c r="R4" s="22" t="s">
        <v>11202</v>
      </c>
      <c r="S4" s="22" t="s">
        <v>11203</v>
      </c>
      <c r="T4" s="22" t="s">
        <v>11204</v>
      </c>
      <c r="U4" s="22" t="s">
        <v>11205</v>
      </c>
      <c r="V4" s="22" t="s">
        <v>11206</v>
      </c>
      <c r="W4" s="22" t="s">
        <v>11207</v>
      </c>
      <c r="X4" s="22" t="s">
        <v>11208</v>
      </c>
      <c r="Y4" s="22" t="s">
        <v>11209</v>
      </c>
      <c r="Z4" s="22" t="s">
        <v>11210</v>
      </c>
      <c r="AA4" s="22" t="s">
        <v>11211</v>
      </c>
      <c r="AB4" s="22" t="s">
        <v>11212</v>
      </c>
      <c r="AC4" s="22" t="s">
        <v>11213</v>
      </c>
      <c r="AD4" s="22" t="s">
        <v>11214</v>
      </c>
      <c r="AE4" s="22" t="s">
        <v>11215</v>
      </c>
      <c r="AF4" s="22" t="s">
        <v>11216</v>
      </c>
      <c r="AG4" s="22" t="s">
        <v>11217</v>
      </c>
      <c r="AH4" s="22" t="s">
        <v>11218</v>
      </c>
      <c r="AI4" s="22" t="s">
        <v>11219</v>
      </c>
      <c r="AJ4" s="22" t="s">
        <v>11220</v>
      </c>
      <c r="AK4" s="22" t="s">
        <v>11221</v>
      </c>
      <c r="AL4" s="22" t="s">
        <v>11222</v>
      </c>
      <c r="AM4" s="22" t="s">
        <v>11223</v>
      </c>
      <c r="AN4" s="22" t="s">
        <v>11224</v>
      </c>
      <c r="AO4" s="22" t="s">
        <v>11225</v>
      </c>
      <c r="AP4" s="22" t="s">
        <v>11226</v>
      </c>
      <c r="AQ4" s="22" t="s">
        <v>11227</v>
      </c>
      <c r="AR4" s="22" t="s">
        <v>11228</v>
      </c>
      <c r="AS4" s="22" t="s">
        <v>11229</v>
      </c>
      <c r="AT4" s="22" t="s">
        <v>11230</v>
      </c>
      <c r="AU4" s="22" t="s">
        <v>11231</v>
      </c>
      <c r="AV4" s="22" t="s">
        <v>11232</v>
      </c>
      <c r="AW4" s="22" t="s">
        <v>11233</v>
      </c>
      <c r="AX4" s="22" t="s">
        <v>11234</v>
      </c>
      <c r="AY4" s="22" t="s">
        <v>11235</v>
      </c>
      <c r="AZ4" s="22" t="s">
        <v>11236</v>
      </c>
      <c r="BA4" s="22" t="s">
        <v>11237</v>
      </c>
      <c r="BB4" s="22" t="s">
        <v>11238</v>
      </c>
      <c r="BC4" s="22">
        <v>2010</v>
      </c>
      <c r="BD4" s="22">
        <v>2011</v>
      </c>
      <c r="BE4" s="22">
        <v>2012</v>
      </c>
      <c r="BF4" s="22">
        <v>2013</v>
      </c>
      <c r="BG4" s="22">
        <v>2014</v>
      </c>
      <c r="BH4" s="22">
        <v>2015</v>
      </c>
      <c r="BI4" s="22">
        <v>2016</v>
      </c>
      <c r="BJ4" s="22">
        <v>2017</v>
      </c>
      <c r="BK4" s="22">
        <v>2018</v>
      </c>
      <c r="BL4" s="22">
        <v>2019</v>
      </c>
      <c r="BM4" s="22" t="s">
        <v>11239</v>
      </c>
    </row>
    <row r="5" spans="1:65">
      <c r="A5" s="22" t="s">
        <v>10618</v>
      </c>
      <c r="B5" s="22" t="s">
        <v>11240</v>
      </c>
      <c r="C5" s="22" t="s">
        <v>11241</v>
      </c>
      <c r="D5" s="22" t="s">
        <v>11242</v>
      </c>
      <c r="AE5" s="22">
        <v>1.79</v>
      </c>
      <c r="AF5" s="22">
        <v>1.79</v>
      </c>
      <c r="AG5" s="22">
        <v>1.79</v>
      </c>
      <c r="AH5" s="22">
        <v>1.79</v>
      </c>
      <c r="AI5" s="22">
        <v>1.79</v>
      </c>
      <c r="AJ5" s="22">
        <v>1.79</v>
      </c>
      <c r="AK5" s="22">
        <v>1.79</v>
      </c>
      <c r="AL5" s="22">
        <v>1.79</v>
      </c>
      <c r="AM5" s="22">
        <v>1.79</v>
      </c>
      <c r="AN5" s="22">
        <v>1.79</v>
      </c>
      <c r="AO5" s="22">
        <v>1.79</v>
      </c>
      <c r="AP5" s="22">
        <v>1.79</v>
      </c>
      <c r="AQ5" s="22">
        <v>1.79</v>
      </c>
      <c r="AR5" s="22">
        <v>1.79</v>
      </c>
      <c r="AS5" s="22">
        <v>1.79</v>
      </c>
      <c r="AT5" s="22">
        <v>1.79</v>
      </c>
      <c r="AU5" s="22">
        <v>1.79</v>
      </c>
      <c r="AV5" s="22">
        <v>1.79</v>
      </c>
      <c r="AW5" s="22">
        <v>1.79</v>
      </c>
      <c r="AX5" s="22">
        <v>1.79</v>
      </c>
      <c r="AY5" s="22">
        <v>1.79</v>
      </c>
      <c r="AZ5" s="22">
        <v>1.79</v>
      </c>
      <c r="BA5" s="22">
        <v>1.79</v>
      </c>
      <c r="BB5" s="22">
        <v>1.79</v>
      </c>
      <c r="BC5" s="22">
        <v>1.79</v>
      </c>
      <c r="BD5" s="22">
        <v>1.79</v>
      </c>
      <c r="BE5" s="22">
        <v>1.79</v>
      </c>
      <c r="BF5" s="22">
        <v>1.79</v>
      </c>
      <c r="BG5" s="22">
        <v>1.79</v>
      </c>
      <c r="BH5" s="22">
        <v>1.79</v>
      </c>
      <c r="BI5" s="22">
        <v>1.79</v>
      </c>
      <c r="BJ5" s="22">
        <v>1.79</v>
      </c>
      <c r="BK5" s="22">
        <v>1.79</v>
      </c>
      <c r="BL5" s="22">
        <v>1.79</v>
      </c>
    </row>
    <row r="6" spans="1:65">
      <c r="A6" s="22" t="s">
        <v>10498</v>
      </c>
      <c r="B6" s="22" t="s">
        <v>11243</v>
      </c>
      <c r="C6" s="22" t="s">
        <v>11241</v>
      </c>
      <c r="D6" s="22" t="s">
        <v>11242</v>
      </c>
      <c r="E6" s="22">
        <v>17.196560687862402</v>
      </c>
      <c r="F6" s="22">
        <v>17.196560687862402</v>
      </c>
      <c r="G6" s="22">
        <v>17.196560687862402</v>
      </c>
      <c r="H6" s="22">
        <v>35.109644737719201</v>
      </c>
      <c r="I6" s="22">
        <v>38.692261547690499</v>
      </c>
      <c r="J6" s="22">
        <v>38.692261547690499</v>
      </c>
      <c r="K6" s="22">
        <v>38.692261547690499</v>
      </c>
      <c r="L6" s="22">
        <v>38.692261547690499</v>
      </c>
      <c r="M6" s="22">
        <v>38.692261547690499</v>
      </c>
      <c r="N6" s="22">
        <v>38.692261547690499</v>
      </c>
      <c r="O6" s="22">
        <v>38.692261547690499</v>
      </c>
      <c r="P6" s="22">
        <v>38.692261547690499</v>
      </c>
      <c r="Q6" s="22">
        <v>38.692261547690499</v>
      </c>
      <c r="R6" s="22">
        <v>38.692261547690499</v>
      </c>
      <c r="S6" s="22">
        <v>38.378708983203403</v>
      </c>
      <c r="T6" s="22">
        <v>34.929630773845197</v>
      </c>
      <c r="U6" s="22">
        <v>34.929630773845197</v>
      </c>
      <c r="V6" s="22">
        <v>34.929630773845197</v>
      </c>
      <c r="W6" s="22">
        <v>34.929630773845197</v>
      </c>
      <c r="X6" s="22">
        <v>33.846164319636102</v>
      </c>
      <c r="Y6" s="22">
        <v>34.369458401519701</v>
      </c>
      <c r="Z6" s="22">
        <v>38.561658515663503</v>
      </c>
      <c r="AA6" s="22">
        <v>39.276429270145996</v>
      </c>
      <c r="AB6" s="22">
        <v>39.276429270145996</v>
      </c>
      <c r="AC6" s="22">
        <v>39.276429270145996</v>
      </c>
      <c r="AD6" s="22">
        <v>39.276429270145996</v>
      </c>
      <c r="AE6" s="22">
        <v>39.276429270145996</v>
      </c>
      <c r="AF6" s="22">
        <v>39.276429270145996</v>
      </c>
      <c r="AG6" s="22">
        <v>39.276429270145996</v>
      </c>
      <c r="AH6" s="22">
        <v>39.276429270145996</v>
      </c>
      <c r="AI6" s="22">
        <v>39.276429270145996</v>
      </c>
      <c r="AJ6" s="22">
        <v>39.276429270145996</v>
      </c>
      <c r="AK6" s="22">
        <v>39.276429270145996</v>
      </c>
      <c r="AL6" s="22">
        <v>39.276429270145996</v>
      </c>
      <c r="AM6" s="22">
        <v>38.818463000000001</v>
      </c>
      <c r="AN6" s="22">
        <v>36.567144623655899</v>
      </c>
      <c r="AO6" s="22">
        <v>47.5</v>
      </c>
      <c r="AP6" s="22">
        <v>47.5</v>
      </c>
      <c r="AQ6" s="22">
        <v>47.5</v>
      </c>
      <c r="AR6" s="22">
        <v>46.619531077188903</v>
      </c>
      <c r="AS6" s="22">
        <v>47.357574731182801</v>
      </c>
      <c r="AT6" s="22">
        <v>47.500014516128999</v>
      </c>
      <c r="AU6" s="22">
        <v>47.262999999999998</v>
      </c>
      <c r="AV6" s="22">
        <v>48.7627535833333</v>
      </c>
      <c r="AW6" s="22">
        <v>47.845312499999999</v>
      </c>
      <c r="AX6" s="22">
        <v>49.494597499999998</v>
      </c>
      <c r="AY6" s="22">
        <v>49.925330833333298</v>
      </c>
      <c r="AZ6" s="22">
        <v>49.962017770397203</v>
      </c>
      <c r="BA6" s="22">
        <v>50.249614743589703</v>
      </c>
      <c r="BB6" s="22">
        <v>50.325000000000003</v>
      </c>
      <c r="BC6" s="22">
        <v>46.452461001317502</v>
      </c>
      <c r="BD6" s="22">
        <v>46.747007738580997</v>
      </c>
      <c r="BE6" s="22">
        <v>50.921399999999998</v>
      </c>
      <c r="BF6" s="22">
        <v>55.377499999999998</v>
      </c>
      <c r="BG6" s="22">
        <v>57.247500000000002</v>
      </c>
      <c r="BH6" s="22">
        <v>61.143461541666703</v>
      </c>
      <c r="BI6" s="22">
        <v>67.866085769230807</v>
      </c>
      <c r="BJ6" s="22">
        <v>68.026904082231198</v>
      </c>
      <c r="BK6" s="22">
        <v>72.083247177304003</v>
      </c>
      <c r="BL6" s="22">
        <v>77.737949178336706</v>
      </c>
    </row>
    <row r="7" spans="1:65">
      <c r="A7" s="22" t="s">
        <v>10570</v>
      </c>
      <c r="B7" s="22" t="s">
        <v>11244</v>
      </c>
      <c r="C7" s="22" t="s">
        <v>11241</v>
      </c>
      <c r="D7" s="22" t="s">
        <v>11242</v>
      </c>
      <c r="E7" s="22">
        <v>2.8668443333333301E-8</v>
      </c>
      <c r="F7" s="22">
        <v>2.8734860000000001E-8</v>
      </c>
      <c r="G7" s="22">
        <v>2.8678443333333299E-8</v>
      </c>
      <c r="H7" s="22">
        <v>2.8752026666666701E-8</v>
      </c>
      <c r="I7" s="22">
        <v>2.8819776666666698E-8</v>
      </c>
      <c r="J7" s="22">
        <v>2.8778526666666701E-8</v>
      </c>
      <c r="K7" s="22">
        <v>2.8823859999999999E-8</v>
      </c>
      <c r="L7" s="22">
        <v>2.8841609999999999E-8</v>
      </c>
      <c r="M7" s="22">
        <v>2.8727609999999999E-8</v>
      </c>
      <c r="N7" s="22">
        <v>2.8561193333333301E-8</v>
      </c>
      <c r="O7" s="22">
        <v>2.8625109999999999E-8</v>
      </c>
      <c r="P7" s="22">
        <v>2.8191119999999999E-8</v>
      </c>
      <c r="Q7" s="22">
        <v>2.7052815000000001E-8</v>
      </c>
      <c r="R7" s="22">
        <v>2.4514619999999999E-8</v>
      </c>
      <c r="S7" s="22">
        <v>2.5407600833333301E-8</v>
      </c>
      <c r="T7" s="22">
        <v>2.5552180833333302E-8</v>
      </c>
      <c r="U7" s="22">
        <v>2.9383623333333298E-8</v>
      </c>
      <c r="V7" s="22">
        <v>2.9917999999999997E-8</v>
      </c>
      <c r="W7" s="22">
        <v>2.9917999999999997E-8</v>
      </c>
      <c r="X7" s="22">
        <v>2.9917999999999997E-8</v>
      </c>
      <c r="Y7" s="22">
        <v>2.9917999999999997E-8</v>
      </c>
      <c r="Z7" s="22">
        <v>2.9917999999999997E-8</v>
      </c>
      <c r="AA7" s="22">
        <v>2.9917999999999997E-8</v>
      </c>
      <c r="AB7" s="22">
        <v>2.9917999999999997E-8</v>
      </c>
      <c r="AC7" s="22">
        <v>2.9917999999999997E-8</v>
      </c>
      <c r="AD7" s="22">
        <v>2.9917999999999997E-8</v>
      </c>
      <c r="AE7" s="22">
        <v>2.9917999999999997E-8</v>
      </c>
      <c r="AF7" s="22">
        <v>2.9917999999999997E-8</v>
      </c>
      <c r="AG7" s="22">
        <v>2.9917999999999997E-8</v>
      </c>
      <c r="AH7" s="22">
        <v>2.9917999999999997E-8</v>
      </c>
      <c r="AI7" s="22">
        <v>2.9917999999999997E-8</v>
      </c>
      <c r="AJ7" s="22">
        <v>5.5098333333333298E-8</v>
      </c>
      <c r="AK7" s="22">
        <v>2.5141666666666701E-7</v>
      </c>
      <c r="AL7" s="22">
        <v>2.6601666666666699E-6</v>
      </c>
      <c r="AM7" s="22">
        <v>5.9515000000000002E-5</v>
      </c>
      <c r="AN7" s="22">
        <v>2.7502295833333299E-3</v>
      </c>
      <c r="AO7" s="22">
        <v>0.128029166666667</v>
      </c>
      <c r="AP7" s="22">
        <v>0.22904008333333301</v>
      </c>
      <c r="AQ7" s="22">
        <v>0.3928235175</v>
      </c>
      <c r="AR7" s="22">
        <v>2.7907061666666699</v>
      </c>
      <c r="AS7" s="22">
        <v>10.040544166666701</v>
      </c>
      <c r="AT7" s="22">
        <v>22.0578616666667</v>
      </c>
      <c r="AU7" s="22">
        <v>43.5302066666667</v>
      </c>
      <c r="AV7" s="22">
        <v>74.606300833333293</v>
      </c>
      <c r="AW7" s="22">
        <v>83.541362500000005</v>
      </c>
      <c r="AX7" s="22">
        <v>87.159141666666699</v>
      </c>
      <c r="AY7" s="22">
        <v>80.368072055555601</v>
      </c>
      <c r="AZ7" s="22">
        <v>76.706142749999998</v>
      </c>
      <c r="BA7" s="22">
        <v>75.033354166666697</v>
      </c>
      <c r="BB7" s="22">
        <v>79.328166666666704</v>
      </c>
      <c r="BC7" s="22">
        <v>91.905720340501802</v>
      </c>
      <c r="BD7" s="22">
        <v>93.934749999999994</v>
      </c>
      <c r="BE7" s="22">
        <v>95.467955421311004</v>
      </c>
      <c r="BF7" s="22">
        <v>96.518279479152596</v>
      </c>
      <c r="BG7" s="22">
        <v>98.302416855633496</v>
      </c>
      <c r="BH7" s="22">
        <v>120.060701665019</v>
      </c>
      <c r="BI7" s="22">
        <v>163.65643411657899</v>
      </c>
      <c r="BJ7" s="22">
        <v>165.91595069149801</v>
      </c>
      <c r="BK7" s="22">
        <v>252.85574773129699</v>
      </c>
      <c r="BL7" s="22">
        <v>364.82580498088703</v>
      </c>
    </row>
    <row r="8" spans="1:65">
      <c r="A8" s="22" t="s">
        <v>10515</v>
      </c>
      <c r="B8" s="22" t="s">
        <v>11245</v>
      </c>
      <c r="C8" s="22" t="s">
        <v>11241</v>
      </c>
      <c r="D8" s="22" t="s">
        <v>11242</v>
      </c>
      <c r="AK8" s="22">
        <v>75.032499999999999</v>
      </c>
      <c r="AL8" s="22">
        <v>102.0625</v>
      </c>
      <c r="AM8" s="22">
        <v>94.623333333333306</v>
      </c>
      <c r="AN8" s="22">
        <v>92.697500000000005</v>
      </c>
      <c r="AO8" s="22">
        <v>104.498916666667</v>
      </c>
      <c r="AP8" s="22">
        <v>148.93291666666701</v>
      </c>
      <c r="AQ8" s="22">
        <v>150.63333333333301</v>
      </c>
      <c r="AR8" s="22">
        <v>137.690583333333</v>
      </c>
      <c r="AS8" s="22">
        <v>143.70941666666701</v>
      </c>
      <c r="AT8" s="22">
        <v>143.484833333333</v>
      </c>
      <c r="AU8" s="22">
        <v>140.15451587499999</v>
      </c>
      <c r="AV8" s="22">
        <v>121.86324999999999</v>
      </c>
      <c r="AW8" s="22">
        <v>102.780051196172</v>
      </c>
      <c r="AX8" s="22">
        <v>99.870254480899206</v>
      </c>
      <c r="AY8" s="22">
        <v>98.103377091269806</v>
      </c>
      <c r="AZ8" s="22">
        <v>90.427893831070804</v>
      </c>
      <c r="BA8" s="22">
        <v>83.894604100529094</v>
      </c>
      <c r="BB8" s="22">
        <v>94.978119820384293</v>
      </c>
      <c r="BC8" s="22">
        <v>103.93666666666699</v>
      </c>
      <c r="BD8" s="22">
        <v>100.895833333333</v>
      </c>
      <c r="BE8" s="22">
        <v>108.184166666667</v>
      </c>
      <c r="BF8" s="22">
        <v>105.669166666667</v>
      </c>
      <c r="BG8" s="22">
        <v>105.48</v>
      </c>
      <c r="BH8" s="22">
        <v>125.961666666667</v>
      </c>
      <c r="BI8" s="22">
        <v>124.1425</v>
      </c>
      <c r="BJ8" s="22">
        <v>119.1</v>
      </c>
      <c r="BK8" s="22">
        <v>107.989166666667</v>
      </c>
      <c r="BL8" s="22">
        <v>109.850833333333</v>
      </c>
    </row>
    <row r="9" spans="1:65">
      <c r="A9" s="22" t="s">
        <v>10554</v>
      </c>
      <c r="B9" s="22" t="s">
        <v>11246</v>
      </c>
      <c r="C9" s="22" t="s">
        <v>11241</v>
      </c>
      <c r="D9" s="22" t="s">
        <v>11242</v>
      </c>
    </row>
    <row r="10" spans="1:65">
      <c r="A10" s="22" t="s">
        <v>11247</v>
      </c>
      <c r="B10" s="22" t="s">
        <v>11248</v>
      </c>
      <c r="C10" s="22" t="s">
        <v>11241</v>
      </c>
      <c r="D10" s="22" t="s">
        <v>11242</v>
      </c>
    </row>
    <row r="11" spans="1:65">
      <c r="A11" s="22" t="s">
        <v>7086</v>
      </c>
      <c r="B11" s="22" t="s">
        <v>11249</v>
      </c>
      <c r="C11" s="22" t="s">
        <v>11241</v>
      </c>
      <c r="D11" s="22" t="s">
        <v>11242</v>
      </c>
      <c r="K11" s="22">
        <v>4.7619000037618999</v>
      </c>
      <c r="L11" s="22">
        <v>4.7619000037618999</v>
      </c>
      <c r="M11" s="22">
        <v>4.7619000037618999</v>
      </c>
      <c r="N11" s="22">
        <v>4.7619000037618999</v>
      </c>
      <c r="O11" s="22">
        <v>4.7619000037618999</v>
      </c>
      <c r="P11" s="22">
        <v>4.7479628848644202</v>
      </c>
      <c r="Q11" s="22">
        <v>4.3859778425048797</v>
      </c>
      <c r="R11" s="22">
        <v>3.9962713138644301</v>
      </c>
      <c r="S11" s="22">
        <v>3.95904515568157</v>
      </c>
      <c r="T11" s="22">
        <v>3.9612849990000001</v>
      </c>
      <c r="U11" s="22">
        <v>3.9530724990000001</v>
      </c>
      <c r="V11" s="22">
        <v>3.9032474989999999</v>
      </c>
      <c r="W11" s="22">
        <v>3.8712108323333299</v>
      </c>
      <c r="X11" s="22">
        <v>3.81567583233333</v>
      </c>
      <c r="Y11" s="22">
        <v>3.7073649990000002</v>
      </c>
      <c r="Z11" s="22">
        <v>3.6709999990000002</v>
      </c>
      <c r="AA11" s="22">
        <v>3.6709999990000002</v>
      </c>
      <c r="AB11" s="22">
        <v>3.6709999990000002</v>
      </c>
      <c r="AC11" s="22">
        <v>3.67099999958333</v>
      </c>
      <c r="AD11" s="22">
        <v>3.6709999999999998</v>
      </c>
      <c r="AE11" s="22">
        <v>3.6709999999999998</v>
      </c>
      <c r="AF11" s="22">
        <v>3.6709999999999998</v>
      </c>
      <c r="AG11" s="22">
        <v>3.6709999999999998</v>
      </c>
      <c r="AH11" s="22">
        <v>3.6709999999999998</v>
      </c>
      <c r="AI11" s="22">
        <v>3.6709999999999998</v>
      </c>
      <c r="AJ11" s="22">
        <v>3.6709999999999998</v>
      </c>
      <c r="AK11" s="22">
        <v>3.6709999999999998</v>
      </c>
      <c r="AL11" s="22">
        <v>3.6709999999999998</v>
      </c>
      <c r="AM11" s="22">
        <v>3.6709999999999998</v>
      </c>
      <c r="AN11" s="22">
        <v>3.6709999999999998</v>
      </c>
      <c r="AO11" s="22">
        <v>3.6709999999999998</v>
      </c>
      <c r="AP11" s="22">
        <v>3.671125</v>
      </c>
      <c r="AQ11" s="22">
        <v>3.6724999999999999</v>
      </c>
      <c r="AR11" s="22">
        <v>3.6724999999999999</v>
      </c>
      <c r="AS11" s="22">
        <v>3.6724999999999999</v>
      </c>
      <c r="AT11" s="22">
        <v>3.6724999999999999</v>
      </c>
      <c r="AU11" s="22">
        <v>3.6724999999999999</v>
      </c>
      <c r="AV11" s="22">
        <v>3.6724999999999999</v>
      </c>
      <c r="AW11" s="22">
        <v>3.6724999999999999</v>
      </c>
      <c r="AX11" s="22">
        <v>3.6724999999999999</v>
      </c>
      <c r="AY11" s="22">
        <v>3.6724999999999999</v>
      </c>
      <c r="AZ11" s="22">
        <v>3.6724999999999999</v>
      </c>
      <c r="BA11" s="22">
        <v>3.6724999999999999</v>
      </c>
      <c r="BB11" s="22">
        <v>3.6724999999999999</v>
      </c>
      <c r="BC11" s="22">
        <v>3.6724999999999999</v>
      </c>
      <c r="BD11" s="22">
        <v>3.6724999999999999</v>
      </c>
      <c r="BE11" s="22">
        <v>3.6724999999999999</v>
      </c>
      <c r="BF11" s="22">
        <v>3.6724999999999999</v>
      </c>
      <c r="BG11" s="22">
        <v>3.6724999999999999</v>
      </c>
      <c r="BH11" s="22">
        <v>3.6724999999999999</v>
      </c>
      <c r="BI11" s="22">
        <v>3.6724999999999999</v>
      </c>
      <c r="BJ11" s="22">
        <v>3.6724999999999999</v>
      </c>
      <c r="BK11" s="22">
        <v>3.6724999999999999</v>
      </c>
      <c r="BL11" s="22">
        <v>3.6724999999999999</v>
      </c>
    </row>
    <row r="12" spans="1:65">
      <c r="A12" s="22" t="s">
        <v>5333</v>
      </c>
      <c r="B12" s="22" t="s">
        <v>11250</v>
      </c>
      <c r="C12" s="22" t="s">
        <v>11241</v>
      </c>
      <c r="D12" s="22" t="s">
        <v>11242</v>
      </c>
      <c r="H12" s="22">
        <v>1.3871666666625E-11</v>
      </c>
      <c r="I12" s="22">
        <v>1.4039166666616699E-11</v>
      </c>
      <c r="J12" s="22">
        <v>1.69566666666417E-11</v>
      </c>
      <c r="K12" s="22">
        <v>2.0914999999966699E-11</v>
      </c>
      <c r="L12" s="22">
        <v>3.3342499999991702E-11</v>
      </c>
      <c r="M12" s="22">
        <v>3.5000000000000002E-11</v>
      </c>
      <c r="N12" s="22">
        <v>3.5000000000000002E-11</v>
      </c>
      <c r="O12" s="22">
        <v>3.7916666656666698E-11</v>
      </c>
      <c r="P12" s="22">
        <v>4.5216666656666701E-11</v>
      </c>
      <c r="Q12" s="22">
        <v>4.9999999990000002E-11</v>
      </c>
      <c r="R12" s="22">
        <v>4.9999999990000002E-11</v>
      </c>
      <c r="S12" s="22">
        <v>4.9999999990000002E-11</v>
      </c>
      <c r="T12" s="22">
        <v>3.6574999999500001E-10</v>
      </c>
      <c r="U12" s="22">
        <v>1.39983333333167E-9</v>
      </c>
      <c r="V12" s="22">
        <v>4.0763333333283302E-9</v>
      </c>
      <c r="W12" s="22">
        <v>7.9574999999958296E-9</v>
      </c>
      <c r="X12" s="22">
        <v>1.31696666666408E-8</v>
      </c>
      <c r="Y12" s="22">
        <v>1.83715833333225E-8</v>
      </c>
      <c r="Z12" s="22">
        <v>4.4026916666672502E-8</v>
      </c>
      <c r="AA12" s="22">
        <v>2.5922533333326298E-7</v>
      </c>
      <c r="AB12" s="22">
        <v>1.05299574995841E-6</v>
      </c>
      <c r="AC12" s="22">
        <v>6.7649116666E-6</v>
      </c>
      <c r="AD12" s="22">
        <v>6.0180899999999998E-5</v>
      </c>
      <c r="AE12" s="22">
        <v>9.4303166666666696E-5</v>
      </c>
      <c r="AF12" s="22">
        <v>2.1442983333333301E-4</v>
      </c>
      <c r="AG12" s="22">
        <v>8.7526041666666698E-4</v>
      </c>
      <c r="AH12" s="22">
        <v>4.2333960833333302E-2</v>
      </c>
      <c r="AI12" s="22">
        <v>0.48758908333333301</v>
      </c>
      <c r="AJ12" s="22">
        <v>0.95355441666666696</v>
      </c>
      <c r="AK12" s="22">
        <v>0.99064166666666698</v>
      </c>
      <c r="AL12" s="22">
        <v>0.99894583333333298</v>
      </c>
      <c r="AM12" s="22">
        <v>0.99900833333333305</v>
      </c>
      <c r="AN12" s="22">
        <v>0.99975000000000003</v>
      </c>
      <c r="AO12" s="22">
        <v>0.99966250000000001</v>
      </c>
      <c r="AP12" s="22">
        <v>0.99950000000000006</v>
      </c>
      <c r="AQ12" s="22">
        <v>0.99950000000000006</v>
      </c>
      <c r="AR12" s="22">
        <v>0.99950000000000006</v>
      </c>
      <c r="AS12" s="22">
        <v>0.99950000000000006</v>
      </c>
      <c r="AT12" s="22">
        <v>0.99950000000000006</v>
      </c>
      <c r="AU12" s="22">
        <v>3.0632566666666698</v>
      </c>
      <c r="AV12" s="22">
        <v>2.9006291666666701</v>
      </c>
      <c r="AW12" s="22">
        <v>2.9233008189033201</v>
      </c>
      <c r="AX12" s="22">
        <v>2.9036575</v>
      </c>
      <c r="AY12" s="22">
        <v>3.0543133333333299</v>
      </c>
      <c r="AZ12" s="22">
        <v>3.0956488492063499</v>
      </c>
      <c r="BA12" s="22">
        <v>3.14416455988456</v>
      </c>
      <c r="BB12" s="22">
        <v>3.7101068305232801</v>
      </c>
      <c r="BC12" s="22">
        <v>3.8962951544704998</v>
      </c>
      <c r="BD12" s="22">
        <v>4.1101395762132604</v>
      </c>
      <c r="BE12" s="22">
        <v>4.5369343601874599</v>
      </c>
      <c r="BF12" s="22">
        <v>5.4593526646570396</v>
      </c>
      <c r="BG12" s="22">
        <v>8.0752759928133404</v>
      </c>
      <c r="BH12" s="22">
        <v>9.2331855247242896</v>
      </c>
      <c r="BI12" s="22">
        <v>14.7581750873396</v>
      </c>
      <c r="BJ12" s="22">
        <v>16.5627069251411</v>
      </c>
      <c r="BK12" s="22">
        <v>28.094991666666701</v>
      </c>
      <c r="BL12" s="22">
        <v>48.147891666666702</v>
      </c>
    </row>
    <row r="13" spans="1:65">
      <c r="A13" s="22" t="s">
        <v>10610</v>
      </c>
      <c r="B13" s="22" t="s">
        <v>11251</v>
      </c>
      <c r="C13" s="22" t="s">
        <v>11241</v>
      </c>
      <c r="D13" s="22" t="s">
        <v>11242</v>
      </c>
      <c r="AL13" s="22">
        <v>9.1050000000000004</v>
      </c>
      <c r="AM13" s="22">
        <v>288.65083333333303</v>
      </c>
      <c r="AN13" s="22">
        <v>405.90833333333302</v>
      </c>
      <c r="AO13" s="22">
        <v>414.04149999999998</v>
      </c>
      <c r="AP13" s="22">
        <v>490.84678574999998</v>
      </c>
      <c r="AQ13" s="22">
        <v>504.91500000000002</v>
      </c>
      <c r="AR13" s="22">
        <v>535.06183333333297</v>
      </c>
      <c r="AS13" s="22">
        <v>539.52583333333303</v>
      </c>
      <c r="AT13" s="22">
        <v>555.078258333333</v>
      </c>
      <c r="AU13" s="22">
        <v>573.35333333333301</v>
      </c>
      <c r="AV13" s="22">
        <v>578.76295454545505</v>
      </c>
      <c r="AW13" s="22">
        <v>533.45083333333298</v>
      </c>
      <c r="AX13" s="22">
        <v>457.68694062915898</v>
      </c>
      <c r="AY13" s="22">
        <v>416.04036972454202</v>
      </c>
      <c r="AZ13" s="22">
        <v>342.079116208671</v>
      </c>
      <c r="BA13" s="22">
        <v>305.96940026193602</v>
      </c>
      <c r="BB13" s="22">
        <v>363.28328560606099</v>
      </c>
      <c r="BC13" s="22">
        <v>373.66046673881698</v>
      </c>
      <c r="BD13" s="22">
        <v>372.50088244871102</v>
      </c>
      <c r="BE13" s="22">
        <v>401.76397562691602</v>
      </c>
      <c r="BF13" s="22">
        <v>409.625749270293</v>
      </c>
      <c r="BG13" s="22">
        <v>415.91978920493801</v>
      </c>
      <c r="BH13" s="22">
        <v>477.91830657609898</v>
      </c>
      <c r="BI13" s="22">
        <v>480.48815077796598</v>
      </c>
      <c r="BJ13" s="22">
        <v>482.71639384912902</v>
      </c>
      <c r="BK13" s="22">
        <v>482.98794659023503</v>
      </c>
      <c r="BL13" s="22">
        <v>480.445128767119</v>
      </c>
    </row>
    <row r="14" spans="1:65">
      <c r="A14" s="22" t="s">
        <v>11252</v>
      </c>
      <c r="B14" s="22" t="s">
        <v>11253</v>
      </c>
      <c r="C14" s="22" t="s">
        <v>11241</v>
      </c>
      <c r="D14" s="22" t="s">
        <v>11242</v>
      </c>
    </row>
    <row r="15" spans="1:65">
      <c r="A15" s="22" t="s">
        <v>10595</v>
      </c>
      <c r="B15" s="22" t="s">
        <v>11254</v>
      </c>
      <c r="C15" s="22" t="s">
        <v>11241</v>
      </c>
      <c r="D15" s="22" t="s">
        <v>11242</v>
      </c>
      <c r="E15" s="22">
        <v>1.7142900007142901</v>
      </c>
      <c r="F15" s="22">
        <v>1.7142900007142901</v>
      </c>
      <c r="G15" s="22">
        <v>1.7142900007142901</v>
      </c>
      <c r="H15" s="22">
        <v>1.7142900007142901</v>
      </c>
      <c r="I15" s="22">
        <v>1.7142900007142901</v>
      </c>
      <c r="J15" s="22">
        <v>1.7142900007142901</v>
      </c>
      <c r="K15" s="22">
        <v>1.7142900007142901</v>
      </c>
      <c r="L15" s="22">
        <v>1.7619083340952399</v>
      </c>
      <c r="M15" s="22">
        <v>2.0000000010000001</v>
      </c>
      <c r="N15" s="22">
        <v>2.0000000010000001</v>
      </c>
      <c r="O15" s="22">
        <v>2.0000000010000001</v>
      </c>
      <c r="P15" s="22">
        <v>1.97487273321145</v>
      </c>
      <c r="Q15" s="22">
        <v>1.9212781494760101</v>
      </c>
      <c r="R15" s="22">
        <v>1.9592192359816101</v>
      </c>
      <c r="S15" s="22">
        <v>2.0532324085176299</v>
      </c>
      <c r="T15" s="22">
        <v>2.16979583233333</v>
      </c>
      <c r="U15" s="22">
        <v>2.6146708328333301</v>
      </c>
      <c r="V15" s="22">
        <v>2.7</v>
      </c>
      <c r="W15" s="22">
        <v>2.7</v>
      </c>
      <c r="X15" s="22">
        <v>2.7</v>
      </c>
      <c r="Y15" s="22">
        <v>2.7</v>
      </c>
      <c r="Z15" s="22">
        <v>2.7</v>
      </c>
      <c r="AA15" s="22">
        <v>2.7</v>
      </c>
      <c r="AB15" s="22">
        <v>2.7</v>
      </c>
      <c r="AC15" s="22">
        <v>2.7</v>
      </c>
      <c r="AD15" s="22">
        <v>2.7</v>
      </c>
      <c r="AE15" s="22">
        <v>2.7</v>
      </c>
      <c r="AF15" s="22">
        <v>2.7</v>
      </c>
      <c r="AG15" s="22">
        <v>2.7</v>
      </c>
      <c r="AH15" s="22">
        <v>2.7</v>
      </c>
      <c r="AI15" s="22">
        <v>2.7</v>
      </c>
      <c r="AJ15" s="22">
        <v>2.7</v>
      </c>
      <c r="AK15" s="22">
        <v>2.7</v>
      </c>
      <c r="AL15" s="22">
        <v>2.7</v>
      </c>
      <c r="AM15" s="22">
        <v>2.7</v>
      </c>
      <c r="AN15" s="22">
        <v>2.7</v>
      </c>
      <c r="AO15" s="22">
        <v>2.7</v>
      </c>
      <c r="AP15" s="22">
        <v>2.7</v>
      </c>
      <c r="AQ15" s="22">
        <v>2.7</v>
      </c>
      <c r="AR15" s="22">
        <v>2.7</v>
      </c>
      <c r="AS15" s="22">
        <v>2.7</v>
      </c>
      <c r="AT15" s="22">
        <v>2.7</v>
      </c>
      <c r="AU15" s="22">
        <v>2.7</v>
      </c>
      <c r="AV15" s="22">
        <v>2.7</v>
      </c>
      <c r="AW15" s="22">
        <v>2.7</v>
      </c>
      <c r="AX15" s="22">
        <v>2.7</v>
      </c>
      <c r="AY15" s="22">
        <v>2.7</v>
      </c>
      <c r="AZ15" s="22">
        <v>2.7</v>
      </c>
      <c r="BA15" s="22">
        <v>2.7</v>
      </c>
      <c r="BB15" s="22">
        <v>2.7</v>
      </c>
      <c r="BC15" s="22">
        <v>2.7</v>
      </c>
      <c r="BD15" s="22">
        <v>2.7</v>
      </c>
      <c r="BE15" s="22">
        <v>2.7</v>
      </c>
      <c r="BF15" s="22">
        <v>2.7</v>
      </c>
      <c r="BG15" s="22">
        <v>2.7</v>
      </c>
      <c r="BH15" s="22">
        <v>2.7</v>
      </c>
      <c r="BI15" s="22">
        <v>2.7</v>
      </c>
      <c r="BJ15" s="22">
        <v>2.7</v>
      </c>
      <c r="BK15" s="22">
        <v>2.7</v>
      </c>
      <c r="BL15" s="22">
        <v>2.7</v>
      </c>
    </row>
    <row r="16" spans="1:65">
      <c r="A16" s="22" t="s">
        <v>3322</v>
      </c>
      <c r="B16" s="22" t="s">
        <v>322</v>
      </c>
      <c r="C16" s="22" t="s">
        <v>11241</v>
      </c>
      <c r="D16" s="22" t="s">
        <v>11242</v>
      </c>
      <c r="E16" s="22">
        <v>0.89285699989285705</v>
      </c>
      <c r="F16" s="22">
        <v>0.89285699989285705</v>
      </c>
      <c r="G16" s="22">
        <v>0.89285699989285705</v>
      </c>
      <c r="H16" s="22">
        <v>0.89285699989285705</v>
      </c>
      <c r="I16" s="22">
        <v>0.89285699989285705</v>
      </c>
      <c r="J16" s="22">
        <v>0.89285699989285705</v>
      </c>
      <c r="K16" s="22">
        <v>0.89285699989285705</v>
      </c>
      <c r="L16" s="22">
        <v>0.89285699989285705</v>
      </c>
      <c r="M16" s="22">
        <v>0.89285699989285705</v>
      </c>
      <c r="N16" s="22">
        <v>0.89285699989285705</v>
      </c>
      <c r="O16" s="22">
        <v>0.89285699989285705</v>
      </c>
      <c r="P16" s="22">
        <v>0.88267025929554799</v>
      </c>
      <c r="Q16" s="22">
        <v>0.838697807262207</v>
      </c>
      <c r="R16" s="22">
        <v>0.70411390796665796</v>
      </c>
      <c r="S16" s="22">
        <v>0.69666586863809599</v>
      </c>
      <c r="T16" s="22">
        <v>0.76387124900000003</v>
      </c>
      <c r="U16" s="22">
        <v>0.81828408233333305</v>
      </c>
      <c r="V16" s="22">
        <v>0.90182499900000002</v>
      </c>
      <c r="W16" s="22">
        <v>0.87365924900000003</v>
      </c>
      <c r="X16" s="22">
        <v>0.89464091566666704</v>
      </c>
      <c r="Y16" s="22">
        <v>0.87824433233333299</v>
      </c>
      <c r="Z16" s="22">
        <v>0.87021458233333304</v>
      </c>
      <c r="AA16" s="22">
        <v>0.98586283233333305</v>
      </c>
      <c r="AB16" s="22">
        <v>1.1100149991666699</v>
      </c>
      <c r="AC16" s="22">
        <v>1.1395191659166699</v>
      </c>
      <c r="AD16" s="22">
        <v>1.4318949995000001</v>
      </c>
      <c r="AE16" s="22">
        <v>1.4959741664166699</v>
      </c>
      <c r="AF16" s="22">
        <v>1.42818</v>
      </c>
      <c r="AG16" s="22">
        <v>1.2799083333333301</v>
      </c>
      <c r="AH16" s="22">
        <v>1.2645966666666699</v>
      </c>
      <c r="AI16" s="22">
        <v>1.2810566666666701</v>
      </c>
      <c r="AJ16" s="22">
        <v>1.2837558333333301</v>
      </c>
      <c r="AK16" s="22">
        <v>1.36164833333333</v>
      </c>
      <c r="AL16" s="22">
        <v>1.4705600000000001</v>
      </c>
      <c r="AM16" s="22">
        <v>1.3677508333333299</v>
      </c>
      <c r="AN16" s="22">
        <v>1.3490325000000001</v>
      </c>
      <c r="AO16" s="22">
        <v>1.27786333333333</v>
      </c>
      <c r="AP16" s="22">
        <v>1.34738</v>
      </c>
      <c r="AQ16" s="22">
        <v>1.5918283333333301</v>
      </c>
      <c r="AR16" s="22">
        <v>1.5499499999999999</v>
      </c>
      <c r="AS16" s="22">
        <v>1.7248266666666701</v>
      </c>
      <c r="AT16" s="22">
        <v>1.9334425</v>
      </c>
      <c r="AU16" s="22">
        <v>1.8405625000000001</v>
      </c>
      <c r="AV16" s="22">
        <v>1.54191416666667</v>
      </c>
      <c r="AW16" s="22">
        <v>1.3597524999999999</v>
      </c>
      <c r="AX16" s="22">
        <v>1.3094733333333299</v>
      </c>
      <c r="AY16" s="22">
        <v>1.3279734405000001</v>
      </c>
      <c r="AZ16" s="22">
        <v>1.1950725</v>
      </c>
      <c r="BA16" s="22">
        <v>1.19217833333333</v>
      </c>
      <c r="BB16" s="22">
        <v>1.28218881008452</v>
      </c>
      <c r="BC16" s="22">
        <v>1.0901594863867701</v>
      </c>
      <c r="BD16" s="22">
        <v>0.96946320149673504</v>
      </c>
      <c r="BE16" s="22">
        <v>0.96580103065870804</v>
      </c>
      <c r="BF16" s="22">
        <v>1.0358430965205401</v>
      </c>
      <c r="BG16" s="22">
        <v>1.1093632928169199</v>
      </c>
      <c r="BH16" s="22">
        <v>1.33109026245502</v>
      </c>
      <c r="BI16" s="22">
        <v>1.3452139760194699</v>
      </c>
      <c r="BJ16" s="22">
        <v>1.3047580767159199</v>
      </c>
      <c r="BK16" s="22">
        <v>1.33841214646451</v>
      </c>
      <c r="BL16" s="22">
        <v>1.4385065442138201</v>
      </c>
    </row>
    <row r="17" spans="1:64">
      <c r="A17" s="22" t="s">
        <v>10631</v>
      </c>
      <c r="B17" s="22" t="s">
        <v>11255</v>
      </c>
      <c r="C17" s="22" t="s">
        <v>11241</v>
      </c>
      <c r="D17" s="22" t="s">
        <v>11242</v>
      </c>
      <c r="E17" s="22">
        <v>26.000000024999999</v>
      </c>
      <c r="F17" s="22">
        <v>26.000000024999999</v>
      </c>
      <c r="G17" s="22">
        <v>26.000000024999999</v>
      </c>
      <c r="H17" s="22">
        <v>26.000000024999999</v>
      </c>
      <c r="I17" s="22">
        <v>26.000000024999999</v>
      </c>
      <c r="J17" s="22">
        <v>26.000000024999999</v>
      </c>
      <c r="K17" s="22">
        <v>26.000000024999999</v>
      </c>
      <c r="L17" s="22">
        <v>26.000000024999999</v>
      </c>
      <c r="M17" s="22">
        <v>26.000000024999999</v>
      </c>
      <c r="N17" s="22">
        <v>26.000000024999999</v>
      </c>
      <c r="O17" s="22">
        <v>26.000000024999999</v>
      </c>
      <c r="P17" s="22">
        <v>24.985583896139701</v>
      </c>
      <c r="Q17" s="22">
        <v>23.1153333323333</v>
      </c>
      <c r="R17" s="22">
        <v>19.579999999083299</v>
      </c>
      <c r="S17" s="22">
        <v>18.692499998999999</v>
      </c>
      <c r="T17" s="22">
        <v>17.416749999166701</v>
      </c>
      <c r="U17" s="22">
        <v>17.9396666658333</v>
      </c>
      <c r="V17" s="22">
        <v>16.526916666000002</v>
      </c>
      <c r="W17" s="22">
        <v>14.521666665750001</v>
      </c>
      <c r="X17" s="22">
        <v>13.367499999416699</v>
      </c>
      <c r="Y17" s="22">
        <v>12.937999999083299</v>
      </c>
      <c r="Z17" s="22">
        <v>15.926833332333301</v>
      </c>
      <c r="AA17" s="22">
        <v>17.059249999166699</v>
      </c>
      <c r="AB17" s="22">
        <v>17.9633333325</v>
      </c>
      <c r="AC17" s="22">
        <v>20.009083332666702</v>
      </c>
      <c r="AD17" s="22">
        <v>20.689499999833298</v>
      </c>
      <c r="AE17" s="22">
        <v>15.2671333333333</v>
      </c>
      <c r="AF17" s="22">
        <v>12.6425</v>
      </c>
      <c r="AG17" s="22">
        <v>12.347666666666701</v>
      </c>
      <c r="AH17" s="22">
        <v>13.2306666666667</v>
      </c>
      <c r="AI17" s="22">
        <v>11.3698333333333</v>
      </c>
      <c r="AJ17" s="22">
        <v>11.6759166666667</v>
      </c>
      <c r="AK17" s="22">
        <v>10.989333333333301</v>
      </c>
      <c r="AL17" s="22">
        <v>11.632182500000001</v>
      </c>
      <c r="AM17" s="22">
        <v>11.421824916666701</v>
      </c>
      <c r="AN17" s="22">
        <v>10.0814958333333</v>
      </c>
      <c r="AO17" s="22">
        <v>10.5865575</v>
      </c>
      <c r="AP17" s="22">
        <v>12.204244166666699</v>
      </c>
      <c r="AQ17" s="22">
        <v>12.379065000000001</v>
      </c>
    </row>
    <row r="18" spans="1:64">
      <c r="A18" s="22" t="s">
        <v>10637</v>
      </c>
      <c r="B18" s="22" t="s">
        <v>11256</v>
      </c>
      <c r="C18" s="22" t="s">
        <v>11241</v>
      </c>
      <c r="D18" s="22" t="s">
        <v>11242</v>
      </c>
      <c r="AK18" s="22">
        <v>1.0840000000000001E-2</v>
      </c>
      <c r="AL18" s="22">
        <v>1.9994999999999999E-2</v>
      </c>
      <c r="AM18" s="22">
        <v>0.31404500000000002</v>
      </c>
      <c r="AN18" s="22">
        <v>0.88270850000000001</v>
      </c>
      <c r="AO18" s="22">
        <v>0.86025283333333302</v>
      </c>
      <c r="AP18" s="22">
        <v>0.79707499999999998</v>
      </c>
      <c r="AQ18" s="22">
        <v>0.77379968666666699</v>
      </c>
      <c r="AR18" s="22">
        <v>0.82403333333333295</v>
      </c>
      <c r="AS18" s="22">
        <v>0.89483075000000001</v>
      </c>
      <c r="AT18" s="22">
        <v>0.93131666666666701</v>
      </c>
      <c r="AU18" s="22">
        <v>0.97216416666666705</v>
      </c>
      <c r="AV18" s="22">
        <v>0.98214599999999996</v>
      </c>
      <c r="AW18" s="22">
        <v>0.98269550000000006</v>
      </c>
      <c r="AX18" s="22">
        <v>0.94542099999999996</v>
      </c>
      <c r="AY18" s="22">
        <v>0.89344500000000004</v>
      </c>
      <c r="AZ18" s="22">
        <v>0.85812380824372803</v>
      </c>
      <c r="BA18" s="22">
        <v>0.82161957885304604</v>
      </c>
      <c r="BB18" s="22">
        <v>0.80378333333333296</v>
      </c>
      <c r="BC18" s="22">
        <v>0.80264999999999997</v>
      </c>
      <c r="BD18" s="22">
        <v>0.78968638888888898</v>
      </c>
      <c r="BE18" s="22">
        <v>0.78564534946236597</v>
      </c>
      <c r="BF18" s="22">
        <v>0.784541075268817</v>
      </c>
      <c r="BG18" s="22">
        <v>0.78434749999999998</v>
      </c>
      <c r="BH18" s="22">
        <v>1.0245638185505901</v>
      </c>
      <c r="BI18" s="22">
        <v>1.59572157270424</v>
      </c>
      <c r="BJ18" s="22">
        <v>1.72115480222734</v>
      </c>
      <c r="BK18" s="22">
        <v>1.7000166666666701</v>
      </c>
      <c r="BL18" s="22">
        <v>1.7</v>
      </c>
    </row>
    <row r="19" spans="1:64">
      <c r="A19" s="22" t="s">
        <v>10708</v>
      </c>
      <c r="B19" s="22" t="s">
        <v>11257</v>
      </c>
      <c r="C19" s="22" t="s">
        <v>11241</v>
      </c>
      <c r="D19" s="22" t="s">
        <v>11242</v>
      </c>
      <c r="E19" s="22">
        <v>50.000000049000001</v>
      </c>
      <c r="F19" s="22">
        <v>50.000000049000001</v>
      </c>
      <c r="G19" s="22">
        <v>50.000000049000001</v>
      </c>
      <c r="H19" s="22">
        <v>50.000000049000001</v>
      </c>
      <c r="I19" s="22">
        <v>50.000000049000001</v>
      </c>
      <c r="J19" s="22">
        <v>84.375000080125005</v>
      </c>
      <c r="K19" s="22">
        <v>87.500000087499998</v>
      </c>
      <c r="L19" s="22">
        <v>87.500000087499998</v>
      </c>
      <c r="M19" s="22">
        <v>87.500000087499998</v>
      </c>
      <c r="N19" s="22">
        <v>87.500000087499998</v>
      </c>
      <c r="O19" s="22">
        <v>87.500000087499998</v>
      </c>
      <c r="P19" s="22">
        <v>87.500000080208295</v>
      </c>
      <c r="Q19" s="22">
        <v>87.5</v>
      </c>
      <c r="R19" s="22">
        <v>80.026083333333304</v>
      </c>
      <c r="S19" s="22">
        <v>78.75</v>
      </c>
      <c r="T19" s="22">
        <v>78.75</v>
      </c>
      <c r="U19" s="22">
        <v>86.25</v>
      </c>
      <c r="V19" s="22">
        <v>90</v>
      </c>
      <c r="W19" s="22">
        <v>90</v>
      </c>
      <c r="X19" s="22">
        <v>90</v>
      </c>
      <c r="Y19" s="22">
        <v>90</v>
      </c>
      <c r="Z19" s="22">
        <v>90</v>
      </c>
      <c r="AA19" s="22">
        <v>90</v>
      </c>
      <c r="AB19" s="22">
        <v>92.948333333166701</v>
      </c>
      <c r="AC19" s="22">
        <v>119.70916666616699</v>
      </c>
      <c r="AD19" s="22">
        <v>120.69074999941699</v>
      </c>
      <c r="AE19" s="22">
        <v>114.171083333167</v>
      </c>
      <c r="AF19" s="22">
        <v>123.56383333333299</v>
      </c>
      <c r="AG19" s="22">
        <v>140.39500000000001</v>
      </c>
      <c r="AH19" s="22">
        <v>158.666666666667</v>
      </c>
      <c r="AI19" s="22">
        <v>171.255416666667</v>
      </c>
      <c r="AJ19" s="22">
        <v>181.512583333333</v>
      </c>
      <c r="AK19" s="22">
        <v>208.30266666666699</v>
      </c>
      <c r="AL19" s="22">
        <v>242.78</v>
      </c>
      <c r="AM19" s="22">
        <v>252.66249999999999</v>
      </c>
      <c r="AN19" s="22">
        <v>249.75749999999999</v>
      </c>
      <c r="AO19" s="22">
        <v>302.74666666666701</v>
      </c>
      <c r="AP19" s="22">
        <v>352.35083333333301</v>
      </c>
      <c r="AQ19" s="22">
        <v>447.76583333333298</v>
      </c>
      <c r="AR19" s="22">
        <v>563.5625</v>
      </c>
      <c r="AS19" s="22">
        <v>720.67333333333295</v>
      </c>
      <c r="AT19" s="22">
        <v>830.35333333333301</v>
      </c>
      <c r="AU19" s="22">
        <v>930.74916666666695</v>
      </c>
      <c r="AV19" s="22">
        <v>1082.6199999999999</v>
      </c>
      <c r="AW19" s="22">
        <v>1100.9000000000001</v>
      </c>
      <c r="AX19" s="22">
        <v>1081.5771666666701</v>
      </c>
      <c r="AY19" s="22">
        <v>1028.6835530000001</v>
      </c>
      <c r="AZ19" s="22">
        <v>1081.8696825</v>
      </c>
      <c r="BA19" s="22">
        <v>1185.6908333333299</v>
      </c>
      <c r="BB19" s="22">
        <v>1230.17916666667</v>
      </c>
      <c r="BC19" s="22">
        <v>1230.74833333333</v>
      </c>
      <c r="BD19" s="22">
        <v>1261.0733333333301</v>
      </c>
      <c r="BE19" s="22">
        <v>1442.505625</v>
      </c>
      <c r="BF19" s="22">
        <v>1555.09083333333</v>
      </c>
      <c r="BG19" s="22">
        <v>1546.6866666666699</v>
      </c>
      <c r="BH19" s="22">
        <v>1571.8983333333299</v>
      </c>
      <c r="BI19" s="22">
        <v>1654.62666666667</v>
      </c>
      <c r="BJ19" s="22">
        <v>1729.0550000000001</v>
      </c>
      <c r="BK19" s="22">
        <v>1782.8768749999999</v>
      </c>
      <c r="BL19" s="22">
        <v>1845.62289069697</v>
      </c>
    </row>
    <row r="20" spans="1:64">
      <c r="A20" s="22" t="s">
        <v>9477</v>
      </c>
      <c r="B20" s="22" t="s">
        <v>11258</v>
      </c>
      <c r="C20" s="22" t="s">
        <v>11241</v>
      </c>
      <c r="D20" s="22" t="s">
        <v>11242</v>
      </c>
      <c r="E20" s="22">
        <v>50.000000049000001</v>
      </c>
      <c r="F20" s="22">
        <v>50.000000049000001</v>
      </c>
      <c r="G20" s="22">
        <v>50.000000049000001</v>
      </c>
      <c r="H20" s="22">
        <v>50.000000049000001</v>
      </c>
      <c r="I20" s="22">
        <v>50.000000049000001</v>
      </c>
      <c r="J20" s="22">
        <v>50.000000049000001</v>
      </c>
      <c r="K20" s="22">
        <v>50.000000049000001</v>
      </c>
      <c r="L20" s="22">
        <v>50.000000049000001</v>
      </c>
      <c r="M20" s="22">
        <v>50.000000049000001</v>
      </c>
      <c r="N20" s="22">
        <v>50.000000049000001</v>
      </c>
      <c r="O20" s="22">
        <v>50.000000049000001</v>
      </c>
      <c r="P20" s="22">
        <v>49.056977421689901</v>
      </c>
      <c r="Q20" s="22">
        <v>44.014583332333302</v>
      </c>
      <c r="R20" s="22">
        <v>38.976499998999998</v>
      </c>
      <c r="S20" s="22">
        <v>38.951499998999999</v>
      </c>
      <c r="T20" s="22">
        <v>36.778916665666699</v>
      </c>
      <c r="U20" s="22">
        <v>38.605166665666701</v>
      </c>
      <c r="V20" s="22">
        <v>35.842749998999999</v>
      </c>
      <c r="W20" s="22">
        <v>31.492083332333301</v>
      </c>
      <c r="X20" s="22">
        <v>29.318666665666701</v>
      </c>
      <c r="Y20" s="22">
        <v>29.24166666575</v>
      </c>
      <c r="Z20" s="22">
        <v>37.129249999166703</v>
      </c>
      <c r="AA20" s="22">
        <v>45.690583332333297</v>
      </c>
      <c r="AB20" s="22">
        <v>51.131666665833301</v>
      </c>
      <c r="AC20" s="22">
        <v>57.783916666416701</v>
      </c>
      <c r="AD20" s="22">
        <v>59.378</v>
      </c>
      <c r="AE20" s="22">
        <v>44.671916666666696</v>
      </c>
      <c r="AF20" s="22">
        <v>37.334083333333297</v>
      </c>
      <c r="AG20" s="22">
        <v>36.768333333333302</v>
      </c>
      <c r="AH20" s="22">
        <v>39.404000000000003</v>
      </c>
      <c r="AI20" s="22">
        <v>33.417916666666699</v>
      </c>
      <c r="AJ20" s="22">
        <v>34.148249999999997</v>
      </c>
      <c r="AK20" s="22">
        <v>32.149500000000003</v>
      </c>
      <c r="AL20" s="22">
        <v>34.596520833333301</v>
      </c>
      <c r="AM20" s="22">
        <v>33.456497499999998</v>
      </c>
      <c r="AN20" s="22">
        <v>29.4800166666667</v>
      </c>
      <c r="AO20" s="22">
        <v>30.961513333333301</v>
      </c>
      <c r="AP20" s="22">
        <v>35.773890833333297</v>
      </c>
      <c r="AQ20" s="22">
        <v>36.298640833333302</v>
      </c>
    </row>
    <row r="21" spans="1:64">
      <c r="A21" s="22" t="s">
        <v>10674</v>
      </c>
      <c r="B21" s="22" t="s">
        <v>11259</v>
      </c>
      <c r="C21" s="22" t="s">
        <v>11241</v>
      </c>
      <c r="D21" s="22" t="s">
        <v>11242</v>
      </c>
      <c r="E21" s="22">
        <v>245.19510139835899</v>
      </c>
      <c r="F21" s="22">
        <v>245.26010162116</v>
      </c>
      <c r="G21" s="22">
        <v>245.013850686544</v>
      </c>
      <c r="H21" s="22">
        <v>245.01635069607499</v>
      </c>
      <c r="I21" s="22">
        <v>245.027184079042</v>
      </c>
      <c r="J21" s="22">
        <v>245.06093420770799</v>
      </c>
      <c r="K21" s="22">
        <v>245.67843655764401</v>
      </c>
      <c r="L21" s="22">
        <v>246.00093779128099</v>
      </c>
      <c r="M21" s="22">
        <v>247.56469375695099</v>
      </c>
      <c r="N21" s="22">
        <v>259.960574351236</v>
      </c>
      <c r="O21" s="22">
        <v>276.403137026845</v>
      </c>
      <c r="P21" s="22">
        <v>275.35645668533198</v>
      </c>
      <c r="Q21" s="22">
        <v>252.02762746264901</v>
      </c>
      <c r="R21" s="22">
        <v>222.88918305322699</v>
      </c>
      <c r="S21" s="22">
        <v>240.70466763782301</v>
      </c>
      <c r="T21" s="22">
        <v>214.31290034121901</v>
      </c>
      <c r="U21" s="22">
        <v>238.95049426705901</v>
      </c>
      <c r="V21" s="22">
        <v>245.67968656657601</v>
      </c>
      <c r="W21" s="22">
        <v>225.65586023395699</v>
      </c>
      <c r="X21" s="22">
        <v>212.721644262377</v>
      </c>
      <c r="Y21" s="22">
        <v>211.27955541470499</v>
      </c>
      <c r="Z21" s="22">
        <v>271.73145255032699</v>
      </c>
      <c r="AA21" s="22">
        <v>328.60625269898998</v>
      </c>
      <c r="AB21" s="22">
        <v>381.06603602462798</v>
      </c>
      <c r="AC21" s="22">
        <v>436.95666578800802</v>
      </c>
      <c r="AD21" s="22">
        <v>449.26296271160697</v>
      </c>
      <c r="AE21" s="22">
        <v>346.305903554493</v>
      </c>
      <c r="AF21" s="22">
        <v>300.53656240147802</v>
      </c>
      <c r="AG21" s="22">
        <v>297.84821881937802</v>
      </c>
      <c r="AH21" s="22">
        <v>319.008299487903</v>
      </c>
      <c r="AI21" s="22">
        <v>272.264787954393</v>
      </c>
      <c r="AJ21" s="22">
        <v>282.10690880881998</v>
      </c>
      <c r="AK21" s="22">
        <v>264.69180075057898</v>
      </c>
      <c r="AL21" s="22">
        <v>283.16257950001801</v>
      </c>
      <c r="AM21" s="22">
        <v>555.20469565569704</v>
      </c>
      <c r="AN21" s="22">
        <v>499.14842590131002</v>
      </c>
      <c r="AO21" s="22">
        <v>511.55243027251601</v>
      </c>
      <c r="AP21" s="22">
        <v>583.66937235339606</v>
      </c>
      <c r="AQ21" s="22">
        <v>589.951774567332</v>
      </c>
      <c r="AR21" s="22">
        <v>615.47334931916396</v>
      </c>
      <c r="AS21" s="22">
        <v>710.20797703136702</v>
      </c>
      <c r="AT21" s="22">
        <v>732.39769326022804</v>
      </c>
      <c r="AU21" s="22">
        <v>693.71322649637398</v>
      </c>
      <c r="AV21" s="22">
        <v>579.897426172466</v>
      </c>
      <c r="AW21" s="22">
        <v>527.33803229157604</v>
      </c>
      <c r="AX21" s="22">
        <v>527.25836264962595</v>
      </c>
      <c r="AY21" s="22">
        <v>522.42562489517604</v>
      </c>
      <c r="AZ21" s="22">
        <v>478.63371847636301</v>
      </c>
      <c r="BA21" s="22">
        <v>446.00004143278801</v>
      </c>
      <c r="BB21" s="22">
        <v>470.29342334139801</v>
      </c>
      <c r="BC21" s="22">
        <v>494.794262222947</v>
      </c>
      <c r="BD21" s="22">
        <v>471.24862571893698</v>
      </c>
      <c r="BE21" s="22">
        <v>510.55633845425098</v>
      </c>
      <c r="BF21" s="22">
        <v>493.89962385223703</v>
      </c>
      <c r="BG21" s="22">
        <v>493.757329875312</v>
      </c>
      <c r="BH21" s="22">
        <v>591.21169798260996</v>
      </c>
      <c r="BI21" s="22">
        <v>592.60561506302201</v>
      </c>
      <c r="BJ21" s="22">
        <v>580.65674958785803</v>
      </c>
      <c r="BK21" s="22">
        <v>555.44645839822601</v>
      </c>
      <c r="BL21" s="22">
        <v>585.95081375715597</v>
      </c>
    </row>
    <row r="22" spans="1:64">
      <c r="A22" s="22" t="s">
        <v>10705</v>
      </c>
      <c r="B22" s="22" t="s">
        <v>11260</v>
      </c>
      <c r="C22" s="22" t="s">
        <v>11241</v>
      </c>
      <c r="D22" s="22" t="s">
        <v>11242</v>
      </c>
      <c r="E22" s="22">
        <v>245.19510139835899</v>
      </c>
      <c r="F22" s="22">
        <v>245.26010162116</v>
      </c>
      <c r="G22" s="22">
        <v>245.013850686544</v>
      </c>
      <c r="H22" s="22">
        <v>245.01635069607499</v>
      </c>
      <c r="I22" s="22">
        <v>245.027184079042</v>
      </c>
      <c r="J22" s="22">
        <v>245.06093420770799</v>
      </c>
      <c r="K22" s="22">
        <v>245.67843655764401</v>
      </c>
      <c r="L22" s="22">
        <v>246.00093779128099</v>
      </c>
      <c r="M22" s="22">
        <v>247.56469375695099</v>
      </c>
      <c r="N22" s="22">
        <v>259.960574351236</v>
      </c>
      <c r="O22" s="22">
        <v>276.403137026845</v>
      </c>
      <c r="P22" s="22">
        <v>275.35645668533198</v>
      </c>
      <c r="Q22" s="22">
        <v>252.02762746264901</v>
      </c>
      <c r="R22" s="22">
        <v>222.88918305322699</v>
      </c>
      <c r="S22" s="22">
        <v>240.70466763782301</v>
      </c>
      <c r="T22" s="22">
        <v>214.31290034121901</v>
      </c>
      <c r="U22" s="22">
        <v>238.95049426705901</v>
      </c>
      <c r="V22" s="22">
        <v>245.67968656657601</v>
      </c>
      <c r="W22" s="22">
        <v>225.65586023395699</v>
      </c>
      <c r="X22" s="22">
        <v>212.721644262377</v>
      </c>
      <c r="Y22" s="22">
        <v>211.27955541470499</v>
      </c>
      <c r="Z22" s="22">
        <v>271.73145255032699</v>
      </c>
      <c r="AA22" s="22">
        <v>328.60625269898998</v>
      </c>
      <c r="AB22" s="22">
        <v>381.06603602462798</v>
      </c>
      <c r="AC22" s="22">
        <v>436.95666578800802</v>
      </c>
      <c r="AD22" s="22">
        <v>449.26296271160697</v>
      </c>
      <c r="AE22" s="22">
        <v>346.305903554493</v>
      </c>
      <c r="AF22" s="22">
        <v>300.53656240147802</v>
      </c>
      <c r="AG22" s="22">
        <v>297.84821881937802</v>
      </c>
      <c r="AH22" s="22">
        <v>319.008299487903</v>
      </c>
      <c r="AI22" s="22">
        <v>272.264787954393</v>
      </c>
      <c r="AJ22" s="22">
        <v>282.10690880881998</v>
      </c>
      <c r="AK22" s="22">
        <v>264.69180075057898</v>
      </c>
      <c r="AL22" s="22">
        <v>283.16257950001801</v>
      </c>
      <c r="AM22" s="22">
        <v>555.20469565569704</v>
      </c>
      <c r="AN22" s="22">
        <v>499.14842590131002</v>
      </c>
      <c r="AO22" s="22">
        <v>511.55243027251601</v>
      </c>
      <c r="AP22" s="22">
        <v>583.66937235339606</v>
      </c>
      <c r="AQ22" s="22">
        <v>589.951774567332</v>
      </c>
      <c r="AR22" s="22">
        <v>615.47334931916396</v>
      </c>
      <c r="AS22" s="22">
        <v>710.20797703136702</v>
      </c>
      <c r="AT22" s="22">
        <v>732.39769326022804</v>
      </c>
      <c r="AU22" s="22">
        <v>693.71322649637398</v>
      </c>
      <c r="AV22" s="22">
        <v>579.897426172466</v>
      </c>
      <c r="AW22" s="22">
        <v>527.33803229157604</v>
      </c>
      <c r="AX22" s="22">
        <v>527.25836264962595</v>
      </c>
      <c r="AY22" s="22">
        <v>522.42562489517604</v>
      </c>
      <c r="AZ22" s="22">
        <v>478.63371847636301</v>
      </c>
      <c r="BA22" s="22">
        <v>446.00004143278801</v>
      </c>
      <c r="BB22" s="22">
        <v>470.29342334139801</v>
      </c>
      <c r="BC22" s="22">
        <v>494.794262222947</v>
      </c>
      <c r="BD22" s="22">
        <v>471.24862571893698</v>
      </c>
      <c r="BE22" s="22">
        <v>510.55633845425098</v>
      </c>
      <c r="BF22" s="22">
        <v>493.89962385223703</v>
      </c>
      <c r="BG22" s="22">
        <v>493.757329875312</v>
      </c>
      <c r="BH22" s="22">
        <v>591.21169798260996</v>
      </c>
      <c r="BI22" s="22">
        <v>592.60561506302201</v>
      </c>
      <c r="BJ22" s="22">
        <v>580.65674958785803</v>
      </c>
      <c r="BK22" s="22">
        <v>555.44645839822601</v>
      </c>
      <c r="BL22" s="22">
        <v>585.91101318036897</v>
      </c>
    </row>
    <row r="23" spans="1:64">
      <c r="A23" s="22" t="s">
        <v>6313</v>
      </c>
      <c r="B23" s="22" t="s">
        <v>11261</v>
      </c>
      <c r="C23" s="22" t="s">
        <v>11241</v>
      </c>
      <c r="D23" s="22" t="s">
        <v>11242</v>
      </c>
      <c r="P23" s="22">
        <v>7.8688425850291202</v>
      </c>
      <c r="Q23" s="22">
        <v>7.7001841681494998</v>
      </c>
      <c r="R23" s="22">
        <v>7.8498159993174204</v>
      </c>
      <c r="S23" s="22">
        <v>8.2260022412153795</v>
      </c>
      <c r="T23" s="22">
        <v>12.186180036989001</v>
      </c>
      <c r="U23" s="22">
        <v>15.3991686037548</v>
      </c>
      <c r="V23" s="22">
        <v>15.375099999416699</v>
      </c>
      <c r="W23" s="22">
        <v>15.016116665749999</v>
      </c>
      <c r="X23" s="22">
        <v>15.5519249993333</v>
      </c>
      <c r="Y23" s="22">
        <v>15.454058332500001</v>
      </c>
      <c r="Z23" s="22">
        <v>17.986691665833298</v>
      </c>
      <c r="AA23" s="22">
        <v>22.1178833323333</v>
      </c>
      <c r="AB23" s="22">
        <v>24.6154249995</v>
      </c>
      <c r="AC23" s="22">
        <v>25.353933385083302</v>
      </c>
      <c r="AD23" s="22">
        <v>27.9945916666667</v>
      </c>
      <c r="AE23" s="22">
        <v>30.4069</v>
      </c>
      <c r="AF23" s="22">
        <v>30.949833333333299</v>
      </c>
      <c r="AG23" s="22">
        <v>31.7332485981559</v>
      </c>
      <c r="AH23" s="22">
        <v>32.270000000000003</v>
      </c>
      <c r="AI23" s="22">
        <v>34.568808333333301</v>
      </c>
      <c r="AJ23" s="22">
        <v>36.5961833333333</v>
      </c>
      <c r="AK23" s="22">
        <v>38.950758333333297</v>
      </c>
      <c r="AL23" s="22">
        <v>39.567257499999997</v>
      </c>
      <c r="AM23" s="22">
        <v>40.211739166666703</v>
      </c>
      <c r="AN23" s="22">
        <v>40.278318333333303</v>
      </c>
      <c r="AO23" s="22">
        <v>41.794168333333303</v>
      </c>
      <c r="AP23" s="22">
        <v>43.8921158333333</v>
      </c>
      <c r="AQ23" s="22">
        <v>46.905651666666699</v>
      </c>
      <c r="AR23" s="22">
        <v>49.0854</v>
      </c>
      <c r="AS23" s="22">
        <v>52.141666666666701</v>
      </c>
      <c r="AT23" s="22">
        <v>55.8066666666667</v>
      </c>
      <c r="AU23" s="22">
        <v>57.887999999999998</v>
      </c>
      <c r="AV23" s="22">
        <v>58.150039999999997</v>
      </c>
      <c r="AW23" s="22">
        <v>59.512658333333299</v>
      </c>
      <c r="AX23" s="22">
        <v>64.327475000000007</v>
      </c>
      <c r="AY23" s="22">
        <v>68.933233333333305</v>
      </c>
      <c r="AZ23" s="22">
        <v>68.874875000000003</v>
      </c>
      <c r="BA23" s="22">
        <v>68.598275000000001</v>
      </c>
      <c r="BB23" s="22">
        <v>69.039066666666699</v>
      </c>
      <c r="BC23" s="22">
        <v>69.649291666666699</v>
      </c>
      <c r="BD23" s="22">
        <v>74.1524</v>
      </c>
      <c r="BE23" s="22">
        <v>81.8626583333333</v>
      </c>
      <c r="BF23" s="22">
        <v>78.103234999999998</v>
      </c>
      <c r="BG23" s="22">
        <v>77.641408333333302</v>
      </c>
      <c r="BH23" s="22">
        <v>77.946908333333297</v>
      </c>
      <c r="BI23" s="22">
        <v>78.468091666666695</v>
      </c>
      <c r="BJ23" s="22">
        <v>80.437541666666704</v>
      </c>
      <c r="BK23" s="22">
        <v>83.466201916666705</v>
      </c>
      <c r="BL23" s="22">
        <v>84.453522500000005</v>
      </c>
    </row>
    <row r="24" spans="1:64">
      <c r="A24" s="22" t="s">
        <v>10703</v>
      </c>
      <c r="B24" s="22" t="s">
        <v>11262</v>
      </c>
      <c r="C24" s="22" t="s">
        <v>11241</v>
      </c>
      <c r="D24" s="22" t="s">
        <v>11242</v>
      </c>
      <c r="E24" s="22">
        <v>1.169999999E-3</v>
      </c>
      <c r="F24" s="22">
        <v>1.169999999E-3</v>
      </c>
      <c r="G24" s="22">
        <v>1.169999999E-3</v>
      </c>
      <c r="H24" s="22">
        <v>1.169999999E-3</v>
      </c>
      <c r="I24" s="22">
        <v>1.169999999E-3</v>
      </c>
      <c r="J24" s="22">
        <v>1.169999999E-3</v>
      </c>
      <c r="K24" s="22">
        <v>1.169999999E-3</v>
      </c>
      <c r="L24" s="22">
        <v>1.169999999E-3</v>
      </c>
      <c r="M24" s="22">
        <v>1.169999999E-3</v>
      </c>
      <c r="N24" s="22">
        <v>1.169999999E-3</v>
      </c>
      <c r="O24" s="22">
        <v>1.169999999E-3</v>
      </c>
      <c r="P24" s="22">
        <v>1.169999999E-3</v>
      </c>
      <c r="Q24" s="22">
        <v>1.08E-3</v>
      </c>
      <c r="R24" s="22">
        <v>9.791666657499999E-4</v>
      </c>
      <c r="S24" s="22">
        <v>9.6999999899999995E-4</v>
      </c>
      <c r="AJ24" s="22">
        <v>1.7788249999999999E-2</v>
      </c>
      <c r="AK24" s="22">
        <v>2.3341166666666701E-2</v>
      </c>
      <c r="AL24" s="22">
        <v>2.75935833333333E-2</v>
      </c>
      <c r="AM24" s="22">
        <v>5.4133666666666698E-2</v>
      </c>
      <c r="AN24" s="22">
        <v>6.7170833333333305E-2</v>
      </c>
      <c r="AO24" s="22">
        <v>0.177888666666667</v>
      </c>
      <c r="AP24" s="22">
        <v>1.6818791666666699</v>
      </c>
      <c r="AQ24" s="22">
        <v>1.7603583333333299</v>
      </c>
      <c r="AR24" s="22">
        <v>1.8363833333333299</v>
      </c>
      <c r="AS24" s="22">
        <v>2.123275</v>
      </c>
      <c r="AT24" s="22">
        <v>2.1847083333333299</v>
      </c>
      <c r="AU24" s="22">
        <v>2.076975</v>
      </c>
      <c r="AV24" s="22">
        <v>1.7327016666666699</v>
      </c>
      <c r="AW24" s="22">
        <v>1.5751089166666701</v>
      </c>
      <c r="AX24" s="22">
        <v>1.5741333333333301</v>
      </c>
      <c r="AY24" s="22">
        <v>1.5592666666666699</v>
      </c>
      <c r="AZ24" s="22">
        <v>1.4290499999999999</v>
      </c>
      <c r="BA24" s="22">
        <v>1.3371166666666701</v>
      </c>
      <c r="BB24" s="22">
        <v>1.40669166666667</v>
      </c>
      <c r="BC24" s="22">
        <v>1.47739166666667</v>
      </c>
      <c r="BD24" s="22">
        <v>1.40645833333333</v>
      </c>
      <c r="BE24" s="22">
        <v>1.5220499999999999</v>
      </c>
      <c r="BF24" s="22">
        <v>1.47356666666667</v>
      </c>
      <c r="BG24" s="22">
        <v>1.4741833333333301</v>
      </c>
      <c r="BH24" s="22">
        <v>1.7644</v>
      </c>
      <c r="BI24" s="22">
        <v>1.7680416666666701</v>
      </c>
      <c r="BJ24" s="22">
        <v>1.73545833333333</v>
      </c>
      <c r="BK24" s="22">
        <v>1.6570416666666701</v>
      </c>
      <c r="BL24" s="22">
        <v>1.7470416666666699</v>
      </c>
    </row>
    <row r="25" spans="1:64">
      <c r="A25" s="22" t="s">
        <v>10649</v>
      </c>
      <c r="B25" s="22" t="s">
        <v>11263</v>
      </c>
      <c r="C25" s="22" t="s">
        <v>11241</v>
      </c>
      <c r="D25" s="22" t="s">
        <v>11242</v>
      </c>
      <c r="K25" s="22">
        <v>0.47618999947619001</v>
      </c>
      <c r="L25" s="22">
        <v>0.47618999947619001</v>
      </c>
      <c r="M25" s="22">
        <v>0.47618999947619001</v>
      </c>
      <c r="N25" s="22">
        <v>0.47618999947619001</v>
      </c>
      <c r="O25" s="22">
        <v>0.47618999947619001</v>
      </c>
      <c r="P25" s="22">
        <v>0.47479628758907599</v>
      </c>
      <c r="Q25" s="22">
        <v>0.43859778342153799</v>
      </c>
      <c r="R25" s="22">
        <v>0.399630307154623</v>
      </c>
      <c r="S25" s="22">
        <v>0.39473999900000001</v>
      </c>
      <c r="T25" s="22">
        <v>0.39549999899999999</v>
      </c>
      <c r="U25" s="22">
        <v>0.39559916566666697</v>
      </c>
      <c r="V25" s="22">
        <v>0.39564999899999997</v>
      </c>
      <c r="W25" s="22">
        <v>0.38745333233333301</v>
      </c>
      <c r="X25" s="22">
        <v>0.38161749924999999</v>
      </c>
      <c r="Y25" s="22">
        <v>0.37700023471010002</v>
      </c>
      <c r="Z25" s="22">
        <v>0.37599999899999997</v>
      </c>
      <c r="AA25" s="22">
        <v>0.37599999899999997</v>
      </c>
      <c r="AB25" s="22">
        <v>0.37599999899999997</v>
      </c>
      <c r="AC25" s="22">
        <v>0.37599999958333302</v>
      </c>
      <c r="AD25" s="22">
        <v>0.376</v>
      </c>
      <c r="AE25" s="22">
        <v>0.376</v>
      </c>
      <c r="AF25" s="22">
        <v>0.376</v>
      </c>
      <c r="AG25" s="22">
        <v>0.376</v>
      </c>
      <c r="AH25" s="22">
        <v>0.376</v>
      </c>
      <c r="AI25" s="22">
        <v>0.376</v>
      </c>
      <c r="AJ25" s="22">
        <v>0.376</v>
      </c>
      <c r="AK25" s="22">
        <v>0.376</v>
      </c>
      <c r="AL25" s="22">
        <v>0.37599998916666699</v>
      </c>
      <c r="AM25" s="22">
        <v>0.37599996499999999</v>
      </c>
      <c r="AN25" s="22">
        <v>0.37599997083333297</v>
      </c>
      <c r="AO25" s="22">
        <v>0.37599996749999998</v>
      </c>
      <c r="AP25" s="22">
        <v>0.37599996499999999</v>
      </c>
      <c r="AQ25" s="22">
        <v>0.37599996250000001</v>
      </c>
      <c r="AR25" s="22">
        <v>0.375999979166667</v>
      </c>
      <c r="AS25" s="22">
        <v>0.376</v>
      </c>
      <c r="AT25" s="22">
        <v>0.376</v>
      </c>
      <c r="AU25" s="22">
        <v>0.376</v>
      </c>
      <c r="AV25" s="22">
        <v>0.376</v>
      </c>
      <c r="AW25" s="22">
        <v>0.376</v>
      </c>
      <c r="AX25" s="22">
        <v>0.376</v>
      </c>
      <c r="AY25" s="22">
        <v>0.376</v>
      </c>
      <c r="AZ25" s="22">
        <v>0.376</v>
      </c>
      <c r="BA25" s="22">
        <v>0.376</v>
      </c>
      <c r="BB25" s="22">
        <v>0.376</v>
      </c>
      <c r="BC25" s="22">
        <v>0.376</v>
      </c>
      <c r="BD25" s="22">
        <v>0.376</v>
      </c>
      <c r="BE25" s="22">
        <v>0.376</v>
      </c>
      <c r="BF25" s="22">
        <v>0.376</v>
      </c>
      <c r="BG25" s="22">
        <v>0.376</v>
      </c>
      <c r="BH25" s="22">
        <v>0.376</v>
      </c>
      <c r="BI25" s="22">
        <v>0.376</v>
      </c>
      <c r="BJ25" s="22">
        <v>0.376</v>
      </c>
      <c r="BK25" s="22">
        <v>0.376</v>
      </c>
      <c r="BL25" s="22">
        <v>0.376</v>
      </c>
    </row>
    <row r="26" spans="1:64">
      <c r="A26" s="22" t="s">
        <v>11264</v>
      </c>
      <c r="B26" s="22" t="s">
        <v>11265</v>
      </c>
      <c r="C26" s="22" t="s">
        <v>11241</v>
      </c>
      <c r="D26" s="22" t="s">
        <v>11242</v>
      </c>
      <c r="E26" s="22">
        <v>1.02041</v>
      </c>
      <c r="F26" s="22">
        <v>1.02041</v>
      </c>
      <c r="G26" s="22">
        <v>1.02041</v>
      </c>
      <c r="H26" s="22">
        <v>1.02041</v>
      </c>
      <c r="I26" s="22">
        <v>1.02041</v>
      </c>
      <c r="J26" s="22">
        <v>1.02041</v>
      </c>
      <c r="K26" s="22">
        <v>1</v>
      </c>
      <c r="L26" s="22">
        <v>1</v>
      </c>
      <c r="M26" s="22">
        <v>1</v>
      </c>
      <c r="N26" s="22">
        <v>1</v>
      </c>
      <c r="O26" s="22">
        <v>1</v>
      </c>
      <c r="P26" s="22">
        <v>1</v>
      </c>
      <c r="Q26" s="22">
        <v>1</v>
      </c>
      <c r="R26" s="22">
        <v>1</v>
      </c>
      <c r="S26" s="22">
        <v>1</v>
      </c>
      <c r="T26" s="22">
        <v>1</v>
      </c>
      <c r="U26" s="22">
        <v>1</v>
      </c>
      <c r="V26" s="22">
        <v>1</v>
      </c>
      <c r="W26" s="22">
        <v>1</v>
      </c>
      <c r="X26" s="22">
        <v>1</v>
      </c>
      <c r="Y26" s="22">
        <v>1</v>
      </c>
      <c r="Z26" s="22">
        <v>1</v>
      </c>
      <c r="AA26" s="22">
        <v>1</v>
      </c>
      <c r="AB26" s="22">
        <v>1</v>
      </c>
      <c r="AC26" s="22">
        <v>1</v>
      </c>
      <c r="AD26" s="22">
        <v>1</v>
      </c>
      <c r="AE26" s="22">
        <v>1</v>
      </c>
      <c r="AF26" s="22">
        <v>1</v>
      </c>
      <c r="AG26" s="22">
        <v>1</v>
      </c>
      <c r="AH26" s="22">
        <v>1</v>
      </c>
      <c r="AI26" s="22">
        <v>1</v>
      </c>
      <c r="AJ26" s="22">
        <v>1</v>
      </c>
      <c r="AK26" s="22">
        <v>1</v>
      </c>
      <c r="AL26" s="22">
        <v>1</v>
      </c>
      <c r="AM26" s="22">
        <v>1</v>
      </c>
      <c r="AN26" s="22">
        <v>1</v>
      </c>
      <c r="AO26" s="22">
        <v>1</v>
      </c>
      <c r="AP26" s="22">
        <v>1</v>
      </c>
      <c r="AQ26" s="22">
        <v>1</v>
      </c>
      <c r="AR26" s="22">
        <v>1</v>
      </c>
      <c r="AS26" s="22">
        <v>1</v>
      </c>
      <c r="AT26" s="22">
        <v>1</v>
      </c>
      <c r="AU26" s="22">
        <v>1</v>
      </c>
      <c r="AV26" s="22">
        <v>1</v>
      </c>
      <c r="AW26" s="22">
        <v>1</v>
      </c>
      <c r="AX26" s="22">
        <v>1</v>
      </c>
      <c r="AY26" s="22">
        <v>1</v>
      </c>
      <c r="AZ26" s="22">
        <v>1</v>
      </c>
      <c r="BA26" s="22">
        <v>1</v>
      </c>
      <c r="BB26" s="22">
        <v>1</v>
      </c>
      <c r="BC26" s="22">
        <v>1</v>
      </c>
      <c r="BD26" s="22">
        <v>1</v>
      </c>
      <c r="BE26" s="22">
        <v>1</v>
      </c>
      <c r="BF26" s="22">
        <v>1</v>
      </c>
      <c r="BG26" s="22">
        <v>1</v>
      </c>
      <c r="BH26" s="22">
        <v>1</v>
      </c>
      <c r="BI26" s="22">
        <v>1</v>
      </c>
      <c r="BJ26" s="22">
        <v>1</v>
      </c>
      <c r="BK26" s="22">
        <v>1</v>
      </c>
      <c r="BL26" s="22">
        <v>1</v>
      </c>
    </row>
    <row r="27" spans="1:64">
      <c r="A27" s="22" t="s">
        <v>10689</v>
      </c>
      <c r="B27" s="22" t="s">
        <v>11266</v>
      </c>
      <c r="C27" s="22" t="s">
        <v>11241</v>
      </c>
      <c r="D27" s="22" t="s">
        <v>11242</v>
      </c>
      <c r="AP27" s="22">
        <v>1.73405583333333</v>
      </c>
      <c r="AQ27" s="22">
        <v>1.75966758333333</v>
      </c>
      <c r="AR27" s="22">
        <v>1.8357953848931099</v>
      </c>
      <c r="AS27" s="22">
        <v>2.12285951185833</v>
      </c>
      <c r="AT27" s="22">
        <v>2.1856595833000001</v>
      </c>
      <c r="AU27" s="22">
        <v>2.07817042621667</v>
      </c>
      <c r="AV27" s="22">
        <v>1.7329322041916699</v>
      </c>
      <c r="AW27" s="22">
        <v>1.57515702795</v>
      </c>
      <c r="AX27" s="22">
        <v>1.5727220196</v>
      </c>
      <c r="AY27" s="22">
        <v>1.5590719560583299</v>
      </c>
      <c r="AZ27" s="22">
        <v>1.429002741625</v>
      </c>
      <c r="BA27" s="22">
        <v>1.3351956804842799</v>
      </c>
      <c r="BB27" s="22">
        <v>1.4078912383694999</v>
      </c>
      <c r="BC27" s="22">
        <v>1.47673956845028</v>
      </c>
      <c r="BD27" s="22">
        <v>1.40693658566639</v>
      </c>
      <c r="BE27" s="22">
        <v>1.5222099744513</v>
      </c>
      <c r="BF27" s="22">
        <v>1.4730513226323501</v>
      </c>
      <c r="BG27" s="22">
        <v>1.4741691867940001</v>
      </c>
      <c r="BH27" s="22">
        <v>1.76349164694686</v>
      </c>
      <c r="BI27" s="22">
        <v>1.7681390242991499</v>
      </c>
      <c r="BJ27" s="22">
        <v>1.73535271327691</v>
      </c>
      <c r="BK27" s="22">
        <v>1.6569854411354299</v>
      </c>
      <c r="BL27" s="22">
        <v>1.74708646136073</v>
      </c>
    </row>
    <row r="28" spans="1:64">
      <c r="A28" s="22" t="s">
        <v>10661</v>
      </c>
      <c r="B28" s="22" t="s">
        <v>11267</v>
      </c>
      <c r="C28" s="22" t="s">
        <v>11241</v>
      </c>
      <c r="D28" s="22" t="s">
        <v>11242</v>
      </c>
      <c r="AM28" s="22">
        <v>3.6411125E-4</v>
      </c>
      <c r="AN28" s="22">
        <v>1.15209666666667E-3</v>
      </c>
      <c r="AO28" s="22">
        <v>1.3229876666666701E-3</v>
      </c>
      <c r="AP28" s="22">
        <v>2.6020549583333301E-3</v>
      </c>
      <c r="AQ28" s="22">
        <v>4.6127620000000003E-3</v>
      </c>
      <c r="AR28" s="22">
        <v>2.4929532916666702E-2</v>
      </c>
      <c r="AS28" s="22">
        <v>8.7675000000000003E-2</v>
      </c>
      <c r="AT28" s="22">
        <v>0.13900000000000001</v>
      </c>
      <c r="AU28" s="22">
        <v>0.17909166666666701</v>
      </c>
      <c r="AV28" s="22">
        <v>0.20512708333333299</v>
      </c>
      <c r="AW28" s="22">
        <v>0.21602574999999999</v>
      </c>
      <c r="AX28" s="22">
        <v>0.21538199999999999</v>
      </c>
      <c r="AY28" s="22">
        <v>0.21445641666666701</v>
      </c>
      <c r="AZ28" s="22">
        <v>0.214607833333333</v>
      </c>
      <c r="BA28" s="22">
        <v>0.21363974999999999</v>
      </c>
      <c r="BB28" s="22">
        <v>0.279304921788469</v>
      </c>
      <c r="BC28" s="22">
        <v>0.29785099999999998</v>
      </c>
      <c r="BD28" s="22">
        <v>0.49746333333333298</v>
      </c>
      <c r="BE28" s="22">
        <v>0.83368983333333302</v>
      </c>
      <c r="BF28" s="22">
        <v>0.88800524999999997</v>
      </c>
      <c r="BG28" s="22">
        <v>1.0224102500000001</v>
      </c>
      <c r="BH28" s="22">
        <v>1.5925988333333301</v>
      </c>
      <c r="BI28" s="22">
        <v>1.9895628333333299</v>
      </c>
      <c r="BJ28" s="22">
        <v>1.93234166666667</v>
      </c>
      <c r="BK28" s="22">
        <v>2.0376083333333299</v>
      </c>
      <c r="BL28" s="22">
        <v>2.0917833333333302</v>
      </c>
    </row>
    <row r="29" spans="1:64">
      <c r="A29" s="22" t="s">
        <v>10670</v>
      </c>
      <c r="B29" s="22" t="s">
        <v>11268</v>
      </c>
      <c r="C29" s="22" t="s">
        <v>11241</v>
      </c>
      <c r="D29" s="22" t="s">
        <v>11242</v>
      </c>
      <c r="E29" s="22">
        <v>1.42857000042857</v>
      </c>
      <c r="F29" s="22">
        <v>1.42857000042857</v>
      </c>
      <c r="G29" s="22">
        <v>1.42857000042857</v>
      </c>
      <c r="H29" s="22">
        <v>1.42857000042857</v>
      </c>
      <c r="I29" s="22">
        <v>1.42857000042857</v>
      </c>
      <c r="J29" s="22">
        <v>1.42857000042857</v>
      </c>
      <c r="K29" s="22">
        <v>1.42857000042857</v>
      </c>
      <c r="L29" s="22">
        <v>1.4484116669960301</v>
      </c>
      <c r="M29" s="22">
        <v>1.6666700006666699</v>
      </c>
      <c r="N29" s="22">
        <v>1.6666700006666699</v>
      </c>
      <c r="O29" s="22">
        <v>1.6666700006666699</v>
      </c>
      <c r="P29" s="22">
        <v>1.6436821181343699</v>
      </c>
      <c r="Q29" s="22">
        <v>1.6015618461200301</v>
      </c>
      <c r="R29" s="22">
        <v>1.6326837811972299</v>
      </c>
      <c r="S29" s="22">
        <v>1.7109267840790501</v>
      </c>
      <c r="T29" s="22">
        <v>1.80804370464356</v>
      </c>
      <c r="U29" s="22">
        <v>2.2256731316515599</v>
      </c>
      <c r="V29" s="22">
        <v>2</v>
      </c>
      <c r="W29" s="22">
        <v>2</v>
      </c>
      <c r="X29" s="22">
        <v>2</v>
      </c>
      <c r="Y29" s="22">
        <v>2</v>
      </c>
      <c r="Z29" s="22">
        <v>2</v>
      </c>
      <c r="AA29" s="22">
        <v>2</v>
      </c>
      <c r="AB29" s="22">
        <v>2</v>
      </c>
      <c r="AC29" s="22">
        <v>2</v>
      </c>
      <c r="AD29" s="22">
        <v>2</v>
      </c>
      <c r="AE29" s="22">
        <v>2</v>
      </c>
      <c r="AF29" s="22">
        <v>2</v>
      </c>
      <c r="AG29" s="22">
        <v>2</v>
      </c>
      <c r="AH29" s="22">
        <v>2</v>
      </c>
      <c r="AI29" s="22">
        <v>2</v>
      </c>
      <c r="AJ29" s="22">
        <v>2</v>
      </c>
      <c r="AK29" s="22">
        <v>2</v>
      </c>
      <c r="AL29" s="22">
        <v>2</v>
      </c>
      <c r="AM29" s="22">
        <v>2</v>
      </c>
      <c r="AN29" s="22">
        <v>2</v>
      </c>
      <c r="AO29" s="22">
        <v>2</v>
      </c>
      <c r="AP29" s="22">
        <v>2</v>
      </c>
      <c r="AQ29" s="22">
        <v>2</v>
      </c>
      <c r="AR29" s="22">
        <v>2</v>
      </c>
      <c r="AS29" s="22">
        <v>2</v>
      </c>
      <c r="AT29" s="22">
        <v>2</v>
      </c>
      <c r="AU29" s="22">
        <v>2</v>
      </c>
      <c r="AV29" s="22">
        <v>2</v>
      </c>
      <c r="AW29" s="22">
        <v>2</v>
      </c>
      <c r="AX29" s="22">
        <v>2</v>
      </c>
      <c r="AY29" s="22">
        <v>2</v>
      </c>
      <c r="AZ29" s="22">
        <v>2</v>
      </c>
      <c r="BA29" s="22">
        <v>2</v>
      </c>
      <c r="BB29" s="22">
        <v>2</v>
      </c>
      <c r="BC29" s="22">
        <v>2</v>
      </c>
      <c r="BD29" s="22">
        <v>2</v>
      </c>
      <c r="BE29" s="22">
        <v>2</v>
      </c>
      <c r="BF29" s="22">
        <v>2</v>
      </c>
      <c r="BG29" s="22">
        <v>2</v>
      </c>
      <c r="BH29" s="22">
        <v>2</v>
      </c>
      <c r="BI29" s="22">
        <v>2</v>
      </c>
      <c r="BJ29" s="22">
        <v>2</v>
      </c>
      <c r="BK29" s="22">
        <v>2</v>
      </c>
      <c r="BL29" s="22">
        <v>2</v>
      </c>
    </row>
    <row r="30" spans="1:64">
      <c r="A30" s="22" t="s">
        <v>10679</v>
      </c>
      <c r="B30" s="22" t="s">
        <v>11269</v>
      </c>
      <c r="C30" s="22" t="s">
        <v>11241</v>
      </c>
      <c r="D30" s="22" t="s">
        <v>11242</v>
      </c>
      <c r="E30" s="22">
        <v>0.85714000000000001</v>
      </c>
      <c r="F30" s="22">
        <v>0.85714000000000001</v>
      </c>
      <c r="G30" s="22">
        <v>0.85714000000000001</v>
      </c>
      <c r="H30" s="22">
        <v>0.85714000000000001</v>
      </c>
      <c r="I30" s="22">
        <v>0.85714000000000001</v>
      </c>
      <c r="J30" s="22">
        <v>0.85714000000000001</v>
      </c>
      <c r="K30" s="22">
        <v>0.85714000000000001</v>
      </c>
      <c r="L30" s="22">
        <v>0.86904499999999996</v>
      </c>
      <c r="M30" s="22">
        <v>1</v>
      </c>
      <c r="N30" s="22">
        <v>1</v>
      </c>
      <c r="O30" s="22">
        <v>1</v>
      </c>
      <c r="P30" s="22">
        <v>1</v>
      </c>
      <c r="Q30" s="22">
        <v>1</v>
      </c>
      <c r="R30" s="22">
        <v>1</v>
      </c>
      <c r="S30" s="22">
        <v>1</v>
      </c>
      <c r="T30" s="22">
        <v>1</v>
      </c>
      <c r="U30" s="22">
        <v>1</v>
      </c>
      <c r="V30" s="22">
        <v>1</v>
      </c>
      <c r="W30" s="22">
        <v>1</v>
      </c>
      <c r="X30" s="22">
        <v>1</v>
      </c>
      <c r="Y30" s="22">
        <v>1</v>
      </c>
      <c r="Z30" s="22">
        <v>1</v>
      </c>
      <c r="AA30" s="22">
        <v>1</v>
      </c>
      <c r="AB30" s="22">
        <v>1</v>
      </c>
      <c r="AC30" s="22">
        <v>1</v>
      </c>
      <c r="AD30" s="22">
        <v>1</v>
      </c>
      <c r="AE30" s="22">
        <v>1</v>
      </c>
      <c r="AF30" s="22">
        <v>1</v>
      </c>
      <c r="AG30" s="22">
        <v>1</v>
      </c>
      <c r="AH30" s="22">
        <v>1</v>
      </c>
      <c r="AI30" s="22">
        <v>1</v>
      </c>
      <c r="AJ30" s="22">
        <v>1</v>
      </c>
      <c r="AK30" s="22">
        <v>1</v>
      </c>
      <c r="AL30" s="22">
        <v>1</v>
      </c>
      <c r="AM30" s="22">
        <v>1</v>
      </c>
      <c r="AN30" s="22">
        <v>1</v>
      </c>
      <c r="AO30" s="22">
        <v>1</v>
      </c>
      <c r="AP30" s="22">
        <v>1</v>
      </c>
      <c r="AQ30" s="22">
        <v>1</v>
      </c>
      <c r="AR30" s="22">
        <v>1</v>
      </c>
      <c r="AS30" s="22">
        <v>1</v>
      </c>
      <c r="AT30" s="22">
        <v>1</v>
      </c>
      <c r="AU30" s="22">
        <v>1</v>
      </c>
      <c r="AV30" s="22">
        <v>1</v>
      </c>
      <c r="AW30" s="22">
        <v>1</v>
      </c>
      <c r="AX30" s="22">
        <v>1</v>
      </c>
      <c r="AY30" s="22">
        <v>1</v>
      </c>
      <c r="AZ30" s="22">
        <v>1</v>
      </c>
      <c r="BA30" s="22">
        <v>1</v>
      </c>
      <c r="BB30" s="22">
        <v>1</v>
      </c>
      <c r="BC30" s="22">
        <v>1</v>
      </c>
      <c r="BD30" s="22">
        <v>1</v>
      </c>
      <c r="BE30" s="22">
        <v>1</v>
      </c>
      <c r="BF30" s="22">
        <v>1</v>
      </c>
      <c r="BG30" s="22">
        <v>1</v>
      </c>
      <c r="BH30" s="22">
        <v>1</v>
      </c>
      <c r="BI30" s="22">
        <v>1</v>
      </c>
      <c r="BJ30" s="22">
        <v>1</v>
      </c>
      <c r="BK30" s="22">
        <v>1</v>
      </c>
      <c r="BL30" s="22">
        <v>1</v>
      </c>
    </row>
    <row r="31" spans="1:64">
      <c r="A31" s="22" t="s">
        <v>11270</v>
      </c>
      <c r="B31" s="22" t="s">
        <v>11271</v>
      </c>
      <c r="C31" s="22" t="s">
        <v>11241</v>
      </c>
      <c r="D31" s="22" t="s">
        <v>11242</v>
      </c>
      <c r="E31" s="22">
        <v>1.188E-5</v>
      </c>
      <c r="F31" s="22">
        <v>1.188E-5</v>
      </c>
      <c r="G31" s="22">
        <v>1.188E-5</v>
      </c>
      <c r="H31" s="22">
        <v>1.188E-5</v>
      </c>
      <c r="I31" s="22">
        <v>1.188E-5</v>
      </c>
      <c r="J31" s="22">
        <v>1.188E-5</v>
      </c>
      <c r="K31" s="22">
        <v>1.188E-5</v>
      </c>
      <c r="L31" s="22">
        <v>1.188E-5</v>
      </c>
      <c r="M31" s="22">
        <v>1.188E-5</v>
      </c>
      <c r="N31" s="22">
        <v>1.188E-5</v>
      </c>
      <c r="O31" s="22">
        <v>1.188E-5</v>
      </c>
      <c r="P31" s="22">
        <v>1.188E-5</v>
      </c>
      <c r="Q31" s="22">
        <v>1.3295000000000001E-5</v>
      </c>
      <c r="R31" s="22">
        <v>2.001E-5</v>
      </c>
      <c r="S31" s="22">
        <v>2.001E-5</v>
      </c>
      <c r="T31" s="22">
        <v>2.001E-5</v>
      </c>
      <c r="U31" s="22">
        <v>2.001E-5</v>
      </c>
      <c r="V31" s="22">
        <v>2.001E-5</v>
      </c>
      <c r="W31" s="22">
        <v>2.001E-5</v>
      </c>
      <c r="X31" s="22">
        <v>2.0403333333333301E-5</v>
      </c>
      <c r="Y31" s="22">
        <v>2.4519999999999999E-5</v>
      </c>
      <c r="Z31" s="22">
        <v>2.4519999999999999E-5</v>
      </c>
      <c r="AA31" s="22">
        <v>6.4071666666666699E-5</v>
      </c>
      <c r="AB31" s="22">
        <v>2.3163E-4</v>
      </c>
      <c r="AC31" s="22">
        <v>3.1359091666666701E-3</v>
      </c>
      <c r="AD31" s="22">
        <v>0.44002900833333303</v>
      </c>
      <c r="AE31" s="22">
        <v>1.9219583333333301</v>
      </c>
      <c r="AF31" s="22">
        <v>2.0548500000000001</v>
      </c>
      <c r="AG31" s="22">
        <v>2.3502416666666699</v>
      </c>
      <c r="AH31" s="22">
        <v>2.6916833333333301</v>
      </c>
      <c r="AI31" s="22">
        <v>3.17265</v>
      </c>
      <c r="AJ31" s="22">
        <v>3.5806083333333301</v>
      </c>
      <c r="AK31" s="22">
        <v>3.90051666666667</v>
      </c>
      <c r="AL31" s="22">
        <v>4.2650833333333296</v>
      </c>
      <c r="AM31" s="22">
        <v>4.6205166666666697</v>
      </c>
      <c r="AN31" s="22">
        <v>4.8003416666666698</v>
      </c>
      <c r="AO31" s="22">
        <v>5.0746124999999997</v>
      </c>
      <c r="AP31" s="22">
        <v>5.2542583333333299</v>
      </c>
      <c r="AQ31" s="22">
        <v>5.5101333333333304</v>
      </c>
      <c r="AR31" s="22">
        <v>5.8124083333333303</v>
      </c>
      <c r="AS31" s="22">
        <v>6.1835416666666703</v>
      </c>
      <c r="AT31" s="22">
        <v>6.6069166666666703</v>
      </c>
      <c r="AU31" s="22">
        <v>7.17</v>
      </c>
      <c r="AV31" s="22">
        <v>7.6591666666666702</v>
      </c>
      <c r="AW31" s="22">
        <v>7.9362666666666701</v>
      </c>
      <c r="AX31" s="22">
        <v>8.0660624999999992</v>
      </c>
      <c r="AY31" s="22">
        <v>8.0116166666666704</v>
      </c>
      <c r="AZ31" s="22">
        <v>7.8512451612499996</v>
      </c>
      <c r="BA31" s="22">
        <v>7.2383206989166702</v>
      </c>
      <c r="BB31" s="22">
        <v>7.02</v>
      </c>
      <c r="BC31" s="22">
        <v>7.0166666666666702</v>
      </c>
      <c r="BD31" s="22">
        <v>6.9369624999999999</v>
      </c>
      <c r="BE31" s="22">
        <v>6.91</v>
      </c>
      <c r="BF31" s="22">
        <v>6.91</v>
      </c>
      <c r="BG31" s="22">
        <v>6.91</v>
      </c>
      <c r="BH31" s="22">
        <v>6.91</v>
      </c>
      <c r="BI31" s="22">
        <v>6.91</v>
      </c>
      <c r="BJ31" s="22">
        <v>6.91</v>
      </c>
      <c r="BK31" s="22">
        <v>6.91</v>
      </c>
      <c r="BL31" s="22">
        <v>6.91</v>
      </c>
    </row>
    <row r="32" spans="1:64">
      <c r="A32" s="22" t="s">
        <v>5208</v>
      </c>
      <c r="B32" s="22" t="s">
        <v>11272</v>
      </c>
      <c r="C32" s="22" t="s">
        <v>11241</v>
      </c>
      <c r="D32" s="22" t="s">
        <v>11242</v>
      </c>
      <c r="E32" s="22">
        <v>8.0997053349699404E-14</v>
      </c>
      <c r="F32" s="22">
        <v>1.1684347882688201E-13</v>
      </c>
      <c r="G32" s="22">
        <v>1.6776415548709099E-13</v>
      </c>
      <c r="H32" s="22">
        <v>2.4886939767619999E-13</v>
      </c>
      <c r="I32" s="22">
        <v>5.4202391705355898E-13</v>
      </c>
      <c r="J32" s="22">
        <v>8.2165488534659101E-13</v>
      </c>
      <c r="K32" s="22">
        <v>9.6071305109730698E-13</v>
      </c>
      <c r="L32" s="22">
        <v>1.15260322134062E-12</v>
      </c>
      <c r="M32" s="22">
        <v>1.4695952527679299E-12</v>
      </c>
      <c r="N32" s="22">
        <v>1.7633628396387501E-12</v>
      </c>
      <c r="O32" s="22">
        <v>1.9878537834480901E-12</v>
      </c>
      <c r="P32" s="22">
        <v>2.2882208631248701E-12</v>
      </c>
      <c r="Q32" s="22">
        <v>2.56796001993275E-12</v>
      </c>
      <c r="R32" s="22">
        <v>2.65094052783721E-12</v>
      </c>
      <c r="S32" s="22">
        <v>2.9383610615176001E-12</v>
      </c>
      <c r="T32" s="22">
        <v>3.5168444719384999E-12</v>
      </c>
      <c r="U32" s="22">
        <v>4.61870733099062E-12</v>
      </c>
      <c r="V32" s="22">
        <v>6.1208672945584299E-12</v>
      </c>
      <c r="W32" s="22">
        <v>7.8197498441913693E-12</v>
      </c>
      <c r="X32" s="22">
        <v>1.1660690720063E-11</v>
      </c>
      <c r="Y32" s="22">
        <v>2.2812318924444299E-11</v>
      </c>
      <c r="Z32" s="22">
        <v>4.0300109353132597E-11</v>
      </c>
      <c r="AA32" s="22">
        <v>7.7685442717109896E-11</v>
      </c>
      <c r="AB32" s="22">
        <v>2.49718172221135E-10</v>
      </c>
      <c r="AC32" s="22">
        <v>7.9974132397413803E-10</v>
      </c>
      <c r="AD32" s="22">
        <v>2.68324234084592E-9</v>
      </c>
      <c r="AE32" s="22">
        <v>5.9096822674925101E-9</v>
      </c>
      <c r="AF32" s="22">
        <v>1.6976307824584001E-8</v>
      </c>
      <c r="AG32" s="22">
        <v>1.1354767374037E-7</v>
      </c>
      <c r="AH32" s="22">
        <v>1.22638743473744E-6</v>
      </c>
      <c r="AI32" s="22">
        <v>2.95572678942699E-5</v>
      </c>
      <c r="AJ32" s="22">
        <v>1.7596144308602401E-4</v>
      </c>
      <c r="AK32" s="22">
        <v>1.95302352248811E-3</v>
      </c>
      <c r="AL32" s="22">
        <v>3.8276610926672998E-2</v>
      </c>
      <c r="AM32" s="22">
        <v>0.66468351407057702</v>
      </c>
      <c r="AN32" s="22">
        <v>0.91766666666666696</v>
      </c>
      <c r="AO32" s="22">
        <v>1.0051000000000001</v>
      </c>
      <c r="AP32" s="22">
        <v>1.07799166666667</v>
      </c>
      <c r="AQ32" s="22">
        <v>1.16051666666667</v>
      </c>
      <c r="AR32" s="22">
        <v>1.8139328465721301</v>
      </c>
      <c r="AS32" s="22">
        <v>1.8294231220756101</v>
      </c>
      <c r="AT32" s="22">
        <v>2.3496317093224399</v>
      </c>
      <c r="AU32" s="22">
        <v>2.9203630177551898</v>
      </c>
      <c r="AV32" s="22">
        <v>3.0774751184780098</v>
      </c>
      <c r="AW32" s="22">
        <v>2.9251194495158601</v>
      </c>
      <c r="AX32" s="22">
        <v>2.4343900362318802</v>
      </c>
      <c r="AY32" s="22">
        <v>2.17532666666667</v>
      </c>
      <c r="AZ32" s="22">
        <v>1.94705833333333</v>
      </c>
      <c r="BA32" s="22">
        <v>1.8337666666666701</v>
      </c>
      <c r="BB32" s="22">
        <v>1.99942817314426</v>
      </c>
      <c r="BC32" s="22">
        <v>1.7592267105871799</v>
      </c>
      <c r="BD32" s="22">
        <v>1.6728287552565899</v>
      </c>
      <c r="BE32" s="22">
        <v>1.9530686111248701</v>
      </c>
      <c r="BF32" s="22">
        <v>2.1560891512631102</v>
      </c>
      <c r="BG32" s="22">
        <v>2.3529519627666899</v>
      </c>
      <c r="BH32" s="22">
        <v>3.3269043827687899</v>
      </c>
      <c r="BI32" s="22">
        <v>3.49131342157271</v>
      </c>
      <c r="BJ32" s="22">
        <v>3.1913894463004802</v>
      </c>
      <c r="BK32" s="22">
        <v>3.65382536145755</v>
      </c>
      <c r="BL32" s="22">
        <v>3.9444710972507</v>
      </c>
    </row>
    <row r="33" spans="1:64">
      <c r="A33" s="22" t="s">
        <v>10656</v>
      </c>
      <c r="B33" s="22" t="s">
        <v>11273</v>
      </c>
      <c r="C33" s="22" t="s">
        <v>11241</v>
      </c>
      <c r="D33" s="22" t="s">
        <v>11242</v>
      </c>
      <c r="E33" s="22">
        <v>1.7142900007142901</v>
      </c>
      <c r="F33" s="22">
        <v>1.7142900007142901</v>
      </c>
      <c r="G33" s="22">
        <v>1.7142900007142901</v>
      </c>
      <c r="H33" s="22">
        <v>1.7142900007142901</v>
      </c>
      <c r="I33" s="22">
        <v>1.7142900007142901</v>
      </c>
      <c r="J33" s="22">
        <v>1.7142900007142901</v>
      </c>
      <c r="K33" s="22">
        <v>1.7142900007142901</v>
      </c>
      <c r="L33" s="22">
        <v>1.7380991672619099</v>
      </c>
      <c r="M33" s="22">
        <v>2.0000000010000001</v>
      </c>
      <c r="N33" s="22">
        <v>2.0000000010000001</v>
      </c>
      <c r="O33" s="22">
        <v>2.0000000010000001</v>
      </c>
      <c r="P33" s="22">
        <v>1.9748761519687701</v>
      </c>
      <c r="Q33" s="22">
        <v>1.92128071035726</v>
      </c>
      <c r="R33" s="22">
        <v>1.95922053743668</v>
      </c>
      <c r="S33" s="22">
        <v>2.0532309107887801</v>
      </c>
      <c r="T33" s="22">
        <v>2.0188665976000002</v>
      </c>
      <c r="U33" s="22">
        <v>2</v>
      </c>
      <c r="V33" s="22">
        <v>2</v>
      </c>
      <c r="W33" s="22">
        <v>2</v>
      </c>
      <c r="X33" s="22">
        <v>2</v>
      </c>
      <c r="Y33" s="22">
        <v>2</v>
      </c>
      <c r="Z33" s="22">
        <v>2</v>
      </c>
      <c r="AA33" s="22">
        <v>2</v>
      </c>
      <c r="AB33" s="22">
        <v>2</v>
      </c>
      <c r="AC33" s="22">
        <v>2</v>
      </c>
      <c r="AD33" s="22">
        <v>2</v>
      </c>
      <c r="AE33" s="22">
        <v>2</v>
      </c>
      <c r="AF33" s="22">
        <v>2</v>
      </c>
      <c r="AG33" s="22">
        <v>2</v>
      </c>
      <c r="AH33" s="22">
        <v>2</v>
      </c>
      <c r="AI33" s="22">
        <v>2</v>
      </c>
      <c r="AJ33" s="22">
        <v>2</v>
      </c>
      <c r="AK33" s="22">
        <v>2</v>
      </c>
      <c r="AL33" s="22">
        <v>2</v>
      </c>
      <c r="AM33" s="22">
        <v>2</v>
      </c>
      <c r="AN33" s="22">
        <v>2</v>
      </c>
      <c r="AO33" s="22">
        <v>2</v>
      </c>
      <c r="AP33" s="22">
        <v>2</v>
      </c>
      <c r="AQ33" s="22">
        <v>2</v>
      </c>
      <c r="AR33" s="22">
        <v>2</v>
      </c>
      <c r="AS33" s="22">
        <v>2</v>
      </c>
      <c r="AT33" s="22">
        <v>2</v>
      </c>
      <c r="AU33" s="22">
        <v>2</v>
      </c>
      <c r="AV33" s="22">
        <v>2</v>
      </c>
      <c r="AW33" s="22">
        <v>2</v>
      </c>
      <c r="AX33" s="22">
        <v>2</v>
      </c>
      <c r="AY33" s="22">
        <v>2</v>
      </c>
      <c r="AZ33" s="22">
        <v>2</v>
      </c>
      <c r="BA33" s="22">
        <v>2</v>
      </c>
      <c r="BB33" s="22">
        <v>2</v>
      </c>
      <c r="BC33" s="22">
        <v>2</v>
      </c>
      <c r="BD33" s="22">
        <v>2</v>
      </c>
      <c r="BE33" s="22">
        <v>2</v>
      </c>
      <c r="BF33" s="22">
        <v>2</v>
      </c>
      <c r="BG33" s="22">
        <v>2</v>
      </c>
      <c r="BH33" s="22">
        <v>2</v>
      </c>
      <c r="BI33" s="22">
        <v>2</v>
      </c>
      <c r="BJ33" s="22">
        <v>2</v>
      </c>
      <c r="BK33" s="22">
        <v>2</v>
      </c>
      <c r="BL33" s="22">
        <v>2</v>
      </c>
    </row>
    <row r="34" spans="1:64">
      <c r="A34" s="22" t="s">
        <v>10701</v>
      </c>
      <c r="B34" s="22" t="s">
        <v>11274</v>
      </c>
      <c r="C34" s="22" t="s">
        <v>11241</v>
      </c>
      <c r="D34" s="22" t="s">
        <v>11242</v>
      </c>
      <c r="E34" s="22">
        <v>3.0612200020612201</v>
      </c>
      <c r="F34" s="22">
        <v>3.0612200020612201</v>
      </c>
      <c r="G34" s="22">
        <v>3.0612200020612201</v>
      </c>
      <c r="H34" s="22">
        <v>3.0612200020612201</v>
      </c>
      <c r="I34" s="22">
        <v>3.0612200020612201</v>
      </c>
      <c r="J34" s="22">
        <v>3.0612200020612201</v>
      </c>
      <c r="K34" s="22">
        <v>3.0612200020612201</v>
      </c>
      <c r="L34" s="22">
        <v>3.0612200020612201</v>
      </c>
      <c r="M34" s="22">
        <v>3.0612200020612201</v>
      </c>
      <c r="N34" s="22">
        <v>3.0612200020612201</v>
      </c>
      <c r="O34" s="22">
        <v>3.0612200020612201</v>
      </c>
      <c r="P34" s="22">
        <v>3.0522604298093099</v>
      </c>
      <c r="Q34" s="22">
        <v>2.81955586834381</v>
      </c>
      <c r="R34" s="22">
        <v>2.45857965494532</v>
      </c>
      <c r="S34" s="22">
        <v>2.43686666583333</v>
      </c>
      <c r="T34" s="22">
        <v>2.3712999990833299</v>
      </c>
      <c r="U34" s="22">
        <v>2.4708416659166699</v>
      </c>
      <c r="V34" s="22">
        <v>2.43939999925</v>
      </c>
      <c r="W34" s="22">
        <v>2.2740249991666701</v>
      </c>
      <c r="X34" s="22">
        <v>2.1745583325000002</v>
      </c>
      <c r="Y34" s="22">
        <v>2.14120833258333</v>
      </c>
      <c r="Z34" s="22">
        <v>2.1126916659999999</v>
      </c>
      <c r="AA34" s="22">
        <v>2.1400249991666702</v>
      </c>
      <c r="AB34" s="22">
        <v>2.1130499989999998</v>
      </c>
      <c r="AC34" s="22">
        <v>2.1330833330000001</v>
      </c>
      <c r="AD34" s="22">
        <v>2.20014999966667</v>
      </c>
      <c r="AE34" s="22">
        <v>2.1774166665000001</v>
      </c>
      <c r="AF34" s="22">
        <v>2.10598333333333</v>
      </c>
      <c r="AG34" s="22">
        <v>2.0124249999999999</v>
      </c>
      <c r="AH34" s="22">
        <v>1.9502583333333301</v>
      </c>
      <c r="AI34" s="22">
        <v>1.81253333333333</v>
      </c>
      <c r="AJ34" s="22">
        <v>1.7275499999999999</v>
      </c>
      <c r="AK34" s="22">
        <v>1.62896666666667</v>
      </c>
      <c r="AL34" s="22">
        <v>1.61579083333333</v>
      </c>
      <c r="AM34" s="22">
        <v>1.52744416666667</v>
      </c>
      <c r="AN34" s="22">
        <v>1.4173750000000001</v>
      </c>
      <c r="AO34" s="22">
        <v>1.4100408333333301</v>
      </c>
      <c r="AP34" s="22">
        <v>1.48480583333333</v>
      </c>
      <c r="AQ34" s="22">
        <v>1.67360166666667</v>
      </c>
      <c r="AR34" s="22">
        <v>1.69495666666667</v>
      </c>
      <c r="AS34" s="22">
        <v>1.72396333333333</v>
      </c>
      <c r="AT34" s="22">
        <v>1.7917225000000001</v>
      </c>
      <c r="AU34" s="22">
        <v>1.7905883333333299</v>
      </c>
      <c r="AV34" s="22">
        <v>1.7421833333333301</v>
      </c>
      <c r="AW34" s="22">
        <v>1.6902283333333299</v>
      </c>
      <c r="AX34" s="22">
        <v>1.6643975</v>
      </c>
      <c r="AY34" s="22">
        <v>1.58893333333333</v>
      </c>
      <c r="AZ34" s="22">
        <v>1.5071016666666699</v>
      </c>
      <c r="BA34" s="22">
        <v>1.41716666666667</v>
      </c>
      <c r="BB34" s="22">
        <v>1.4545692733233</v>
      </c>
      <c r="BC34" s="22">
        <v>1.3635094736842099</v>
      </c>
      <c r="BD34" s="22">
        <v>1.25791302014692</v>
      </c>
      <c r="BE34" s="22">
        <v>1.24956701649958</v>
      </c>
      <c r="BF34" s="22">
        <v>1.25116566976059</v>
      </c>
      <c r="BG34" s="22">
        <v>1.2670401230813999</v>
      </c>
      <c r="BH34" s="22">
        <v>1.37491084459887</v>
      </c>
      <c r="BI34" s="22">
        <v>1.3813468768828601</v>
      </c>
      <c r="BJ34" s="22">
        <v>1.3808911640528101</v>
      </c>
      <c r="BK34" s="22">
        <v>1.3489185654253699</v>
      </c>
      <c r="BL34" s="22">
        <v>1.36421851405475</v>
      </c>
    </row>
    <row r="35" spans="1:64">
      <c r="A35" s="22" t="s">
        <v>10684</v>
      </c>
      <c r="B35" s="22" t="s">
        <v>11275</v>
      </c>
      <c r="C35" s="22" t="s">
        <v>11241</v>
      </c>
      <c r="D35" s="22" t="s">
        <v>11242</v>
      </c>
      <c r="E35" s="22">
        <v>4.7619000037618999</v>
      </c>
      <c r="F35" s="22">
        <v>4.7619000037618999</v>
      </c>
      <c r="G35" s="22">
        <v>4.7619000037618999</v>
      </c>
      <c r="H35" s="22">
        <v>4.7619000037618999</v>
      </c>
      <c r="I35" s="22">
        <v>4.7619000037618999</v>
      </c>
      <c r="J35" s="22">
        <v>4.7619000037618999</v>
      </c>
      <c r="K35" s="22">
        <v>6.35912500535912</v>
      </c>
      <c r="L35" s="22">
        <v>7.5000000064999996</v>
      </c>
      <c r="M35" s="22">
        <v>7.5000000064999996</v>
      </c>
      <c r="N35" s="22">
        <v>7.5000000064999996</v>
      </c>
      <c r="O35" s="22">
        <v>7.5000000064999996</v>
      </c>
      <c r="P35" s="22">
        <v>7.4919352309682399</v>
      </c>
      <c r="Q35" s="22">
        <v>7.5944683739493604</v>
      </c>
      <c r="R35" s="22">
        <v>7.7420385621496797</v>
      </c>
      <c r="S35" s="22">
        <v>8.1016032272183001</v>
      </c>
      <c r="T35" s="22">
        <v>8.3758919456538603</v>
      </c>
      <c r="U35" s="22">
        <v>8.9604127281239201</v>
      </c>
      <c r="V35" s="22">
        <v>8.7385761713145698</v>
      </c>
      <c r="W35" s="22">
        <v>8.1928403484039301</v>
      </c>
      <c r="X35" s="22">
        <v>8.12579094635689</v>
      </c>
      <c r="Y35" s="22">
        <v>7.8629447011379803</v>
      </c>
      <c r="Z35" s="22">
        <v>8.6585228170931696</v>
      </c>
      <c r="AA35" s="22">
        <v>9.4551319334863901</v>
      </c>
      <c r="AB35" s="22">
        <v>10.098898244046101</v>
      </c>
      <c r="AC35" s="22">
        <v>11.3625833326667</v>
      </c>
      <c r="AD35" s="22">
        <v>12.368749999583301</v>
      </c>
      <c r="AE35" s="22">
        <v>12.61083333325</v>
      </c>
      <c r="AF35" s="22">
        <v>12.961499999999999</v>
      </c>
      <c r="AG35" s="22">
        <v>13.9170833333333</v>
      </c>
      <c r="AH35" s="22">
        <v>16.2255</v>
      </c>
      <c r="AI35" s="22">
        <v>17.503499999999999</v>
      </c>
      <c r="AJ35" s="22">
        <v>22.742433333333299</v>
      </c>
      <c r="AK35" s="22">
        <v>25.9180833333333</v>
      </c>
      <c r="AL35" s="22">
        <v>30.4932916666667</v>
      </c>
      <c r="AM35" s="22">
        <v>31.373742499999999</v>
      </c>
      <c r="AN35" s="22">
        <v>32.4270766666667</v>
      </c>
      <c r="AO35" s="22">
        <v>35.433173333333301</v>
      </c>
      <c r="AP35" s="22">
        <v>36.313285833333303</v>
      </c>
      <c r="AQ35" s="22">
        <v>41.259365000000003</v>
      </c>
      <c r="AR35" s="22">
        <v>43.055428333333303</v>
      </c>
      <c r="AS35" s="22">
        <v>44.941605000000003</v>
      </c>
      <c r="AT35" s="22">
        <v>47.186414166666701</v>
      </c>
      <c r="AU35" s="22">
        <v>48.610319166666699</v>
      </c>
      <c r="AV35" s="22">
        <v>46.583284166666701</v>
      </c>
      <c r="AW35" s="22">
        <v>45.316466666666699</v>
      </c>
      <c r="AX35" s="22">
        <v>44.099975000000001</v>
      </c>
      <c r="AY35" s="22">
        <v>45.3070083333333</v>
      </c>
      <c r="AZ35" s="22">
        <v>41.3485333333333</v>
      </c>
      <c r="BA35" s="22">
        <v>43.505183333333299</v>
      </c>
      <c r="BB35" s="22">
        <v>48.405266666666698</v>
      </c>
      <c r="BC35" s="22">
        <v>45.725812121212101</v>
      </c>
      <c r="BD35" s="22">
        <v>46.670466666666698</v>
      </c>
      <c r="BE35" s="22">
        <v>53.437233333333303</v>
      </c>
      <c r="BF35" s="22">
        <v>58.597845416666701</v>
      </c>
      <c r="BG35" s="22">
        <v>61.029514460784299</v>
      </c>
      <c r="BH35" s="22">
        <v>64.151944463278596</v>
      </c>
      <c r="BI35" s="22">
        <v>67.195312807389399</v>
      </c>
      <c r="BJ35" s="22">
        <v>65.121568645066006</v>
      </c>
      <c r="BK35" s="22">
        <v>68.389467093542095</v>
      </c>
      <c r="BL35" s="22">
        <v>70.420340535955106</v>
      </c>
    </row>
    <row r="36" spans="1:64">
      <c r="A36" s="22" t="s">
        <v>9855</v>
      </c>
      <c r="B36" s="22" t="s">
        <v>11276</v>
      </c>
      <c r="C36" s="22" t="s">
        <v>11241</v>
      </c>
      <c r="D36" s="22" t="s">
        <v>11242</v>
      </c>
      <c r="E36" s="22">
        <v>0.71332088216921496</v>
      </c>
      <c r="F36" s="22">
        <v>0.71469443508617803</v>
      </c>
      <c r="G36" s="22">
        <v>0.71326549427167596</v>
      </c>
      <c r="H36" s="22">
        <v>0.71528718525026103</v>
      </c>
      <c r="I36" s="22">
        <v>0.71725864624589497</v>
      </c>
      <c r="J36" s="22">
        <v>0.71633440114267999</v>
      </c>
      <c r="K36" s="22">
        <v>0.71698343163387301</v>
      </c>
      <c r="L36" s="22">
        <v>0.71704961913768805</v>
      </c>
      <c r="M36" s="22">
        <v>0.71699815611019702</v>
      </c>
      <c r="N36" s="22">
        <v>0.71805712542767897</v>
      </c>
      <c r="O36" s="22">
        <v>0.71641352003693703</v>
      </c>
      <c r="P36" s="22">
        <v>0.71244376174914903</v>
      </c>
      <c r="Q36" s="22">
        <v>0.772828411038462</v>
      </c>
      <c r="R36" s="22">
        <v>0.69411413758375096</v>
      </c>
      <c r="S36" s="22">
        <v>0.67947700357025098</v>
      </c>
      <c r="T36" s="22">
        <v>0.73950770050947401</v>
      </c>
      <c r="U36" s="22">
        <v>0.86956499899999995</v>
      </c>
      <c r="V36" s="22">
        <v>0.84195966566666702</v>
      </c>
      <c r="W36" s="22">
        <v>0.82815699899999995</v>
      </c>
      <c r="X36" s="22">
        <v>0.81500666566666702</v>
      </c>
      <c r="Y36" s="22">
        <v>0.77722499899999997</v>
      </c>
      <c r="Z36" s="22">
        <v>0.83673833233333295</v>
      </c>
      <c r="AA36" s="22">
        <v>1.0296608325000001</v>
      </c>
      <c r="AB36" s="22">
        <v>1.0969258325</v>
      </c>
      <c r="AC36" s="22">
        <v>1.29837333291667</v>
      </c>
      <c r="AD36" s="22">
        <v>1.90256666641667</v>
      </c>
      <c r="AE36" s="22">
        <v>1.8791441664999999</v>
      </c>
      <c r="AF36" s="22">
        <v>1.67894083333333</v>
      </c>
      <c r="AG36" s="22">
        <v>1.8285875</v>
      </c>
      <c r="AH36" s="22">
        <v>2.0148858333333299</v>
      </c>
      <c r="AI36" s="22">
        <v>1.8604658333333299</v>
      </c>
      <c r="AJ36" s="22">
        <v>2.0215566666666702</v>
      </c>
      <c r="AK36" s="22">
        <v>2.1097250000000001</v>
      </c>
      <c r="AL36" s="22">
        <v>2.4230749999999999</v>
      </c>
      <c r="AM36" s="22">
        <v>2.6846454999999998</v>
      </c>
      <c r="AN36" s="22">
        <v>2.77220666666667</v>
      </c>
      <c r="AO36" s="22">
        <v>3.32419666666667</v>
      </c>
      <c r="AP36" s="22">
        <v>3.6507633333333298</v>
      </c>
      <c r="AQ36" s="22">
        <v>4.2258800000000001</v>
      </c>
      <c r="AR36" s="22">
        <v>4.6243952500000001</v>
      </c>
      <c r="AS36" s="22">
        <v>5.1022416666666697</v>
      </c>
      <c r="AT36" s="22">
        <v>5.84141666666667</v>
      </c>
      <c r="AU36" s="22">
        <v>6.3277916666666698</v>
      </c>
      <c r="AV36" s="22">
        <v>4.94966666666667</v>
      </c>
      <c r="AW36" s="22">
        <v>4.6938333333333304</v>
      </c>
      <c r="AX36" s="22">
        <v>5.1167499999999997</v>
      </c>
      <c r="AY36" s="22">
        <v>5.8303000000000003</v>
      </c>
      <c r="AZ36" s="22">
        <v>6.1394083333333302</v>
      </c>
      <c r="BA36" s="22">
        <v>6.8268583333333304</v>
      </c>
      <c r="BB36" s="22">
        <v>7.1551416666666698</v>
      </c>
      <c r="BC36" s="22">
        <v>6.7936249999999996</v>
      </c>
      <c r="BD36" s="22">
        <v>6.8382333333333296</v>
      </c>
      <c r="BE36" s="22">
        <v>7.6405250000000002</v>
      </c>
      <c r="BF36" s="22">
        <v>8.3989083333333294</v>
      </c>
      <c r="BG36" s="22">
        <v>8.9760833333333405</v>
      </c>
      <c r="BH36" s="22">
        <v>10.1289916666667</v>
      </c>
      <c r="BI36" s="22">
        <v>10.901158333333299</v>
      </c>
      <c r="BJ36" s="22">
        <v>10.3474166666667</v>
      </c>
      <c r="BK36" s="22">
        <v>10.199975</v>
      </c>
      <c r="BL36" s="22">
        <v>10.7558666666667</v>
      </c>
    </row>
    <row r="37" spans="1:64">
      <c r="A37" s="22" t="s">
        <v>10721</v>
      </c>
      <c r="B37" s="22" t="s">
        <v>11277</v>
      </c>
      <c r="C37" s="22" t="s">
        <v>11241</v>
      </c>
      <c r="D37" s="22" t="s">
        <v>11242</v>
      </c>
      <c r="E37" s="22">
        <v>245.19510139835899</v>
      </c>
      <c r="F37" s="22">
        <v>245.26010162116</v>
      </c>
      <c r="G37" s="22">
        <v>245.013850686544</v>
      </c>
      <c r="H37" s="22">
        <v>245.01635069607499</v>
      </c>
      <c r="I37" s="22">
        <v>245.027184079042</v>
      </c>
      <c r="J37" s="22">
        <v>245.06093420770799</v>
      </c>
      <c r="K37" s="22">
        <v>245.67843655764401</v>
      </c>
      <c r="L37" s="22">
        <v>246.00093779128099</v>
      </c>
      <c r="M37" s="22">
        <v>247.56469375695099</v>
      </c>
      <c r="N37" s="22">
        <v>259.960574351236</v>
      </c>
      <c r="O37" s="22">
        <v>276.403137026845</v>
      </c>
      <c r="P37" s="22">
        <v>275.35645668533198</v>
      </c>
      <c r="Q37" s="22">
        <v>252.02762746264901</v>
      </c>
      <c r="R37" s="22">
        <v>222.88918305322699</v>
      </c>
      <c r="S37" s="22">
        <v>240.70466763782301</v>
      </c>
      <c r="T37" s="22">
        <v>214.31290034121901</v>
      </c>
      <c r="U37" s="22">
        <v>238.95049426705901</v>
      </c>
      <c r="V37" s="22">
        <v>245.67968656657601</v>
      </c>
      <c r="W37" s="22">
        <v>225.65586023395699</v>
      </c>
      <c r="X37" s="22">
        <v>212.721644262377</v>
      </c>
      <c r="Y37" s="22">
        <v>211.27955541470499</v>
      </c>
      <c r="Z37" s="22">
        <v>271.73145255032699</v>
      </c>
      <c r="AA37" s="22">
        <v>328.60625269898998</v>
      </c>
      <c r="AB37" s="22">
        <v>381.06603602462798</v>
      </c>
      <c r="AC37" s="22">
        <v>436.95666578800802</v>
      </c>
      <c r="AD37" s="22">
        <v>449.26296271160697</v>
      </c>
      <c r="AE37" s="22">
        <v>346.305903554493</v>
      </c>
      <c r="AF37" s="22">
        <v>300.53656240147802</v>
      </c>
      <c r="AG37" s="22">
        <v>297.84821881937802</v>
      </c>
      <c r="AH37" s="22">
        <v>319.008299487903</v>
      </c>
      <c r="AI37" s="22">
        <v>272.264787954393</v>
      </c>
      <c r="AJ37" s="22">
        <v>282.10690880881998</v>
      </c>
      <c r="AK37" s="22">
        <v>264.69180075057898</v>
      </c>
      <c r="AL37" s="22">
        <v>283.16257950001801</v>
      </c>
      <c r="AM37" s="22">
        <v>555.20469565569704</v>
      </c>
      <c r="AN37" s="22">
        <v>499.14842590131002</v>
      </c>
      <c r="AO37" s="22">
        <v>511.55243027251601</v>
      </c>
      <c r="AP37" s="22">
        <v>583.66937235339606</v>
      </c>
      <c r="AQ37" s="22">
        <v>589.951774567332</v>
      </c>
      <c r="AR37" s="22">
        <v>615.47334931916396</v>
      </c>
      <c r="AS37" s="22">
        <v>710.20797703136702</v>
      </c>
      <c r="AT37" s="22">
        <v>732.39769326022804</v>
      </c>
      <c r="AU37" s="22">
        <v>693.71322649637398</v>
      </c>
      <c r="AV37" s="22">
        <v>579.897426172466</v>
      </c>
      <c r="AW37" s="22">
        <v>527.33803229157604</v>
      </c>
      <c r="AX37" s="22">
        <v>527.25836264962595</v>
      </c>
      <c r="AY37" s="22">
        <v>522.42562489517604</v>
      </c>
      <c r="AZ37" s="22">
        <v>478.63371847636301</v>
      </c>
      <c r="BA37" s="22">
        <v>446.00004143278801</v>
      </c>
      <c r="BB37" s="22">
        <v>470.29342334139801</v>
      </c>
      <c r="BC37" s="22">
        <v>494.794262222947</v>
      </c>
      <c r="BD37" s="22">
        <v>471.24862571893698</v>
      </c>
      <c r="BE37" s="22">
        <v>510.55633845425098</v>
      </c>
      <c r="BF37" s="22">
        <v>493.89962385223703</v>
      </c>
      <c r="BG37" s="22">
        <v>493.757329875312</v>
      </c>
      <c r="BH37" s="22">
        <v>591.21169798260996</v>
      </c>
      <c r="BI37" s="22">
        <v>592.60561506302201</v>
      </c>
      <c r="BJ37" s="22">
        <v>580.65674958785803</v>
      </c>
      <c r="BK37" s="22">
        <v>555.44645839822601</v>
      </c>
      <c r="BL37" s="22">
        <v>585.91101318036897</v>
      </c>
    </row>
    <row r="38" spans="1:64">
      <c r="A38" s="22" t="s">
        <v>10717</v>
      </c>
      <c r="B38" s="22" t="s">
        <v>11278</v>
      </c>
      <c r="C38" s="22" t="s">
        <v>11241</v>
      </c>
      <c r="D38" s="22" t="s">
        <v>11242</v>
      </c>
      <c r="E38" s="22">
        <v>0.96976678666666705</v>
      </c>
      <c r="F38" s="22">
        <v>1.01306251583333</v>
      </c>
      <c r="G38" s="22">
        <v>1.06876922408333</v>
      </c>
      <c r="H38" s="22">
        <v>1.07851434416667</v>
      </c>
      <c r="I38" s="22">
        <v>1.07859841916667</v>
      </c>
      <c r="J38" s="22">
        <v>1.07798428416667</v>
      </c>
      <c r="K38" s="22">
        <v>1.0773415666666699</v>
      </c>
      <c r="L38" s="22">
        <v>1.0787104241666701</v>
      </c>
      <c r="M38" s="22">
        <v>1.0774714008333299</v>
      </c>
      <c r="N38" s="22">
        <v>1.0767805125000001</v>
      </c>
      <c r="O38" s="22">
        <v>1.0442187441666699</v>
      </c>
      <c r="P38" s="22">
        <v>1.00981054416667</v>
      </c>
      <c r="Q38" s="22">
        <v>0.99066255583333296</v>
      </c>
      <c r="R38" s="22">
        <v>1.00009014</v>
      </c>
      <c r="S38" s="22">
        <v>0.97801752558333299</v>
      </c>
      <c r="T38" s="22">
        <v>1.01715926333333</v>
      </c>
      <c r="U38" s="22">
        <v>0.98602830408333297</v>
      </c>
      <c r="V38" s="22">
        <v>1.06344161083333</v>
      </c>
      <c r="W38" s="22">
        <v>1.14065917075</v>
      </c>
      <c r="X38" s="22">
        <v>1.17142449583333</v>
      </c>
      <c r="Y38" s="22">
        <v>1.1692268666666701</v>
      </c>
      <c r="Z38" s="22">
        <v>1.1989031208333301</v>
      </c>
      <c r="AA38" s="22">
        <v>1.23373491166667</v>
      </c>
      <c r="AB38" s="22">
        <v>1.23241182741667</v>
      </c>
      <c r="AC38" s="22">
        <v>1.29506561083333</v>
      </c>
      <c r="AD38" s="22">
        <v>1.36550739166667</v>
      </c>
      <c r="AE38" s="22">
        <v>1.3894710591666699</v>
      </c>
      <c r="AF38" s="22">
        <v>1.3259825816666699</v>
      </c>
      <c r="AG38" s="22">
        <v>1.23070084666667</v>
      </c>
      <c r="AH38" s="22">
        <v>1.1839720841666701</v>
      </c>
      <c r="AI38" s="22">
        <v>1.1667736266666699</v>
      </c>
      <c r="AJ38" s="22">
        <v>1.14572584416667</v>
      </c>
      <c r="AK38" s="22">
        <v>1.20872292</v>
      </c>
      <c r="AL38" s="22">
        <v>1.2900878816666701</v>
      </c>
      <c r="AM38" s="22">
        <v>1.3656734475000001</v>
      </c>
      <c r="AN38" s="22">
        <v>1.3724454183333299</v>
      </c>
      <c r="AO38" s="22">
        <v>1.36352163583333</v>
      </c>
      <c r="AP38" s="22">
        <v>1.3845980283333299</v>
      </c>
      <c r="AQ38" s="22">
        <v>1.4835053016666699</v>
      </c>
      <c r="AR38" s="22">
        <v>1.48570481916667</v>
      </c>
      <c r="AS38" s="22">
        <v>1.485394095</v>
      </c>
      <c r="AT38" s="22">
        <v>1.548839955</v>
      </c>
      <c r="AU38" s="22">
        <v>1.5703428341666701</v>
      </c>
      <c r="AV38" s="22">
        <v>1.4010145475</v>
      </c>
      <c r="AW38" s="22">
        <v>1.3012815950000001</v>
      </c>
      <c r="AX38" s="22">
        <v>1.2114051341666701</v>
      </c>
      <c r="AY38" s="22">
        <v>1.1343447258333299</v>
      </c>
      <c r="AZ38" s="22">
        <v>1.0740456216666701</v>
      </c>
      <c r="BA38" s="22">
        <v>1.06708691833333</v>
      </c>
      <c r="BB38" s="22">
        <v>1.1415354059127001</v>
      </c>
      <c r="BC38" s="22">
        <v>1.03011273517598</v>
      </c>
      <c r="BD38" s="22">
        <v>0.98925815863636402</v>
      </c>
      <c r="BE38" s="22">
        <v>0.99936474359307403</v>
      </c>
      <c r="BF38" s="22">
        <v>1.0301373637301601</v>
      </c>
      <c r="BG38" s="22">
        <v>1.10474713237886</v>
      </c>
      <c r="BH38" s="22">
        <v>1.27878620362554</v>
      </c>
      <c r="BI38" s="22">
        <v>1.3256151637482001</v>
      </c>
      <c r="BJ38" s="22">
        <v>1.2979358464603901</v>
      </c>
      <c r="BK38" s="22">
        <v>1.2958179281353399</v>
      </c>
      <c r="BL38" s="22">
        <v>1.32679336266012</v>
      </c>
    </row>
    <row r="39" spans="1:64">
      <c r="A39" s="22" t="s">
        <v>11279</v>
      </c>
      <c r="B39" s="22" t="s">
        <v>11280</v>
      </c>
      <c r="C39" s="22" t="s">
        <v>11241</v>
      </c>
      <c r="D39" s="22" t="s">
        <v>11242</v>
      </c>
    </row>
    <row r="40" spans="1:64">
      <c r="A40" s="22" t="s">
        <v>10926</v>
      </c>
      <c r="B40" s="22" t="s">
        <v>11281</v>
      </c>
      <c r="C40" s="22" t="s">
        <v>11241</v>
      </c>
      <c r="D40" s="22" t="s">
        <v>11242</v>
      </c>
      <c r="E40" s="22">
        <v>4.3729500033729503</v>
      </c>
      <c r="F40" s="22">
        <v>4.3729500033729503</v>
      </c>
      <c r="G40" s="22">
        <v>4.3729500033729503</v>
      </c>
      <c r="H40" s="22">
        <v>4.3729500033729503</v>
      </c>
      <c r="I40" s="22">
        <v>4.3729500033729503</v>
      </c>
      <c r="J40" s="22">
        <v>4.3729500033729503</v>
      </c>
      <c r="K40" s="22">
        <v>4.3729500033729503</v>
      </c>
      <c r="L40" s="22">
        <v>4.3729500033729503</v>
      </c>
      <c r="M40" s="22">
        <v>4.3729500033729503</v>
      </c>
      <c r="N40" s="22">
        <v>4.3729500033729503</v>
      </c>
      <c r="O40" s="22">
        <v>4.3729500033729503</v>
      </c>
      <c r="P40" s="22">
        <v>4.1338541683120198</v>
      </c>
      <c r="Q40" s="22">
        <v>3.8192499990000002</v>
      </c>
      <c r="R40" s="22">
        <v>3.16483333241667</v>
      </c>
      <c r="S40" s="22">
        <v>2.9792499989999999</v>
      </c>
      <c r="T40" s="22">
        <v>2.5812833324166702</v>
      </c>
      <c r="U40" s="22">
        <v>2.49964166575</v>
      </c>
      <c r="V40" s="22">
        <v>2.4035249993333299</v>
      </c>
      <c r="W40" s="22">
        <v>1.7880249992499999</v>
      </c>
      <c r="X40" s="22">
        <v>1.6627249990833299</v>
      </c>
      <c r="Y40" s="22">
        <v>1.67570833258333</v>
      </c>
      <c r="Z40" s="22">
        <v>1.9642416659166699</v>
      </c>
      <c r="AA40" s="22">
        <v>2.0302749990833302</v>
      </c>
      <c r="AB40" s="22">
        <v>2.0991416657499999</v>
      </c>
      <c r="AC40" s="22">
        <v>2.34968333283333</v>
      </c>
      <c r="AD40" s="22">
        <v>2.457125</v>
      </c>
      <c r="AE40" s="22">
        <v>1.7989166665</v>
      </c>
      <c r="AF40" s="22">
        <v>1.49119166666667</v>
      </c>
      <c r="AG40" s="22">
        <v>1.4633</v>
      </c>
      <c r="AH40" s="22">
        <v>1.6359250000000001</v>
      </c>
      <c r="AI40" s="22">
        <v>1.3891583333333299</v>
      </c>
      <c r="AJ40" s="22">
        <v>1.4339916666666701</v>
      </c>
      <c r="AK40" s="22">
        <v>1.40621833333333</v>
      </c>
      <c r="AL40" s="22">
        <v>1.4776166666666699</v>
      </c>
      <c r="AM40" s="22">
        <v>1.3676925</v>
      </c>
      <c r="AN40" s="22">
        <v>1.18246916666667</v>
      </c>
      <c r="AO40" s="22">
        <v>1.2360100000000001</v>
      </c>
      <c r="AP40" s="22">
        <v>1.4513125</v>
      </c>
      <c r="AQ40" s="22">
        <v>1.44981330833333</v>
      </c>
      <c r="AR40" s="22">
        <v>1.5021549999999999</v>
      </c>
      <c r="AS40" s="22">
        <v>1.6888425</v>
      </c>
      <c r="AT40" s="22">
        <v>1.6876150000000001</v>
      </c>
      <c r="AU40" s="22">
        <v>1.5586074999999999</v>
      </c>
      <c r="AV40" s="22">
        <v>1.34665083333333</v>
      </c>
      <c r="AW40" s="22">
        <v>1.2434958333333299</v>
      </c>
      <c r="AX40" s="22">
        <v>1.2451766666666699</v>
      </c>
      <c r="AY40" s="22">
        <v>1.2538433333333301</v>
      </c>
      <c r="AZ40" s="22">
        <v>1.20036583333333</v>
      </c>
      <c r="BA40" s="22">
        <v>1.0830900000000001</v>
      </c>
      <c r="BB40" s="22">
        <v>1.08814169630268</v>
      </c>
      <c r="BC40" s="22">
        <v>1.04290564573352</v>
      </c>
      <c r="BD40" s="22">
        <v>0.88804202822328104</v>
      </c>
      <c r="BE40" s="22">
        <v>0.93768448070934896</v>
      </c>
      <c r="BF40" s="22">
        <v>0.92690354775828498</v>
      </c>
      <c r="BG40" s="22">
        <v>0.91615104728361296</v>
      </c>
      <c r="BH40" s="22">
        <v>0.96238132800435405</v>
      </c>
      <c r="BI40" s="22">
        <v>0.98539439424483399</v>
      </c>
      <c r="BJ40" s="22">
        <v>0.98469166666666696</v>
      </c>
      <c r="BK40" s="22">
        <v>0.97788333333333299</v>
      </c>
      <c r="BL40" s="22">
        <v>0.99377499999999996</v>
      </c>
    </row>
    <row r="41" spans="1:64">
      <c r="A41" s="22" t="s">
        <v>11282</v>
      </c>
      <c r="B41" s="22" t="s">
        <v>11283</v>
      </c>
      <c r="C41" s="22" t="s">
        <v>11241</v>
      </c>
      <c r="D41" s="22" t="s">
        <v>11242</v>
      </c>
    </row>
    <row r="42" spans="1:64">
      <c r="A42" s="22" t="s">
        <v>1258</v>
      </c>
      <c r="B42" s="22" t="s">
        <v>11284</v>
      </c>
      <c r="C42" s="22" t="s">
        <v>11241</v>
      </c>
      <c r="D42" s="22" t="s">
        <v>11242</v>
      </c>
      <c r="E42" s="22">
        <v>1.0489693750843499E-3</v>
      </c>
      <c r="F42" s="22">
        <v>1.05013600777515E-3</v>
      </c>
      <c r="G42" s="22">
        <v>1.05763578898984E-3</v>
      </c>
      <c r="H42" s="22">
        <v>1.6217859852693699E-3</v>
      </c>
      <c r="I42" s="22">
        <v>2.3074326347769501E-3</v>
      </c>
      <c r="J42" s="22">
        <v>3.1566578421154401E-3</v>
      </c>
      <c r="K42" s="22">
        <v>3.8511375671629201E-3</v>
      </c>
      <c r="L42" s="22">
        <v>5.0682687003574898E-3</v>
      </c>
      <c r="M42" s="22">
        <v>6.8764659110372899E-3</v>
      </c>
      <c r="N42" s="22">
        <v>8.6175817471208106E-3</v>
      </c>
      <c r="O42" s="22">
        <v>1.12775040919884E-2</v>
      </c>
      <c r="P42" s="22">
        <v>1.22086435743848E-2</v>
      </c>
      <c r="Q42" s="22">
        <v>2.0835225059596601E-2</v>
      </c>
      <c r="R42" s="22">
        <v>7.1641908452915404E-2</v>
      </c>
      <c r="S42" s="22">
        <v>0.59282626128923499</v>
      </c>
      <c r="T42" s="22">
        <v>4.91041666666667</v>
      </c>
      <c r="U42" s="22">
        <v>13.054166666666699</v>
      </c>
      <c r="V42" s="22">
        <v>21.535833333333301</v>
      </c>
      <c r="W42" s="22">
        <v>31.655833333333302</v>
      </c>
      <c r="X42" s="22">
        <v>37.245833333333302</v>
      </c>
      <c r="Y42" s="22">
        <v>39</v>
      </c>
      <c r="Z42" s="22">
        <v>39</v>
      </c>
      <c r="AA42" s="22">
        <v>50.908333333333303</v>
      </c>
      <c r="AB42" s="22">
        <v>78.788333333333298</v>
      </c>
      <c r="AC42" s="22">
        <v>98.477500000000006</v>
      </c>
      <c r="AD42" s="22">
        <v>160.85999999991699</v>
      </c>
      <c r="AE42" s="22">
        <v>192.92999999966699</v>
      </c>
      <c r="AF42" s="22">
        <v>219.40666666666701</v>
      </c>
      <c r="AG42" s="22">
        <v>245.011666666667</v>
      </c>
      <c r="AH42" s="22">
        <v>266.95416666666699</v>
      </c>
      <c r="AI42" s="22">
        <v>304.90333333333302</v>
      </c>
      <c r="AJ42" s="22">
        <v>349.21583333333302</v>
      </c>
      <c r="AK42" s="22">
        <v>362.57583333333298</v>
      </c>
      <c r="AL42" s="22">
        <v>404.16583333333301</v>
      </c>
      <c r="AM42" s="22">
        <v>420.17666666666702</v>
      </c>
      <c r="AN42" s="22">
        <v>396.77333333333303</v>
      </c>
      <c r="AO42" s="22">
        <v>412.26666666666699</v>
      </c>
      <c r="AP42" s="22">
        <v>419.29500000000002</v>
      </c>
      <c r="AQ42" s="22">
        <v>460.28750000000002</v>
      </c>
      <c r="AR42" s="22">
        <v>508.77666666666698</v>
      </c>
      <c r="AS42" s="22">
        <v>539.58749999999998</v>
      </c>
      <c r="AT42" s="22">
        <v>634.93833333333305</v>
      </c>
      <c r="AU42" s="22">
        <v>688.93666666666695</v>
      </c>
      <c r="AV42" s="22">
        <v>691.39750000000004</v>
      </c>
      <c r="AW42" s="22">
        <v>609.52916666666704</v>
      </c>
      <c r="AX42" s="22">
        <v>559.76750000000004</v>
      </c>
      <c r="AY42" s="22">
        <v>530.27499999999998</v>
      </c>
      <c r="AZ42" s="22">
        <v>522.46416666666698</v>
      </c>
      <c r="BA42" s="22">
        <v>522.46103583333297</v>
      </c>
      <c r="BB42" s="22">
        <v>560.85989484127003</v>
      </c>
      <c r="BC42" s="22">
        <v>510.24916666666701</v>
      </c>
      <c r="BD42" s="22">
        <v>483.66750000000002</v>
      </c>
      <c r="BE42" s="22">
        <v>486.47130339105303</v>
      </c>
      <c r="BF42" s="22">
        <v>495.272877645503</v>
      </c>
      <c r="BG42" s="22">
        <v>570.34821612743997</v>
      </c>
      <c r="BH42" s="22">
        <v>654.12408425419596</v>
      </c>
      <c r="BI42" s="22">
        <v>676.95773604465705</v>
      </c>
      <c r="BJ42" s="22">
        <v>648.83379259826097</v>
      </c>
      <c r="BK42" s="22">
        <v>641.27681306639499</v>
      </c>
      <c r="BL42" s="22">
        <v>702.89742256152897</v>
      </c>
    </row>
    <row r="43" spans="1:64">
      <c r="A43" s="22" t="s">
        <v>2057</v>
      </c>
      <c r="B43" s="22" t="s">
        <v>11285</v>
      </c>
      <c r="C43" s="22" t="s">
        <v>11241</v>
      </c>
      <c r="D43" s="22" t="s">
        <v>11242</v>
      </c>
      <c r="E43" s="22">
        <v>2.46180889882528</v>
      </c>
      <c r="F43" s="22">
        <v>2.46180889882528</v>
      </c>
      <c r="G43" s="22">
        <v>2.46180889882528</v>
      </c>
      <c r="H43" s="22">
        <v>2.46180889882528</v>
      </c>
      <c r="I43" s="22">
        <v>2.46180889882528</v>
      </c>
      <c r="J43" s="22">
        <v>2.46180889882528</v>
      </c>
      <c r="K43" s="22">
        <v>2.46180889882528</v>
      </c>
      <c r="L43" s="22">
        <v>2.46180889882528</v>
      </c>
      <c r="M43" s="22">
        <v>2.46180889882528</v>
      </c>
      <c r="N43" s="22">
        <v>2.46180889882528</v>
      </c>
      <c r="O43" s="22">
        <v>2.46180889882528</v>
      </c>
      <c r="P43" s="22">
        <v>2.46180889882528</v>
      </c>
      <c r="Q43" s="22">
        <v>2.2450664486006602</v>
      </c>
      <c r="R43" s="22">
        <v>1.9894155246324701</v>
      </c>
      <c r="S43" s="22">
        <v>1.96110708887637</v>
      </c>
      <c r="T43" s="22">
        <v>1.8598233893865801</v>
      </c>
      <c r="U43" s="22">
        <v>1.9414153510209899</v>
      </c>
      <c r="V43" s="22">
        <v>1.85782338223957</v>
      </c>
      <c r="W43" s="22">
        <v>1.68358941885647</v>
      </c>
      <c r="X43" s="22">
        <v>1.5549389540148599</v>
      </c>
      <c r="Y43" s="22">
        <v>1.49838605814132</v>
      </c>
      <c r="Z43" s="22">
        <v>1.7045416658333301</v>
      </c>
      <c r="AA43" s="22">
        <v>1.8925416658333301</v>
      </c>
      <c r="AB43" s="22">
        <v>1.97567499916667</v>
      </c>
      <c r="AC43" s="22">
        <v>2.3200416662499999</v>
      </c>
      <c r="AD43" s="22">
        <v>2.93665833325</v>
      </c>
      <c r="AE43" s="22">
        <v>3.4527916665833298</v>
      </c>
      <c r="AF43" s="22">
        <v>3.7221000000000002</v>
      </c>
      <c r="AG43" s="22">
        <v>3.7221000000000002</v>
      </c>
      <c r="AH43" s="22">
        <v>3.7651083333333299</v>
      </c>
      <c r="AI43" s="22">
        <v>4.78320833333333</v>
      </c>
      <c r="AJ43" s="22">
        <v>5.3233916666666703</v>
      </c>
      <c r="AK43" s="22">
        <v>5.5145916666666697</v>
      </c>
      <c r="AL43" s="22">
        <v>5.7619583333333297</v>
      </c>
      <c r="AM43" s="22">
        <v>8.6187426666666695</v>
      </c>
      <c r="AN43" s="22">
        <v>8.3514166666666707</v>
      </c>
      <c r="AO43" s="22">
        <v>8.3141750000000005</v>
      </c>
      <c r="AP43" s="22">
        <v>8.2898166666666704</v>
      </c>
      <c r="AQ43" s="22">
        <v>8.2789583333333301</v>
      </c>
      <c r="AR43" s="22">
        <v>8.2782499999999999</v>
      </c>
      <c r="AS43" s="22">
        <v>8.2785041666666697</v>
      </c>
      <c r="AT43" s="22">
        <v>8.2770683333333306</v>
      </c>
      <c r="AU43" s="22">
        <v>8.2769575</v>
      </c>
      <c r="AV43" s="22">
        <v>8.2770366666666693</v>
      </c>
      <c r="AW43" s="22">
        <v>8.2768008333333292</v>
      </c>
      <c r="AX43" s="22">
        <v>8.1943166666666691</v>
      </c>
      <c r="AY43" s="22">
        <v>7.9734383333333296</v>
      </c>
      <c r="AZ43" s="22">
        <v>7.6075324999999996</v>
      </c>
      <c r="BA43" s="22">
        <v>6.9486549999999996</v>
      </c>
      <c r="BB43" s="22">
        <v>6.8314160517666602</v>
      </c>
      <c r="BC43" s="22">
        <v>6.7702690287094001</v>
      </c>
      <c r="BD43" s="22">
        <v>6.4614613265500704</v>
      </c>
      <c r="BE43" s="22">
        <v>6.3123328268318604</v>
      </c>
      <c r="BF43" s="22">
        <v>6.19575834608231</v>
      </c>
      <c r="BG43" s="22">
        <v>6.1434340944886703</v>
      </c>
      <c r="BH43" s="22">
        <v>6.22748867298455</v>
      </c>
      <c r="BI43" s="22">
        <v>6.6444778294468003</v>
      </c>
      <c r="BJ43" s="22">
        <v>6.7587550863359702</v>
      </c>
      <c r="BK43" s="22">
        <v>6.6159571773543897</v>
      </c>
      <c r="BL43" s="22">
        <v>6.9083850099290096</v>
      </c>
    </row>
    <row r="44" spans="1:64">
      <c r="A44" s="22" t="s">
        <v>11286</v>
      </c>
      <c r="B44" s="22" t="s">
        <v>11287</v>
      </c>
      <c r="C44" s="22" t="s">
        <v>11241</v>
      </c>
      <c r="D44" s="22" t="s">
        <v>11242</v>
      </c>
      <c r="E44" s="22">
        <v>245.19510139835899</v>
      </c>
      <c r="F44" s="22">
        <v>245.26010162116</v>
      </c>
      <c r="G44" s="22">
        <v>245.013850686544</v>
      </c>
      <c r="H44" s="22">
        <v>245.01635069607499</v>
      </c>
      <c r="I44" s="22">
        <v>245.027184079042</v>
      </c>
      <c r="J44" s="22">
        <v>245.06093420770799</v>
      </c>
      <c r="K44" s="22">
        <v>245.67843655764401</v>
      </c>
      <c r="L44" s="22">
        <v>246.00093779128099</v>
      </c>
      <c r="M44" s="22">
        <v>247.56469375695099</v>
      </c>
      <c r="N44" s="22">
        <v>259.960574351236</v>
      </c>
      <c r="O44" s="22">
        <v>276.403137026845</v>
      </c>
      <c r="P44" s="22">
        <v>275.35645668533198</v>
      </c>
      <c r="Q44" s="22">
        <v>252.02762746264901</v>
      </c>
      <c r="R44" s="22">
        <v>222.88918305322699</v>
      </c>
      <c r="S44" s="22">
        <v>240.70466763782301</v>
      </c>
      <c r="T44" s="22">
        <v>214.31290034121901</v>
      </c>
      <c r="U44" s="22">
        <v>238.95049426705901</v>
      </c>
      <c r="V44" s="22">
        <v>245.67968656657601</v>
      </c>
      <c r="W44" s="22">
        <v>225.65586023395699</v>
      </c>
      <c r="X44" s="22">
        <v>212.721644262377</v>
      </c>
      <c r="Y44" s="22">
        <v>211.27955541470499</v>
      </c>
      <c r="Z44" s="22">
        <v>271.73145255032699</v>
      </c>
      <c r="AA44" s="22">
        <v>328.60625269898998</v>
      </c>
      <c r="AB44" s="22">
        <v>381.06603602462798</v>
      </c>
      <c r="AC44" s="22">
        <v>436.95666578800802</v>
      </c>
      <c r="AD44" s="22">
        <v>449.26296271160697</v>
      </c>
      <c r="AE44" s="22">
        <v>346.305903554493</v>
      </c>
      <c r="AF44" s="22">
        <v>300.53656240147802</v>
      </c>
      <c r="AG44" s="22">
        <v>297.84821881937802</v>
      </c>
      <c r="AH44" s="22">
        <v>319.008299487903</v>
      </c>
      <c r="AI44" s="22">
        <v>272.264787954393</v>
      </c>
      <c r="AJ44" s="22">
        <v>282.10690880881998</v>
      </c>
      <c r="AK44" s="22">
        <v>264.69180075057898</v>
      </c>
      <c r="AL44" s="22">
        <v>283.16257950001801</v>
      </c>
      <c r="AM44" s="22">
        <v>555.20469565569704</v>
      </c>
      <c r="AN44" s="22">
        <v>499.14842590131002</v>
      </c>
      <c r="AO44" s="22">
        <v>511.55243027251601</v>
      </c>
      <c r="AP44" s="22">
        <v>583.66937235339606</v>
      </c>
      <c r="AQ44" s="22">
        <v>589.951774567332</v>
      </c>
      <c r="AR44" s="22">
        <v>615.47334931916396</v>
      </c>
      <c r="AS44" s="22">
        <v>710.20797703136702</v>
      </c>
      <c r="AT44" s="22">
        <v>732.39769326022804</v>
      </c>
      <c r="AU44" s="22">
        <v>693.71322649637398</v>
      </c>
      <c r="AV44" s="22">
        <v>579.897426172466</v>
      </c>
      <c r="AW44" s="22">
        <v>527.33803229157604</v>
      </c>
      <c r="AX44" s="22">
        <v>527.25836264962595</v>
      </c>
      <c r="AY44" s="22">
        <v>522.42562489517604</v>
      </c>
      <c r="AZ44" s="22">
        <v>478.63371847636301</v>
      </c>
      <c r="BA44" s="22">
        <v>446.00004143278801</v>
      </c>
      <c r="BB44" s="22">
        <v>470.29342334139801</v>
      </c>
      <c r="BC44" s="22">
        <v>494.794262222947</v>
      </c>
      <c r="BD44" s="22">
        <v>471.24862571893698</v>
      </c>
      <c r="BE44" s="22">
        <v>510.55633845425098</v>
      </c>
      <c r="BF44" s="22">
        <v>493.89962385223703</v>
      </c>
      <c r="BG44" s="22">
        <v>493.757329875312</v>
      </c>
      <c r="BH44" s="22">
        <v>591.21169798260996</v>
      </c>
      <c r="BI44" s="22">
        <v>592.60561506302201</v>
      </c>
      <c r="BJ44" s="22">
        <v>580.65674958785803</v>
      </c>
      <c r="BK44" s="22">
        <v>555.44645839822601</v>
      </c>
      <c r="BL44" s="22">
        <v>585.91101318036897</v>
      </c>
    </row>
    <row r="45" spans="1:64">
      <c r="A45" s="22" t="s">
        <v>10716</v>
      </c>
      <c r="B45" s="22" t="s">
        <v>11288</v>
      </c>
      <c r="C45" s="22" t="s">
        <v>11241</v>
      </c>
      <c r="D45" s="22" t="s">
        <v>11242</v>
      </c>
      <c r="E45" s="22">
        <v>245.19510139835899</v>
      </c>
      <c r="F45" s="22">
        <v>245.26010162116</v>
      </c>
      <c r="G45" s="22">
        <v>245.013850686544</v>
      </c>
      <c r="H45" s="22">
        <v>245.01635069607499</v>
      </c>
      <c r="I45" s="22">
        <v>245.027184079042</v>
      </c>
      <c r="J45" s="22">
        <v>245.06093420770799</v>
      </c>
      <c r="K45" s="22">
        <v>245.67843655764401</v>
      </c>
      <c r="L45" s="22">
        <v>246.00093779128099</v>
      </c>
      <c r="M45" s="22">
        <v>247.56469375695099</v>
      </c>
      <c r="N45" s="22">
        <v>259.960574351236</v>
      </c>
      <c r="O45" s="22">
        <v>276.403137026845</v>
      </c>
      <c r="P45" s="22">
        <v>275.35645668533198</v>
      </c>
      <c r="Q45" s="22">
        <v>252.02762746264901</v>
      </c>
      <c r="R45" s="22">
        <v>222.88918305322699</v>
      </c>
      <c r="S45" s="22">
        <v>240.70466763782301</v>
      </c>
      <c r="T45" s="22">
        <v>214.31290034121901</v>
      </c>
      <c r="U45" s="22">
        <v>238.95049426705901</v>
      </c>
      <c r="V45" s="22">
        <v>245.67968656657601</v>
      </c>
      <c r="W45" s="22">
        <v>225.65586023395699</v>
      </c>
      <c r="X45" s="22">
        <v>212.721644262377</v>
      </c>
      <c r="Y45" s="22">
        <v>211.27955541470499</v>
      </c>
      <c r="Z45" s="22">
        <v>271.73145255032699</v>
      </c>
      <c r="AA45" s="22">
        <v>328.60625269898998</v>
      </c>
      <c r="AB45" s="22">
        <v>381.06603602462798</v>
      </c>
      <c r="AC45" s="22">
        <v>436.95666578800802</v>
      </c>
      <c r="AD45" s="22">
        <v>449.26296271160697</v>
      </c>
      <c r="AE45" s="22">
        <v>346.305903554493</v>
      </c>
      <c r="AF45" s="22">
        <v>300.53656240147802</v>
      </c>
      <c r="AG45" s="22">
        <v>297.84821881937802</v>
      </c>
      <c r="AH45" s="22">
        <v>319.008299487903</v>
      </c>
      <c r="AI45" s="22">
        <v>272.264787954393</v>
      </c>
      <c r="AJ45" s="22">
        <v>282.10690880881998</v>
      </c>
      <c r="AK45" s="22">
        <v>264.69180075057898</v>
      </c>
      <c r="AL45" s="22">
        <v>283.16257950001801</v>
      </c>
      <c r="AM45" s="22">
        <v>555.20469565569704</v>
      </c>
      <c r="AN45" s="22">
        <v>499.14842590131002</v>
      </c>
      <c r="AO45" s="22">
        <v>511.55243027251601</v>
      </c>
      <c r="AP45" s="22">
        <v>583.66937235339606</v>
      </c>
      <c r="AQ45" s="22">
        <v>589.951774567332</v>
      </c>
      <c r="AR45" s="22">
        <v>615.47334931916396</v>
      </c>
      <c r="AS45" s="22">
        <v>710.20797703136702</v>
      </c>
      <c r="AT45" s="22">
        <v>732.39769326022804</v>
      </c>
      <c r="AU45" s="22">
        <v>693.71322649637398</v>
      </c>
      <c r="AV45" s="22">
        <v>579.897426172466</v>
      </c>
      <c r="AW45" s="22">
        <v>527.33803229157604</v>
      </c>
      <c r="AX45" s="22">
        <v>527.25836264962595</v>
      </c>
      <c r="AY45" s="22">
        <v>522.42562489517604</v>
      </c>
      <c r="AZ45" s="22">
        <v>478.63371847636301</v>
      </c>
      <c r="BA45" s="22">
        <v>446.00004143278801</v>
      </c>
      <c r="BB45" s="22">
        <v>470.29342334139801</v>
      </c>
      <c r="BC45" s="22">
        <v>494.794262222947</v>
      </c>
      <c r="BD45" s="22">
        <v>471.24862571893698</v>
      </c>
      <c r="BE45" s="22">
        <v>510.55633845425098</v>
      </c>
      <c r="BF45" s="22">
        <v>493.89962385223703</v>
      </c>
      <c r="BG45" s="22">
        <v>493.757329875312</v>
      </c>
      <c r="BH45" s="22">
        <v>591.21169798260996</v>
      </c>
      <c r="BI45" s="22">
        <v>592.60561506302201</v>
      </c>
      <c r="BJ45" s="22">
        <v>580.65674958785803</v>
      </c>
      <c r="BK45" s="22">
        <v>555.44645839822601</v>
      </c>
      <c r="BL45" s="22">
        <v>585.91101318036897</v>
      </c>
    </row>
    <row r="46" spans="1:64">
      <c r="A46" s="22" t="s">
        <v>11289</v>
      </c>
      <c r="B46" s="22" t="s">
        <v>11290</v>
      </c>
      <c r="C46" s="22" t="s">
        <v>11241</v>
      </c>
      <c r="D46" s="22" t="s">
        <v>11242</v>
      </c>
      <c r="E46" s="22">
        <v>1.7000000000000001E-13</v>
      </c>
      <c r="F46" s="22">
        <v>1.7500000000000001E-13</v>
      </c>
      <c r="G46" s="22">
        <v>2.0999999999999999E-13</v>
      </c>
      <c r="H46" s="22">
        <v>2.5249999999999998E-13</v>
      </c>
      <c r="I46" s="22">
        <v>5.4999999999999998E-13</v>
      </c>
      <c r="J46" s="22">
        <v>5.4999999999999998E-13</v>
      </c>
      <c r="K46" s="22">
        <v>5.4999999999999998E-13</v>
      </c>
      <c r="L46" s="22">
        <v>1.15666666666667E-12</v>
      </c>
      <c r="M46" s="22">
        <v>1.67E-12</v>
      </c>
      <c r="N46" s="22">
        <v>1.67E-12</v>
      </c>
      <c r="O46" s="22">
        <v>1.67E-12</v>
      </c>
      <c r="P46" s="22">
        <v>1.67E-12</v>
      </c>
      <c r="Q46" s="22">
        <v>1.67E-12</v>
      </c>
      <c r="R46" s="22">
        <v>1.67E-12</v>
      </c>
      <c r="S46" s="22">
        <v>1.67E-12</v>
      </c>
      <c r="T46" s="22">
        <v>1.67E-12</v>
      </c>
      <c r="U46" s="22">
        <v>2.6408333333333302E-12</v>
      </c>
      <c r="V46" s="22">
        <v>2.8549999999999999E-12</v>
      </c>
      <c r="W46" s="22">
        <v>2.7866666666666699E-12</v>
      </c>
      <c r="X46" s="22">
        <v>5.7608333333333302E-12</v>
      </c>
      <c r="Y46" s="22">
        <v>9.3308333333333297E-12</v>
      </c>
      <c r="Z46" s="22">
        <v>1.46083333333333E-11</v>
      </c>
      <c r="AA46" s="22">
        <v>1.91625E-11</v>
      </c>
      <c r="AB46" s="22">
        <v>4.2955000000000002E-11</v>
      </c>
      <c r="AC46" s="22">
        <v>1.20404166666667E-10</v>
      </c>
      <c r="AD46" s="22">
        <v>1.6620749999999999E-10</v>
      </c>
      <c r="AE46" s="22">
        <v>1.98705833333333E-10</v>
      </c>
      <c r="AF46" s="22">
        <v>3.7459499999999999E-10</v>
      </c>
      <c r="AG46" s="22">
        <v>6.2342999999999999E-10</v>
      </c>
      <c r="AH46" s="22">
        <v>1.27120833333333E-9</v>
      </c>
      <c r="AI46" s="22">
        <v>2.3947483333333299E-9</v>
      </c>
      <c r="AJ46" s="22">
        <v>5.1945694166666698E-8</v>
      </c>
      <c r="AK46" s="22">
        <v>2.1513626025000001E-6</v>
      </c>
      <c r="AL46" s="22">
        <v>2.5144168139999999E-5</v>
      </c>
      <c r="AM46" s="22">
        <v>1.19411916666667E-2</v>
      </c>
      <c r="AN46" s="22">
        <v>7.0244716666666707E-2</v>
      </c>
      <c r="AO46" s="22">
        <v>0.50184917500000004</v>
      </c>
      <c r="AP46" s="22">
        <v>1.3134475999999999</v>
      </c>
      <c r="AQ46" s="22">
        <v>1.6066598830652601</v>
      </c>
      <c r="AR46" s="22">
        <v>4.0183333322313999</v>
      </c>
      <c r="AS46" s="22">
        <v>21.8183333273501</v>
      </c>
      <c r="AT46" s="22">
        <v>206.61749994333999</v>
      </c>
      <c r="AU46" s="22">
        <v>346.48499990498402</v>
      </c>
      <c r="AV46" s="22">
        <v>405.17818323067002</v>
      </c>
      <c r="AW46" s="22">
        <v>399.47579166666702</v>
      </c>
      <c r="AX46" s="22">
        <v>473.90800833333299</v>
      </c>
      <c r="AY46" s="22">
        <v>468.27882499999998</v>
      </c>
      <c r="AZ46" s="22">
        <v>516.74989166666705</v>
      </c>
      <c r="BA46" s="22">
        <v>559.29250833333299</v>
      </c>
      <c r="BB46" s="22">
        <v>809.78583333333302</v>
      </c>
      <c r="BC46" s="22">
        <v>905.91345833333298</v>
      </c>
      <c r="BD46" s="22">
        <v>919.49130000000002</v>
      </c>
      <c r="BE46" s="22">
        <v>919.75501666666696</v>
      </c>
      <c r="BF46" s="22">
        <v>919.56590735488101</v>
      </c>
      <c r="BG46" s="22">
        <v>925.22628253199696</v>
      </c>
      <c r="BH46" s="22">
        <v>925.98496128039301</v>
      </c>
      <c r="BI46" s="22">
        <v>1010.30275716866</v>
      </c>
      <c r="BJ46" s="22">
        <v>1464.41793163743</v>
      </c>
      <c r="BK46" s="22">
        <v>1622.5235016229201</v>
      </c>
      <c r="BL46" s="22">
        <v>1647.76012727639</v>
      </c>
    </row>
    <row r="47" spans="1:64">
      <c r="A47" s="22" t="s">
        <v>11291</v>
      </c>
      <c r="B47" s="22" t="s">
        <v>11292</v>
      </c>
      <c r="C47" s="22" t="s">
        <v>11241</v>
      </c>
      <c r="D47" s="22" t="s">
        <v>11242</v>
      </c>
      <c r="E47" s="22">
        <v>245.19510139835899</v>
      </c>
      <c r="F47" s="22">
        <v>245.26010162116</v>
      </c>
      <c r="G47" s="22">
        <v>245.013850686544</v>
      </c>
      <c r="H47" s="22">
        <v>245.01635069607499</v>
      </c>
      <c r="I47" s="22">
        <v>245.027184079042</v>
      </c>
      <c r="J47" s="22">
        <v>245.06093420770799</v>
      </c>
      <c r="K47" s="22">
        <v>245.67843655764401</v>
      </c>
      <c r="L47" s="22">
        <v>246.00093779128099</v>
      </c>
      <c r="M47" s="22">
        <v>247.56469375695099</v>
      </c>
      <c r="N47" s="22">
        <v>259.960574351236</v>
      </c>
      <c r="O47" s="22">
        <v>276.403137026845</v>
      </c>
      <c r="P47" s="22">
        <v>275.35645668533198</v>
      </c>
      <c r="Q47" s="22">
        <v>252.02762746264901</v>
      </c>
      <c r="R47" s="22">
        <v>222.88918305322699</v>
      </c>
      <c r="S47" s="22">
        <v>240.70466763782301</v>
      </c>
      <c r="T47" s="22">
        <v>214.31290034121901</v>
      </c>
      <c r="U47" s="22">
        <v>238.95049426705901</v>
      </c>
      <c r="V47" s="22">
        <v>245.67968656657601</v>
      </c>
      <c r="W47" s="22">
        <v>225.65586023395699</v>
      </c>
      <c r="X47" s="22">
        <v>212.721644262377</v>
      </c>
      <c r="Y47" s="22">
        <v>211.27955541470499</v>
      </c>
      <c r="Z47" s="22">
        <v>271.73145255032699</v>
      </c>
      <c r="AA47" s="22">
        <v>328.60625269898998</v>
      </c>
      <c r="AB47" s="22">
        <v>381.06603602462798</v>
      </c>
      <c r="AC47" s="22">
        <v>436.95666578800802</v>
      </c>
      <c r="AD47" s="22">
        <v>449.26296271160697</v>
      </c>
      <c r="AE47" s="22">
        <v>346.305903554493</v>
      </c>
      <c r="AF47" s="22">
        <v>300.53656240147802</v>
      </c>
      <c r="AG47" s="22">
        <v>297.84821881937802</v>
      </c>
      <c r="AH47" s="22">
        <v>319.008299487903</v>
      </c>
      <c r="AI47" s="22">
        <v>272.264787954393</v>
      </c>
      <c r="AJ47" s="22">
        <v>282.10690880881998</v>
      </c>
      <c r="AK47" s="22">
        <v>264.69180075057898</v>
      </c>
      <c r="AL47" s="22">
        <v>283.16257950001801</v>
      </c>
      <c r="AM47" s="22">
        <v>555.20469565569704</v>
      </c>
      <c r="AN47" s="22">
        <v>499.14842590131002</v>
      </c>
      <c r="AO47" s="22">
        <v>511.55243027251601</v>
      </c>
      <c r="AP47" s="22">
        <v>583.66937235339606</v>
      </c>
      <c r="AQ47" s="22">
        <v>589.951774567332</v>
      </c>
      <c r="AR47" s="22">
        <v>615.47334931916396</v>
      </c>
      <c r="AS47" s="22">
        <v>710.20797703136702</v>
      </c>
      <c r="AT47" s="22">
        <v>732.39769326022804</v>
      </c>
      <c r="AU47" s="22">
        <v>693.71322649637398</v>
      </c>
      <c r="AV47" s="22">
        <v>579.897426172466</v>
      </c>
      <c r="AW47" s="22">
        <v>527.33803229157604</v>
      </c>
      <c r="AX47" s="22">
        <v>527.25836264962595</v>
      </c>
      <c r="AY47" s="22">
        <v>522.42562489517604</v>
      </c>
      <c r="AZ47" s="22">
        <v>478.63371847636301</v>
      </c>
      <c r="BA47" s="22">
        <v>446.00004143278801</v>
      </c>
      <c r="BB47" s="22">
        <v>470.29342334139801</v>
      </c>
      <c r="BC47" s="22">
        <v>494.794262222947</v>
      </c>
      <c r="BD47" s="22">
        <v>471.24862571893698</v>
      </c>
      <c r="BE47" s="22">
        <v>510.55633845425098</v>
      </c>
      <c r="BF47" s="22">
        <v>493.89962385223703</v>
      </c>
      <c r="BG47" s="22">
        <v>493.757329875312</v>
      </c>
      <c r="BH47" s="22">
        <v>591.21169798260996</v>
      </c>
      <c r="BI47" s="22">
        <v>592.60561506302201</v>
      </c>
      <c r="BJ47" s="22">
        <v>580.65674958785803</v>
      </c>
      <c r="BK47" s="22">
        <v>555.44645839822601</v>
      </c>
      <c r="BL47" s="22">
        <v>585.91101318036897</v>
      </c>
    </row>
    <row r="48" spans="1:64">
      <c r="A48" s="22" t="s">
        <v>6632</v>
      </c>
      <c r="B48" s="22" t="s">
        <v>11293</v>
      </c>
      <c r="C48" s="22" t="s">
        <v>11241</v>
      </c>
      <c r="D48" s="22" t="s">
        <v>11242</v>
      </c>
      <c r="E48" s="22">
        <v>6.6349999989999997</v>
      </c>
      <c r="F48" s="22">
        <v>6.6999999990000001</v>
      </c>
      <c r="G48" s="22">
        <v>6.9012083325000004</v>
      </c>
      <c r="H48" s="22">
        <v>9</v>
      </c>
      <c r="I48" s="22">
        <v>9</v>
      </c>
      <c r="J48" s="22">
        <v>10.474999999916699</v>
      </c>
      <c r="K48" s="22">
        <v>13.5</v>
      </c>
      <c r="L48" s="22">
        <v>14.5063916664167</v>
      </c>
      <c r="M48" s="22">
        <v>16.290666665833299</v>
      </c>
      <c r="N48" s="22">
        <v>17.320141665833301</v>
      </c>
      <c r="O48" s="22">
        <v>18.443099999083302</v>
      </c>
      <c r="P48" s="22">
        <v>19.931933332583299</v>
      </c>
      <c r="Q48" s="22">
        <v>21.865641665666701</v>
      </c>
      <c r="R48" s="22">
        <v>23.636983332333301</v>
      </c>
      <c r="S48" s="22">
        <v>26.064124999000001</v>
      </c>
      <c r="T48" s="22">
        <v>30.928941665666699</v>
      </c>
      <c r="U48" s="22">
        <v>34.693924998999996</v>
      </c>
      <c r="V48" s="22">
        <v>36.7748666656667</v>
      </c>
      <c r="W48" s="22">
        <v>39.0946416656667</v>
      </c>
      <c r="X48" s="22">
        <v>42.549774999</v>
      </c>
      <c r="Y48" s="22">
        <v>47.280308332416702</v>
      </c>
      <c r="Z48" s="22">
        <v>54.490549999000002</v>
      </c>
      <c r="AA48" s="22">
        <v>64.084716665749994</v>
      </c>
      <c r="AB48" s="22">
        <v>78.854299999583304</v>
      </c>
      <c r="AC48" s="22">
        <v>100.81724166625</v>
      </c>
      <c r="AD48" s="22">
        <v>142.31166666641701</v>
      </c>
      <c r="AE48" s="22">
        <v>194.261416666667</v>
      </c>
      <c r="AF48" s="22">
        <v>242.60749999999999</v>
      </c>
      <c r="AG48" s="22">
        <v>299.17383333333299</v>
      </c>
      <c r="AH48" s="22">
        <v>382.56808333333299</v>
      </c>
      <c r="AI48" s="22">
        <v>502.25925000000001</v>
      </c>
      <c r="AJ48" s="22">
        <v>633.045166666667</v>
      </c>
      <c r="AK48" s="22">
        <v>759.28200000000004</v>
      </c>
      <c r="AL48" s="22">
        <v>863.06468333333305</v>
      </c>
      <c r="AM48" s="22">
        <v>844.83588999999995</v>
      </c>
      <c r="AN48" s="22">
        <v>912.826415</v>
      </c>
      <c r="AO48" s="22">
        <v>1036.6864166666701</v>
      </c>
      <c r="AP48" s="22">
        <v>1140.9629416666701</v>
      </c>
      <c r="AQ48" s="22">
        <v>1426.0374583333301</v>
      </c>
      <c r="AR48" s="22">
        <v>1756.23084833333</v>
      </c>
      <c r="AS48" s="22">
        <v>2087.9038416666699</v>
      </c>
      <c r="AT48" s="22">
        <v>2299.63315583333</v>
      </c>
      <c r="AU48" s="22">
        <v>2504.2413308333298</v>
      </c>
      <c r="AV48" s="22">
        <v>2877.6524583333298</v>
      </c>
      <c r="AW48" s="22">
        <v>2628.6129025</v>
      </c>
      <c r="AX48" s="22">
        <v>2320.8341766666699</v>
      </c>
      <c r="AY48" s="22">
        <v>2361.1394074999998</v>
      </c>
      <c r="AZ48" s="22">
        <v>2078.29183666667</v>
      </c>
      <c r="BA48" s="22">
        <v>1967.7113091666699</v>
      </c>
      <c r="BB48" s="22">
        <v>2158.25590299025</v>
      </c>
      <c r="BC48" s="22">
        <v>1898.56963600842</v>
      </c>
      <c r="BD48" s="22">
        <v>1848.1394699518301</v>
      </c>
      <c r="BE48" s="22">
        <v>1796.8959123110001</v>
      </c>
      <c r="BF48" s="22">
        <v>1868.7853270907999</v>
      </c>
      <c r="BG48" s="22">
        <v>2001.781048176</v>
      </c>
      <c r="BH48" s="22">
        <v>2741.88085479965</v>
      </c>
      <c r="BI48" s="22">
        <v>3054.1216732108101</v>
      </c>
      <c r="BJ48" s="22">
        <v>2951.3274023476001</v>
      </c>
      <c r="BK48" s="22">
        <v>2955.70396997842</v>
      </c>
      <c r="BL48" s="22">
        <v>3280.83163119763</v>
      </c>
    </row>
    <row r="49" spans="1:64">
      <c r="A49" s="22" t="s">
        <v>10732</v>
      </c>
      <c r="B49" s="22" t="s">
        <v>11294</v>
      </c>
      <c r="C49" s="22" t="s">
        <v>11241</v>
      </c>
      <c r="D49" s="22" t="s">
        <v>11242</v>
      </c>
      <c r="E49" s="22">
        <v>245.193023629327</v>
      </c>
      <c r="F49" s="22">
        <v>245.25802330132001</v>
      </c>
      <c r="G49" s="22">
        <v>245.011774453421</v>
      </c>
      <c r="H49" s="22">
        <v>245.01427444176699</v>
      </c>
      <c r="I49" s="22">
        <v>245.02510773293201</v>
      </c>
      <c r="J49" s="22">
        <v>245.058857575601</v>
      </c>
      <c r="K49" s="22">
        <v>245.67635469285801</v>
      </c>
      <c r="L49" s="22">
        <v>245.99885319363801</v>
      </c>
      <c r="M49" s="22">
        <v>247.56259590813099</v>
      </c>
      <c r="N49" s="22">
        <v>259.95837146044499</v>
      </c>
      <c r="O49" s="22">
        <v>276.40079480273403</v>
      </c>
      <c r="P49" s="22">
        <v>275.35431255095898</v>
      </c>
      <c r="Q49" s="22">
        <v>252.025491795188</v>
      </c>
      <c r="R49" s="22">
        <v>222.887294303251</v>
      </c>
      <c r="S49" s="22">
        <v>240.702627920466</v>
      </c>
      <c r="T49" s="22">
        <v>214.31108426616299</v>
      </c>
      <c r="U49" s="22">
        <v>238.94846941446499</v>
      </c>
      <c r="V49" s="22">
        <v>245.67760469119699</v>
      </c>
      <c r="W49" s="22">
        <v>225.653948039319</v>
      </c>
      <c r="X49" s="22">
        <v>212.719841671533</v>
      </c>
      <c r="Y49" s="22">
        <v>211.27776504403801</v>
      </c>
      <c r="Z49" s="22">
        <v>271.72914991379798</v>
      </c>
      <c r="AA49" s="22">
        <v>328.60346810871198</v>
      </c>
      <c r="AB49" s="22">
        <v>381.06280689319698</v>
      </c>
      <c r="AC49" s="22">
        <v>436.95296304263002</v>
      </c>
      <c r="AD49" s="22">
        <v>449.25915568338502</v>
      </c>
      <c r="AE49" s="22">
        <v>346.30296897840299</v>
      </c>
      <c r="AF49" s="22">
        <v>300.53401567212302</v>
      </c>
      <c r="AG49" s="22">
        <v>297.84569487089101</v>
      </c>
      <c r="AH49" s="22">
        <v>319.00559623012299</v>
      </c>
      <c r="AI49" s="22">
        <v>272.26248079841201</v>
      </c>
      <c r="AJ49" s="22">
        <v>282.10451825127899</v>
      </c>
      <c r="AK49" s="22">
        <v>264.68955776765102</v>
      </c>
      <c r="AL49" s="22">
        <v>283.160179996784</v>
      </c>
      <c r="AM49" s="22">
        <v>416.39882095182401</v>
      </c>
      <c r="AN49" s="22">
        <v>374.35709325152499</v>
      </c>
      <c r="AO49" s="22">
        <v>383.65999150808801</v>
      </c>
      <c r="AP49" s="22">
        <v>437.747087471253</v>
      </c>
      <c r="AQ49" s="22">
        <v>442.45883594005699</v>
      </c>
      <c r="AR49" s="22">
        <v>461.79299846316201</v>
      </c>
      <c r="AS49" s="22">
        <v>532.65598277352501</v>
      </c>
      <c r="AT49" s="22">
        <v>549.298269945171</v>
      </c>
      <c r="AU49" s="22">
        <v>520.28491987228006</v>
      </c>
      <c r="AV49" s="22">
        <v>434.92306962934902</v>
      </c>
      <c r="AW49" s="22">
        <v>395.503524218682</v>
      </c>
      <c r="AX49" s="22">
        <v>395.44377198721998</v>
      </c>
      <c r="AY49" s="22">
        <v>391.81921867138198</v>
      </c>
      <c r="AZ49" s="22">
        <v>358.97528885727201</v>
      </c>
      <c r="BA49" s="22">
        <v>334.50003107459099</v>
      </c>
      <c r="BB49" s="22">
        <v>352.72006750604902</v>
      </c>
      <c r="BC49" s="22">
        <v>371.09569666721097</v>
      </c>
      <c r="BD49" s="22">
        <v>353.43646928920299</v>
      </c>
      <c r="BE49" s="22">
        <v>382.91725384068798</v>
      </c>
      <c r="BF49" s="22">
        <v>370.424717889178</v>
      </c>
      <c r="BG49" s="22">
        <v>370.31799740648398</v>
      </c>
      <c r="BH49" s="22">
        <v>443.40877348695699</v>
      </c>
      <c r="BI49" s="22">
        <v>444.454211297266</v>
      </c>
      <c r="BJ49" s="22">
        <v>435.49256219089301</v>
      </c>
      <c r="BK49" s="22">
        <v>416.584843798669</v>
      </c>
      <c r="BL49" s="22">
        <v>439.46311031786701</v>
      </c>
    </row>
    <row r="50" spans="1:64">
      <c r="A50" s="22" t="s">
        <v>10711</v>
      </c>
      <c r="B50" s="22" t="s">
        <v>11295</v>
      </c>
      <c r="C50" s="22" t="s">
        <v>11241</v>
      </c>
      <c r="D50" s="22" t="s">
        <v>11242</v>
      </c>
      <c r="E50" s="22">
        <v>28.750000028750001</v>
      </c>
      <c r="F50" s="22">
        <v>28.750000028750001</v>
      </c>
      <c r="G50" s="22">
        <v>28.750000028750001</v>
      </c>
      <c r="H50" s="22">
        <v>28.750000028750001</v>
      </c>
      <c r="I50" s="22">
        <v>28.750000028750001</v>
      </c>
      <c r="J50" s="22">
        <v>28.750000028750001</v>
      </c>
      <c r="K50" s="22">
        <v>28.750000028750001</v>
      </c>
      <c r="L50" s="22">
        <v>28.750000028750001</v>
      </c>
      <c r="M50" s="22">
        <v>28.750000028750001</v>
      </c>
      <c r="N50" s="22">
        <v>28.750000028750001</v>
      </c>
      <c r="O50" s="22">
        <v>28.750000028750001</v>
      </c>
      <c r="P50" s="22">
        <v>28.360170287822701</v>
      </c>
      <c r="Q50" s="22">
        <v>27.053416666666699</v>
      </c>
      <c r="R50" s="22">
        <v>24.515166666583301</v>
      </c>
      <c r="S50" s="22">
        <v>25.408166666583298</v>
      </c>
      <c r="T50" s="22">
        <v>25.5432499999167</v>
      </c>
      <c r="U50" s="22">
        <v>30.2290833333333</v>
      </c>
      <c r="V50" s="22">
        <v>34.046491665833301</v>
      </c>
      <c r="W50" s="22">
        <v>35.500749999</v>
      </c>
      <c r="X50" s="22">
        <v>37.432999999000003</v>
      </c>
      <c r="Y50" s="22">
        <v>40.1749166656667</v>
      </c>
      <c r="Z50" s="22">
        <v>48.694666665666702</v>
      </c>
      <c r="AA50" s="22">
        <v>58.293333332416701</v>
      </c>
      <c r="AB50" s="22">
        <v>71.685833332499996</v>
      </c>
      <c r="AC50" s="22">
        <v>84.877916666166698</v>
      </c>
      <c r="AD50" s="22">
        <v>91.631666666333302</v>
      </c>
      <c r="AE50" s="22">
        <v>80.144916666666703</v>
      </c>
      <c r="AF50" s="22">
        <v>72.465833333333293</v>
      </c>
      <c r="AG50" s="22">
        <v>72.067499999999995</v>
      </c>
      <c r="AH50" s="22">
        <v>77.978083333333302</v>
      </c>
      <c r="AI50" s="22">
        <v>70.031333333333293</v>
      </c>
      <c r="AJ50" s="22">
        <v>71.408333333333303</v>
      </c>
      <c r="AK50" s="22">
        <v>68.017583333333306</v>
      </c>
      <c r="AL50" s="22">
        <v>80.426597362500004</v>
      </c>
      <c r="AM50" s="22">
        <v>81.890833333333305</v>
      </c>
      <c r="AN50" s="22">
        <v>76.853333333333296</v>
      </c>
      <c r="AO50" s="22">
        <v>82.591466666666705</v>
      </c>
      <c r="AP50" s="22">
        <v>93.176666666666705</v>
      </c>
      <c r="AQ50" s="22">
        <v>98.157499999999999</v>
      </c>
      <c r="AR50" s="22">
        <v>102.7</v>
      </c>
      <c r="AS50" s="22">
        <v>115.876551583333</v>
      </c>
      <c r="AT50" s="22">
        <v>123.213333333333</v>
      </c>
      <c r="AU50" s="22">
        <v>117.255833333333</v>
      </c>
      <c r="AV50" s="22">
        <v>97.787499999999994</v>
      </c>
      <c r="AW50" s="22">
        <v>88.7479249022727</v>
      </c>
      <c r="AX50" s="22">
        <v>88.646168526140798</v>
      </c>
      <c r="AY50" s="22">
        <v>87.926064911331395</v>
      </c>
      <c r="AZ50" s="22">
        <v>80.615027157526598</v>
      </c>
      <c r="BA50" s="22">
        <v>75.336003838854396</v>
      </c>
      <c r="BB50" s="22">
        <v>80.035417727784505</v>
      </c>
      <c r="BC50" s="22">
        <v>83.278689375901905</v>
      </c>
      <c r="BD50" s="22">
        <v>79.276881476118305</v>
      </c>
      <c r="BE50" s="22">
        <v>86.318954184704197</v>
      </c>
      <c r="BF50" s="22">
        <v>83.072500000000005</v>
      </c>
      <c r="BG50" s="22">
        <v>83.034499999999994</v>
      </c>
      <c r="BH50" s="22">
        <v>99.385693542568504</v>
      </c>
      <c r="BI50" s="22">
        <v>99.688113636363596</v>
      </c>
      <c r="BJ50" s="22">
        <v>97.806937771512096</v>
      </c>
      <c r="BK50" s="22">
        <v>93.413578908527896</v>
      </c>
      <c r="BL50" s="22">
        <v>98.495178587897598</v>
      </c>
    </row>
    <row r="51" spans="1:64">
      <c r="A51" s="22" t="s">
        <v>10738</v>
      </c>
      <c r="B51" s="22" t="s">
        <v>11296</v>
      </c>
      <c r="C51" s="22" t="s">
        <v>11241</v>
      </c>
      <c r="D51" s="22" t="s">
        <v>11242</v>
      </c>
      <c r="E51" s="22">
        <v>5.6150000046150002</v>
      </c>
      <c r="F51" s="22">
        <v>5.9516666716183302</v>
      </c>
      <c r="G51" s="22">
        <v>6.625000005625</v>
      </c>
      <c r="H51" s="22">
        <v>6.625000005625</v>
      </c>
      <c r="I51" s="22">
        <v>6.625000005625</v>
      </c>
      <c r="J51" s="22">
        <v>6.625000005625</v>
      </c>
      <c r="K51" s="22">
        <v>6.625000005625</v>
      </c>
      <c r="L51" s="22">
        <v>6.625000005625</v>
      </c>
      <c r="M51" s="22">
        <v>6.625000005625</v>
      </c>
      <c r="N51" s="22">
        <v>6.625000005625</v>
      </c>
      <c r="O51" s="22">
        <v>6.625000005625</v>
      </c>
      <c r="P51" s="22">
        <v>6.6258333384062498</v>
      </c>
      <c r="Q51" s="22">
        <v>6.6349999989999997</v>
      </c>
      <c r="R51" s="22">
        <v>6.6467583323333299</v>
      </c>
      <c r="S51" s="22">
        <v>7.9299999989999996</v>
      </c>
      <c r="T51" s="22">
        <v>8.5699999990000002</v>
      </c>
      <c r="U51" s="22">
        <v>8.5699999990000002</v>
      </c>
      <c r="V51" s="22">
        <v>8.5699999990000002</v>
      </c>
      <c r="W51" s="22">
        <v>8.5699999990000002</v>
      </c>
      <c r="X51" s="22">
        <v>8.5699999990000002</v>
      </c>
      <c r="Y51" s="22">
        <v>8.5699999990833309</v>
      </c>
      <c r="Z51" s="22">
        <v>21.7633333325</v>
      </c>
      <c r="AA51" s="22">
        <v>37.406666665750002</v>
      </c>
      <c r="AB51" s="22">
        <v>41.094166665666698</v>
      </c>
      <c r="AC51" s="22">
        <v>44.532683333000001</v>
      </c>
      <c r="AD51" s="22">
        <v>50.45335</v>
      </c>
      <c r="AE51" s="22">
        <v>55.985891666666703</v>
      </c>
      <c r="AF51" s="22">
        <v>62.776200000000003</v>
      </c>
      <c r="AG51" s="22">
        <v>75.804733333333303</v>
      </c>
      <c r="AH51" s="22">
        <v>81.504208333333295</v>
      </c>
      <c r="AI51" s="22">
        <v>91.579291666666705</v>
      </c>
      <c r="AJ51" s="22">
        <v>122.432416666667</v>
      </c>
      <c r="AK51" s="22">
        <v>134.506333333333</v>
      </c>
      <c r="AL51" s="22">
        <v>142.17166666666699</v>
      </c>
      <c r="AM51" s="22">
        <v>157.066666666667</v>
      </c>
      <c r="AN51" s="22">
        <v>179.729166666667</v>
      </c>
      <c r="AO51" s="22">
        <v>207.68916666666701</v>
      </c>
      <c r="AP51" s="22">
        <v>232.5975</v>
      </c>
      <c r="AQ51" s="22">
        <v>257.22916666666703</v>
      </c>
      <c r="AR51" s="22">
        <v>285.68469483333303</v>
      </c>
      <c r="AS51" s="22">
        <v>308.18666666666701</v>
      </c>
      <c r="AT51" s="22">
        <v>328.870833333333</v>
      </c>
      <c r="AU51" s="22">
        <v>359.81752688172003</v>
      </c>
      <c r="AV51" s="22">
        <v>398.662222222222</v>
      </c>
      <c r="AW51" s="22">
        <v>437.935</v>
      </c>
      <c r="AX51" s="22">
        <v>477.786741487455</v>
      </c>
      <c r="AY51" s="22">
        <v>511.30181794034797</v>
      </c>
      <c r="AZ51" s="22">
        <v>516.61739023297503</v>
      </c>
      <c r="BA51" s="22">
        <v>526.23551344086002</v>
      </c>
      <c r="BB51" s="22">
        <v>573.287956733231</v>
      </c>
      <c r="BC51" s="22">
        <v>525.829200716846</v>
      </c>
      <c r="BD51" s="22">
        <v>505.664239919355</v>
      </c>
      <c r="BE51" s="22">
        <v>502.90146198156702</v>
      </c>
      <c r="BF51" s="22">
        <v>499.76683256528401</v>
      </c>
      <c r="BG51" s="22">
        <v>538.31720027905806</v>
      </c>
      <c r="BH51" s="22">
        <v>534.56576996927799</v>
      </c>
      <c r="BI51" s="22">
        <v>544.73936722901999</v>
      </c>
      <c r="BJ51" s="22">
        <v>567.51309030977995</v>
      </c>
      <c r="BK51" s="22">
        <v>576.97250124807999</v>
      </c>
      <c r="BL51" s="22">
        <v>587.29459568612401</v>
      </c>
    </row>
    <row r="52" spans="1:64">
      <c r="A52" s="22" t="s">
        <v>11297</v>
      </c>
      <c r="B52" s="22" t="s">
        <v>11298</v>
      </c>
      <c r="C52" s="22" t="s">
        <v>11241</v>
      </c>
      <c r="D52" s="22" t="s">
        <v>11242</v>
      </c>
    </row>
    <row r="53" spans="1:64">
      <c r="A53" s="22" t="s">
        <v>10743</v>
      </c>
      <c r="B53" s="22" t="s">
        <v>11299</v>
      </c>
      <c r="C53" s="22" t="s">
        <v>11241</v>
      </c>
      <c r="D53" s="22" t="s">
        <v>11242</v>
      </c>
      <c r="E53" s="22">
        <v>0.99999999900000003</v>
      </c>
      <c r="F53" s="22">
        <v>0.99999999900000003</v>
      </c>
      <c r="G53" s="22">
        <v>0.99999999900000003</v>
      </c>
      <c r="H53" s="22">
        <v>0.99999999900000003</v>
      </c>
      <c r="I53" s="22">
        <v>0.99999999900000003</v>
      </c>
      <c r="J53" s="22">
        <v>0.99999999900000003</v>
      </c>
      <c r="K53" s="22">
        <v>0.99999999900000003</v>
      </c>
      <c r="L53" s="22">
        <v>0.99999999900000003</v>
      </c>
      <c r="M53" s="22">
        <v>0.99999999900000003</v>
      </c>
      <c r="N53" s="22">
        <v>0.99999999900000003</v>
      </c>
      <c r="O53" s="22">
        <v>0.99999999900000003</v>
      </c>
      <c r="P53" s="22">
        <v>0.99999999900000003</v>
      </c>
      <c r="Q53" s="22">
        <v>0.92099999899999996</v>
      </c>
      <c r="R53" s="22">
        <v>0.83666666566666703</v>
      </c>
      <c r="S53" s="22">
        <v>0.82199999899999998</v>
      </c>
    </row>
    <row r="54" spans="1:64">
      <c r="A54" s="22" t="s">
        <v>11300</v>
      </c>
      <c r="B54" s="22" t="s">
        <v>11301</v>
      </c>
      <c r="C54" s="22" t="s">
        <v>11241</v>
      </c>
      <c r="D54" s="22" t="s">
        <v>11242</v>
      </c>
      <c r="BD54" s="22">
        <v>1.79</v>
      </c>
      <c r="BE54" s="22">
        <v>1.79</v>
      </c>
      <c r="BF54" s="22">
        <v>1.79</v>
      </c>
      <c r="BG54" s="22">
        <v>1.79</v>
      </c>
      <c r="BH54" s="22">
        <v>1.79</v>
      </c>
      <c r="BI54" s="22">
        <v>1.79</v>
      </c>
      <c r="BJ54" s="22">
        <v>1.79</v>
      </c>
      <c r="BK54" s="22">
        <v>1.79</v>
      </c>
      <c r="BL54" s="22">
        <v>1.79</v>
      </c>
    </row>
    <row r="55" spans="1:64">
      <c r="A55" s="22" t="s">
        <v>10719</v>
      </c>
      <c r="B55" s="22" t="s">
        <v>11302</v>
      </c>
      <c r="C55" s="22" t="s">
        <v>11241</v>
      </c>
      <c r="D55" s="22" t="s">
        <v>11242</v>
      </c>
      <c r="E55" s="22">
        <v>0.71428571479591796</v>
      </c>
      <c r="F55" s="22">
        <v>0.71428571479591796</v>
      </c>
      <c r="G55" s="22">
        <v>0.71428571479591796</v>
      </c>
      <c r="H55" s="22">
        <v>0.71428571479591796</v>
      </c>
      <c r="I55" s="22">
        <v>0.71428571479591796</v>
      </c>
      <c r="J55" s="22">
        <v>0.71428571479591796</v>
      </c>
      <c r="K55" s="22">
        <v>0.71428571479591796</v>
      </c>
      <c r="L55" s="22">
        <v>0.72746699535686898</v>
      </c>
      <c r="M55" s="22">
        <v>0.83333333402777798</v>
      </c>
      <c r="N55" s="22">
        <v>0.83333333402777798</v>
      </c>
      <c r="O55" s="22">
        <v>0.82784386527165499</v>
      </c>
      <c r="P55" s="22">
        <v>0.83275941294144096</v>
      </c>
      <c r="Q55" s="22">
        <v>0.80049730397871</v>
      </c>
      <c r="R55" s="22">
        <v>0.81634189059861495</v>
      </c>
      <c r="S55" s="22">
        <v>0.83882588132865998</v>
      </c>
      <c r="T55" s="22">
        <v>0.83333000000000002</v>
      </c>
      <c r="U55" s="22">
        <v>0.83333000000000002</v>
      </c>
      <c r="V55" s="22">
        <v>0.83333000000000002</v>
      </c>
      <c r="W55" s="22">
        <v>0.83333000000000002</v>
      </c>
      <c r="X55" s="22">
        <v>0.83333000000000002</v>
      </c>
      <c r="Y55" s="22">
        <v>0.83333000000000002</v>
      </c>
      <c r="Z55" s="22">
        <v>0.83333000000000002</v>
      </c>
      <c r="AA55" s="22">
        <v>0.83333000000000002</v>
      </c>
      <c r="AB55" s="22">
        <v>0.83333000000000002</v>
      </c>
      <c r="AC55" s="22">
        <v>0.83333000000000002</v>
      </c>
      <c r="AD55" s="22">
        <v>0.83333000000000002</v>
      </c>
      <c r="AE55" s="22">
        <v>0.83333000000000002</v>
      </c>
      <c r="AF55" s="22">
        <v>0.83333000000000002</v>
      </c>
      <c r="AG55" s="22">
        <v>0.83333000000000002</v>
      </c>
      <c r="AH55" s="22">
        <v>0.83333000000000002</v>
      </c>
      <c r="AI55" s="22">
        <v>0.83333000000000002</v>
      </c>
      <c r="AJ55" s="22">
        <v>0.83333000000000002</v>
      </c>
      <c r="AK55" s="22">
        <v>0.83333000000000002</v>
      </c>
      <c r="AL55" s="22">
        <v>0.83333000000000002</v>
      </c>
      <c r="AM55" s="22">
        <v>0.83333000000000002</v>
      </c>
      <c r="AN55" s="22">
        <v>0.83333000000000002</v>
      </c>
      <c r="AO55" s="22">
        <v>0.83333000000000002</v>
      </c>
      <c r="AP55" s="22">
        <v>0.83333000000000002</v>
      </c>
      <c r="AQ55" s="22">
        <v>0.83333000000000002</v>
      </c>
      <c r="AR55" s="22">
        <v>0.83333000000000002</v>
      </c>
      <c r="AS55" s="22">
        <v>0.83333000000000002</v>
      </c>
      <c r="AT55" s="22">
        <v>0.83333000000000002</v>
      </c>
      <c r="AU55" s="22">
        <v>0.83333000000000002</v>
      </c>
      <c r="AV55" s="22">
        <v>0.83333000000000002</v>
      </c>
      <c r="AW55" s="22">
        <v>0.83333000000000002</v>
      </c>
      <c r="AX55" s="22">
        <v>0.83333000000000002</v>
      </c>
      <c r="AY55" s="22">
        <v>0.83333000000000002</v>
      </c>
      <c r="AZ55" s="22">
        <v>0.83333000000000002</v>
      </c>
      <c r="BA55" s="22">
        <v>0.83333000000000002</v>
      </c>
      <c r="BB55" s="22">
        <v>0.83333000000000002</v>
      </c>
      <c r="BC55" s="22">
        <v>0.83333000000000002</v>
      </c>
      <c r="BD55" s="22">
        <v>0.83333000000000002</v>
      </c>
      <c r="BE55" s="22">
        <v>0.83333000000000002</v>
      </c>
      <c r="BF55" s="22">
        <v>0.83333000000000002</v>
      </c>
      <c r="BG55" s="22">
        <v>0.83333000000000002</v>
      </c>
      <c r="BH55" s="22">
        <v>0.83333000000000002</v>
      </c>
      <c r="BI55" s="22">
        <v>0.83333000000000002</v>
      </c>
      <c r="BJ55" s="22">
        <v>0.83333000000000002</v>
      </c>
      <c r="BK55" s="22">
        <v>0.83333000000000002</v>
      </c>
      <c r="BL55" s="22">
        <v>0.83333000000000002</v>
      </c>
    </row>
    <row r="56" spans="1:64">
      <c r="A56" s="22" t="s">
        <v>10747</v>
      </c>
      <c r="B56" s="22" t="s">
        <v>11303</v>
      </c>
      <c r="C56" s="22" t="s">
        <v>11241</v>
      </c>
      <c r="D56" s="22" t="s">
        <v>11242</v>
      </c>
      <c r="E56" s="22">
        <v>0.357142999357143</v>
      </c>
      <c r="F56" s="22">
        <v>0.357142999357143</v>
      </c>
      <c r="G56" s="22">
        <v>0.357142999357143</v>
      </c>
      <c r="H56" s="22">
        <v>0.357142999357143</v>
      </c>
      <c r="I56" s="22">
        <v>0.357142999357143</v>
      </c>
      <c r="J56" s="22">
        <v>0.357142999357143</v>
      </c>
      <c r="K56" s="22">
        <v>0.357142999357143</v>
      </c>
      <c r="L56" s="22">
        <v>0.36210333266567502</v>
      </c>
      <c r="M56" s="22">
        <v>0.41666699941666702</v>
      </c>
      <c r="N56" s="22">
        <v>0.41666699941666702</v>
      </c>
      <c r="O56" s="22">
        <v>0.41666699941666702</v>
      </c>
      <c r="P56" s="22">
        <v>0.41073059842855703</v>
      </c>
      <c r="Q56" s="22">
        <v>0.38357236917017301</v>
      </c>
      <c r="R56" s="22">
        <v>0.349950502818348</v>
      </c>
      <c r="S56" s="22">
        <v>0.36469271072513199</v>
      </c>
      <c r="T56" s="22">
        <v>0.36890724310711598</v>
      </c>
      <c r="U56" s="22">
        <v>0.41049569197003999</v>
      </c>
      <c r="V56" s="22">
        <v>0.40812157726554699</v>
      </c>
      <c r="W56" s="22">
        <v>0.37351258326468401</v>
      </c>
      <c r="X56" s="22">
        <v>0.35444386394817601</v>
      </c>
      <c r="Y56" s="22">
        <v>0.353051686694203</v>
      </c>
      <c r="Z56" s="22">
        <v>0.42143075903061999</v>
      </c>
      <c r="AA56" s="22">
        <v>0.47538589573342899</v>
      </c>
      <c r="AB56" s="22">
        <v>0.52664077116050401</v>
      </c>
      <c r="AC56" s="22">
        <v>0.58838586009280902</v>
      </c>
      <c r="AD56" s="22">
        <v>0.61255231616374495</v>
      </c>
      <c r="AE56" s="22">
        <v>0.51814308333333303</v>
      </c>
      <c r="AF56" s="22">
        <v>0.48109658333333299</v>
      </c>
      <c r="AG56" s="22">
        <v>0.46662883333333299</v>
      </c>
      <c r="AH56" s="22">
        <v>0.49462491666666702</v>
      </c>
      <c r="AI56" s="22">
        <v>0.45807991666666698</v>
      </c>
      <c r="AJ56" s="22">
        <v>0.46442850000000002</v>
      </c>
      <c r="AK56" s="22">
        <v>0.44954858333333297</v>
      </c>
      <c r="AL56" s="22">
        <v>0.49740516666666701</v>
      </c>
      <c r="AM56" s="22">
        <v>0.49219099999999999</v>
      </c>
      <c r="AN56" s="22">
        <v>0.45242016666666701</v>
      </c>
      <c r="AO56" s="22">
        <v>0.46631125000000001</v>
      </c>
      <c r="AP56" s="22">
        <v>0.51389733333333298</v>
      </c>
      <c r="AQ56" s="22">
        <v>0.51782558333333295</v>
      </c>
      <c r="AR56" s="22">
        <v>0.54294774999999995</v>
      </c>
      <c r="AS56" s="22">
        <v>0.62240911666666698</v>
      </c>
      <c r="AT56" s="22">
        <v>0.64310702615833304</v>
      </c>
      <c r="AU56" s="22">
        <v>0.61065998966666701</v>
      </c>
      <c r="AV56" s="22">
        <v>0.51744326166666699</v>
      </c>
      <c r="AW56" s="22">
        <v>0.46860055225000002</v>
      </c>
      <c r="AX56" s="22">
        <v>0.46407050716166698</v>
      </c>
      <c r="AY56" s="22">
        <v>0.45891594691666698</v>
      </c>
      <c r="AZ56" s="22">
        <v>0.42612499999999998</v>
      </c>
    </row>
    <row r="57" spans="1:64">
      <c r="A57" s="22" t="s">
        <v>11304</v>
      </c>
      <c r="B57" s="22" t="s">
        <v>11305</v>
      </c>
      <c r="C57" s="22" t="s">
        <v>11241</v>
      </c>
      <c r="D57" s="22" t="s">
        <v>11242</v>
      </c>
      <c r="AL57" s="22">
        <v>29.152833333333302</v>
      </c>
      <c r="AM57" s="22">
        <v>28.785083333333301</v>
      </c>
      <c r="AN57" s="22">
        <v>26.540666666666699</v>
      </c>
      <c r="AO57" s="22">
        <v>27.144916666666699</v>
      </c>
      <c r="AP57" s="22">
        <v>31.698416666666699</v>
      </c>
      <c r="AQ57" s="22">
        <v>32.281166666666699</v>
      </c>
      <c r="AR57" s="22">
        <v>34.569249999999997</v>
      </c>
      <c r="AS57" s="22">
        <v>38.598416666666701</v>
      </c>
      <c r="AT57" s="22">
        <v>38.035328333333297</v>
      </c>
      <c r="AU57" s="22">
        <v>32.738518333333303</v>
      </c>
      <c r="AV57" s="22">
        <v>28.209</v>
      </c>
      <c r="AW57" s="22">
        <v>25.699750000000002</v>
      </c>
      <c r="AX57" s="22">
        <v>23.957416666666699</v>
      </c>
      <c r="AY57" s="22">
        <v>22.595583333333298</v>
      </c>
      <c r="AZ57" s="22">
        <v>20.293666666666699</v>
      </c>
      <c r="BA57" s="22">
        <v>17.071666666666701</v>
      </c>
      <c r="BB57" s="22">
        <v>19.062999999999999</v>
      </c>
      <c r="BC57" s="22">
        <v>19.09825</v>
      </c>
      <c r="BD57" s="22">
        <v>17.695916666666701</v>
      </c>
      <c r="BE57" s="22">
        <v>19.577500000000001</v>
      </c>
      <c r="BF57" s="22">
        <v>19.5705833333333</v>
      </c>
      <c r="BG57" s="22">
        <v>20.7575</v>
      </c>
      <c r="BH57" s="22">
        <v>24.598749999999999</v>
      </c>
      <c r="BI57" s="22">
        <v>24.439916666666701</v>
      </c>
      <c r="BJ57" s="22">
        <v>23.376333333333299</v>
      </c>
      <c r="BK57" s="22">
        <v>21.7299166666667</v>
      </c>
      <c r="BL57" s="22">
        <v>22.93225</v>
      </c>
    </row>
    <row r="58" spans="1:64">
      <c r="A58" s="22" t="s">
        <v>10795</v>
      </c>
      <c r="B58" s="22" t="s">
        <v>11306</v>
      </c>
      <c r="C58" s="22" t="s">
        <v>11241</v>
      </c>
      <c r="D58" s="22" t="s">
        <v>11242</v>
      </c>
      <c r="E58" s="22">
        <v>4.2000000032000004</v>
      </c>
      <c r="F58" s="22">
        <v>4.0333333363666704</v>
      </c>
      <c r="G58" s="22">
        <v>4.0000000030000002</v>
      </c>
      <c r="H58" s="22">
        <v>4.0000000030000002</v>
      </c>
      <c r="I58" s="22">
        <v>4.0000000030000002</v>
      </c>
      <c r="J58" s="22">
        <v>4.0000000030000002</v>
      </c>
      <c r="K58" s="22">
        <v>4.0000000030000002</v>
      </c>
      <c r="L58" s="22">
        <v>4.0000000030000002</v>
      </c>
      <c r="M58" s="22">
        <v>4.0000000030000002</v>
      </c>
      <c r="N58" s="22">
        <v>3.94333333594333</v>
      </c>
      <c r="O58" s="22">
        <v>3.6600000026599999</v>
      </c>
      <c r="P58" s="22">
        <v>3.50739351008637</v>
      </c>
      <c r="Q58" s="22">
        <v>3.1886416656666698</v>
      </c>
      <c r="R58" s="22">
        <v>2.6725999990833298</v>
      </c>
      <c r="S58" s="22">
        <v>2.5877499990000001</v>
      </c>
      <c r="T58" s="22">
        <v>2.4602916660833301</v>
      </c>
      <c r="U58" s="22">
        <v>2.5179999990833299</v>
      </c>
      <c r="V58" s="22">
        <v>2.3221833324166701</v>
      </c>
      <c r="W58" s="22">
        <v>2.00862499916667</v>
      </c>
      <c r="X58" s="22">
        <v>1.8328833325</v>
      </c>
      <c r="Y58" s="22">
        <v>1.81766666583333</v>
      </c>
      <c r="Z58" s="22">
        <v>2.2599999990833299</v>
      </c>
      <c r="AA58" s="22">
        <v>2.4265916657500002</v>
      </c>
      <c r="AB58" s="22">
        <v>2.5532583324166702</v>
      </c>
      <c r="AC58" s="22">
        <v>2.8459416661666701</v>
      </c>
      <c r="AD58" s="22">
        <v>2.9439666665000002</v>
      </c>
      <c r="AE58" s="22">
        <v>2.1714833330833301</v>
      </c>
      <c r="AF58" s="22">
        <v>1.7973916666666701</v>
      </c>
      <c r="AG58" s="22">
        <v>1.7562249999999999</v>
      </c>
      <c r="AH58" s="22">
        <v>1.8800416666666699</v>
      </c>
      <c r="AI58" s="22">
        <v>1.6157333333333299</v>
      </c>
      <c r="AJ58" s="22">
        <v>1.65954166666667</v>
      </c>
      <c r="AK58" s="22">
        <v>1.56165</v>
      </c>
      <c r="AL58" s="22">
        <v>1.65332083333333</v>
      </c>
      <c r="AM58" s="22">
        <v>1.6227941666666701</v>
      </c>
      <c r="AN58" s="22">
        <v>1.4331324999999999</v>
      </c>
      <c r="AO58" s="22">
        <v>1.5047741666666701</v>
      </c>
      <c r="AP58" s="22">
        <v>1.73405583333333</v>
      </c>
      <c r="AQ58" s="22">
        <v>1.7596676</v>
      </c>
    </row>
    <row r="59" spans="1:64">
      <c r="A59" s="22" t="s">
        <v>10758</v>
      </c>
      <c r="B59" s="22" t="s">
        <v>11307</v>
      </c>
      <c r="C59" s="22" t="s">
        <v>11241</v>
      </c>
      <c r="D59" s="22" t="s">
        <v>11242</v>
      </c>
      <c r="E59" s="22">
        <v>214.39200021339201</v>
      </c>
      <c r="F59" s="22">
        <v>214.39200021339201</v>
      </c>
      <c r="G59" s="22">
        <v>214.39200021339201</v>
      </c>
      <c r="H59" s="22">
        <v>214.39200021339201</v>
      </c>
      <c r="I59" s="22">
        <v>214.39200021339201</v>
      </c>
      <c r="J59" s="22">
        <v>214.39200021339201</v>
      </c>
      <c r="K59" s="22">
        <v>214.39200021339201</v>
      </c>
      <c r="L59" s="22">
        <v>214.39200021339201</v>
      </c>
      <c r="M59" s="22">
        <v>214.39200021339201</v>
      </c>
      <c r="N59" s="22">
        <v>214.39200021339201</v>
      </c>
      <c r="O59" s="22">
        <v>214.39200021339201</v>
      </c>
      <c r="P59" s="22">
        <v>213.77875019552599</v>
      </c>
      <c r="Q59" s="22">
        <v>197.46599999899999</v>
      </c>
      <c r="R59" s="22">
        <v>179.94233333233299</v>
      </c>
      <c r="S59" s="22">
        <v>177.72099999899999</v>
      </c>
      <c r="T59" s="22">
        <v>177.72099999899999</v>
      </c>
      <c r="U59" s="22">
        <v>177.72099999899999</v>
      </c>
      <c r="V59" s="22">
        <v>177.72099999899999</v>
      </c>
      <c r="W59" s="22">
        <v>177.72099999899999</v>
      </c>
      <c r="X59" s="22">
        <v>177.72099999899999</v>
      </c>
      <c r="Y59" s="22">
        <v>177.72099999899999</v>
      </c>
      <c r="Z59" s="22">
        <v>177.72099999899999</v>
      </c>
      <c r="AA59" s="22">
        <v>177.72099999899999</v>
      </c>
      <c r="AB59" s="22">
        <v>177.72099999899999</v>
      </c>
      <c r="AC59" s="22">
        <v>177.72099999899999</v>
      </c>
      <c r="AD59" s="22">
        <v>177.72099999899999</v>
      </c>
      <c r="AE59" s="22">
        <v>177.72099999950001</v>
      </c>
      <c r="AF59" s="22">
        <v>177.721</v>
      </c>
      <c r="AG59" s="22">
        <v>177.721</v>
      </c>
      <c r="AH59" s="22">
        <v>177.721</v>
      </c>
      <c r="AI59" s="22">
        <v>177.721</v>
      </c>
      <c r="AJ59" s="22">
        <v>177.721</v>
      </c>
      <c r="AK59" s="22">
        <v>177.721</v>
      </c>
      <c r="AL59" s="22">
        <v>177.721</v>
      </c>
      <c r="AM59" s="22">
        <v>177.721</v>
      </c>
      <c r="AN59" s="22">
        <v>177.721</v>
      </c>
      <c r="AO59" s="22">
        <v>177.721</v>
      </c>
      <c r="AP59" s="22">
        <v>177.721</v>
      </c>
      <c r="AQ59" s="22">
        <v>177.721</v>
      </c>
      <c r="AR59" s="22">
        <v>177.721</v>
      </c>
      <c r="AS59" s="22">
        <v>177.721</v>
      </c>
      <c r="AT59" s="22">
        <v>177.721</v>
      </c>
      <c r="AU59" s="22">
        <v>177.721</v>
      </c>
      <c r="AV59" s="22">
        <v>177.721</v>
      </c>
      <c r="AW59" s="22">
        <v>177.721</v>
      </c>
      <c r="AX59" s="22">
        <v>177.721</v>
      </c>
      <c r="AY59" s="22">
        <v>177.721</v>
      </c>
      <c r="AZ59" s="22">
        <v>177.721</v>
      </c>
      <c r="BA59" s="22">
        <v>177.721</v>
      </c>
      <c r="BB59" s="22">
        <v>177.721</v>
      </c>
      <c r="BC59" s="22">
        <v>177.721</v>
      </c>
      <c r="BD59" s="22">
        <v>177.721</v>
      </c>
      <c r="BE59" s="22">
        <v>177.721</v>
      </c>
      <c r="BF59" s="22">
        <v>177.721</v>
      </c>
      <c r="BG59" s="22">
        <v>177.72083333333299</v>
      </c>
      <c r="BH59" s="22">
        <v>177.72</v>
      </c>
      <c r="BI59" s="22">
        <v>177.72</v>
      </c>
      <c r="BJ59" s="22">
        <v>177.72</v>
      </c>
      <c r="BK59" s="22">
        <v>177.72</v>
      </c>
      <c r="BL59" s="22">
        <v>177.72</v>
      </c>
    </row>
    <row r="60" spans="1:64">
      <c r="A60" s="22" t="s">
        <v>10760</v>
      </c>
      <c r="B60" s="22" t="s">
        <v>11308</v>
      </c>
      <c r="C60" s="22" t="s">
        <v>11241</v>
      </c>
      <c r="D60" s="22" t="s">
        <v>11242</v>
      </c>
      <c r="E60" s="22">
        <v>1.7142900007142901</v>
      </c>
      <c r="F60" s="22">
        <v>1.7142900007142901</v>
      </c>
      <c r="G60" s="22">
        <v>1.7142900007142901</v>
      </c>
      <c r="H60" s="22">
        <v>1.7142900007142901</v>
      </c>
      <c r="I60" s="22">
        <v>1.7142900007142901</v>
      </c>
      <c r="J60" s="22">
        <v>1.7142900007142901</v>
      </c>
      <c r="K60" s="22">
        <v>1.7142900007142901</v>
      </c>
      <c r="L60" s="22">
        <v>1.7619083340952399</v>
      </c>
      <c r="M60" s="22">
        <v>2.0000000010000001</v>
      </c>
      <c r="N60" s="22">
        <v>2.0000000010000001</v>
      </c>
      <c r="O60" s="22">
        <v>2.0000000010000001</v>
      </c>
      <c r="P60" s="22">
        <v>1.97487273321145</v>
      </c>
      <c r="Q60" s="22">
        <v>1.9212781494760101</v>
      </c>
      <c r="R60" s="22">
        <v>1.9592192359816101</v>
      </c>
      <c r="S60" s="22">
        <v>2.0532324085176299</v>
      </c>
      <c r="T60" s="22">
        <v>2.16979583233333</v>
      </c>
      <c r="U60" s="22">
        <v>2.6146708328333301</v>
      </c>
      <c r="V60" s="22">
        <v>2.7</v>
      </c>
      <c r="W60" s="22">
        <v>2.7</v>
      </c>
      <c r="X60" s="22">
        <v>2.7</v>
      </c>
      <c r="Y60" s="22">
        <v>2.7</v>
      </c>
      <c r="Z60" s="22">
        <v>2.7</v>
      </c>
      <c r="AA60" s="22">
        <v>2.7</v>
      </c>
      <c r="AB60" s="22">
        <v>2.7</v>
      </c>
      <c r="AC60" s="22">
        <v>2.7</v>
      </c>
      <c r="AD60" s="22">
        <v>2.7</v>
      </c>
      <c r="AE60" s="22">
        <v>2.7</v>
      </c>
      <c r="AF60" s="22">
        <v>2.7</v>
      </c>
      <c r="AG60" s="22">
        <v>2.7</v>
      </c>
      <c r="AH60" s="22">
        <v>2.7</v>
      </c>
      <c r="AI60" s="22">
        <v>2.7</v>
      </c>
      <c r="AJ60" s="22">
        <v>2.7</v>
      </c>
      <c r="AK60" s="22">
        <v>2.7</v>
      </c>
      <c r="AL60" s="22">
        <v>2.7</v>
      </c>
      <c r="AM60" s="22">
        <v>2.7</v>
      </c>
      <c r="AN60" s="22">
        <v>2.7</v>
      </c>
      <c r="AO60" s="22">
        <v>2.7</v>
      </c>
      <c r="AP60" s="22">
        <v>2.7</v>
      </c>
      <c r="AQ60" s="22">
        <v>2.7</v>
      </c>
      <c r="AR60" s="22">
        <v>2.7</v>
      </c>
      <c r="AS60" s="22">
        <v>2.7</v>
      </c>
      <c r="AT60" s="22">
        <v>2.7</v>
      </c>
      <c r="AU60" s="22">
        <v>2.7</v>
      </c>
      <c r="AV60" s="22">
        <v>2.7</v>
      </c>
      <c r="AW60" s="22">
        <v>2.7</v>
      </c>
      <c r="AX60" s="22">
        <v>2.7</v>
      </c>
      <c r="AY60" s="22">
        <v>2.7</v>
      </c>
      <c r="AZ60" s="22">
        <v>2.7</v>
      </c>
      <c r="BA60" s="22">
        <v>2.7</v>
      </c>
      <c r="BB60" s="22">
        <v>2.7</v>
      </c>
      <c r="BC60" s="22">
        <v>2.7</v>
      </c>
      <c r="BD60" s="22">
        <v>2.7</v>
      </c>
      <c r="BE60" s="22">
        <v>2.7</v>
      </c>
      <c r="BF60" s="22">
        <v>2.7</v>
      </c>
      <c r="BG60" s="22">
        <v>2.7</v>
      </c>
      <c r="BH60" s="22">
        <v>2.7</v>
      </c>
      <c r="BI60" s="22">
        <v>2.7</v>
      </c>
      <c r="BJ60" s="22">
        <v>2.7</v>
      </c>
      <c r="BK60" s="22">
        <v>2.7</v>
      </c>
      <c r="BL60" s="22">
        <v>2.7</v>
      </c>
    </row>
    <row r="61" spans="1:64">
      <c r="A61" s="22" t="s">
        <v>10757</v>
      </c>
      <c r="B61" s="22" t="s">
        <v>11309</v>
      </c>
      <c r="C61" s="22" t="s">
        <v>11241</v>
      </c>
      <c r="D61" s="22" t="s">
        <v>11242</v>
      </c>
      <c r="E61" s="22">
        <v>6.9071400059071397</v>
      </c>
      <c r="F61" s="22">
        <v>6.9071400059071397</v>
      </c>
      <c r="G61" s="22">
        <v>6.9071400059071397</v>
      </c>
      <c r="H61" s="22">
        <v>6.9071400059071397</v>
      </c>
      <c r="I61" s="22">
        <v>6.9071400059071397</v>
      </c>
      <c r="J61" s="22">
        <v>6.9071400059071397</v>
      </c>
      <c r="K61" s="22">
        <v>6.9071400059071397</v>
      </c>
      <c r="L61" s="22">
        <v>6.9565416720476199</v>
      </c>
      <c r="M61" s="22">
        <v>7.5000000064999996</v>
      </c>
      <c r="N61" s="22">
        <v>7.5000000064999996</v>
      </c>
      <c r="O61" s="22">
        <v>7.5000000064999996</v>
      </c>
      <c r="P61" s="22">
        <v>7.4263379687119402</v>
      </c>
      <c r="Q61" s="22">
        <v>6.9492916656666699</v>
      </c>
      <c r="R61" s="22">
        <v>6.049499999</v>
      </c>
      <c r="S61" s="22">
        <v>6.0948999989999999</v>
      </c>
      <c r="T61" s="22">
        <v>5.746149999</v>
      </c>
      <c r="U61" s="22">
        <v>6.0450249989999998</v>
      </c>
      <c r="V61" s="22">
        <v>6.0031916656666704</v>
      </c>
      <c r="W61" s="22">
        <v>5.5146249989999996</v>
      </c>
      <c r="X61" s="22">
        <v>5.2609583323333302</v>
      </c>
      <c r="Y61" s="22">
        <v>5.6359416656666701</v>
      </c>
      <c r="Z61" s="22">
        <v>7.1233666656666701</v>
      </c>
      <c r="AA61" s="22">
        <v>8.3324416661666696</v>
      </c>
      <c r="AB61" s="22">
        <v>9.1449916657500001</v>
      </c>
      <c r="AC61" s="22">
        <v>10.356591666250001</v>
      </c>
      <c r="AD61" s="22">
        <v>10.5963916664167</v>
      </c>
      <c r="AE61" s="22">
        <v>8.0909916665833403</v>
      </c>
      <c r="AF61" s="22">
        <v>6.8403166666666699</v>
      </c>
      <c r="AG61" s="22">
        <v>6.7315250000000004</v>
      </c>
      <c r="AH61" s="22">
        <v>7.3101750000000001</v>
      </c>
      <c r="AI61" s="22">
        <v>6.1885583333333303</v>
      </c>
      <c r="AJ61" s="22">
        <v>6.3964583333333298</v>
      </c>
      <c r="AK61" s="22">
        <v>6.0361333333333302</v>
      </c>
      <c r="AL61" s="22">
        <v>6.4839391666666701</v>
      </c>
      <c r="AM61" s="22">
        <v>6.3605516666666704</v>
      </c>
      <c r="AN61" s="22">
        <v>5.6023666666666703</v>
      </c>
      <c r="AO61" s="22">
        <v>5.79867166666667</v>
      </c>
      <c r="AP61" s="22">
        <v>6.6044591666666701</v>
      </c>
      <c r="AQ61" s="22">
        <v>6.7008266666666696</v>
      </c>
      <c r="AR61" s="22">
        <v>6.9762399999999998</v>
      </c>
      <c r="AS61" s="22">
        <v>8.0831441666666706</v>
      </c>
      <c r="AT61" s="22">
        <v>8.3228174999999993</v>
      </c>
      <c r="AU61" s="22">
        <v>7.8947141666666703</v>
      </c>
      <c r="AV61" s="22">
        <v>6.5876733333333304</v>
      </c>
      <c r="AW61" s="22">
        <v>5.9910566666666698</v>
      </c>
      <c r="AX61" s="22">
        <v>5.9969099999999997</v>
      </c>
      <c r="AY61" s="22">
        <v>5.9467783333333299</v>
      </c>
      <c r="AZ61" s="22">
        <v>5.4437008333333301</v>
      </c>
      <c r="BA61" s="22">
        <v>5.0981308333333297</v>
      </c>
      <c r="BB61" s="22">
        <v>5.36086666666667</v>
      </c>
      <c r="BC61" s="22">
        <v>5.6240750000000004</v>
      </c>
      <c r="BD61" s="22">
        <v>5.3687115350877201</v>
      </c>
      <c r="BE61" s="22">
        <v>5.7924755370391603</v>
      </c>
      <c r="BF61" s="22">
        <v>5.6163116861762203</v>
      </c>
      <c r="BG61" s="22">
        <v>5.6124666666666698</v>
      </c>
      <c r="BH61" s="22">
        <v>6.7279068312963002</v>
      </c>
      <c r="BI61" s="22">
        <v>6.7317182572463796</v>
      </c>
      <c r="BJ61" s="22">
        <v>6.6028934656140397</v>
      </c>
      <c r="BK61" s="22">
        <v>6.3146187866666699</v>
      </c>
      <c r="BL61" s="22">
        <v>6.669446615</v>
      </c>
    </row>
    <row r="62" spans="1:64">
      <c r="A62" s="22" t="s">
        <v>10762</v>
      </c>
      <c r="B62" s="22" t="s">
        <v>11310</v>
      </c>
      <c r="C62" s="22" t="s">
        <v>11241</v>
      </c>
      <c r="D62" s="22" t="s">
        <v>11242</v>
      </c>
      <c r="E62" s="22">
        <v>1</v>
      </c>
      <c r="F62" s="22">
        <v>1</v>
      </c>
      <c r="G62" s="22">
        <v>1</v>
      </c>
      <c r="H62" s="22">
        <v>1</v>
      </c>
      <c r="I62" s="22">
        <v>1</v>
      </c>
      <c r="J62" s="22">
        <v>1</v>
      </c>
      <c r="K62" s="22">
        <v>1</v>
      </c>
      <c r="L62" s="22">
        <v>1</v>
      </c>
      <c r="M62" s="22">
        <v>1</v>
      </c>
      <c r="N62" s="22">
        <v>1</v>
      </c>
      <c r="O62" s="22">
        <v>1</v>
      </c>
      <c r="P62" s="22">
        <v>0.99999999991666699</v>
      </c>
      <c r="Q62" s="22">
        <v>1</v>
      </c>
      <c r="R62" s="22">
        <v>0.99999999991666699</v>
      </c>
      <c r="S62" s="22">
        <v>0.99999999949999996</v>
      </c>
      <c r="T62" s="22">
        <v>0.99999999900000003</v>
      </c>
      <c r="U62" s="22">
        <v>0.99999999900000003</v>
      </c>
      <c r="V62" s="22">
        <v>0.99999999900000003</v>
      </c>
      <c r="W62" s="22">
        <v>0.99999999900000003</v>
      </c>
      <c r="X62" s="22">
        <v>0.99999999900000003</v>
      </c>
      <c r="Y62" s="22">
        <v>0.99999999900000003</v>
      </c>
      <c r="Z62" s="22">
        <v>0.99999999900000003</v>
      </c>
      <c r="AA62" s="22">
        <v>0.99999999900000003</v>
      </c>
      <c r="AB62" s="22">
        <v>0.99999999900000003</v>
      </c>
      <c r="AC62" s="22">
        <v>0.99999999958333297</v>
      </c>
      <c r="AD62" s="22">
        <v>3.1126083333333301</v>
      </c>
      <c r="AE62" s="22">
        <v>2.9043333332499999</v>
      </c>
      <c r="AF62" s="22">
        <v>3.8447583333333299</v>
      </c>
      <c r="AG62" s="22">
        <v>6.1125166666666697</v>
      </c>
      <c r="AH62" s="22">
        <v>6.34</v>
      </c>
      <c r="AI62" s="22">
        <v>8.5252999999999997</v>
      </c>
      <c r="AJ62" s="22">
        <v>12.5759189640769</v>
      </c>
      <c r="AK62" s="22">
        <v>12.5</v>
      </c>
      <c r="AL62" s="22">
        <v>12.5</v>
      </c>
      <c r="AM62" s="22">
        <v>12.6167803030303</v>
      </c>
      <c r="AN62" s="22">
        <v>12.87</v>
      </c>
      <c r="AO62" s="22">
        <v>12.8963492063492</v>
      </c>
      <c r="AP62" s="22">
        <v>14.005921052631599</v>
      </c>
      <c r="AQ62" s="22">
        <v>14.703110844469499</v>
      </c>
      <c r="AR62" s="22">
        <v>15.834429906597</v>
      </c>
      <c r="AS62" s="22">
        <v>16.181457678286598</v>
      </c>
      <c r="AT62" s="22">
        <v>16.690961523125999</v>
      </c>
      <c r="AU62" s="22">
        <v>17.593043688767398</v>
      </c>
      <c r="AV62" s="22">
        <v>29.3699996161352</v>
      </c>
      <c r="AW62" s="22">
        <v>41.930314572938698</v>
      </c>
      <c r="AX62" s="22">
        <v>30.282808177008199</v>
      </c>
      <c r="AY62" s="22">
        <v>33.300035201722999</v>
      </c>
      <c r="AZ62" s="22">
        <v>33.171870575549498</v>
      </c>
      <c r="BA62" s="22">
        <v>34.529360957350598</v>
      </c>
      <c r="BB62" s="22">
        <v>35.971865545260002</v>
      </c>
      <c r="BC62" s="22">
        <v>36.821291867081499</v>
      </c>
      <c r="BD62" s="22">
        <v>38.087584866809898</v>
      </c>
      <c r="BE62" s="22">
        <v>39.320300843225802</v>
      </c>
      <c r="BF62" s="22">
        <v>41.794503425229699</v>
      </c>
      <c r="BG62" s="22">
        <v>43.549672619047598</v>
      </c>
      <c r="BH62" s="22">
        <v>45.045499074074101</v>
      </c>
      <c r="BI62" s="22">
        <v>46.064443939393897</v>
      </c>
      <c r="BJ62" s="22">
        <v>47.534358196248199</v>
      </c>
      <c r="BK62" s="22">
        <v>49.509992857142898</v>
      </c>
      <c r="BL62" s="22">
        <v>51.294858333333302</v>
      </c>
    </row>
    <row r="63" spans="1:64">
      <c r="A63" s="22" t="s">
        <v>10534</v>
      </c>
      <c r="B63" s="22" t="s">
        <v>11311</v>
      </c>
      <c r="C63" s="22" t="s">
        <v>11241</v>
      </c>
      <c r="D63" s="22" t="s">
        <v>11242</v>
      </c>
      <c r="E63" s="22">
        <v>4.9370600039370602</v>
      </c>
      <c r="F63" s="22">
        <v>4.9370600039370602</v>
      </c>
      <c r="G63" s="22">
        <v>4.9370600039370602</v>
      </c>
      <c r="H63" s="22">
        <v>4.9370600039370602</v>
      </c>
      <c r="I63" s="22">
        <v>4.9370600039370602</v>
      </c>
      <c r="J63" s="22">
        <v>4.9370600039370602</v>
      </c>
      <c r="K63" s="22">
        <v>4.9370600039370602</v>
      </c>
      <c r="L63" s="22">
        <v>4.9370600039370602</v>
      </c>
      <c r="M63" s="22">
        <v>4.9370600039370602</v>
      </c>
      <c r="N63" s="22">
        <v>4.9370600039370602</v>
      </c>
      <c r="O63" s="22">
        <v>4.9370600039370602</v>
      </c>
      <c r="P63" s="22">
        <v>4.9126383368589703</v>
      </c>
      <c r="Q63" s="22">
        <v>4.48051495321132</v>
      </c>
      <c r="R63" s="22">
        <v>3.9624954122422298</v>
      </c>
      <c r="S63" s="22">
        <v>4.1807499989999997</v>
      </c>
      <c r="T63" s="22">
        <v>3.9494083323333302</v>
      </c>
      <c r="U63" s="22">
        <v>4.163824999</v>
      </c>
      <c r="V63" s="22">
        <v>4.1467583323333299</v>
      </c>
      <c r="W63" s="22">
        <v>3.9658999989999999</v>
      </c>
      <c r="X63" s="22">
        <v>3.8532666656666699</v>
      </c>
      <c r="Y63" s="22">
        <v>3.8374499989999999</v>
      </c>
      <c r="Z63" s="22">
        <v>4.3158083323333303</v>
      </c>
      <c r="AA63" s="22">
        <v>4.5921916656666699</v>
      </c>
      <c r="AB63" s="22">
        <v>4.7887999990000001</v>
      </c>
      <c r="AC63" s="22">
        <v>4.9833749995833303</v>
      </c>
      <c r="AD63" s="22">
        <v>5.0278</v>
      </c>
      <c r="AE63" s="22">
        <v>4.70231666666667</v>
      </c>
      <c r="AF63" s="22">
        <v>4.8497416666666702</v>
      </c>
      <c r="AG63" s="22">
        <v>5.9147666666666696</v>
      </c>
      <c r="AH63" s="22">
        <v>7.6085583333333302</v>
      </c>
      <c r="AI63" s="22">
        <v>8.9575083333333296</v>
      </c>
      <c r="AJ63" s="22">
        <v>18.472874999999998</v>
      </c>
      <c r="AK63" s="22">
        <v>21.836075000000001</v>
      </c>
      <c r="AL63" s="22">
        <v>23.345406666666701</v>
      </c>
      <c r="AM63" s="22">
        <v>35.058500833333298</v>
      </c>
      <c r="AN63" s="22">
        <v>47.6627266666667</v>
      </c>
      <c r="AO63" s="22">
        <v>54.748933333333298</v>
      </c>
      <c r="AP63" s="22">
        <v>57.707349999999998</v>
      </c>
      <c r="AQ63" s="22">
        <v>58.738958333333301</v>
      </c>
      <c r="AR63" s="22">
        <v>66.573875000000001</v>
      </c>
      <c r="AS63" s="22">
        <v>75.2597916666667</v>
      </c>
      <c r="AT63" s="22">
        <v>77.215020833333298</v>
      </c>
      <c r="AU63" s="22">
        <v>79.681899999999999</v>
      </c>
      <c r="AV63" s="22">
        <v>77.394975000000002</v>
      </c>
      <c r="AW63" s="22">
        <v>72.060649999999995</v>
      </c>
      <c r="AX63" s="22">
        <v>73.276308333333304</v>
      </c>
      <c r="AY63" s="22">
        <v>72.646616666666702</v>
      </c>
      <c r="AZ63" s="22">
        <v>69.292400000000001</v>
      </c>
      <c r="BA63" s="22">
        <v>64.582800000000006</v>
      </c>
      <c r="BB63" s="22">
        <v>72.6474166666667</v>
      </c>
      <c r="BC63" s="22">
        <v>74.3859833333333</v>
      </c>
      <c r="BD63" s="22">
        <v>72.937883333333303</v>
      </c>
      <c r="BE63" s="22">
        <v>77.535966666666695</v>
      </c>
      <c r="BF63" s="22">
        <v>79.368399999999994</v>
      </c>
      <c r="BG63" s="22">
        <v>80.579016666666703</v>
      </c>
      <c r="BH63" s="22">
        <v>100.69143333333299</v>
      </c>
      <c r="BI63" s="22">
        <v>109.44306666666699</v>
      </c>
      <c r="BJ63" s="22">
        <v>110.97301666666699</v>
      </c>
      <c r="BK63" s="22">
        <v>116.593791666667</v>
      </c>
      <c r="BL63" s="22">
        <v>119.353558333333</v>
      </c>
    </row>
    <row r="64" spans="1:64">
      <c r="A64" s="22" t="s">
        <v>11312</v>
      </c>
      <c r="B64" s="22" t="s">
        <v>11313</v>
      </c>
      <c r="C64" s="22" t="s">
        <v>11241</v>
      </c>
      <c r="D64" s="22" t="s">
        <v>11242</v>
      </c>
    </row>
    <row r="65" spans="1:64">
      <c r="A65" s="22" t="s">
        <v>11314</v>
      </c>
      <c r="B65" s="22" t="s">
        <v>11315</v>
      </c>
      <c r="C65" s="22" t="s">
        <v>11241</v>
      </c>
      <c r="D65" s="22" t="s">
        <v>11242</v>
      </c>
    </row>
    <row r="66" spans="1:64">
      <c r="A66" s="22" t="s">
        <v>11316</v>
      </c>
      <c r="B66" s="22" t="s">
        <v>11317</v>
      </c>
      <c r="C66" s="22" t="s">
        <v>11241</v>
      </c>
      <c r="D66" s="22" t="s">
        <v>11242</v>
      </c>
    </row>
    <row r="67" spans="1:64">
      <c r="A67" s="22" t="s">
        <v>11318</v>
      </c>
      <c r="B67" s="22" t="s">
        <v>11319</v>
      </c>
      <c r="C67" s="22" t="s">
        <v>11241</v>
      </c>
      <c r="D67" s="22" t="s">
        <v>11242</v>
      </c>
    </row>
    <row r="68" spans="1:64">
      <c r="A68" s="22" t="s">
        <v>11320</v>
      </c>
      <c r="B68" s="22" t="s">
        <v>11321</v>
      </c>
      <c r="C68" s="22" t="s">
        <v>11241</v>
      </c>
      <c r="D68" s="22" t="s">
        <v>11242</v>
      </c>
    </row>
    <row r="69" spans="1:64">
      <c r="A69" s="22" t="s">
        <v>10764</v>
      </c>
      <c r="B69" s="22" t="s">
        <v>11322</v>
      </c>
      <c r="C69" s="22" t="s">
        <v>11241</v>
      </c>
      <c r="D69" s="22" t="s">
        <v>11242</v>
      </c>
      <c r="E69" s="22">
        <v>15.000000014999999</v>
      </c>
      <c r="F69" s="22">
        <v>16.5000000165</v>
      </c>
      <c r="G69" s="22">
        <v>18.000000018000001</v>
      </c>
      <c r="H69" s="22">
        <v>18.000000018000001</v>
      </c>
      <c r="I69" s="22">
        <v>18.000000018000001</v>
      </c>
      <c r="J69" s="22">
        <v>18.000000018000001</v>
      </c>
      <c r="K69" s="22">
        <v>18.000000018000001</v>
      </c>
      <c r="L69" s="22">
        <v>18.000000018000001</v>
      </c>
      <c r="M69" s="22">
        <v>18.000000018000001</v>
      </c>
      <c r="N69" s="22">
        <v>18.000000018000001</v>
      </c>
      <c r="O69" s="22">
        <v>20.9166666871667</v>
      </c>
      <c r="P69" s="22">
        <v>25.000000021916701</v>
      </c>
      <c r="Q69" s="22">
        <v>25.000138180545601</v>
      </c>
      <c r="R69" s="22">
        <v>24.999976992090001</v>
      </c>
      <c r="S69" s="22">
        <v>24.999979285776799</v>
      </c>
      <c r="T69" s="22">
        <v>24.999999999</v>
      </c>
      <c r="U69" s="22">
        <v>24.999999999</v>
      </c>
      <c r="V69" s="22">
        <v>24.999999999</v>
      </c>
      <c r="W69" s="22">
        <v>24.999999999</v>
      </c>
      <c r="X69" s="22">
        <v>24.999999999</v>
      </c>
      <c r="Y69" s="22">
        <v>24.999999999</v>
      </c>
      <c r="Z69" s="22">
        <v>24.999999999</v>
      </c>
      <c r="AA69" s="22">
        <v>30.025833332333299</v>
      </c>
      <c r="AB69" s="22">
        <v>44.115008332333304</v>
      </c>
      <c r="AC69" s="22">
        <v>62.535899999249999</v>
      </c>
      <c r="AD69" s="22">
        <v>69.556249999083306</v>
      </c>
      <c r="AE69" s="22">
        <v>122.77924166666701</v>
      </c>
      <c r="AF69" s="22">
        <v>170.46166666666701</v>
      </c>
      <c r="AG69" s="22">
        <v>301.61083333333301</v>
      </c>
      <c r="AH69" s="22">
        <v>526.34833333333302</v>
      </c>
      <c r="AI69" s="22">
        <v>767.75083333333305</v>
      </c>
      <c r="AJ69" s="22">
        <v>1046.24933333333</v>
      </c>
      <c r="AK69" s="22">
        <v>1533.96166666667</v>
      </c>
      <c r="AL69" s="22">
        <v>1919.105</v>
      </c>
      <c r="AM69" s="22">
        <v>2196.7283333333298</v>
      </c>
      <c r="AN69" s="22">
        <v>2564.49416666667</v>
      </c>
      <c r="AO69" s="22">
        <v>3189.47416666667</v>
      </c>
      <c r="AP69" s="22">
        <v>3998.2666666666701</v>
      </c>
      <c r="AQ69" s="22">
        <v>5446.5729000000001</v>
      </c>
      <c r="AR69" s="22">
        <v>11786.801666666701</v>
      </c>
      <c r="AS69" s="22">
        <v>1</v>
      </c>
      <c r="AT69" s="22">
        <v>1</v>
      </c>
      <c r="AU69" s="22">
        <v>1</v>
      </c>
      <c r="AV69" s="22">
        <v>1</v>
      </c>
      <c r="AW69" s="22">
        <v>1</v>
      </c>
      <c r="AX69" s="22">
        <v>1</v>
      </c>
      <c r="AY69" s="22">
        <v>1</v>
      </c>
      <c r="AZ69" s="22">
        <v>1</v>
      </c>
      <c r="BA69" s="22">
        <v>1</v>
      </c>
      <c r="BB69" s="22">
        <v>1</v>
      </c>
      <c r="BC69" s="22">
        <v>1</v>
      </c>
      <c r="BD69" s="22">
        <v>1</v>
      </c>
      <c r="BE69" s="22">
        <v>1</v>
      </c>
      <c r="BF69" s="22">
        <v>1</v>
      </c>
      <c r="BG69" s="22">
        <v>1</v>
      </c>
      <c r="BH69" s="22">
        <v>1</v>
      </c>
      <c r="BI69" s="22">
        <v>1</v>
      </c>
      <c r="BJ69" s="22">
        <v>1</v>
      </c>
      <c r="BK69" s="22">
        <v>1</v>
      </c>
      <c r="BL69" s="22">
        <v>1</v>
      </c>
    </row>
    <row r="70" spans="1:64">
      <c r="A70" s="22" t="s">
        <v>11323</v>
      </c>
      <c r="B70" s="22" t="s">
        <v>11324</v>
      </c>
      <c r="C70" s="22" t="s">
        <v>11241</v>
      </c>
      <c r="D70" s="22" t="s">
        <v>11242</v>
      </c>
      <c r="E70" s="22">
        <v>0.34824199934824202</v>
      </c>
      <c r="F70" s="22">
        <v>0.34824199934824202</v>
      </c>
      <c r="G70" s="22">
        <v>0.40448912538026</v>
      </c>
      <c r="H70" s="22">
        <v>0.434782608884688</v>
      </c>
      <c r="I70" s="22">
        <v>0.434782608884688</v>
      </c>
      <c r="J70" s="22">
        <v>0.434782608884688</v>
      </c>
      <c r="K70" s="22">
        <v>0.434782608884688</v>
      </c>
      <c r="L70" s="22">
        <v>0.434782608884688</v>
      </c>
      <c r="M70" s="22">
        <v>0.434782608884688</v>
      </c>
      <c r="N70" s="22">
        <v>0.434782608884688</v>
      </c>
      <c r="O70" s="22">
        <v>0.434782608884688</v>
      </c>
      <c r="P70" s="22">
        <v>0.43478264139429701</v>
      </c>
      <c r="Q70" s="22">
        <v>0.434782608884688</v>
      </c>
      <c r="R70" s="22">
        <v>0.39795624317960598</v>
      </c>
      <c r="S70" s="22">
        <v>0.39130366745108802</v>
      </c>
      <c r="T70" s="22">
        <v>0.39130366745108802</v>
      </c>
      <c r="U70" s="22">
        <v>0.39130366745108802</v>
      </c>
      <c r="V70" s="22">
        <v>0.39130366745108802</v>
      </c>
      <c r="W70" s="22">
        <v>0.39130366745108802</v>
      </c>
      <c r="X70" s="22">
        <v>0.70000070049070096</v>
      </c>
      <c r="Y70" s="22">
        <v>0.70000070049070096</v>
      </c>
      <c r="Z70" s="22">
        <v>0.70000070049070096</v>
      </c>
      <c r="AA70" s="22">
        <v>0.70000070049070096</v>
      </c>
      <c r="AB70" s="22">
        <v>0.70000070049070096</v>
      </c>
      <c r="AC70" s="22">
        <v>0.70000070020486704</v>
      </c>
      <c r="AD70" s="22">
        <v>0.70000070000070003</v>
      </c>
      <c r="AE70" s="22">
        <v>0.70000070000070003</v>
      </c>
      <c r="AF70" s="22">
        <v>0.70000070000070003</v>
      </c>
      <c r="AG70" s="22">
        <v>0.70000070000070003</v>
      </c>
      <c r="AH70" s="22">
        <v>0.86666666666666703</v>
      </c>
      <c r="AI70" s="22">
        <v>1.55</v>
      </c>
      <c r="AJ70" s="22">
        <v>3.13800833333333</v>
      </c>
      <c r="AK70" s="22">
        <v>3.3217483333333302</v>
      </c>
      <c r="AL70" s="22">
        <v>3.3525174999999998</v>
      </c>
      <c r="AM70" s="22">
        <v>3.38513333333333</v>
      </c>
      <c r="AN70" s="22">
        <v>3.3922083333333299</v>
      </c>
      <c r="AO70" s="22">
        <v>3.3914833333333299</v>
      </c>
      <c r="AP70" s="22">
        <v>3.3887499999999999</v>
      </c>
      <c r="AQ70" s="22">
        <v>3.3879999999999999</v>
      </c>
      <c r="AR70" s="22">
        <v>3.3952499999999999</v>
      </c>
      <c r="AS70" s="22">
        <v>3.4720499999999999</v>
      </c>
      <c r="AT70" s="22">
        <v>3.9729999999999999</v>
      </c>
      <c r="AU70" s="22">
        <v>4.4996666666666698</v>
      </c>
      <c r="AV70" s="22">
        <v>5.8508750000000003</v>
      </c>
      <c r="AW70" s="22">
        <v>6.19624166666667</v>
      </c>
      <c r="AX70" s="22">
        <v>5.7788333333333304</v>
      </c>
      <c r="AY70" s="22">
        <v>5.7331666666666701</v>
      </c>
      <c r="AZ70" s="22">
        <v>5.6354333333333297</v>
      </c>
      <c r="BA70" s="22">
        <v>5.4325000000000001</v>
      </c>
      <c r="BB70" s="22">
        <v>5.54455330862978</v>
      </c>
      <c r="BC70" s="22">
        <v>5.62194291761051</v>
      </c>
      <c r="BD70" s="22">
        <v>5.9328276515151499</v>
      </c>
      <c r="BE70" s="22">
        <v>6.05605833333333</v>
      </c>
      <c r="BF70" s="22">
        <v>6.8703250000000002</v>
      </c>
      <c r="BG70" s="22">
        <v>7.0776085606060599</v>
      </c>
      <c r="BH70" s="22">
        <v>7.6912583333333302</v>
      </c>
      <c r="BI70" s="22">
        <v>10.0254007885465</v>
      </c>
      <c r="BJ70" s="22">
        <v>17.782533515063601</v>
      </c>
      <c r="BK70" s="22">
        <v>17.767290421810699</v>
      </c>
      <c r="BL70" s="22">
        <v>16.7705818428763</v>
      </c>
    </row>
    <row r="71" spans="1:64">
      <c r="A71" s="22" t="s">
        <v>11325</v>
      </c>
      <c r="B71" s="22" t="s">
        <v>11326</v>
      </c>
      <c r="C71" s="22" t="s">
        <v>11241</v>
      </c>
      <c r="D71" s="22" t="s">
        <v>11242</v>
      </c>
      <c r="AR71" s="22">
        <v>0.938283072395239</v>
      </c>
      <c r="AS71" s="22">
        <v>1.08270508132601</v>
      </c>
      <c r="AT71" s="22">
        <v>1.11653308564468</v>
      </c>
      <c r="AU71" s="22">
        <v>1.0575589962396501</v>
      </c>
      <c r="AV71" s="22">
        <v>0.88404792718496095</v>
      </c>
      <c r="AW71" s="22">
        <v>0.80392164774760499</v>
      </c>
      <c r="AX71" s="22">
        <v>0.80380019216141596</v>
      </c>
      <c r="AY71" s="22">
        <v>0.79643273094909595</v>
      </c>
      <c r="AZ71" s="22">
        <v>0.72967239998408795</v>
      </c>
      <c r="BA71" s="22">
        <v>0.67992268004272904</v>
      </c>
      <c r="BB71" s="22">
        <v>0.71695770201613596</v>
      </c>
      <c r="BC71" s="22">
        <v>0.75430899010597896</v>
      </c>
      <c r="BD71" s="22">
        <v>0.71841389865332195</v>
      </c>
      <c r="BE71" s="22">
        <v>0.77833812041681205</v>
      </c>
      <c r="BF71" s="22">
        <v>0.75294512270200198</v>
      </c>
      <c r="BG71" s="22">
        <v>0.75272819693259096</v>
      </c>
      <c r="BH71" s="22">
        <v>0.90129642336709603</v>
      </c>
      <c r="BI71" s="22">
        <v>0.90342143625728799</v>
      </c>
      <c r="BJ71" s="22">
        <v>0.88520550826938005</v>
      </c>
      <c r="BK71" s="22">
        <v>0.84677266710809596</v>
      </c>
      <c r="BL71" s="22">
        <v>0.893276257067393</v>
      </c>
    </row>
    <row r="72" spans="1:64">
      <c r="A72" s="22" t="s">
        <v>10771</v>
      </c>
      <c r="B72" s="22" t="s">
        <v>11327</v>
      </c>
      <c r="C72" s="22" t="s">
        <v>11241</v>
      </c>
      <c r="D72" s="22" t="s">
        <v>11242</v>
      </c>
      <c r="E72" s="22">
        <v>2.4866905218725499</v>
      </c>
      <c r="F72" s="22">
        <v>2.4866905218725499</v>
      </c>
      <c r="G72" s="22">
        <v>2.4866905218725499</v>
      </c>
      <c r="H72" s="22">
        <v>2.4879833273696002</v>
      </c>
      <c r="I72" s="22">
        <v>2.5022041878371399</v>
      </c>
      <c r="J72" s="22">
        <v>2.5022041878371399</v>
      </c>
      <c r="K72" s="22">
        <v>2.5022041878371399</v>
      </c>
      <c r="L72" s="22">
        <v>2.5022041878371399</v>
      </c>
      <c r="M72" s="22">
        <v>2.5022041878371399</v>
      </c>
      <c r="N72" s="22">
        <v>2.5022041878371399</v>
      </c>
      <c r="O72" s="22">
        <v>2.5022041878371399</v>
      </c>
      <c r="P72" s="22">
        <v>2.4956734349068799</v>
      </c>
      <c r="Q72" s="22">
        <v>2.3020278528101699</v>
      </c>
      <c r="R72" s="22">
        <v>2.1006004156892799</v>
      </c>
      <c r="S72" s="22">
        <v>2.0718250675291499</v>
      </c>
      <c r="T72" s="22">
        <v>2.0718250675291499</v>
      </c>
      <c r="U72" s="22">
        <v>2.0718250675291499</v>
      </c>
      <c r="V72" s="22">
        <v>2.0718250675291499</v>
      </c>
      <c r="W72" s="22">
        <v>2.0718250675291499</v>
      </c>
      <c r="X72" s="22">
        <v>2.0718250675291499</v>
      </c>
      <c r="Y72" s="22">
        <v>2.0718250675291499</v>
      </c>
      <c r="Z72" s="22">
        <v>2.0718250675291499</v>
      </c>
      <c r="AA72" s="22">
        <v>2.0718250675291499</v>
      </c>
      <c r="AB72" s="22">
        <v>2.0718250675291499</v>
      </c>
      <c r="AC72" s="22">
        <v>2.0718250675291499</v>
      </c>
      <c r="AD72" s="22">
        <v>2.0718250675291499</v>
      </c>
      <c r="AE72" s="22">
        <v>2.0718250675291499</v>
      </c>
      <c r="AF72" s="22">
        <v>2.0718250675291499</v>
      </c>
      <c r="AG72" s="22">
        <v>2.0718250675291499</v>
      </c>
      <c r="AH72" s="22">
        <v>2.0718250675291499</v>
      </c>
      <c r="AI72" s="22">
        <v>2.0718250675291499</v>
      </c>
      <c r="AJ72" s="22">
        <v>2.0718250675291499</v>
      </c>
      <c r="AK72" s="22">
        <v>2.8049708945654301</v>
      </c>
      <c r="AL72" s="22">
        <v>5.0044083756742799</v>
      </c>
      <c r="AM72" s="22">
        <v>5.4698183546119896</v>
      </c>
      <c r="AN72" s="22">
        <v>6.1637629827054896</v>
      </c>
      <c r="AO72" s="22">
        <v>6.3572751139121904</v>
      </c>
      <c r="AP72" s="22">
        <v>6.7588217839559102</v>
      </c>
      <c r="AQ72" s="22">
        <v>7.3619304166666701</v>
      </c>
      <c r="AR72" s="22">
        <v>8.1526333333333305</v>
      </c>
      <c r="AS72" s="22">
        <v>9.625</v>
      </c>
      <c r="AT72" s="22">
        <v>11.3094520833333</v>
      </c>
      <c r="AU72" s="22">
        <v>13.958194166666701</v>
      </c>
      <c r="AV72" s="22">
        <v>13.877890583333301</v>
      </c>
      <c r="AW72" s="22">
        <v>13.7875</v>
      </c>
      <c r="AX72" s="22">
        <v>15.3679166666667</v>
      </c>
      <c r="AY72" s="22">
        <v>15.375</v>
      </c>
      <c r="AZ72" s="22">
        <v>15.375</v>
      </c>
      <c r="BA72" s="22">
        <v>15.375</v>
      </c>
      <c r="BB72" s="22">
        <v>15.375</v>
      </c>
      <c r="BC72" s="22">
        <v>15.375</v>
      </c>
      <c r="BD72" s="22">
        <v>15.375</v>
      </c>
      <c r="BE72" s="22">
        <v>15.375</v>
      </c>
      <c r="BF72" s="22">
        <v>15.375</v>
      </c>
      <c r="BG72" s="22">
        <v>15.375</v>
      </c>
      <c r="BH72" s="22">
        <v>15.375</v>
      </c>
      <c r="BI72" s="22">
        <v>15.35</v>
      </c>
      <c r="BJ72" s="22">
        <v>15.074999999999999</v>
      </c>
      <c r="BK72" s="22">
        <v>15.074999999999999</v>
      </c>
      <c r="BL72" s="22">
        <v>15.074999999999999</v>
      </c>
    </row>
    <row r="73" spans="1:64">
      <c r="A73" s="22" t="s">
        <v>10918</v>
      </c>
      <c r="B73" s="22" t="s">
        <v>11328</v>
      </c>
      <c r="C73" s="22" t="s">
        <v>11241</v>
      </c>
      <c r="D73" s="22" t="s">
        <v>11242</v>
      </c>
      <c r="E73" s="22">
        <v>60.000000059000001</v>
      </c>
      <c r="F73" s="22">
        <v>60.000000059000001</v>
      </c>
      <c r="G73" s="22">
        <v>60.000000059000001</v>
      </c>
      <c r="H73" s="22">
        <v>60.000000059000001</v>
      </c>
      <c r="I73" s="22">
        <v>60.000000059000001</v>
      </c>
      <c r="J73" s="22">
        <v>60.000000059000001</v>
      </c>
      <c r="K73" s="22">
        <v>60.000000059000001</v>
      </c>
      <c r="L73" s="22">
        <v>61.666666727500001</v>
      </c>
      <c r="M73" s="22">
        <v>70.000000069999999</v>
      </c>
      <c r="N73" s="22">
        <v>70.000000069999999</v>
      </c>
      <c r="O73" s="22">
        <v>70.000000069999999</v>
      </c>
      <c r="P73" s="22">
        <v>69.468666707166705</v>
      </c>
      <c r="Q73" s="22">
        <v>64.271416665916703</v>
      </c>
      <c r="R73" s="22">
        <v>58.260083332333302</v>
      </c>
      <c r="S73" s="22">
        <v>57.686499998999999</v>
      </c>
      <c r="T73" s="22">
        <v>57.406916665666699</v>
      </c>
      <c r="U73" s="22">
        <v>66.9029166660833</v>
      </c>
      <c r="V73" s="22">
        <v>75.961833332416703</v>
      </c>
      <c r="W73" s="22">
        <v>76.667833332833297</v>
      </c>
      <c r="X73" s="22">
        <v>67.124999999583295</v>
      </c>
      <c r="Y73" s="22">
        <v>71.701916665916698</v>
      </c>
      <c r="Z73" s="22">
        <v>92.321833332500006</v>
      </c>
      <c r="AA73" s="22">
        <v>109.859166665833</v>
      </c>
      <c r="AB73" s="22">
        <v>143.42991666633301</v>
      </c>
      <c r="AC73" s="22">
        <v>160.76099999966701</v>
      </c>
      <c r="AD73" s="22">
        <v>170.04408333316701</v>
      </c>
      <c r="AE73" s="22">
        <v>140.04837544216801</v>
      </c>
      <c r="AF73" s="22">
        <v>123.478333333333</v>
      </c>
      <c r="AG73" s="22">
        <v>116.486833333333</v>
      </c>
      <c r="AH73" s="22">
        <v>118.377666666667</v>
      </c>
      <c r="AI73" s="22">
        <v>101.933916666667</v>
      </c>
      <c r="AJ73" s="22">
        <v>103.911583333333</v>
      </c>
      <c r="AK73" s="22">
        <v>102.379083333333</v>
      </c>
      <c r="AL73" s="22">
        <v>127.260416666667</v>
      </c>
      <c r="AM73" s="22">
        <v>133.957955</v>
      </c>
      <c r="AN73" s="22">
        <v>124.68899999999999</v>
      </c>
      <c r="AO73" s="22">
        <v>126.661583333333</v>
      </c>
      <c r="AP73" s="22">
        <v>146.41362833333301</v>
      </c>
      <c r="AQ73" s="22">
        <v>149.395331666667</v>
      </c>
    </row>
    <row r="74" spans="1:64">
      <c r="A74" s="22" t="s">
        <v>10773</v>
      </c>
      <c r="B74" s="22" t="s">
        <v>11329</v>
      </c>
      <c r="C74" s="22" t="s">
        <v>11241</v>
      </c>
      <c r="D74" s="22" t="s">
        <v>11242</v>
      </c>
      <c r="AL74" s="22">
        <v>13.22275</v>
      </c>
      <c r="AM74" s="22">
        <v>12.991250000000001</v>
      </c>
      <c r="AN74" s="22">
        <v>11.46475</v>
      </c>
      <c r="AO74" s="22">
        <v>12.038</v>
      </c>
      <c r="AP74" s="22">
        <v>13.88175</v>
      </c>
      <c r="AQ74" s="22">
        <v>14.074666666666699</v>
      </c>
      <c r="AR74" s="22">
        <v>14.677583333333301</v>
      </c>
      <c r="AS74" s="22">
        <v>16.968636666666701</v>
      </c>
      <c r="AT74" s="22">
        <v>17.478071533333299</v>
      </c>
      <c r="AU74" s="22">
        <v>16.611791666666701</v>
      </c>
      <c r="AV74" s="22">
        <v>13.856411404510499</v>
      </c>
      <c r="AW74" s="22">
        <v>12.5955635879843</v>
      </c>
      <c r="AX74" s="22">
        <v>12.5837865859395</v>
      </c>
      <c r="AY74" s="22">
        <v>12.4654837577722</v>
      </c>
      <c r="AZ74" s="22">
        <v>11.4338529961624</v>
      </c>
      <c r="BA74" s="22">
        <v>10.694443093841301</v>
      </c>
      <c r="BB74" s="22">
        <v>11.257430885076699</v>
      </c>
      <c r="BC74" s="22">
        <v>11.8068482348947</v>
      </c>
    </row>
    <row r="75" spans="1:64">
      <c r="A75" s="22" t="s">
        <v>10777</v>
      </c>
      <c r="B75" s="22" t="s">
        <v>11330</v>
      </c>
      <c r="C75" s="22" t="s">
        <v>11241</v>
      </c>
      <c r="D75" s="22" t="s">
        <v>11242</v>
      </c>
      <c r="E75" s="22">
        <v>2.4844700014844698</v>
      </c>
      <c r="F75" s="22">
        <v>2.4844700014844698</v>
      </c>
      <c r="G75" s="22">
        <v>2.4844700014844698</v>
      </c>
      <c r="H75" s="22">
        <v>2.4844700012774301</v>
      </c>
      <c r="I75" s="22">
        <v>2.5000000015000001</v>
      </c>
      <c r="J75" s="22">
        <v>2.5000000015000001</v>
      </c>
      <c r="K75" s="22">
        <v>2.5000000015000001</v>
      </c>
      <c r="L75" s="22">
        <v>2.5000000015000001</v>
      </c>
      <c r="M75" s="22">
        <v>2.5000000015000001</v>
      </c>
      <c r="N75" s="22">
        <v>2.5000000015000001</v>
      </c>
      <c r="O75" s="22">
        <v>2.5000000015000001</v>
      </c>
      <c r="P75" s="22">
        <v>2.49347500129167</v>
      </c>
      <c r="Q75" s="22">
        <v>2.2999999990000002</v>
      </c>
      <c r="R75" s="22">
        <v>2.0987499989999998</v>
      </c>
      <c r="S75" s="22">
        <v>2.0699999990000002</v>
      </c>
      <c r="T75" s="22">
        <v>2.0699999990000002</v>
      </c>
      <c r="U75" s="22">
        <v>2.0699999990000002</v>
      </c>
      <c r="V75" s="22">
        <v>2.0699999990000002</v>
      </c>
      <c r="W75" s="22">
        <v>2.0699999990000002</v>
      </c>
      <c r="X75" s="22">
        <v>2.0699999990000002</v>
      </c>
      <c r="Y75" s="22">
        <v>2.0699999990000002</v>
      </c>
      <c r="Z75" s="22">
        <v>2.0699999990000002</v>
      </c>
      <c r="AA75" s="22">
        <v>2.0699999990000002</v>
      </c>
      <c r="AB75" s="22">
        <v>2.0699999990000002</v>
      </c>
      <c r="AC75" s="22">
        <v>2.06999999958333</v>
      </c>
      <c r="AD75" s="22">
        <v>2.0699999999999998</v>
      </c>
      <c r="AE75" s="22">
        <v>2.0699999999999998</v>
      </c>
      <c r="AF75" s="22">
        <v>2.0699999999999998</v>
      </c>
      <c r="AG75" s="22">
        <v>2.0699999999999998</v>
      </c>
      <c r="AH75" s="22">
        <v>2.0699999999999998</v>
      </c>
      <c r="AI75" s="22">
        <v>2.0699999999999998</v>
      </c>
      <c r="AJ75" s="22">
        <v>2.0699999999999998</v>
      </c>
      <c r="AK75" s="22">
        <v>2.8025000000000002</v>
      </c>
      <c r="AL75" s="22">
        <v>5</v>
      </c>
      <c r="AM75" s="22">
        <v>5.4649999999999999</v>
      </c>
      <c r="AN75" s="22">
        <v>6.1583333333333297</v>
      </c>
      <c r="AO75" s="22">
        <v>6.3516750000000002</v>
      </c>
      <c r="AP75" s="22">
        <v>6.7093416666666696</v>
      </c>
      <c r="AQ75" s="22">
        <v>7.1159083333333299</v>
      </c>
      <c r="AR75" s="22">
        <v>7.9422499999999996</v>
      </c>
      <c r="AS75" s="22">
        <v>8.21725833333333</v>
      </c>
      <c r="AT75" s="22">
        <v>8.4574916666666695</v>
      </c>
      <c r="AU75" s="22">
        <v>8.5677500000000002</v>
      </c>
      <c r="AV75" s="22">
        <v>8.5996833333333296</v>
      </c>
      <c r="AW75" s="22">
        <v>8.6355833333333294</v>
      </c>
      <c r="AX75" s="22">
        <v>8.6664416666666693</v>
      </c>
      <c r="AY75" s="22">
        <v>8.6986158333333297</v>
      </c>
      <c r="AZ75" s="22">
        <v>8.9659499999999994</v>
      </c>
      <c r="BA75" s="22">
        <v>9.5997416666666702</v>
      </c>
      <c r="BB75" s="22">
        <v>11.777599672499999</v>
      </c>
      <c r="BC75" s="22">
        <v>14.409589808006601</v>
      </c>
      <c r="BD75" s="22">
        <v>16.8992257595275</v>
      </c>
      <c r="BE75" s="22">
        <v>17.704761378267399</v>
      </c>
      <c r="BF75" s="22">
        <v>18.626628957547801</v>
      </c>
      <c r="BG75" s="22">
        <v>19.585789907694998</v>
      </c>
      <c r="BH75" s="22">
        <v>20.57684875</v>
      </c>
      <c r="BI75" s="22">
        <v>21.731547222222201</v>
      </c>
      <c r="BJ75" s="22">
        <v>23.866104457412501</v>
      </c>
      <c r="BK75" s="22">
        <v>27.429386594166701</v>
      </c>
      <c r="BL75" s="22">
        <v>29.069749999999999</v>
      </c>
    </row>
    <row r="76" spans="1:64">
      <c r="A76" s="22" t="s">
        <v>156</v>
      </c>
      <c r="B76" s="22" t="s">
        <v>11331</v>
      </c>
      <c r="C76" s="22" t="s">
        <v>11241</v>
      </c>
      <c r="D76" s="22" t="s">
        <v>11242</v>
      </c>
    </row>
    <row r="77" spans="1:64">
      <c r="A77" s="22" t="s">
        <v>11332</v>
      </c>
      <c r="B77" s="22" t="s">
        <v>11333</v>
      </c>
      <c r="C77" s="22" t="s">
        <v>11241</v>
      </c>
      <c r="D77" s="22" t="s">
        <v>11242</v>
      </c>
    </row>
    <row r="78" spans="1:64">
      <c r="A78" s="22" t="s">
        <v>10783</v>
      </c>
      <c r="B78" s="22" t="s">
        <v>11334</v>
      </c>
      <c r="C78" s="22" t="s">
        <v>11241</v>
      </c>
      <c r="D78" s="22" t="s">
        <v>11242</v>
      </c>
      <c r="E78" s="22">
        <v>3.2000000021999999</v>
      </c>
      <c r="F78" s="22">
        <v>3.2000000021999999</v>
      </c>
      <c r="G78" s="22">
        <v>3.2000000021999999</v>
      </c>
      <c r="H78" s="22">
        <v>3.2000000021999999</v>
      </c>
      <c r="I78" s="22">
        <v>3.2000000021999999</v>
      </c>
      <c r="J78" s="22">
        <v>3.2000000021999999</v>
      </c>
      <c r="K78" s="22">
        <v>3.2000000021999999</v>
      </c>
      <c r="L78" s="22">
        <v>3.44999250244999</v>
      </c>
      <c r="M78" s="22">
        <v>4.1999700031999696</v>
      </c>
      <c r="N78" s="22">
        <v>4.1999700031999696</v>
      </c>
      <c r="O78" s="22">
        <v>4.1999700031999696</v>
      </c>
      <c r="P78" s="22">
        <v>4.1844177906868598</v>
      </c>
      <c r="Q78" s="22">
        <v>4.1463333325707703</v>
      </c>
      <c r="R78" s="22">
        <v>3.8211666658854799</v>
      </c>
      <c r="S78" s="22">
        <v>3.7737499992161001</v>
      </c>
      <c r="T78" s="22">
        <v>3.6786666658773202</v>
      </c>
      <c r="U78" s="22">
        <v>3.8644166658879602</v>
      </c>
      <c r="V78" s="22">
        <v>4.0294166658974104</v>
      </c>
      <c r="W78" s="22">
        <v>4.1173333325691104</v>
      </c>
      <c r="X78" s="22">
        <v>3.8953333325564001</v>
      </c>
      <c r="Y78" s="22">
        <v>3.73008333254693</v>
      </c>
      <c r="Z78" s="22">
        <v>4.3152499992471096</v>
      </c>
      <c r="AA78" s="22">
        <v>4.8204166659426999</v>
      </c>
      <c r="AB78" s="22">
        <v>5.5700833326522998</v>
      </c>
      <c r="AC78" s="22">
        <v>6.0099999997764701</v>
      </c>
      <c r="AD78" s="22">
        <v>6.1978958331666698</v>
      </c>
      <c r="AE78" s="22">
        <v>5.0695199999999998</v>
      </c>
      <c r="AF78" s="22">
        <v>4.3955650000000004</v>
      </c>
      <c r="AG78" s="22">
        <v>4.1828333333333303</v>
      </c>
      <c r="AH78" s="22">
        <v>4.2912158333333297</v>
      </c>
      <c r="AI78" s="22">
        <v>3.8235049999999999</v>
      </c>
      <c r="AJ78" s="22">
        <v>4.04397916666667</v>
      </c>
      <c r="AK78" s="22">
        <v>4.4794400000000003</v>
      </c>
      <c r="AL78" s="22">
        <v>5.7122916666666699</v>
      </c>
      <c r="AM78" s="22">
        <v>5.2235125</v>
      </c>
      <c r="AN78" s="22">
        <v>4.3666666666666698</v>
      </c>
      <c r="AO78" s="22">
        <v>4.5935499999999996</v>
      </c>
      <c r="AP78" s="22">
        <v>5.1914350000000002</v>
      </c>
      <c r="AQ78" s="22">
        <v>5.34406583333333</v>
      </c>
    </row>
    <row r="79" spans="1:64">
      <c r="A79" s="22" t="s">
        <v>10781</v>
      </c>
      <c r="B79" s="22" t="s">
        <v>11335</v>
      </c>
      <c r="C79" s="22" t="s">
        <v>11241</v>
      </c>
      <c r="D79" s="22" t="s">
        <v>11242</v>
      </c>
      <c r="E79" s="22">
        <v>0.79285799970331605</v>
      </c>
      <c r="F79" s="22">
        <v>0.79285799970331605</v>
      </c>
      <c r="G79" s="22">
        <v>0.79285799970331605</v>
      </c>
      <c r="H79" s="22">
        <v>0.79285799970331605</v>
      </c>
      <c r="I79" s="22">
        <v>0.79285799970331605</v>
      </c>
      <c r="J79" s="22">
        <v>0.79285799970331605</v>
      </c>
      <c r="K79" s="22">
        <v>0.79285799970331605</v>
      </c>
      <c r="L79" s="22">
        <v>0.80585399973123595</v>
      </c>
      <c r="M79" s="22">
        <v>0.87083399987083399</v>
      </c>
      <c r="N79" s="22">
        <v>0.87083399987083399</v>
      </c>
      <c r="O79" s="22">
        <v>0.87083399987083399</v>
      </c>
      <c r="P79" s="22">
        <v>0.85882323105772096</v>
      </c>
      <c r="Q79" s="22">
        <v>0.82518371157047099</v>
      </c>
      <c r="R79" s="22">
        <v>0.79422382521396895</v>
      </c>
      <c r="S79" s="22">
        <v>0.80560382810873898</v>
      </c>
      <c r="T79" s="22">
        <v>0.82188306421920099</v>
      </c>
      <c r="U79" s="22">
        <v>0.89771540302132802</v>
      </c>
      <c r="V79" s="22">
        <v>0.917440332333333</v>
      </c>
      <c r="W79" s="22">
        <v>0.84677074900000004</v>
      </c>
      <c r="X79" s="22">
        <v>0.83574324899999997</v>
      </c>
      <c r="Y79" s="22">
        <v>0.81796466566666703</v>
      </c>
      <c r="Z79" s="22">
        <v>0.854626582333333</v>
      </c>
      <c r="AA79" s="22">
        <v>0.93244866566666695</v>
      </c>
      <c r="AB79" s="22">
        <v>1.01702033233333</v>
      </c>
      <c r="AC79" s="22">
        <v>1.0825966660833299</v>
      </c>
      <c r="AD79" s="22">
        <v>1.15355416625</v>
      </c>
      <c r="AE79" s="22">
        <v>1.1328658332499999</v>
      </c>
      <c r="AF79" s="22">
        <v>1.24385833333333</v>
      </c>
      <c r="AG79" s="22">
        <v>1.4302583333333301</v>
      </c>
      <c r="AH79" s="22">
        <v>1.4833333333333301</v>
      </c>
      <c r="AI79" s="22">
        <v>1.4809083333333299</v>
      </c>
      <c r="AJ79" s="22">
        <v>1.4755575000000001</v>
      </c>
      <c r="AK79" s="22">
        <v>1.5029908333333299</v>
      </c>
      <c r="AL79" s="22">
        <v>1.5417749999999999</v>
      </c>
      <c r="AM79" s="22">
        <v>1.4641249999999999</v>
      </c>
      <c r="AN79" s="22">
        <v>1.4063333333333301</v>
      </c>
      <c r="AO79" s="22">
        <v>1.4033</v>
      </c>
      <c r="AP79" s="22">
        <v>1.443675</v>
      </c>
      <c r="AQ79" s="22">
        <v>1.98681666666667</v>
      </c>
      <c r="AR79" s="22">
        <v>1.969625</v>
      </c>
      <c r="AS79" s="22">
        <v>2.128625</v>
      </c>
      <c r="AT79" s="22">
        <v>2.2766029460261299</v>
      </c>
      <c r="AU79" s="22">
        <v>2.1867833500114999</v>
      </c>
      <c r="AV79" s="22">
        <v>1.89576838179997</v>
      </c>
      <c r="AW79" s="22">
        <v>1.73310167837133</v>
      </c>
      <c r="AX79" s="22">
        <v>1.6910462157155199</v>
      </c>
      <c r="AY79" s="22">
        <v>1.7312649327874501</v>
      </c>
      <c r="AZ79" s="22">
        <v>1.61041379610359</v>
      </c>
      <c r="BA79" s="22">
        <v>1.5940344107734401</v>
      </c>
      <c r="BB79" s="22">
        <v>1.95809503538886</v>
      </c>
      <c r="BC79" s="22">
        <v>1.9185086782254701</v>
      </c>
      <c r="BD79" s="22">
        <v>1.7908838312601201</v>
      </c>
      <c r="BE79" s="22">
        <v>1.7898928174109501</v>
      </c>
      <c r="BF79" s="22">
        <v>1.8414766170653201</v>
      </c>
      <c r="BG79" s="22">
        <v>1.8873453583192199</v>
      </c>
      <c r="BH79" s="22">
        <v>2.0976298163310099</v>
      </c>
      <c r="BI79" s="22">
        <v>2.0946959391850801</v>
      </c>
      <c r="BJ79" s="22">
        <v>2.0668753038145402</v>
      </c>
      <c r="BK79" s="22">
        <v>2.0873797892499701</v>
      </c>
      <c r="BL79" s="22">
        <v>2.1603931153146401</v>
      </c>
    </row>
    <row r="80" spans="1:64">
      <c r="A80" s="22" t="s">
        <v>10787</v>
      </c>
      <c r="B80" s="22" t="s">
        <v>11336</v>
      </c>
      <c r="C80" s="22" t="s">
        <v>11241</v>
      </c>
      <c r="D80" s="22" t="s">
        <v>11242</v>
      </c>
      <c r="E80" s="22">
        <v>4.9370600039370602</v>
      </c>
      <c r="F80" s="22">
        <v>4.9370600039370602</v>
      </c>
      <c r="G80" s="22">
        <v>4.9370600039370602</v>
      </c>
      <c r="H80" s="22">
        <v>4.9370600039370602</v>
      </c>
      <c r="I80" s="22">
        <v>4.9370600039370602</v>
      </c>
      <c r="J80" s="22">
        <v>4.9370600039370602</v>
      </c>
      <c r="K80" s="22">
        <v>4.9370600039370602</v>
      </c>
      <c r="L80" s="22">
        <v>4.9370600039370602</v>
      </c>
      <c r="M80" s="22">
        <v>4.9370600039370602</v>
      </c>
      <c r="N80" s="22">
        <v>5.1941975041942001</v>
      </c>
      <c r="O80" s="22">
        <v>5.5541900045541901</v>
      </c>
      <c r="P80" s="22">
        <v>5.5406013547209403</v>
      </c>
      <c r="Q80" s="22">
        <v>5.0445445156406201</v>
      </c>
      <c r="R80" s="22">
        <v>4.4527796739908299</v>
      </c>
      <c r="S80" s="22">
        <v>4.8096184728558304</v>
      </c>
      <c r="T80" s="22">
        <v>4.2877995153765696</v>
      </c>
      <c r="U80" s="22">
        <v>4.8028783632131002</v>
      </c>
      <c r="V80" s="22">
        <v>4.9051733225321703</v>
      </c>
      <c r="W80" s="22">
        <v>4.5130999993333303</v>
      </c>
      <c r="X80" s="22">
        <v>4.2544166660833298</v>
      </c>
      <c r="Y80" s="22">
        <v>4.2255749990833298</v>
      </c>
      <c r="Z80" s="22">
        <v>5.4346083325833296</v>
      </c>
      <c r="AA80" s="22">
        <v>6.5720999990833304</v>
      </c>
      <c r="AB80" s="22">
        <v>7.6212916657500003</v>
      </c>
      <c r="AC80" s="22">
        <v>8.7390999995833294</v>
      </c>
      <c r="AD80" s="22">
        <v>8.9852249997500007</v>
      </c>
      <c r="AE80" s="22">
        <v>6.9260916666666699</v>
      </c>
      <c r="AF80" s="22">
        <v>6.01070833333333</v>
      </c>
      <c r="AG80" s="22">
        <v>5.9569416666666699</v>
      </c>
      <c r="AH80" s="22">
        <v>6.3801416666666704</v>
      </c>
      <c r="AI80" s="22">
        <v>5.4452749999999996</v>
      </c>
      <c r="AJ80" s="22">
        <v>5.64211666666667</v>
      </c>
      <c r="AK80" s="22">
        <v>5.2938158333333298</v>
      </c>
      <c r="AL80" s="22">
        <v>5.6632300000000004</v>
      </c>
      <c r="AM80" s="22">
        <v>5.5520449999999997</v>
      </c>
      <c r="AN80" s="22">
        <v>4.9914825</v>
      </c>
      <c r="AO80" s="22">
        <v>5.1155225</v>
      </c>
      <c r="AP80" s="22">
        <v>5.8366916666666704</v>
      </c>
      <c r="AQ80" s="22">
        <v>5.8995156666666704</v>
      </c>
    </row>
    <row r="81" spans="1:64">
      <c r="A81" s="22" t="s">
        <v>11337</v>
      </c>
      <c r="B81" s="22" t="s">
        <v>11338</v>
      </c>
      <c r="C81" s="22" t="s">
        <v>11241</v>
      </c>
      <c r="D81" s="22" t="s">
        <v>11242</v>
      </c>
      <c r="E81" s="22">
        <v>6.9071400059071397</v>
      </c>
      <c r="F81" s="22">
        <v>6.9071400059071397</v>
      </c>
      <c r="G81" s="22">
        <v>6.9071400059071397</v>
      </c>
      <c r="H81" s="22">
        <v>6.9071400059071397</v>
      </c>
      <c r="I81" s="22">
        <v>6.9071400059071397</v>
      </c>
      <c r="J81" s="22">
        <v>6.9071400059071397</v>
      </c>
      <c r="K81" s="22">
        <v>6.9071400059071397</v>
      </c>
      <c r="L81" s="22">
        <v>6.9565450053809501</v>
      </c>
      <c r="M81" s="22">
        <v>7.5000000064999996</v>
      </c>
      <c r="N81" s="22">
        <v>7.5000000064999996</v>
      </c>
      <c r="O81" s="22">
        <v>7.5000000064999996</v>
      </c>
      <c r="P81" s="22">
        <v>7.4263379687119402</v>
      </c>
      <c r="Q81" s="22">
        <v>6.9492916656666699</v>
      </c>
      <c r="R81" s="22">
        <v>6.049499999</v>
      </c>
      <c r="S81" s="22">
        <v>6.0948999989999999</v>
      </c>
      <c r="T81" s="22">
        <v>5.746149999</v>
      </c>
      <c r="U81" s="22">
        <v>6.0450249989999998</v>
      </c>
      <c r="V81" s="22">
        <v>6.0031916656666704</v>
      </c>
      <c r="W81" s="22">
        <v>5.5146249989999996</v>
      </c>
      <c r="X81" s="22">
        <v>5.2609583323333302</v>
      </c>
      <c r="Y81" s="22">
        <v>5.6359416656666701</v>
      </c>
      <c r="Z81" s="22">
        <v>7.1233666656666701</v>
      </c>
      <c r="AA81" s="22">
        <v>8.3324416661666696</v>
      </c>
      <c r="AB81" s="22">
        <v>9.1449916657500001</v>
      </c>
      <c r="AC81" s="22">
        <v>10.356591666250001</v>
      </c>
      <c r="AD81" s="22">
        <v>10.5963916664167</v>
      </c>
      <c r="AE81" s="22">
        <v>8.0909916665833403</v>
      </c>
      <c r="AF81" s="22">
        <v>6.8403166666666699</v>
      </c>
      <c r="AG81" s="22">
        <v>6.7315250000000004</v>
      </c>
      <c r="AH81" s="22">
        <v>7.3101750000000001</v>
      </c>
      <c r="AI81" s="22">
        <v>6.1885583333333303</v>
      </c>
      <c r="AJ81" s="22">
        <v>6.3964583333333298</v>
      </c>
      <c r="AK81" s="22">
        <v>6.0361333333333302</v>
      </c>
      <c r="AL81" s="22">
        <v>6.4839391666666701</v>
      </c>
      <c r="AM81" s="22">
        <v>6.3605516666666704</v>
      </c>
      <c r="AN81" s="22">
        <v>5.6023666666666703</v>
      </c>
      <c r="AO81" s="22">
        <v>5.79867166666667</v>
      </c>
      <c r="AP81" s="22">
        <v>6.6044591666666701</v>
      </c>
      <c r="AQ81" s="22">
        <v>6.7008266666666696</v>
      </c>
      <c r="AR81" s="22">
        <v>6.9762399999999998</v>
      </c>
      <c r="AS81" s="22">
        <v>8.0831441666666706</v>
      </c>
      <c r="AT81" s="22">
        <v>8.3228174999999993</v>
      </c>
      <c r="AU81" s="22">
        <v>7.8947141666666703</v>
      </c>
      <c r="AV81" s="22">
        <v>6.5876733333333304</v>
      </c>
      <c r="AW81" s="22">
        <v>5.9910566666666698</v>
      </c>
      <c r="AX81" s="22">
        <v>5.9969099999999997</v>
      </c>
      <c r="AY81" s="22">
        <v>5.9467783333333299</v>
      </c>
      <c r="AZ81" s="22">
        <v>5.4437008333333301</v>
      </c>
      <c r="BA81" s="22">
        <v>5.0981308333333297</v>
      </c>
      <c r="BB81" s="22">
        <v>5.36086666666667</v>
      </c>
      <c r="BC81" s="22">
        <v>5.6240750000000004</v>
      </c>
      <c r="BD81" s="22">
        <v>5.3687115350877201</v>
      </c>
      <c r="BE81" s="22">
        <v>5.7924755370391603</v>
      </c>
      <c r="BF81" s="22">
        <v>5.6163116861762203</v>
      </c>
      <c r="BG81" s="22">
        <v>5.6124666666666698</v>
      </c>
      <c r="BH81" s="22">
        <v>6.7279068312963002</v>
      </c>
      <c r="BI81" s="22">
        <v>6.7317182572463796</v>
      </c>
    </row>
    <row r="82" spans="1:64">
      <c r="A82" s="22" t="s">
        <v>11339</v>
      </c>
      <c r="B82" s="22" t="s">
        <v>11340</v>
      </c>
      <c r="C82" s="22" t="s">
        <v>11241</v>
      </c>
      <c r="D82" s="22" t="s">
        <v>11242</v>
      </c>
      <c r="E82" s="22">
        <v>1</v>
      </c>
      <c r="F82" s="22">
        <v>1</v>
      </c>
      <c r="G82" s="22">
        <v>1</v>
      </c>
      <c r="H82" s="22">
        <v>1</v>
      </c>
      <c r="I82" s="22">
        <v>1</v>
      </c>
      <c r="J82" s="22">
        <v>1</v>
      </c>
      <c r="K82" s="22">
        <v>1</v>
      </c>
      <c r="L82" s="22">
        <v>1</v>
      </c>
      <c r="M82" s="22">
        <v>1</v>
      </c>
      <c r="N82" s="22">
        <v>1</v>
      </c>
      <c r="O82" s="22">
        <v>1</v>
      </c>
      <c r="P82" s="22">
        <v>1</v>
      </c>
      <c r="Q82" s="22">
        <v>1</v>
      </c>
      <c r="R82" s="22">
        <v>1</v>
      </c>
      <c r="S82" s="22">
        <v>1</v>
      </c>
      <c r="T82" s="22">
        <v>1</v>
      </c>
      <c r="U82" s="22">
        <v>1</v>
      </c>
      <c r="V82" s="22">
        <v>1</v>
      </c>
      <c r="W82" s="22">
        <v>1</v>
      </c>
      <c r="X82" s="22">
        <v>1</v>
      </c>
      <c r="Y82" s="22">
        <v>1</v>
      </c>
      <c r="Z82" s="22">
        <v>1</v>
      </c>
      <c r="AA82" s="22">
        <v>1</v>
      </c>
      <c r="AB82" s="22">
        <v>1</v>
      </c>
      <c r="AC82" s="22">
        <v>1</v>
      </c>
      <c r="AD82" s="22">
        <v>1</v>
      </c>
      <c r="AE82" s="22">
        <v>1</v>
      </c>
      <c r="AF82" s="22">
        <v>1</v>
      </c>
      <c r="AG82" s="22">
        <v>1</v>
      </c>
      <c r="AH82" s="22">
        <v>1</v>
      </c>
      <c r="AI82" s="22">
        <v>1</v>
      </c>
      <c r="AJ82" s="22">
        <v>1</v>
      </c>
      <c r="AK82" s="22">
        <v>1</v>
      </c>
      <c r="AL82" s="22">
        <v>1</v>
      </c>
      <c r="AM82" s="22">
        <v>1</v>
      </c>
      <c r="AN82" s="22">
        <v>1</v>
      </c>
      <c r="AO82" s="22">
        <v>1</v>
      </c>
      <c r="AP82" s="22">
        <v>1</v>
      </c>
      <c r="AQ82" s="22">
        <v>1</v>
      </c>
      <c r="AR82" s="22">
        <v>1</v>
      </c>
      <c r="AS82" s="22">
        <v>1</v>
      </c>
      <c r="AT82" s="22">
        <v>1</v>
      </c>
      <c r="AU82" s="22">
        <v>1</v>
      </c>
      <c r="AV82" s="22">
        <v>1</v>
      </c>
      <c r="AW82" s="22">
        <v>1</v>
      </c>
      <c r="AX82" s="22">
        <v>1</v>
      </c>
      <c r="AY82" s="22">
        <v>1</v>
      </c>
      <c r="AZ82" s="22">
        <v>1</v>
      </c>
      <c r="BA82" s="22">
        <v>1</v>
      </c>
      <c r="BB82" s="22">
        <v>1</v>
      </c>
      <c r="BC82" s="22">
        <v>1</v>
      </c>
      <c r="BD82" s="22">
        <v>1</v>
      </c>
      <c r="BE82" s="22">
        <v>1</v>
      </c>
      <c r="BF82" s="22">
        <v>1</v>
      </c>
      <c r="BG82" s="22">
        <v>1</v>
      </c>
      <c r="BH82" s="22">
        <v>1</v>
      </c>
      <c r="BI82" s="22">
        <v>1</v>
      </c>
      <c r="BJ82" s="22">
        <v>1</v>
      </c>
      <c r="BK82" s="22">
        <v>1</v>
      </c>
      <c r="BL82" s="22">
        <v>1</v>
      </c>
    </row>
    <row r="83" spans="1:64">
      <c r="A83" s="22" t="s">
        <v>10790</v>
      </c>
      <c r="B83" s="22" t="s">
        <v>11341</v>
      </c>
      <c r="C83" s="22" t="s">
        <v>11241</v>
      </c>
      <c r="D83" s="22" t="s">
        <v>11242</v>
      </c>
      <c r="E83" s="22">
        <v>245.19510139835899</v>
      </c>
      <c r="F83" s="22">
        <v>245.26010162116</v>
      </c>
      <c r="G83" s="22">
        <v>245.013850686544</v>
      </c>
      <c r="H83" s="22">
        <v>245.01635069607499</v>
      </c>
      <c r="I83" s="22">
        <v>245.027184079042</v>
      </c>
      <c r="J83" s="22">
        <v>245.06093420770799</v>
      </c>
      <c r="K83" s="22">
        <v>245.67843655764401</v>
      </c>
      <c r="L83" s="22">
        <v>246.00093779128099</v>
      </c>
      <c r="M83" s="22">
        <v>247.56469375695099</v>
      </c>
      <c r="N83" s="22">
        <v>259.960574351236</v>
      </c>
      <c r="O83" s="22">
        <v>276.403137026845</v>
      </c>
      <c r="P83" s="22">
        <v>275.35645668533198</v>
      </c>
      <c r="Q83" s="22">
        <v>252.02762746264901</v>
      </c>
      <c r="R83" s="22">
        <v>222.88918305322699</v>
      </c>
      <c r="S83" s="22">
        <v>240.70466763782301</v>
      </c>
      <c r="T83" s="22">
        <v>214.31290034121901</v>
      </c>
      <c r="U83" s="22">
        <v>238.95049426705901</v>
      </c>
      <c r="V83" s="22">
        <v>245.67968656657601</v>
      </c>
      <c r="W83" s="22">
        <v>225.65586023395699</v>
      </c>
      <c r="X83" s="22">
        <v>212.721644262377</v>
      </c>
      <c r="Y83" s="22">
        <v>211.27955541470499</v>
      </c>
      <c r="Z83" s="22">
        <v>271.73145255032699</v>
      </c>
      <c r="AA83" s="22">
        <v>328.60625269898998</v>
      </c>
      <c r="AB83" s="22">
        <v>381.06603602462798</v>
      </c>
      <c r="AC83" s="22">
        <v>436.95666578800802</v>
      </c>
      <c r="AD83" s="22">
        <v>449.26296271160697</v>
      </c>
      <c r="AE83" s="22">
        <v>346.305903554493</v>
      </c>
      <c r="AF83" s="22">
        <v>300.53656240147802</v>
      </c>
      <c r="AG83" s="22">
        <v>297.84821881937802</v>
      </c>
      <c r="AH83" s="22">
        <v>319.008299487903</v>
      </c>
      <c r="AI83" s="22">
        <v>272.264787954393</v>
      </c>
      <c r="AJ83" s="22">
        <v>282.10690880881998</v>
      </c>
      <c r="AK83" s="22">
        <v>264.69180075057898</v>
      </c>
      <c r="AL83" s="22">
        <v>283.16257950001801</v>
      </c>
      <c r="AM83" s="22">
        <v>555.20469565569704</v>
      </c>
      <c r="AN83" s="22">
        <v>499.14842590131002</v>
      </c>
      <c r="AO83" s="22">
        <v>511.55243027251601</v>
      </c>
      <c r="AP83" s="22">
        <v>583.66937235339606</v>
      </c>
      <c r="AQ83" s="22">
        <v>589.951774567332</v>
      </c>
      <c r="AR83" s="22">
        <v>615.47334931916396</v>
      </c>
      <c r="AS83" s="22">
        <v>710.20797703136702</v>
      </c>
      <c r="AT83" s="22">
        <v>732.39769326022804</v>
      </c>
      <c r="AU83" s="22">
        <v>693.71322649637398</v>
      </c>
      <c r="AV83" s="22">
        <v>579.897426172466</v>
      </c>
      <c r="AW83" s="22">
        <v>527.33803229157604</v>
      </c>
      <c r="AX83" s="22">
        <v>527.25836264962595</v>
      </c>
      <c r="AY83" s="22">
        <v>522.42562489517604</v>
      </c>
      <c r="AZ83" s="22">
        <v>478.63371847636301</v>
      </c>
      <c r="BA83" s="22">
        <v>446.00004143278801</v>
      </c>
      <c r="BB83" s="22">
        <v>470.29342334139801</v>
      </c>
      <c r="BC83" s="22">
        <v>494.794262222947</v>
      </c>
      <c r="BD83" s="22">
        <v>471.24862571893698</v>
      </c>
      <c r="BE83" s="22">
        <v>510.55633845425098</v>
      </c>
      <c r="BF83" s="22">
        <v>493.89962385223703</v>
      </c>
      <c r="BG83" s="22">
        <v>493.757329875312</v>
      </c>
      <c r="BH83" s="22">
        <v>591.21169798260996</v>
      </c>
      <c r="BI83" s="22">
        <v>592.60561506302201</v>
      </c>
      <c r="BJ83" s="22">
        <v>580.65674958785803</v>
      </c>
      <c r="BK83" s="22">
        <v>555.44645839822601</v>
      </c>
      <c r="BL83" s="22">
        <v>585.91101318036897</v>
      </c>
    </row>
    <row r="84" spans="1:64">
      <c r="A84" s="22" t="s">
        <v>3593</v>
      </c>
      <c r="B84" s="22" t="s">
        <v>11342</v>
      </c>
      <c r="C84" s="22" t="s">
        <v>11241</v>
      </c>
      <c r="D84" s="22" t="s">
        <v>11242</v>
      </c>
      <c r="E84" s="22">
        <v>0.357142999357143</v>
      </c>
      <c r="F84" s="22">
        <v>0.357142999357143</v>
      </c>
      <c r="G84" s="22">
        <v>0.357142999357143</v>
      </c>
      <c r="H84" s="22">
        <v>0.357142999357143</v>
      </c>
      <c r="I84" s="22">
        <v>0.357142999357143</v>
      </c>
      <c r="J84" s="22">
        <v>0.357142999357143</v>
      </c>
      <c r="K84" s="22">
        <v>0.357142999357143</v>
      </c>
      <c r="L84" s="22">
        <v>0.36210333266567502</v>
      </c>
      <c r="M84" s="22">
        <v>0.41666699941666702</v>
      </c>
      <c r="N84" s="22">
        <v>0.41666699941666702</v>
      </c>
      <c r="O84" s="22">
        <v>0.41666699941666702</v>
      </c>
      <c r="P84" s="22">
        <v>0.41092023742942502</v>
      </c>
      <c r="Q84" s="22">
        <v>0.40039046153000801</v>
      </c>
      <c r="R84" s="22">
        <v>0.40817094529930797</v>
      </c>
      <c r="S84" s="22">
        <v>0.42775643974766298</v>
      </c>
      <c r="T84" s="22">
        <v>0.45204116566666702</v>
      </c>
      <c r="U84" s="22">
        <v>0.55650983233333295</v>
      </c>
      <c r="V84" s="22">
        <v>0.57327199900000003</v>
      </c>
      <c r="W84" s="22">
        <v>0.52150458233333297</v>
      </c>
      <c r="X84" s="22">
        <v>0.47218116566666701</v>
      </c>
      <c r="Y84" s="22">
        <v>0.43029499900000001</v>
      </c>
      <c r="Z84" s="22">
        <v>0.49764133233333302</v>
      </c>
      <c r="AA84" s="22">
        <v>0.57244683233333304</v>
      </c>
      <c r="AB84" s="22">
        <v>0.65972458233333298</v>
      </c>
      <c r="AC84" s="22">
        <v>0.75180666625000003</v>
      </c>
      <c r="AD84" s="22">
        <v>0.77924599974999997</v>
      </c>
      <c r="AE84" s="22">
        <v>0.68219733333333299</v>
      </c>
      <c r="AF84" s="22">
        <v>0.61192650000000004</v>
      </c>
      <c r="AG84" s="22">
        <v>0.56217016666666697</v>
      </c>
      <c r="AH84" s="22">
        <v>0.61117275000000004</v>
      </c>
      <c r="AI84" s="22">
        <v>0.56317716666666695</v>
      </c>
      <c r="AJ84" s="22">
        <v>0.56701533333333298</v>
      </c>
      <c r="AK84" s="22">
        <v>0.56977416666666703</v>
      </c>
      <c r="AL84" s="22">
        <v>0.66675655333333295</v>
      </c>
      <c r="AM84" s="22">
        <v>0.65342660416666698</v>
      </c>
      <c r="AN84" s="22">
        <v>0.63366811999999995</v>
      </c>
      <c r="AO84" s="22">
        <v>0.64095825500000003</v>
      </c>
      <c r="AP84" s="22">
        <v>0.61083611416666705</v>
      </c>
      <c r="AQ84" s="22">
        <v>0.60382359416666698</v>
      </c>
      <c r="AR84" s="22">
        <v>0.61805684500000002</v>
      </c>
      <c r="AS84" s="22">
        <v>0.66093083333333302</v>
      </c>
      <c r="AT84" s="22">
        <v>0.69465500000000002</v>
      </c>
      <c r="AU84" s="22">
        <v>0.66722333333333295</v>
      </c>
      <c r="AV84" s="22">
        <v>0.61247249999999998</v>
      </c>
      <c r="AW84" s="22">
        <v>0.54618</v>
      </c>
      <c r="AX84" s="22">
        <v>0.54999833333333303</v>
      </c>
      <c r="AY84" s="22">
        <v>0.54348666666666701</v>
      </c>
      <c r="AZ84" s="22">
        <v>0.499771666666667</v>
      </c>
      <c r="BA84" s="22">
        <v>0.54396624999999998</v>
      </c>
      <c r="BB84" s="22">
        <v>0.64191926349599604</v>
      </c>
      <c r="BC84" s="22">
        <v>0.64717934556016499</v>
      </c>
      <c r="BD84" s="22">
        <v>0.62414083574049495</v>
      </c>
      <c r="BE84" s="22">
        <v>0.63304698885732702</v>
      </c>
      <c r="BF84" s="22">
        <v>0.63966057761347705</v>
      </c>
      <c r="BG84" s="22">
        <v>0.60772962687825505</v>
      </c>
      <c r="BH84" s="22">
        <v>0.65454547893142601</v>
      </c>
      <c r="BI84" s="22">
        <v>0.74063446369708397</v>
      </c>
      <c r="BJ84" s="22">
        <v>0.77697668234412298</v>
      </c>
      <c r="BK84" s="22">
        <v>0.74953154025984703</v>
      </c>
      <c r="BL84" s="22">
        <v>0.78344511001192896</v>
      </c>
    </row>
    <row r="85" spans="1:64">
      <c r="A85" s="22" t="s">
        <v>9462</v>
      </c>
      <c r="B85" s="22" t="s">
        <v>11343</v>
      </c>
      <c r="C85" s="22" t="s">
        <v>11241</v>
      </c>
      <c r="D85" s="22" t="s">
        <v>11242</v>
      </c>
      <c r="AO85" s="22">
        <v>1.2627999999999999</v>
      </c>
      <c r="AP85" s="22">
        <v>1.2975000000000001</v>
      </c>
      <c r="AQ85" s="22">
        <v>1.38981666666667</v>
      </c>
      <c r="AR85" s="22">
        <v>2.0245166666666701</v>
      </c>
      <c r="AS85" s="22">
        <v>1.97616666666667</v>
      </c>
      <c r="AT85" s="22">
        <v>2.0730166666666698</v>
      </c>
      <c r="AU85" s="22">
        <v>2.195675</v>
      </c>
      <c r="AV85" s="22">
        <v>2.1456499999999998</v>
      </c>
      <c r="AW85" s="22">
        <v>1.91665</v>
      </c>
      <c r="AX85" s="22">
        <v>1.812675</v>
      </c>
      <c r="AY85" s="22">
        <v>1.78043333333333</v>
      </c>
      <c r="AZ85" s="22">
        <v>1.67049166666667</v>
      </c>
      <c r="BA85" s="22">
        <v>1.4907916666666701</v>
      </c>
      <c r="BB85" s="22">
        <v>1.6704870967741901</v>
      </c>
      <c r="BC85" s="22">
        <v>1.78234166666667</v>
      </c>
      <c r="BD85" s="22">
        <v>1.6864954301075299</v>
      </c>
      <c r="BE85" s="22">
        <v>1.6512583333333299</v>
      </c>
      <c r="BF85" s="22">
        <v>1.6633500000000001</v>
      </c>
      <c r="BG85" s="22">
        <v>1.76566666666667</v>
      </c>
      <c r="BH85" s="22">
        <v>2.2693416666666701</v>
      </c>
      <c r="BI85" s="22">
        <v>2.3667250000000002</v>
      </c>
      <c r="BJ85" s="22">
        <v>2.5095416666666699</v>
      </c>
      <c r="BK85" s="22">
        <v>2.53411083333333</v>
      </c>
      <c r="BL85" s="22">
        <v>2.8181449999999999</v>
      </c>
    </row>
    <row r="86" spans="1:64">
      <c r="A86" s="22" t="s">
        <v>5524</v>
      </c>
      <c r="B86" s="22" t="s">
        <v>11344</v>
      </c>
      <c r="C86" s="22" t="s">
        <v>11241</v>
      </c>
      <c r="D86" s="22" t="s">
        <v>11242</v>
      </c>
      <c r="E86" s="22">
        <v>7.1391596674247305E-5</v>
      </c>
      <c r="F86" s="22">
        <v>7.1391596674247305E-5</v>
      </c>
      <c r="G86" s="22">
        <v>7.1391596674247305E-5</v>
      </c>
      <c r="H86" s="22">
        <v>7.1391596674247305E-5</v>
      </c>
      <c r="I86" s="22">
        <v>7.1391596674247305E-5</v>
      </c>
      <c r="J86" s="22">
        <v>7.1391596674247305E-5</v>
      </c>
      <c r="K86" s="22">
        <v>7.1391596674247305E-5</v>
      </c>
      <c r="L86" s="22">
        <v>8.6081194792526894E-5</v>
      </c>
      <c r="M86" s="22">
        <v>1.01985139685E-4</v>
      </c>
      <c r="N86" s="22">
        <v>1.01985139685E-4</v>
      </c>
      <c r="O86" s="22">
        <v>1.01985139685E-4</v>
      </c>
      <c r="P86" s="22">
        <v>1.0342936280328E-4</v>
      </c>
      <c r="Q86" s="22">
        <v>1.33267478842706E-4</v>
      </c>
      <c r="R86" s="22">
        <v>1.16437365491452E-4</v>
      </c>
      <c r="S86" s="22">
        <v>1.14938171943065E-4</v>
      </c>
      <c r="T86" s="22">
        <v>1.14938171943065E-4</v>
      </c>
      <c r="U86" s="22">
        <v>1.14938171943065E-4</v>
      </c>
      <c r="V86" s="22">
        <v>1.14938171943065E-4</v>
      </c>
      <c r="W86" s="22">
        <v>1.7626318381266601E-4</v>
      </c>
      <c r="X86" s="22">
        <v>2.7485215053763402E-4</v>
      </c>
      <c r="Y86" s="22">
        <v>2.7485215053763402E-4</v>
      </c>
      <c r="Z86" s="22">
        <v>2.7485215053763402E-4</v>
      </c>
      <c r="AA86" s="22">
        <v>2.7485215053763402E-4</v>
      </c>
      <c r="AB86" s="22">
        <v>8.8252277014463302E-4</v>
      </c>
      <c r="AC86" s="22">
        <v>3.5966844251375698E-3</v>
      </c>
      <c r="AD86" s="22">
        <v>5.4335771505376398E-3</v>
      </c>
      <c r="AE86" s="22">
        <v>8.9156207437275994E-3</v>
      </c>
      <c r="AF86" s="22">
        <v>1.5365068100358399E-2</v>
      </c>
      <c r="AG86" s="22">
        <v>2.0223704525089599E-2</v>
      </c>
      <c r="AH86" s="22">
        <v>2.6985483870967698E-2</v>
      </c>
      <c r="AI86" s="22">
        <v>3.2615621953404998E-2</v>
      </c>
      <c r="AJ86" s="22">
        <v>3.67633074820789E-2</v>
      </c>
      <c r="AK86" s="22">
        <v>4.3685167383512503E-2</v>
      </c>
      <c r="AL86" s="22">
        <v>6.4871187589605694E-2</v>
      </c>
      <c r="AM86" s="22">
        <v>9.5568238854515902E-2</v>
      </c>
      <c r="AN86" s="22">
        <v>0.119913872960145</v>
      </c>
      <c r="AO86" s="22">
        <v>0.16354716757520099</v>
      </c>
      <c r="AP86" s="22">
        <v>0.204796277898216</v>
      </c>
      <c r="AQ86" s="22">
        <v>0.23116590058234099</v>
      </c>
      <c r="AR86" s="22">
        <v>0.26664297240719098</v>
      </c>
      <c r="AS86" s="22">
        <v>0.54491917586876604</v>
      </c>
      <c r="AT86" s="22">
        <v>0.71630515780899495</v>
      </c>
      <c r="AU86" s="22">
        <v>0.79241708431316704</v>
      </c>
      <c r="AV86" s="22">
        <v>0.86676432652534496</v>
      </c>
      <c r="AW86" s="22">
        <v>0.89949485400706297</v>
      </c>
      <c r="AX86" s="22">
        <v>0.90520948583333305</v>
      </c>
      <c r="AY86" s="22">
        <v>0.91510679916666704</v>
      </c>
      <c r="AZ86" s="22">
        <v>0.93261919500000001</v>
      </c>
      <c r="BA86" s="22">
        <v>1.0522750000000001</v>
      </c>
      <c r="BB86" s="22">
        <v>1.40496666666667</v>
      </c>
      <c r="BC86" s="22">
        <v>1.4299833333333301</v>
      </c>
      <c r="BD86" s="22">
        <v>1.5206249999999999</v>
      </c>
      <c r="BE86" s="22">
        <v>1.82486666666667</v>
      </c>
      <c r="BF86" s="22">
        <v>1.9813499999999999</v>
      </c>
      <c r="BG86" s="22">
        <v>2.8965749999999999</v>
      </c>
      <c r="BH86" s="22">
        <v>3.7146416666666702</v>
      </c>
      <c r="BI86" s="22">
        <v>3.90981666666667</v>
      </c>
      <c r="BJ86" s="22">
        <v>4.3505333333333303</v>
      </c>
      <c r="BK86" s="22">
        <v>4.5853250000000001</v>
      </c>
      <c r="BL86" s="22">
        <v>5.2173666666666696</v>
      </c>
    </row>
    <row r="87" spans="1:64">
      <c r="A87" s="22" t="s">
        <v>11345</v>
      </c>
      <c r="B87" s="22" t="s">
        <v>11346</v>
      </c>
      <c r="C87" s="22" t="s">
        <v>11241</v>
      </c>
      <c r="D87" s="22" t="s">
        <v>11242</v>
      </c>
      <c r="E87" s="22">
        <v>0.357142999357143</v>
      </c>
      <c r="F87" s="22">
        <v>0.357142999357143</v>
      </c>
      <c r="G87" s="22">
        <v>0.357142999357143</v>
      </c>
      <c r="H87" s="22">
        <v>0.357142999357143</v>
      </c>
      <c r="I87" s="22">
        <v>0.357142999357143</v>
      </c>
      <c r="J87" s="22">
        <v>0.357142999357143</v>
      </c>
      <c r="K87" s="22">
        <v>0.357142999357143</v>
      </c>
      <c r="L87" s="22">
        <v>0.36210333266567502</v>
      </c>
      <c r="M87" s="22">
        <v>0.41666699941666702</v>
      </c>
      <c r="N87" s="22">
        <v>0.41666699941666702</v>
      </c>
      <c r="O87" s="22">
        <v>0.41666699941666702</v>
      </c>
      <c r="P87" s="22">
        <v>0.41092023742942502</v>
      </c>
      <c r="Q87" s="22">
        <v>0.40039046153000801</v>
      </c>
      <c r="R87" s="22">
        <v>0.40817094529930797</v>
      </c>
      <c r="S87" s="22">
        <v>0.42775643974766298</v>
      </c>
      <c r="T87" s="22">
        <v>0.45204116566666702</v>
      </c>
      <c r="U87" s="22">
        <v>0.55650983233333295</v>
      </c>
      <c r="V87" s="22">
        <v>0.57327199900000003</v>
      </c>
      <c r="W87" s="22">
        <v>0.52150458233333297</v>
      </c>
      <c r="X87" s="22">
        <v>0.47218116566666701</v>
      </c>
      <c r="Y87" s="22">
        <v>0.43029499900000001</v>
      </c>
      <c r="Z87" s="22">
        <v>0.49764133233333302</v>
      </c>
      <c r="AA87" s="22">
        <v>0.57244683233333304</v>
      </c>
      <c r="AB87" s="22">
        <v>0.65972458233333298</v>
      </c>
      <c r="AC87" s="22">
        <v>0.75180666625000003</v>
      </c>
      <c r="AD87" s="22">
        <v>0.77924599974999997</v>
      </c>
      <c r="AE87" s="22">
        <v>0.68219733333333299</v>
      </c>
      <c r="AF87" s="22">
        <v>0.61192650000000004</v>
      </c>
      <c r="AG87" s="22">
        <v>0.56217016666666697</v>
      </c>
      <c r="AH87" s="22">
        <v>0.61117275000000004</v>
      </c>
      <c r="AI87" s="22">
        <v>0.56317716666666695</v>
      </c>
      <c r="AJ87" s="22">
        <v>0.56701533333333298</v>
      </c>
      <c r="AK87" s="22">
        <v>0.56977416666666703</v>
      </c>
      <c r="AL87" s="22">
        <v>0.66675655333333295</v>
      </c>
      <c r="AM87" s="22">
        <v>0.65342660416666698</v>
      </c>
      <c r="AN87" s="22">
        <v>0.63366811999999995</v>
      </c>
      <c r="AO87" s="22">
        <v>0.64095825500000003</v>
      </c>
      <c r="AP87" s="22">
        <v>0.61083611416666705</v>
      </c>
      <c r="AQ87" s="22">
        <v>0.60382359416666698</v>
      </c>
      <c r="AR87" s="22">
        <v>0.61805684500000002</v>
      </c>
      <c r="AS87" s="22">
        <v>0.66093083333333302</v>
      </c>
      <c r="AT87" s="22">
        <v>0.69465500000000002</v>
      </c>
      <c r="AU87" s="22">
        <v>0.66722333333333295</v>
      </c>
      <c r="AV87" s="22">
        <v>0.61247249999999998</v>
      </c>
      <c r="AW87" s="22">
        <v>0.54618</v>
      </c>
      <c r="AX87" s="22">
        <v>0.54999833333333303</v>
      </c>
      <c r="AY87" s="22">
        <v>0.54348666666666701</v>
      </c>
      <c r="AZ87" s="22">
        <v>0.499771666666667</v>
      </c>
      <c r="BA87" s="22">
        <v>0.54396624999999998</v>
      </c>
      <c r="BB87" s="22">
        <v>0.64191926349599604</v>
      </c>
      <c r="BC87" s="22">
        <v>0.64717934556016499</v>
      </c>
      <c r="BD87" s="22">
        <v>0.62414083574049495</v>
      </c>
      <c r="BE87" s="22">
        <v>0.63304698885732702</v>
      </c>
      <c r="BF87" s="22">
        <v>0.63966057761347705</v>
      </c>
      <c r="BG87" s="22">
        <v>0.60772962687825505</v>
      </c>
      <c r="BH87" s="22">
        <v>0.65454547893142601</v>
      </c>
      <c r="BI87" s="22">
        <v>0.74063446369708397</v>
      </c>
      <c r="BJ87" s="22">
        <v>0.77697668234412298</v>
      </c>
      <c r="BK87" s="22">
        <v>0.74953154025984703</v>
      </c>
      <c r="BL87" s="22">
        <v>0.78344511001192896</v>
      </c>
    </row>
    <row r="88" spans="1:64">
      <c r="A88" s="22" t="s">
        <v>7777</v>
      </c>
      <c r="B88" s="22" t="s">
        <v>11347</v>
      </c>
      <c r="C88" s="22" t="s">
        <v>11241</v>
      </c>
      <c r="D88" s="22" t="s">
        <v>11242</v>
      </c>
      <c r="E88" s="22">
        <v>24.685000023684999</v>
      </c>
      <c r="F88" s="22">
        <v>24.685000023684999</v>
      </c>
      <c r="G88" s="22">
        <v>24.685000023684999</v>
      </c>
      <c r="H88" s="22">
        <v>24.685000023684999</v>
      </c>
      <c r="I88" s="22">
        <v>24.685000023684999</v>
      </c>
      <c r="J88" s="22">
        <v>24.685000023684999</v>
      </c>
      <c r="K88" s="22">
        <v>24.685000023684999</v>
      </c>
      <c r="L88" s="22">
        <v>24.685000023684999</v>
      </c>
      <c r="M88" s="22">
        <v>24.685000023684999</v>
      </c>
      <c r="N88" s="22">
        <v>24.685000023684999</v>
      </c>
      <c r="O88" s="22">
        <v>24.685000023684999</v>
      </c>
      <c r="P88" s="22">
        <v>24.612752017628001</v>
      </c>
      <c r="Q88" s="22">
        <v>22.7362739789965</v>
      </c>
      <c r="R88" s="22">
        <v>20.716091769978998</v>
      </c>
      <c r="S88" s="22">
        <v>20.556276171700802</v>
      </c>
      <c r="T88" s="22">
        <v>20.6732649333333</v>
      </c>
      <c r="U88" s="22">
        <v>21.3819569425</v>
      </c>
      <c r="V88" s="22">
        <v>21.144482672500001</v>
      </c>
      <c r="W88" s="22">
        <v>19.723540754999998</v>
      </c>
      <c r="X88" s="22">
        <v>19.1070133208333</v>
      </c>
      <c r="Y88" s="22">
        <v>18.9688930416667</v>
      </c>
      <c r="Z88" s="22">
        <v>20.948117119166699</v>
      </c>
      <c r="AA88" s="22">
        <v>22.366028524166701</v>
      </c>
      <c r="AB88" s="22">
        <v>23.095183975000001</v>
      </c>
      <c r="AC88" s="22">
        <v>24.089943695833298</v>
      </c>
      <c r="AD88" s="22">
        <v>24.333098786666699</v>
      </c>
      <c r="AE88" s="22">
        <v>333.45249999999999</v>
      </c>
      <c r="AF88" s="22">
        <v>428.40249999999997</v>
      </c>
      <c r="AG88" s="22">
        <v>474.39583333333297</v>
      </c>
      <c r="AH88" s="22">
        <v>591.64583333333303</v>
      </c>
      <c r="AI88" s="22">
        <v>660.16666666666697</v>
      </c>
      <c r="AJ88" s="22">
        <v>753.85808333333296</v>
      </c>
      <c r="AK88" s="22">
        <v>902.00133333333304</v>
      </c>
      <c r="AL88" s="22">
        <v>955.49033333333296</v>
      </c>
      <c r="AM88" s="22">
        <v>976.63641666666695</v>
      </c>
      <c r="AN88" s="22">
        <v>991.41150000000005</v>
      </c>
      <c r="AO88" s="22">
        <v>1004.01658333333</v>
      </c>
      <c r="AP88" s="22">
        <v>1095.3254999999999</v>
      </c>
      <c r="AQ88" s="22">
        <v>1236.8317500000001</v>
      </c>
      <c r="AR88" s="22">
        <v>1387.4013333333301</v>
      </c>
      <c r="AS88" s="22">
        <v>1746.86991666667</v>
      </c>
      <c r="AT88" s="22">
        <v>1950.55833333333</v>
      </c>
      <c r="AU88" s="22">
        <v>1975.84375</v>
      </c>
      <c r="AV88" s="22">
        <v>1984.9312500000001</v>
      </c>
      <c r="AW88" s="22">
        <v>2243.9312500000001</v>
      </c>
      <c r="AX88" s="22">
        <v>3644.3333333333298</v>
      </c>
      <c r="AY88" s="22">
        <v>5148.75</v>
      </c>
      <c r="AZ88" s="22">
        <v>4197.7520041666703</v>
      </c>
      <c r="BA88" s="22">
        <v>4601.6910041666697</v>
      </c>
      <c r="BB88" s="22">
        <v>4801.0832375</v>
      </c>
      <c r="BC88" s="22">
        <v>5726.0710208333303</v>
      </c>
      <c r="BD88" s="22">
        <v>6658.0312583333298</v>
      </c>
      <c r="BE88" s="22">
        <v>6985.8290263333301</v>
      </c>
      <c r="BF88" s="22">
        <v>6907.8780694999996</v>
      </c>
      <c r="BG88" s="22">
        <v>7014.1187772499998</v>
      </c>
      <c r="BH88" s="22">
        <v>7485.51674166667</v>
      </c>
      <c r="BI88" s="22">
        <v>8967.9270795833309</v>
      </c>
      <c r="BJ88" s="22">
        <v>9088.3194962316593</v>
      </c>
      <c r="BK88" s="22">
        <v>9011.1341772519409</v>
      </c>
      <c r="BL88" s="22">
        <v>9183.8758639098396</v>
      </c>
    </row>
    <row r="89" spans="1:64">
      <c r="A89" s="22" t="s">
        <v>11348</v>
      </c>
      <c r="B89" s="22" t="s">
        <v>11349</v>
      </c>
      <c r="C89" s="22" t="s">
        <v>11241</v>
      </c>
      <c r="D89" s="22" t="s">
        <v>11242</v>
      </c>
      <c r="E89" s="22">
        <v>1.7857107145017099</v>
      </c>
      <c r="F89" s="22">
        <v>1.7857107145017099</v>
      </c>
      <c r="G89" s="22">
        <v>1.7857107145017099</v>
      </c>
      <c r="H89" s="22">
        <v>1.7857107145017099</v>
      </c>
      <c r="I89" s="22">
        <v>1.7857107145017099</v>
      </c>
      <c r="J89" s="22">
        <v>1.7857107145017099</v>
      </c>
      <c r="K89" s="22">
        <v>1.7857107145017099</v>
      </c>
      <c r="L89" s="22">
        <v>1.83531392893198</v>
      </c>
      <c r="M89" s="22">
        <v>2.08333000108333</v>
      </c>
      <c r="N89" s="22">
        <v>2.08333000108333</v>
      </c>
      <c r="O89" s="22">
        <v>2.08333000108333</v>
      </c>
      <c r="P89" s="22">
        <v>2.0545982738146198</v>
      </c>
      <c r="Q89" s="22">
        <v>2.0013327960424601</v>
      </c>
      <c r="R89" s="22">
        <v>1.7024045640635801</v>
      </c>
      <c r="S89" s="22">
        <v>1.7109267862755799</v>
      </c>
      <c r="T89" s="22">
        <v>1.8080437071058399</v>
      </c>
      <c r="U89" s="22">
        <v>2.2256731353848398</v>
      </c>
      <c r="V89" s="22">
        <v>2.2930188807786198</v>
      </c>
      <c r="W89" s="22">
        <v>2.0857452966718499</v>
      </c>
      <c r="X89" s="22">
        <v>1.88841579961904</v>
      </c>
      <c r="Y89" s="22">
        <v>1.7209828399170599</v>
      </c>
      <c r="Z89" s="22">
        <v>1.9901702093111799</v>
      </c>
      <c r="AA89" s="22">
        <v>2.2895101853073001</v>
      </c>
      <c r="AB89" s="22">
        <v>2.6385746191158299</v>
      </c>
      <c r="AC89" s="22">
        <v>3.58405801260268</v>
      </c>
      <c r="AD89" s="22">
        <v>3.8938738044416201</v>
      </c>
      <c r="AE89" s="22">
        <v>6.9249710882610698</v>
      </c>
      <c r="AF89" s="22">
        <v>7.07440010539122</v>
      </c>
      <c r="AG89" s="22">
        <v>6.70842323781853</v>
      </c>
      <c r="AH89" s="22">
        <v>7.5835829400414898</v>
      </c>
      <c r="AI89" s="22">
        <v>7.8789921808440599</v>
      </c>
      <c r="AJ89" s="22">
        <v>8.7331408398755705</v>
      </c>
      <c r="AK89" s="22">
        <v>8.89571491305405</v>
      </c>
      <c r="AL89" s="22">
        <v>9.1144194715680502</v>
      </c>
      <c r="AM89" s="22">
        <v>9.5817709601133902</v>
      </c>
      <c r="AN89" s="22">
        <v>9.5442648193098893</v>
      </c>
      <c r="AO89" s="22">
        <v>9.7971734695092998</v>
      </c>
      <c r="AP89" s="22">
        <v>10.2001666666667</v>
      </c>
      <c r="AQ89" s="22">
        <v>10.6431</v>
      </c>
      <c r="AR89" s="22">
        <v>11.395091666666699</v>
      </c>
      <c r="AS89" s="22">
        <v>12.7876250950944</v>
      </c>
      <c r="AT89" s="22">
        <v>15.687158333333301</v>
      </c>
      <c r="AU89" s="22">
        <v>19.917825000000001</v>
      </c>
      <c r="AV89" s="22">
        <v>28.530508333333302</v>
      </c>
      <c r="AW89" s="22">
        <v>30.030083333333302</v>
      </c>
      <c r="AX89" s="22">
        <v>28.575433333333301</v>
      </c>
      <c r="AY89" s="22">
        <v>28.065725</v>
      </c>
      <c r="AZ89" s="22">
        <v>24.873433333333299</v>
      </c>
      <c r="BA89" s="22">
        <v>22.192350000000001</v>
      </c>
      <c r="BB89" s="22">
        <v>26.644361204231299</v>
      </c>
      <c r="BC89" s="22">
        <v>28.0119536626841</v>
      </c>
      <c r="BD89" s="22">
        <v>29.4615200601576</v>
      </c>
      <c r="BE89" s="22">
        <v>32.077133888621702</v>
      </c>
      <c r="BF89" s="22">
        <v>35.957586834165099</v>
      </c>
      <c r="BG89" s="22">
        <v>41.7329616505126</v>
      </c>
      <c r="BH89" s="22">
        <v>42.506208092372503</v>
      </c>
      <c r="BI89" s="22">
        <v>43.372527673181899</v>
      </c>
      <c r="BJ89" s="22">
        <v>46.608909462110098</v>
      </c>
      <c r="BK89" s="22">
        <v>48.151780637907301</v>
      </c>
      <c r="BL89" s="22">
        <v>50.062461368422198</v>
      </c>
    </row>
    <row r="90" spans="1:64">
      <c r="A90" s="22" t="s">
        <v>10806</v>
      </c>
      <c r="B90" s="22" t="s">
        <v>11350</v>
      </c>
      <c r="C90" s="22" t="s">
        <v>11241</v>
      </c>
      <c r="D90" s="22" t="s">
        <v>11242</v>
      </c>
      <c r="E90" s="22">
        <v>245.19510139835899</v>
      </c>
      <c r="F90" s="22">
        <v>245.26010162116</v>
      </c>
      <c r="G90" s="22">
        <v>245.013850686544</v>
      </c>
      <c r="H90" s="22">
        <v>245.01635069607499</v>
      </c>
      <c r="I90" s="22">
        <v>245.027184079042</v>
      </c>
      <c r="J90" s="22">
        <v>245.06093420770799</v>
      </c>
      <c r="K90" s="22">
        <v>245.67843655764401</v>
      </c>
      <c r="L90" s="22">
        <v>246.00093779128099</v>
      </c>
      <c r="M90" s="22">
        <v>247.56469375695099</v>
      </c>
      <c r="N90" s="22">
        <v>259.960574351236</v>
      </c>
      <c r="O90" s="22">
        <v>276.403137026845</v>
      </c>
      <c r="P90" s="22">
        <v>275.35645668533198</v>
      </c>
      <c r="Q90" s="22">
        <v>252.02762746264901</v>
      </c>
      <c r="R90" s="22">
        <v>222.88918305322699</v>
      </c>
      <c r="S90" s="22">
        <v>240.70466763782301</v>
      </c>
      <c r="T90" s="22">
        <v>214.31290034121901</v>
      </c>
      <c r="U90" s="22">
        <v>238.95049426705901</v>
      </c>
      <c r="V90" s="22">
        <v>245.67968656657601</v>
      </c>
      <c r="W90" s="22">
        <v>225.65586023395699</v>
      </c>
      <c r="X90" s="22">
        <v>212.721644262377</v>
      </c>
      <c r="Y90" s="22">
        <v>211.27955541470499</v>
      </c>
      <c r="Z90" s="22">
        <v>271.73145255032699</v>
      </c>
      <c r="AA90" s="22">
        <v>328.60625269898998</v>
      </c>
      <c r="AB90" s="22">
        <v>381.06603602462798</v>
      </c>
      <c r="AC90" s="22">
        <v>436.95666578800802</v>
      </c>
      <c r="AD90" s="22">
        <v>449.26296271160697</v>
      </c>
      <c r="AE90" s="22">
        <v>346.305903554493</v>
      </c>
      <c r="AF90" s="22">
        <v>300.53656240147802</v>
      </c>
      <c r="AG90" s="22">
        <v>297.84821881937802</v>
      </c>
      <c r="AH90" s="22">
        <v>319.008299487903</v>
      </c>
      <c r="AI90" s="22">
        <v>272.264787954393</v>
      </c>
      <c r="AJ90" s="22">
        <v>282.10690880881998</v>
      </c>
      <c r="AK90" s="22">
        <v>264.69180075057898</v>
      </c>
      <c r="AL90" s="22">
        <v>283.16257950001801</v>
      </c>
      <c r="AM90" s="22">
        <v>555.20469565569704</v>
      </c>
      <c r="AN90" s="22">
        <v>499.14842590131002</v>
      </c>
      <c r="AO90" s="22">
        <v>511.55243027251601</v>
      </c>
      <c r="AP90" s="22">
        <v>583.66937235339606</v>
      </c>
      <c r="AQ90" s="22">
        <v>589.951774567332</v>
      </c>
      <c r="AR90" s="22">
        <v>615.47334931916396</v>
      </c>
      <c r="AS90" s="22">
        <v>710.20797703136702</v>
      </c>
      <c r="AT90" s="22">
        <v>732.39769326022804</v>
      </c>
      <c r="AU90" s="22">
        <v>693.71322649637398</v>
      </c>
      <c r="AV90" s="22">
        <v>579.897426172466</v>
      </c>
      <c r="AW90" s="22">
        <v>527.33803229157604</v>
      </c>
      <c r="AX90" s="22">
        <v>527.25836264962595</v>
      </c>
      <c r="AY90" s="22">
        <v>522.42562489517604</v>
      </c>
      <c r="AZ90" s="22">
        <v>478.63371847636301</v>
      </c>
      <c r="BA90" s="22">
        <v>446.00004143278801</v>
      </c>
      <c r="BB90" s="22">
        <v>470.29342334139801</v>
      </c>
      <c r="BC90" s="22">
        <v>494.794262222947</v>
      </c>
      <c r="BD90" s="22">
        <v>471.24862571893698</v>
      </c>
      <c r="BE90" s="22">
        <v>510.55633845425098</v>
      </c>
      <c r="BF90" s="22">
        <v>493.89962385223703</v>
      </c>
      <c r="BG90" s="22">
        <v>493.757329875312</v>
      </c>
      <c r="BH90" s="22">
        <v>591.21169798260996</v>
      </c>
      <c r="BI90" s="22">
        <v>592.60561506302201</v>
      </c>
      <c r="BJ90" s="22">
        <v>580.65674958785803</v>
      </c>
      <c r="BK90" s="22">
        <v>555.44645839822601</v>
      </c>
      <c r="BL90" s="22">
        <v>585.91101318036897</v>
      </c>
    </row>
    <row r="91" spans="1:64">
      <c r="A91" s="22" t="s">
        <v>10769</v>
      </c>
      <c r="B91" s="22" t="s">
        <v>11351</v>
      </c>
      <c r="C91" s="22" t="s">
        <v>11241</v>
      </c>
      <c r="D91" s="22" t="s">
        <v>11242</v>
      </c>
      <c r="E91" s="22">
        <v>245.19510139835899</v>
      </c>
      <c r="F91" s="22">
        <v>245.26010162116</v>
      </c>
      <c r="G91" s="22">
        <v>245.013850686544</v>
      </c>
      <c r="H91" s="22">
        <v>245.01635069607499</v>
      </c>
      <c r="I91" s="22">
        <v>245.027184079042</v>
      </c>
      <c r="J91" s="22">
        <v>245.06093420770799</v>
      </c>
      <c r="K91" s="22">
        <v>245.67843655764401</v>
      </c>
      <c r="L91" s="22">
        <v>246.00093779128099</v>
      </c>
      <c r="M91" s="22">
        <v>247.56469375695099</v>
      </c>
      <c r="N91" s="22">
        <v>259.960574351236</v>
      </c>
      <c r="O91" s="22">
        <v>276.403137026845</v>
      </c>
      <c r="P91" s="22">
        <v>275.35645668533198</v>
      </c>
      <c r="Q91" s="22">
        <v>252.02762746264901</v>
      </c>
      <c r="R91" s="22">
        <v>222.88918305322699</v>
      </c>
      <c r="S91" s="22">
        <v>240.70466763782301</v>
      </c>
      <c r="T91" s="22">
        <v>214.31290034121901</v>
      </c>
      <c r="U91" s="22">
        <v>238.95049426705901</v>
      </c>
      <c r="V91" s="22">
        <v>245.67968656657601</v>
      </c>
      <c r="W91" s="22">
        <v>225.65586023395699</v>
      </c>
      <c r="X91" s="22">
        <v>212.721644262377</v>
      </c>
      <c r="Y91" s="22">
        <v>211.27955541470499</v>
      </c>
      <c r="Z91" s="22">
        <v>271.73145255032699</v>
      </c>
      <c r="AA91" s="22">
        <v>328.60625269898998</v>
      </c>
      <c r="AB91" s="22">
        <v>381.06603602462798</v>
      </c>
      <c r="AC91" s="22">
        <v>436.95666578800802</v>
      </c>
      <c r="AD91" s="22">
        <v>449.26296271160697</v>
      </c>
      <c r="AE91" s="22">
        <v>346.305903554493</v>
      </c>
      <c r="AF91" s="22">
        <v>300.53656240147802</v>
      </c>
      <c r="AG91" s="22">
        <v>297.84821881937802</v>
      </c>
      <c r="AH91" s="22">
        <v>319.008299487903</v>
      </c>
      <c r="AI91" s="22">
        <v>272.264787954393</v>
      </c>
      <c r="AJ91" s="22">
        <v>282.10690880881998</v>
      </c>
      <c r="AK91" s="22">
        <v>264.69180075057898</v>
      </c>
      <c r="AL91" s="22">
        <v>283.16257950001801</v>
      </c>
      <c r="AM91" s="22">
        <v>555.20469565569704</v>
      </c>
      <c r="AN91" s="22">
        <v>499.14842590131002</v>
      </c>
      <c r="AO91" s="22">
        <v>511.55243027251601</v>
      </c>
      <c r="AP91" s="22">
        <v>583.66937235339606</v>
      </c>
      <c r="AQ91" s="22">
        <v>589.951774567332</v>
      </c>
      <c r="AR91" s="22">
        <v>615.47334931916396</v>
      </c>
      <c r="AS91" s="22">
        <v>710.20797703136702</v>
      </c>
      <c r="AT91" s="22">
        <v>732.39769326022804</v>
      </c>
      <c r="AU91" s="22">
        <v>693.71322649637398</v>
      </c>
      <c r="AV91" s="22">
        <v>579.897426172466</v>
      </c>
      <c r="AW91" s="22">
        <v>527.33803229157604</v>
      </c>
      <c r="AX91" s="22">
        <v>527.25836264962595</v>
      </c>
      <c r="AY91" s="22">
        <v>522.42562489517604</v>
      </c>
      <c r="AZ91" s="22">
        <v>478.63371847636301</v>
      </c>
      <c r="BA91" s="22">
        <v>446.00004143278801</v>
      </c>
      <c r="BB91" s="22">
        <v>470.29342334139801</v>
      </c>
      <c r="BC91" s="22">
        <v>494.794262222947</v>
      </c>
      <c r="BD91" s="22">
        <v>471.24862571893698</v>
      </c>
      <c r="BE91" s="22">
        <v>510.55633845425098</v>
      </c>
      <c r="BF91" s="22">
        <v>493.89962385223703</v>
      </c>
      <c r="BG91" s="22">
        <v>493.757329875312</v>
      </c>
      <c r="BH91" s="22">
        <v>591.21169798260996</v>
      </c>
      <c r="BI91" s="22">
        <v>592.60561506302201</v>
      </c>
      <c r="BJ91" s="22">
        <v>580.65674958785803</v>
      </c>
      <c r="BK91" s="22">
        <v>555.44645839822601</v>
      </c>
      <c r="BL91" s="22">
        <v>585.91101318036897</v>
      </c>
    </row>
    <row r="92" spans="1:64">
      <c r="A92" s="22" t="s">
        <v>10797</v>
      </c>
      <c r="B92" s="22" t="s">
        <v>11352</v>
      </c>
      <c r="C92" s="22" t="s">
        <v>11241</v>
      </c>
      <c r="D92" s="22" t="s">
        <v>11242</v>
      </c>
      <c r="E92" s="22">
        <v>30.000300003</v>
      </c>
      <c r="F92" s="22">
        <v>30.000050024666699</v>
      </c>
      <c r="G92" s="22">
        <v>30.000000028999999</v>
      </c>
      <c r="H92" s="22">
        <v>30.000000028999999</v>
      </c>
      <c r="I92" s="22">
        <v>30.000000028999999</v>
      </c>
      <c r="J92" s="22">
        <v>30.000000028999999</v>
      </c>
      <c r="K92" s="22">
        <v>30.000000028999999</v>
      </c>
      <c r="L92" s="22">
        <v>30.000000028999999</v>
      </c>
      <c r="M92" s="22">
        <v>30.000000028999999</v>
      </c>
      <c r="N92" s="22">
        <v>30.000000028999999</v>
      </c>
      <c r="O92" s="22">
        <v>30.000000028999999</v>
      </c>
      <c r="P92" s="22">
        <v>30.0000000289151</v>
      </c>
      <c r="Q92" s="22">
        <v>30.000300003</v>
      </c>
      <c r="R92" s="22">
        <v>29.625225002000001</v>
      </c>
      <c r="S92" s="22">
        <v>30.000300003</v>
      </c>
      <c r="T92" s="22">
        <v>32.051324999999999</v>
      </c>
      <c r="U92" s="22">
        <v>36.517583332333302</v>
      </c>
      <c r="V92" s="22">
        <v>36.838416665666699</v>
      </c>
      <c r="W92" s="22">
        <v>36.745416665666703</v>
      </c>
      <c r="X92" s="22">
        <v>37.038416665666702</v>
      </c>
      <c r="Y92" s="22">
        <v>42.616583332333299</v>
      </c>
      <c r="Z92" s="22">
        <v>55.408416665666699</v>
      </c>
      <c r="AA92" s="22">
        <v>66.803166665749998</v>
      </c>
      <c r="AB92" s="22">
        <v>88.064249999500007</v>
      </c>
      <c r="AC92" s="22">
        <v>112.716583333</v>
      </c>
      <c r="AD92" s="22">
        <v>138.11908333299999</v>
      </c>
      <c r="AE92" s="22">
        <v>139.98116666658299</v>
      </c>
      <c r="AF92" s="22">
        <v>135.42949999999999</v>
      </c>
      <c r="AG92" s="22">
        <v>141.8605</v>
      </c>
      <c r="AH92" s="22">
        <v>162.41658333333299</v>
      </c>
      <c r="AI92" s="22">
        <v>158.513916666667</v>
      </c>
      <c r="AJ92" s="22">
        <v>182.266416666667</v>
      </c>
      <c r="AK92" s="22">
        <v>190.62424999999999</v>
      </c>
      <c r="AL92" s="22">
        <v>229.24984333333299</v>
      </c>
      <c r="AM92" s="22">
        <v>242.60281749999999</v>
      </c>
      <c r="AN92" s="22">
        <v>231.66273583333299</v>
      </c>
      <c r="AO92" s="22">
        <v>240.71154250000001</v>
      </c>
      <c r="AP92" s="22">
        <v>273.05785333333301</v>
      </c>
      <c r="AQ92" s="22">
        <v>295.52910500000002</v>
      </c>
      <c r="AR92" s="22">
        <v>305.64660416666698</v>
      </c>
      <c r="AS92" s="22">
        <v>365.39856083333302</v>
      </c>
    </row>
    <row r="93" spans="1:64">
      <c r="A93" s="22" t="s">
        <v>10801</v>
      </c>
      <c r="B93" s="22" t="s">
        <v>11353</v>
      </c>
      <c r="C93" s="22" t="s">
        <v>11241</v>
      </c>
      <c r="D93" s="22" t="s">
        <v>11242</v>
      </c>
      <c r="E93" s="22">
        <v>1.7142900007142901</v>
      </c>
      <c r="F93" s="22">
        <v>1.7142900007142901</v>
      </c>
      <c r="G93" s="22">
        <v>1.7142900007142901</v>
      </c>
      <c r="H93" s="22">
        <v>1.7142900007142901</v>
      </c>
      <c r="I93" s="22">
        <v>1.7142900007142901</v>
      </c>
      <c r="J93" s="22">
        <v>1.7142900007142901</v>
      </c>
      <c r="K93" s="22">
        <v>1.7142900007142901</v>
      </c>
      <c r="L93" s="22">
        <v>1.7619083340952399</v>
      </c>
      <c r="M93" s="22">
        <v>2.0000000010000001</v>
      </c>
      <c r="N93" s="22">
        <v>2.0000000010000001</v>
      </c>
      <c r="O93" s="22">
        <v>2.0000000010000001</v>
      </c>
      <c r="P93" s="22">
        <v>1.97487273321145</v>
      </c>
      <c r="Q93" s="22">
        <v>1.9212781494760101</v>
      </c>
      <c r="R93" s="22">
        <v>1.9592192359816101</v>
      </c>
      <c r="S93" s="22">
        <v>2.0532324085176299</v>
      </c>
      <c r="T93" s="22">
        <v>2.16979583233333</v>
      </c>
      <c r="U93" s="22">
        <v>2.6146708328333301</v>
      </c>
      <c r="V93" s="22">
        <v>2.7</v>
      </c>
      <c r="W93" s="22">
        <v>2.7</v>
      </c>
      <c r="X93" s="22">
        <v>2.7</v>
      </c>
      <c r="Y93" s="22">
        <v>2.7</v>
      </c>
      <c r="Z93" s="22">
        <v>2.7</v>
      </c>
      <c r="AA93" s="22">
        <v>2.7</v>
      </c>
      <c r="AB93" s="22">
        <v>2.7</v>
      </c>
      <c r="AC93" s="22">
        <v>2.7</v>
      </c>
      <c r="AD93" s="22">
        <v>2.7</v>
      </c>
      <c r="AE93" s="22">
        <v>2.7</v>
      </c>
      <c r="AF93" s="22">
        <v>2.7</v>
      </c>
      <c r="AG93" s="22">
        <v>2.7</v>
      </c>
      <c r="AH93" s="22">
        <v>2.7</v>
      </c>
      <c r="AI93" s="22">
        <v>2.7</v>
      </c>
      <c r="AJ93" s="22">
        <v>2.7</v>
      </c>
      <c r="AK93" s="22">
        <v>2.7</v>
      </c>
      <c r="AL93" s="22">
        <v>2.7</v>
      </c>
      <c r="AM93" s="22">
        <v>2.7</v>
      </c>
      <c r="AN93" s="22">
        <v>2.7</v>
      </c>
      <c r="AO93" s="22">
        <v>2.7</v>
      </c>
      <c r="AP93" s="22">
        <v>2.7</v>
      </c>
      <c r="AQ93" s="22">
        <v>2.7</v>
      </c>
      <c r="AR93" s="22">
        <v>2.7</v>
      </c>
      <c r="AS93" s="22">
        <v>2.7</v>
      </c>
      <c r="AT93" s="22">
        <v>2.7</v>
      </c>
      <c r="AU93" s="22">
        <v>2.7</v>
      </c>
      <c r="AV93" s="22">
        <v>2.7</v>
      </c>
      <c r="AW93" s="22">
        <v>2.7</v>
      </c>
      <c r="AX93" s="22">
        <v>2.7</v>
      </c>
      <c r="AY93" s="22">
        <v>2.7</v>
      </c>
      <c r="AZ93" s="22">
        <v>2.7</v>
      </c>
      <c r="BA93" s="22">
        <v>2.7</v>
      </c>
      <c r="BB93" s="22">
        <v>2.7</v>
      </c>
      <c r="BC93" s="22">
        <v>2.7</v>
      </c>
      <c r="BD93" s="22">
        <v>2.7</v>
      </c>
      <c r="BE93" s="22">
        <v>2.7</v>
      </c>
      <c r="BF93" s="22">
        <v>2.7</v>
      </c>
      <c r="BG93" s="22">
        <v>2.7</v>
      </c>
      <c r="BH93" s="22">
        <v>2.7</v>
      </c>
      <c r="BI93" s="22">
        <v>2.7</v>
      </c>
      <c r="BJ93" s="22">
        <v>2.7</v>
      </c>
      <c r="BK93" s="22">
        <v>2.7</v>
      </c>
      <c r="BL93" s="22">
        <v>2.7</v>
      </c>
    </row>
    <row r="94" spans="1:64">
      <c r="A94" s="22" t="s">
        <v>10799</v>
      </c>
      <c r="B94" s="22" t="s">
        <v>11354</v>
      </c>
      <c r="C94" s="22" t="s">
        <v>11241</v>
      </c>
      <c r="D94" s="22" t="s">
        <v>11242</v>
      </c>
      <c r="E94" s="22">
        <v>6.9071400059071397</v>
      </c>
      <c r="F94" s="22">
        <v>6.9071400059071397</v>
      </c>
      <c r="G94" s="22">
        <v>6.9071400059071397</v>
      </c>
      <c r="H94" s="22">
        <v>6.9071400059071397</v>
      </c>
      <c r="I94" s="22">
        <v>6.9071400059071397</v>
      </c>
      <c r="J94" s="22">
        <v>6.9071400059071397</v>
      </c>
      <c r="K94" s="22">
        <v>6.9071400059071397</v>
      </c>
      <c r="L94" s="22">
        <v>7.0059500060059499</v>
      </c>
      <c r="M94" s="22">
        <v>7.5000000064999996</v>
      </c>
      <c r="N94" s="22">
        <v>7.5000000064999996</v>
      </c>
      <c r="O94" s="22">
        <v>7.5000000064999996</v>
      </c>
      <c r="P94" s="22">
        <v>7.4175956555804303</v>
      </c>
      <c r="Q94" s="22">
        <v>6.9492916656666699</v>
      </c>
      <c r="R94" s="22">
        <v>6.049499999</v>
      </c>
      <c r="S94" s="22">
        <v>6.0948999989999999</v>
      </c>
      <c r="T94" s="22">
        <v>5.746149999</v>
      </c>
      <c r="U94" s="22">
        <v>6.0450249989999998</v>
      </c>
      <c r="V94" s="22">
        <v>6.0031916656666704</v>
      </c>
      <c r="W94" s="22">
        <v>5.5146249989999996</v>
      </c>
      <c r="X94" s="22">
        <v>5.2609583323333302</v>
      </c>
      <c r="Y94" s="22">
        <v>5.6359416656666701</v>
      </c>
      <c r="Z94" s="22">
        <v>7.1233666656666701</v>
      </c>
      <c r="AA94" s="22">
        <v>8.3324416661666696</v>
      </c>
      <c r="AB94" s="22">
        <v>9.1449916657500001</v>
      </c>
      <c r="AC94" s="22">
        <v>10.356591666250001</v>
      </c>
      <c r="AD94" s="22">
        <v>10.5963916664167</v>
      </c>
      <c r="AE94" s="22">
        <v>8.0909916665833403</v>
      </c>
      <c r="AF94" s="22">
        <v>6.8403166666666699</v>
      </c>
      <c r="AG94" s="22">
        <v>6.7315250000000004</v>
      </c>
      <c r="AH94" s="22">
        <v>7.3101750000000001</v>
      </c>
      <c r="AI94" s="22">
        <v>6.1885583333333303</v>
      </c>
      <c r="AJ94" s="22">
        <v>6.3964583333333298</v>
      </c>
      <c r="AK94" s="22">
        <v>6.0361333333333302</v>
      </c>
      <c r="AL94" s="22">
        <v>6.4839391666666701</v>
      </c>
      <c r="AM94" s="22">
        <v>6.3605516666666704</v>
      </c>
      <c r="AN94" s="22">
        <v>5.6023666666666703</v>
      </c>
      <c r="AO94" s="22">
        <v>5.79867166666667</v>
      </c>
      <c r="AP94" s="22">
        <v>6.6044591666666701</v>
      </c>
      <c r="AQ94" s="22">
        <v>6.7008266666666696</v>
      </c>
      <c r="AR94" s="22">
        <v>6.9762399999999998</v>
      </c>
      <c r="AS94" s="22">
        <v>8.0831441666666706</v>
      </c>
      <c r="AT94" s="22">
        <v>8.3228174999999993</v>
      </c>
      <c r="AU94" s="22">
        <v>7.8947141666666703</v>
      </c>
      <c r="AV94" s="22">
        <v>6.5876733333333304</v>
      </c>
      <c r="AW94" s="22">
        <v>5.9910566666666698</v>
      </c>
      <c r="AX94" s="22">
        <v>5.9969099999999997</v>
      </c>
      <c r="AY94" s="22">
        <v>5.9467783333333299</v>
      </c>
      <c r="AZ94" s="22">
        <v>5.4437008333333301</v>
      </c>
      <c r="BA94" s="22">
        <v>5.0981308333333297</v>
      </c>
      <c r="BB94" s="22">
        <v>5.36086666666667</v>
      </c>
      <c r="BC94" s="22">
        <v>5.6240750000000004</v>
      </c>
      <c r="BD94" s="22">
        <v>5.3687115350877201</v>
      </c>
      <c r="BE94" s="22">
        <v>5.7924755370391603</v>
      </c>
      <c r="BF94" s="22">
        <v>5.6163116861762203</v>
      </c>
      <c r="BG94" s="22">
        <v>5.6124666666666698</v>
      </c>
      <c r="BH94" s="22">
        <v>6.7279068312963002</v>
      </c>
      <c r="BI94" s="22">
        <v>6.7317182572463796</v>
      </c>
    </row>
    <row r="95" spans="1:64">
      <c r="A95" s="22" t="s">
        <v>10803</v>
      </c>
      <c r="B95" s="22" t="s">
        <v>11355</v>
      </c>
      <c r="C95" s="22" t="s">
        <v>11241</v>
      </c>
      <c r="D95" s="22" t="s">
        <v>11242</v>
      </c>
      <c r="E95" s="22">
        <v>1</v>
      </c>
      <c r="F95" s="22">
        <v>1</v>
      </c>
      <c r="G95" s="22">
        <v>1</v>
      </c>
      <c r="H95" s="22">
        <v>1</v>
      </c>
      <c r="I95" s="22">
        <v>1</v>
      </c>
      <c r="J95" s="22">
        <v>1</v>
      </c>
      <c r="K95" s="22">
        <v>1</v>
      </c>
      <c r="L95" s="22">
        <v>1</v>
      </c>
      <c r="M95" s="22">
        <v>1</v>
      </c>
      <c r="N95" s="22">
        <v>1</v>
      </c>
      <c r="O95" s="22">
        <v>1</v>
      </c>
      <c r="P95" s="22">
        <v>0.99999999991666699</v>
      </c>
      <c r="Q95" s="22">
        <v>1</v>
      </c>
      <c r="R95" s="22">
        <v>0.99999999991666699</v>
      </c>
      <c r="S95" s="22">
        <v>0.99999999949999996</v>
      </c>
      <c r="T95" s="22">
        <v>0.99999999900000003</v>
      </c>
      <c r="U95" s="22">
        <v>0.99999999900000003</v>
      </c>
      <c r="V95" s="22">
        <v>0.99999999900000003</v>
      </c>
      <c r="W95" s="22">
        <v>0.99999999900000003</v>
      </c>
      <c r="X95" s="22">
        <v>0.99999999900000003</v>
      </c>
      <c r="Y95" s="22">
        <v>0.99999999900000003</v>
      </c>
      <c r="Z95" s="22">
        <v>0.99999999900000003</v>
      </c>
      <c r="AA95" s="22">
        <v>0.99999999900000003</v>
      </c>
      <c r="AB95" s="22">
        <v>0.99999999900000003</v>
      </c>
      <c r="AC95" s="22">
        <v>0.99999999958333297</v>
      </c>
      <c r="AD95" s="22">
        <v>1</v>
      </c>
      <c r="AE95" s="22">
        <v>1.875</v>
      </c>
      <c r="AF95" s="22">
        <v>2.5</v>
      </c>
      <c r="AG95" s="22">
        <v>2.6195833333333298</v>
      </c>
      <c r="AH95" s="22">
        <v>2.8161166666666699</v>
      </c>
      <c r="AI95" s="22">
        <v>4.4857583333333304</v>
      </c>
      <c r="AJ95" s="22">
        <v>5.02888</v>
      </c>
      <c r="AK95" s="22">
        <v>5.1706300000000001</v>
      </c>
      <c r="AL95" s="22">
        <v>5.6353625000000003</v>
      </c>
      <c r="AM95" s="22">
        <v>5.7512008333333302</v>
      </c>
      <c r="AN95" s="22">
        <v>5.8103425</v>
      </c>
      <c r="AO95" s="22">
        <v>6.0495124999999996</v>
      </c>
      <c r="AP95" s="22">
        <v>6.0652691666666696</v>
      </c>
      <c r="AQ95" s="22">
        <v>6.3946533333333297</v>
      </c>
      <c r="AR95" s="22">
        <v>7.3856099999999998</v>
      </c>
      <c r="AS95" s="22">
        <v>7.7631591666666697</v>
      </c>
      <c r="AT95" s="22">
        <v>7.8585925000000003</v>
      </c>
      <c r="AU95" s="22">
        <v>7.8216450000000002</v>
      </c>
      <c r="AV95" s="22">
        <v>7.9408466666666699</v>
      </c>
      <c r="AW95" s="22">
        <v>7.94649583333333</v>
      </c>
      <c r="AX95" s="22">
        <v>7.6339441666666703</v>
      </c>
      <c r="AY95" s="22">
        <v>7.6026308333333299</v>
      </c>
      <c r="AZ95" s="22">
        <v>7.6733041666666697</v>
      </c>
      <c r="BA95" s="22">
        <v>7.5600283333333298</v>
      </c>
      <c r="BB95" s="22">
        <v>8.1615554166666708</v>
      </c>
      <c r="BC95" s="22">
        <v>8.0577708333333309</v>
      </c>
      <c r="BD95" s="22">
        <v>7.7854183333333298</v>
      </c>
      <c r="BE95" s="22">
        <v>7.8336054166666704</v>
      </c>
      <c r="BF95" s="22">
        <v>7.8568137499999997</v>
      </c>
      <c r="BG95" s="22">
        <v>7.7322333333333297</v>
      </c>
      <c r="BH95" s="22">
        <v>7.6548150000000001</v>
      </c>
      <c r="BI95" s="22">
        <v>7.5999370833333302</v>
      </c>
      <c r="BJ95" s="22">
        <v>7.34793875</v>
      </c>
      <c r="BK95" s="22">
        <v>7.51916458333333</v>
      </c>
      <c r="BL95" s="22">
        <v>7.6966983333333303</v>
      </c>
    </row>
    <row r="96" spans="1:64">
      <c r="A96" s="22" t="s">
        <v>11356</v>
      </c>
      <c r="B96" s="22" t="s">
        <v>11357</v>
      </c>
      <c r="C96" s="22" t="s">
        <v>11241</v>
      </c>
      <c r="D96" s="22" t="s">
        <v>11242</v>
      </c>
    </row>
    <row r="97" spans="1:64">
      <c r="A97" s="22" t="s">
        <v>10808</v>
      </c>
      <c r="B97" s="22" t="s">
        <v>11358</v>
      </c>
      <c r="C97" s="22" t="s">
        <v>11241</v>
      </c>
      <c r="D97" s="22" t="s">
        <v>11242</v>
      </c>
      <c r="E97" s="22">
        <v>1.7142900007142901</v>
      </c>
      <c r="F97" s="22">
        <v>1.7142900007142901</v>
      </c>
      <c r="G97" s="22">
        <v>1.7142900007142901</v>
      </c>
      <c r="H97" s="22">
        <v>1.7142900007142901</v>
      </c>
      <c r="I97" s="22">
        <v>1.7142900007142901</v>
      </c>
      <c r="J97" s="22">
        <v>1.7142900007142901</v>
      </c>
      <c r="K97" s="22">
        <v>1.7142900007142901</v>
      </c>
      <c r="L97" s="22">
        <v>1.7380991672619099</v>
      </c>
      <c r="M97" s="22">
        <v>2.0000000010000001</v>
      </c>
      <c r="N97" s="22">
        <v>2.0000000010000001</v>
      </c>
      <c r="O97" s="22">
        <v>2.0000000010000001</v>
      </c>
      <c r="P97" s="22">
        <v>1.9886602449324799</v>
      </c>
      <c r="Q97" s="22">
        <v>2.0872729631517299</v>
      </c>
      <c r="R97" s="22">
        <v>2.1061762107568001</v>
      </c>
      <c r="S97" s="22">
        <v>2.2268552932326</v>
      </c>
      <c r="T97" s="22">
        <v>2.3553841543784801</v>
      </c>
      <c r="U97" s="22">
        <v>2.5499999990000002</v>
      </c>
      <c r="V97" s="22">
        <v>2.5499999990000002</v>
      </c>
      <c r="W97" s="22">
        <v>2.5499999990000002</v>
      </c>
      <c r="X97" s="22">
        <v>2.5499999990000002</v>
      </c>
      <c r="Y97" s="22">
        <v>2.5499999990000002</v>
      </c>
      <c r="Z97" s="22">
        <v>2.8124999989999999</v>
      </c>
      <c r="AA97" s="22">
        <v>2.9999999989999999</v>
      </c>
      <c r="AB97" s="22">
        <v>2.9999999989999999</v>
      </c>
      <c r="AC97" s="22">
        <v>3.8315716662499999</v>
      </c>
      <c r="AD97" s="22">
        <v>4.2518549999166702</v>
      </c>
      <c r="AE97" s="22">
        <v>4.2724166666666701</v>
      </c>
      <c r="AF97" s="22">
        <v>9.7558333333333298</v>
      </c>
      <c r="AG97" s="22">
        <v>10</v>
      </c>
      <c r="AH97" s="22">
        <v>27.158750000000001</v>
      </c>
      <c r="AI97" s="22">
        <v>39.533333333333303</v>
      </c>
      <c r="AJ97" s="22">
        <v>111.810666666667</v>
      </c>
      <c r="AK97" s="22">
        <v>125.0025</v>
      </c>
      <c r="AL97" s="22">
        <v>126.73044166666701</v>
      </c>
      <c r="AM97" s="22">
        <v>138.290240833333</v>
      </c>
      <c r="AN97" s="22">
        <v>141.98916666666699</v>
      </c>
      <c r="AO97" s="22">
        <v>140.375</v>
      </c>
      <c r="AP97" s="22">
        <v>142.400833333333</v>
      </c>
      <c r="AQ97" s="22">
        <v>150.51916666666699</v>
      </c>
      <c r="AR97" s="22">
        <v>177.995</v>
      </c>
      <c r="AS97" s="22">
        <v>182.43</v>
      </c>
      <c r="AT97" s="22">
        <v>187.32083333333301</v>
      </c>
      <c r="AU97" s="22">
        <v>190.66499999999999</v>
      </c>
      <c r="AV97" s="22">
        <v>193.87833333333299</v>
      </c>
      <c r="AW97" s="22">
        <v>198.3075</v>
      </c>
      <c r="AX97" s="22">
        <v>199.875</v>
      </c>
      <c r="AY97" s="22">
        <v>200.18833333333299</v>
      </c>
      <c r="AZ97" s="22">
        <v>202.34666666666701</v>
      </c>
      <c r="BA97" s="22">
        <v>203.63333333333301</v>
      </c>
      <c r="BB97" s="22">
        <v>203.95</v>
      </c>
      <c r="BC97" s="22">
        <v>203.63583333333301</v>
      </c>
      <c r="BD97" s="22">
        <v>204.01750000000001</v>
      </c>
      <c r="BE97" s="22">
        <v>204.35833333333301</v>
      </c>
      <c r="BF97" s="22">
        <v>205.39416666666699</v>
      </c>
      <c r="BG97" s="22">
        <v>206.449166666667</v>
      </c>
      <c r="BH97" s="22">
        <v>206.5</v>
      </c>
      <c r="BI97" s="22">
        <v>206.5</v>
      </c>
      <c r="BJ97" s="22">
        <v>206.5</v>
      </c>
      <c r="BK97" s="22">
        <v>207.71666666666701</v>
      </c>
      <c r="BL97" s="22">
        <v>208.5</v>
      </c>
    </row>
    <row r="98" spans="1:64">
      <c r="A98" s="22" t="s">
        <v>11359</v>
      </c>
      <c r="B98" s="22" t="s">
        <v>11360</v>
      </c>
      <c r="C98" s="22" t="s">
        <v>11241</v>
      </c>
      <c r="D98" s="22" t="s">
        <v>11242</v>
      </c>
    </row>
    <row r="99" spans="1:64">
      <c r="A99" s="22" t="s">
        <v>11361</v>
      </c>
      <c r="B99" s="22" t="s">
        <v>11362</v>
      </c>
      <c r="C99" s="22" t="s">
        <v>11241</v>
      </c>
      <c r="D99" s="22" t="s">
        <v>11242</v>
      </c>
      <c r="E99" s="22">
        <v>5.7143000047142998</v>
      </c>
      <c r="F99" s="22">
        <v>5.7143000047142998</v>
      </c>
      <c r="G99" s="22">
        <v>5.7143000047142998</v>
      </c>
      <c r="H99" s="22">
        <v>5.7143000047142998</v>
      </c>
      <c r="I99" s="22">
        <v>5.7143000047142998</v>
      </c>
      <c r="J99" s="22">
        <v>5.7143000047142998</v>
      </c>
      <c r="K99" s="22">
        <v>5.7143000047142998</v>
      </c>
      <c r="L99" s="22">
        <v>5.7431583376002999</v>
      </c>
      <c r="M99" s="22">
        <v>6.0606000050605999</v>
      </c>
      <c r="N99" s="22">
        <v>6.0606000050605999</v>
      </c>
      <c r="O99" s="22">
        <v>6.0606000050605999</v>
      </c>
      <c r="P99" s="22">
        <v>5.9804104701834797</v>
      </c>
      <c r="Q99" s="22">
        <v>5.6414166665833303</v>
      </c>
      <c r="R99" s="22">
        <v>5.1464999999999996</v>
      </c>
      <c r="S99" s="22">
        <v>5.0315833333333302</v>
      </c>
      <c r="T99" s="22">
        <v>4.9351666665833296</v>
      </c>
      <c r="U99" s="22">
        <v>4.9047499998333297</v>
      </c>
      <c r="V99" s="22">
        <v>4.6619999999166701</v>
      </c>
      <c r="W99" s="22">
        <v>4.6836666665833304</v>
      </c>
      <c r="X99" s="22">
        <v>5.0026666664166699</v>
      </c>
      <c r="Y99" s="22">
        <v>4.9760833333333299</v>
      </c>
      <c r="Z99" s="22">
        <v>5.5893333333333297</v>
      </c>
      <c r="AA99" s="22">
        <v>6.0699166666666704</v>
      </c>
      <c r="AB99" s="22">
        <v>7.2651666665833297</v>
      </c>
      <c r="AC99" s="22">
        <v>7.8179999999999996</v>
      </c>
      <c r="AD99" s="22">
        <v>7.7907500000000001</v>
      </c>
      <c r="AE99" s="22">
        <v>7.8033333333333301</v>
      </c>
      <c r="AF99" s="22">
        <v>7.7982500000000003</v>
      </c>
      <c r="AG99" s="22">
        <v>7.806</v>
      </c>
      <c r="AH99" s="22">
        <v>7.7999166666666699</v>
      </c>
      <c r="AI99" s="22">
        <v>7.7897499999999997</v>
      </c>
      <c r="AJ99" s="22">
        <v>7.7711666666666703</v>
      </c>
      <c r="AK99" s="22">
        <v>7.7405833333333298</v>
      </c>
      <c r="AL99" s="22">
        <v>7.7355833333333299</v>
      </c>
      <c r="AM99" s="22">
        <v>7.7284166666666696</v>
      </c>
      <c r="AN99" s="22">
        <v>7.7358333333333302</v>
      </c>
      <c r="AO99" s="22">
        <v>7.7342541666666698</v>
      </c>
      <c r="AP99" s="22">
        <v>7.7420833333333299</v>
      </c>
      <c r="AQ99" s="22">
        <v>7.7453333333333303</v>
      </c>
      <c r="AR99" s="22">
        <v>7.7575000000000003</v>
      </c>
      <c r="AS99" s="22">
        <v>7.7911666666666699</v>
      </c>
      <c r="AT99" s="22">
        <v>7.7987500000000001</v>
      </c>
      <c r="AU99" s="22">
        <v>7.7989166666666696</v>
      </c>
      <c r="AV99" s="22">
        <v>7.7867499999999996</v>
      </c>
      <c r="AW99" s="22">
        <v>7.7880000000000003</v>
      </c>
      <c r="AX99" s="22">
        <v>7.7773333333333303</v>
      </c>
      <c r="AY99" s="22">
        <v>7.7678333333333303</v>
      </c>
      <c r="AZ99" s="22">
        <v>7.80141666666667</v>
      </c>
      <c r="BA99" s="22">
        <v>7.7868333333333304</v>
      </c>
      <c r="BB99" s="22">
        <v>7.7517500000000004</v>
      </c>
      <c r="BC99" s="22">
        <v>7.7691666666666697</v>
      </c>
      <c r="BD99" s="22">
        <v>7.7839999999999998</v>
      </c>
      <c r="BE99" s="22">
        <v>7.7564166666666701</v>
      </c>
      <c r="BF99" s="22">
        <v>7.7560000000000002</v>
      </c>
      <c r="BG99" s="22">
        <v>7.7540833333333303</v>
      </c>
      <c r="BH99" s="22">
        <v>7.7517500000000004</v>
      </c>
      <c r="BI99" s="22">
        <v>7.7622499999999999</v>
      </c>
      <c r="BJ99" s="22">
        <v>7.7932499999999996</v>
      </c>
      <c r="BK99" s="22">
        <v>7.8384999999999998</v>
      </c>
      <c r="BL99" s="22">
        <v>7.8359166666666704</v>
      </c>
    </row>
    <row r="100" spans="1:64">
      <c r="A100" s="22" t="s">
        <v>10812</v>
      </c>
      <c r="B100" s="22" t="s">
        <v>11363</v>
      </c>
      <c r="C100" s="22" t="s">
        <v>11241</v>
      </c>
      <c r="D100" s="22" t="s">
        <v>11242</v>
      </c>
      <c r="E100" s="22">
        <v>2.0000000010000001</v>
      </c>
      <c r="F100" s="22">
        <v>2.0000000010000001</v>
      </c>
      <c r="G100" s="22">
        <v>2.0000000010000001</v>
      </c>
      <c r="H100" s="22">
        <v>2.0000000010000001</v>
      </c>
      <c r="I100" s="22">
        <v>2.0000000010000001</v>
      </c>
      <c r="J100" s="22">
        <v>2.0000000010000001</v>
      </c>
      <c r="K100" s="22">
        <v>2.0000000010000001</v>
      </c>
      <c r="L100" s="22">
        <v>2.0000000010000001</v>
      </c>
      <c r="M100" s="22">
        <v>2.0000000010000001</v>
      </c>
      <c r="N100" s="22">
        <v>2.0000000010000001</v>
      </c>
      <c r="O100" s="22">
        <v>2.0000000010000001</v>
      </c>
      <c r="P100" s="22">
        <v>2.0000000009166699</v>
      </c>
      <c r="Q100" s="22">
        <v>2.0000092114837398</v>
      </c>
      <c r="R100" s="22">
        <v>2.0000007683144401</v>
      </c>
      <c r="S100" s="22">
        <v>2.0000000004144698</v>
      </c>
      <c r="T100" s="22">
        <v>2</v>
      </c>
      <c r="U100" s="22">
        <v>2</v>
      </c>
      <c r="V100" s="22">
        <v>2</v>
      </c>
      <c r="W100" s="22">
        <v>2</v>
      </c>
      <c r="X100" s="22">
        <v>2</v>
      </c>
      <c r="Y100" s="22">
        <v>2</v>
      </c>
      <c r="Z100" s="22">
        <v>2</v>
      </c>
      <c r="AA100" s="22">
        <v>2</v>
      </c>
      <c r="AB100" s="22">
        <v>2</v>
      </c>
      <c r="AC100" s="22">
        <v>2</v>
      </c>
      <c r="AD100" s="22">
        <v>2</v>
      </c>
      <c r="AE100" s="22">
        <v>2</v>
      </c>
      <c r="AF100" s="22">
        <v>2</v>
      </c>
      <c r="AG100" s="22">
        <v>2</v>
      </c>
      <c r="AH100" s="22">
        <v>2</v>
      </c>
      <c r="AS100" s="22">
        <v>14.840624999999999</v>
      </c>
      <c r="AT100" s="22">
        <v>15.476825</v>
      </c>
      <c r="AU100" s="22">
        <v>16.437058333333301</v>
      </c>
      <c r="AV100" s="22">
        <v>17.352491666666701</v>
      </c>
      <c r="AW100" s="22">
        <v>18.209724999999999</v>
      </c>
      <c r="AX100" s="22">
        <v>18.8323416666667</v>
      </c>
      <c r="AY100" s="22">
        <v>18.895208333333301</v>
      </c>
      <c r="AZ100" s="22">
        <v>18.895099999999999</v>
      </c>
      <c r="BA100" s="22">
        <v>18.9037583333333</v>
      </c>
      <c r="BB100" s="22">
        <v>18.895099999999999</v>
      </c>
      <c r="BC100" s="22">
        <v>18.895099999999999</v>
      </c>
      <c r="BD100" s="22">
        <v>18.917141666666701</v>
      </c>
      <c r="BE100" s="22">
        <v>19.502249512161502</v>
      </c>
      <c r="BF100" s="22">
        <v>20.353779166666701</v>
      </c>
      <c r="BG100" s="22">
        <v>20.987158333333301</v>
      </c>
      <c r="BH100" s="22">
        <v>21.945174999999999</v>
      </c>
      <c r="BI100" s="22">
        <v>22.835018390426001</v>
      </c>
      <c r="BJ100" s="22">
        <v>23.4870839434552</v>
      </c>
      <c r="BK100" s="22">
        <v>23.902728292543198</v>
      </c>
      <c r="BL100" s="22">
        <v>24.508538914892601</v>
      </c>
    </row>
    <row r="101" spans="1:64">
      <c r="A101" s="22" t="s">
        <v>11364</v>
      </c>
      <c r="B101" s="22" t="s">
        <v>11365</v>
      </c>
      <c r="C101" s="22" t="s">
        <v>11241</v>
      </c>
      <c r="D101" s="22" t="s">
        <v>11242</v>
      </c>
    </row>
    <row r="102" spans="1:64">
      <c r="A102" s="22" t="s">
        <v>10742</v>
      </c>
      <c r="B102" s="22" t="s">
        <v>11366</v>
      </c>
      <c r="C102" s="22" t="s">
        <v>11241</v>
      </c>
      <c r="D102" s="22" t="s">
        <v>11242</v>
      </c>
      <c r="AK102" s="22">
        <v>0.26329825000000001</v>
      </c>
      <c r="AL102" s="22">
        <v>3.5791489166666701</v>
      </c>
      <c r="AM102" s="22">
        <v>5.99801141666667</v>
      </c>
      <c r="AN102" s="22">
        <v>5.23075608333333</v>
      </c>
      <c r="AO102" s="22">
        <v>5.4341611666666703</v>
      </c>
      <c r="AP102" s="22">
        <v>6.1605825833333299</v>
      </c>
      <c r="AQ102" s="22">
        <v>6.3632856666666697</v>
      </c>
      <c r="AR102" s="22">
        <v>7.1117428333333299</v>
      </c>
      <c r="AS102" s="22">
        <v>8.2776664166666691</v>
      </c>
      <c r="AT102" s="22">
        <v>8.3415409999999994</v>
      </c>
      <c r="AU102" s="22">
        <v>7.8716825000000004</v>
      </c>
      <c r="AV102" s="22">
        <v>6.7049688333333304</v>
      </c>
      <c r="AW102" s="22">
        <v>6.0343406666666697</v>
      </c>
      <c r="AX102" s="22">
        <v>5.9492369166666697</v>
      </c>
      <c r="AY102" s="22">
        <v>5.8377932499999998</v>
      </c>
      <c r="AZ102" s="22">
        <v>5.3645356666666704</v>
      </c>
      <c r="BA102" s="22">
        <v>4.9350397499999996</v>
      </c>
      <c r="BB102" s="22">
        <v>5.2839464166666703</v>
      </c>
      <c r="BC102" s="22">
        <v>5.4980105833333299</v>
      </c>
      <c r="BD102" s="22">
        <v>5.3438697499999996</v>
      </c>
      <c r="BE102" s="22">
        <v>5.8502918333333298</v>
      </c>
      <c r="BF102" s="22">
        <v>5.70488016666667</v>
      </c>
      <c r="BG102" s="22">
        <v>5.7481654166666702</v>
      </c>
      <c r="BH102" s="22">
        <v>6.8583037500000001</v>
      </c>
      <c r="BI102" s="22">
        <v>6.8059901666666702</v>
      </c>
      <c r="BJ102" s="22">
        <v>6.623831</v>
      </c>
      <c r="BK102" s="22">
        <v>6.2790252500000001</v>
      </c>
      <c r="BL102" s="22">
        <v>6.6225451666666704</v>
      </c>
    </row>
    <row r="103" spans="1:64">
      <c r="A103" s="22" t="s">
        <v>10810</v>
      </c>
      <c r="B103" s="22" t="s">
        <v>11367</v>
      </c>
      <c r="C103" s="22" t="s">
        <v>11241</v>
      </c>
      <c r="D103" s="22" t="s">
        <v>11242</v>
      </c>
      <c r="E103" s="22">
        <v>5.0000000040000003</v>
      </c>
      <c r="F103" s="22">
        <v>5.0000000040000003</v>
      </c>
      <c r="G103" s="22">
        <v>5.0000000040000003</v>
      </c>
      <c r="H103" s="22">
        <v>5.0000000040000003</v>
      </c>
      <c r="I103" s="22">
        <v>5.0000000040000003</v>
      </c>
      <c r="J103" s="22">
        <v>5.0000000040000003</v>
      </c>
      <c r="K103" s="22">
        <v>5.0000000040000003</v>
      </c>
      <c r="L103" s="22">
        <v>5.0000000040000003</v>
      </c>
      <c r="M103" s="22">
        <v>5.0000000040000003</v>
      </c>
      <c r="N103" s="22">
        <v>5.0000000040000003</v>
      </c>
      <c r="O103" s="22">
        <v>5.0000000040000003</v>
      </c>
      <c r="P103" s="22">
        <v>5.0000000035833301</v>
      </c>
      <c r="Q103" s="22">
        <v>5.00001842480959</v>
      </c>
      <c r="R103" s="22">
        <v>5.0000084459708196</v>
      </c>
      <c r="S103" s="22">
        <v>5.0000041458920101</v>
      </c>
      <c r="T103" s="22">
        <v>4.9999999989999999</v>
      </c>
      <c r="U103" s="22">
        <v>4.9999999989999999</v>
      </c>
      <c r="V103" s="22">
        <v>4.9999999989999999</v>
      </c>
      <c r="W103" s="22">
        <v>4.9999999989999999</v>
      </c>
      <c r="X103" s="22">
        <v>4.9999999989999999</v>
      </c>
      <c r="Y103" s="22">
        <v>4.9999999989999999</v>
      </c>
      <c r="Z103" s="22">
        <v>4.9999999989999999</v>
      </c>
      <c r="AA103" s="22">
        <v>4.9999999989999999</v>
      </c>
      <c r="AB103" s="22">
        <v>4.9999999989999999</v>
      </c>
      <c r="AC103" s="22">
        <v>4.9999999995833297</v>
      </c>
      <c r="AD103" s="22">
        <v>5</v>
      </c>
      <c r="AE103" s="22">
        <v>5</v>
      </c>
      <c r="AF103" s="22">
        <v>5</v>
      </c>
      <c r="AG103" s="22">
        <v>5</v>
      </c>
      <c r="AH103" s="22">
        <v>5</v>
      </c>
      <c r="AI103" s="22">
        <v>5</v>
      </c>
      <c r="AJ103" s="22">
        <v>6.0341666666666702</v>
      </c>
      <c r="AK103" s="22">
        <v>9.8016666666666694</v>
      </c>
      <c r="AL103" s="22">
        <v>12.8225</v>
      </c>
      <c r="AM103" s="22">
        <v>15.04</v>
      </c>
      <c r="AN103" s="22">
        <v>15.109733333333301</v>
      </c>
      <c r="AO103" s="22">
        <v>15.70115</v>
      </c>
      <c r="AP103" s="22">
        <v>16.654499999999999</v>
      </c>
      <c r="AQ103" s="22">
        <v>16.7656666666667</v>
      </c>
      <c r="AR103" s="22">
        <v>16.937891666666701</v>
      </c>
      <c r="AS103" s="22">
        <v>21.170666666666701</v>
      </c>
      <c r="AT103" s="22">
        <v>24.429083333333299</v>
      </c>
      <c r="AU103" s="22">
        <v>29.2504833333333</v>
      </c>
      <c r="AV103" s="22">
        <v>42.366758333333301</v>
      </c>
      <c r="AW103" s="22">
        <v>38.352033333333303</v>
      </c>
      <c r="AX103" s="22">
        <v>40.448549999999997</v>
      </c>
      <c r="AY103" s="22">
        <v>40.408516666666699</v>
      </c>
      <c r="AZ103" s="22">
        <v>36.861416666666699</v>
      </c>
      <c r="BA103" s="22">
        <v>39.1075916666667</v>
      </c>
      <c r="BB103" s="22">
        <v>41.197608333333299</v>
      </c>
      <c r="BC103" s="22">
        <v>39.797400000000003</v>
      </c>
      <c r="BD103" s="22">
        <v>40.522821939374403</v>
      </c>
      <c r="BE103" s="22">
        <v>41.949722952315597</v>
      </c>
      <c r="BF103" s="22">
        <v>43.462783333333299</v>
      </c>
      <c r="BG103" s="22">
        <v>45.2159808923792</v>
      </c>
      <c r="BH103" s="22">
        <v>50.706426673943902</v>
      </c>
      <c r="BI103" s="22">
        <v>63.335818369892401</v>
      </c>
      <c r="BJ103" s="22">
        <v>64.769680284992802</v>
      </c>
      <c r="BK103" s="22">
        <v>68.031753981281199</v>
      </c>
      <c r="BL103" s="22">
        <v>88.814966176919299</v>
      </c>
    </row>
    <row r="104" spans="1:64">
      <c r="A104" s="22" t="s">
        <v>10814</v>
      </c>
      <c r="B104" s="22" t="s">
        <v>11368</v>
      </c>
      <c r="C104" s="22" t="s">
        <v>11241</v>
      </c>
      <c r="D104" s="22" t="s">
        <v>11242</v>
      </c>
      <c r="M104" s="22">
        <v>59.999999999000003</v>
      </c>
      <c r="N104" s="22">
        <v>59.999999999000003</v>
      </c>
      <c r="O104" s="22">
        <v>59.999999999000003</v>
      </c>
      <c r="P104" s="22">
        <v>59.821616665666703</v>
      </c>
      <c r="Q104" s="22">
        <v>55.259999999000001</v>
      </c>
      <c r="R104" s="22">
        <v>48.966224998999998</v>
      </c>
      <c r="S104" s="22">
        <v>46.752399998999998</v>
      </c>
      <c r="T104" s="22">
        <v>43.971383332333303</v>
      </c>
      <c r="U104" s="22">
        <v>41.575266665666703</v>
      </c>
      <c r="V104" s="22">
        <v>40.960749999000001</v>
      </c>
      <c r="W104" s="22">
        <v>37.911349999000002</v>
      </c>
      <c r="X104" s="22">
        <v>35.577999998999999</v>
      </c>
      <c r="Y104" s="22">
        <v>32.5322833323333</v>
      </c>
      <c r="Z104" s="22">
        <v>34.314291665666701</v>
      </c>
      <c r="AA104" s="22">
        <v>36.630549999000003</v>
      </c>
      <c r="AB104" s="22">
        <v>42.671149999000001</v>
      </c>
      <c r="AC104" s="22">
        <v>48.042208332916701</v>
      </c>
      <c r="AD104" s="22">
        <v>50.119399999999999</v>
      </c>
      <c r="AE104" s="22">
        <v>45.832149999999999</v>
      </c>
      <c r="AF104" s="22">
        <v>46.970541666666698</v>
      </c>
      <c r="AG104" s="22">
        <v>50.413208333333301</v>
      </c>
      <c r="AH104" s="22">
        <v>59.066341666666702</v>
      </c>
      <c r="AI104" s="22">
        <v>63.205866666666701</v>
      </c>
      <c r="AJ104" s="22">
        <v>74.735383333333303</v>
      </c>
      <c r="AK104" s="22">
        <v>78.988391666666701</v>
      </c>
      <c r="AL104" s="22">
        <v>91.933183333333304</v>
      </c>
      <c r="AM104" s="22">
        <v>105.160458333333</v>
      </c>
      <c r="AN104" s="22">
        <v>125.681425</v>
      </c>
      <c r="AO104" s="22">
        <v>152.64666666666699</v>
      </c>
      <c r="AP104" s="22">
        <v>186.789166666667</v>
      </c>
      <c r="AQ104" s="22">
        <v>214.40166666666701</v>
      </c>
      <c r="AR104" s="22">
        <v>237.145833333333</v>
      </c>
      <c r="AS104" s="22">
        <v>282.17916666666702</v>
      </c>
      <c r="AT104" s="22">
        <v>286.49</v>
      </c>
      <c r="AU104" s="22">
        <v>257.886666666667</v>
      </c>
      <c r="AV104" s="22">
        <v>224.30666666666701</v>
      </c>
      <c r="AW104" s="22">
        <v>202.745833333333</v>
      </c>
      <c r="AX104" s="22">
        <v>199.58250000000001</v>
      </c>
      <c r="AY104" s="22">
        <v>210.39</v>
      </c>
      <c r="AZ104" s="22">
        <v>183.62583333333299</v>
      </c>
      <c r="BA104" s="22">
        <v>172.113333333333</v>
      </c>
      <c r="BB104" s="22">
        <v>202.34166666666701</v>
      </c>
      <c r="BC104" s="22">
        <v>207.944166666667</v>
      </c>
      <c r="BD104" s="22">
        <v>201.05500000000001</v>
      </c>
      <c r="BE104" s="22">
        <v>225.104166666667</v>
      </c>
      <c r="BF104" s="22">
        <v>223.69499999999999</v>
      </c>
      <c r="BG104" s="22">
        <v>232.601666666667</v>
      </c>
      <c r="BH104" s="22">
        <v>279.33249999999998</v>
      </c>
      <c r="BI104" s="22">
        <v>281.52333333333303</v>
      </c>
      <c r="BJ104" s="22">
        <v>274.433333333333</v>
      </c>
      <c r="BK104" s="22">
        <v>270.21166666666699</v>
      </c>
      <c r="BL104" s="22">
        <v>290.66000000000003</v>
      </c>
    </row>
    <row r="105" spans="1:64">
      <c r="A105" s="22" t="s">
        <v>11369</v>
      </c>
      <c r="B105" s="22" t="s">
        <v>11370</v>
      </c>
      <c r="C105" s="22" t="s">
        <v>11241</v>
      </c>
      <c r="D105" s="22" t="s">
        <v>11242</v>
      </c>
    </row>
    <row r="106" spans="1:64">
      <c r="A106" s="22" t="s">
        <v>11371</v>
      </c>
      <c r="B106" s="22" t="s">
        <v>11372</v>
      </c>
      <c r="C106" s="22" t="s">
        <v>11241</v>
      </c>
      <c r="D106" s="22" t="s">
        <v>11242</v>
      </c>
    </row>
    <row r="107" spans="1:64">
      <c r="A107" s="22" t="s">
        <v>11373</v>
      </c>
      <c r="B107" s="22" t="s">
        <v>11374</v>
      </c>
      <c r="C107" s="22" t="s">
        <v>11241</v>
      </c>
      <c r="D107" s="22" t="s">
        <v>11242</v>
      </c>
    </row>
    <row r="108" spans="1:64">
      <c r="A108" s="22" t="s">
        <v>11375</v>
      </c>
      <c r="B108" s="22" t="s">
        <v>11376</v>
      </c>
      <c r="C108" s="22" t="s">
        <v>11241</v>
      </c>
      <c r="D108" s="22" t="s">
        <v>11242</v>
      </c>
    </row>
    <row r="109" spans="1:64">
      <c r="A109" s="22" t="s">
        <v>5277</v>
      </c>
      <c r="B109" s="22" t="s">
        <v>11377</v>
      </c>
      <c r="C109" s="22" t="s">
        <v>11241</v>
      </c>
      <c r="D109" s="22" t="s">
        <v>11242</v>
      </c>
      <c r="L109" s="22">
        <v>149.583333333333</v>
      </c>
      <c r="M109" s="22">
        <v>296.29166666666703</v>
      </c>
      <c r="N109" s="22">
        <v>326</v>
      </c>
      <c r="O109" s="22">
        <v>362.83333333333297</v>
      </c>
      <c r="P109" s="22">
        <v>391.875</v>
      </c>
      <c r="Q109" s="22">
        <v>415</v>
      </c>
      <c r="R109" s="22">
        <v>415</v>
      </c>
      <c r="S109" s="22">
        <v>415</v>
      </c>
      <c r="T109" s="22">
        <v>414.99999999900001</v>
      </c>
      <c r="U109" s="22">
        <v>414.99999999900001</v>
      </c>
      <c r="V109" s="22">
        <v>414.99999999900001</v>
      </c>
      <c r="W109" s="22">
        <v>442.045416665917</v>
      </c>
      <c r="X109" s="22">
        <v>623.05549999908305</v>
      </c>
      <c r="Y109" s="22">
        <v>626.99399999858304</v>
      </c>
      <c r="Z109" s="22">
        <v>631.75666666416703</v>
      </c>
      <c r="AA109" s="22">
        <v>661.42074999925001</v>
      </c>
      <c r="AB109" s="22">
        <v>909.26483333199997</v>
      </c>
      <c r="AC109" s="22">
        <v>1025.9448333314999</v>
      </c>
      <c r="AD109" s="22">
        <v>1110.57999999967</v>
      </c>
      <c r="AE109" s="22">
        <v>1282.5599999997501</v>
      </c>
      <c r="AF109" s="22">
        <v>1643.8483333333299</v>
      </c>
      <c r="AG109" s="22">
        <v>1685.7041666666701</v>
      </c>
      <c r="AH109" s="22">
        <v>1770.0591666666701</v>
      </c>
      <c r="AI109" s="22">
        <v>1842.8133333333301</v>
      </c>
      <c r="AJ109" s="22">
        <v>1950.3175000000001</v>
      </c>
      <c r="AK109" s="22">
        <v>2029.9208333333299</v>
      </c>
      <c r="AL109" s="22">
        <v>2087.10386666667</v>
      </c>
      <c r="AM109" s="22">
        <v>2160.7536749999999</v>
      </c>
      <c r="AN109" s="22">
        <v>2248.6079749999999</v>
      </c>
      <c r="AO109" s="22">
        <v>2342.2962916666702</v>
      </c>
      <c r="AP109" s="22">
        <v>2909.38</v>
      </c>
      <c r="AQ109" s="22">
        <v>10013.622499999999</v>
      </c>
      <c r="AR109" s="22">
        <v>7855.15</v>
      </c>
      <c r="AS109" s="22">
        <v>8421.7749999999996</v>
      </c>
      <c r="AT109" s="22">
        <v>10260.85</v>
      </c>
      <c r="AU109" s="22">
        <v>9311.1916666666693</v>
      </c>
      <c r="AV109" s="22">
        <v>8577.1333333333296</v>
      </c>
      <c r="AW109" s="22">
        <v>8938.85</v>
      </c>
      <c r="AX109" s="22">
        <v>9704.7416666666704</v>
      </c>
      <c r="AY109" s="22">
        <v>9159.3166666666693</v>
      </c>
      <c r="AZ109" s="22">
        <v>9141</v>
      </c>
      <c r="BA109" s="22">
        <v>9698.9624999999996</v>
      </c>
      <c r="BB109" s="22">
        <v>10389.9375</v>
      </c>
      <c r="BC109" s="22">
        <v>9090.4333333333307</v>
      </c>
      <c r="BD109" s="22">
        <v>8770.4333333333307</v>
      </c>
      <c r="BE109" s="22">
        <v>9386.6291666666693</v>
      </c>
      <c r="BF109" s="22">
        <v>10461.24</v>
      </c>
      <c r="BG109" s="22">
        <v>11865.2112962963</v>
      </c>
      <c r="BH109" s="22">
        <v>13389.412936507901</v>
      </c>
      <c r="BI109" s="22">
        <v>13308.3268020542</v>
      </c>
      <c r="BJ109" s="22">
        <v>13380.8338788891</v>
      </c>
      <c r="BK109" s="22">
        <v>14236.938773481799</v>
      </c>
      <c r="BL109" s="22">
        <v>14147.671360545401</v>
      </c>
    </row>
    <row r="110" spans="1:64">
      <c r="A110" s="22" t="s">
        <v>11378</v>
      </c>
      <c r="B110" s="22" t="s">
        <v>11379</v>
      </c>
      <c r="C110" s="22" t="s">
        <v>11241</v>
      </c>
      <c r="D110" s="22" t="s">
        <v>11242</v>
      </c>
    </row>
    <row r="111" spans="1:64">
      <c r="A111" s="22" t="s">
        <v>11380</v>
      </c>
      <c r="B111" s="22" t="s">
        <v>11381</v>
      </c>
      <c r="C111" s="22" t="s">
        <v>11241</v>
      </c>
      <c r="D111" s="22" t="s">
        <v>11242</v>
      </c>
      <c r="E111" s="22">
        <v>0.357142999357143</v>
      </c>
      <c r="F111" s="22">
        <v>0.357142999357143</v>
      </c>
      <c r="G111" s="22">
        <v>0.357142999357143</v>
      </c>
      <c r="H111" s="22">
        <v>0.357142999357143</v>
      </c>
      <c r="I111" s="22">
        <v>0.357142999357143</v>
      </c>
      <c r="J111" s="22">
        <v>0.357142999357143</v>
      </c>
      <c r="K111" s="22">
        <v>0.357142999357143</v>
      </c>
      <c r="L111" s="22">
        <v>0.36210333266567502</v>
      </c>
      <c r="M111" s="22">
        <v>0.41666699941666702</v>
      </c>
      <c r="N111" s="22">
        <v>0.41666699941666702</v>
      </c>
      <c r="O111" s="22">
        <v>0.41666699941666702</v>
      </c>
      <c r="P111" s="22">
        <v>0.41092023742942502</v>
      </c>
      <c r="Q111" s="22">
        <v>0.40039046153000801</v>
      </c>
      <c r="R111" s="22">
        <v>0.40817094529930797</v>
      </c>
      <c r="S111" s="22">
        <v>0.42775643974766298</v>
      </c>
      <c r="T111" s="22">
        <v>0.45204116566666702</v>
      </c>
      <c r="U111" s="22">
        <v>0.55650983233333295</v>
      </c>
      <c r="V111" s="22">
        <v>0.57327199900000003</v>
      </c>
      <c r="W111" s="22">
        <v>0.52150458233333297</v>
      </c>
      <c r="X111" s="22">
        <v>0.47218116566666701</v>
      </c>
      <c r="Y111" s="22">
        <v>0.43029499900000001</v>
      </c>
      <c r="Z111" s="22">
        <v>0.49764133233333302</v>
      </c>
      <c r="AA111" s="22">
        <v>0.57244683233333304</v>
      </c>
      <c r="AB111" s="22">
        <v>0.65972458233333298</v>
      </c>
      <c r="AC111" s="22">
        <v>0.75180666625000003</v>
      </c>
      <c r="AD111" s="22">
        <v>0.77924599974999997</v>
      </c>
      <c r="AE111" s="22">
        <v>0.68219733333333299</v>
      </c>
      <c r="AF111" s="22">
        <v>0.61192650000000004</v>
      </c>
      <c r="AG111" s="22">
        <v>0.56217016666666697</v>
      </c>
      <c r="AH111" s="22">
        <v>0.61117275000000004</v>
      </c>
      <c r="AI111" s="22">
        <v>0.56317716666666695</v>
      </c>
      <c r="AJ111" s="22">
        <v>0.56701533333333298</v>
      </c>
      <c r="AK111" s="22">
        <v>0.56977416666666703</v>
      </c>
      <c r="AL111" s="22">
        <v>0.66675655333333295</v>
      </c>
      <c r="AM111" s="22">
        <v>0.65342660416666698</v>
      </c>
      <c r="AN111" s="22">
        <v>0.63366811999999995</v>
      </c>
      <c r="AO111" s="22">
        <v>0.64095825500000003</v>
      </c>
      <c r="AP111" s="22">
        <v>0.61083611416666705</v>
      </c>
      <c r="AQ111" s="22">
        <v>0.60382359416666698</v>
      </c>
      <c r="AR111" s="22">
        <v>0.61805684500000002</v>
      </c>
      <c r="AS111" s="22">
        <v>0.66093083333333302</v>
      </c>
      <c r="AT111" s="22">
        <v>0.69465500000000002</v>
      </c>
      <c r="AU111" s="22">
        <v>0.66722333333333295</v>
      </c>
      <c r="AV111" s="22">
        <v>0.61247249999999998</v>
      </c>
      <c r="AW111" s="22">
        <v>0.54618</v>
      </c>
      <c r="AX111" s="22">
        <v>0.54999833333333303</v>
      </c>
      <c r="AY111" s="22">
        <v>0.54348666666666701</v>
      </c>
      <c r="AZ111" s="22">
        <v>0.499771666666667</v>
      </c>
      <c r="BA111" s="22">
        <v>0.54396624999999998</v>
      </c>
      <c r="BB111" s="22">
        <v>0.64191926349599604</v>
      </c>
      <c r="BC111" s="22">
        <v>0.64717934556016499</v>
      </c>
      <c r="BD111" s="22">
        <v>0.62414083574049495</v>
      </c>
      <c r="BE111" s="22">
        <v>0.63304698885732702</v>
      </c>
      <c r="BF111" s="22">
        <v>0.63966057761347705</v>
      </c>
      <c r="BG111" s="22">
        <v>0.60772962687825505</v>
      </c>
      <c r="BH111" s="22">
        <v>0.65454547893142601</v>
      </c>
      <c r="BI111" s="22">
        <v>0.74063446369708397</v>
      </c>
      <c r="BJ111" s="22">
        <v>0.77697668234412298</v>
      </c>
      <c r="BK111" s="22">
        <v>0.74953154025984703</v>
      </c>
      <c r="BL111" s="22">
        <v>0.78344511001192896</v>
      </c>
    </row>
    <row r="112" spans="1:64">
      <c r="A112" s="22" t="s">
        <v>3994</v>
      </c>
      <c r="B112" s="22" t="s">
        <v>11382</v>
      </c>
      <c r="C112" s="22" t="s">
        <v>11241</v>
      </c>
      <c r="D112" s="22" t="s">
        <v>11242</v>
      </c>
      <c r="E112" s="22">
        <v>4.7619000037618999</v>
      </c>
      <c r="F112" s="22">
        <v>4.7619000037618999</v>
      </c>
      <c r="G112" s="22">
        <v>4.7619000037618999</v>
      </c>
      <c r="H112" s="22">
        <v>4.7619000037618999</v>
      </c>
      <c r="I112" s="22">
        <v>4.7619000037618999</v>
      </c>
      <c r="J112" s="22">
        <v>4.7619000037618999</v>
      </c>
      <c r="K112" s="22">
        <v>6.35912500535912</v>
      </c>
      <c r="L112" s="22">
        <v>7.5000000064999996</v>
      </c>
      <c r="M112" s="22">
        <v>7.5000000064999996</v>
      </c>
      <c r="N112" s="22">
        <v>7.5000000064999996</v>
      </c>
      <c r="O112" s="22">
        <v>7.5000000064999996</v>
      </c>
      <c r="P112" s="22">
        <v>7.4919352309682399</v>
      </c>
      <c r="Q112" s="22">
        <v>7.5944683739493604</v>
      </c>
      <c r="R112" s="22">
        <v>7.7420385621496797</v>
      </c>
      <c r="S112" s="22">
        <v>8.1016032272183001</v>
      </c>
      <c r="T112" s="22">
        <v>8.3758919456538603</v>
      </c>
      <c r="U112" s="22">
        <v>8.9604127281239201</v>
      </c>
      <c r="V112" s="22">
        <v>8.7385761713145698</v>
      </c>
      <c r="W112" s="22">
        <v>8.1928403484039301</v>
      </c>
      <c r="X112" s="22">
        <v>8.12579094635689</v>
      </c>
      <c r="Y112" s="22">
        <v>7.8629447011379803</v>
      </c>
      <c r="Z112" s="22">
        <v>8.6585228170931696</v>
      </c>
      <c r="AA112" s="22">
        <v>9.4551319334863901</v>
      </c>
      <c r="AB112" s="22">
        <v>10.098898244046101</v>
      </c>
      <c r="AC112" s="22">
        <v>11.3625833326667</v>
      </c>
      <c r="AD112" s="22">
        <v>12.368749999583301</v>
      </c>
      <c r="AE112" s="22">
        <v>12.61083333325</v>
      </c>
      <c r="AF112" s="22">
        <v>12.961499999999999</v>
      </c>
      <c r="AG112" s="22">
        <v>13.9170833333333</v>
      </c>
      <c r="AH112" s="22">
        <v>16.2255</v>
      </c>
      <c r="AI112" s="22">
        <v>17.503499999999999</v>
      </c>
      <c r="AJ112" s="22">
        <v>22.742433333333299</v>
      </c>
      <c r="AK112" s="22">
        <v>25.9180833333333</v>
      </c>
      <c r="AL112" s="22">
        <v>30.4932916666667</v>
      </c>
      <c r="AM112" s="22">
        <v>31.373742499999999</v>
      </c>
      <c r="AN112" s="22">
        <v>32.4270766666667</v>
      </c>
      <c r="AO112" s="22">
        <v>35.433173333333301</v>
      </c>
      <c r="AP112" s="22">
        <v>36.313285833333303</v>
      </c>
      <c r="AQ112" s="22">
        <v>41.259365000000003</v>
      </c>
      <c r="AR112" s="22">
        <v>43.055428333333303</v>
      </c>
      <c r="AS112" s="22">
        <v>44.941605000000003</v>
      </c>
      <c r="AT112" s="22">
        <v>47.186414166666701</v>
      </c>
      <c r="AU112" s="22">
        <v>48.610319166666699</v>
      </c>
      <c r="AV112" s="22">
        <v>46.583284166666701</v>
      </c>
      <c r="AW112" s="22">
        <v>45.316466666666699</v>
      </c>
      <c r="AX112" s="22">
        <v>44.099975000000001</v>
      </c>
      <c r="AY112" s="22">
        <v>45.3070083333333</v>
      </c>
      <c r="AZ112" s="22">
        <v>41.3485333333333</v>
      </c>
      <c r="BA112" s="22">
        <v>43.505183333333299</v>
      </c>
      <c r="BB112" s="22">
        <v>48.405266666666698</v>
      </c>
      <c r="BC112" s="22">
        <v>45.725812121212101</v>
      </c>
      <c r="BD112" s="22">
        <v>46.670466666666698</v>
      </c>
      <c r="BE112" s="22">
        <v>53.437233333333303</v>
      </c>
      <c r="BF112" s="22">
        <v>58.597845416666701</v>
      </c>
      <c r="BG112" s="22">
        <v>61.029514460784299</v>
      </c>
      <c r="BH112" s="22">
        <v>64.151944463278596</v>
      </c>
      <c r="BI112" s="22">
        <v>67.195312807389399</v>
      </c>
      <c r="BJ112" s="22">
        <v>65.121568645066006</v>
      </c>
      <c r="BK112" s="22">
        <v>68.389467093542095</v>
      </c>
      <c r="BL112" s="22">
        <v>70.420340535955106</v>
      </c>
    </row>
    <row r="113" spans="1:64">
      <c r="A113" s="22" t="s">
        <v>11383</v>
      </c>
      <c r="B113" s="22" t="s">
        <v>11384</v>
      </c>
      <c r="C113" s="22" t="s">
        <v>11241</v>
      </c>
      <c r="D113" s="22" t="s">
        <v>11242</v>
      </c>
    </row>
    <row r="114" spans="1:64">
      <c r="A114" s="22" t="s">
        <v>10823</v>
      </c>
      <c r="B114" s="22" t="s">
        <v>11385</v>
      </c>
      <c r="C114" s="22" t="s">
        <v>11241</v>
      </c>
      <c r="D114" s="22" t="s">
        <v>11242</v>
      </c>
      <c r="E114" s="22">
        <v>0.357142999357143</v>
      </c>
      <c r="F114" s="22">
        <v>0.357142999357143</v>
      </c>
      <c r="G114" s="22">
        <v>0.357142999357143</v>
      </c>
      <c r="H114" s="22">
        <v>0.357142999357143</v>
      </c>
      <c r="I114" s="22">
        <v>0.357142999357143</v>
      </c>
      <c r="J114" s="22">
        <v>0.357142999357143</v>
      </c>
      <c r="K114" s="22">
        <v>0.357142999357143</v>
      </c>
      <c r="L114" s="22">
        <v>0.36210333266567502</v>
      </c>
      <c r="M114" s="22">
        <v>0.41666699941666702</v>
      </c>
      <c r="N114" s="22">
        <v>0.41666699941666702</v>
      </c>
      <c r="O114" s="22">
        <v>0.41666699941666702</v>
      </c>
      <c r="P114" s="22">
        <v>0.41092022003512402</v>
      </c>
      <c r="Q114" s="22">
        <v>0.40039046153000801</v>
      </c>
      <c r="R114" s="22">
        <v>0.40817094529930797</v>
      </c>
      <c r="S114" s="22">
        <v>0.42775643974766298</v>
      </c>
      <c r="T114" s="22">
        <v>0.45204116566666702</v>
      </c>
      <c r="U114" s="22">
        <v>0.55650983233333295</v>
      </c>
      <c r="V114" s="22">
        <v>0.57327199900000003</v>
      </c>
      <c r="W114" s="22">
        <v>0.52150458233333297</v>
      </c>
      <c r="X114" s="22">
        <v>0.48859487408443097</v>
      </c>
      <c r="Y114" s="22">
        <v>0.48664527682958703</v>
      </c>
      <c r="Z114" s="22">
        <v>0.62129806687560296</v>
      </c>
      <c r="AA114" s="22">
        <v>0.70456163604996103</v>
      </c>
      <c r="AB114" s="22">
        <v>0.80467792271777405</v>
      </c>
      <c r="AC114" s="22">
        <v>0.92255349958333299</v>
      </c>
      <c r="AD114" s="22">
        <v>0.94561499991666698</v>
      </c>
      <c r="AE114" s="22">
        <v>0.74312833316666704</v>
      </c>
      <c r="AF114" s="22">
        <v>0.67291666666666705</v>
      </c>
      <c r="AG114" s="22">
        <v>0.65646749999999998</v>
      </c>
      <c r="AH114" s="22">
        <v>0.70554333333333297</v>
      </c>
      <c r="AI114" s="22">
        <v>0.60458833333333295</v>
      </c>
      <c r="AJ114" s="22">
        <v>0.62129749999999995</v>
      </c>
      <c r="AK114" s="22">
        <v>0.58772083333333303</v>
      </c>
      <c r="AL114" s="22">
        <v>0.67724930666666705</v>
      </c>
      <c r="AM114" s="22">
        <v>0.66862810166666697</v>
      </c>
      <c r="AN114" s="22">
        <v>0.62373307499999997</v>
      </c>
      <c r="AO114" s="22">
        <v>0.62502836833333297</v>
      </c>
      <c r="AP114" s="22">
        <v>0.65964312666666702</v>
      </c>
      <c r="AQ114" s="22">
        <v>0.70227099833333295</v>
      </c>
    </row>
    <row r="115" spans="1:64">
      <c r="A115" s="22" t="s">
        <v>11386</v>
      </c>
      <c r="B115" s="22" t="s">
        <v>11387</v>
      </c>
      <c r="C115" s="22" t="s">
        <v>11241</v>
      </c>
      <c r="D115" s="22" t="s">
        <v>11242</v>
      </c>
      <c r="E115" s="22">
        <v>75.750000075749995</v>
      </c>
      <c r="F115" s="22">
        <v>75.750000075749995</v>
      </c>
      <c r="G115" s="22">
        <v>75.750000075749995</v>
      </c>
      <c r="H115" s="22">
        <v>75.750000075749995</v>
      </c>
      <c r="I115" s="22">
        <v>75.750000075749995</v>
      </c>
      <c r="J115" s="22">
        <v>75.750000075749995</v>
      </c>
      <c r="K115" s="22">
        <v>75.750000075749995</v>
      </c>
      <c r="L115" s="22">
        <v>75.750000075749995</v>
      </c>
      <c r="M115" s="22">
        <v>75.750000075749995</v>
      </c>
      <c r="N115" s="22">
        <v>75.750000075749995</v>
      </c>
      <c r="O115" s="22">
        <v>75.750000075749995</v>
      </c>
      <c r="P115" s="22">
        <v>75.750000069437505</v>
      </c>
      <c r="Q115" s="22">
        <v>75.749970134520197</v>
      </c>
      <c r="R115" s="22">
        <v>68.886041948258494</v>
      </c>
      <c r="S115" s="22">
        <v>67.641342246617</v>
      </c>
      <c r="T115" s="22">
        <v>67.654945532440607</v>
      </c>
      <c r="U115" s="22">
        <v>70.239069861051604</v>
      </c>
      <c r="V115" s="22">
        <v>70.633731878885499</v>
      </c>
      <c r="W115" s="22">
        <v>70.492030976158105</v>
      </c>
      <c r="X115" s="22">
        <v>70.492030976158105</v>
      </c>
      <c r="Y115" s="22">
        <v>70.631848089675998</v>
      </c>
      <c r="Z115" s="22">
        <v>78.346845377736102</v>
      </c>
      <c r="AA115" s="22">
        <v>83.622670024556896</v>
      </c>
      <c r="AB115" s="22">
        <v>86.378735894077494</v>
      </c>
      <c r="AC115" s="22">
        <v>90.051439891535594</v>
      </c>
      <c r="AD115" s="22">
        <v>91.073586843975207</v>
      </c>
      <c r="AE115" s="22">
        <v>78.778783068510094</v>
      </c>
      <c r="AF115" s="22">
        <v>71.4774357190432</v>
      </c>
      <c r="AG115" s="22">
        <v>68.699764629670099</v>
      </c>
      <c r="AH115" s="22">
        <v>72.032236426367206</v>
      </c>
      <c r="AI115" s="22">
        <v>68.112372714929606</v>
      </c>
      <c r="AJ115" s="22">
        <v>67.521730014794599</v>
      </c>
      <c r="AK115" s="22">
        <v>65.567841285770598</v>
      </c>
      <c r="AL115" s="22">
        <v>1268.07876133881</v>
      </c>
      <c r="AM115" s="22">
        <v>1749.1737362507899</v>
      </c>
      <c r="AN115" s="22">
        <v>1748.3502456275901</v>
      </c>
      <c r="AO115" s="22">
        <v>1751.18635583594</v>
      </c>
      <c r="AP115" s="22">
        <v>1753.3454774828599</v>
      </c>
      <c r="AQ115" s="22">
        <v>1752.28599459359</v>
      </c>
      <c r="AR115" s="22">
        <v>1753.35494977138</v>
      </c>
      <c r="AS115" s="22">
        <v>1764.85606929191</v>
      </c>
      <c r="AT115" s="22">
        <v>1753.98568465785</v>
      </c>
      <c r="AU115" s="22">
        <v>6907.0344556165301</v>
      </c>
      <c r="AV115" s="22">
        <v>8193.8875191666702</v>
      </c>
      <c r="AW115" s="22">
        <v>8613.9894207500001</v>
      </c>
      <c r="AX115" s="22">
        <v>8963.9589066666704</v>
      </c>
      <c r="AY115" s="22">
        <v>9170.9428774999997</v>
      </c>
      <c r="AZ115" s="22">
        <v>9281.1518283333298</v>
      </c>
      <c r="BA115" s="22">
        <v>9428.5282608333291</v>
      </c>
      <c r="BB115" s="22">
        <v>9864.3024562682003</v>
      </c>
      <c r="BC115" s="22">
        <v>10254.176470289</v>
      </c>
      <c r="BD115" s="22">
        <v>10616.306643907599</v>
      </c>
      <c r="BE115" s="22">
        <v>12175.5472222222</v>
      </c>
      <c r="BF115" s="22">
        <v>18414.448010037398</v>
      </c>
      <c r="BG115" s="22">
        <v>25941.664144597202</v>
      </c>
      <c r="BH115" s="22">
        <v>29011.491377053</v>
      </c>
      <c r="BI115" s="22">
        <v>30914.8524362967</v>
      </c>
      <c r="BJ115" s="22">
        <v>33226.298152412703</v>
      </c>
      <c r="BK115" s="22">
        <v>40864.329009777</v>
      </c>
      <c r="BL115" s="22">
        <v>42000</v>
      </c>
    </row>
    <row r="116" spans="1:64">
      <c r="A116" s="22" t="s">
        <v>10822</v>
      </c>
      <c r="B116" s="22" t="s">
        <v>11388</v>
      </c>
      <c r="C116" s="22" t="s">
        <v>11241</v>
      </c>
      <c r="D116" s="22" t="s">
        <v>11242</v>
      </c>
      <c r="E116" s="22">
        <v>0.357142999357143</v>
      </c>
      <c r="F116" s="22">
        <v>0.357142999357143</v>
      </c>
      <c r="G116" s="22">
        <v>0.357142999357143</v>
      </c>
      <c r="H116" s="22">
        <v>0.357142999357143</v>
      </c>
      <c r="I116" s="22">
        <v>0.357142999357143</v>
      </c>
      <c r="J116" s="22">
        <v>0.357142999357143</v>
      </c>
      <c r="K116" s="22">
        <v>0.357142999357143</v>
      </c>
      <c r="L116" s="22">
        <v>0.357142999357143</v>
      </c>
      <c r="M116" s="22">
        <v>0.357142999357143</v>
      </c>
      <c r="N116" s="22">
        <v>0.357142999357143</v>
      </c>
      <c r="O116" s="22">
        <v>0.357142999357143</v>
      </c>
      <c r="P116" s="22">
        <v>935.61783500527395</v>
      </c>
      <c r="Q116" s="22">
        <v>2144.56721419924</v>
      </c>
      <c r="R116" s="22">
        <v>1950.84444829616</v>
      </c>
      <c r="S116" s="22">
        <v>1902.2653339082201</v>
      </c>
      <c r="T116" s="22">
        <v>1902.2653339082201</v>
      </c>
      <c r="U116" s="22">
        <v>1902.2653339082201</v>
      </c>
      <c r="V116" s="22">
        <v>1902.2653339082201</v>
      </c>
      <c r="W116" s="22">
        <v>1902.2653339082201</v>
      </c>
      <c r="X116" s="22">
        <v>1902.2653339082201</v>
      </c>
      <c r="Y116" s="22">
        <v>1902.2653339082201</v>
      </c>
      <c r="Z116" s="22">
        <v>1902.2653339082201</v>
      </c>
      <c r="AA116" s="22">
        <v>1922.92537384858</v>
      </c>
      <c r="AB116" s="22">
        <v>2002.3855794267399</v>
      </c>
      <c r="AC116" s="22">
        <v>2002.38558318428</v>
      </c>
      <c r="AD116" s="22">
        <v>2002.38558586824</v>
      </c>
      <c r="AE116" s="22">
        <v>2002.38558586824</v>
      </c>
      <c r="AF116" s="22">
        <v>2002.38558586824</v>
      </c>
      <c r="AG116" s="22">
        <v>2002.38558586824</v>
      </c>
      <c r="AH116" s="22">
        <v>2002.38558586824</v>
      </c>
      <c r="AI116" s="22">
        <v>2002.38558586824</v>
      </c>
      <c r="AJ116" s="22">
        <v>2002.38558586824</v>
      </c>
      <c r="AK116" s="22">
        <v>2002.38558586824</v>
      </c>
      <c r="AL116" s="22">
        <v>2002.38629443332</v>
      </c>
      <c r="AM116" s="22">
        <v>2002.38738948844</v>
      </c>
      <c r="AN116" s="22">
        <v>2002.38722845092</v>
      </c>
      <c r="AO116" s="22">
        <v>2002.3872123471699</v>
      </c>
      <c r="AP116" s="22">
        <v>2002.3872123471699</v>
      </c>
      <c r="AQ116" s="22">
        <v>2002.3872445546799</v>
      </c>
      <c r="AR116" s="22">
        <v>2002.3897728437</v>
      </c>
      <c r="AS116" s="22">
        <v>2002.4034073535399</v>
      </c>
      <c r="AT116" s="22">
        <v>2002.4049103703701</v>
      </c>
      <c r="AU116" s="22">
        <v>2002.37270286683</v>
      </c>
      <c r="AW116" s="22">
        <v>1453.4166666666699</v>
      </c>
      <c r="AX116" s="22">
        <v>1472</v>
      </c>
      <c r="AY116" s="22">
        <v>1467.4166666666699</v>
      </c>
      <c r="AZ116" s="22">
        <v>1254.5672185870401</v>
      </c>
      <c r="BA116" s="22">
        <v>1193.0833333333301</v>
      </c>
      <c r="BB116" s="22">
        <v>1170</v>
      </c>
      <c r="BC116" s="22">
        <v>1170</v>
      </c>
      <c r="BD116" s="22">
        <v>1170</v>
      </c>
      <c r="BE116" s="22">
        <v>1166.1666666666699</v>
      </c>
      <c r="BF116" s="22">
        <v>1166</v>
      </c>
      <c r="BG116" s="22">
        <v>1166</v>
      </c>
      <c r="BH116" s="22">
        <v>1167.3333333333301</v>
      </c>
      <c r="BI116" s="22">
        <v>1182</v>
      </c>
      <c r="BJ116" s="22">
        <v>1184</v>
      </c>
      <c r="BK116" s="22">
        <v>1182.75</v>
      </c>
      <c r="BL116" s="22">
        <v>1182</v>
      </c>
    </row>
    <row r="117" spans="1:64">
      <c r="A117" s="22" t="s">
        <v>10816</v>
      </c>
      <c r="B117" s="22" t="s">
        <v>11389</v>
      </c>
      <c r="C117" s="22" t="s">
        <v>11241</v>
      </c>
      <c r="D117" s="22" t="s">
        <v>11242</v>
      </c>
      <c r="E117" s="22">
        <v>0.36190474997773803</v>
      </c>
      <c r="F117" s="22">
        <v>0.40083333330882998</v>
      </c>
      <c r="G117" s="22">
        <v>0.42999999997444099</v>
      </c>
      <c r="H117" s="22">
        <v>0.42999999997444099</v>
      </c>
      <c r="I117" s="22">
        <v>0.42999999997444099</v>
      </c>
      <c r="J117" s="22">
        <v>0.42999999997444099</v>
      </c>
      <c r="K117" s="22">
        <v>0.42999999997444099</v>
      </c>
      <c r="L117" s="22">
        <v>0.441666666559482</v>
      </c>
      <c r="M117" s="22">
        <v>0.62166666663583903</v>
      </c>
      <c r="N117" s="22">
        <v>0.87999999996815803</v>
      </c>
      <c r="O117" s="22">
        <v>0.87999999996815803</v>
      </c>
      <c r="P117" s="22">
        <v>0.87999999988747801</v>
      </c>
      <c r="Q117" s="22">
        <v>0.88260354595338797</v>
      </c>
      <c r="R117" s="22">
        <v>0.90134166652092096</v>
      </c>
      <c r="S117" s="22">
        <v>0.99951666650049897</v>
      </c>
      <c r="T117" s="22">
        <v>1.53694999974941</v>
      </c>
      <c r="U117" s="22">
        <v>1.82171666637135</v>
      </c>
      <c r="V117" s="22">
        <v>1.98869999967762</v>
      </c>
      <c r="W117" s="22">
        <v>2.7111083328974801</v>
      </c>
      <c r="X117" s="22">
        <v>3.52599999943281</v>
      </c>
      <c r="Y117" s="22">
        <v>4.7976416658989001</v>
      </c>
      <c r="Z117" s="22">
        <v>7.2241833323333298</v>
      </c>
      <c r="AA117" s="22">
        <v>12.35153333275</v>
      </c>
      <c r="AB117" s="22">
        <v>24.842766665749998</v>
      </c>
      <c r="AC117" s="22">
        <v>31.693741666249998</v>
      </c>
      <c r="AD117" s="22">
        <v>41.507666666666701</v>
      </c>
      <c r="AE117" s="22">
        <v>41.104158333333302</v>
      </c>
      <c r="AF117" s="22">
        <v>38.677183333333303</v>
      </c>
      <c r="AG117" s="22">
        <v>43.0139833333333</v>
      </c>
      <c r="AH117" s="22">
        <v>57.041791666666697</v>
      </c>
      <c r="AI117" s="22">
        <v>58.283774999999999</v>
      </c>
      <c r="AJ117" s="22">
        <v>58.996341666666702</v>
      </c>
      <c r="AK117" s="22">
        <v>57.545933333333302</v>
      </c>
      <c r="AL117" s="22">
        <v>67.6031816666667</v>
      </c>
      <c r="AM117" s="22">
        <v>69.944378333333304</v>
      </c>
      <c r="AN117" s="22">
        <v>64.691666666666706</v>
      </c>
      <c r="AO117" s="22">
        <v>66.5</v>
      </c>
      <c r="AP117" s="22">
        <v>70.904290833333306</v>
      </c>
      <c r="AQ117" s="22">
        <v>70.9583333333333</v>
      </c>
      <c r="AR117" s="22">
        <v>72.335293333333297</v>
      </c>
      <c r="AS117" s="22">
        <v>78.615946666666702</v>
      </c>
      <c r="AT117" s="22">
        <v>97.424603333333295</v>
      </c>
      <c r="AU117" s="22">
        <v>91.661666666666704</v>
      </c>
      <c r="AV117" s="22">
        <v>76.708982500000005</v>
      </c>
      <c r="AW117" s="22">
        <v>70.191666666666706</v>
      </c>
      <c r="AX117" s="22">
        <v>62.981666666666698</v>
      </c>
      <c r="AY117" s="22">
        <v>70.180000000000007</v>
      </c>
      <c r="AZ117" s="22">
        <v>64.055000000000007</v>
      </c>
      <c r="BA117" s="22">
        <v>87.9479166666667</v>
      </c>
      <c r="BB117" s="22">
        <v>123.638381413044</v>
      </c>
      <c r="BC117" s="22">
        <v>122.24181120516501</v>
      </c>
      <c r="BD117" s="22">
        <v>115.954039762284</v>
      </c>
      <c r="BE117" s="22">
        <v>125.08278701376901</v>
      </c>
      <c r="BF117" s="22">
        <v>122.17912132045799</v>
      </c>
      <c r="BG117" s="22">
        <v>116.767352506899</v>
      </c>
      <c r="BH117" s="22">
        <v>131.91870843143201</v>
      </c>
      <c r="BI117" s="22">
        <v>120.81154806523899</v>
      </c>
      <c r="BJ117" s="22">
        <v>106.839572014</v>
      </c>
      <c r="BK117" s="22">
        <v>108.300176306626</v>
      </c>
      <c r="BL117" s="22">
        <v>122.60677360190699</v>
      </c>
    </row>
    <row r="118" spans="1:64">
      <c r="A118" s="22" t="s">
        <v>4343</v>
      </c>
      <c r="B118" s="22" t="s">
        <v>11390</v>
      </c>
      <c r="C118" s="22" t="s">
        <v>11241</v>
      </c>
      <c r="D118" s="22" t="s">
        <v>11242</v>
      </c>
      <c r="E118" s="22">
        <v>1.7999960538263101E-4</v>
      </c>
      <c r="F118" s="22">
        <v>1.7999960538263101E-4</v>
      </c>
      <c r="G118" s="22">
        <v>2.89999364288684E-4</v>
      </c>
      <c r="H118" s="22">
        <v>2.9999934237105199E-4</v>
      </c>
      <c r="I118" s="22">
        <v>2.9999934237105199E-4</v>
      </c>
      <c r="J118" s="22">
        <v>2.9999934237105199E-4</v>
      </c>
      <c r="K118" s="22">
        <v>2.9999934237105199E-4</v>
      </c>
      <c r="L118" s="22">
        <v>3.0833265743969202E-4</v>
      </c>
      <c r="M118" s="22">
        <v>3.4999923278289402E-4</v>
      </c>
      <c r="N118" s="22">
        <v>3.4999923278289402E-4</v>
      </c>
      <c r="O118" s="22">
        <v>3.4999923278289402E-4</v>
      </c>
      <c r="P118" s="22">
        <v>3.79165835522199E-4</v>
      </c>
      <c r="Q118" s="22">
        <v>4.1797967141147098E-4</v>
      </c>
      <c r="R118" s="22">
        <v>4.1946923065525998E-4</v>
      </c>
      <c r="S118" s="22">
        <v>4.4515339823069901E-4</v>
      </c>
      <c r="T118" s="22">
        <v>6.3361493114652697E-4</v>
      </c>
      <c r="U118" s="22">
        <v>7.9255714918527302E-4</v>
      </c>
      <c r="V118" s="22">
        <v>1.0445457989628E-3</v>
      </c>
      <c r="W118" s="22">
        <v>1.7435371736355201E-3</v>
      </c>
      <c r="X118" s="22">
        <v>2.5406369082757599E-3</v>
      </c>
      <c r="Y118" s="22">
        <v>5.1242916656839398E-3</v>
      </c>
      <c r="Z118" s="22">
        <v>1.14305749992885E-2</v>
      </c>
      <c r="AA118" s="22">
        <v>2.4266999999081801E-2</v>
      </c>
      <c r="AB118" s="22">
        <v>5.6214491666022902E-2</v>
      </c>
      <c r="AC118" s="22">
        <v>0.29320966666707199</v>
      </c>
      <c r="AD118" s="22">
        <v>1.1788493333343899</v>
      </c>
      <c r="AE118" s="22">
        <v>1.4878416665833301</v>
      </c>
      <c r="AF118" s="22">
        <v>1.5946416666666701</v>
      </c>
      <c r="AG118" s="22">
        <v>1.59893333333333</v>
      </c>
      <c r="AH118" s="22">
        <v>1.91641666666667</v>
      </c>
      <c r="AI118" s="22">
        <v>2.0161750000000001</v>
      </c>
      <c r="AJ118" s="22">
        <v>2.2791083333333302</v>
      </c>
      <c r="AK118" s="22">
        <v>2.45908333333333</v>
      </c>
      <c r="AL118" s="22">
        <v>2.83008333333333</v>
      </c>
      <c r="AM118" s="22">
        <v>3.01105520833333</v>
      </c>
      <c r="AN118" s="22">
        <v>3.0112916666666698</v>
      </c>
      <c r="AO118" s="22">
        <v>3.1916500000000001</v>
      </c>
      <c r="AP118" s="22">
        <v>3.4493499999999999</v>
      </c>
      <c r="AQ118" s="22">
        <v>3.8000750000000001</v>
      </c>
      <c r="AR118" s="22">
        <v>4.1397166666666703</v>
      </c>
      <c r="AS118" s="22">
        <v>4.0773333333333301</v>
      </c>
      <c r="AT118" s="22">
        <v>4.2056500000000003</v>
      </c>
      <c r="AU118" s="22">
        <v>4.737825</v>
      </c>
      <c r="AV118" s="22">
        <v>4.55413333333333</v>
      </c>
      <c r="AW118" s="22">
        <v>4.4819833333333303</v>
      </c>
      <c r="AX118" s="22">
        <v>4.4877000000000002</v>
      </c>
      <c r="AY118" s="22">
        <v>4.45580833333333</v>
      </c>
      <c r="AZ118" s="22">
        <v>4.1080829490557802</v>
      </c>
      <c r="BA118" s="22">
        <v>3.5880211940836899</v>
      </c>
      <c r="BB118" s="22">
        <v>3.9323354779166699</v>
      </c>
      <c r="BC118" s="22">
        <v>3.7389749999999999</v>
      </c>
      <c r="BD118" s="22">
        <v>3.5781293062201001</v>
      </c>
      <c r="BE118" s="22">
        <v>3.8559218253968202</v>
      </c>
      <c r="BF118" s="22">
        <v>3.61075833333333</v>
      </c>
      <c r="BG118" s="22">
        <v>3.577925</v>
      </c>
      <c r="BH118" s="22">
        <v>3.88683333333333</v>
      </c>
      <c r="BI118" s="22">
        <v>3.8405666666666698</v>
      </c>
      <c r="BJ118" s="22">
        <v>3.5995555481283401</v>
      </c>
      <c r="BK118" s="22">
        <v>3.59055812689938</v>
      </c>
      <c r="BL118" s="22">
        <v>3.5645273466109302</v>
      </c>
    </row>
    <row r="119" spans="1:64">
      <c r="A119" s="22" t="s">
        <v>10826</v>
      </c>
      <c r="B119" s="22" t="s">
        <v>11391</v>
      </c>
      <c r="C119" s="22" t="s">
        <v>11241</v>
      </c>
      <c r="D119" s="22" t="s">
        <v>11242</v>
      </c>
      <c r="E119" s="22">
        <v>623.98633587255995</v>
      </c>
      <c r="F119" s="22">
        <v>625.00000062499998</v>
      </c>
      <c r="G119" s="22">
        <v>625.00000062499998</v>
      </c>
      <c r="H119" s="22">
        <v>625.00000062499998</v>
      </c>
      <c r="I119" s="22">
        <v>625.00000062499998</v>
      </c>
      <c r="J119" s="22">
        <v>625.00000062499998</v>
      </c>
      <c r="K119" s="22">
        <v>625.00000062499998</v>
      </c>
      <c r="L119" s="22">
        <v>625.00000062499998</v>
      </c>
      <c r="M119" s="22">
        <v>625.00000062499998</v>
      </c>
      <c r="N119" s="22">
        <v>625.00000062499998</v>
      </c>
      <c r="O119" s="22">
        <v>625.00000062499998</v>
      </c>
      <c r="P119" s="22">
        <v>620.35928929756199</v>
      </c>
      <c r="Q119" s="22">
        <v>583.21749999941699</v>
      </c>
      <c r="R119" s="22">
        <v>582.99583333191697</v>
      </c>
      <c r="S119" s="22">
        <v>650.34333333183304</v>
      </c>
      <c r="T119" s="22">
        <v>652.84916666599997</v>
      </c>
      <c r="U119" s="22">
        <v>832.33499999966705</v>
      </c>
      <c r="V119" s="22">
        <v>882.38833333125001</v>
      </c>
      <c r="W119" s="22">
        <v>848.663333330917</v>
      </c>
      <c r="X119" s="22">
        <v>830.86166666591703</v>
      </c>
      <c r="Y119" s="22">
        <v>856.44749999741703</v>
      </c>
      <c r="Z119" s="22">
        <v>1136.7649999995799</v>
      </c>
      <c r="AA119" s="22">
        <v>1352.50999999808</v>
      </c>
      <c r="AB119" s="22">
        <v>1518.84833333283</v>
      </c>
      <c r="AC119" s="22">
        <v>1756.9608333318299</v>
      </c>
      <c r="AD119" s="22">
        <v>1909.4391666639999</v>
      </c>
      <c r="AE119" s="22">
        <v>1490.8099999987501</v>
      </c>
      <c r="AF119" s="22">
        <v>1296.07</v>
      </c>
      <c r="AG119" s="22">
        <v>1301.6275000000001</v>
      </c>
      <c r="AH119" s="22">
        <v>1372.0933333333301</v>
      </c>
      <c r="AI119" s="22">
        <v>1198.1016666666701</v>
      </c>
      <c r="AJ119" s="22">
        <v>1240.61333333333</v>
      </c>
      <c r="AK119" s="22">
        <v>1232.4058333333301</v>
      </c>
      <c r="AL119" s="22">
        <v>1573.6658666666699</v>
      </c>
      <c r="AM119" s="22">
        <v>1612.4449833333299</v>
      </c>
      <c r="AN119" s="22">
        <v>1628.9331583333301</v>
      </c>
      <c r="AO119" s="22">
        <v>1542.9469666666701</v>
      </c>
      <c r="AP119" s="22">
        <v>1703.09690833333</v>
      </c>
      <c r="AQ119" s="22">
        <v>1736.20738333333</v>
      </c>
    </row>
    <row r="120" spans="1:64">
      <c r="A120" s="22" t="s">
        <v>5818</v>
      </c>
      <c r="B120" s="22" t="s">
        <v>11392</v>
      </c>
      <c r="C120" s="22" t="s">
        <v>11241</v>
      </c>
      <c r="D120" s="22" t="s">
        <v>11242</v>
      </c>
      <c r="E120" s="22">
        <v>0.71428599957142902</v>
      </c>
      <c r="F120" s="22">
        <v>0.71428599957142902</v>
      </c>
      <c r="G120" s="22">
        <v>0.71428599957142902</v>
      </c>
      <c r="H120" s="22">
        <v>0.71428599957142902</v>
      </c>
      <c r="I120" s="22">
        <v>0.71428599957142902</v>
      </c>
      <c r="J120" s="22">
        <v>0.71428599957142902</v>
      </c>
      <c r="K120" s="22">
        <v>0.71428599957142902</v>
      </c>
      <c r="L120" s="22">
        <v>0.72420699954563506</v>
      </c>
      <c r="M120" s="22">
        <v>0.833333999833334</v>
      </c>
      <c r="N120" s="22">
        <v>0.83333374983333397</v>
      </c>
      <c r="O120" s="22">
        <v>0.83333299983333298</v>
      </c>
      <c r="P120" s="22">
        <v>0.832801749902778</v>
      </c>
      <c r="Q120" s="22">
        <v>0.76746000000000003</v>
      </c>
      <c r="R120" s="22">
        <v>0.90908999999999995</v>
      </c>
      <c r="S120" s="22">
        <v>0.90908999999999995</v>
      </c>
      <c r="T120" s="22">
        <v>0.90908999999999995</v>
      </c>
      <c r="U120" s="22">
        <v>0.90908999999999995</v>
      </c>
      <c r="V120" s="22">
        <v>0.90908999999999995</v>
      </c>
      <c r="W120" s="22">
        <v>1.4132583330833299</v>
      </c>
      <c r="X120" s="22">
        <v>1.7647783326666699</v>
      </c>
      <c r="Y120" s="22">
        <v>1.7814199989999999</v>
      </c>
      <c r="Z120" s="22">
        <v>1.7814199989999999</v>
      </c>
      <c r="AA120" s="22">
        <v>1.7814199989999999</v>
      </c>
      <c r="AB120" s="22">
        <v>1.9322174990000001</v>
      </c>
      <c r="AC120" s="22">
        <v>3.94280416641667</v>
      </c>
      <c r="AD120" s="22">
        <v>5.5585583331666699</v>
      </c>
      <c r="AE120" s="22">
        <v>5.4778333332500004</v>
      </c>
      <c r="AF120" s="22">
        <v>5.4866666666666699</v>
      </c>
      <c r="AG120" s="22">
        <v>5.4885541666666704</v>
      </c>
      <c r="AH120" s="22">
        <v>5.74464166666667</v>
      </c>
      <c r="AI120" s="22">
        <v>7.1840250000000001</v>
      </c>
      <c r="AJ120" s="22">
        <v>12.115875000000001</v>
      </c>
      <c r="AK120" s="22">
        <v>22.960349999999998</v>
      </c>
      <c r="AL120" s="22">
        <v>24.948550000000001</v>
      </c>
      <c r="AM120" s="22">
        <v>33.085933333333301</v>
      </c>
      <c r="AN120" s="22">
        <v>35.142116666666702</v>
      </c>
      <c r="AO120" s="22">
        <v>37.119558333333302</v>
      </c>
      <c r="AP120" s="22">
        <v>35.4044666666667</v>
      </c>
      <c r="AQ120" s="22">
        <v>36.549999999999997</v>
      </c>
      <c r="AR120" s="22">
        <v>39.043516666666697</v>
      </c>
      <c r="AS120" s="22">
        <v>42.985700000000001</v>
      </c>
      <c r="AT120" s="22">
        <v>45.996250000000003</v>
      </c>
      <c r="AU120" s="22">
        <v>48.415941666666697</v>
      </c>
      <c r="AV120" s="22">
        <v>57.740873749999999</v>
      </c>
      <c r="AW120" s="22">
        <v>61.197200000000002</v>
      </c>
      <c r="AX120" s="22">
        <v>62.280714944083698</v>
      </c>
      <c r="AY120" s="22">
        <v>65.743857539682494</v>
      </c>
      <c r="AZ120" s="22">
        <v>69.1921618494152</v>
      </c>
      <c r="BA120" s="22">
        <v>72.756203406152096</v>
      </c>
      <c r="BB120" s="22">
        <v>87.894119810653507</v>
      </c>
      <c r="BC120" s="22">
        <v>87.196146330091494</v>
      </c>
      <c r="BD120" s="22">
        <v>85.893463202276493</v>
      </c>
      <c r="BE120" s="22">
        <v>88.749802387645204</v>
      </c>
      <c r="BF120" s="22">
        <v>100.39788320357999</v>
      </c>
      <c r="BG120" s="22">
        <v>110.934527811188</v>
      </c>
      <c r="BH120" s="22">
        <v>116.969776646049</v>
      </c>
      <c r="BI120" s="22">
        <v>125.095034603174</v>
      </c>
      <c r="BJ120" s="22">
        <v>127.964544179198</v>
      </c>
      <c r="BK120" s="22">
        <v>128.87151906465999</v>
      </c>
      <c r="BL120" s="22">
        <v>133.31211833795999</v>
      </c>
    </row>
    <row r="121" spans="1:64">
      <c r="A121" s="22" t="s">
        <v>7148</v>
      </c>
      <c r="B121" s="22" t="s">
        <v>11393</v>
      </c>
      <c r="C121" s="22" t="s">
        <v>11241</v>
      </c>
      <c r="D121" s="22" t="s">
        <v>11242</v>
      </c>
      <c r="E121" s="22">
        <v>0.357142999357143</v>
      </c>
      <c r="F121" s="22">
        <v>0.357142999357143</v>
      </c>
      <c r="G121" s="22">
        <v>0.357142999357143</v>
      </c>
      <c r="H121" s="22">
        <v>0.357142999357143</v>
      </c>
      <c r="I121" s="22">
        <v>0.357142999357143</v>
      </c>
      <c r="J121" s="22">
        <v>0.357142999357143</v>
      </c>
      <c r="K121" s="22">
        <v>0.357142999357143</v>
      </c>
      <c r="L121" s="22">
        <v>0.357142999357143</v>
      </c>
      <c r="M121" s="22">
        <v>0.357142999357143</v>
      </c>
      <c r="N121" s="22">
        <v>0.357142999357143</v>
      </c>
      <c r="O121" s="22">
        <v>0.357142999357143</v>
      </c>
      <c r="P121" s="22">
        <v>0.35714299932738103</v>
      </c>
      <c r="Q121" s="22">
        <v>0.35714325128914998</v>
      </c>
      <c r="R121" s="22">
        <v>0.32857086795212997</v>
      </c>
      <c r="S121" s="22">
        <v>0.32209166566666703</v>
      </c>
      <c r="T121" s="22">
        <v>0.319791665666667</v>
      </c>
      <c r="U121" s="22">
        <v>0.33198333233333299</v>
      </c>
      <c r="V121" s="22">
        <v>0.32926666566666701</v>
      </c>
      <c r="W121" s="22">
        <v>0.30562499900000001</v>
      </c>
      <c r="X121" s="22">
        <v>0.30033333233333298</v>
      </c>
      <c r="Y121" s="22">
        <v>0.29792499900000002</v>
      </c>
      <c r="Z121" s="22">
        <v>0.330433332333333</v>
      </c>
      <c r="AA121" s="22">
        <v>0.35249166566666701</v>
      </c>
      <c r="AB121" s="22">
        <v>0.36307916566666698</v>
      </c>
      <c r="AC121" s="22">
        <v>0.38446499941666701</v>
      </c>
      <c r="AD121" s="22">
        <v>0.39462499974999998</v>
      </c>
      <c r="AE121" s="22">
        <v>0.34996583316666702</v>
      </c>
      <c r="AF121" s="22">
        <v>0.33845874999999997</v>
      </c>
      <c r="AG121" s="22">
        <v>0.37429249999999997</v>
      </c>
      <c r="AH121" s="22">
        <v>0.57457583333333295</v>
      </c>
      <c r="AI121" s="22">
        <v>0.66371166666666703</v>
      </c>
      <c r="AJ121" s="22">
        <v>0.68086583333333295</v>
      </c>
      <c r="AK121" s="22">
        <v>0.67981833333333297</v>
      </c>
      <c r="AL121" s="22">
        <v>0.69285083333333297</v>
      </c>
      <c r="AM121" s="22">
        <v>0.69876416666666696</v>
      </c>
      <c r="AN121" s="22">
        <v>0.70037749999999999</v>
      </c>
      <c r="AO121" s="22">
        <v>0.70899999999999996</v>
      </c>
      <c r="AP121" s="22">
        <v>0.70899999999999996</v>
      </c>
      <c r="AQ121" s="22">
        <v>0.70899999999999996</v>
      </c>
      <c r="AR121" s="22">
        <v>0.70899999999999996</v>
      </c>
      <c r="AS121" s="22">
        <v>0.70899999999999996</v>
      </c>
      <c r="AT121" s="22">
        <v>0.708983174066667</v>
      </c>
      <c r="AU121" s="22">
        <v>0.70899983333333305</v>
      </c>
      <c r="AV121" s="22">
        <v>0.70899999999999996</v>
      </c>
      <c r="AW121" s="22">
        <v>0.70899999999999996</v>
      </c>
      <c r="AX121" s="22">
        <v>0.70899999999999996</v>
      </c>
      <c r="AY121" s="22">
        <v>0.70899999999999996</v>
      </c>
      <c r="AZ121" s="22">
        <v>0.70899976666666698</v>
      </c>
      <c r="BA121" s="22">
        <v>0.70966655000000001</v>
      </c>
      <c r="BB121" s="22">
        <v>0.71</v>
      </c>
      <c r="BC121" s="22">
        <v>0.71</v>
      </c>
      <c r="BD121" s="22">
        <v>0.71</v>
      </c>
      <c r="BE121" s="22">
        <v>0.71</v>
      </c>
      <c r="BF121" s="22">
        <v>0.71</v>
      </c>
      <c r="BG121" s="22">
        <v>0.71</v>
      </c>
      <c r="BH121" s="22">
        <v>0.71</v>
      </c>
      <c r="BI121" s="22">
        <v>0.71</v>
      </c>
      <c r="BJ121" s="22">
        <v>0.71</v>
      </c>
      <c r="BK121" s="22">
        <v>0.71</v>
      </c>
      <c r="BL121" s="22">
        <v>0.71</v>
      </c>
    </row>
    <row r="122" spans="1:64">
      <c r="A122" s="22" t="s">
        <v>10829</v>
      </c>
      <c r="B122" s="22" t="s">
        <v>11394</v>
      </c>
      <c r="C122" s="22" t="s">
        <v>11241</v>
      </c>
      <c r="D122" s="22" t="s">
        <v>11242</v>
      </c>
      <c r="E122" s="22">
        <v>360.00000035900001</v>
      </c>
      <c r="F122" s="22">
        <v>360.00000035900001</v>
      </c>
      <c r="G122" s="22">
        <v>360.00000035900001</v>
      </c>
      <c r="H122" s="22">
        <v>360.00000035900001</v>
      </c>
      <c r="I122" s="22">
        <v>360.00000035900001</v>
      </c>
      <c r="J122" s="22">
        <v>360.00000035900001</v>
      </c>
      <c r="K122" s="22">
        <v>360.00000035900001</v>
      </c>
      <c r="L122" s="22">
        <v>360.00000035900001</v>
      </c>
      <c r="M122" s="22">
        <v>360.00000035900001</v>
      </c>
      <c r="N122" s="22">
        <v>360.00000035900001</v>
      </c>
      <c r="O122" s="22">
        <v>360.00000035900001</v>
      </c>
      <c r="P122" s="22">
        <v>350.677693533362</v>
      </c>
      <c r="Q122" s="22">
        <v>303.17249999900002</v>
      </c>
      <c r="R122" s="22">
        <v>271.70166666608299</v>
      </c>
      <c r="S122" s="22">
        <v>292.08249999924999</v>
      </c>
      <c r="T122" s="22">
        <v>296.78749999916698</v>
      </c>
      <c r="U122" s="22">
        <v>296.55249999916703</v>
      </c>
      <c r="V122" s="22">
        <v>268.50999999933299</v>
      </c>
      <c r="W122" s="22">
        <v>210.441666666</v>
      </c>
      <c r="X122" s="22">
        <v>219.13999999933301</v>
      </c>
      <c r="Y122" s="22">
        <v>226.74083333283301</v>
      </c>
      <c r="Z122" s="22">
        <v>220.53583333275</v>
      </c>
      <c r="AA122" s="22">
        <v>249.07666666583299</v>
      </c>
      <c r="AB122" s="22">
        <v>237.51166666608299</v>
      </c>
      <c r="AC122" s="22">
        <v>237.52249999933301</v>
      </c>
      <c r="AD122" s="22">
        <v>238.53583333275</v>
      </c>
      <c r="AE122" s="22">
        <v>168.519833333083</v>
      </c>
      <c r="AF122" s="22">
        <v>144.63749999999999</v>
      </c>
      <c r="AG122" s="22">
        <v>128.15166666666701</v>
      </c>
      <c r="AH122" s="22">
        <v>137.96441666666701</v>
      </c>
      <c r="AI122" s="22">
        <v>144.79249999999999</v>
      </c>
      <c r="AJ122" s="22">
        <v>134.70666666666699</v>
      </c>
      <c r="AK122" s="22">
        <v>126.651333333333</v>
      </c>
      <c r="AL122" s="22">
        <v>111.197785833333</v>
      </c>
      <c r="AM122" s="22">
        <v>102.207805833333</v>
      </c>
      <c r="AN122" s="22">
        <v>94.059579166666694</v>
      </c>
      <c r="AO122" s="22">
        <v>108.779056666667</v>
      </c>
      <c r="AP122" s="22">
        <v>120.99086250000001</v>
      </c>
      <c r="AQ122" s="22">
        <v>130.90530066666699</v>
      </c>
      <c r="AR122" s="22">
        <v>113.90680500000001</v>
      </c>
      <c r="AS122" s="22">
        <v>107.765498333333</v>
      </c>
      <c r="AT122" s="22">
        <v>121.5289475</v>
      </c>
      <c r="AU122" s="22">
        <v>125.38801916666699</v>
      </c>
      <c r="AV122" s="22">
        <v>115.93346416666699</v>
      </c>
      <c r="AW122" s="22">
        <v>108.192569166667</v>
      </c>
      <c r="AX122" s="22">
        <v>110.218211666667</v>
      </c>
      <c r="AY122" s="22">
        <v>116.29931166666699</v>
      </c>
      <c r="AZ122" s="22">
        <v>117.75352916666699</v>
      </c>
      <c r="BA122" s="22">
        <v>103.359493968254</v>
      </c>
      <c r="BB122" s="22">
        <v>93.570089087045702</v>
      </c>
      <c r="BC122" s="22">
        <v>87.779875000000004</v>
      </c>
      <c r="BD122" s="22">
        <v>79.807019832189198</v>
      </c>
      <c r="BE122" s="22">
        <v>79.790455417006498</v>
      </c>
      <c r="BF122" s="22">
        <v>97.595658277638506</v>
      </c>
      <c r="BG122" s="22">
        <v>105.944781034025</v>
      </c>
      <c r="BH122" s="22">
        <v>121.044025684011</v>
      </c>
      <c r="BI122" s="22">
        <v>108.79290004683401</v>
      </c>
      <c r="BJ122" s="22">
        <v>112.166141081871</v>
      </c>
      <c r="BK122" s="22">
        <v>110.42317934106001</v>
      </c>
      <c r="BL122" s="22">
        <v>109.009665900863</v>
      </c>
    </row>
    <row r="123" spans="1:64">
      <c r="A123" s="22" t="s">
        <v>10832</v>
      </c>
      <c r="B123" s="22" t="s">
        <v>11395</v>
      </c>
      <c r="C123" s="22" t="s">
        <v>11241</v>
      </c>
      <c r="D123" s="22" t="s">
        <v>11242</v>
      </c>
      <c r="AM123" s="22">
        <v>35.538333333333298</v>
      </c>
      <c r="AN123" s="22">
        <v>60.95</v>
      </c>
      <c r="AO123" s="22">
        <v>67.303333333333299</v>
      </c>
      <c r="AP123" s="22">
        <v>75.4375</v>
      </c>
      <c r="AQ123" s="22">
        <v>78.303333333333299</v>
      </c>
      <c r="AR123" s="22">
        <v>119.523333333333</v>
      </c>
      <c r="AS123" s="22">
        <v>142.13333333333301</v>
      </c>
      <c r="AT123" s="22">
        <v>146.73583333333301</v>
      </c>
      <c r="AU123" s="22">
        <v>153.27916666666701</v>
      </c>
      <c r="AV123" s="22">
        <v>149.57583333333301</v>
      </c>
      <c r="AW123" s="22">
        <v>136.035</v>
      </c>
      <c r="AX123" s="22">
        <v>132.88</v>
      </c>
      <c r="AY123" s="22">
        <v>126.08943055555601</v>
      </c>
      <c r="AZ123" s="22">
        <v>122.554166666667</v>
      </c>
      <c r="BA123" s="22">
        <v>120.29916666666701</v>
      </c>
      <c r="BB123" s="22">
        <v>147.49666666666701</v>
      </c>
      <c r="BC123" s="22">
        <v>147.35499999999999</v>
      </c>
      <c r="BD123" s="22">
        <v>146.620833333333</v>
      </c>
      <c r="BE123" s="22">
        <v>149.11250000000001</v>
      </c>
      <c r="BF123" s="22">
        <v>152.129166666667</v>
      </c>
      <c r="BG123" s="22">
        <v>179.191666666667</v>
      </c>
      <c r="BH123" s="22">
        <v>221.72833333333301</v>
      </c>
      <c r="BI123" s="22">
        <v>342.16</v>
      </c>
      <c r="BJ123" s="22">
        <v>326.00102272727298</v>
      </c>
      <c r="BK123" s="22">
        <v>344.70583333333298</v>
      </c>
      <c r="BL123" s="22">
        <v>382.74731060606098</v>
      </c>
    </row>
    <row r="124" spans="1:64">
      <c r="A124" s="22" t="s">
        <v>5391</v>
      </c>
      <c r="B124" s="22" t="s">
        <v>11396</v>
      </c>
      <c r="C124" s="22" t="s">
        <v>11241</v>
      </c>
      <c r="D124" s="22" t="s">
        <v>11242</v>
      </c>
      <c r="E124" s="22">
        <v>7.1428600061428602</v>
      </c>
      <c r="F124" s="22">
        <v>7.1428600061428602</v>
      </c>
      <c r="G124" s="22">
        <v>7.1428600061428602</v>
      </c>
      <c r="H124" s="22">
        <v>7.1428600061428602</v>
      </c>
      <c r="I124" s="22">
        <v>7.1428600061428602</v>
      </c>
      <c r="J124" s="22">
        <v>7.1428600061428602</v>
      </c>
      <c r="K124" s="22">
        <v>7.1428600061428602</v>
      </c>
      <c r="L124" s="22">
        <v>7.1428600061428602</v>
      </c>
      <c r="M124" s="22">
        <v>7.1428600061428602</v>
      </c>
      <c r="N124" s="22">
        <v>7.1428600061428602</v>
      </c>
      <c r="O124" s="22">
        <v>7.1428600061428602</v>
      </c>
      <c r="P124" s="22">
        <v>7.1428599977626002</v>
      </c>
      <c r="Q124" s="22">
        <v>7.1428599989999997</v>
      </c>
      <c r="R124" s="22">
        <v>7.0011916656666697</v>
      </c>
      <c r="S124" s="22">
        <v>7.1428599989999997</v>
      </c>
      <c r="T124" s="22">
        <v>7.34319333233333</v>
      </c>
      <c r="U124" s="22">
        <v>8.3671449991666709</v>
      </c>
      <c r="V124" s="22">
        <v>8.2765608324166706</v>
      </c>
      <c r="W124" s="22">
        <v>7.7293833323333301</v>
      </c>
      <c r="X124" s="22">
        <v>7.4753091656666699</v>
      </c>
      <c r="Y124" s="22">
        <v>7.4201874989999999</v>
      </c>
      <c r="Z124" s="22">
        <v>9.0474983325833307</v>
      </c>
      <c r="AA124" s="22">
        <v>10.9223249994167</v>
      </c>
      <c r="AB124" s="22">
        <v>13.311516665916701</v>
      </c>
      <c r="AC124" s="22">
        <v>14.4138749994167</v>
      </c>
      <c r="AD124" s="22">
        <v>16.432116666500001</v>
      </c>
      <c r="AE124" s="22">
        <v>16.225741666499999</v>
      </c>
      <c r="AF124" s="22">
        <v>16.454491666666701</v>
      </c>
      <c r="AG124" s="22">
        <v>17.7471</v>
      </c>
      <c r="AH124" s="22">
        <v>20.572466666666699</v>
      </c>
      <c r="AI124" s="22">
        <v>22.914766666666701</v>
      </c>
      <c r="AJ124" s="22">
        <v>27.5078666666667</v>
      </c>
      <c r="AK124" s="22">
        <v>32.216833333333298</v>
      </c>
      <c r="AL124" s="22">
        <v>58.001333333333299</v>
      </c>
      <c r="AM124" s="22">
        <v>56.050575000000002</v>
      </c>
      <c r="AN124" s="22">
        <v>51.429833333333299</v>
      </c>
      <c r="AO124" s="22">
        <v>57.1148666666667</v>
      </c>
      <c r="AP124" s="22">
        <v>58.731841666666703</v>
      </c>
      <c r="AQ124" s="22">
        <v>60.366700000000002</v>
      </c>
      <c r="AR124" s="22">
        <v>70.326216666666696</v>
      </c>
      <c r="AS124" s="22">
        <v>76.175541666666703</v>
      </c>
      <c r="AT124" s="22">
        <v>78.563194999999993</v>
      </c>
      <c r="AU124" s="22">
        <v>78.749141666666702</v>
      </c>
      <c r="AV124" s="22">
        <v>75.935569444444397</v>
      </c>
      <c r="AW124" s="22">
        <v>79.173876064213601</v>
      </c>
      <c r="AX124" s="22">
        <v>75.554109451431103</v>
      </c>
      <c r="AY124" s="22">
        <v>72.100835017862096</v>
      </c>
      <c r="AZ124" s="22">
        <v>67.316666666666706</v>
      </c>
      <c r="BA124" s="22">
        <v>69.175833333333301</v>
      </c>
      <c r="BB124" s="22">
        <v>77.350833333333298</v>
      </c>
      <c r="BC124" s="22">
        <v>79.233333333333306</v>
      </c>
      <c r="BD124" s="22">
        <v>88.811666666666696</v>
      </c>
      <c r="BE124" s="22">
        <v>84.53</v>
      </c>
      <c r="BF124" s="22">
        <v>86.123333333333306</v>
      </c>
      <c r="BG124" s="22">
        <v>87.922499999999999</v>
      </c>
      <c r="BH124" s="22">
        <v>98.179166666666703</v>
      </c>
      <c r="BI124" s="22">
        <v>101.504166666667</v>
      </c>
      <c r="BJ124" s="22">
        <v>103.41044618568</v>
      </c>
      <c r="BK124" s="22">
        <v>101.301574049018</v>
      </c>
      <c r="BL124" s="22">
        <v>101.99129838935001</v>
      </c>
    </row>
    <row r="125" spans="1:64">
      <c r="A125" s="22" t="s">
        <v>11397</v>
      </c>
      <c r="B125" s="22" t="s">
        <v>11398</v>
      </c>
      <c r="C125" s="22" t="s">
        <v>11241</v>
      </c>
      <c r="D125" s="22" t="s">
        <v>11242</v>
      </c>
      <c r="AM125" s="22">
        <v>10.8416833333333</v>
      </c>
      <c r="AN125" s="22">
        <v>10.8218833333333</v>
      </c>
      <c r="AO125" s="22">
        <v>12.8095583333333</v>
      </c>
      <c r="AP125" s="22">
        <v>17.362491666666699</v>
      </c>
      <c r="AQ125" s="22">
        <v>20.837566666666699</v>
      </c>
      <c r="AR125" s="22">
        <v>39.007733333333299</v>
      </c>
      <c r="AS125" s="22">
        <v>47.7038333333333</v>
      </c>
      <c r="AT125" s="22">
        <v>48.377958333333297</v>
      </c>
      <c r="AU125" s="22">
        <v>46.937066666666702</v>
      </c>
      <c r="AV125" s="22">
        <v>43.648375000000001</v>
      </c>
      <c r="AW125" s="22">
        <v>42.649941666666699</v>
      </c>
      <c r="AX125" s="22">
        <v>41.011820505934899</v>
      </c>
      <c r="AY125" s="22">
        <v>40.152899945420501</v>
      </c>
      <c r="AZ125" s="22">
        <v>37.316256805555597</v>
      </c>
      <c r="BA125" s="22">
        <v>36.574591666666699</v>
      </c>
      <c r="BB125" s="22">
        <v>42.904108333333298</v>
      </c>
      <c r="BC125" s="22">
        <v>45.964261400813903</v>
      </c>
      <c r="BD125" s="22">
        <v>46.143901317204303</v>
      </c>
      <c r="BE125" s="22">
        <v>47.004479142256798</v>
      </c>
      <c r="BF125" s="22">
        <v>48.438059008772598</v>
      </c>
      <c r="BG125" s="22">
        <v>53.654058312852001</v>
      </c>
      <c r="BH125" s="22">
        <v>64.462108272529406</v>
      </c>
      <c r="BI125" s="22">
        <v>69.914065825299701</v>
      </c>
      <c r="BJ125" s="22">
        <v>68.866667859063</v>
      </c>
      <c r="BK125" s="22">
        <v>68.840320327700994</v>
      </c>
      <c r="BL125" s="22">
        <v>69.789349180747607</v>
      </c>
    </row>
    <row r="126" spans="1:64">
      <c r="A126" s="22" t="s">
        <v>10714</v>
      </c>
      <c r="B126" s="22" t="s">
        <v>11399</v>
      </c>
      <c r="C126" s="22" t="s">
        <v>11241</v>
      </c>
      <c r="D126" s="22" t="s">
        <v>11242</v>
      </c>
      <c r="E126" s="22">
        <v>35</v>
      </c>
      <c r="F126" s="22">
        <v>35</v>
      </c>
      <c r="G126" s="22">
        <v>35</v>
      </c>
      <c r="H126" s="22">
        <v>35</v>
      </c>
      <c r="I126" s="22">
        <v>35</v>
      </c>
      <c r="J126" s="22">
        <v>35</v>
      </c>
      <c r="K126" s="22">
        <v>35</v>
      </c>
      <c r="L126" s="22">
        <v>35</v>
      </c>
      <c r="M126" s="22">
        <v>35</v>
      </c>
      <c r="N126" s="22">
        <v>43.558333332916703</v>
      </c>
      <c r="O126" s="22">
        <v>55.539999999000003</v>
      </c>
      <c r="P126" s="22">
        <v>75.821666665916695</v>
      </c>
      <c r="Q126" s="22">
        <v>162.25</v>
      </c>
      <c r="R126" s="22">
        <v>244.916666666667</v>
      </c>
      <c r="AI126" s="22">
        <v>426.25</v>
      </c>
      <c r="AJ126" s="22">
        <v>718.33333333333303</v>
      </c>
      <c r="AK126" s="22">
        <v>1266.5833333333301</v>
      </c>
      <c r="AL126" s="22">
        <v>2689</v>
      </c>
      <c r="AM126" s="22">
        <v>2545.25</v>
      </c>
      <c r="AN126" s="22">
        <v>2450.8333333333298</v>
      </c>
      <c r="AO126" s="22">
        <v>2624.0833333333298</v>
      </c>
      <c r="AP126" s="22">
        <v>2946.25</v>
      </c>
      <c r="AQ126" s="22">
        <v>3744.4166666666702</v>
      </c>
      <c r="AR126" s="22">
        <v>3807.8333333333298</v>
      </c>
      <c r="AS126" s="22">
        <v>3840.75</v>
      </c>
      <c r="AT126" s="22">
        <v>3916.3333333333298</v>
      </c>
      <c r="AU126" s="22">
        <v>3912.0833333333298</v>
      </c>
      <c r="AV126" s="22">
        <v>3973.3333333333298</v>
      </c>
      <c r="AW126" s="22">
        <v>4016.25</v>
      </c>
      <c r="AX126" s="22">
        <v>4092.5</v>
      </c>
      <c r="AY126" s="22">
        <v>4103.25</v>
      </c>
      <c r="AZ126" s="22">
        <v>4056.1666666666702</v>
      </c>
      <c r="BA126" s="22">
        <v>4054.1666666666702</v>
      </c>
      <c r="BB126" s="22">
        <v>4139.3333333333303</v>
      </c>
      <c r="BC126" s="22">
        <v>4184.9166666666697</v>
      </c>
      <c r="BD126" s="22">
        <v>4058.5</v>
      </c>
      <c r="BE126" s="22">
        <v>4033</v>
      </c>
      <c r="BF126" s="22">
        <v>4027.25</v>
      </c>
      <c r="BG126" s="22">
        <v>4037.5</v>
      </c>
      <c r="BH126" s="22">
        <v>4067.75</v>
      </c>
      <c r="BI126" s="22">
        <v>4058.6945788530502</v>
      </c>
      <c r="BJ126" s="22">
        <v>4050.5799859191002</v>
      </c>
      <c r="BK126" s="22">
        <v>4051.1669002816202</v>
      </c>
      <c r="BL126" s="22">
        <v>4061.1489631336399</v>
      </c>
    </row>
    <row r="127" spans="1:64">
      <c r="A127" s="22" t="s">
        <v>10835</v>
      </c>
      <c r="B127" s="22" t="s">
        <v>11400</v>
      </c>
      <c r="C127" s="22" t="s">
        <v>11241</v>
      </c>
      <c r="D127" s="22" t="s">
        <v>11242</v>
      </c>
      <c r="E127" s="22">
        <v>0.89285699989285705</v>
      </c>
      <c r="F127" s="22">
        <v>0.89285699989285705</v>
      </c>
      <c r="G127" s="22">
        <v>0.89285699989285705</v>
      </c>
      <c r="H127" s="22">
        <v>0.89285699989285705</v>
      </c>
      <c r="I127" s="22">
        <v>0.89285699989285705</v>
      </c>
      <c r="J127" s="22">
        <v>0.89285699989285705</v>
      </c>
      <c r="K127" s="22">
        <v>0.89285699989285705</v>
      </c>
      <c r="L127" s="22">
        <v>0.89285699989285705</v>
      </c>
      <c r="M127" s="22">
        <v>0.89285699989285705</v>
      </c>
      <c r="N127" s="22">
        <v>0.89285699989285705</v>
      </c>
      <c r="O127" s="22">
        <v>0.89285699989285705</v>
      </c>
      <c r="P127" s="22">
        <v>0.88267025929554799</v>
      </c>
      <c r="Q127" s="22">
        <v>0.838697807262207</v>
      </c>
      <c r="R127" s="22">
        <v>0.70411390796665796</v>
      </c>
      <c r="S127" s="22">
        <v>0.69666586863809599</v>
      </c>
      <c r="T127" s="22">
        <v>0.76387124900000003</v>
      </c>
      <c r="U127" s="22">
        <v>0.81828408233333305</v>
      </c>
      <c r="V127" s="22">
        <v>0.90182499900000002</v>
      </c>
      <c r="W127" s="22">
        <v>0.87365924900000003</v>
      </c>
      <c r="X127" s="22">
        <v>0.89464091566666704</v>
      </c>
      <c r="Y127" s="22">
        <v>0.87824433233333299</v>
      </c>
      <c r="Z127" s="22">
        <v>0.87021458233333304</v>
      </c>
      <c r="AA127" s="22">
        <v>0.98586283233333305</v>
      </c>
      <c r="AB127" s="22">
        <v>1.1100149991666699</v>
      </c>
      <c r="AC127" s="22">
        <v>1.1395191659166699</v>
      </c>
      <c r="AD127" s="22">
        <v>1.4318949995000001</v>
      </c>
      <c r="AE127" s="22">
        <v>1.4959741664166699</v>
      </c>
      <c r="AF127" s="22">
        <v>1.42818</v>
      </c>
      <c r="AG127" s="22">
        <v>1.2799083333333301</v>
      </c>
      <c r="AH127" s="22">
        <v>1.2645966666666699</v>
      </c>
      <c r="AI127" s="22">
        <v>1.2810566666666701</v>
      </c>
      <c r="AJ127" s="22">
        <v>1.2837558333333301</v>
      </c>
      <c r="AK127" s="22">
        <v>1.36164833333333</v>
      </c>
      <c r="AL127" s="22">
        <v>1.4705600000000001</v>
      </c>
      <c r="AM127" s="22">
        <v>1.3677508333333299</v>
      </c>
      <c r="AN127" s="22">
        <v>1.3490325000000001</v>
      </c>
      <c r="AO127" s="22">
        <v>1.27786333333333</v>
      </c>
      <c r="AP127" s="22">
        <v>1.34738</v>
      </c>
      <c r="AQ127" s="22">
        <v>1.5918283333333301</v>
      </c>
      <c r="AR127" s="22">
        <v>1.5499499999999999</v>
      </c>
      <c r="AS127" s="22">
        <v>1.7248266666666701</v>
      </c>
      <c r="AT127" s="22">
        <v>1.9334425</v>
      </c>
      <c r="AU127" s="22">
        <v>1.8405625000000001</v>
      </c>
      <c r="AV127" s="22">
        <v>1.54191416666667</v>
      </c>
      <c r="AW127" s="22">
        <v>1.3597524999999999</v>
      </c>
      <c r="AX127" s="22">
        <v>1.3094733333333299</v>
      </c>
      <c r="AY127" s="22">
        <v>1.3279734405000001</v>
      </c>
      <c r="AZ127" s="22">
        <v>1.1950725</v>
      </c>
      <c r="BA127" s="22">
        <v>1.19217833333333</v>
      </c>
      <c r="BB127" s="22">
        <v>1.28218881008452</v>
      </c>
      <c r="BC127" s="22">
        <v>1.0901594863867701</v>
      </c>
      <c r="BD127" s="22">
        <v>0.96946320149673504</v>
      </c>
      <c r="BE127" s="22">
        <v>0.96580103065870804</v>
      </c>
      <c r="BF127" s="22">
        <v>1.0358430965205401</v>
      </c>
      <c r="BG127" s="22">
        <v>1.1093632928169199</v>
      </c>
      <c r="BH127" s="22">
        <v>1.33109026245502</v>
      </c>
      <c r="BI127" s="22">
        <v>1.3452139760194699</v>
      </c>
      <c r="BJ127" s="22">
        <v>1.3047580767159199</v>
      </c>
      <c r="BK127" s="22">
        <v>1.33841214646451</v>
      </c>
      <c r="BL127" s="22">
        <v>1.4385065442138201</v>
      </c>
    </row>
    <row r="128" spans="1:64">
      <c r="A128" s="22" t="s">
        <v>11401</v>
      </c>
      <c r="B128" s="22" t="s">
        <v>11402</v>
      </c>
      <c r="C128" s="22" t="s">
        <v>11241</v>
      </c>
      <c r="D128" s="22" t="s">
        <v>11242</v>
      </c>
      <c r="E128" s="22">
        <v>1.7142900007142901</v>
      </c>
      <c r="F128" s="22">
        <v>1.7142900007142901</v>
      </c>
      <c r="G128" s="22">
        <v>1.7142900007142901</v>
      </c>
      <c r="H128" s="22">
        <v>1.7142900007142901</v>
      </c>
      <c r="I128" s="22">
        <v>1.7142900007142901</v>
      </c>
      <c r="J128" s="22">
        <v>1.7142900007142901</v>
      </c>
      <c r="K128" s="22">
        <v>1.7142900007142901</v>
      </c>
      <c r="L128" s="22">
        <v>1.7619083340952399</v>
      </c>
      <c r="M128" s="22">
        <v>2.0000000010000001</v>
      </c>
      <c r="N128" s="22">
        <v>2.0000000010000001</v>
      </c>
      <c r="O128" s="22">
        <v>2.0000000010000001</v>
      </c>
      <c r="P128" s="22">
        <v>1.97487273321145</v>
      </c>
      <c r="Q128" s="22">
        <v>1.9212781494760101</v>
      </c>
      <c r="R128" s="22">
        <v>1.9592192359816101</v>
      </c>
      <c r="S128" s="22">
        <v>2.0532324085176299</v>
      </c>
      <c r="T128" s="22">
        <v>2.16979583233333</v>
      </c>
      <c r="U128" s="22">
        <v>2.6146708328333301</v>
      </c>
      <c r="V128" s="22">
        <v>2.7</v>
      </c>
      <c r="W128" s="22">
        <v>2.7</v>
      </c>
      <c r="X128" s="22">
        <v>2.7</v>
      </c>
      <c r="Y128" s="22">
        <v>2.7</v>
      </c>
      <c r="Z128" s="22">
        <v>2.7</v>
      </c>
      <c r="AA128" s="22">
        <v>2.7</v>
      </c>
      <c r="AB128" s="22">
        <v>2.7</v>
      </c>
      <c r="AC128" s="22">
        <v>2.7</v>
      </c>
      <c r="AD128" s="22">
        <v>2.7</v>
      </c>
      <c r="AE128" s="22">
        <v>2.7</v>
      </c>
      <c r="AF128" s="22">
        <v>2.7</v>
      </c>
      <c r="AG128" s="22">
        <v>2.7</v>
      </c>
      <c r="AH128" s="22">
        <v>2.7</v>
      </c>
      <c r="AI128" s="22">
        <v>2.7</v>
      </c>
      <c r="AJ128" s="22">
        <v>2.7</v>
      </c>
      <c r="AK128" s="22">
        <v>2.7</v>
      </c>
      <c r="AL128" s="22">
        <v>2.7</v>
      </c>
      <c r="AM128" s="22">
        <v>2.7</v>
      </c>
      <c r="AN128" s="22">
        <v>2.7</v>
      </c>
      <c r="AO128" s="22">
        <v>2.7</v>
      </c>
      <c r="AP128" s="22">
        <v>2.7</v>
      </c>
      <c r="AQ128" s="22">
        <v>2.7</v>
      </c>
      <c r="AR128" s="22">
        <v>2.7</v>
      </c>
      <c r="AS128" s="22">
        <v>2.7</v>
      </c>
      <c r="AT128" s="22">
        <v>2.7</v>
      </c>
      <c r="AU128" s="22">
        <v>2.7</v>
      </c>
      <c r="AV128" s="22">
        <v>2.7</v>
      </c>
      <c r="AW128" s="22">
        <v>2.7</v>
      </c>
      <c r="AX128" s="22">
        <v>2.7</v>
      </c>
      <c r="AY128" s="22">
        <v>2.7</v>
      </c>
      <c r="AZ128" s="22">
        <v>2.7</v>
      </c>
      <c r="BA128" s="22">
        <v>2.7</v>
      </c>
      <c r="BB128" s="22">
        <v>2.7</v>
      </c>
      <c r="BC128" s="22">
        <v>2.7</v>
      </c>
      <c r="BD128" s="22">
        <v>2.7</v>
      </c>
      <c r="BE128" s="22">
        <v>2.7</v>
      </c>
      <c r="BF128" s="22">
        <v>2.7</v>
      </c>
      <c r="BG128" s="22">
        <v>2.7</v>
      </c>
      <c r="BH128" s="22">
        <v>2.7</v>
      </c>
      <c r="BI128" s="22">
        <v>2.7</v>
      </c>
      <c r="BJ128" s="22">
        <v>2.7</v>
      </c>
      <c r="BK128" s="22">
        <v>2.7</v>
      </c>
      <c r="BL128" s="22">
        <v>2.7</v>
      </c>
    </row>
    <row r="129" spans="1:64">
      <c r="A129" s="22" t="s">
        <v>11403</v>
      </c>
      <c r="B129" s="22" t="s">
        <v>11404</v>
      </c>
      <c r="C129" s="22" t="s">
        <v>11241</v>
      </c>
      <c r="D129" s="22" t="s">
        <v>11242</v>
      </c>
      <c r="E129" s="22">
        <v>63.125</v>
      </c>
      <c r="F129" s="22">
        <v>124.791666666667</v>
      </c>
      <c r="G129" s="22">
        <v>130</v>
      </c>
      <c r="H129" s="22">
        <v>130</v>
      </c>
      <c r="I129" s="22">
        <v>213.846666666</v>
      </c>
      <c r="J129" s="22">
        <v>266.40083333266699</v>
      </c>
      <c r="K129" s="22">
        <v>271.33749999908298</v>
      </c>
      <c r="L129" s="22">
        <v>270.516666665917</v>
      </c>
      <c r="M129" s="22">
        <v>276.64499999908298</v>
      </c>
      <c r="N129" s="22">
        <v>288.16083333258302</v>
      </c>
      <c r="O129" s="22">
        <v>310.55583333233301</v>
      </c>
      <c r="P129" s="22">
        <v>347.14749999908298</v>
      </c>
      <c r="Q129" s="22">
        <v>392.89416666583298</v>
      </c>
      <c r="R129" s="22">
        <v>398.32166666575</v>
      </c>
      <c r="S129" s="22">
        <v>404.47249999966698</v>
      </c>
      <c r="T129" s="22">
        <v>484</v>
      </c>
      <c r="U129" s="22">
        <v>484</v>
      </c>
      <c r="V129" s="22">
        <v>484</v>
      </c>
      <c r="W129" s="22">
        <v>484</v>
      </c>
      <c r="X129" s="22">
        <v>484</v>
      </c>
      <c r="Y129" s="22">
        <v>607.43249999925001</v>
      </c>
      <c r="Z129" s="22">
        <v>681.02833333183298</v>
      </c>
      <c r="AA129" s="22">
        <v>731.084166665917</v>
      </c>
      <c r="AB129" s="22">
        <v>775.74833333125002</v>
      </c>
      <c r="AC129" s="22">
        <v>805.97583333233297</v>
      </c>
      <c r="AD129" s="22">
        <v>870.0199999985</v>
      </c>
      <c r="AE129" s="22">
        <v>881.45416666633298</v>
      </c>
      <c r="AF129" s="22">
        <v>822.5675</v>
      </c>
      <c r="AG129" s="22">
        <v>731.46833333333302</v>
      </c>
      <c r="AH129" s="22">
        <v>671.45583333333298</v>
      </c>
      <c r="AI129" s="22">
        <v>707.76416666666705</v>
      </c>
      <c r="AJ129" s="22">
        <v>733.35333333333301</v>
      </c>
      <c r="AK129" s="22">
        <v>780.65083333333303</v>
      </c>
      <c r="AL129" s="22">
        <v>802.67083333333301</v>
      </c>
      <c r="AM129" s="22">
        <v>803.44583333333298</v>
      </c>
      <c r="AN129" s="22">
        <v>771.27333333333297</v>
      </c>
      <c r="AO129" s="22">
        <v>804.45333333333303</v>
      </c>
      <c r="AP129" s="22">
        <v>951.28916666666703</v>
      </c>
      <c r="AQ129" s="22">
        <v>1401.4366666666699</v>
      </c>
      <c r="AR129" s="22">
        <v>1188.81666666667</v>
      </c>
      <c r="AS129" s="22">
        <v>1130.9575</v>
      </c>
      <c r="AT129" s="22">
        <v>1290.99458333333</v>
      </c>
      <c r="AU129" s="22">
        <v>1251.08833333333</v>
      </c>
      <c r="AV129" s="22">
        <v>1191.6141666666699</v>
      </c>
      <c r="AW129" s="22">
        <v>1145.3191666666701</v>
      </c>
      <c r="AX129" s="22">
        <v>1024.11666666667</v>
      </c>
      <c r="AY129" s="22">
        <v>954.79051583333296</v>
      </c>
      <c r="AZ129" s="22">
        <v>929.25726166666698</v>
      </c>
      <c r="BA129" s="22">
        <v>1102.04666666667</v>
      </c>
      <c r="BB129" s="22">
        <v>1276.93</v>
      </c>
      <c r="BC129" s="22">
        <v>1156.06098787879</v>
      </c>
      <c r="BD129" s="22">
        <v>1108.2921249999999</v>
      </c>
      <c r="BE129" s="22">
        <v>1126.4708260833299</v>
      </c>
      <c r="BF129" s="22">
        <v>1094.8529166666699</v>
      </c>
      <c r="BG129" s="22">
        <v>1052.9608333333299</v>
      </c>
      <c r="BH129" s="22">
        <v>1131.1575</v>
      </c>
      <c r="BI129" s="22">
        <v>1160.43343500797</v>
      </c>
      <c r="BJ129" s="22">
        <v>1130.42462125</v>
      </c>
      <c r="BK129" s="22">
        <v>1100.5</v>
      </c>
      <c r="BL129" s="22">
        <v>1165.3575000000001</v>
      </c>
    </row>
    <row r="130" spans="1:64">
      <c r="A130" s="22" t="s">
        <v>10838</v>
      </c>
      <c r="B130" s="22" t="s">
        <v>11405</v>
      </c>
      <c r="C130" s="22" t="s">
        <v>11241</v>
      </c>
      <c r="D130" s="22" t="s">
        <v>11242</v>
      </c>
      <c r="E130" s="22">
        <v>0.357142999357143</v>
      </c>
      <c r="F130" s="22">
        <v>0.357142999357143</v>
      </c>
      <c r="G130" s="22">
        <v>0.357142999357143</v>
      </c>
      <c r="H130" s="22">
        <v>0.357142999357143</v>
      </c>
      <c r="I130" s="22">
        <v>0.357142999357143</v>
      </c>
      <c r="J130" s="22">
        <v>0.357142999357143</v>
      </c>
      <c r="K130" s="22">
        <v>0.357142999357143</v>
      </c>
      <c r="L130" s="22">
        <v>0.357142999357143</v>
      </c>
      <c r="M130" s="22">
        <v>0.357142999357143</v>
      </c>
      <c r="N130" s="22">
        <v>0.357142999357143</v>
      </c>
      <c r="O130" s="22">
        <v>0.357142999357143</v>
      </c>
      <c r="P130" s="22">
        <v>0.35609771386009298</v>
      </c>
      <c r="Q130" s="22">
        <v>0.32894879786402298</v>
      </c>
      <c r="R130" s="22">
        <v>0.29657231557200198</v>
      </c>
      <c r="S130" s="22">
        <v>0.29315141566666703</v>
      </c>
      <c r="T130" s="22">
        <v>0.29003233233333298</v>
      </c>
      <c r="U130" s="22">
        <v>0.29238741566666698</v>
      </c>
      <c r="V130" s="22">
        <v>0.28656599900000002</v>
      </c>
      <c r="W130" s="22">
        <v>0.27505274899999999</v>
      </c>
      <c r="X130" s="22">
        <v>0.27636608233333299</v>
      </c>
      <c r="Y130" s="22">
        <v>0.27029741566666698</v>
      </c>
      <c r="Z130" s="22">
        <v>0.27878533233333302</v>
      </c>
      <c r="AA130" s="22">
        <v>0.287910999</v>
      </c>
      <c r="AB130" s="22">
        <v>0.29147666566666702</v>
      </c>
      <c r="AC130" s="22">
        <v>0.29606191616666699</v>
      </c>
      <c r="AD130" s="22">
        <v>0.30075324991666702</v>
      </c>
      <c r="AE130" s="22">
        <v>0.29059466658333299</v>
      </c>
      <c r="AF130" s="22">
        <v>0.27866324999999997</v>
      </c>
      <c r="AG130" s="22">
        <v>0.27902925000000001</v>
      </c>
      <c r="AH130" s="22">
        <v>0.29377941666666701</v>
      </c>
      <c r="AI130" s="22">
        <v>0.28845500000000002</v>
      </c>
      <c r="AJ130" s="22">
        <v>0.28426857695150398</v>
      </c>
      <c r="AK130" s="22">
        <v>0.29322266666666702</v>
      </c>
      <c r="AL130" s="22">
        <v>0.30183860000000001</v>
      </c>
      <c r="AM130" s="22">
        <v>0.296870315</v>
      </c>
      <c r="AN130" s="22">
        <v>0.29844772083333299</v>
      </c>
      <c r="AO130" s="22">
        <v>0.29940856333333299</v>
      </c>
      <c r="AP130" s="22">
        <v>0.30334883499999998</v>
      </c>
      <c r="AQ130" s="22">
        <v>0.30475563999999999</v>
      </c>
      <c r="AR130" s="22">
        <v>0.304414666666667</v>
      </c>
      <c r="AS130" s="22">
        <v>0.30675158333333302</v>
      </c>
      <c r="AT130" s="22">
        <v>0.30668166666666702</v>
      </c>
      <c r="AU130" s="22">
        <v>0.30391425166666702</v>
      </c>
      <c r="AV130" s="22">
        <v>0.29801152108333301</v>
      </c>
      <c r="AW130" s="22">
        <v>0.29470000000000002</v>
      </c>
      <c r="AX130" s="22">
        <v>0.29199999999999998</v>
      </c>
      <c r="AY130" s="22">
        <v>0.29017622500000001</v>
      </c>
      <c r="AZ130" s="22">
        <v>0.28421395833333302</v>
      </c>
      <c r="BA130" s="22">
        <v>0.26882836666666698</v>
      </c>
      <c r="BB130" s="22">
        <v>0.28778541666666702</v>
      </c>
      <c r="BC130" s="22">
        <v>0.28660659166666702</v>
      </c>
      <c r="BD130" s="22">
        <v>0.27597894444444399</v>
      </c>
      <c r="BE130" s="22">
        <v>0.279935558333333</v>
      </c>
      <c r="BF130" s="22">
        <v>0.283589441666667</v>
      </c>
      <c r="BG130" s="22">
        <v>0.28456714166666702</v>
      </c>
      <c r="BH130" s="22">
        <v>0.30085202500000002</v>
      </c>
      <c r="BI130" s="22">
        <v>0.302137441178496</v>
      </c>
      <c r="BJ130" s="22">
        <v>0.303349758333333</v>
      </c>
      <c r="BK130" s="22">
        <v>0.30195649352417703</v>
      </c>
      <c r="BL130" s="22">
        <v>0.30361116303575503</v>
      </c>
    </row>
    <row r="131" spans="1:64">
      <c r="A131" s="22" t="s">
        <v>11406</v>
      </c>
      <c r="B131" s="22" t="s">
        <v>11407</v>
      </c>
      <c r="C131" s="22" t="s">
        <v>11241</v>
      </c>
      <c r="D131" s="22" t="s">
        <v>11242</v>
      </c>
    </row>
    <row r="132" spans="1:64">
      <c r="A132" s="22" t="s">
        <v>11408</v>
      </c>
      <c r="B132" s="22" t="s">
        <v>11409</v>
      </c>
      <c r="C132" s="22" t="s">
        <v>11241</v>
      </c>
      <c r="D132" s="22" t="s">
        <v>11242</v>
      </c>
      <c r="E132" s="22">
        <v>80.000154725774706</v>
      </c>
      <c r="F132" s="22">
        <v>80.000154725774706</v>
      </c>
      <c r="G132" s="22">
        <v>80.000154725774706</v>
      </c>
      <c r="H132" s="22">
        <v>80.000154725774706</v>
      </c>
      <c r="I132" s="22">
        <v>240.00046417732401</v>
      </c>
      <c r="J132" s="22">
        <v>240.00046417732401</v>
      </c>
      <c r="K132" s="22">
        <v>240.00046417732401</v>
      </c>
      <c r="L132" s="22">
        <v>240.00046417732401</v>
      </c>
      <c r="M132" s="22">
        <v>240.00046417732401</v>
      </c>
      <c r="N132" s="22">
        <v>240.00046417732401</v>
      </c>
      <c r="O132" s="22">
        <v>240.00046417732401</v>
      </c>
      <c r="P132" s="22">
        <v>240.00046417732401</v>
      </c>
      <c r="Q132" s="22">
        <v>510.00098637681401</v>
      </c>
      <c r="R132" s="22">
        <v>600.00116044331003</v>
      </c>
      <c r="S132" s="22">
        <v>600.00116044331003</v>
      </c>
      <c r="T132" s="22">
        <v>725.001402202333</v>
      </c>
      <c r="U132" s="22">
        <v>429.16726794781499</v>
      </c>
      <c r="V132" s="22">
        <v>199.99999465758501</v>
      </c>
      <c r="W132" s="22">
        <v>333.33332442930799</v>
      </c>
      <c r="X132" s="22">
        <v>367.49999018331198</v>
      </c>
      <c r="Y132" s="22">
        <v>9.9999997328792301</v>
      </c>
      <c r="Z132" s="22">
        <v>21.666666087905</v>
      </c>
      <c r="AA132" s="22">
        <v>34.999999065077297</v>
      </c>
      <c r="AB132" s="22">
        <v>34.999999065077297</v>
      </c>
      <c r="AC132" s="22">
        <v>34.999999065077297</v>
      </c>
      <c r="AD132" s="22">
        <v>54.999998530835803</v>
      </c>
      <c r="AE132" s="22">
        <v>94.999997462352695</v>
      </c>
      <c r="AF132" s="22">
        <v>187.49999499148601</v>
      </c>
      <c r="AG132" s="22">
        <v>400.37498930515198</v>
      </c>
      <c r="AH132" s="22">
        <v>591.49998419980602</v>
      </c>
      <c r="AI132" s="22">
        <v>707.74998109452702</v>
      </c>
      <c r="AJ132" s="22">
        <v>702.08331457922895</v>
      </c>
      <c r="AK132" s="22">
        <v>716.08331420525997</v>
      </c>
      <c r="AL132" s="22">
        <v>716.24998086747496</v>
      </c>
      <c r="AM132" s="22">
        <v>717.66664749629899</v>
      </c>
      <c r="AN132" s="22">
        <v>804.69082007172199</v>
      </c>
      <c r="AO132" s="22">
        <v>921.02166666666699</v>
      </c>
      <c r="AP132" s="22">
        <v>1259.9791666666699</v>
      </c>
      <c r="AQ132" s="22">
        <v>3298.3333333333298</v>
      </c>
      <c r="AR132" s="22">
        <v>7102.0249999999996</v>
      </c>
      <c r="AS132" s="22">
        <v>7887.6433333333298</v>
      </c>
      <c r="AT132" s="22">
        <v>8954.5833333333303</v>
      </c>
      <c r="AU132" s="22">
        <v>10056.333333333299</v>
      </c>
      <c r="AV132" s="22">
        <v>10569.0375</v>
      </c>
      <c r="AW132" s="22">
        <v>10585.375</v>
      </c>
      <c r="AX132" s="22">
        <v>10655.166666666701</v>
      </c>
      <c r="AY132" s="22">
        <v>10153.6240754273</v>
      </c>
      <c r="AZ132" s="22">
        <v>9602.7288182027296</v>
      </c>
      <c r="BA132" s="22">
        <v>8740.18140302543</v>
      </c>
      <c r="BB132" s="22">
        <v>8511.3511630569301</v>
      </c>
      <c r="BC132" s="22">
        <v>8254.1630297334304</v>
      </c>
      <c r="BD132" s="22">
        <v>8029.2625550618995</v>
      </c>
      <c r="BE132" s="22">
        <v>8006.5820318805299</v>
      </c>
      <c r="BF132" s="22">
        <v>7833.2299898296496</v>
      </c>
      <c r="BG132" s="22">
        <v>8042.42157002354</v>
      </c>
      <c r="BH132" s="22">
        <v>8127.6105984658598</v>
      </c>
      <c r="BI132" s="22">
        <v>8124.3667561622797</v>
      </c>
      <c r="BJ132" s="22">
        <v>8244.8431892101908</v>
      </c>
      <c r="BK132" s="22">
        <v>8401.3347661396601</v>
      </c>
      <c r="BL132" s="22">
        <v>8679.4090930967104</v>
      </c>
    </row>
    <row r="133" spans="1:64">
      <c r="A133" s="22" t="s">
        <v>10845</v>
      </c>
      <c r="B133" s="22" t="s">
        <v>11410</v>
      </c>
      <c r="C133" s="22" t="s">
        <v>11241</v>
      </c>
      <c r="D133" s="22" t="s">
        <v>11242</v>
      </c>
      <c r="E133" s="22">
        <v>3.169349999</v>
      </c>
      <c r="F133" s="22">
        <v>3.07861666566667</v>
      </c>
      <c r="G133" s="22">
        <v>3.0090416656666701</v>
      </c>
      <c r="H133" s="22">
        <v>3.09729166566667</v>
      </c>
      <c r="I133" s="22">
        <v>3.0736583323333302</v>
      </c>
      <c r="J133" s="22">
        <v>3.0718499989999999</v>
      </c>
      <c r="K133" s="22">
        <v>3.1307499989999998</v>
      </c>
      <c r="L133" s="22">
        <v>3.2045166656666701</v>
      </c>
      <c r="M133" s="22">
        <v>3.1568249989999999</v>
      </c>
      <c r="N133" s="22">
        <v>3.25458333233333</v>
      </c>
      <c r="O133" s="22">
        <v>3.2689833323333302</v>
      </c>
      <c r="P133" s="22">
        <v>3.2277333323333299</v>
      </c>
      <c r="Q133" s="22">
        <v>3.0507166656666702</v>
      </c>
      <c r="R133" s="22">
        <v>2.61039999908333</v>
      </c>
      <c r="S133" s="22">
        <v>2.32775833241667</v>
      </c>
      <c r="T133" s="22">
        <v>2.3019833324166701</v>
      </c>
      <c r="U133" s="22">
        <v>2.8715916659166698</v>
      </c>
      <c r="V133" s="22">
        <v>3.06895833233333</v>
      </c>
      <c r="W133" s="22">
        <v>2.955374999</v>
      </c>
      <c r="X133" s="22">
        <v>3.2427499989999999</v>
      </c>
      <c r="Y133" s="22">
        <v>3.4361083323333301</v>
      </c>
      <c r="Z133" s="22">
        <v>4.3138749990000003</v>
      </c>
      <c r="AA133" s="22">
        <v>4.74353333233333</v>
      </c>
      <c r="AB133" s="22">
        <v>4.5281666656666699</v>
      </c>
      <c r="AC133" s="22">
        <v>6.5110916662499996</v>
      </c>
      <c r="AD133" s="22">
        <v>16.417024999666701</v>
      </c>
      <c r="AE133" s="22">
        <v>38.3699166665833</v>
      </c>
      <c r="AF133" s="22">
        <v>224.59633333333301</v>
      </c>
      <c r="AG133" s="22">
        <v>409.23</v>
      </c>
      <c r="AH133" s="22">
        <v>496.68916666666701</v>
      </c>
      <c r="AI133" s="22">
        <v>695.08916666666698</v>
      </c>
      <c r="AJ133" s="22">
        <v>928.22749999999996</v>
      </c>
      <c r="AK133" s="22">
        <v>1712.7908333333301</v>
      </c>
      <c r="AL133" s="22">
        <v>1741.36333333333</v>
      </c>
      <c r="AM133" s="22">
        <v>1680.0733333333301</v>
      </c>
      <c r="AN133" s="22">
        <v>1621.41333333333</v>
      </c>
      <c r="AO133" s="22">
        <v>1571.4441666666701</v>
      </c>
      <c r="AP133" s="22">
        <v>1539.45</v>
      </c>
      <c r="AQ133" s="22">
        <v>1516.1316666666701</v>
      </c>
      <c r="AR133" s="22">
        <v>1507.5</v>
      </c>
      <c r="AS133" s="22">
        <v>1507.5</v>
      </c>
      <c r="AT133" s="22">
        <v>1507.5</v>
      </c>
      <c r="AU133" s="22">
        <v>1507.5</v>
      </c>
      <c r="AV133" s="22">
        <v>1507.5</v>
      </c>
      <c r="AW133" s="22">
        <v>1507.5</v>
      </c>
      <c r="AX133" s="22">
        <v>1507.5</v>
      </c>
      <c r="AY133" s="22">
        <v>1507.5</v>
      </c>
      <c r="AZ133" s="22">
        <v>1507.5</v>
      </c>
      <c r="BA133" s="22">
        <v>1507.5</v>
      </c>
      <c r="BB133" s="22">
        <v>1507.5</v>
      </c>
      <c r="BC133" s="22">
        <v>1507.5</v>
      </c>
      <c r="BD133" s="22">
        <v>1507.5</v>
      </c>
      <c r="BE133" s="22">
        <v>1507.5</v>
      </c>
      <c r="BF133" s="22">
        <v>1507.5</v>
      </c>
      <c r="BG133" s="22">
        <v>1507.5</v>
      </c>
      <c r="BH133" s="22">
        <v>1507.5</v>
      </c>
      <c r="BI133" s="22">
        <v>1507.5</v>
      </c>
      <c r="BJ133" s="22">
        <v>1507.5</v>
      </c>
      <c r="BK133" s="22">
        <v>1507.5</v>
      </c>
      <c r="BL133" s="22">
        <v>1507.5</v>
      </c>
    </row>
    <row r="134" spans="1:64">
      <c r="A134" s="22" t="s">
        <v>10849</v>
      </c>
      <c r="B134" s="22" t="s">
        <v>11411</v>
      </c>
      <c r="C134" s="22" t="s">
        <v>11241</v>
      </c>
      <c r="D134" s="22" t="s">
        <v>11242</v>
      </c>
      <c r="E134" s="22">
        <v>1</v>
      </c>
      <c r="F134" s="22">
        <v>1</v>
      </c>
      <c r="G134" s="22">
        <v>1</v>
      </c>
      <c r="H134" s="22">
        <v>1</v>
      </c>
      <c r="I134" s="22">
        <v>1</v>
      </c>
      <c r="J134" s="22">
        <v>1</v>
      </c>
      <c r="K134" s="22">
        <v>1</v>
      </c>
      <c r="L134" s="22">
        <v>1</v>
      </c>
      <c r="M134" s="22">
        <v>1</v>
      </c>
      <c r="N134" s="22">
        <v>1</v>
      </c>
      <c r="O134" s="22">
        <v>1</v>
      </c>
      <c r="P134" s="22">
        <v>0.99999999991666699</v>
      </c>
      <c r="Q134" s="22">
        <v>1</v>
      </c>
      <c r="R134" s="22">
        <v>0.99999999991666699</v>
      </c>
      <c r="S134" s="22">
        <v>23.7193640227995</v>
      </c>
      <c r="T134" s="22">
        <v>46.438728045599099</v>
      </c>
      <c r="U134" s="22">
        <v>46.438728045599099</v>
      </c>
      <c r="V134" s="22">
        <v>46.438728045599099</v>
      </c>
      <c r="W134" s="22">
        <v>46.438728045599099</v>
      </c>
      <c r="X134" s="22">
        <v>46.438728045599099</v>
      </c>
      <c r="Y134" s="22">
        <v>46.438728045599099</v>
      </c>
      <c r="Z134" s="22">
        <v>46.438728045599099</v>
      </c>
      <c r="AA134" s="22">
        <v>46.438728045599099</v>
      </c>
      <c r="AB134" s="22">
        <v>46.438728045599099</v>
      </c>
      <c r="AC134" s="22">
        <v>46.438728072688399</v>
      </c>
      <c r="AD134" s="22">
        <v>46.438728092037898</v>
      </c>
      <c r="AE134" s="22">
        <v>46.438728092037898</v>
      </c>
      <c r="AF134" s="22">
        <v>46.438728092037898</v>
      </c>
      <c r="AG134" s="22">
        <v>46.438728092037898</v>
      </c>
      <c r="AH134" s="22">
        <v>46.438728092037898</v>
      </c>
      <c r="AI134" s="22">
        <v>46.438728092037898</v>
      </c>
      <c r="AJ134" s="22">
        <v>46.438728092037898</v>
      </c>
      <c r="AK134" s="22">
        <v>46.438728092037898</v>
      </c>
      <c r="AL134" s="22">
        <v>46.438728092037898</v>
      </c>
      <c r="AM134" s="22">
        <v>46.438728092037898</v>
      </c>
      <c r="AN134" s="22">
        <v>49.838333333333303</v>
      </c>
      <c r="AO134" s="22">
        <v>46.837499999999999</v>
      </c>
      <c r="AP134" s="22">
        <v>50.57</v>
      </c>
      <c r="AQ134" s="22">
        <v>41.5075</v>
      </c>
      <c r="AR134" s="22">
        <v>41.902500000000003</v>
      </c>
      <c r="AS134" s="22">
        <v>40.902500000000003</v>
      </c>
      <c r="AT134" s="22">
        <v>48.591908993784003</v>
      </c>
      <c r="AU134" s="22">
        <v>61.754166666666698</v>
      </c>
      <c r="AV134" s="22">
        <v>59.378833333333297</v>
      </c>
      <c r="AW134" s="22">
        <v>54.905833333333298</v>
      </c>
      <c r="AX134" s="22">
        <v>57.095833333333303</v>
      </c>
      <c r="AY134" s="22">
        <v>58.0133333333333</v>
      </c>
      <c r="AZ134" s="22">
        <v>61.272222222222197</v>
      </c>
      <c r="BA134" s="22">
        <v>63.207500000000003</v>
      </c>
      <c r="BB134" s="22">
        <v>68.286666666666704</v>
      </c>
      <c r="BC134" s="22">
        <v>71.403333333333293</v>
      </c>
      <c r="BD134" s="22">
        <v>72.226666666666702</v>
      </c>
      <c r="BE134" s="22">
        <v>73.514772079772101</v>
      </c>
      <c r="BF134" s="22">
        <v>77.52</v>
      </c>
      <c r="BG134" s="22">
        <v>83.892499999999998</v>
      </c>
      <c r="BH134" s="22">
        <v>86.188366571699902</v>
      </c>
      <c r="BI134" s="22">
        <v>94.427243589743597</v>
      </c>
      <c r="BJ134" s="22">
        <v>112.706666666667</v>
      </c>
      <c r="BK134" s="22">
        <v>144.055575801282</v>
      </c>
      <c r="BL134" s="22">
        <v>186.42974455107199</v>
      </c>
    </row>
    <row r="135" spans="1:64">
      <c r="A135" s="22" t="s">
        <v>10851</v>
      </c>
      <c r="B135" s="22" t="s">
        <v>11412</v>
      </c>
      <c r="C135" s="22" t="s">
        <v>11241</v>
      </c>
      <c r="D135" s="22" t="s">
        <v>11242</v>
      </c>
      <c r="E135" s="22">
        <v>0.35714299900000002</v>
      </c>
      <c r="F135" s="22">
        <v>0.35714299900000002</v>
      </c>
      <c r="G135" s="22">
        <v>0.35714299900000002</v>
      </c>
      <c r="H135" s="22">
        <v>0.35714299900000002</v>
      </c>
      <c r="I135" s="22">
        <v>0.35714299900000002</v>
      </c>
      <c r="J135" s="22">
        <v>0.35714299900000002</v>
      </c>
      <c r="K135" s="22">
        <v>0.35714299900000002</v>
      </c>
      <c r="L135" s="22">
        <v>0.35714299900000002</v>
      </c>
      <c r="M135" s="22">
        <v>0.35714299900000002</v>
      </c>
      <c r="N135" s="22">
        <v>0.35714299900000002</v>
      </c>
      <c r="O135" s="22">
        <v>0.35714299900000002</v>
      </c>
      <c r="P135" s="22">
        <v>0.35632574900000002</v>
      </c>
      <c r="Q135" s="22">
        <v>0.32894699900000002</v>
      </c>
      <c r="R135" s="22">
        <v>0.30002599899999999</v>
      </c>
      <c r="S135" s="22">
        <v>0.29605099899999998</v>
      </c>
      <c r="T135" s="22">
        <v>0.29605099899999998</v>
      </c>
      <c r="U135" s="22">
        <v>0.29605099899999998</v>
      </c>
      <c r="V135" s="22">
        <v>0.29605099899999998</v>
      </c>
      <c r="W135" s="22">
        <v>0.29605099899999998</v>
      </c>
      <c r="X135" s="22">
        <v>0.29605099899999998</v>
      </c>
      <c r="Y135" s="22">
        <v>0.296050749</v>
      </c>
      <c r="Z135" s="22">
        <v>0.29605174899999998</v>
      </c>
      <c r="AA135" s="22">
        <v>0.29605299899999998</v>
      </c>
      <c r="AB135" s="22">
        <v>0.29605299908333299</v>
      </c>
      <c r="AC135" s="22">
        <v>0.29605299958333298</v>
      </c>
      <c r="AD135" s="22">
        <v>0.29605300000000001</v>
      </c>
      <c r="AE135" s="22">
        <v>0.31539580253923399</v>
      </c>
      <c r="AF135" s="22">
        <v>0.29702864435074999</v>
      </c>
      <c r="AG135" s="22">
        <v>0.285766198804</v>
      </c>
      <c r="AH135" s="22">
        <v>0.29960165611424999</v>
      </c>
      <c r="AI135" s="22">
        <v>0.28317718970299999</v>
      </c>
      <c r="AJ135" s="22">
        <v>0.28072831727850001</v>
      </c>
      <c r="AK135" s="22">
        <v>0.28155335412458299</v>
      </c>
      <c r="AL135" s="22">
        <v>0.30437021879031601</v>
      </c>
      <c r="AM135" s="22">
        <v>0.34836821013777403</v>
      </c>
      <c r="AN135" s="22">
        <v>0.41814493434980698</v>
      </c>
      <c r="AO135" s="22">
        <v>0.43679976921490199</v>
      </c>
      <c r="AP135" s="22">
        <v>0.46086611531154598</v>
      </c>
      <c r="AQ135" s="22">
        <v>0.46757443745260102</v>
      </c>
      <c r="AR135" s="22">
        <v>0.463810768619974</v>
      </c>
      <c r="AS135" s="22">
        <v>0.51218961330833301</v>
      </c>
      <c r="AT135" s="22">
        <v>0.60506425362333305</v>
      </c>
      <c r="AU135" s="22">
        <v>1.2706791739733301</v>
      </c>
      <c r="AV135" s="22">
        <v>1.29294412808415</v>
      </c>
      <c r="AW135" s="22">
        <v>1.3049661442676701</v>
      </c>
      <c r="AX135" s="22">
        <v>1.3083848239159199</v>
      </c>
      <c r="AY135" s="22">
        <v>1.3135716247906699</v>
      </c>
      <c r="AZ135" s="22">
        <v>1.26264486767833</v>
      </c>
      <c r="BA135" s="22">
        <v>1.2235623934186699</v>
      </c>
      <c r="BB135" s="22">
        <v>1.2535344886256801</v>
      </c>
      <c r="BC135" s="22">
        <v>1.26678941001316</v>
      </c>
      <c r="BD135" s="22">
        <v>1.2241524946034601</v>
      </c>
      <c r="BE135" s="22">
        <v>1.26165963821484</v>
      </c>
      <c r="BF135" s="22">
        <v>1.2716918211177399</v>
      </c>
      <c r="BG135" s="22">
        <v>1.27240206718888</v>
      </c>
      <c r="BH135" s="22">
        <v>1.38120985962103</v>
      </c>
      <c r="BI135" s="22">
        <v>1.39036867889833</v>
      </c>
      <c r="BJ135" s="22">
        <v>1.3938200108234999</v>
      </c>
      <c r="BK135" s="22">
        <v>1.36496666666667</v>
      </c>
      <c r="BL135" s="22">
        <v>1.3982628973692801</v>
      </c>
    </row>
    <row r="136" spans="1:64">
      <c r="A136" s="22" t="s">
        <v>11413</v>
      </c>
      <c r="B136" s="22" t="s">
        <v>11414</v>
      </c>
      <c r="C136" s="22" t="s">
        <v>11241</v>
      </c>
      <c r="D136" s="22" t="s">
        <v>11242</v>
      </c>
      <c r="E136" s="22">
        <v>1.7142900007142901</v>
      </c>
      <c r="F136" s="22">
        <v>1.7142900007142901</v>
      </c>
      <c r="G136" s="22">
        <v>1.7142900007142901</v>
      </c>
      <c r="H136" s="22">
        <v>1.7142900007142901</v>
      </c>
      <c r="I136" s="22">
        <v>1.7142900007142901</v>
      </c>
      <c r="J136" s="22">
        <v>1.7142900007142901</v>
      </c>
      <c r="K136" s="22">
        <v>1.7142900007142901</v>
      </c>
      <c r="L136" s="22">
        <v>1.7619083340952399</v>
      </c>
      <c r="M136" s="22">
        <v>2.0000000010000001</v>
      </c>
      <c r="N136" s="22">
        <v>2.0000000010000001</v>
      </c>
      <c r="O136" s="22">
        <v>2.0000000010000001</v>
      </c>
      <c r="P136" s="22">
        <v>1.97487273321145</v>
      </c>
      <c r="Q136" s="22">
        <v>1.9212781494760101</v>
      </c>
      <c r="R136" s="22">
        <v>1.9592192359816101</v>
      </c>
      <c r="S136" s="22">
        <v>2.0532324085176299</v>
      </c>
      <c r="T136" s="22">
        <v>2.16979583233333</v>
      </c>
      <c r="U136" s="22">
        <v>2.6146708328333301</v>
      </c>
      <c r="V136" s="22">
        <v>2.7</v>
      </c>
      <c r="W136" s="22">
        <v>2.7</v>
      </c>
      <c r="X136" s="22">
        <v>2.7</v>
      </c>
      <c r="Y136" s="22">
        <v>2.7</v>
      </c>
      <c r="Z136" s="22">
        <v>2.7</v>
      </c>
      <c r="AA136" s="22">
        <v>2.7</v>
      </c>
      <c r="AB136" s="22">
        <v>2.7</v>
      </c>
      <c r="AC136" s="22">
        <v>2.7</v>
      </c>
      <c r="AD136" s="22">
        <v>2.7</v>
      </c>
      <c r="AE136" s="22">
        <v>2.7</v>
      </c>
      <c r="AF136" s="22">
        <v>2.7</v>
      </c>
      <c r="AG136" s="22">
        <v>2.7</v>
      </c>
      <c r="AH136" s="22">
        <v>2.7</v>
      </c>
      <c r="AI136" s="22">
        <v>2.7</v>
      </c>
      <c r="AJ136" s="22">
        <v>2.7</v>
      </c>
      <c r="AK136" s="22">
        <v>2.7</v>
      </c>
      <c r="AL136" s="22">
        <v>2.7</v>
      </c>
      <c r="AM136" s="22">
        <v>2.7</v>
      </c>
      <c r="AN136" s="22">
        <v>2.7</v>
      </c>
      <c r="AO136" s="22">
        <v>2.7</v>
      </c>
      <c r="AP136" s="22">
        <v>2.7</v>
      </c>
      <c r="AQ136" s="22">
        <v>2.7</v>
      </c>
      <c r="AR136" s="22">
        <v>2.7</v>
      </c>
      <c r="AS136" s="22">
        <v>2.7</v>
      </c>
      <c r="AT136" s="22">
        <v>2.7</v>
      </c>
      <c r="AU136" s="22">
        <v>2.7</v>
      </c>
      <c r="AV136" s="22">
        <v>2.7</v>
      </c>
      <c r="AW136" s="22">
        <v>2.7</v>
      </c>
      <c r="AX136" s="22">
        <v>2.7</v>
      </c>
      <c r="AY136" s="22">
        <v>2.7</v>
      </c>
      <c r="AZ136" s="22">
        <v>2.7</v>
      </c>
      <c r="BA136" s="22">
        <v>2.7</v>
      </c>
      <c r="BB136" s="22">
        <v>2.7</v>
      </c>
      <c r="BC136" s="22">
        <v>2.7</v>
      </c>
      <c r="BD136" s="22">
        <v>2.7</v>
      </c>
      <c r="BE136" s="22">
        <v>2.7</v>
      </c>
      <c r="BF136" s="22">
        <v>2.7</v>
      </c>
      <c r="BG136" s="22">
        <v>2.7</v>
      </c>
      <c r="BH136" s="22">
        <v>2.7</v>
      </c>
      <c r="BI136" s="22">
        <v>2.7</v>
      </c>
      <c r="BJ136" s="22">
        <v>2.7</v>
      </c>
      <c r="BK136" s="22">
        <v>2.7</v>
      </c>
      <c r="BL136" s="22">
        <v>2.7</v>
      </c>
    </row>
    <row r="137" spans="1:64">
      <c r="A137" s="22" t="s">
        <v>11415</v>
      </c>
      <c r="B137" s="22" t="s">
        <v>11416</v>
      </c>
      <c r="C137" s="22" t="s">
        <v>11241</v>
      </c>
      <c r="D137" s="22" t="s">
        <v>11242</v>
      </c>
    </row>
    <row r="138" spans="1:64">
      <c r="A138" s="22" t="s">
        <v>11417</v>
      </c>
      <c r="B138" s="22" t="s">
        <v>11418</v>
      </c>
      <c r="C138" s="22" t="s">
        <v>11241</v>
      </c>
      <c r="D138" s="22" t="s">
        <v>11242</v>
      </c>
    </row>
    <row r="139" spans="1:64">
      <c r="A139" s="22" t="s">
        <v>11419</v>
      </c>
      <c r="B139" s="22" t="s">
        <v>11420</v>
      </c>
      <c r="C139" s="22" t="s">
        <v>11241</v>
      </c>
      <c r="D139" s="22" t="s">
        <v>11242</v>
      </c>
    </row>
    <row r="140" spans="1:64">
      <c r="A140" s="22" t="s">
        <v>10853</v>
      </c>
      <c r="B140" s="22" t="s">
        <v>11421</v>
      </c>
      <c r="C140" s="22" t="s">
        <v>11241</v>
      </c>
      <c r="D140" s="22" t="s">
        <v>11242</v>
      </c>
    </row>
    <row r="141" spans="1:64">
      <c r="A141" s="22" t="s">
        <v>10919</v>
      </c>
      <c r="B141" s="22" t="s">
        <v>11422</v>
      </c>
      <c r="C141" s="22" t="s">
        <v>11241</v>
      </c>
      <c r="D141" s="22" t="s">
        <v>11242</v>
      </c>
      <c r="E141" s="22">
        <v>4.7619000037618999</v>
      </c>
      <c r="F141" s="22">
        <v>4.7619000037618999</v>
      </c>
      <c r="G141" s="22">
        <v>4.7619000037618999</v>
      </c>
      <c r="H141" s="22">
        <v>4.7619000037618999</v>
      </c>
      <c r="I141" s="22">
        <v>4.7619000037618999</v>
      </c>
      <c r="J141" s="22">
        <v>4.7619000037618999</v>
      </c>
      <c r="K141" s="22">
        <v>4.7619000037618999</v>
      </c>
      <c r="L141" s="22">
        <v>4.8611058367976101</v>
      </c>
      <c r="M141" s="22">
        <v>5.9523700049523702</v>
      </c>
      <c r="N141" s="22">
        <v>5.9523700049523702</v>
      </c>
      <c r="O141" s="22">
        <v>5.9523700049523702</v>
      </c>
      <c r="P141" s="22">
        <v>5.9349486209637803</v>
      </c>
      <c r="Q141" s="22">
        <v>5.9703171818733498</v>
      </c>
      <c r="R141" s="22">
        <v>6.4024999989999998</v>
      </c>
      <c r="S141" s="22">
        <v>6.6507499990000003</v>
      </c>
      <c r="T141" s="22">
        <v>7.00716666566667</v>
      </c>
      <c r="U141" s="22">
        <v>8.4119999990833296</v>
      </c>
      <c r="V141" s="22">
        <v>8.8728333326666693</v>
      </c>
      <c r="W141" s="22">
        <v>15.610666665749999</v>
      </c>
      <c r="X141" s="22">
        <v>15.571833332583299</v>
      </c>
      <c r="Y141" s="22">
        <v>16.534416666166699</v>
      </c>
      <c r="Z141" s="22">
        <v>19.245749999166701</v>
      </c>
      <c r="AA141" s="22">
        <v>20.812249998999999</v>
      </c>
      <c r="AB141" s="22">
        <v>23.528583332416702</v>
      </c>
      <c r="AC141" s="22">
        <v>25.438166666083301</v>
      </c>
      <c r="AD141" s="22">
        <v>27.162583333000001</v>
      </c>
      <c r="AE141" s="22">
        <v>28.017333333250001</v>
      </c>
      <c r="AF141" s="22">
        <v>29.444749999999999</v>
      </c>
      <c r="AG141" s="22">
        <v>31.806750000000001</v>
      </c>
      <c r="AH141" s="22">
        <v>36.047083333333298</v>
      </c>
      <c r="AI141" s="22">
        <v>40.062916666666702</v>
      </c>
      <c r="AJ141" s="22">
        <v>41.371499999999997</v>
      </c>
      <c r="AK141" s="22">
        <v>43.829625</v>
      </c>
      <c r="AL141" s="22">
        <v>48.322167499999999</v>
      </c>
      <c r="AM141" s="22">
        <v>49.415141666666699</v>
      </c>
      <c r="AN141" s="22">
        <v>51.251589166666697</v>
      </c>
      <c r="AO141" s="22">
        <v>55.271444166666697</v>
      </c>
      <c r="AP141" s="22">
        <v>58.994605</v>
      </c>
      <c r="AQ141" s="22">
        <v>64.450118333333293</v>
      </c>
      <c r="AR141" s="22">
        <v>70.635450000000006</v>
      </c>
      <c r="AS141" s="22">
        <v>77.005116666666694</v>
      </c>
      <c r="AT141" s="22">
        <v>89.383013333333295</v>
      </c>
      <c r="AU141" s="22">
        <v>95.662064999999998</v>
      </c>
      <c r="AV141" s="22">
        <v>96.520950833333302</v>
      </c>
      <c r="AW141" s="22">
        <v>101.1944575</v>
      </c>
      <c r="AX141" s="22">
        <v>100.498051666667</v>
      </c>
      <c r="AY141" s="22">
        <v>103.914445833333</v>
      </c>
      <c r="AZ141" s="22">
        <v>110.623233333333</v>
      </c>
      <c r="BA141" s="22">
        <v>108.33376271929799</v>
      </c>
      <c r="BB141" s="22">
        <v>114.94478333333301</v>
      </c>
      <c r="BC141" s="22">
        <v>113.064480448821</v>
      </c>
      <c r="BD141" s="22">
        <v>110.565207851396</v>
      </c>
      <c r="BE141" s="22">
        <v>127.60335350681</v>
      </c>
      <c r="BF141" s="22">
        <v>129.06903093288801</v>
      </c>
      <c r="BG141" s="22">
        <v>130.564685218829</v>
      </c>
      <c r="BH141" s="22">
        <v>135.856912797089</v>
      </c>
      <c r="BI141" s="22">
        <v>145.58166749202601</v>
      </c>
      <c r="BJ141" s="22">
        <v>152.446413948767</v>
      </c>
      <c r="BK141" s="22">
        <v>162.46485873677801</v>
      </c>
      <c r="BL141" s="22">
        <v>178.74492504584799</v>
      </c>
    </row>
    <row r="142" spans="1:64">
      <c r="A142" s="22" t="s">
        <v>11423</v>
      </c>
      <c r="B142" s="22" t="s">
        <v>11424</v>
      </c>
      <c r="C142" s="22" t="s">
        <v>11241</v>
      </c>
      <c r="D142" s="22" t="s">
        <v>11242</v>
      </c>
    </row>
    <row r="143" spans="1:64">
      <c r="A143" s="22" t="s">
        <v>11425</v>
      </c>
      <c r="B143" s="22" t="s">
        <v>11426</v>
      </c>
      <c r="C143" s="22" t="s">
        <v>11241</v>
      </c>
      <c r="D143" s="22" t="s">
        <v>11242</v>
      </c>
    </row>
    <row r="144" spans="1:64">
      <c r="A144" s="22" t="s">
        <v>10847</v>
      </c>
      <c r="B144" s="22" t="s">
        <v>11427</v>
      </c>
      <c r="C144" s="22" t="s">
        <v>11241</v>
      </c>
      <c r="D144" s="22" t="s">
        <v>11242</v>
      </c>
      <c r="E144" s="22">
        <v>0.71428599971428597</v>
      </c>
      <c r="F144" s="22">
        <v>0.71428599971428597</v>
      </c>
      <c r="G144" s="22">
        <v>0.71428599971428597</v>
      </c>
      <c r="H144" s="22">
        <v>0.71428599971428597</v>
      </c>
      <c r="I144" s="22">
        <v>0.71428599971428597</v>
      </c>
      <c r="J144" s="22">
        <v>0.71428599971428597</v>
      </c>
      <c r="K144" s="22">
        <v>0.71428599971428597</v>
      </c>
      <c r="L144" s="22">
        <v>0.71428599971428597</v>
      </c>
      <c r="M144" s="22">
        <v>0.71428599971428597</v>
      </c>
      <c r="N144" s="22">
        <v>0.71428599971428597</v>
      </c>
      <c r="O144" s="22">
        <v>0.71428599971428597</v>
      </c>
      <c r="P144" s="22">
        <v>0.71521691632142903</v>
      </c>
      <c r="Q144" s="22">
        <v>0.76872523719602703</v>
      </c>
      <c r="R144" s="22">
        <v>0.69395909802109201</v>
      </c>
      <c r="S144" s="22">
        <v>0.67947700357025098</v>
      </c>
      <c r="T144" s="22">
        <v>0.73950775529633594</v>
      </c>
      <c r="U144" s="22">
        <v>0.86956521814744803</v>
      </c>
      <c r="V144" s="22">
        <v>0.86956521814744803</v>
      </c>
      <c r="W144" s="22">
        <v>0.86956521814744803</v>
      </c>
      <c r="X144" s="22">
        <v>0.84202260193494305</v>
      </c>
      <c r="Y144" s="22">
        <v>0.77883373727604099</v>
      </c>
      <c r="Z144" s="22">
        <v>0.87757894275815396</v>
      </c>
      <c r="AA144" s="22">
        <v>1.0858158330833301</v>
      </c>
      <c r="AB144" s="22">
        <v>1.1140999997500001</v>
      </c>
      <c r="AC144" s="22">
        <v>1.47527749975</v>
      </c>
      <c r="AD144" s="22">
        <v>2.2286749994166701</v>
      </c>
      <c r="AE144" s="22">
        <v>2.2850316664166699</v>
      </c>
      <c r="AF144" s="22">
        <v>2.03603333333333</v>
      </c>
      <c r="AG144" s="22">
        <v>2.2734675000000002</v>
      </c>
      <c r="AH144" s="22">
        <v>2.6226775</v>
      </c>
      <c r="AI144" s="22">
        <v>2.58732083333333</v>
      </c>
      <c r="AJ144" s="22">
        <v>2.7613150000000002</v>
      </c>
      <c r="AK144" s="22">
        <v>2.8520141666666698</v>
      </c>
      <c r="AL144" s="22">
        <v>3.2677415833333301</v>
      </c>
      <c r="AM144" s="22">
        <v>3.5507983333333302</v>
      </c>
      <c r="AN144" s="22">
        <v>3.6270850000000001</v>
      </c>
      <c r="AO144" s="22">
        <v>4.2993491666666701</v>
      </c>
      <c r="AP144" s="22">
        <v>4.6079616666666698</v>
      </c>
      <c r="AQ144" s="22">
        <v>5.52828416666667</v>
      </c>
      <c r="AR144" s="22">
        <v>6.1094841666666699</v>
      </c>
      <c r="AS144" s="22">
        <v>6.9398283333333302</v>
      </c>
      <c r="AT144" s="22">
        <v>8.6091808333333297</v>
      </c>
      <c r="AU144" s="22">
        <v>10.540746666666699</v>
      </c>
      <c r="AV144" s="22">
        <v>7.5647491666666697</v>
      </c>
      <c r="AW144" s="22">
        <v>6.4596925000000001</v>
      </c>
      <c r="AX144" s="22">
        <v>6.3593283333333304</v>
      </c>
      <c r="AY144" s="22">
        <v>6.7715491666666701</v>
      </c>
      <c r="AZ144" s="22">
        <v>7.0453650000000003</v>
      </c>
      <c r="BA144" s="22">
        <v>8.26122333333333</v>
      </c>
      <c r="BB144" s="22">
        <v>8.4736741582488797</v>
      </c>
      <c r="BC144" s="22">
        <v>7.3212219611528804</v>
      </c>
      <c r="BD144" s="22">
        <v>7.2611321323273499</v>
      </c>
      <c r="BE144" s="22">
        <v>8.2099686265933105</v>
      </c>
      <c r="BF144" s="22">
        <v>9.6550560691352594</v>
      </c>
      <c r="BG144" s="22">
        <v>10.852655568783099</v>
      </c>
      <c r="BH144" s="22">
        <v>12.7589308811644</v>
      </c>
      <c r="BI144" s="22">
        <v>14.7096108855267</v>
      </c>
      <c r="BJ144" s="22">
        <v>13.3238014244992</v>
      </c>
      <c r="BK144" s="22">
        <v>13.233926471583301</v>
      </c>
      <c r="BL144" s="22">
        <v>14.448427054833299</v>
      </c>
    </row>
    <row r="145" spans="1:64">
      <c r="A145" s="22" t="s">
        <v>11428</v>
      </c>
      <c r="B145" s="22" t="s">
        <v>11429</v>
      </c>
      <c r="C145" s="22" t="s">
        <v>11241</v>
      </c>
      <c r="D145" s="22" t="s">
        <v>11242</v>
      </c>
    </row>
    <row r="146" spans="1:64">
      <c r="A146" s="22" t="s">
        <v>10854</v>
      </c>
      <c r="B146" s="22" t="s">
        <v>11430</v>
      </c>
      <c r="C146" s="22" t="s">
        <v>11241</v>
      </c>
      <c r="D146" s="22" t="s">
        <v>11242</v>
      </c>
      <c r="AK146" s="22">
        <v>1.77275</v>
      </c>
      <c r="AL146" s="22">
        <v>4.3440633333333301</v>
      </c>
      <c r="AM146" s="22">
        <v>3.9777499999999999</v>
      </c>
      <c r="AN146" s="22">
        <v>4</v>
      </c>
      <c r="AO146" s="22">
        <v>4</v>
      </c>
      <c r="AP146" s="22">
        <v>4</v>
      </c>
      <c r="AQ146" s="22">
        <v>4</v>
      </c>
      <c r="AR146" s="22">
        <v>4</v>
      </c>
      <c r="AS146" s="22">
        <v>4</v>
      </c>
      <c r="AT146" s="22">
        <v>4</v>
      </c>
      <c r="AU146" s="22">
        <v>3.6769583333333302</v>
      </c>
      <c r="AV146" s="22">
        <v>3.0608666666666702</v>
      </c>
      <c r="AW146" s="22">
        <v>2.7805916666666701</v>
      </c>
      <c r="AX146" s="22">
        <v>2.774025</v>
      </c>
      <c r="AY146" s="22">
        <v>2.7522250000000001</v>
      </c>
      <c r="AZ146" s="22">
        <v>2.5237250000000002</v>
      </c>
      <c r="BA146" s="22">
        <v>2.357075</v>
      </c>
      <c r="BB146" s="22">
        <v>2.48403333333333</v>
      </c>
      <c r="BC146" s="22">
        <v>2.6063333333333301</v>
      </c>
      <c r="BD146" s="22">
        <v>2.4811000000000001</v>
      </c>
      <c r="BE146" s="22">
        <v>2.6862916666666701</v>
      </c>
      <c r="BF146" s="22">
        <v>2.60100833333333</v>
      </c>
      <c r="BG146" s="22">
        <v>2.6002916666666702</v>
      </c>
    </row>
    <row r="147" spans="1:64">
      <c r="A147" s="22" t="s">
        <v>10856</v>
      </c>
      <c r="B147" s="22" t="s">
        <v>11431</v>
      </c>
      <c r="C147" s="22" t="s">
        <v>11241</v>
      </c>
      <c r="D147" s="22" t="s">
        <v>11242</v>
      </c>
      <c r="E147" s="22">
        <v>50.000000049000001</v>
      </c>
      <c r="F147" s="22">
        <v>50.000000049000001</v>
      </c>
      <c r="G147" s="22">
        <v>50.000000049000001</v>
      </c>
      <c r="H147" s="22">
        <v>50.000000049000001</v>
      </c>
      <c r="I147" s="22">
        <v>50.000000049000001</v>
      </c>
      <c r="J147" s="22">
        <v>50.000000049000001</v>
      </c>
      <c r="K147" s="22">
        <v>50.000000049000001</v>
      </c>
      <c r="L147" s="22">
        <v>50.000000049000001</v>
      </c>
      <c r="M147" s="22">
        <v>50.000000049000001</v>
      </c>
      <c r="N147" s="22">
        <v>50.000000049000001</v>
      </c>
      <c r="O147" s="22">
        <v>50.000000049000001</v>
      </c>
      <c r="P147" s="22">
        <v>49.056977421689901</v>
      </c>
      <c r="Q147" s="22">
        <v>44.014583332333302</v>
      </c>
      <c r="R147" s="22">
        <v>38.976499998999998</v>
      </c>
      <c r="S147" s="22">
        <v>38.951499998999999</v>
      </c>
      <c r="T147" s="22">
        <v>36.778916665666699</v>
      </c>
      <c r="U147" s="22">
        <v>38.605166665666701</v>
      </c>
      <c r="V147" s="22">
        <v>35.842749998999999</v>
      </c>
      <c r="W147" s="22">
        <v>31.492083332333301</v>
      </c>
      <c r="X147" s="22">
        <v>29.318666665666701</v>
      </c>
      <c r="Y147" s="22">
        <v>29.24166666575</v>
      </c>
      <c r="Z147" s="22">
        <v>37.129249999166703</v>
      </c>
      <c r="AA147" s="22">
        <v>45.690583332333297</v>
      </c>
      <c r="AB147" s="22">
        <v>51.131666665833301</v>
      </c>
      <c r="AC147" s="22">
        <v>57.783916666416701</v>
      </c>
      <c r="AD147" s="22">
        <v>59.378</v>
      </c>
      <c r="AE147" s="22">
        <v>44.671916666666696</v>
      </c>
      <c r="AF147" s="22">
        <v>37.334083333333297</v>
      </c>
      <c r="AG147" s="22">
        <v>36.768333333333302</v>
      </c>
      <c r="AH147" s="22">
        <v>39.404000000000003</v>
      </c>
      <c r="AI147" s="22">
        <v>33.417916666666699</v>
      </c>
      <c r="AJ147" s="22">
        <v>34.148249999999997</v>
      </c>
      <c r="AK147" s="22">
        <v>32.149500000000003</v>
      </c>
      <c r="AL147" s="22">
        <v>34.596520833333301</v>
      </c>
      <c r="AM147" s="22">
        <v>33.456497499999998</v>
      </c>
      <c r="AN147" s="22">
        <v>29.4800166666667</v>
      </c>
      <c r="AO147" s="22">
        <v>30.961513333333301</v>
      </c>
      <c r="AP147" s="22">
        <v>35.773890833333297</v>
      </c>
      <c r="AQ147" s="22">
        <v>36.298640833333302</v>
      </c>
    </row>
    <row r="148" spans="1:64">
      <c r="A148" s="22" t="s">
        <v>10843</v>
      </c>
      <c r="B148" s="22" t="s">
        <v>11432</v>
      </c>
      <c r="C148" s="22" t="s">
        <v>11241</v>
      </c>
      <c r="D148" s="22" t="s">
        <v>11242</v>
      </c>
      <c r="AK148" s="22">
        <v>0.73646666666666605</v>
      </c>
      <c r="AL148" s="22">
        <v>0.67533333333333301</v>
      </c>
      <c r="AM148" s="22">
        <v>0.55974999999999997</v>
      </c>
      <c r="AN148" s="22">
        <v>0.52758333333333296</v>
      </c>
      <c r="AO148" s="22">
        <v>0.55074999999999996</v>
      </c>
      <c r="AP148" s="22">
        <v>0.58091666666666697</v>
      </c>
      <c r="AQ148" s="22">
        <v>0.58983333333333299</v>
      </c>
      <c r="AR148" s="22">
        <v>0.58516666666666695</v>
      </c>
      <c r="AS148" s="22">
        <v>0.60650000000000004</v>
      </c>
      <c r="AT148" s="22">
        <v>0.62791666666666701</v>
      </c>
      <c r="AU148" s="22">
        <v>0.61819166666666703</v>
      </c>
      <c r="AV148" s="22">
        <v>0.57147499999999996</v>
      </c>
      <c r="AW148" s="22">
        <v>0.54023333333333301</v>
      </c>
      <c r="AX148" s="22">
        <v>0.56471666666666698</v>
      </c>
      <c r="AY148" s="22">
        <v>0.56040833333333295</v>
      </c>
      <c r="AZ148" s="22">
        <v>0.51379166666666698</v>
      </c>
      <c r="BA148" s="22">
        <v>0.480816666666667</v>
      </c>
      <c r="BB148" s="22">
        <v>0.50555000000000005</v>
      </c>
      <c r="BC148" s="22">
        <v>0.53047500000000003</v>
      </c>
      <c r="BD148" s="22">
        <v>0.50123333333333298</v>
      </c>
      <c r="BE148" s="22">
        <v>0.546875</v>
      </c>
      <c r="BF148" s="22">
        <v>0.52939166666666704</v>
      </c>
    </row>
    <row r="149" spans="1:64">
      <c r="A149" s="22" t="s">
        <v>11433</v>
      </c>
      <c r="B149" s="22" t="s">
        <v>11434</v>
      </c>
      <c r="C149" s="22" t="s">
        <v>11241</v>
      </c>
      <c r="D149" s="22" t="s">
        <v>11242</v>
      </c>
      <c r="L149" s="22">
        <v>6.0757894730000004</v>
      </c>
      <c r="M149" s="22">
        <v>6.0715789468333297</v>
      </c>
      <c r="N149" s="22">
        <v>6.0361403504166704</v>
      </c>
      <c r="O149" s="22">
        <v>6.05140350825</v>
      </c>
      <c r="P149" s="22">
        <v>5.9473684206666704</v>
      </c>
      <c r="Q149" s="22">
        <v>5.7145614030000003</v>
      </c>
      <c r="R149" s="22">
        <v>4.9287547528333304</v>
      </c>
      <c r="S149" s="22">
        <v>5.0397640408333304</v>
      </c>
      <c r="T149" s="22">
        <v>5.1264373541666703</v>
      </c>
      <c r="U149" s="22">
        <v>6.0614489860000003</v>
      </c>
      <c r="V149" s="22">
        <v>5.5737853099999999</v>
      </c>
      <c r="W149" s="22">
        <v>5.02916666575</v>
      </c>
      <c r="X149" s="22">
        <v>5.1766666656666702</v>
      </c>
      <c r="Y149" s="22">
        <v>5.0949999990833303</v>
      </c>
      <c r="Z149" s="22">
        <v>5.75166666583333</v>
      </c>
      <c r="AA149" s="22">
        <v>6.2258333324999997</v>
      </c>
      <c r="AB149" s="22">
        <v>7.4641666659999997</v>
      </c>
      <c r="AC149" s="22">
        <v>8.0353499999999993</v>
      </c>
      <c r="AD149" s="22">
        <v>7.99884166666667</v>
      </c>
      <c r="AE149" s="22">
        <v>8.0131583333333296</v>
      </c>
      <c r="AF149" s="22">
        <v>8.0098083333333303</v>
      </c>
      <c r="AG149" s="22">
        <v>8.0405916666666695</v>
      </c>
      <c r="AH149" s="22">
        <v>8.0338833333333302</v>
      </c>
      <c r="AI149" s="22">
        <v>8.0209916666666707</v>
      </c>
      <c r="AJ149" s="22">
        <v>8.0042500000000008</v>
      </c>
      <c r="AK149" s="22">
        <v>7.9723416666666704</v>
      </c>
      <c r="AL149" s="22">
        <v>7.9675500000000001</v>
      </c>
      <c r="AM149" s="22">
        <v>7.9602833333333303</v>
      </c>
      <c r="AN149" s="22">
        <v>7.9677583333333297</v>
      </c>
      <c r="AO149" s="22">
        <v>7.9664000000000001</v>
      </c>
      <c r="AP149" s="22">
        <v>7.9752916666666698</v>
      </c>
      <c r="AQ149" s="22">
        <v>7.9787666666666697</v>
      </c>
      <c r="AR149" s="22">
        <v>7.9918500000000003</v>
      </c>
      <c r="AS149" s="22">
        <v>8.0259</v>
      </c>
      <c r="AT149" s="22">
        <v>8.0335000000000001</v>
      </c>
      <c r="AU149" s="22">
        <v>8.0334333333333294</v>
      </c>
      <c r="AV149" s="22">
        <v>8.0212411666666696</v>
      </c>
      <c r="AW149" s="22">
        <v>8.0221710833333297</v>
      </c>
      <c r="AX149" s="22">
        <v>8.0110645833333294</v>
      </c>
      <c r="AY149" s="22">
        <v>8.0014261666666702</v>
      </c>
      <c r="AZ149" s="22">
        <v>8.0358539166666692</v>
      </c>
      <c r="BA149" s="22">
        <v>8.0201099166666694</v>
      </c>
      <c r="BB149" s="22">
        <v>7.9842833333333303</v>
      </c>
      <c r="BC149" s="22">
        <v>8.0022166666666692</v>
      </c>
      <c r="BD149" s="22">
        <v>8.0182083333333303</v>
      </c>
      <c r="BE149" s="22">
        <v>7.9898635000000002</v>
      </c>
      <c r="BF149" s="22">
        <v>7.9892553333333298</v>
      </c>
      <c r="BG149" s="22">
        <v>7.9871290000000004</v>
      </c>
      <c r="BH149" s="22">
        <v>7.9849604166666701</v>
      </c>
      <c r="BI149" s="22">
        <v>7.9950642500000004</v>
      </c>
      <c r="BJ149" s="22">
        <v>8.0260010000000008</v>
      </c>
      <c r="BK149" s="22">
        <v>8.0725074166666708</v>
      </c>
      <c r="BL149" s="22">
        <v>8.0704703333333292</v>
      </c>
    </row>
    <row r="150" spans="1:64">
      <c r="A150" s="22" t="s">
        <v>11435</v>
      </c>
      <c r="B150" s="22" t="s">
        <v>11436</v>
      </c>
      <c r="C150" s="22" t="s">
        <v>11241</v>
      </c>
      <c r="D150" s="22" t="s">
        <v>11242</v>
      </c>
    </row>
    <row r="151" spans="1:64">
      <c r="A151" s="22" t="s">
        <v>10879</v>
      </c>
      <c r="B151" s="22" t="s">
        <v>11437</v>
      </c>
      <c r="C151" s="22" t="s">
        <v>11241</v>
      </c>
      <c r="D151" s="22" t="s">
        <v>11242</v>
      </c>
      <c r="E151" s="22">
        <v>5.0604900040604903</v>
      </c>
      <c r="F151" s="22">
        <v>5.0604900040604903</v>
      </c>
      <c r="G151" s="22">
        <v>5.0604900040604903</v>
      </c>
      <c r="H151" s="22">
        <v>5.0604900040604903</v>
      </c>
      <c r="I151" s="22">
        <v>5.0604900040604903</v>
      </c>
      <c r="J151" s="22">
        <v>5.0604900040604903</v>
      </c>
      <c r="K151" s="22">
        <v>5.0604900040604903</v>
      </c>
      <c r="L151" s="22">
        <v>5.0604900040604903</v>
      </c>
      <c r="M151" s="22">
        <v>5.0604900040604903</v>
      </c>
      <c r="N151" s="22">
        <v>5.0604900040604903</v>
      </c>
      <c r="O151" s="22">
        <v>5.0604900040604903</v>
      </c>
      <c r="P151" s="22">
        <v>5.04995885361157</v>
      </c>
      <c r="Q151" s="22">
        <v>4.5924803201409503</v>
      </c>
      <c r="R151" s="22">
        <v>4.1069208323333299</v>
      </c>
      <c r="S151" s="22">
        <v>4.3697666656666696</v>
      </c>
      <c r="T151" s="22">
        <v>4.0524874989999997</v>
      </c>
      <c r="U151" s="22">
        <v>4.4193124990000001</v>
      </c>
      <c r="V151" s="22">
        <v>4.5033458323333297</v>
      </c>
      <c r="W151" s="22">
        <v>4.1666708323333301</v>
      </c>
      <c r="X151" s="22">
        <v>3.8991341656666698</v>
      </c>
      <c r="Y151" s="22">
        <v>3.9366458323333302</v>
      </c>
      <c r="Z151" s="22">
        <v>5.1722958323333303</v>
      </c>
      <c r="AA151" s="22">
        <v>6.0230224989999996</v>
      </c>
      <c r="AB151" s="22">
        <v>7.1113233323333302</v>
      </c>
      <c r="AC151" s="22">
        <v>8.8105358327500003</v>
      </c>
      <c r="AD151" s="22">
        <v>10.0624941664167</v>
      </c>
      <c r="AE151" s="22">
        <v>9.1044416664166707</v>
      </c>
      <c r="AF151" s="22">
        <v>8.3592250000000003</v>
      </c>
      <c r="AG151" s="22">
        <v>8.2091499999999993</v>
      </c>
      <c r="AH151" s="22">
        <v>8.4881700000000002</v>
      </c>
      <c r="AI151" s="22">
        <v>8.24234166666667</v>
      </c>
      <c r="AJ151" s="22">
        <v>8.70655</v>
      </c>
      <c r="AK151" s="22">
        <v>8.5378749999999997</v>
      </c>
      <c r="AL151" s="22">
        <v>9.2987091666666704</v>
      </c>
      <c r="AM151" s="22">
        <v>9.2027149999999995</v>
      </c>
      <c r="AN151" s="22">
        <v>8.5402358333333304</v>
      </c>
      <c r="AO151" s="22">
        <v>8.7158758333333299</v>
      </c>
      <c r="AP151" s="22">
        <v>9.5271066666666702</v>
      </c>
      <c r="AQ151" s="22">
        <v>9.6044158333333307</v>
      </c>
      <c r="AR151" s="22">
        <v>9.8044191666666691</v>
      </c>
      <c r="AS151" s="22">
        <v>10.6256361666667</v>
      </c>
      <c r="AT151" s="22">
        <v>11.302975</v>
      </c>
      <c r="AU151" s="22">
        <v>11.020583333333301</v>
      </c>
      <c r="AV151" s="22">
        <v>9.5743833333333299</v>
      </c>
      <c r="AW151" s="22">
        <v>8.8680166666666693</v>
      </c>
      <c r="AX151" s="22">
        <v>8.8650083333333303</v>
      </c>
      <c r="AY151" s="22">
        <v>8.7955833333333295</v>
      </c>
      <c r="AZ151" s="22">
        <v>8.1923333333333304</v>
      </c>
      <c r="BA151" s="22">
        <v>7.7503250000000001</v>
      </c>
      <c r="BB151" s="22">
        <v>8.0571000000000002</v>
      </c>
      <c r="BC151" s="22">
        <v>8.4171583333333295</v>
      </c>
      <c r="BD151" s="22">
        <v>8.0898749999999993</v>
      </c>
      <c r="BE151" s="22">
        <v>8.6284445833333301</v>
      </c>
      <c r="BF151" s="22">
        <v>8.4055039167442995</v>
      </c>
      <c r="BG151" s="22">
        <v>8.4063366882615203</v>
      </c>
      <c r="BH151" s="22">
        <v>9.7643482795011103</v>
      </c>
      <c r="BI151" s="22">
        <v>9.8074760315024996</v>
      </c>
      <c r="BJ151" s="22">
        <v>9.6919978888288991</v>
      </c>
      <c r="BK151" s="22">
        <v>9.3861024209197197</v>
      </c>
      <c r="BL151" s="22">
        <v>9.6170760995074396</v>
      </c>
    </row>
    <row r="152" spans="1:64">
      <c r="A152" s="22" t="s">
        <v>10875</v>
      </c>
      <c r="B152" s="22" t="s">
        <v>11438</v>
      </c>
      <c r="C152" s="22" t="s">
        <v>11241</v>
      </c>
      <c r="D152" s="22" t="s">
        <v>11242</v>
      </c>
    </row>
    <row r="153" spans="1:64">
      <c r="A153" s="22" t="s">
        <v>11439</v>
      </c>
      <c r="B153" s="22" t="s">
        <v>11440</v>
      </c>
      <c r="C153" s="22" t="s">
        <v>11241</v>
      </c>
      <c r="D153" s="22" t="s">
        <v>11242</v>
      </c>
      <c r="AN153" s="22">
        <v>4.4958</v>
      </c>
      <c r="AO153" s="22">
        <v>4.6044833333333299</v>
      </c>
      <c r="AP153" s="22">
        <v>4.6235833333333298</v>
      </c>
      <c r="AQ153" s="22">
        <v>5.3707000000000003</v>
      </c>
      <c r="AR153" s="22">
        <v>10.5158083333333</v>
      </c>
      <c r="AS153" s="22">
        <v>12.4342166666667</v>
      </c>
      <c r="AT153" s="22">
        <v>12.8651416666667</v>
      </c>
      <c r="AU153" s="22">
        <v>13.5704975</v>
      </c>
      <c r="AV153" s="22">
        <v>13.9448833333333</v>
      </c>
      <c r="AW153" s="22">
        <v>12.3297166666667</v>
      </c>
      <c r="AX153" s="22">
        <v>12.599625</v>
      </c>
      <c r="AY153" s="22">
        <v>13.1310583333333</v>
      </c>
      <c r="AZ153" s="22">
        <v>12.1399449731183</v>
      </c>
      <c r="BA153" s="22">
        <v>10.3920436827957</v>
      </c>
      <c r="BB153" s="22">
        <v>11.1095754339478</v>
      </c>
      <c r="BC153" s="22">
        <v>12.369260961341499</v>
      </c>
      <c r="BD153" s="22">
        <v>11.7386124865591</v>
      </c>
      <c r="BE153" s="22">
        <v>12.1114368159066</v>
      </c>
      <c r="BF153" s="22">
        <v>12.5867562314388</v>
      </c>
      <c r="BG153" s="22">
        <v>14.035630049923199</v>
      </c>
      <c r="BH153" s="22">
        <v>18.818475145289302</v>
      </c>
      <c r="BI153" s="22">
        <v>19.923827563342002</v>
      </c>
      <c r="BJ153" s="22">
        <v>18.499034887352799</v>
      </c>
      <c r="BK153" s="22">
        <v>16.8020517223502</v>
      </c>
      <c r="BL153" s="22">
        <v>17.573468866487499</v>
      </c>
    </row>
    <row r="154" spans="1:64">
      <c r="A154" s="22" t="s">
        <v>10858</v>
      </c>
      <c r="B154" s="22" t="s">
        <v>11441</v>
      </c>
      <c r="C154" s="22" t="s">
        <v>11241</v>
      </c>
      <c r="D154" s="22" t="s">
        <v>11242</v>
      </c>
      <c r="E154" s="22">
        <v>49.370600049526097</v>
      </c>
      <c r="F154" s="22">
        <v>49.370600049526097</v>
      </c>
      <c r="G154" s="22">
        <v>49.370600049526097</v>
      </c>
      <c r="H154" s="22">
        <v>49.370600049526097</v>
      </c>
      <c r="I154" s="22">
        <v>49.370600049526097</v>
      </c>
      <c r="J154" s="22">
        <v>49.370600049526097</v>
      </c>
      <c r="K154" s="22">
        <v>49.370600049526097</v>
      </c>
      <c r="L154" s="22">
        <v>49.370600049526097</v>
      </c>
      <c r="M154" s="22">
        <v>49.370600049526097</v>
      </c>
      <c r="N154" s="22">
        <v>51.941975052032703</v>
      </c>
      <c r="O154" s="22">
        <v>55.541900055541902</v>
      </c>
      <c r="P154" s="22">
        <v>55.426325050080102</v>
      </c>
      <c r="Q154" s="22">
        <v>50.405333331666696</v>
      </c>
      <c r="R154" s="22">
        <v>44.577666666666701</v>
      </c>
      <c r="S154" s="22">
        <v>48.140749999999997</v>
      </c>
      <c r="T154" s="22">
        <v>42.862416663333299</v>
      </c>
      <c r="U154" s="22">
        <v>47.789916663333301</v>
      </c>
      <c r="V154" s="22">
        <v>49.135749992500003</v>
      </c>
      <c r="W154" s="22">
        <v>45.130999993333297</v>
      </c>
      <c r="X154" s="22">
        <v>42.544166660833298</v>
      </c>
      <c r="Y154" s="22">
        <v>42.255749990833301</v>
      </c>
      <c r="Z154" s="22">
        <v>54.346083325833298</v>
      </c>
      <c r="AA154" s="22">
        <v>69.947166664166701</v>
      </c>
      <c r="AB154" s="22">
        <v>86.089833333333303</v>
      </c>
      <c r="AC154" s="22">
        <v>115.32850000000001</v>
      </c>
      <c r="AD154" s="22">
        <v>132.49549999999999</v>
      </c>
      <c r="AE154" s="22">
        <v>135.26816666666701</v>
      </c>
      <c r="AF154" s="22">
        <v>213.84266666666699</v>
      </c>
      <c r="AG154" s="22">
        <v>281.421333333333</v>
      </c>
      <c r="AH154" s="22">
        <v>320.6875</v>
      </c>
      <c r="AI154" s="22">
        <v>298.82933333333301</v>
      </c>
      <c r="AJ154" s="22">
        <v>367.072</v>
      </c>
      <c r="AK154" s="22">
        <v>372.79333333333301</v>
      </c>
      <c r="AL154" s="22">
        <v>382.75650000000002</v>
      </c>
      <c r="AM154" s="22">
        <v>613.46716666666703</v>
      </c>
      <c r="AN154" s="22">
        <v>853.12633333333304</v>
      </c>
      <c r="AO154" s="22">
        <v>812.25033333333295</v>
      </c>
      <c r="AP154" s="22">
        <v>1018.17716666667</v>
      </c>
      <c r="AQ154" s="22">
        <v>1088.27966666667</v>
      </c>
      <c r="AR154" s="22">
        <v>1256.7550000000001</v>
      </c>
      <c r="AS154" s="22">
        <v>1353.49616666667</v>
      </c>
      <c r="AT154" s="22">
        <v>1317.69883333333</v>
      </c>
      <c r="AU154" s="22">
        <v>1366.39116666667</v>
      </c>
      <c r="AV154" s="22">
        <v>1238.32766666667</v>
      </c>
      <c r="AW154" s="22">
        <v>1868.8578333333301</v>
      </c>
      <c r="AX154" s="22">
        <v>2003.02583333333</v>
      </c>
      <c r="AY154" s="22">
        <v>2142.3016666666699</v>
      </c>
      <c r="AZ154" s="22">
        <v>1873.87666666667</v>
      </c>
      <c r="BA154" s="22">
        <v>1708.37083333333</v>
      </c>
      <c r="BB154" s="22">
        <v>1956.20583333333</v>
      </c>
      <c r="BC154" s="22">
        <v>2089.9499999999998</v>
      </c>
      <c r="BD154" s="22">
        <v>2025.1175000000001</v>
      </c>
      <c r="BE154" s="22">
        <v>2194.9666666666699</v>
      </c>
      <c r="BF154" s="22">
        <v>2206.9141666666701</v>
      </c>
      <c r="BG154" s="22">
        <v>2414.8116666666701</v>
      </c>
      <c r="BH154" s="22">
        <v>2933.50833333333</v>
      </c>
      <c r="BI154" s="22">
        <v>3176.5391666666701</v>
      </c>
      <c r="BJ154" s="22">
        <v>3116.11</v>
      </c>
      <c r="BK154" s="22">
        <v>3334.75225490196</v>
      </c>
      <c r="BL154" s="22">
        <v>3618.3218581607198</v>
      </c>
    </row>
    <row r="155" spans="1:64">
      <c r="A155" s="22" t="s">
        <v>10863</v>
      </c>
      <c r="B155" s="22" t="s">
        <v>11442</v>
      </c>
      <c r="C155" s="22" t="s">
        <v>11241</v>
      </c>
      <c r="D155" s="22" t="s">
        <v>11242</v>
      </c>
      <c r="E155" s="22">
        <v>4.7619000037618999</v>
      </c>
      <c r="F155" s="22">
        <v>4.7619000037618999</v>
      </c>
      <c r="G155" s="22">
        <v>4.7619000037618999</v>
      </c>
      <c r="H155" s="22">
        <v>4.7619000037618999</v>
      </c>
      <c r="I155" s="22">
        <v>4.7619000037618999</v>
      </c>
      <c r="J155" s="22">
        <v>4.7619000037618999</v>
      </c>
      <c r="K155" s="22">
        <v>4.7619000037618999</v>
      </c>
      <c r="L155" s="22">
        <v>4.7609083363015801</v>
      </c>
      <c r="M155" s="22">
        <v>4.7499999989999999</v>
      </c>
      <c r="N155" s="22">
        <v>4.7499999989999999</v>
      </c>
      <c r="O155" s="22">
        <v>4.7499999989999999</v>
      </c>
      <c r="P155" s="22">
        <v>4.7344166656666697</v>
      </c>
      <c r="Q155" s="22">
        <v>4.3749999989999999</v>
      </c>
      <c r="R155" s="22">
        <v>3.9856666656666699</v>
      </c>
      <c r="S155" s="22">
        <v>3.9299999990000001</v>
      </c>
      <c r="T155" s="22">
        <v>5.7648333323333301</v>
      </c>
      <c r="U155" s="22">
        <v>8.3646666663333296</v>
      </c>
      <c r="V155" s="22">
        <v>8.7667499995</v>
      </c>
      <c r="W155" s="22">
        <v>8.9687499994166693</v>
      </c>
      <c r="X155" s="22">
        <v>7.48858333233333</v>
      </c>
      <c r="Y155" s="22">
        <v>7.5499999989999997</v>
      </c>
      <c r="Z155" s="22">
        <v>7.5499999989999997</v>
      </c>
      <c r="AA155" s="22">
        <v>7.1736666656666701</v>
      </c>
      <c r="AB155" s="22">
        <v>7.0499999989999997</v>
      </c>
      <c r="AC155" s="22">
        <v>7.0499999995833296</v>
      </c>
      <c r="AD155" s="22">
        <v>7.0980833333333297</v>
      </c>
      <c r="AE155" s="22">
        <v>7.1507333333333296</v>
      </c>
      <c r="AF155" s="22">
        <v>9.2230000000000008</v>
      </c>
      <c r="AG155" s="22">
        <v>8.7845833333333303</v>
      </c>
      <c r="AH155" s="22">
        <v>9.0408333333333406</v>
      </c>
      <c r="AI155" s="22">
        <v>9.5517416666666701</v>
      </c>
      <c r="AJ155" s="22">
        <v>10.2526666666667</v>
      </c>
      <c r="AK155" s="22">
        <v>10.5691666666667</v>
      </c>
      <c r="AL155" s="22">
        <v>10.956991666666701</v>
      </c>
      <c r="AM155" s="22">
        <v>11.585750000000001</v>
      </c>
      <c r="AN155" s="22">
        <v>11.77</v>
      </c>
      <c r="AO155" s="22">
        <v>11.77</v>
      </c>
      <c r="AP155" s="22">
        <v>11.77</v>
      </c>
      <c r="AQ155" s="22">
        <v>11.77</v>
      </c>
      <c r="AR155" s="22">
        <v>11.77</v>
      </c>
      <c r="AS155" s="22">
        <v>11.77</v>
      </c>
      <c r="AT155" s="22">
        <v>12.2420833333333</v>
      </c>
      <c r="AU155" s="22">
        <v>12.8</v>
      </c>
      <c r="AV155" s="22">
        <v>12.8</v>
      </c>
      <c r="AW155" s="22">
        <v>12.8</v>
      </c>
      <c r="AX155" s="22">
        <v>12.8</v>
      </c>
      <c r="AY155" s="22">
        <v>12.8</v>
      </c>
      <c r="AZ155" s="22">
        <v>12.8</v>
      </c>
      <c r="BA155" s="22">
        <v>12.8</v>
      </c>
      <c r="BB155" s="22">
        <v>12.8</v>
      </c>
      <c r="BC155" s="22">
        <v>12.8</v>
      </c>
      <c r="BD155" s="22">
        <v>14.6020084036964</v>
      </c>
      <c r="BE155" s="22">
        <v>15.364835316359599</v>
      </c>
      <c r="BF155" s="22">
        <v>15.3667100302841</v>
      </c>
      <c r="BG155" s="22">
        <v>15.380393518089299</v>
      </c>
      <c r="BH155" s="22">
        <v>15.3663312211982</v>
      </c>
      <c r="BI155" s="22">
        <v>15.3684076818158</v>
      </c>
      <c r="BJ155" s="22">
        <v>15.386968509984699</v>
      </c>
      <c r="BK155" s="22">
        <v>15.390837269585299</v>
      </c>
      <c r="BL155" s="22">
        <v>15.382041922683101</v>
      </c>
    </row>
    <row r="156" spans="1:64">
      <c r="A156" s="22" t="s">
        <v>11443</v>
      </c>
      <c r="B156" s="22" t="s">
        <v>11444</v>
      </c>
      <c r="C156" s="22" t="s">
        <v>11241</v>
      </c>
      <c r="D156" s="22" t="s">
        <v>11242</v>
      </c>
    </row>
    <row r="157" spans="1:64">
      <c r="A157" s="22" t="s">
        <v>1740</v>
      </c>
      <c r="B157" s="22" t="s">
        <v>11445</v>
      </c>
      <c r="C157" s="22" t="s">
        <v>11241</v>
      </c>
      <c r="D157" s="22" t="s">
        <v>11242</v>
      </c>
      <c r="E157" s="22">
        <v>1.25000000125E-2</v>
      </c>
      <c r="F157" s="22">
        <v>1.25000000125E-2</v>
      </c>
      <c r="G157" s="22">
        <v>1.25000000125E-2</v>
      </c>
      <c r="H157" s="22">
        <v>1.25000000125E-2</v>
      </c>
      <c r="I157" s="22">
        <v>1.25000000125E-2</v>
      </c>
      <c r="J157" s="22">
        <v>1.25000000125E-2</v>
      </c>
      <c r="K157" s="22">
        <v>1.25000000125E-2</v>
      </c>
      <c r="L157" s="22">
        <v>1.25000000125E-2</v>
      </c>
      <c r="M157" s="22">
        <v>1.25000000125E-2</v>
      </c>
      <c r="N157" s="22">
        <v>1.25000000125E-2</v>
      </c>
      <c r="O157" s="22">
        <v>1.25000000125E-2</v>
      </c>
      <c r="P157" s="22">
        <v>1.25000000114583E-2</v>
      </c>
      <c r="Q157" s="22">
        <v>1.2500023037919901E-2</v>
      </c>
      <c r="R157" s="22">
        <v>1.24999519112712E-2</v>
      </c>
      <c r="S157" s="22">
        <v>1.24999689192606E-2</v>
      </c>
      <c r="T157" s="22">
        <v>1.2500000000000001E-2</v>
      </c>
      <c r="U157" s="22">
        <v>1.54258499996667E-2</v>
      </c>
      <c r="V157" s="22">
        <v>2.2572866665750001E-2</v>
      </c>
      <c r="W157" s="22">
        <v>2.2767283332333299E-2</v>
      </c>
      <c r="X157" s="22">
        <v>2.2805383332333298E-2</v>
      </c>
      <c r="Y157" s="22">
        <v>2.2951008332333302E-2</v>
      </c>
      <c r="Z157" s="22">
        <v>2.45145999990833E-2</v>
      </c>
      <c r="AA157" s="22">
        <v>5.6401699999250002E-2</v>
      </c>
      <c r="AB157" s="22">
        <v>0.1200935833325</v>
      </c>
      <c r="AC157" s="22">
        <v>0.16782758333266701</v>
      </c>
      <c r="AD157" s="22">
        <v>0.25687158333316701</v>
      </c>
      <c r="AE157" s="22">
        <v>0.611772583333</v>
      </c>
      <c r="AF157" s="22">
        <v>1.3781825000000001</v>
      </c>
      <c r="AG157" s="22">
        <v>2.2731050000000002</v>
      </c>
      <c r="AH157" s="22">
        <v>2.4614725000000002</v>
      </c>
      <c r="AI157" s="22">
        <v>2.8125991666666699</v>
      </c>
      <c r="AJ157" s="22">
        <v>3.0184299999999999</v>
      </c>
      <c r="AK157" s="22">
        <v>3.09489833333333</v>
      </c>
      <c r="AL157" s="22">
        <v>3.11561666666667</v>
      </c>
      <c r="AM157" s="22">
        <v>3.3751166666666701</v>
      </c>
      <c r="AN157" s="22">
        <v>6.4194250000000004</v>
      </c>
      <c r="AO157" s="22">
        <v>7.5994484166666698</v>
      </c>
      <c r="AP157" s="22">
        <v>7.9184599999999996</v>
      </c>
      <c r="AQ157" s="22">
        <v>9.1360417500000004</v>
      </c>
      <c r="AR157" s="22">
        <v>9.5603975000000005</v>
      </c>
      <c r="AS157" s="22">
        <v>9.4555583333333306</v>
      </c>
      <c r="AT157" s="22">
        <v>9.3423416666666697</v>
      </c>
      <c r="AU157" s="22">
        <v>9.6559583333333308</v>
      </c>
      <c r="AV157" s="22">
        <v>10.7890191666667</v>
      </c>
      <c r="AW157" s="22">
        <v>11.285966666666701</v>
      </c>
      <c r="AX157" s="22">
        <v>10.8978916666667</v>
      </c>
      <c r="AY157" s="22">
        <v>10.8992416666667</v>
      </c>
      <c r="AZ157" s="22">
        <v>10.9281916666667</v>
      </c>
      <c r="BA157" s="22">
        <v>11.129716666666701</v>
      </c>
      <c r="BB157" s="22">
        <v>13.513475</v>
      </c>
      <c r="BC157" s="22">
        <v>12.636008333333301</v>
      </c>
      <c r="BD157" s="22">
        <v>12.423325</v>
      </c>
      <c r="BE157" s="22">
        <v>13.169458333333299</v>
      </c>
      <c r="BF157" s="22">
        <v>12.7719916666667</v>
      </c>
      <c r="BG157" s="22">
        <v>13.292450000000001</v>
      </c>
      <c r="BH157" s="22">
        <v>15.848266666666699</v>
      </c>
      <c r="BI157" s="22">
        <v>18.664058333333301</v>
      </c>
      <c r="BJ157" s="22">
        <v>18.9265166666667</v>
      </c>
      <c r="BK157" s="22">
        <v>19.244341666666699</v>
      </c>
      <c r="BL157" s="22">
        <v>19.263633333333299</v>
      </c>
    </row>
    <row r="158" spans="1:64">
      <c r="A158" s="22" t="s">
        <v>10867</v>
      </c>
      <c r="B158" s="22" t="s">
        <v>11446</v>
      </c>
      <c r="C158" s="22" t="s">
        <v>11241</v>
      </c>
      <c r="D158" s="22" t="s">
        <v>11242</v>
      </c>
    </row>
    <row r="159" spans="1:64">
      <c r="A159" s="22" t="s">
        <v>11447</v>
      </c>
      <c r="B159" s="22" t="s">
        <v>11448</v>
      </c>
      <c r="C159" s="22" t="s">
        <v>11241</v>
      </c>
      <c r="D159" s="22" t="s">
        <v>11242</v>
      </c>
    </row>
    <row r="160" spans="1:64">
      <c r="A160" s="22" t="s">
        <v>10888</v>
      </c>
      <c r="B160" s="22" t="s">
        <v>11449</v>
      </c>
      <c r="C160" s="22" t="s">
        <v>11241</v>
      </c>
      <c r="D160" s="22" t="s">
        <v>11242</v>
      </c>
      <c r="AM160" s="22">
        <v>43.263183333333302</v>
      </c>
      <c r="AN160" s="22">
        <v>37.881758333333302</v>
      </c>
      <c r="AO160" s="22">
        <v>39.981074999999997</v>
      </c>
      <c r="AP160" s="22">
        <v>50.003549999999997</v>
      </c>
      <c r="AQ160" s="22">
        <v>54.461733333333299</v>
      </c>
      <c r="AR160" s="22">
        <v>56.901828333333299</v>
      </c>
      <c r="AS160" s="22">
        <v>65.903866666666701</v>
      </c>
      <c r="AT160" s="22">
        <v>68.037133333333301</v>
      </c>
      <c r="AU160" s="22">
        <v>64.349791666666704</v>
      </c>
      <c r="AV160" s="22">
        <v>54.322258333333302</v>
      </c>
      <c r="AW160" s="22">
        <v>49.409933333333299</v>
      </c>
      <c r="AX160" s="22">
        <v>49.2836833333333</v>
      </c>
      <c r="AY160" s="22">
        <v>48.801766666666701</v>
      </c>
      <c r="AZ160" s="22">
        <v>44.7298166666667</v>
      </c>
      <c r="BA160" s="22">
        <v>41.867683333333297</v>
      </c>
      <c r="BB160" s="22">
        <v>44.100574999999999</v>
      </c>
      <c r="BC160" s="22">
        <v>46.4853916666667</v>
      </c>
      <c r="BD160" s="22">
        <v>44.230825000000003</v>
      </c>
      <c r="BE160" s="22">
        <v>47.890250000000002</v>
      </c>
      <c r="BF160" s="22">
        <v>46.395341666666702</v>
      </c>
      <c r="BG160" s="22">
        <v>46.437130833333299</v>
      </c>
      <c r="BH160" s="22">
        <v>55.537075000000002</v>
      </c>
      <c r="BI160" s="22">
        <v>55.731724999999997</v>
      </c>
      <c r="BJ160" s="22">
        <v>54.665458333333298</v>
      </c>
      <c r="BK160" s="22">
        <v>52.107108333333301</v>
      </c>
      <c r="BL160" s="22">
        <v>54.947200000000002</v>
      </c>
    </row>
    <row r="161" spans="1:64">
      <c r="A161" s="22" t="s">
        <v>10098</v>
      </c>
      <c r="B161" s="22" t="s">
        <v>11450</v>
      </c>
      <c r="C161" s="22" t="s">
        <v>11241</v>
      </c>
      <c r="D161" s="22" t="s">
        <v>11242</v>
      </c>
      <c r="E161" s="22">
        <v>245.19510139835899</v>
      </c>
      <c r="F161" s="22">
        <v>245.26010162116</v>
      </c>
      <c r="G161" s="22">
        <v>245.013850686544</v>
      </c>
      <c r="H161" s="22">
        <v>245.01635069607499</v>
      </c>
      <c r="I161" s="22">
        <v>245.027184079042</v>
      </c>
      <c r="J161" s="22">
        <v>245.06093420770799</v>
      </c>
      <c r="K161" s="22">
        <v>245.67843655764401</v>
      </c>
      <c r="L161" s="22">
        <v>246.00093779128099</v>
      </c>
      <c r="M161" s="22">
        <v>247.56469375695099</v>
      </c>
      <c r="N161" s="22">
        <v>259.960574351236</v>
      </c>
      <c r="O161" s="22">
        <v>276.403137026845</v>
      </c>
      <c r="P161" s="22">
        <v>275.35645668533198</v>
      </c>
      <c r="Q161" s="22">
        <v>252.02762746264901</v>
      </c>
      <c r="R161" s="22">
        <v>222.88918305322699</v>
      </c>
      <c r="S161" s="22">
        <v>240.70466763782301</v>
      </c>
      <c r="T161" s="22">
        <v>214.31290034121901</v>
      </c>
      <c r="U161" s="22">
        <v>238.95049426705901</v>
      </c>
      <c r="V161" s="22">
        <v>245.67968656657601</v>
      </c>
      <c r="W161" s="22">
        <v>225.65586023395699</v>
      </c>
      <c r="X161" s="22">
        <v>212.721644262377</v>
      </c>
      <c r="Y161" s="22">
        <v>211.27955541470499</v>
      </c>
      <c r="Z161" s="22">
        <v>271.73145255032699</v>
      </c>
      <c r="AA161" s="22">
        <v>328.60625269898998</v>
      </c>
      <c r="AB161" s="22">
        <v>381.06603602462798</v>
      </c>
      <c r="AC161" s="22">
        <v>436.95666578800802</v>
      </c>
      <c r="AD161" s="22">
        <v>449.26296271160697</v>
      </c>
      <c r="AE161" s="22">
        <v>346.305903554493</v>
      </c>
      <c r="AF161" s="22">
        <v>300.53656240147802</v>
      </c>
      <c r="AG161" s="22">
        <v>297.84821881937802</v>
      </c>
      <c r="AH161" s="22">
        <v>319.008299487903</v>
      </c>
      <c r="AI161" s="22">
        <v>272.264787954393</v>
      </c>
      <c r="AJ161" s="22">
        <v>282.10690880881998</v>
      </c>
      <c r="AK161" s="22">
        <v>264.69180075057898</v>
      </c>
      <c r="AL161" s="22">
        <v>283.16257950001801</v>
      </c>
      <c r="AM161" s="22">
        <v>555.20469565569704</v>
      </c>
      <c r="AN161" s="22">
        <v>499.14842590131002</v>
      </c>
      <c r="AO161" s="22">
        <v>511.55243027251601</v>
      </c>
      <c r="AP161" s="22">
        <v>583.66937235339606</v>
      </c>
      <c r="AQ161" s="22">
        <v>589.951774567332</v>
      </c>
      <c r="AR161" s="22">
        <v>615.47334931916396</v>
      </c>
      <c r="AS161" s="22">
        <v>710.20797703136702</v>
      </c>
      <c r="AT161" s="22">
        <v>732.39769326022804</v>
      </c>
      <c r="AU161" s="22">
        <v>693.71322649637398</v>
      </c>
      <c r="AV161" s="22">
        <v>579.897426172466</v>
      </c>
      <c r="AW161" s="22">
        <v>527.33803229157604</v>
      </c>
      <c r="AX161" s="22">
        <v>527.25836264962595</v>
      </c>
      <c r="AY161" s="22">
        <v>522.42562489517604</v>
      </c>
      <c r="AZ161" s="22">
        <v>478.63371847636301</v>
      </c>
      <c r="BA161" s="22">
        <v>446.00004143278801</v>
      </c>
      <c r="BB161" s="22">
        <v>470.29342334139801</v>
      </c>
      <c r="BC161" s="22">
        <v>494.794262222947</v>
      </c>
      <c r="BD161" s="22">
        <v>471.24862571893698</v>
      </c>
      <c r="BE161" s="22">
        <v>510.55633845425098</v>
      </c>
      <c r="BF161" s="22">
        <v>493.89962385223703</v>
      </c>
      <c r="BG161" s="22">
        <v>493.757329875312</v>
      </c>
      <c r="BH161" s="22">
        <v>591.21169798260996</v>
      </c>
      <c r="BI161" s="22">
        <v>592.60561506302201</v>
      </c>
      <c r="BJ161" s="22">
        <v>580.65674958785803</v>
      </c>
      <c r="BK161" s="22">
        <v>555.44645839822601</v>
      </c>
      <c r="BL161" s="22">
        <v>585.91101318036897</v>
      </c>
    </row>
    <row r="162" spans="1:64">
      <c r="A162" s="22" t="s">
        <v>10866</v>
      </c>
      <c r="B162" s="22" t="s">
        <v>11451</v>
      </c>
      <c r="C162" s="22" t="s">
        <v>11241</v>
      </c>
      <c r="D162" s="22" t="s">
        <v>11242</v>
      </c>
      <c r="E162" s="22">
        <v>0.357142999357143</v>
      </c>
      <c r="F162" s="22">
        <v>0.357142999357143</v>
      </c>
      <c r="G162" s="22">
        <v>0.357142999357143</v>
      </c>
      <c r="H162" s="22">
        <v>0.357142999357143</v>
      </c>
      <c r="I162" s="22">
        <v>0.357142999357143</v>
      </c>
      <c r="J162" s="22">
        <v>0.357142999357143</v>
      </c>
      <c r="K162" s="22">
        <v>0.357142999357143</v>
      </c>
      <c r="L162" s="22">
        <v>0.36210333266567502</v>
      </c>
      <c r="M162" s="22">
        <v>0.41666699941666702</v>
      </c>
      <c r="N162" s="22">
        <v>0.41666699941666702</v>
      </c>
      <c r="O162" s="22">
        <v>0.41666699941666702</v>
      </c>
      <c r="P162" s="22">
        <v>0.40710752594094302</v>
      </c>
      <c r="Q162" s="22">
        <v>0.38157666566666698</v>
      </c>
      <c r="R162" s="22">
        <v>0.36879666566666702</v>
      </c>
      <c r="S162" s="22">
        <v>0.38548166566666697</v>
      </c>
      <c r="T162" s="22">
        <v>0.38478333233333301</v>
      </c>
      <c r="U162" s="22">
        <v>0.42513583233333302</v>
      </c>
      <c r="V162" s="22">
        <v>0.42230916566666699</v>
      </c>
      <c r="W162" s="22">
        <v>0.385383332333333</v>
      </c>
      <c r="X162" s="22">
        <v>0.35846999899999998</v>
      </c>
      <c r="Y162" s="22">
        <v>0.34542666566666702</v>
      </c>
      <c r="Z162" s="22">
        <v>0.38670083233333302</v>
      </c>
      <c r="AA162" s="22">
        <v>0.412142499</v>
      </c>
      <c r="AB162" s="22">
        <v>0.43244916566666702</v>
      </c>
      <c r="AC162" s="22">
        <v>0.46103416591666702</v>
      </c>
      <c r="AD162" s="22">
        <v>0.46915499983333298</v>
      </c>
      <c r="AE162" s="22">
        <v>0.39299249983333301</v>
      </c>
      <c r="AF162" s="22">
        <v>0.34549166666666697</v>
      </c>
      <c r="AG162" s="22">
        <v>0.33085666666666702</v>
      </c>
      <c r="AH162" s="22">
        <v>0.34849249999999998</v>
      </c>
      <c r="AI162" s="22">
        <v>0.31779000000000002</v>
      </c>
      <c r="AJ162" s="22">
        <v>0.32324249999999999</v>
      </c>
      <c r="AK162" s="22">
        <v>0.318923333333333</v>
      </c>
      <c r="AL162" s="22">
        <v>0.38228933333333298</v>
      </c>
      <c r="AM162" s="22">
        <v>0.37792108333333302</v>
      </c>
      <c r="AN162" s="22">
        <v>0.35305874999999998</v>
      </c>
      <c r="AO162" s="22">
        <v>0.36045586833333298</v>
      </c>
      <c r="AP162" s="22">
        <v>0.38596612499999999</v>
      </c>
      <c r="AQ162" s="22">
        <v>0.38845951083333302</v>
      </c>
      <c r="AR162" s="22">
        <v>0.39889839500000002</v>
      </c>
      <c r="AS162" s="22">
        <v>0.43814999166666702</v>
      </c>
      <c r="AT162" s="22">
        <v>0.450041566666667</v>
      </c>
      <c r="AU162" s="22">
        <v>0.43362033825000001</v>
      </c>
      <c r="AV162" s="22">
        <v>0.37723333333333298</v>
      </c>
      <c r="AW162" s="22">
        <v>0.34466317998548601</v>
      </c>
      <c r="AX162" s="22">
        <v>0.34577739224999998</v>
      </c>
      <c r="AY162" s="22">
        <v>0.340893885583333</v>
      </c>
      <c r="AZ162" s="22">
        <v>0.31167499999999998</v>
      </c>
    </row>
    <row r="163" spans="1:64">
      <c r="A163" s="22" t="s">
        <v>7133</v>
      </c>
      <c r="B163" s="22" t="s">
        <v>11452</v>
      </c>
      <c r="C163" s="22" t="s">
        <v>11241</v>
      </c>
      <c r="D163" s="22" t="s">
        <v>11242</v>
      </c>
      <c r="E163" s="22">
        <v>4.7619000037618999</v>
      </c>
      <c r="F163" s="22">
        <v>4.7619000037618999</v>
      </c>
      <c r="G163" s="22">
        <v>4.7619000037618999</v>
      </c>
      <c r="H163" s="22">
        <v>4.7619000037618999</v>
      </c>
      <c r="I163" s="22">
        <v>4.7619000037618999</v>
      </c>
      <c r="J163" s="22">
        <v>4.7619000037618999</v>
      </c>
      <c r="K163" s="22">
        <v>4.7619000037618999</v>
      </c>
      <c r="L163" s="22">
        <v>4.7619000037618999</v>
      </c>
      <c r="M163" s="22">
        <v>4.7619000037618999</v>
      </c>
      <c r="N163" s="22">
        <v>4.7619000037618999</v>
      </c>
      <c r="O163" s="22">
        <v>4.7619000037618999</v>
      </c>
      <c r="P163" s="22">
        <v>4.7648426288663002</v>
      </c>
      <c r="Q163" s="22">
        <v>5.4594939499759603</v>
      </c>
      <c r="R163" s="22">
        <v>4.93105531492483</v>
      </c>
      <c r="S163" s="22">
        <v>4.86252447287798</v>
      </c>
      <c r="T163" s="22">
        <v>6.3793993244748703</v>
      </c>
      <c r="U163" s="22">
        <v>6.7067493564075997</v>
      </c>
      <c r="V163" s="22">
        <v>7.0675997590921096</v>
      </c>
      <c r="W163" s="22">
        <v>6.7982604310998598</v>
      </c>
      <c r="X163" s="22">
        <v>6.58576139284986</v>
      </c>
      <c r="Y163" s="22">
        <v>6.5381423224165296</v>
      </c>
      <c r="Z163" s="22">
        <v>7.2203372662331997</v>
      </c>
      <c r="AA163" s="22">
        <v>7.7090637830331996</v>
      </c>
      <c r="AB163" s="22">
        <v>7.9603968964415301</v>
      </c>
      <c r="AC163" s="22">
        <v>8.3032669705207596</v>
      </c>
      <c r="AD163" s="22">
        <v>8.4748499994166693</v>
      </c>
      <c r="AE163" s="22">
        <v>7.3303750000000001</v>
      </c>
      <c r="AF163" s="22">
        <v>6.6534500000000003</v>
      </c>
      <c r="AG163" s="22">
        <v>6.3945416666666697</v>
      </c>
      <c r="AH163" s="22">
        <v>6.7049000000000003</v>
      </c>
      <c r="AI163" s="22">
        <v>6.3385583333333297</v>
      </c>
      <c r="AJ163" s="22">
        <v>6.2836999999999996</v>
      </c>
      <c r="AK163" s="22">
        <v>6.1045333333333298</v>
      </c>
      <c r="AL163" s="22">
        <v>6.15696666666667</v>
      </c>
      <c r="AM163" s="22">
        <v>5.9749125000000003</v>
      </c>
      <c r="AN163" s="22">
        <v>5.6670416666666696</v>
      </c>
      <c r="AO163" s="22">
        <v>5.9175666666666702</v>
      </c>
      <c r="AP163" s="22">
        <v>6.2418333333333296</v>
      </c>
      <c r="AQ163" s="22">
        <v>6.3431583333333297</v>
      </c>
      <c r="AR163" s="22">
        <v>6.28579166666667</v>
      </c>
      <c r="AS163" s="22">
        <v>6.5167250000000001</v>
      </c>
      <c r="AT163" s="22">
        <v>6.74890833333333</v>
      </c>
      <c r="AU163" s="22">
        <v>6.6420833333333302</v>
      </c>
      <c r="AV163" s="22">
        <v>6.1389250000000004</v>
      </c>
      <c r="AW163" s="22">
        <v>5.8058333333333296</v>
      </c>
      <c r="AX163" s="22">
        <v>5.81816666666667</v>
      </c>
      <c r="AY163" s="22">
        <v>5.84294166666667</v>
      </c>
      <c r="AZ163" s="22">
        <v>5.6168833333333303</v>
      </c>
      <c r="BA163" s="22">
        <v>5.4414499999999997</v>
      </c>
      <c r="BB163" s="22">
        <v>5.5763666666666696</v>
      </c>
      <c r="BC163" s="22">
        <v>5.6348833333333301</v>
      </c>
      <c r="BD163" s="22">
        <v>5.4441083333333298</v>
      </c>
      <c r="BE163" s="220">
        <v>5.4441083333333298</v>
      </c>
      <c r="BF163" s="220">
        <v>5.4441083333333298</v>
      </c>
      <c r="BG163" s="220">
        <v>5.4441083333333298</v>
      </c>
      <c r="BH163" s="220">
        <v>5.4441083333333298</v>
      </c>
      <c r="BI163" s="220">
        <v>5.4441083333333298</v>
      </c>
      <c r="BJ163" s="220">
        <v>5.4441083333333298</v>
      </c>
      <c r="BK163" s="220">
        <v>5.4441083333333298</v>
      </c>
      <c r="BL163" s="220">
        <v>5.4441083333333298</v>
      </c>
    </row>
    <row r="164" spans="1:64">
      <c r="A164" s="22" t="s">
        <v>11453</v>
      </c>
      <c r="B164" s="22" t="s">
        <v>11454</v>
      </c>
      <c r="C164" s="22" t="s">
        <v>11241</v>
      </c>
      <c r="D164" s="22" t="s">
        <v>11242</v>
      </c>
    </row>
    <row r="165" spans="1:64">
      <c r="A165" s="22" t="s">
        <v>10877</v>
      </c>
      <c r="B165" s="22" t="s">
        <v>11455</v>
      </c>
      <c r="C165" s="22" t="s">
        <v>11241</v>
      </c>
      <c r="D165" s="22" t="s">
        <v>11242</v>
      </c>
      <c r="AR165" s="22">
        <v>0.938283072395239</v>
      </c>
      <c r="AS165" s="22">
        <v>1.08270508132601</v>
      </c>
      <c r="AT165" s="22">
        <v>1.11653308564468</v>
      </c>
      <c r="AU165" s="22">
        <v>1.0575589962396501</v>
      </c>
      <c r="AV165" s="22">
        <v>0.88404792718496095</v>
      </c>
      <c r="AW165" s="22">
        <v>0.80392164774760499</v>
      </c>
      <c r="AX165" s="22">
        <v>0.80380019216141596</v>
      </c>
      <c r="AY165" s="22">
        <v>0.79643273094909595</v>
      </c>
      <c r="AZ165" s="22">
        <v>0.72967239998408795</v>
      </c>
      <c r="BA165" s="22">
        <v>0.67992268004272904</v>
      </c>
      <c r="BB165" s="22">
        <v>0.71695770201613596</v>
      </c>
      <c r="BC165" s="22">
        <v>0.75430899010597896</v>
      </c>
      <c r="BD165" s="22">
        <v>0.71841389865332195</v>
      </c>
      <c r="BE165" s="22">
        <v>0.77833812041681205</v>
      </c>
      <c r="BF165" s="22">
        <v>0.75294512270200198</v>
      </c>
      <c r="BG165" s="22">
        <v>0.75272819693259096</v>
      </c>
      <c r="BH165" s="22">
        <v>0.90129642336709603</v>
      </c>
      <c r="BI165" s="22">
        <v>0.90342143625728799</v>
      </c>
      <c r="BJ165" s="22">
        <v>0.88520550826938005</v>
      </c>
      <c r="BK165" s="22">
        <v>0.84677266710809596</v>
      </c>
      <c r="BL165" s="22">
        <v>0.89321558147922597</v>
      </c>
    </row>
    <row r="166" spans="1:64">
      <c r="A166" s="22" t="s">
        <v>10876</v>
      </c>
      <c r="B166" s="22" t="s">
        <v>11456</v>
      </c>
      <c r="C166" s="22" t="s">
        <v>11241</v>
      </c>
      <c r="D166" s="22" t="s">
        <v>11242</v>
      </c>
      <c r="AJ166" s="22">
        <v>8.0116666666666703</v>
      </c>
      <c r="AK166" s="22">
        <v>35.8333333333333</v>
      </c>
      <c r="AL166" s="22">
        <v>295.01052583333302</v>
      </c>
      <c r="AM166" s="22">
        <v>412.72141666666698</v>
      </c>
      <c r="AN166" s="22">
        <v>448.61263333333301</v>
      </c>
      <c r="AO166" s="22">
        <v>548.40333333333297</v>
      </c>
      <c r="AP166" s="22">
        <v>789.99249999999995</v>
      </c>
      <c r="AQ166" s="22">
        <v>840.82833333333303</v>
      </c>
      <c r="AR166" s="22">
        <v>1021.8674999999999</v>
      </c>
      <c r="AS166" s="22">
        <v>1076.6666666666699</v>
      </c>
      <c r="AT166" s="22">
        <v>1097.6975</v>
      </c>
      <c r="AU166" s="22">
        <v>1110.31</v>
      </c>
      <c r="AV166" s="22">
        <v>1146.5425</v>
      </c>
      <c r="AW166" s="22">
        <v>1185.2974999999999</v>
      </c>
      <c r="AX166" s="22">
        <v>1205.2466666666701</v>
      </c>
      <c r="AY166" s="22">
        <v>1179.69916666667</v>
      </c>
      <c r="AZ166" s="22">
        <v>1170.40083333333</v>
      </c>
      <c r="BA166" s="22">
        <v>1165.80416666667</v>
      </c>
      <c r="BB166" s="22">
        <v>1437.7950000000001</v>
      </c>
      <c r="BC166" s="22">
        <v>1357.06416666667</v>
      </c>
      <c r="BD166" s="22">
        <v>1265.51583333333</v>
      </c>
      <c r="BE166" s="22">
        <v>1357.58</v>
      </c>
      <c r="BF166" s="22">
        <v>1523.9275</v>
      </c>
      <c r="BG166" s="22">
        <v>1817.9387083333299</v>
      </c>
      <c r="BH166" s="22">
        <v>1970.3091666666701</v>
      </c>
      <c r="BI166" s="22">
        <v>2140.2908640611599</v>
      </c>
      <c r="BJ166" s="22">
        <v>2439.7772011124398</v>
      </c>
      <c r="BK166" s="22">
        <v>2472.4840511423499</v>
      </c>
      <c r="BL166" s="22">
        <v>2663.5413982016298</v>
      </c>
    </row>
    <row r="167" spans="1:64">
      <c r="A167" s="22" t="s">
        <v>11457</v>
      </c>
      <c r="B167" s="22" t="s">
        <v>11458</v>
      </c>
      <c r="C167" s="22" t="s">
        <v>11241</v>
      </c>
      <c r="D167" s="22" t="s">
        <v>11242</v>
      </c>
    </row>
    <row r="168" spans="1:64">
      <c r="A168" s="22" t="s">
        <v>10880</v>
      </c>
      <c r="B168" s="22" t="s">
        <v>11459</v>
      </c>
      <c r="C168" s="22" t="s">
        <v>11241</v>
      </c>
      <c r="D168" s="22" t="s">
        <v>11242</v>
      </c>
      <c r="E168" s="22">
        <v>2.875000002875E-2</v>
      </c>
      <c r="F168" s="22">
        <v>2.875000002875E-2</v>
      </c>
      <c r="G168" s="22">
        <v>2.875000002875E-2</v>
      </c>
      <c r="H168" s="22">
        <v>2.875000002875E-2</v>
      </c>
      <c r="I168" s="22">
        <v>2.875000002875E-2</v>
      </c>
      <c r="J168" s="22">
        <v>2.875000002875E-2</v>
      </c>
      <c r="K168" s="22">
        <v>2.875000002875E-2</v>
      </c>
      <c r="L168" s="22">
        <v>2.875000002875E-2</v>
      </c>
      <c r="M168" s="22">
        <v>2.875000002875E-2</v>
      </c>
      <c r="N168" s="22">
        <v>2.875000002875E-2</v>
      </c>
      <c r="O168" s="22">
        <v>2.875000002875E-2</v>
      </c>
      <c r="P168" s="22">
        <v>2.8312083349854199E-2</v>
      </c>
      <c r="Q168" s="22">
        <v>2.7053416666500001E-2</v>
      </c>
      <c r="R168" s="22">
        <v>2.4515166666416701E-2</v>
      </c>
      <c r="S168" s="22">
        <v>2.5408166665666702E-2</v>
      </c>
      <c r="T168" s="22">
        <v>2.5552749999E-2</v>
      </c>
      <c r="U168" s="22">
        <v>3.0229083332583302E-2</v>
      </c>
      <c r="V168" s="22">
        <v>3.04072499998333E-2</v>
      </c>
      <c r="W168" s="22">
        <v>0.03</v>
      </c>
      <c r="X168" s="22">
        <v>0.03</v>
      </c>
      <c r="Y168" s="22">
        <v>3.2400249999999998E-2</v>
      </c>
      <c r="Z168" s="22">
        <v>3.5349499999999999E-2</v>
      </c>
      <c r="AA168" s="22">
        <v>3.7769749999999998E-2</v>
      </c>
      <c r="AB168" s="22">
        <v>4.01833333333333E-2</v>
      </c>
      <c r="AC168" s="22">
        <v>4.2442750000000001E-2</v>
      </c>
      <c r="AD168" s="22">
        <v>4.3180666666666701E-2</v>
      </c>
      <c r="AE168" s="22">
        <v>4.0428916666666703E-2</v>
      </c>
      <c r="AF168" s="22">
        <v>0.29073125</v>
      </c>
      <c r="AG168" s="22">
        <v>0.52464466666666698</v>
      </c>
      <c r="AH168" s="22">
        <v>0.74491808333333298</v>
      </c>
      <c r="AI168" s="22">
        <v>0.92908883333333303</v>
      </c>
      <c r="AJ168" s="22">
        <v>1.4344675</v>
      </c>
      <c r="AK168" s="22">
        <v>2.51655416666667</v>
      </c>
      <c r="AL168" s="22">
        <v>3.8742366666666701</v>
      </c>
      <c r="AM168" s="22">
        <v>6.0385883333333297</v>
      </c>
      <c r="AN168" s="22">
        <v>9.0243333333333293</v>
      </c>
      <c r="AO168" s="22">
        <v>11.293749999999999</v>
      </c>
      <c r="AP168" s="22">
        <v>11.5435833333333</v>
      </c>
      <c r="AQ168" s="22">
        <v>11.8745833333333</v>
      </c>
      <c r="AR168" s="22">
        <v>12.7751116666667</v>
      </c>
      <c r="AS168" s="22">
        <v>15.22725</v>
      </c>
      <c r="AT168" s="22">
        <v>20.703640833333299</v>
      </c>
      <c r="AU168" s="22">
        <v>23.677956666666699</v>
      </c>
      <c r="AV168" s="22">
        <v>23.7822675</v>
      </c>
      <c r="AW168" s="22">
        <v>22.581342500000002</v>
      </c>
      <c r="AX168" s="22">
        <v>23.060964999999999</v>
      </c>
      <c r="AY168" s="22">
        <v>25.400779166666702</v>
      </c>
      <c r="AZ168" s="22">
        <v>25.840341450216499</v>
      </c>
      <c r="BA168" s="22">
        <v>24.300642472865299</v>
      </c>
      <c r="BB168" s="22">
        <v>27.518299963924999</v>
      </c>
      <c r="BC168" s="22">
        <v>33.960098800690801</v>
      </c>
      <c r="BD168" s="22">
        <v>29.067599931977501</v>
      </c>
      <c r="BE168" s="22">
        <v>28.3729844798921</v>
      </c>
      <c r="BF168" s="22">
        <v>30.1041110929498</v>
      </c>
      <c r="BG168" s="22">
        <v>31.352687700944301</v>
      </c>
      <c r="BH168" s="22">
        <v>39.982474146540603</v>
      </c>
      <c r="BI168" s="22">
        <v>63.056232731037099</v>
      </c>
      <c r="BJ168" s="22">
        <v>63.584322913398999</v>
      </c>
      <c r="BK168" s="22">
        <v>60.326207643202203</v>
      </c>
      <c r="BL168" s="22">
        <v>62.548333333333296</v>
      </c>
    </row>
    <row r="169" spans="1:64">
      <c r="A169" s="22" t="s">
        <v>10869</v>
      </c>
      <c r="B169" s="22" t="s">
        <v>11460</v>
      </c>
      <c r="C169" s="22" t="s">
        <v>11241</v>
      </c>
      <c r="D169" s="22" t="s">
        <v>11242</v>
      </c>
      <c r="E169" s="22">
        <v>4.9369911160770199</v>
      </c>
      <c r="F169" s="22">
        <v>4.9369911160770199</v>
      </c>
      <c r="G169" s="22">
        <v>4.9369911160770199</v>
      </c>
      <c r="H169" s="22">
        <v>4.9369911160770199</v>
      </c>
      <c r="I169" s="22">
        <v>4.9369911160770199</v>
      </c>
      <c r="J169" s="22">
        <v>4.9369911160770199</v>
      </c>
      <c r="K169" s="22">
        <v>4.9369911160770199</v>
      </c>
      <c r="L169" s="22">
        <v>4.9369911160770199</v>
      </c>
      <c r="M169" s="22">
        <v>4.9369911160770199</v>
      </c>
      <c r="N169" s="22">
        <v>5.1941573199841704</v>
      </c>
      <c r="O169" s="22">
        <v>5.5541900054541902</v>
      </c>
      <c r="P169" s="22">
        <v>5.5426325049163401</v>
      </c>
      <c r="Q169" s="22">
        <v>5.0405333331666702</v>
      </c>
      <c r="R169" s="22">
        <v>4.4577666666666698</v>
      </c>
      <c r="S169" s="22">
        <v>4.5333333332333297</v>
      </c>
      <c r="T169" s="22">
        <v>4.3104249999000004</v>
      </c>
      <c r="U169" s="22">
        <v>4.5022249999000001</v>
      </c>
      <c r="V169" s="22">
        <v>4.5587083333249998</v>
      </c>
      <c r="W169" s="22">
        <v>4.61625</v>
      </c>
      <c r="X169" s="22">
        <v>4.5892499999999998</v>
      </c>
      <c r="Y169" s="22">
        <v>4.5914083332500004</v>
      </c>
      <c r="Z169" s="22">
        <v>4.8295833333333302</v>
      </c>
      <c r="AA169" s="22">
        <v>5.1769166666666697</v>
      </c>
      <c r="AB169" s="22">
        <v>5.4811666665666703</v>
      </c>
      <c r="AC169" s="22">
        <v>6.3803333332833301</v>
      </c>
      <c r="AD169" s="22">
        <v>7.7084999999583301</v>
      </c>
      <c r="AE169" s="22">
        <v>7.4374999999833298</v>
      </c>
      <c r="AF169" s="22">
        <v>7.3878333333333304</v>
      </c>
      <c r="AG169" s="22">
        <v>7.5260833333333297</v>
      </c>
      <c r="AH169" s="22">
        <v>8.3050999999999995</v>
      </c>
      <c r="AI169" s="22">
        <v>8.0609000000000002</v>
      </c>
      <c r="AJ169" s="22">
        <v>8.1945833333333304</v>
      </c>
      <c r="AK169" s="22">
        <v>8.7026749999999993</v>
      </c>
      <c r="AL169" s="22">
        <v>12.080583333333299</v>
      </c>
      <c r="AM169" s="22">
        <v>12.3575</v>
      </c>
      <c r="AN169" s="22">
        <v>12.9768333333333</v>
      </c>
      <c r="AO169" s="22">
        <v>13.7221666666667</v>
      </c>
      <c r="AP169" s="22">
        <v>15.1853333333333</v>
      </c>
      <c r="AQ169" s="22">
        <v>18.847583333333301</v>
      </c>
      <c r="AR169" s="22">
        <v>20.951416666666699</v>
      </c>
      <c r="AS169" s="22">
        <v>23.892333333333301</v>
      </c>
      <c r="AT169" s="22">
        <v>25.562916666666698</v>
      </c>
      <c r="AU169" s="22">
        <v>27.173916666666699</v>
      </c>
      <c r="AV169" s="22">
        <v>26.303000000000001</v>
      </c>
      <c r="AX169" s="22">
        <v>26.5528333333333</v>
      </c>
      <c r="AY169" s="22">
        <v>26.86</v>
      </c>
      <c r="AZ169" s="22">
        <v>25.8586666666667</v>
      </c>
      <c r="BA169" s="22">
        <v>23.820333333333298</v>
      </c>
      <c r="BB169" s="22">
        <v>26.2365833333333</v>
      </c>
      <c r="BC169" s="22">
        <v>27.5894166666667</v>
      </c>
      <c r="BD169" s="22">
        <v>28.111833333333301</v>
      </c>
      <c r="BE169" s="22">
        <v>29.661999999999999</v>
      </c>
      <c r="BF169" s="22">
        <v>30.068166666666698</v>
      </c>
      <c r="BG169" s="22">
        <v>30.272500000000001</v>
      </c>
      <c r="BH169" s="22">
        <v>32.467166666666699</v>
      </c>
      <c r="BI169" s="22">
        <v>35.237083333333302</v>
      </c>
      <c r="BJ169" s="22">
        <v>35.794416666666699</v>
      </c>
      <c r="BK169" s="22">
        <v>35.677500000000002</v>
      </c>
      <c r="BL169" s="22">
        <v>36.690833333333302</v>
      </c>
    </row>
    <row r="170" spans="1:64">
      <c r="A170" s="22" t="s">
        <v>10871</v>
      </c>
      <c r="B170" s="22" t="s">
        <v>11461</v>
      </c>
      <c r="C170" s="22" t="s">
        <v>11241</v>
      </c>
      <c r="D170" s="22" t="s">
        <v>11242</v>
      </c>
      <c r="E170" s="22">
        <v>4.7619000037618999</v>
      </c>
      <c r="F170" s="22">
        <v>4.7619000037618999</v>
      </c>
      <c r="G170" s="22">
        <v>4.7619000037618999</v>
      </c>
      <c r="H170" s="22">
        <v>4.7619000037618999</v>
      </c>
      <c r="I170" s="22">
        <v>4.7619000037618999</v>
      </c>
      <c r="J170" s="22">
        <v>4.7619000037618999</v>
      </c>
      <c r="K170" s="22">
        <v>4.7619000037618999</v>
      </c>
      <c r="L170" s="22">
        <v>4.8280375034312097</v>
      </c>
      <c r="M170" s="22">
        <v>5.5555500045555499</v>
      </c>
      <c r="N170" s="22">
        <v>5.5555500045555499</v>
      </c>
      <c r="O170" s="22">
        <v>5.5555500045555499</v>
      </c>
      <c r="P170" s="22">
        <v>5.4857589225245</v>
      </c>
      <c r="Q170" s="22">
        <v>5.3385261876059804</v>
      </c>
      <c r="R170" s="22">
        <v>5.4422657127583198</v>
      </c>
      <c r="S170" s="22">
        <v>5.7030750726300301</v>
      </c>
      <c r="T170" s="22">
        <v>6.0267973347139598</v>
      </c>
      <c r="U170" s="22">
        <v>6.6815249989999996</v>
      </c>
      <c r="V170" s="22">
        <v>6.6073083323333304</v>
      </c>
      <c r="W170" s="22">
        <v>6.1632749990000004</v>
      </c>
      <c r="X170" s="22">
        <v>6.3081083323333296</v>
      </c>
      <c r="Y170" s="22">
        <v>7.6842916656666702</v>
      </c>
      <c r="Z170" s="22">
        <v>8.9365416660833308</v>
      </c>
      <c r="AA170" s="22">
        <v>10.872549999583301</v>
      </c>
      <c r="AB170" s="22">
        <v>11.7061999994167</v>
      </c>
      <c r="AC170" s="22">
        <v>13.800333332833301</v>
      </c>
      <c r="AD170" s="22">
        <v>15.442483333166701</v>
      </c>
      <c r="AE170" s="22">
        <v>13.4663583333333</v>
      </c>
      <c r="AF170" s="22">
        <v>12.878216666666701</v>
      </c>
      <c r="AG170" s="22">
        <v>13.437725</v>
      </c>
      <c r="AH170" s="22">
        <v>15.2497666666667</v>
      </c>
      <c r="AI170" s="22">
        <v>14.863466666666699</v>
      </c>
      <c r="AJ170" s="22">
        <v>15.6523083333333</v>
      </c>
      <c r="AK170" s="22">
        <v>15.5632083333333</v>
      </c>
      <c r="AL170" s="22">
        <v>17.648025000000001</v>
      </c>
      <c r="AM170" s="22">
        <v>17.960366666666701</v>
      </c>
      <c r="AN170" s="22">
        <v>17.386316666666701</v>
      </c>
      <c r="AO170" s="22">
        <v>17.948066666666701</v>
      </c>
      <c r="AP170" s="22">
        <v>21.057258333333301</v>
      </c>
      <c r="AQ170" s="22">
        <v>23.992650000000001</v>
      </c>
      <c r="AR170" s="22">
        <v>25.185808333333298</v>
      </c>
      <c r="AS170" s="22">
        <v>26.249558333333301</v>
      </c>
      <c r="AT170" s="22">
        <v>29.129258333333301</v>
      </c>
      <c r="AU170" s="22">
        <v>29.962</v>
      </c>
      <c r="AV170" s="22">
        <v>27.901475000000001</v>
      </c>
      <c r="AW170" s="22">
        <v>27.498516666666699</v>
      </c>
      <c r="AX170" s="22">
        <v>29.496233333333301</v>
      </c>
      <c r="AY170" s="22">
        <v>31.708066666666699</v>
      </c>
      <c r="AZ170" s="22">
        <v>31.313656250000001</v>
      </c>
      <c r="BA170" s="22">
        <v>28.452837500000001</v>
      </c>
      <c r="BB170" s="22">
        <v>31.959800000000001</v>
      </c>
      <c r="BC170" s="22">
        <v>30.784400000000002</v>
      </c>
      <c r="BD170" s="22">
        <v>28.705950000000001</v>
      </c>
      <c r="BE170" s="22">
        <v>30.0499716666667</v>
      </c>
      <c r="BF170" s="22">
        <v>30.7013583333333</v>
      </c>
      <c r="BG170" s="22">
        <v>30.6216166666667</v>
      </c>
      <c r="BH170" s="22">
        <v>35.056699999999999</v>
      </c>
      <c r="BI170" s="22">
        <v>35.541883333333303</v>
      </c>
      <c r="BJ170" s="22">
        <v>34.481408333333299</v>
      </c>
      <c r="BK170" s="22">
        <v>33.934449999999998</v>
      </c>
      <c r="BL170" s="22">
        <v>35.473516666666697</v>
      </c>
    </row>
    <row r="171" spans="1:64">
      <c r="A171" s="22" t="s">
        <v>10860</v>
      </c>
      <c r="B171" s="22" t="s">
        <v>11462</v>
      </c>
      <c r="C171" s="22" t="s">
        <v>11241</v>
      </c>
      <c r="D171" s="22" t="s">
        <v>11242</v>
      </c>
      <c r="E171" s="22">
        <v>0.71428514242891405</v>
      </c>
      <c r="F171" s="22">
        <v>0.71428514242891405</v>
      </c>
      <c r="G171" s="22">
        <v>0.71428514242891405</v>
      </c>
      <c r="H171" s="22">
        <v>0.71428514242891405</v>
      </c>
      <c r="I171" s="22">
        <v>0.71428514242891405</v>
      </c>
      <c r="J171" s="22">
        <v>0.71428514242891405</v>
      </c>
      <c r="K171" s="22">
        <v>0.71428514242891405</v>
      </c>
      <c r="L171" s="22">
        <v>0.72420586859353897</v>
      </c>
      <c r="M171" s="22">
        <v>0.83333299983333298</v>
      </c>
      <c r="N171" s="22">
        <v>0.83333299983333298</v>
      </c>
      <c r="O171" s="22">
        <v>0.83333299983333298</v>
      </c>
      <c r="P171" s="22">
        <v>0.83089400256529</v>
      </c>
      <c r="Q171" s="22">
        <v>0.801557908669424</v>
      </c>
      <c r="R171" s="22">
        <v>0.81926216566666699</v>
      </c>
      <c r="S171" s="22">
        <v>0.84120341566666701</v>
      </c>
      <c r="T171" s="22">
        <v>0.86383349899999995</v>
      </c>
      <c r="U171" s="22">
        <v>0.91301141566666699</v>
      </c>
      <c r="V171" s="22">
        <v>0.90292808233333299</v>
      </c>
      <c r="W171" s="22">
        <v>0.84374508233333301</v>
      </c>
      <c r="X171" s="22">
        <v>0.81687791566666701</v>
      </c>
      <c r="Y171" s="22">
        <v>0.81209566566666702</v>
      </c>
      <c r="Z171" s="22">
        <v>0.895299082333333</v>
      </c>
      <c r="AA171" s="22">
        <v>1.05550908241667</v>
      </c>
      <c r="AB171" s="22">
        <v>1.17476333241667</v>
      </c>
      <c r="AC171" s="22">
        <v>1.4133799995</v>
      </c>
      <c r="AD171" s="22">
        <v>1.71909666625</v>
      </c>
      <c r="AE171" s="22">
        <v>1.86107333308333</v>
      </c>
      <c r="AF171" s="22">
        <v>2.2087425000000001</v>
      </c>
      <c r="AG171" s="22">
        <v>2.56130083333333</v>
      </c>
      <c r="AH171" s="22">
        <v>2.7595241666666701</v>
      </c>
      <c r="AI171" s="22">
        <v>2.7288816666666702</v>
      </c>
      <c r="AJ171" s="22">
        <v>2.8033125000000001</v>
      </c>
      <c r="AK171" s="22">
        <v>3.6032754166666701</v>
      </c>
      <c r="AL171" s="22">
        <v>4.4027783333333304</v>
      </c>
      <c r="AM171" s="22">
        <v>8.7364049999999995</v>
      </c>
      <c r="AN171" s="22">
        <v>15.2837416666667</v>
      </c>
      <c r="AO171" s="22">
        <v>15.3084666666667</v>
      </c>
      <c r="AP171" s="22">
        <v>16.444175000000001</v>
      </c>
      <c r="AQ171" s="22">
        <v>31.072683333333298</v>
      </c>
      <c r="AR171" s="22">
        <v>44.088141666666701</v>
      </c>
      <c r="AS171" s="22">
        <v>59.543808333333303</v>
      </c>
      <c r="AT171" s="22">
        <v>72.197333333333304</v>
      </c>
      <c r="AU171" s="22">
        <v>76.686608333333297</v>
      </c>
      <c r="AV171" s="22">
        <v>97.432474999999997</v>
      </c>
      <c r="AW171" s="22">
        <v>108.89750833333299</v>
      </c>
      <c r="AX171" s="22">
        <v>118.42</v>
      </c>
      <c r="AY171" s="22">
        <v>136.01249999999999</v>
      </c>
      <c r="AZ171" s="22">
        <v>139.95750000000001</v>
      </c>
      <c r="BA171" s="22">
        <v>140.52166666666699</v>
      </c>
      <c r="BB171" s="22">
        <v>141.16833333333301</v>
      </c>
      <c r="BC171" s="22">
        <v>150.48583333333301</v>
      </c>
      <c r="BD171" s="22">
        <v>156.51583333333301</v>
      </c>
      <c r="BE171" s="22">
        <v>249.106666666667</v>
      </c>
      <c r="BF171" s="22">
        <v>364.40583333333302</v>
      </c>
      <c r="BG171" s="22">
        <v>424.89666666666699</v>
      </c>
      <c r="BH171" s="22">
        <v>499.60583333333301</v>
      </c>
      <c r="BI171" s="22">
        <v>718.005</v>
      </c>
      <c r="BJ171" s="22">
        <v>730.27250000000004</v>
      </c>
      <c r="BK171" s="22">
        <v>732.33333333333303</v>
      </c>
      <c r="BL171" s="22">
        <v>745.54066787737202</v>
      </c>
    </row>
    <row r="172" spans="1:64">
      <c r="A172" s="22" t="s">
        <v>5416</v>
      </c>
      <c r="B172" s="22" t="s">
        <v>11463</v>
      </c>
      <c r="C172" s="22" t="s">
        <v>11241</v>
      </c>
      <c r="D172" s="22" t="s">
        <v>11242</v>
      </c>
      <c r="E172" s="22">
        <v>3.0612200020612201</v>
      </c>
      <c r="F172" s="22">
        <v>3.0612200020612201</v>
      </c>
      <c r="G172" s="22">
        <v>3.0612200020612201</v>
      </c>
      <c r="H172" s="22">
        <v>3.0612200020612201</v>
      </c>
      <c r="I172" s="22">
        <v>3.0612200020612201</v>
      </c>
      <c r="J172" s="22">
        <v>3.0612200020612201</v>
      </c>
      <c r="K172" s="22">
        <v>3.0612200020612201</v>
      </c>
      <c r="L172" s="22">
        <v>3.0612200020612201</v>
      </c>
      <c r="M172" s="22">
        <v>3.0612200020612201</v>
      </c>
      <c r="N172" s="22">
        <v>3.0612200020612201</v>
      </c>
      <c r="O172" s="22">
        <v>3.0612200020612201</v>
      </c>
      <c r="P172" s="22">
        <v>3.0522604298093099</v>
      </c>
      <c r="Q172" s="22">
        <v>2.81955586834381</v>
      </c>
      <c r="R172" s="22">
        <v>2.4433296548619801</v>
      </c>
      <c r="S172" s="22">
        <v>2.4070666659166702</v>
      </c>
      <c r="T172" s="22">
        <v>2.3937833331666698</v>
      </c>
      <c r="U172" s="22">
        <v>2.5415749991666701</v>
      </c>
      <c r="V172" s="22">
        <v>2.4612833324166701</v>
      </c>
      <c r="W172" s="22">
        <v>2.3160416657499998</v>
      </c>
      <c r="X172" s="22">
        <v>2.1884416659166699</v>
      </c>
      <c r="Y172" s="22">
        <v>2.1768833324166699</v>
      </c>
      <c r="Z172" s="22">
        <v>2.3041249991666701</v>
      </c>
      <c r="AA172" s="22">
        <v>2.3353916658333298</v>
      </c>
      <c r="AB172" s="22">
        <v>2.3212499991666702</v>
      </c>
      <c r="AC172" s="22">
        <v>2.3436416661666701</v>
      </c>
      <c r="AD172" s="22">
        <v>2.4830416666666699</v>
      </c>
      <c r="AE172" s="22">
        <v>2.5814416666666702</v>
      </c>
      <c r="AF172" s="22">
        <v>2.5196383333333299</v>
      </c>
      <c r="AG172" s="22">
        <v>2.6187833333333299</v>
      </c>
      <c r="AH172" s="22">
        <v>2.7088416666666699</v>
      </c>
      <c r="AI172" s="22">
        <v>2.7048749999999999</v>
      </c>
      <c r="AJ172" s="22">
        <v>2.7500666666666702</v>
      </c>
      <c r="AK172" s="22">
        <v>2.5473833333333298</v>
      </c>
      <c r="AL172" s="22">
        <v>2.5740949999999998</v>
      </c>
      <c r="AM172" s="22">
        <v>2.6242566666666698</v>
      </c>
      <c r="AN172" s="22">
        <v>2.5044041666666699</v>
      </c>
      <c r="AO172" s="22">
        <v>2.5159425</v>
      </c>
      <c r="AP172" s="22">
        <v>2.8131916666666701</v>
      </c>
      <c r="AQ172" s="22">
        <v>3.9243749999999999</v>
      </c>
      <c r="AR172" s="22">
        <v>3.8</v>
      </c>
      <c r="AS172" s="22">
        <v>3.8</v>
      </c>
      <c r="AT172" s="22">
        <v>3.8</v>
      </c>
      <c r="AU172" s="22">
        <v>3.8</v>
      </c>
      <c r="AV172" s="22">
        <v>3.8</v>
      </c>
      <c r="AW172" s="22">
        <v>3.8</v>
      </c>
      <c r="AX172" s="22">
        <v>3.7870916666666701</v>
      </c>
      <c r="AY172" s="22">
        <v>3.6681769583333299</v>
      </c>
      <c r="AZ172" s="22">
        <v>3.43756938226247</v>
      </c>
      <c r="BA172" s="22">
        <v>3.3358333333333299</v>
      </c>
      <c r="BB172" s="22">
        <v>3.5245029107064401</v>
      </c>
      <c r="BC172" s="22">
        <v>3.22108691472175</v>
      </c>
      <c r="BD172" s="22">
        <v>3.06000301052058</v>
      </c>
      <c r="BE172" s="22">
        <v>3.08880086662188</v>
      </c>
      <c r="BF172" s="22">
        <v>3.1509085500972498</v>
      </c>
      <c r="BG172" s="22">
        <v>3.2728597464304698</v>
      </c>
      <c r="BH172" s="22">
        <v>3.9055002630276801</v>
      </c>
      <c r="BI172" s="22">
        <v>4.14830066287879</v>
      </c>
      <c r="BJ172" s="22">
        <v>4.3004408776112397</v>
      </c>
      <c r="BK172" s="22">
        <v>4.0351301370680597</v>
      </c>
      <c r="BL172" s="22">
        <v>4.1424697356973104</v>
      </c>
    </row>
    <row r="173" spans="1:64">
      <c r="A173" s="22" t="s">
        <v>11464</v>
      </c>
      <c r="B173" s="22" t="s">
        <v>11465</v>
      </c>
      <c r="C173" s="22" t="s">
        <v>11241</v>
      </c>
      <c r="D173" s="22" t="s">
        <v>11242</v>
      </c>
    </row>
    <row r="174" spans="1:64">
      <c r="A174" s="22" t="s">
        <v>10881</v>
      </c>
      <c r="B174" s="22" t="s">
        <v>11466</v>
      </c>
      <c r="C174" s="22" t="s">
        <v>11241</v>
      </c>
      <c r="D174" s="22" t="s">
        <v>11242</v>
      </c>
      <c r="G174" s="22">
        <v>0.71326549427167596</v>
      </c>
      <c r="H174" s="22">
        <v>0.71528718525026103</v>
      </c>
      <c r="I174" s="22">
        <v>0.71725864624589497</v>
      </c>
      <c r="J174" s="22">
        <v>0.71633440114267999</v>
      </c>
      <c r="K174" s="22">
        <v>0.71698343163387301</v>
      </c>
      <c r="L174" s="22">
        <v>0.71704961913768805</v>
      </c>
      <c r="M174" s="22">
        <v>0.71699815611019702</v>
      </c>
      <c r="N174" s="22">
        <v>0.71805712542767897</v>
      </c>
      <c r="O174" s="22">
        <v>0.71641352003693703</v>
      </c>
      <c r="P174" s="22">
        <v>0.713047571920987</v>
      </c>
      <c r="Q174" s="22">
        <v>0.772828411038462</v>
      </c>
      <c r="R174" s="22">
        <v>0.69411413758375096</v>
      </c>
      <c r="S174" s="22">
        <v>0.67947700357025098</v>
      </c>
      <c r="T174" s="22">
        <v>0.73950775529633594</v>
      </c>
      <c r="U174" s="22">
        <v>0.86956521814744803</v>
      </c>
      <c r="V174" s="22">
        <v>0.86956521814744803</v>
      </c>
      <c r="W174" s="22">
        <v>0.86956521814744803</v>
      </c>
      <c r="X174" s="22">
        <v>0.84202260193494305</v>
      </c>
      <c r="Y174" s="22">
        <v>0.77883373727604099</v>
      </c>
      <c r="Z174" s="22">
        <v>0.87757894275815396</v>
      </c>
      <c r="AA174" s="22">
        <v>1.0858158330833301</v>
      </c>
      <c r="AB174" s="22">
        <v>1.1140999997500001</v>
      </c>
      <c r="AC174" s="22">
        <v>1.47527749975</v>
      </c>
      <c r="AD174" s="22">
        <v>2.2286749994166701</v>
      </c>
      <c r="AE174" s="22">
        <v>2.2850316664166699</v>
      </c>
      <c r="AF174" s="22">
        <v>2.03603333333333</v>
      </c>
      <c r="AG174" s="22">
        <v>2.2734675000000002</v>
      </c>
      <c r="AH174" s="22">
        <v>2.6226775</v>
      </c>
      <c r="AI174" s="22">
        <v>2.58732083333333</v>
      </c>
      <c r="AJ174" s="22">
        <v>2.7613150000000002</v>
      </c>
      <c r="AK174" s="22">
        <v>2.8520141666666698</v>
      </c>
      <c r="AL174" s="22">
        <v>3.2677415833333301</v>
      </c>
      <c r="AM174" s="22">
        <v>3.5507983333333302</v>
      </c>
      <c r="AN174" s="22">
        <v>3.6270850000000001</v>
      </c>
      <c r="AO174" s="22">
        <v>4.2993491666666701</v>
      </c>
      <c r="AP174" s="22">
        <v>4.6079616666666698</v>
      </c>
      <c r="AQ174" s="22">
        <v>5.52828416666667</v>
      </c>
      <c r="AR174" s="22">
        <v>6.1094841666666699</v>
      </c>
      <c r="AS174" s="22">
        <v>6.9398283333333302</v>
      </c>
      <c r="AT174" s="22">
        <v>8.6091808333333297</v>
      </c>
      <c r="AU174" s="22">
        <v>10.540746666666699</v>
      </c>
      <c r="AV174" s="22">
        <v>7.5647491666666697</v>
      </c>
      <c r="AW174" s="22">
        <v>6.4596925000000001</v>
      </c>
      <c r="AX174" s="22">
        <v>6.3771166666666703</v>
      </c>
      <c r="AY174" s="22">
        <v>6.76715</v>
      </c>
      <c r="AZ174" s="22">
        <v>7.0543916666666702</v>
      </c>
      <c r="BA174" s="22">
        <v>8.2517416666666694</v>
      </c>
      <c r="BB174" s="22">
        <v>8.5228198333333296</v>
      </c>
      <c r="BC174" s="22">
        <v>7.3302500000000004</v>
      </c>
      <c r="BD174" s="22">
        <v>7.3000249999999998</v>
      </c>
      <c r="BE174" s="22">
        <v>8.1937708333333301</v>
      </c>
      <c r="BF174" s="22">
        <v>9.7500750000000007</v>
      </c>
      <c r="BG174" s="22">
        <v>10.8428875</v>
      </c>
      <c r="BH174" s="22">
        <v>12.8819208333333</v>
      </c>
      <c r="BI174" s="22">
        <v>14.708766666666699</v>
      </c>
      <c r="BJ174" s="22">
        <v>13.312900000000001</v>
      </c>
      <c r="BK174" s="22">
        <v>13.2339416666667</v>
      </c>
      <c r="BL174" s="22">
        <v>14.4486904166667</v>
      </c>
    </row>
    <row r="175" spans="1:64">
      <c r="A175" s="22" t="s">
        <v>10884</v>
      </c>
      <c r="B175" s="22" t="s">
        <v>11467</v>
      </c>
      <c r="C175" s="22" t="s">
        <v>11241</v>
      </c>
      <c r="D175" s="22" t="s">
        <v>11242</v>
      </c>
      <c r="E175" s="22">
        <v>89.765000088765007</v>
      </c>
      <c r="F175" s="22">
        <v>89.765000088765007</v>
      </c>
      <c r="G175" s="22">
        <v>89.765000088765007</v>
      </c>
      <c r="H175" s="22">
        <v>89.765000088765007</v>
      </c>
      <c r="I175" s="22">
        <v>89.765000088765007</v>
      </c>
      <c r="J175" s="22">
        <v>89.765000088765007</v>
      </c>
      <c r="K175" s="22">
        <v>89.765000088765007</v>
      </c>
      <c r="L175" s="22">
        <v>89.765000088765007</v>
      </c>
      <c r="M175" s="22">
        <v>89.765000088765007</v>
      </c>
      <c r="N175" s="22">
        <v>94.440000093440005</v>
      </c>
      <c r="O175" s="22">
        <v>100.985000099985</v>
      </c>
      <c r="P175" s="22">
        <v>100.689451223571</v>
      </c>
      <c r="Q175" s="22">
        <v>91.645968951929206</v>
      </c>
      <c r="R175" s="22">
        <v>81.0502219755422</v>
      </c>
      <c r="S175" s="22">
        <v>87.528548830185898</v>
      </c>
      <c r="T175" s="22">
        <v>77.931588724653196</v>
      </c>
      <c r="U175" s="22">
        <v>86.890670674160404</v>
      </c>
      <c r="V175" s="22">
        <v>89.337637916450106</v>
      </c>
      <c r="W175" s="22">
        <v>82.056281563365701</v>
      </c>
      <c r="X175" s="22">
        <v>77.352952935139498</v>
      </c>
      <c r="Y175" s="22">
        <v>76.828559514107795</v>
      </c>
      <c r="Z175" s="22">
        <v>98.810961781363503</v>
      </c>
      <c r="AA175" s="22">
        <v>119.492607763333</v>
      </c>
      <c r="AB175" s="22">
        <v>138.56880080833301</v>
      </c>
      <c r="AC175" s="22">
        <v>158.89256837242399</v>
      </c>
      <c r="AD175" s="22">
        <v>163.367563900455</v>
      </c>
      <c r="AE175" s="22">
        <v>125.928813465</v>
      </c>
      <c r="AF175" s="22">
        <v>109.285496775</v>
      </c>
      <c r="AG175" s="22">
        <v>108.307921995</v>
      </c>
      <c r="AH175" s="22">
        <v>116.002459755</v>
      </c>
      <c r="AI175" s="22">
        <v>99.004900995</v>
      </c>
      <c r="AJ175" s="22">
        <v>102.58383680999999</v>
      </c>
      <c r="AK175" s="22">
        <v>96.251100718499998</v>
      </c>
      <c r="AL175" s="22">
        <v>102.96771521399999</v>
      </c>
      <c r="AM175" s="22">
        <v>100.946171781</v>
      </c>
      <c r="AN175" s="22">
        <v>90.754136518500005</v>
      </c>
      <c r="AO175" s="22">
        <v>93.009406990499997</v>
      </c>
      <c r="AP175" s="22">
        <v>106.12156054499999</v>
      </c>
      <c r="AQ175" s="22">
        <v>107.2638139482</v>
      </c>
      <c r="AR175" s="22">
        <v>111.966914110147</v>
      </c>
      <c r="AS175" s="22">
        <v>129.201037953271</v>
      </c>
      <c r="AT175" s="22">
        <v>133.23779121622499</v>
      </c>
      <c r="AU175" s="22">
        <v>126.200312871571</v>
      </c>
      <c r="AV175" s="22">
        <v>105.494942032458</v>
      </c>
      <c r="AW175" s="22">
        <v>95.933336892522902</v>
      </c>
      <c r="AX175" s="22">
        <v>95.918843390948496</v>
      </c>
      <c r="AY175" s="22">
        <v>95.039671719798207</v>
      </c>
      <c r="AZ175" s="22">
        <v>87.073047933181201</v>
      </c>
      <c r="BA175" s="22">
        <v>81.136329278054902</v>
      </c>
      <c r="BB175" s="22">
        <v>85.5557814096789</v>
      </c>
      <c r="BC175" s="22">
        <v>90.0129741146296</v>
      </c>
      <c r="BD175" s="22">
        <v>85.729551829928695</v>
      </c>
      <c r="BE175" s="22">
        <v>92.880411084142906</v>
      </c>
      <c r="BF175" s="22">
        <v>89.850221498738506</v>
      </c>
      <c r="BG175" s="22">
        <v>89.824335377900894</v>
      </c>
      <c r="BH175" s="22">
        <v>107.55323440431501</v>
      </c>
      <c r="BI175" s="22">
        <v>107.806815805024</v>
      </c>
      <c r="BJ175" s="22">
        <v>105.63307815114899</v>
      </c>
      <c r="BK175" s="22">
        <v>101.046821879543</v>
      </c>
      <c r="BL175" s="22">
        <v>106.588933804405</v>
      </c>
    </row>
    <row r="176" spans="1:64">
      <c r="A176" s="22" t="s">
        <v>10887</v>
      </c>
      <c r="B176" s="22" t="s">
        <v>11468</v>
      </c>
      <c r="C176" s="22" t="s">
        <v>11241</v>
      </c>
      <c r="D176" s="22" t="s">
        <v>11242</v>
      </c>
      <c r="E176" s="22">
        <v>245.19510139835899</v>
      </c>
      <c r="F176" s="22">
        <v>245.26010162116</v>
      </c>
      <c r="G176" s="22">
        <v>245.013850686544</v>
      </c>
      <c r="H176" s="22">
        <v>245.01635069607499</v>
      </c>
      <c r="I176" s="22">
        <v>245.027184079042</v>
      </c>
      <c r="J176" s="22">
        <v>245.06093420770799</v>
      </c>
      <c r="K176" s="22">
        <v>245.67843655764401</v>
      </c>
      <c r="L176" s="22">
        <v>246.00093779128099</v>
      </c>
      <c r="M176" s="22">
        <v>247.56469375695099</v>
      </c>
      <c r="N176" s="22">
        <v>259.960574351236</v>
      </c>
      <c r="O176" s="22">
        <v>276.403137026845</v>
      </c>
      <c r="P176" s="22">
        <v>275.35645668533198</v>
      </c>
      <c r="Q176" s="22">
        <v>252.02762746264901</v>
      </c>
      <c r="R176" s="22">
        <v>222.88918305322699</v>
      </c>
      <c r="S176" s="22">
        <v>240.70466763782301</v>
      </c>
      <c r="T176" s="22">
        <v>214.31290034121901</v>
      </c>
      <c r="U176" s="22">
        <v>238.95049426705901</v>
      </c>
      <c r="V176" s="22">
        <v>245.67968656657601</v>
      </c>
      <c r="W176" s="22">
        <v>225.65586023395699</v>
      </c>
      <c r="X176" s="22">
        <v>212.721644262377</v>
      </c>
      <c r="Y176" s="22">
        <v>211.27955541470499</v>
      </c>
      <c r="Z176" s="22">
        <v>271.73145255032699</v>
      </c>
      <c r="AA176" s="22">
        <v>328.60625269898998</v>
      </c>
      <c r="AB176" s="22">
        <v>381.06603602462798</v>
      </c>
      <c r="AC176" s="22">
        <v>436.95666578800802</v>
      </c>
      <c r="AD176" s="22">
        <v>449.26296271160697</v>
      </c>
      <c r="AE176" s="22">
        <v>346.305903554493</v>
      </c>
      <c r="AF176" s="22">
        <v>300.53656240147802</v>
      </c>
      <c r="AG176" s="22">
        <v>297.84821881937802</v>
      </c>
      <c r="AH176" s="22">
        <v>319.008299487903</v>
      </c>
      <c r="AI176" s="22">
        <v>272.264787954393</v>
      </c>
      <c r="AJ176" s="22">
        <v>282.10690880881998</v>
      </c>
      <c r="AK176" s="22">
        <v>264.69180075057898</v>
      </c>
      <c r="AL176" s="22">
        <v>283.16257950001801</v>
      </c>
      <c r="AM176" s="22">
        <v>555.20469565569704</v>
      </c>
      <c r="AN176" s="22">
        <v>499.14842590131002</v>
      </c>
      <c r="AO176" s="22">
        <v>511.55243027251601</v>
      </c>
      <c r="AP176" s="22">
        <v>583.66937235339606</v>
      </c>
      <c r="AQ176" s="22">
        <v>589.951774567332</v>
      </c>
      <c r="AR176" s="22">
        <v>615.47334931916396</v>
      </c>
      <c r="AS176" s="22">
        <v>710.20797703136702</v>
      </c>
      <c r="AT176" s="22">
        <v>732.39769326022804</v>
      </c>
      <c r="AU176" s="22">
        <v>693.71322649637398</v>
      </c>
      <c r="AV176" s="22">
        <v>579.897426172466</v>
      </c>
      <c r="AW176" s="22">
        <v>527.33803229157604</v>
      </c>
      <c r="AX176" s="22">
        <v>527.25836264962595</v>
      </c>
      <c r="AY176" s="22">
        <v>522.42562489517604</v>
      </c>
      <c r="AZ176" s="22">
        <v>478.63371847636301</v>
      </c>
      <c r="BA176" s="22">
        <v>446.00004143278801</v>
      </c>
      <c r="BB176" s="22">
        <v>470.29342334139801</v>
      </c>
      <c r="BC176" s="22">
        <v>494.794262222947</v>
      </c>
      <c r="BD176" s="22">
        <v>471.24862571893698</v>
      </c>
      <c r="BE176" s="22">
        <v>510.55633845425098</v>
      </c>
      <c r="BF176" s="22">
        <v>493.89962385223703</v>
      </c>
      <c r="BG176" s="22">
        <v>493.757329875312</v>
      </c>
      <c r="BH176" s="22">
        <v>591.21169798260996</v>
      </c>
      <c r="BI176" s="22">
        <v>592.60561506302201</v>
      </c>
      <c r="BJ176" s="22">
        <v>580.65674958785803</v>
      </c>
      <c r="BK176" s="22">
        <v>555.44645839822601</v>
      </c>
      <c r="BL176" s="22">
        <v>585.91101318036897</v>
      </c>
    </row>
    <row r="177" spans="1:64">
      <c r="A177" s="22" t="s">
        <v>6213</v>
      </c>
      <c r="B177" s="22" t="s">
        <v>11469</v>
      </c>
      <c r="C177" s="22" t="s">
        <v>11241</v>
      </c>
      <c r="D177" s="22" t="s">
        <v>11242</v>
      </c>
      <c r="E177" s="22">
        <v>0.71428599971428597</v>
      </c>
      <c r="F177" s="22">
        <v>0.71428599971428597</v>
      </c>
      <c r="G177" s="22">
        <v>0.71428599971428597</v>
      </c>
      <c r="H177" s="22">
        <v>0.71428599971428597</v>
      </c>
      <c r="I177" s="22">
        <v>0.71428599971428597</v>
      </c>
      <c r="J177" s="22">
        <v>0.71428599971428597</v>
      </c>
      <c r="K177" s="22">
        <v>0.71428599971428597</v>
      </c>
      <c r="L177" s="22">
        <v>0.71428599971428597</v>
      </c>
      <c r="M177" s="22">
        <v>0.71428599971428597</v>
      </c>
      <c r="N177" s="22">
        <v>0.71428599971428597</v>
      </c>
      <c r="O177" s="22">
        <v>0.71428599971428597</v>
      </c>
      <c r="P177" s="22">
        <v>0.71285583298809596</v>
      </c>
      <c r="Q177" s="22">
        <v>0.65789499900000004</v>
      </c>
      <c r="R177" s="22">
        <v>0.65789499900000004</v>
      </c>
      <c r="S177" s="22">
        <v>0.63028204624823903</v>
      </c>
      <c r="T177" s="22">
        <v>0.61550155335078705</v>
      </c>
      <c r="U177" s="22">
        <v>0.62660100366536897</v>
      </c>
      <c r="V177" s="22">
        <v>0.64470106214118605</v>
      </c>
      <c r="W177" s="22">
        <v>0.63527199426580105</v>
      </c>
      <c r="X177" s="22">
        <v>0.60400737401714399</v>
      </c>
      <c r="Y177" s="22">
        <v>0.54678089191608303</v>
      </c>
      <c r="Z177" s="22">
        <v>0.61770817502880504</v>
      </c>
      <c r="AA177" s="22">
        <v>0.67346126152852404</v>
      </c>
      <c r="AB177" s="22">
        <v>0.72440985115157297</v>
      </c>
      <c r="AC177" s="22">
        <v>0.76652744911239201</v>
      </c>
      <c r="AD177" s="22">
        <v>0.89377408333333297</v>
      </c>
      <c r="AE177" s="22">
        <v>1.7545230040748101</v>
      </c>
      <c r="AF177" s="22">
        <v>4.0160373443362998</v>
      </c>
      <c r="AG177" s="22">
        <v>4.5369666666666699</v>
      </c>
      <c r="AH177" s="22">
        <v>7.3647349999999996</v>
      </c>
      <c r="AI177" s="22">
        <v>8.0382850000000001</v>
      </c>
      <c r="AJ177" s="22">
        <v>9.9094916666666695</v>
      </c>
      <c r="AK177" s="22">
        <v>17.298425000000002</v>
      </c>
      <c r="AL177" s="22">
        <v>22.0654</v>
      </c>
      <c r="AM177" s="22">
        <v>21.995999999999999</v>
      </c>
      <c r="AN177" s="22">
        <v>21.895258333333299</v>
      </c>
      <c r="AO177" s="22">
        <v>21.884425</v>
      </c>
      <c r="AP177" s="22">
        <v>21.886050000000001</v>
      </c>
      <c r="AQ177" s="22">
        <v>21.885999999999999</v>
      </c>
      <c r="AR177" s="22">
        <v>92.338099999999997</v>
      </c>
      <c r="AS177" s="22">
        <v>101.69733333333301</v>
      </c>
      <c r="AT177" s="22">
        <v>111.23125</v>
      </c>
      <c r="AU177" s="22">
        <v>120.57815833333299</v>
      </c>
      <c r="AV177" s="22">
        <v>129.22235000000001</v>
      </c>
      <c r="AW177" s="22">
        <v>132.888025</v>
      </c>
      <c r="AX177" s="22">
        <v>131.274333333333</v>
      </c>
      <c r="AY177" s="22">
        <v>128.65166666666701</v>
      </c>
      <c r="AZ177" s="22">
        <v>125.808108333333</v>
      </c>
      <c r="BA177" s="22">
        <v>118.566666666667</v>
      </c>
      <c r="BB177" s="22">
        <v>148.88</v>
      </c>
      <c r="BC177" s="22">
        <v>150.29750000000001</v>
      </c>
      <c r="BD177" s="22">
        <v>153.86250000000001</v>
      </c>
      <c r="BE177" s="22">
        <v>157.5</v>
      </c>
      <c r="BF177" s="22">
        <v>157.31166666666701</v>
      </c>
      <c r="BG177" s="22">
        <v>158.552641666667</v>
      </c>
      <c r="BH177" s="22">
        <v>192.440333333333</v>
      </c>
      <c r="BI177" s="22">
        <v>253.49199999999999</v>
      </c>
      <c r="BJ177" s="22">
        <v>305.79010916000499</v>
      </c>
      <c r="BK177" s="22">
        <v>306.08368824523399</v>
      </c>
      <c r="BL177" s="22">
        <v>306.92095149522299</v>
      </c>
    </row>
    <row r="178" spans="1:64">
      <c r="A178" s="22" t="s">
        <v>10886</v>
      </c>
      <c r="B178" s="22" t="s">
        <v>11470</v>
      </c>
      <c r="C178" s="22" t="s">
        <v>11241</v>
      </c>
      <c r="D178" s="22" t="s">
        <v>11242</v>
      </c>
      <c r="E178" s="22">
        <v>2.0606441896551702E-9</v>
      </c>
      <c r="F178" s="22">
        <v>2.0606441896551702E-9</v>
      </c>
      <c r="G178" s="22">
        <v>2.0606441896551702E-9</v>
      </c>
      <c r="H178" s="22">
        <v>2.0606441896551702E-9</v>
      </c>
      <c r="I178" s="22">
        <v>2.0606441896551702E-9</v>
      </c>
      <c r="J178" s="22">
        <v>2.0606441896551702E-9</v>
      </c>
      <c r="K178" s="22">
        <v>2.0606441896551702E-9</v>
      </c>
      <c r="L178" s="22">
        <v>2.0606441896551702E-9</v>
      </c>
      <c r="M178" s="22">
        <v>2.0606441896551702E-9</v>
      </c>
      <c r="N178" s="22">
        <v>2.0606441896551702E-9</v>
      </c>
      <c r="O178" s="22">
        <v>2.0606441896551702E-9</v>
      </c>
      <c r="P178" s="22">
        <v>2.0606441896551702E-9</v>
      </c>
      <c r="Q178" s="22">
        <v>2.0606441896551702E-9</v>
      </c>
      <c r="R178" s="22">
        <v>2.0606197500000002E-9</v>
      </c>
      <c r="S178" s="22">
        <v>2.0606441896551702E-9</v>
      </c>
      <c r="T178" s="22">
        <v>2.0606441896551702E-9</v>
      </c>
      <c r="U178" s="22">
        <v>2.0606441896551702E-9</v>
      </c>
      <c r="V178" s="22">
        <v>2.0606441896551702E-9</v>
      </c>
      <c r="W178" s="22">
        <v>2.0606441896551702E-9</v>
      </c>
      <c r="X178" s="22">
        <v>2.7882567155172402E-9</v>
      </c>
      <c r="Y178" s="22">
        <v>2.9474224137930999E-9</v>
      </c>
      <c r="Z178" s="22">
        <v>2.9474224137930999E-9</v>
      </c>
      <c r="AA178" s="22">
        <v>2.9474224137930999E-9</v>
      </c>
      <c r="AB178" s="22">
        <v>2.9476668103448198E-9</v>
      </c>
      <c r="AC178" s="22">
        <v>2.9476668103448198E-9</v>
      </c>
      <c r="AD178" s="22">
        <v>7.7730323275862004E-9</v>
      </c>
      <c r="AE178" s="22">
        <v>1.9502844827586202E-8</v>
      </c>
      <c r="AF178" s="22">
        <v>2.05293103448276E-8</v>
      </c>
      <c r="AG178" s="22">
        <v>5.3946239281609197E-5</v>
      </c>
      <c r="AH178" s="22">
        <v>3.1308999999999998E-3</v>
      </c>
      <c r="AI178" s="22">
        <v>0.14092241666666699</v>
      </c>
      <c r="AJ178" s="22">
        <v>4.27082828333333</v>
      </c>
      <c r="AK178" s="22">
        <v>5</v>
      </c>
      <c r="AL178" s="22">
        <v>5.6204083333333301</v>
      </c>
      <c r="AM178" s="22">
        <v>6.7228750000000002</v>
      </c>
      <c r="AN178" s="22">
        <v>7.5455916666666702</v>
      </c>
      <c r="AO178" s="22">
        <v>8.4354999999999993</v>
      </c>
      <c r="AP178" s="22">
        <v>9.4480833333333294</v>
      </c>
      <c r="AQ178" s="22">
        <v>10.5819166666667</v>
      </c>
      <c r="AR178" s="22">
        <v>11.80925</v>
      </c>
      <c r="AS178" s="22">
        <v>12.6843916666667</v>
      </c>
      <c r="AT178" s="22">
        <v>13.3719416666667</v>
      </c>
      <c r="AU178" s="22">
        <v>14.251325250000001</v>
      </c>
      <c r="AV178" s="22">
        <v>15.1046433333333</v>
      </c>
      <c r="AW178" s="22">
        <v>15.937247316462701</v>
      </c>
      <c r="AX178" s="22">
        <v>16.733329534050199</v>
      </c>
      <c r="AY178" s="22">
        <v>17.569998431899599</v>
      </c>
      <c r="AZ178" s="22">
        <v>18.448506159754199</v>
      </c>
      <c r="BA178" s="22">
        <v>19.371896406501101</v>
      </c>
      <c r="BB178" s="22">
        <v>20.339481870199702</v>
      </c>
      <c r="BC178" s="22">
        <v>21.356448683435801</v>
      </c>
      <c r="BD178" s="22">
        <v>22.424270616359401</v>
      </c>
      <c r="BE178" s="22">
        <v>23.546663531083901</v>
      </c>
      <c r="BF178" s="22">
        <v>24.7227641666667</v>
      </c>
      <c r="BG178" s="22">
        <v>25.958900366743499</v>
      </c>
      <c r="BH178" s="22">
        <v>27.256844940476199</v>
      </c>
      <c r="BI178" s="22">
        <v>28.6209624101587</v>
      </c>
      <c r="BJ178" s="22">
        <v>30.0509413442878</v>
      </c>
      <c r="BK178" s="22">
        <v>31.5532123338754</v>
      </c>
      <c r="BL178" s="22">
        <v>33.121745265283998</v>
      </c>
    </row>
    <row r="179" spans="1:64">
      <c r="A179" s="22" t="s">
        <v>3448</v>
      </c>
      <c r="B179" s="22" t="s">
        <v>11471</v>
      </c>
      <c r="C179" s="22" t="s">
        <v>11241</v>
      </c>
      <c r="D179" s="22" t="s">
        <v>11242</v>
      </c>
      <c r="E179" s="22">
        <v>3.8000000028000001</v>
      </c>
      <c r="F179" s="22">
        <v>3.6500000026500001</v>
      </c>
      <c r="G179" s="22">
        <v>3.6200000026199999</v>
      </c>
      <c r="H179" s="22">
        <v>3.6200000026199999</v>
      </c>
      <c r="I179" s="22">
        <v>3.6200000026199999</v>
      </c>
      <c r="J179" s="22">
        <v>3.6200000026199999</v>
      </c>
      <c r="K179" s="22">
        <v>3.6200000026199999</v>
      </c>
      <c r="L179" s="22">
        <v>3.6200000026199999</v>
      </c>
      <c r="M179" s="22">
        <v>3.6200000026199999</v>
      </c>
      <c r="N179" s="22">
        <v>3.6200000026199999</v>
      </c>
      <c r="O179" s="22">
        <v>3.6200000026199999</v>
      </c>
      <c r="P179" s="22">
        <v>3.5170805388896298</v>
      </c>
      <c r="Q179" s="22">
        <v>3.2094999990000002</v>
      </c>
      <c r="R179" s="22">
        <v>2.7955499990833301</v>
      </c>
      <c r="S179" s="22">
        <v>2.6883833323333302</v>
      </c>
      <c r="T179" s="22">
        <v>2.52899166575</v>
      </c>
      <c r="U179" s="22">
        <v>2.6439416656666701</v>
      </c>
      <c r="V179" s="22">
        <v>2.4542499990833302</v>
      </c>
      <c r="W179" s="22">
        <v>2.1635833325833298</v>
      </c>
      <c r="X179" s="22">
        <v>2.0059916657499999</v>
      </c>
      <c r="Y179" s="22">
        <v>1.98811666591667</v>
      </c>
      <c r="Z179" s="22">
        <v>2.4951999990833298</v>
      </c>
      <c r="AA179" s="22">
        <v>2.6702083324166699</v>
      </c>
      <c r="AB179" s="22">
        <v>2.8541249990000002</v>
      </c>
      <c r="AC179" s="22">
        <v>3.20868333291667</v>
      </c>
      <c r="AD179" s="22">
        <v>3.3214000000000001</v>
      </c>
      <c r="AE179" s="22">
        <v>2.4500249999166699</v>
      </c>
      <c r="AF179" s="22">
        <v>2.0257000000000001</v>
      </c>
      <c r="AG179" s="22">
        <v>1.97658333333333</v>
      </c>
      <c r="AH179" s="22">
        <v>2.1207375000000002</v>
      </c>
      <c r="AI179" s="22">
        <v>1.82094166666667</v>
      </c>
      <c r="AJ179" s="22">
        <v>1.8696666666666699</v>
      </c>
      <c r="AK179" s="22">
        <v>1.7584663333333299</v>
      </c>
      <c r="AL179" s="22">
        <v>1.85730516666667</v>
      </c>
      <c r="AM179" s="22">
        <v>1.81999508333333</v>
      </c>
      <c r="AN179" s="22">
        <v>1.60567525</v>
      </c>
      <c r="AO179" s="22">
        <v>1.6858967499999999</v>
      </c>
      <c r="AP179" s="22">
        <v>1.95126991666667</v>
      </c>
      <c r="AQ179" s="22">
        <v>1.983733</v>
      </c>
    </row>
    <row r="180" spans="1:64">
      <c r="A180" s="22" t="s">
        <v>10889</v>
      </c>
      <c r="B180" s="22" t="s">
        <v>11472</v>
      </c>
      <c r="C180" s="22" t="s">
        <v>11241</v>
      </c>
      <c r="D180" s="22" t="s">
        <v>11242</v>
      </c>
      <c r="E180" s="22">
        <v>7.1428600061428602</v>
      </c>
      <c r="F180" s="22">
        <v>7.1428600061428602</v>
      </c>
      <c r="G180" s="22">
        <v>7.1428600061428602</v>
      </c>
      <c r="H180" s="22">
        <v>7.1428600061428602</v>
      </c>
      <c r="I180" s="22">
        <v>7.1428600061428602</v>
      </c>
      <c r="J180" s="22">
        <v>7.1428600061428602</v>
      </c>
      <c r="K180" s="22">
        <v>7.1428600061428602</v>
      </c>
      <c r="L180" s="22">
        <v>7.1428600061428602</v>
      </c>
      <c r="M180" s="22">
        <v>7.1428600061428602</v>
      </c>
      <c r="N180" s="22">
        <v>7.1428600061428602</v>
      </c>
      <c r="O180" s="22">
        <v>7.1428600061428602</v>
      </c>
      <c r="P180" s="22">
        <v>7.0559054708010303</v>
      </c>
      <c r="Q180" s="22">
        <v>6.5882491722678704</v>
      </c>
      <c r="R180" s="22">
        <v>5.7658333323333304</v>
      </c>
      <c r="S180" s="22">
        <v>5.5397083323333298</v>
      </c>
      <c r="T180" s="22">
        <v>5.2269416656666703</v>
      </c>
      <c r="U180" s="22">
        <v>5.4565166656666699</v>
      </c>
      <c r="V180" s="22">
        <v>5.323499999</v>
      </c>
      <c r="W180" s="22">
        <v>5.2422499990000002</v>
      </c>
      <c r="X180" s="22">
        <v>5.0640666656666697</v>
      </c>
      <c r="Y180" s="22">
        <v>4.9392249990000003</v>
      </c>
      <c r="Z180" s="22">
        <v>5.7395083323333296</v>
      </c>
      <c r="AA180" s="22">
        <v>6.4540333323333297</v>
      </c>
      <c r="AB180" s="22">
        <v>7.2963666656666701</v>
      </c>
      <c r="AC180" s="22">
        <v>8.1614583325833294</v>
      </c>
      <c r="AD180" s="22">
        <v>8.5972333330833308</v>
      </c>
      <c r="AE180" s="22">
        <v>7.3947416666666701</v>
      </c>
      <c r="AF180" s="22">
        <v>6.7374499999999999</v>
      </c>
      <c r="AG180" s="22">
        <v>6.5169833333333296</v>
      </c>
      <c r="AH180" s="22">
        <v>6.9044999999999996</v>
      </c>
      <c r="AI180" s="22">
        <v>6.2597416666666703</v>
      </c>
      <c r="AJ180" s="22">
        <v>6.4829425000000001</v>
      </c>
      <c r="AK180" s="22">
        <v>6.2145008333333296</v>
      </c>
      <c r="AL180" s="22">
        <v>7.0941291666666704</v>
      </c>
      <c r="AM180" s="22">
        <v>7.0575841666666701</v>
      </c>
      <c r="AN180" s="22">
        <v>6.3351566666666699</v>
      </c>
      <c r="AO180" s="22">
        <v>6.4498083333333298</v>
      </c>
      <c r="AP180" s="22">
        <v>7.0734008333333298</v>
      </c>
      <c r="AQ180" s="22">
        <v>7.5450974999999998</v>
      </c>
      <c r="AR180" s="22">
        <v>7.7991716666666697</v>
      </c>
      <c r="AS180" s="22">
        <v>8.8018416666666699</v>
      </c>
      <c r="AT180" s="22">
        <v>8.9916541666666703</v>
      </c>
      <c r="AU180" s="22">
        <v>7.9837788333333304</v>
      </c>
      <c r="AV180" s="22">
        <v>7.0802166666666704</v>
      </c>
      <c r="AW180" s="22">
        <v>6.7408333333333301</v>
      </c>
      <c r="AX180" s="22">
        <v>6.4424999999999999</v>
      </c>
      <c r="AY180" s="22">
        <v>6.4133333333333304</v>
      </c>
      <c r="AZ180" s="22">
        <v>5.8616666666666699</v>
      </c>
      <c r="BA180" s="22">
        <v>5.64</v>
      </c>
      <c r="BB180" s="22">
        <v>6.2883333333333304</v>
      </c>
      <c r="BC180" s="22">
        <v>6.04416666666667</v>
      </c>
      <c r="BD180" s="22">
        <v>5.60460730676329</v>
      </c>
      <c r="BE180" s="22">
        <v>5.8174999999999999</v>
      </c>
      <c r="BF180" s="22">
        <v>5.875</v>
      </c>
      <c r="BG180" s="22">
        <v>6.3016666666666703</v>
      </c>
      <c r="BH180" s="22">
        <v>8.0641666666666705</v>
      </c>
      <c r="BI180" s="22">
        <v>8.4</v>
      </c>
      <c r="BJ180" s="22">
        <v>8.2716666666666701</v>
      </c>
      <c r="BK180" s="22">
        <v>8.1325000000000003</v>
      </c>
      <c r="BL180" s="22">
        <v>8.8000000000000007</v>
      </c>
    </row>
    <row r="181" spans="1:64">
      <c r="A181" s="22" t="s">
        <v>10883</v>
      </c>
      <c r="B181" s="22" t="s">
        <v>11473</v>
      </c>
      <c r="C181" s="22" t="s">
        <v>11241</v>
      </c>
      <c r="D181" s="22" t="s">
        <v>11242</v>
      </c>
      <c r="E181" s="22">
        <v>7.5000000064999996</v>
      </c>
      <c r="F181" s="22">
        <v>7.6190000066190002</v>
      </c>
      <c r="G181" s="22">
        <v>7.6190000066190002</v>
      </c>
      <c r="H181" s="22">
        <v>7.6190000066190002</v>
      </c>
      <c r="I181" s="22">
        <v>7.6190000066190002</v>
      </c>
      <c r="J181" s="22">
        <v>7.6190000066190002</v>
      </c>
      <c r="K181" s="22">
        <v>7.6172500066172502</v>
      </c>
      <c r="L181" s="22">
        <v>8.0341666738674995</v>
      </c>
      <c r="M181" s="22">
        <v>10.125000010125</v>
      </c>
      <c r="N181" s="22">
        <v>10.125000010125</v>
      </c>
      <c r="O181" s="22">
        <v>10.125000010125</v>
      </c>
      <c r="P181" s="22">
        <v>10.125004030341699</v>
      </c>
      <c r="Q181" s="22">
        <v>10.125</v>
      </c>
      <c r="R181" s="22">
        <v>10.5001666658333</v>
      </c>
      <c r="S181" s="22">
        <v>10.559999999</v>
      </c>
      <c r="T181" s="22">
        <v>11.0028333325</v>
      </c>
      <c r="U181" s="22">
        <v>12.5</v>
      </c>
      <c r="V181" s="22">
        <v>12.5</v>
      </c>
      <c r="W181" s="22">
        <v>12.1105</v>
      </c>
      <c r="X181" s="22">
        <v>12</v>
      </c>
      <c r="Y181" s="22">
        <v>12</v>
      </c>
      <c r="Z181" s="22">
        <v>12.336333333000001</v>
      </c>
      <c r="AA181" s="22">
        <v>13.243833332416701</v>
      </c>
      <c r="AB181" s="22">
        <v>14.545249999416701</v>
      </c>
      <c r="AC181" s="22">
        <v>16.459416666333301</v>
      </c>
      <c r="AD181" s="22">
        <v>18.2464166665</v>
      </c>
      <c r="AE181" s="22">
        <v>21.229833333166699</v>
      </c>
      <c r="AF181" s="22">
        <v>21.8191666666667</v>
      </c>
      <c r="AG181" s="22">
        <v>23.289249999999999</v>
      </c>
      <c r="AH181" s="22">
        <v>27.188833333333299</v>
      </c>
      <c r="AI181" s="22">
        <v>29.3691666666667</v>
      </c>
      <c r="AJ181" s="22">
        <v>37.255000000000003</v>
      </c>
      <c r="AK181" s="22">
        <v>42.717500000000001</v>
      </c>
      <c r="AL181" s="22">
        <v>48.607165000000002</v>
      </c>
      <c r="AM181" s="22">
        <v>49.397518333333302</v>
      </c>
      <c r="AN181" s="22">
        <v>51.890333333333302</v>
      </c>
      <c r="AO181" s="22">
        <v>56.691952499999999</v>
      </c>
      <c r="AP181" s="22">
        <v>58.009549166666702</v>
      </c>
      <c r="AQ181" s="22">
        <v>65.975787499999996</v>
      </c>
      <c r="AR181" s="22">
        <v>68.239370833333297</v>
      </c>
      <c r="AS181" s="22">
        <v>71.093795833333303</v>
      </c>
      <c r="AT181" s="22">
        <v>74.949250000000006</v>
      </c>
      <c r="AU181" s="22">
        <v>77.8766191666667</v>
      </c>
      <c r="AV181" s="22">
        <v>76.141447499999998</v>
      </c>
      <c r="AW181" s="22">
        <v>73.673596666666697</v>
      </c>
      <c r="AX181" s="22">
        <v>71.367500000000007</v>
      </c>
      <c r="AY181" s="22">
        <v>72.755605833333306</v>
      </c>
      <c r="AZ181" s="22">
        <v>66.415027499999994</v>
      </c>
      <c r="BA181" s="22">
        <v>69.761695000000003</v>
      </c>
      <c r="BB181" s="22">
        <v>77.573430739015606</v>
      </c>
      <c r="BC181" s="22">
        <v>73.262359015804606</v>
      </c>
      <c r="BD181" s="22">
        <v>74.02</v>
      </c>
      <c r="BE181" s="22">
        <v>85.225755992383498</v>
      </c>
      <c r="BF181" s="22">
        <v>93.084393807548494</v>
      </c>
      <c r="BG181" s="22">
        <v>97.554842156794606</v>
      </c>
      <c r="BH181" s="22">
        <v>102.405134331356</v>
      </c>
      <c r="BI181" s="22">
        <v>107.383815174654</v>
      </c>
      <c r="BJ181" s="22">
        <v>104.511885242863</v>
      </c>
      <c r="BK181" s="22">
        <v>108.930134109273</v>
      </c>
      <c r="BL181" s="22">
        <v>112.609482758621</v>
      </c>
    </row>
    <row r="182" spans="1:64">
      <c r="A182" s="22" t="s">
        <v>10882</v>
      </c>
      <c r="B182" s="22" t="s">
        <v>11474</v>
      </c>
      <c r="C182" s="22" t="s">
        <v>11241</v>
      </c>
      <c r="D182" s="22" t="s">
        <v>11242</v>
      </c>
      <c r="E182" s="22">
        <v>0.89285699989285705</v>
      </c>
      <c r="F182" s="22">
        <v>0.89285699989285705</v>
      </c>
      <c r="G182" s="22">
        <v>0.89285699989285705</v>
      </c>
      <c r="H182" s="22">
        <v>0.89285699989285705</v>
      </c>
      <c r="I182" s="22">
        <v>0.89285699989285705</v>
      </c>
      <c r="J182" s="22">
        <v>0.89285699989285705</v>
      </c>
      <c r="K182" s="22">
        <v>0.89285699989285705</v>
      </c>
      <c r="L182" s="22">
        <v>0.89285699989285705</v>
      </c>
      <c r="M182" s="22">
        <v>0.89285699989285705</v>
      </c>
      <c r="N182" s="22">
        <v>0.89285699989285705</v>
      </c>
      <c r="O182" s="22">
        <v>0.89285699989285705</v>
      </c>
      <c r="P182" s="22">
        <v>0.88267025929554799</v>
      </c>
      <c r="Q182" s="22">
        <v>0.838697807262207</v>
      </c>
      <c r="R182" s="22">
        <v>0.70411390796665796</v>
      </c>
      <c r="S182" s="22">
        <v>0.69666586863809599</v>
      </c>
      <c r="T182" s="22">
        <v>0.76387124900000003</v>
      </c>
      <c r="U182" s="22">
        <v>0.81828408233333305</v>
      </c>
      <c r="V182" s="22">
        <v>0.90182499900000002</v>
      </c>
      <c r="W182" s="22">
        <v>0.87365924900000003</v>
      </c>
      <c r="X182" s="22">
        <v>0.89464091566666704</v>
      </c>
      <c r="Y182" s="22">
        <v>0.87824433233333299</v>
      </c>
      <c r="Z182" s="22">
        <v>0.87021458233333304</v>
      </c>
      <c r="AA182" s="22">
        <v>0.98586283233333305</v>
      </c>
      <c r="AB182" s="22">
        <v>1.1100149991666699</v>
      </c>
      <c r="AC182" s="22">
        <v>1.1395191659166699</v>
      </c>
      <c r="AD182" s="22">
        <v>1.4318949995000001</v>
      </c>
      <c r="AE182" s="22">
        <v>1.4959741664166699</v>
      </c>
      <c r="AF182" s="22">
        <v>1.42818</v>
      </c>
      <c r="AG182" s="22">
        <v>1.2799083333333301</v>
      </c>
      <c r="AH182" s="22">
        <v>1.2645966666666699</v>
      </c>
      <c r="AI182" s="22">
        <v>1.2810566666666701</v>
      </c>
      <c r="AJ182" s="22">
        <v>1.2837558333333301</v>
      </c>
      <c r="AK182" s="22">
        <v>1.36164833333333</v>
      </c>
      <c r="AL182" s="22">
        <v>1.4705600000000001</v>
      </c>
      <c r="AM182" s="22">
        <v>1.3677508333333299</v>
      </c>
      <c r="AN182" s="22">
        <v>1.3490325000000001</v>
      </c>
      <c r="AO182" s="22">
        <v>1.27786333333333</v>
      </c>
      <c r="AP182" s="22">
        <v>1.34738</v>
      </c>
      <c r="AQ182" s="22">
        <v>1.5918283333333301</v>
      </c>
      <c r="AR182" s="22">
        <v>1.5499499999999999</v>
      </c>
      <c r="AS182" s="22">
        <v>1.7248266666666701</v>
      </c>
      <c r="AT182" s="22">
        <v>1.9334425</v>
      </c>
      <c r="AU182" s="22">
        <v>1.8405625000000001</v>
      </c>
      <c r="AV182" s="22">
        <v>1.54191416666667</v>
      </c>
      <c r="AW182" s="22">
        <v>1.3597524999999999</v>
      </c>
      <c r="AX182" s="22">
        <v>1.3094733333333299</v>
      </c>
      <c r="AY182" s="22">
        <v>1.3279734405000001</v>
      </c>
      <c r="AZ182" s="22">
        <v>1.1950725</v>
      </c>
      <c r="BA182" s="22">
        <v>1.19217833333333</v>
      </c>
      <c r="BB182" s="22">
        <v>1.28218881008452</v>
      </c>
      <c r="BC182" s="22">
        <v>1.0901594863867701</v>
      </c>
      <c r="BD182" s="22">
        <v>0.96946320149673504</v>
      </c>
      <c r="BE182" s="22">
        <v>0.96580103065870804</v>
      </c>
      <c r="BF182" s="22">
        <v>1.0358430965205401</v>
      </c>
      <c r="BG182" s="22">
        <v>1.1093632928169199</v>
      </c>
      <c r="BH182" s="22">
        <v>1.33109026245502</v>
      </c>
      <c r="BI182" s="22">
        <v>1.3452139760194699</v>
      </c>
      <c r="BJ182" s="22">
        <v>1.3047580767159199</v>
      </c>
      <c r="BK182" s="22">
        <v>1.33841214646451</v>
      </c>
      <c r="BL182" s="22">
        <v>1.4385065442138201</v>
      </c>
    </row>
    <row r="183" spans="1:64">
      <c r="A183" s="22" t="s">
        <v>10885</v>
      </c>
      <c r="B183" s="22" t="s">
        <v>11475</v>
      </c>
      <c r="C183" s="22" t="s">
        <v>11241</v>
      </c>
      <c r="D183" s="22" t="s">
        <v>11242</v>
      </c>
      <c r="E183" s="22">
        <v>0.71428798606437804</v>
      </c>
      <c r="F183" s="22">
        <v>0.71551415608481606</v>
      </c>
      <c r="G183" s="22">
        <v>0.71919399971919395</v>
      </c>
      <c r="H183" s="22">
        <v>0.71919399971919395</v>
      </c>
      <c r="I183" s="22">
        <v>0.71919399971919395</v>
      </c>
      <c r="J183" s="22">
        <v>0.71919399971919395</v>
      </c>
      <c r="K183" s="22">
        <v>0.71919399971919395</v>
      </c>
      <c r="L183" s="22">
        <v>0.73366558300706597</v>
      </c>
      <c r="M183" s="22">
        <v>0.89285699989285705</v>
      </c>
      <c r="N183" s="22">
        <v>0.89285699989285705</v>
      </c>
      <c r="O183" s="22">
        <v>0.89285699989285705</v>
      </c>
      <c r="P183" s="22">
        <v>0.88060719460315895</v>
      </c>
      <c r="Q183" s="22">
        <v>0.83668005354752295</v>
      </c>
      <c r="R183" s="22">
        <v>0.73681212551313802</v>
      </c>
      <c r="S183" s="22">
        <v>0.71540258866536699</v>
      </c>
      <c r="T183" s="22">
        <v>0.83230721942330699</v>
      </c>
      <c r="U183" s="22">
        <v>1.0048887896505101</v>
      </c>
      <c r="V183" s="22">
        <v>1.03031165084621</v>
      </c>
      <c r="W183" s="22">
        <v>0.96442499900000001</v>
      </c>
      <c r="X183" s="22">
        <v>0.97850249899999997</v>
      </c>
      <c r="Y183" s="22">
        <v>1.02667999916667</v>
      </c>
      <c r="Z183" s="22">
        <v>1.15279499925</v>
      </c>
      <c r="AA183" s="22">
        <v>1.33260833233333</v>
      </c>
      <c r="AB183" s="22">
        <v>1.4967733323333301</v>
      </c>
      <c r="AC183" s="22">
        <v>1.76399249916667</v>
      </c>
      <c r="AD183" s="22">
        <v>2.02337249966667</v>
      </c>
      <c r="AE183" s="22">
        <v>1.9131608330833301</v>
      </c>
      <c r="AF183" s="22">
        <v>1.69456083333333</v>
      </c>
      <c r="AG183" s="22">
        <v>1.5264008333333301</v>
      </c>
      <c r="AH183" s="22">
        <v>1.67214833333333</v>
      </c>
      <c r="AI183" s="22">
        <v>1.6762033333333299</v>
      </c>
      <c r="AJ183" s="22">
        <v>1.73351416666667</v>
      </c>
      <c r="AK183" s="22">
        <v>1.8617916666666701</v>
      </c>
      <c r="AL183" s="22">
        <v>1.8505133333333299</v>
      </c>
      <c r="AM183" s="22">
        <v>1.68652166666667</v>
      </c>
      <c r="AN183" s="22">
        <v>1.5238766666666701</v>
      </c>
      <c r="AO183" s="22">
        <v>1.4548475000000001</v>
      </c>
      <c r="AP183" s="22">
        <v>1.51242083333333</v>
      </c>
      <c r="AQ183" s="22">
        <v>1.8682491666666701</v>
      </c>
      <c r="AR183" s="22">
        <v>1.88961389919167</v>
      </c>
      <c r="AS183" s="22">
        <v>2.2011491666666698</v>
      </c>
      <c r="AT183" s="22">
        <v>2.37875083333333</v>
      </c>
      <c r="AU183" s="22">
        <v>2.1621908333333302</v>
      </c>
      <c r="AV183" s="22">
        <v>1.7220991463977799</v>
      </c>
      <c r="AW183" s="22">
        <v>1.50868127077323</v>
      </c>
      <c r="AX183" s="22">
        <v>1.42027345661433</v>
      </c>
      <c r="AY183" s="22">
        <v>1.5420557566968101</v>
      </c>
      <c r="AZ183" s="22">
        <v>1.36067522852426</v>
      </c>
      <c r="BA183" s="22">
        <v>1.4227268095265</v>
      </c>
      <c r="BB183" s="22">
        <v>1.6008772952194701</v>
      </c>
      <c r="BC183" s="22">
        <v>1.38783382768108</v>
      </c>
      <c r="BD183" s="22">
        <v>1.26581069673447</v>
      </c>
      <c r="BE183" s="22">
        <v>1.2342836550132901</v>
      </c>
      <c r="BF183" s="22">
        <v>1.2194079739482899</v>
      </c>
      <c r="BG183" s="22">
        <v>1.20543333333333</v>
      </c>
      <c r="BH183" s="22">
        <v>1.433975</v>
      </c>
      <c r="BI183" s="22">
        <v>1.4365250000000001</v>
      </c>
      <c r="BJ183" s="22">
        <v>1.40740833333333</v>
      </c>
      <c r="BK183" s="22">
        <v>1.44525833333333</v>
      </c>
      <c r="BL183" s="22">
        <v>1.5178750000000001</v>
      </c>
    </row>
    <row r="184" spans="1:64">
      <c r="A184" s="22" t="s">
        <v>11476</v>
      </c>
      <c r="B184" s="22" t="s">
        <v>11477</v>
      </c>
      <c r="C184" s="22" t="s">
        <v>11241</v>
      </c>
      <c r="D184" s="22" t="s">
        <v>11242</v>
      </c>
    </row>
    <row r="185" spans="1:64">
      <c r="A185" s="22" t="s">
        <v>10890</v>
      </c>
      <c r="B185" s="22" t="s">
        <v>11478</v>
      </c>
      <c r="C185" s="22" t="s">
        <v>11241</v>
      </c>
      <c r="D185" s="22" t="s">
        <v>11242</v>
      </c>
      <c r="E185" s="22">
        <v>0.357142999357143</v>
      </c>
      <c r="F185" s="22">
        <v>0.357142999357143</v>
      </c>
      <c r="G185" s="22">
        <v>0.357142999357143</v>
      </c>
      <c r="H185" s="22">
        <v>0.357142999357143</v>
      </c>
      <c r="I185" s="22">
        <v>0.357142999357143</v>
      </c>
      <c r="J185" s="22">
        <v>0.357142999357143</v>
      </c>
      <c r="K185" s="22">
        <v>0.357142999357143</v>
      </c>
      <c r="L185" s="22">
        <v>0.36210333266567502</v>
      </c>
      <c r="M185" s="22">
        <v>0.41666699941666702</v>
      </c>
      <c r="N185" s="22">
        <v>0.41666699941666702</v>
      </c>
      <c r="O185" s="22">
        <v>0.41666699941666702</v>
      </c>
      <c r="P185" s="22">
        <v>0.41544749932071001</v>
      </c>
      <c r="Q185" s="22">
        <v>0.383772999</v>
      </c>
      <c r="R185" s="22">
        <v>0.35067616566666698</v>
      </c>
      <c r="S185" s="22">
        <v>0.34539999900000001</v>
      </c>
      <c r="T185" s="22">
        <v>0.34539999900000001</v>
      </c>
      <c r="U185" s="22">
        <v>0.34539999900000001</v>
      </c>
      <c r="V185" s="22">
        <v>0.34539999900000001</v>
      </c>
      <c r="W185" s="22">
        <v>0.34539999900000001</v>
      </c>
      <c r="X185" s="22">
        <v>0.34539999900000001</v>
      </c>
      <c r="Y185" s="22">
        <v>0.34539999900000001</v>
      </c>
      <c r="Z185" s="22">
        <v>0.34539999900000001</v>
      </c>
      <c r="AA185" s="22">
        <v>0.34539999900000001</v>
      </c>
      <c r="AB185" s="22">
        <v>0.34539999900000001</v>
      </c>
      <c r="AC185" s="22">
        <v>0.34539749958333299</v>
      </c>
      <c r="AD185" s="22">
        <v>0.34539500000000001</v>
      </c>
      <c r="AE185" s="22">
        <v>0.38198191666666698</v>
      </c>
      <c r="AF185" s="22">
        <v>0.38450000000000001</v>
      </c>
      <c r="AG185" s="22">
        <v>0.38450000000000001</v>
      </c>
      <c r="AH185" s="22">
        <v>0.38450000000000001</v>
      </c>
      <c r="AI185" s="22">
        <v>0.38450000000000001</v>
      </c>
      <c r="AJ185" s="22">
        <v>0.38450000000000001</v>
      </c>
      <c r="AK185" s="22">
        <v>0.38450000000000001</v>
      </c>
      <c r="AL185" s="22">
        <v>0.38450000000000001</v>
      </c>
      <c r="AM185" s="22">
        <v>0.38450000000000001</v>
      </c>
      <c r="AN185" s="22">
        <v>0.38450000000000001</v>
      </c>
      <c r="AO185" s="22">
        <v>0.38450000000000001</v>
      </c>
      <c r="AP185" s="22">
        <v>0.38450000000000001</v>
      </c>
      <c r="AQ185" s="22">
        <v>0.38450000000000001</v>
      </c>
      <c r="AR185" s="22">
        <v>0.38450000000000001</v>
      </c>
      <c r="AS185" s="22">
        <v>0.38450000000000001</v>
      </c>
      <c r="AT185" s="22">
        <v>0.38450000000000001</v>
      </c>
      <c r="AU185" s="22">
        <v>0.38450000000000001</v>
      </c>
      <c r="AV185" s="22">
        <v>0.38450000000000001</v>
      </c>
      <c r="AW185" s="22">
        <v>0.38450000000000001</v>
      </c>
      <c r="AX185" s="22">
        <v>0.38450000000000001</v>
      </c>
      <c r="AY185" s="22">
        <v>0.38450000000000001</v>
      </c>
      <c r="AZ185" s="22">
        <v>0.38450000000000001</v>
      </c>
      <c r="BA185" s="22">
        <v>0.38450000000000001</v>
      </c>
      <c r="BB185" s="22">
        <v>0.38450000000000001</v>
      </c>
      <c r="BC185" s="22">
        <v>0.38450000000000001</v>
      </c>
      <c r="BD185" s="22">
        <v>0.38450000000000001</v>
      </c>
      <c r="BE185" s="22">
        <v>0.38450000000000001</v>
      </c>
      <c r="BF185" s="22">
        <v>0.38450000000000001</v>
      </c>
      <c r="BG185" s="22">
        <v>0.38450000000000001</v>
      </c>
      <c r="BH185" s="22">
        <v>0.38450000000000001</v>
      </c>
      <c r="BI185" s="22">
        <v>0.38450000000000001</v>
      </c>
      <c r="BJ185" s="22">
        <v>0.38450000000000001</v>
      </c>
      <c r="BK185" s="22">
        <v>0.38450000000000001</v>
      </c>
      <c r="BL185" s="22">
        <v>0.38450000000000001</v>
      </c>
    </row>
    <row r="186" spans="1:64">
      <c r="A186" s="22" t="s">
        <v>11479</v>
      </c>
      <c r="B186" s="22" t="s">
        <v>11480</v>
      </c>
      <c r="C186" s="22" t="s">
        <v>11241</v>
      </c>
      <c r="D186" s="22" t="s">
        <v>11242</v>
      </c>
    </row>
    <row r="187" spans="1:64">
      <c r="A187" s="22" t="s">
        <v>3468</v>
      </c>
      <c r="B187" s="22" t="s">
        <v>11481</v>
      </c>
      <c r="C187" s="22" t="s">
        <v>11241</v>
      </c>
      <c r="D187" s="22" t="s">
        <v>11242</v>
      </c>
      <c r="E187" s="22">
        <v>4.7619000037618999</v>
      </c>
      <c r="F187" s="22">
        <v>4.7619000037618999</v>
      </c>
      <c r="G187" s="22">
        <v>4.7619000037618999</v>
      </c>
      <c r="H187" s="22">
        <v>4.7619000037618999</v>
      </c>
      <c r="I187" s="22">
        <v>4.7619000037618999</v>
      </c>
      <c r="J187" s="22">
        <v>4.7619000037618999</v>
      </c>
      <c r="K187" s="22">
        <v>4.7619000037618999</v>
      </c>
      <c r="L187" s="22">
        <v>4.7619000037618999</v>
      </c>
      <c r="M187" s="22">
        <v>4.7619000037618999</v>
      </c>
      <c r="N187" s="22">
        <v>4.7619000037618999</v>
      </c>
      <c r="O187" s="22">
        <v>4.7619000037618999</v>
      </c>
      <c r="P187" s="22">
        <v>4.7619000033650796</v>
      </c>
      <c r="Q187" s="22">
        <v>8.6813825825993707</v>
      </c>
      <c r="R187" s="22">
        <v>9.9942499999166703</v>
      </c>
      <c r="S187" s="22">
        <v>9.9</v>
      </c>
      <c r="T187" s="22">
        <v>9.9</v>
      </c>
      <c r="U187" s="22">
        <v>9.9</v>
      </c>
      <c r="V187" s="22">
        <v>9.9</v>
      </c>
      <c r="W187" s="22">
        <v>9.9</v>
      </c>
      <c r="X187" s="22">
        <v>9.9</v>
      </c>
      <c r="Y187" s="22">
        <v>9.9</v>
      </c>
      <c r="Z187" s="22">
        <v>9.9</v>
      </c>
      <c r="AA187" s="22">
        <v>11.8474666658333</v>
      </c>
      <c r="AB187" s="22">
        <v>13.1169749993333</v>
      </c>
      <c r="AC187" s="22">
        <v>14.0463333330833</v>
      </c>
      <c r="AD187" s="22">
        <v>15.92839166625</v>
      </c>
      <c r="AE187" s="22">
        <v>16.647508333083302</v>
      </c>
      <c r="AF187" s="22">
        <v>17.398800000000001</v>
      </c>
      <c r="AG187" s="22">
        <v>18.003291666666701</v>
      </c>
      <c r="AH187" s="22">
        <v>20.541491666666701</v>
      </c>
      <c r="AI187" s="22">
        <v>21.707374999999999</v>
      </c>
      <c r="AJ187" s="22">
        <v>23.8007666666667</v>
      </c>
      <c r="AK187" s="22">
        <v>25.082791666666701</v>
      </c>
      <c r="AL187" s="22">
        <v>28.1071833333333</v>
      </c>
      <c r="AM187" s="22">
        <v>30.566591666666699</v>
      </c>
      <c r="AN187" s="22">
        <v>31.642683333333299</v>
      </c>
      <c r="AO187" s="22">
        <v>36.078683333333302</v>
      </c>
      <c r="AP187" s="22">
        <v>41.111525</v>
      </c>
      <c r="AQ187" s="22">
        <v>45.046666666666702</v>
      </c>
      <c r="AR187" s="22">
        <v>49.5006915833333</v>
      </c>
      <c r="AS187" s="22">
        <v>53.648186500000001</v>
      </c>
      <c r="AT187" s="22">
        <v>61.927161666666699</v>
      </c>
      <c r="AU187" s="22">
        <v>59.723781666666703</v>
      </c>
      <c r="AV187" s="22">
        <v>57.751996666666699</v>
      </c>
      <c r="AW187" s="22">
        <v>58.257863333333297</v>
      </c>
      <c r="AX187" s="22">
        <v>59.514474999999997</v>
      </c>
      <c r="AY187" s="22">
        <v>60.271335000000001</v>
      </c>
      <c r="AZ187" s="22">
        <v>60.738515833333302</v>
      </c>
      <c r="BA187" s="22">
        <v>70.408033333333293</v>
      </c>
      <c r="BB187" s="22">
        <v>81.712891666666707</v>
      </c>
      <c r="BC187" s="22">
        <v>85.193816325757595</v>
      </c>
      <c r="BD187" s="22">
        <v>86.343383333333307</v>
      </c>
      <c r="BE187" s="22">
        <v>93.395197222222194</v>
      </c>
      <c r="BF187" s="22">
        <v>101.628899206349</v>
      </c>
      <c r="BG187" s="22">
        <v>101.100088423521</v>
      </c>
      <c r="BH187" s="22">
        <v>102.769271604675</v>
      </c>
      <c r="BI187" s="22">
        <v>104.769117033301</v>
      </c>
      <c r="BJ187" s="22">
        <v>105.45516208793801</v>
      </c>
      <c r="BK187" s="22">
        <v>121.824068875756</v>
      </c>
      <c r="BL187" s="22">
        <v>150.036253839864</v>
      </c>
    </row>
    <row r="188" spans="1:64">
      <c r="A188" s="22" t="s">
        <v>10892</v>
      </c>
      <c r="B188" s="22" t="s">
        <v>11482</v>
      </c>
      <c r="C188" s="22" t="s">
        <v>11241</v>
      </c>
      <c r="D188" s="22" t="s">
        <v>11242</v>
      </c>
      <c r="E188" s="22">
        <v>1</v>
      </c>
      <c r="F188" s="22">
        <v>1</v>
      </c>
      <c r="G188" s="22">
        <v>1</v>
      </c>
      <c r="H188" s="22">
        <v>1</v>
      </c>
      <c r="I188" s="22">
        <v>1</v>
      </c>
      <c r="J188" s="22">
        <v>1</v>
      </c>
      <c r="K188" s="22">
        <v>1</v>
      </c>
      <c r="L188" s="22">
        <v>1</v>
      </c>
      <c r="M188" s="22">
        <v>1</v>
      </c>
      <c r="N188" s="22">
        <v>1</v>
      </c>
      <c r="O188" s="22">
        <v>1</v>
      </c>
      <c r="P188" s="22">
        <v>1</v>
      </c>
      <c r="Q188" s="22">
        <v>1</v>
      </c>
      <c r="R188" s="22">
        <v>1</v>
      </c>
      <c r="S188" s="22">
        <v>1</v>
      </c>
      <c r="T188" s="22">
        <v>1</v>
      </c>
      <c r="U188" s="22">
        <v>1</v>
      </c>
      <c r="V188" s="22">
        <v>1</v>
      </c>
      <c r="W188" s="22">
        <v>1</v>
      </c>
      <c r="X188" s="22">
        <v>1</v>
      </c>
      <c r="Y188" s="22">
        <v>1</v>
      </c>
      <c r="Z188" s="22">
        <v>1</v>
      </c>
      <c r="AA188" s="22">
        <v>1</v>
      </c>
      <c r="AB188" s="22">
        <v>1</v>
      </c>
      <c r="AC188" s="22">
        <v>1</v>
      </c>
      <c r="AD188" s="22">
        <v>1</v>
      </c>
      <c r="AE188" s="22">
        <v>1</v>
      </c>
      <c r="AF188" s="22">
        <v>1</v>
      </c>
      <c r="AG188" s="22">
        <v>1</v>
      </c>
      <c r="AH188" s="22">
        <v>1</v>
      </c>
      <c r="AI188" s="22">
        <v>1</v>
      </c>
      <c r="AJ188" s="22">
        <v>1</v>
      </c>
      <c r="AK188" s="22">
        <v>1</v>
      </c>
      <c r="AL188" s="22">
        <v>1</v>
      </c>
      <c r="AM188" s="22">
        <v>1</v>
      </c>
      <c r="AN188" s="22">
        <v>1</v>
      </c>
      <c r="AO188" s="22">
        <v>1</v>
      </c>
      <c r="AP188" s="22">
        <v>1</v>
      </c>
      <c r="AQ188" s="22">
        <v>1</v>
      </c>
      <c r="AR188" s="22">
        <v>1</v>
      </c>
      <c r="AS188" s="22">
        <v>1</v>
      </c>
      <c r="AT188" s="22">
        <v>1</v>
      </c>
      <c r="AU188" s="22">
        <v>1</v>
      </c>
      <c r="AV188" s="22">
        <v>1</v>
      </c>
      <c r="AW188" s="22">
        <v>1</v>
      </c>
      <c r="AX188" s="22">
        <v>1</v>
      </c>
      <c r="AY188" s="22">
        <v>1</v>
      </c>
      <c r="AZ188" s="22">
        <v>1</v>
      </c>
      <c r="BA188" s="22">
        <v>1</v>
      </c>
      <c r="BB188" s="22">
        <v>1</v>
      </c>
      <c r="BC188" s="22">
        <v>1</v>
      </c>
      <c r="BD188" s="22">
        <v>1</v>
      </c>
      <c r="BE188" s="22">
        <v>1</v>
      </c>
      <c r="BF188" s="22">
        <v>1</v>
      </c>
      <c r="BG188" s="22">
        <v>1</v>
      </c>
      <c r="BH188" s="22">
        <v>1</v>
      </c>
      <c r="BI188" s="22">
        <v>1</v>
      </c>
      <c r="BJ188" s="22">
        <v>1</v>
      </c>
      <c r="BK188" s="22">
        <v>1</v>
      </c>
      <c r="BL188" s="22">
        <v>1</v>
      </c>
    </row>
    <row r="189" spans="1:64">
      <c r="A189" s="22" t="s">
        <v>3775</v>
      </c>
      <c r="B189" s="22" t="s">
        <v>11483</v>
      </c>
      <c r="C189" s="22" t="s">
        <v>11241</v>
      </c>
      <c r="D189" s="22" t="s">
        <v>11242</v>
      </c>
      <c r="E189" s="22">
        <v>2.7299166665916701E-8</v>
      </c>
      <c r="F189" s="22">
        <v>2.681666666575E-8</v>
      </c>
      <c r="G189" s="22">
        <v>2.6819999998999999E-8</v>
      </c>
      <c r="H189" s="22">
        <v>2.6819999998999999E-8</v>
      </c>
      <c r="I189" s="22">
        <v>2.6819999998999999E-8</v>
      </c>
      <c r="J189" s="22">
        <v>2.6819999998999999E-8</v>
      </c>
      <c r="K189" s="22">
        <v>2.6819999998999999E-8</v>
      </c>
      <c r="L189" s="22">
        <v>3.0248333332333302E-8</v>
      </c>
      <c r="M189" s="22">
        <v>3.8699999999000001E-8</v>
      </c>
      <c r="N189" s="22">
        <v>3.8699999999000001E-8</v>
      </c>
      <c r="O189" s="22">
        <v>3.8699999999000001E-8</v>
      </c>
      <c r="P189" s="22">
        <v>3.8699999999000001E-8</v>
      </c>
      <c r="Q189" s="22">
        <v>3.8699999999000001E-8</v>
      </c>
      <c r="R189" s="22">
        <v>3.8699999999000001E-8</v>
      </c>
      <c r="S189" s="22">
        <v>3.8699999999000001E-8</v>
      </c>
      <c r="T189" s="22">
        <v>4.0370833332583299E-8</v>
      </c>
      <c r="U189" s="22">
        <v>5.5755833332916701E-8</v>
      </c>
      <c r="V189" s="22">
        <v>8.4234833332583294E-8</v>
      </c>
      <c r="W189" s="22">
        <v>1.5634883333275001E-7</v>
      </c>
      <c r="X189" s="22">
        <v>2.24718916665667E-7</v>
      </c>
      <c r="Y189" s="22">
        <v>2.8885524999866702E-7</v>
      </c>
      <c r="Z189" s="22">
        <v>4.2231799999849999E-7</v>
      </c>
      <c r="AA189" s="22">
        <v>6.9756674999766704E-7</v>
      </c>
      <c r="AB189" s="22">
        <v>1.62863416666367E-6</v>
      </c>
      <c r="AC189" s="22">
        <v>3.4668541666649202E-6</v>
      </c>
      <c r="AD189" s="22">
        <v>1.09749424999999E-5</v>
      </c>
      <c r="AE189" s="22">
        <v>1.39475E-5</v>
      </c>
      <c r="AF189" s="22">
        <v>1.6835833333333298E-5</v>
      </c>
      <c r="AG189" s="22">
        <v>1.2883166666666701E-4</v>
      </c>
      <c r="AH189" s="22">
        <v>2.6661875000000002E-3</v>
      </c>
      <c r="AI189" s="22">
        <v>0.18788557916666701</v>
      </c>
      <c r="AJ189" s="22">
        <v>0.77249999999999996</v>
      </c>
      <c r="AK189" s="22">
        <v>1.24583333333333</v>
      </c>
      <c r="AL189" s="22">
        <v>1.9883189166666699</v>
      </c>
      <c r="AM189" s="22">
        <v>2.1949999999999998</v>
      </c>
      <c r="AN189" s="22">
        <v>2.2533333333333299</v>
      </c>
      <c r="AO189" s="22">
        <v>2.45333333333333</v>
      </c>
      <c r="AP189" s="22">
        <v>2.6641666666666701</v>
      </c>
      <c r="AQ189" s="22">
        <v>2.93</v>
      </c>
      <c r="AR189" s="22">
        <v>3.3833333333333302</v>
      </c>
      <c r="AS189" s="22">
        <v>3.49</v>
      </c>
      <c r="AT189" s="22">
        <v>3.5068333333333301</v>
      </c>
      <c r="AU189" s="22">
        <v>3.5165000000000002</v>
      </c>
      <c r="AV189" s="22">
        <v>3.4784670000000002</v>
      </c>
      <c r="AW189" s="22">
        <v>3.4131749999999998</v>
      </c>
      <c r="AX189" s="22">
        <v>3.2958416666666701</v>
      </c>
      <c r="AY189" s="22">
        <v>3.27403250265816</v>
      </c>
      <c r="AZ189" s="22">
        <v>3.1280445773524699</v>
      </c>
      <c r="BA189" s="22">
        <v>2.9244083333333299</v>
      </c>
      <c r="BB189" s="22">
        <v>3.0115083333333299</v>
      </c>
      <c r="BC189" s="22">
        <v>2.8251249999999999</v>
      </c>
      <c r="BD189" s="22">
        <v>2.7541000000000002</v>
      </c>
      <c r="BE189" s="22">
        <v>2.6375864177489201</v>
      </c>
      <c r="BF189" s="22">
        <v>2.7018990259740301</v>
      </c>
      <c r="BG189" s="22">
        <v>2.8390441378066402</v>
      </c>
      <c r="BH189" s="22">
        <v>3.1844392415223699</v>
      </c>
      <c r="BI189" s="22">
        <v>3.3750615872066501</v>
      </c>
      <c r="BJ189" s="22">
        <v>3.2604884908320999</v>
      </c>
      <c r="BK189" s="22">
        <v>3.2866026980329601</v>
      </c>
      <c r="BL189" s="22">
        <v>3.3372655465368002</v>
      </c>
    </row>
    <row r="190" spans="1:64">
      <c r="A190" s="22" t="s">
        <v>9288</v>
      </c>
      <c r="B190" s="22" t="s">
        <v>11484</v>
      </c>
      <c r="C190" s="22" t="s">
        <v>11241</v>
      </c>
      <c r="D190" s="22" t="s">
        <v>11242</v>
      </c>
      <c r="E190" s="22">
        <v>2.0149984883118099</v>
      </c>
      <c r="F190" s="22">
        <v>2.0199979840824098</v>
      </c>
      <c r="G190" s="22">
        <v>3.7278515776187202</v>
      </c>
      <c r="H190" s="22">
        <v>3.9104231462455998</v>
      </c>
      <c r="I190" s="22">
        <v>3.9100072879016801</v>
      </c>
      <c r="J190" s="22">
        <v>3.9091733474848702</v>
      </c>
      <c r="K190" s="22">
        <v>3.9000000029000002</v>
      </c>
      <c r="L190" s="22">
        <v>3.9000000029000002</v>
      </c>
      <c r="M190" s="22">
        <v>3.9000000029000002</v>
      </c>
      <c r="N190" s="22">
        <v>3.9000000029000002</v>
      </c>
      <c r="O190" s="22">
        <v>5.9043499993250004</v>
      </c>
      <c r="P190" s="22">
        <v>6.4317083323333302</v>
      </c>
      <c r="Q190" s="22">
        <v>6.6748416657499998</v>
      </c>
      <c r="R190" s="22">
        <v>6.7562833323333296</v>
      </c>
      <c r="S190" s="22">
        <v>6.7878749994166698</v>
      </c>
      <c r="T190" s="22">
        <v>7.2478999990000004</v>
      </c>
      <c r="U190" s="22">
        <v>7.4402583323333298</v>
      </c>
      <c r="V190" s="22">
        <v>7.4028249989999999</v>
      </c>
      <c r="W190" s="22">
        <v>7.3657583324999996</v>
      </c>
      <c r="X190" s="22">
        <v>7.3775499990000002</v>
      </c>
      <c r="Y190" s="22">
        <v>7.51143333233333</v>
      </c>
      <c r="Z190" s="22">
        <v>7.89964999908333</v>
      </c>
      <c r="AA190" s="22">
        <v>8.5399999994166702</v>
      </c>
      <c r="AB190" s="22">
        <v>11.1127166658333</v>
      </c>
      <c r="AC190" s="22">
        <v>16.698708332916699</v>
      </c>
      <c r="AD190" s="22">
        <v>18.607341666500002</v>
      </c>
      <c r="AE190" s="22">
        <v>20.385683333333301</v>
      </c>
      <c r="AF190" s="22">
        <v>20.567675000000001</v>
      </c>
      <c r="AG190" s="22">
        <v>21.094674999999999</v>
      </c>
      <c r="AH190" s="22">
        <v>21.7366833333333</v>
      </c>
      <c r="AI190" s="22">
        <v>24.310500000000001</v>
      </c>
      <c r="AJ190" s="22">
        <v>27.478633333333299</v>
      </c>
      <c r="AK190" s="22">
        <v>25.512491666666701</v>
      </c>
      <c r="AL190" s="22">
        <v>27.119841666666701</v>
      </c>
      <c r="AM190" s="22">
        <v>26.417166666666699</v>
      </c>
      <c r="AN190" s="22">
        <v>25.714466666666699</v>
      </c>
      <c r="AO190" s="22">
        <v>26.216100000000001</v>
      </c>
      <c r="AP190" s="22">
        <v>29.470658333333301</v>
      </c>
      <c r="AQ190" s="22">
        <v>40.893050000000002</v>
      </c>
      <c r="AR190" s="22">
        <v>39.088983333333303</v>
      </c>
      <c r="AS190" s="22">
        <v>44.192250000000001</v>
      </c>
      <c r="AT190" s="22">
        <v>50.992649999999998</v>
      </c>
      <c r="AU190" s="22">
        <v>51.603566666666701</v>
      </c>
      <c r="AV190" s="22">
        <v>54.203333333333298</v>
      </c>
      <c r="AW190" s="22">
        <v>56.039916666666699</v>
      </c>
      <c r="AX190" s="22">
        <v>55.085491666666698</v>
      </c>
      <c r="AY190" s="22">
        <v>51.314272500000001</v>
      </c>
      <c r="AZ190" s="22">
        <v>46.148391177755002</v>
      </c>
      <c r="BA190" s="22">
        <v>44.323287609410002</v>
      </c>
      <c r="BB190" s="22">
        <v>47.679688453509101</v>
      </c>
      <c r="BC190" s="22">
        <v>45.109664180089602</v>
      </c>
      <c r="BD190" s="22">
        <v>43.3131369237488</v>
      </c>
      <c r="BE190" s="22">
        <v>42.228794734943399</v>
      </c>
      <c r="BF190" s="22">
        <v>42.446184830673999</v>
      </c>
      <c r="BG190" s="22">
        <v>44.395154304209697</v>
      </c>
      <c r="BH190" s="22">
        <v>45.502839942143098</v>
      </c>
      <c r="BI190" s="22">
        <v>47.4924638585099</v>
      </c>
      <c r="BJ190" s="22">
        <v>50.403719793717698</v>
      </c>
      <c r="BK190" s="22">
        <v>52.661429953968302</v>
      </c>
      <c r="BL190" s="22">
        <v>51.795782651733298</v>
      </c>
    </row>
    <row r="191" spans="1:64">
      <c r="A191" s="22" t="s">
        <v>10891</v>
      </c>
      <c r="B191" s="22" t="s">
        <v>11485</v>
      </c>
      <c r="C191" s="22" t="s">
        <v>11241</v>
      </c>
      <c r="D191" s="22" t="s">
        <v>11242</v>
      </c>
      <c r="AX191" s="22">
        <v>1</v>
      </c>
      <c r="AY191" s="22">
        <v>1</v>
      </c>
      <c r="AZ191" s="22">
        <v>1</v>
      </c>
      <c r="BA191" s="22">
        <v>1</v>
      </c>
      <c r="BB191" s="22">
        <v>1</v>
      </c>
      <c r="BC191" s="22">
        <v>1</v>
      </c>
      <c r="BD191" s="22">
        <v>1</v>
      </c>
      <c r="BE191" s="22">
        <v>1</v>
      </c>
      <c r="BF191" s="22">
        <v>1</v>
      </c>
      <c r="BG191" s="22">
        <v>1</v>
      </c>
      <c r="BH191" s="22">
        <v>1</v>
      </c>
      <c r="BI191" s="22">
        <v>1</v>
      </c>
      <c r="BJ191" s="22">
        <v>1</v>
      </c>
      <c r="BK191" s="22">
        <v>1</v>
      </c>
      <c r="BL191" s="22">
        <v>1</v>
      </c>
    </row>
    <row r="192" spans="1:64">
      <c r="A192" s="22" t="s">
        <v>10893</v>
      </c>
      <c r="B192" s="22" t="s">
        <v>11486</v>
      </c>
      <c r="C192" s="22" t="s">
        <v>11241</v>
      </c>
      <c r="D192" s="22" t="s">
        <v>11242</v>
      </c>
      <c r="E192" s="22">
        <v>0.89285699989285705</v>
      </c>
      <c r="F192" s="22">
        <v>0.89285699989285705</v>
      </c>
      <c r="G192" s="22">
        <v>0.89285699989285705</v>
      </c>
      <c r="H192" s="22">
        <v>0.89285699989285705</v>
      </c>
      <c r="I192" s="22">
        <v>0.89285699989285705</v>
      </c>
      <c r="J192" s="22">
        <v>0.89285699989285705</v>
      </c>
      <c r="K192" s="22">
        <v>0.89285699989285705</v>
      </c>
      <c r="L192" s="22">
        <v>0.89285699989285705</v>
      </c>
      <c r="M192" s="22">
        <v>0.89285699989285705</v>
      </c>
      <c r="N192" s="22">
        <v>0.89285699989285705</v>
      </c>
      <c r="O192" s="22">
        <v>0.89285699989285705</v>
      </c>
      <c r="P192" s="22">
        <v>0.88275827124897299</v>
      </c>
      <c r="Q192" s="22">
        <v>0.83503897375136804</v>
      </c>
      <c r="R192" s="22">
        <v>0.70411390796665796</v>
      </c>
      <c r="S192" s="22">
        <v>0.69666586863809599</v>
      </c>
      <c r="T192" s="22">
        <v>0.76389333233333301</v>
      </c>
      <c r="U192" s="22">
        <v>0.79280749900000003</v>
      </c>
      <c r="V192" s="22">
        <v>0.79140833233333296</v>
      </c>
      <c r="W192" s="22">
        <v>0.70892499899999994</v>
      </c>
      <c r="X192" s="22">
        <v>0.71175749899999996</v>
      </c>
      <c r="Y192" s="22">
        <v>0.67094583233333305</v>
      </c>
      <c r="Z192" s="22">
        <v>0.67296749899999997</v>
      </c>
      <c r="AA192" s="22">
        <v>0.73845833233333302</v>
      </c>
      <c r="AB192" s="22">
        <v>0.83614583233333295</v>
      </c>
      <c r="AC192" s="22">
        <v>0.89855166625000005</v>
      </c>
      <c r="AD192" s="22">
        <v>1.0003141664166699</v>
      </c>
      <c r="AE192" s="22">
        <v>0.97141416666666702</v>
      </c>
      <c r="AF192" s="22">
        <v>0.90789916666666703</v>
      </c>
      <c r="AG192" s="22">
        <v>0.8670525</v>
      </c>
      <c r="AH192" s="22">
        <v>0.85879749999999999</v>
      </c>
      <c r="AI192" s="22">
        <v>0.95499999999999996</v>
      </c>
      <c r="AJ192" s="22">
        <v>0.95170916666666705</v>
      </c>
      <c r="AK192" s="22">
        <v>0.96466333333333298</v>
      </c>
      <c r="AL192" s="22">
        <v>0.97817666666666703</v>
      </c>
      <c r="AM192" s="22">
        <v>1.0113399999999999</v>
      </c>
      <c r="AN192" s="22">
        <v>1.2798416666666701</v>
      </c>
      <c r="AO192" s="22">
        <v>1.319075</v>
      </c>
      <c r="AP192" s="22">
        <v>1.43797166666667</v>
      </c>
      <c r="AQ192" s="22">
        <v>2.0735916666666698</v>
      </c>
      <c r="AR192" s="22">
        <v>2.5707724999999999</v>
      </c>
      <c r="AS192" s="22">
        <v>2.7821566666666699</v>
      </c>
      <c r="AT192" s="22">
        <v>3.3887150645833302</v>
      </c>
      <c r="AU192" s="22">
        <v>3.8952208016666701</v>
      </c>
      <c r="AV192" s="22">
        <v>3.5634528749999999</v>
      </c>
      <c r="AW192" s="22">
        <v>3.2225401036691999</v>
      </c>
      <c r="AX192" s="22">
        <v>3.1019498003333301</v>
      </c>
      <c r="AY192" s="22">
        <v>3.0567347873333302</v>
      </c>
      <c r="AZ192" s="22">
        <v>2.96534583333333</v>
      </c>
      <c r="BA192" s="22">
        <v>2.7000883333333299</v>
      </c>
      <c r="BB192" s="22">
        <v>2.7551433333333302</v>
      </c>
      <c r="BC192" s="22">
        <v>2.7192941666666699</v>
      </c>
      <c r="BD192" s="22">
        <v>2.37096994940423</v>
      </c>
      <c r="BE192" s="22">
        <v>2.0836483390254799</v>
      </c>
      <c r="BF192" s="22">
        <v>2.24451</v>
      </c>
      <c r="BG192" s="22">
        <v>2.4613849999999999</v>
      </c>
      <c r="BH192" s="22">
        <v>2.7684116666666698</v>
      </c>
      <c r="BI192" s="22">
        <v>3.1330293018560398</v>
      </c>
      <c r="BJ192" s="22">
        <v>3.1887883828961701</v>
      </c>
      <c r="BK192" s="22">
        <v>3.2934630812507999</v>
      </c>
      <c r="BL192" s="22">
        <v>3.38753768145423</v>
      </c>
    </row>
    <row r="193" spans="1:64">
      <c r="A193" s="22" t="s">
        <v>10895</v>
      </c>
      <c r="B193" s="22" t="s">
        <v>11487</v>
      </c>
      <c r="C193" s="22" t="s">
        <v>11241</v>
      </c>
      <c r="D193" s="22" t="s">
        <v>11242</v>
      </c>
      <c r="E193" s="22">
        <v>3.9999999989999999E-4</v>
      </c>
      <c r="F193" s="22">
        <v>3.9999999989999999E-4</v>
      </c>
      <c r="G193" s="22">
        <v>3.9999999989999999E-4</v>
      </c>
      <c r="H193" s="22">
        <v>3.9999999989999999E-4</v>
      </c>
      <c r="I193" s="22">
        <v>3.9999999989999999E-4</v>
      </c>
      <c r="J193" s="22">
        <v>3.9999999989999999E-4</v>
      </c>
      <c r="K193" s="22">
        <v>3.9999999989999999E-4</v>
      </c>
      <c r="L193" s="22">
        <v>3.9999999989999999E-4</v>
      </c>
      <c r="M193" s="22">
        <v>3.9999999989999999E-4</v>
      </c>
      <c r="N193" s="22">
        <v>3.9999999989999999E-4</v>
      </c>
      <c r="O193" s="22">
        <v>4.0000000000000002E-4</v>
      </c>
      <c r="P193" s="22">
        <v>3.8933333323333302E-4</v>
      </c>
      <c r="Q193" s="22">
        <v>3.6799999990000002E-4</v>
      </c>
      <c r="R193" s="22">
        <v>3.3499999989999998E-4</v>
      </c>
      <c r="S193" s="22">
        <v>3.3199999990000001E-4</v>
      </c>
      <c r="T193" s="22">
        <v>3.3199999999999999E-4</v>
      </c>
      <c r="U193" s="22">
        <v>3.3199999999999999E-4</v>
      </c>
      <c r="V193" s="22">
        <v>3.3199999999999999E-4</v>
      </c>
      <c r="W193" s="22">
        <v>5.8100000000000003E-4</v>
      </c>
      <c r="X193" s="22">
        <v>3.32E-3</v>
      </c>
      <c r="Y193" s="22">
        <v>4.4216666666666701E-3</v>
      </c>
      <c r="Z193" s="22">
        <v>5.11525E-3</v>
      </c>
      <c r="AA193" s="22">
        <v>8.4824166666416703E-3</v>
      </c>
      <c r="AB193" s="22">
        <v>9.1549999999666707E-3</v>
      </c>
      <c r="AC193" s="22">
        <v>1.1323999999950001E-2</v>
      </c>
      <c r="AD193" s="22">
        <v>1.47141666666333E-2</v>
      </c>
      <c r="AE193" s="22">
        <v>1.7528666666666699E-2</v>
      </c>
      <c r="AF193" s="22">
        <v>2.6508250000000001E-2</v>
      </c>
      <c r="AG193" s="22">
        <v>4.3054583333333299E-2</v>
      </c>
      <c r="AH193" s="22">
        <v>0.14391841666666699</v>
      </c>
      <c r="AI193" s="22">
        <v>0.95</v>
      </c>
      <c r="AJ193" s="22">
        <v>1.05760583333333</v>
      </c>
      <c r="AK193" s="22">
        <v>1.3626433333333301</v>
      </c>
      <c r="AL193" s="22">
        <v>1.8114966666666701</v>
      </c>
      <c r="AM193" s="22">
        <v>2.2722766666666701</v>
      </c>
      <c r="AN193" s="22">
        <v>2.4249833333333299</v>
      </c>
      <c r="AO193" s="22">
        <v>2.6960999999999999</v>
      </c>
      <c r="AP193" s="22">
        <v>3.27929166666667</v>
      </c>
      <c r="AQ193" s="22">
        <v>3.4754</v>
      </c>
      <c r="AR193" s="22">
        <v>3.9671083333333299</v>
      </c>
      <c r="AS193" s="22">
        <v>4.3460749999999999</v>
      </c>
      <c r="AT193" s="22">
        <v>4.0938999999999997</v>
      </c>
      <c r="AU193" s="22">
        <v>4.0800333333333301</v>
      </c>
      <c r="AV193" s="22">
        <v>3.8890750000000001</v>
      </c>
      <c r="AW193" s="22">
        <v>3.6576416666666698</v>
      </c>
      <c r="AX193" s="22">
        <v>3.2354833333333302</v>
      </c>
      <c r="AY193" s="22">
        <v>3.1031583333333299</v>
      </c>
      <c r="AZ193" s="22">
        <v>2.7679499999999999</v>
      </c>
      <c r="BA193" s="22">
        <v>2.4092416666666701</v>
      </c>
      <c r="BB193" s="22">
        <v>3.1201416666666701</v>
      </c>
      <c r="BC193" s="22">
        <v>3.0152999999999999</v>
      </c>
      <c r="BD193" s="22">
        <v>2.96284777777778</v>
      </c>
      <c r="BE193" s="22">
        <v>3.2565416666666702</v>
      </c>
      <c r="BF193" s="22">
        <v>3.16061666666667</v>
      </c>
      <c r="BG193" s="22">
        <v>3.1545416666666699</v>
      </c>
      <c r="BH193" s="22">
        <v>3.7694999999999999</v>
      </c>
      <c r="BI193" s="22">
        <v>3.9427833333333302</v>
      </c>
      <c r="BJ193" s="22">
        <v>3.7793333333333301</v>
      </c>
      <c r="BK193" s="22">
        <v>3.6117166666666698</v>
      </c>
      <c r="BL193" s="22">
        <v>3.839375</v>
      </c>
    </row>
    <row r="194" spans="1:64">
      <c r="A194" s="22" t="s">
        <v>11488</v>
      </c>
      <c r="B194" s="22" t="s">
        <v>11489</v>
      </c>
      <c r="C194" s="22" t="s">
        <v>11241</v>
      </c>
      <c r="D194" s="22" t="s">
        <v>11242</v>
      </c>
    </row>
    <row r="195" spans="1:64">
      <c r="A195" s="22" t="s">
        <v>10897</v>
      </c>
      <c r="B195" s="22" t="s">
        <v>11490</v>
      </c>
      <c r="C195" s="22" t="s">
        <v>11241</v>
      </c>
      <c r="D195" s="22" t="s">
        <v>11242</v>
      </c>
    </row>
    <row r="196" spans="1:64">
      <c r="A196" s="22" t="s">
        <v>11491</v>
      </c>
      <c r="B196" s="22" t="s">
        <v>11492</v>
      </c>
      <c r="C196" s="22" t="s">
        <v>11241</v>
      </c>
      <c r="D196" s="22" t="s">
        <v>11242</v>
      </c>
    </row>
    <row r="197" spans="1:64">
      <c r="A197" s="22" t="s">
        <v>10896</v>
      </c>
      <c r="B197" s="22" t="s">
        <v>11493</v>
      </c>
      <c r="C197" s="22" t="s">
        <v>11241</v>
      </c>
      <c r="D197" s="22" t="s">
        <v>11242</v>
      </c>
      <c r="E197" s="22">
        <v>28.750000028750001</v>
      </c>
      <c r="F197" s="22">
        <v>28.750000028750001</v>
      </c>
      <c r="G197" s="22">
        <v>28.750000028750001</v>
      </c>
      <c r="H197" s="22">
        <v>28.750000028750001</v>
      </c>
      <c r="I197" s="22">
        <v>28.750000028750001</v>
      </c>
      <c r="J197" s="22">
        <v>28.750000028750001</v>
      </c>
      <c r="K197" s="22">
        <v>28.750000028750001</v>
      </c>
      <c r="L197" s="22">
        <v>28.750000028750001</v>
      </c>
      <c r="M197" s="22">
        <v>28.750000028750001</v>
      </c>
      <c r="N197" s="22">
        <v>28.750000028750001</v>
      </c>
      <c r="O197" s="22">
        <v>28.750000028750001</v>
      </c>
      <c r="P197" s="22">
        <v>28.3601702876561</v>
      </c>
      <c r="Q197" s="22">
        <v>27.053416666499999</v>
      </c>
      <c r="R197" s="22">
        <v>24.5151666664167</v>
      </c>
      <c r="S197" s="22">
        <v>25.408166665666698</v>
      </c>
      <c r="T197" s="22">
        <v>25.552749999</v>
      </c>
      <c r="U197" s="22">
        <v>30.229083332583301</v>
      </c>
      <c r="V197" s="22">
        <v>38.276949999000003</v>
      </c>
      <c r="W197" s="22">
        <v>43.9373333325833</v>
      </c>
      <c r="X197" s="22">
        <v>48.923466665666702</v>
      </c>
      <c r="Y197" s="22">
        <v>50.062133332333303</v>
      </c>
      <c r="Z197" s="22">
        <v>61.546374999249998</v>
      </c>
      <c r="AA197" s="22">
        <v>79.473333332833306</v>
      </c>
      <c r="AB197" s="22">
        <v>110.779833332583</v>
      </c>
      <c r="AC197" s="22">
        <v>146.39033333291701</v>
      </c>
      <c r="AD197" s="22">
        <v>170.3946666665</v>
      </c>
      <c r="AE197" s="22">
        <v>149.58674999999999</v>
      </c>
      <c r="AF197" s="22">
        <v>140.88241666666701</v>
      </c>
      <c r="AG197" s="22">
        <v>143.953916666667</v>
      </c>
      <c r="AH197" s="22">
        <v>157.45824999999999</v>
      </c>
      <c r="AI197" s="22">
        <v>142.55475000000001</v>
      </c>
      <c r="AJ197" s="22">
        <v>144.482</v>
      </c>
      <c r="AK197" s="22">
        <v>134.99783333333301</v>
      </c>
      <c r="AL197" s="22">
        <v>160.80018583333299</v>
      </c>
      <c r="AM197" s="22">
        <v>165.992776666667</v>
      </c>
      <c r="AN197" s="22">
        <v>151.10552833333301</v>
      </c>
      <c r="AO197" s="22">
        <v>154.24366166666701</v>
      </c>
      <c r="AP197" s="22">
        <v>175.312445</v>
      </c>
      <c r="AQ197" s="22">
        <v>180.10448</v>
      </c>
    </row>
    <row r="198" spans="1:64">
      <c r="A198" s="22" t="s">
        <v>10894</v>
      </c>
      <c r="B198" s="22" t="s">
        <v>11494</v>
      </c>
      <c r="C198" s="22" t="s">
        <v>11241</v>
      </c>
      <c r="D198" s="22" t="s">
        <v>11242</v>
      </c>
      <c r="E198" s="22">
        <v>123.166666666667</v>
      </c>
      <c r="F198" s="22">
        <v>126</v>
      </c>
      <c r="G198" s="22">
        <v>126</v>
      </c>
      <c r="H198" s="22">
        <v>126</v>
      </c>
      <c r="I198" s="22">
        <v>126</v>
      </c>
      <c r="J198" s="22">
        <v>126</v>
      </c>
      <c r="K198" s="22">
        <v>126</v>
      </c>
      <c r="L198" s="22">
        <v>126</v>
      </c>
      <c r="M198" s="22">
        <v>126</v>
      </c>
      <c r="N198" s="22">
        <v>126</v>
      </c>
      <c r="O198" s="22">
        <v>126</v>
      </c>
      <c r="P198" s="22">
        <v>126</v>
      </c>
      <c r="Q198" s="22">
        <v>126</v>
      </c>
      <c r="R198" s="22">
        <v>126</v>
      </c>
      <c r="S198" s="22">
        <v>126</v>
      </c>
      <c r="T198" s="22">
        <v>126</v>
      </c>
      <c r="U198" s="22">
        <v>126</v>
      </c>
      <c r="V198" s="22">
        <v>126</v>
      </c>
      <c r="W198" s="22">
        <v>126</v>
      </c>
      <c r="X198" s="22">
        <v>126</v>
      </c>
      <c r="Y198" s="22">
        <v>126</v>
      </c>
      <c r="Z198" s="22">
        <v>126</v>
      </c>
      <c r="AA198" s="22">
        <v>126</v>
      </c>
      <c r="AB198" s="22">
        <v>126</v>
      </c>
      <c r="AC198" s="22">
        <v>201</v>
      </c>
      <c r="AD198" s="22">
        <v>306.66666666666703</v>
      </c>
      <c r="AE198" s="22">
        <v>339.16666666666703</v>
      </c>
      <c r="AF198" s="22">
        <v>550</v>
      </c>
      <c r="AG198" s="22">
        <v>550</v>
      </c>
      <c r="AH198" s="22">
        <v>1056.2166666666701</v>
      </c>
      <c r="AI198" s="22">
        <v>1229.80833333333</v>
      </c>
      <c r="AJ198" s="22">
        <v>1325.18333333333</v>
      </c>
      <c r="AK198" s="22">
        <v>1500.25833333333</v>
      </c>
      <c r="AL198" s="22">
        <v>1744.3458333333299</v>
      </c>
      <c r="AM198" s="22">
        <v>1904.7608333333301</v>
      </c>
      <c r="AN198" s="22">
        <v>1963.0191666666699</v>
      </c>
      <c r="AO198" s="22">
        <v>2056.8116666666701</v>
      </c>
      <c r="AP198" s="22">
        <v>2177.8625000000002</v>
      </c>
      <c r="AQ198" s="22">
        <v>2726.49</v>
      </c>
      <c r="AR198" s="22">
        <v>3119.0733333333301</v>
      </c>
      <c r="AS198" s="22">
        <v>3486.3533333333298</v>
      </c>
      <c r="AT198" s="22">
        <v>4105.9250000000002</v>
      </c>
      <c r="AU198" s="22">
        <v>5716.2583333333296</v>
      </c>
      <c r="AV198" s="22">
        <v>6424.3391666666703</v>
      </c>
      <c r="AW198" s="22">
        <v>5974.5775000000003</v>
      </c>
      <c r="AX198" s="22">
        <v>6177.9349469696999</v>
      </c>
      <c r="AY198" s="22">
        <v>5635.0939393939398</v>
      </c>
      <c r="AZ198" s="22">
        <v>5032.7115764790797</v>
      </c>
      <c r="BA198" s="22">
        <v>4363.2916082449201</v>
      </c>
      <c r="BB198" s="22">
        <v>4966.6822965021202</v>
      </c>
      <c r="BC198" s="22">
        <v>4758.4301287878798</v>
      </c>
      <c r="BD198" s="22">
        <v>4193.8023075919</v>
      </c>
      <c r="BE198" s="22">
        <v>4421.6592864041404</v>
      </c>
      <c r="BF198" s="22">
        <v>4303.8825659981903</v>
      </c>
      <c r="BG198" s="22">
        <v>4462.1852882909297</v>
      </c>
      <c r="BH198" s="22">
        <v>5204.92080811087</v>
      </c>
      <c r="BI198" s="22">
        <v>5670.5408979978401</v>
      </c>
      <c r="BJ198" s="22">
        <v>5618.9334516427998</v>
      </c>
      <c r="BK198" s="22">
        <v>5732.10455572912</v>
      </c>
      <c r="BL198" s="22">
        <v>6240.7220784425699</v>
      </c>
    </row>
    <row r="199" spans="1:64">
      <c r="A199" s="22" t="s">
        <v>11495</v>
      </c>
      <c r="B199" s="22" t="s">
        <v>11496</v>
      </c>
      <c r="C199" s="22" t="s">
        <v>11241</v>
      </c>
      <c r="D199" s="22" t="s">
        <v>11242</v>
      </c>
    </row>
    <row r="200" spans="1:64">
      <c r="A200" s="22" t="s">
        <v>11497</v>
      </c>
      <c r="B200" s="22" t="s">
        <v>11498</v>
      </c>
      <c r="C200" s="22" t="s">
        <v>11241</v>
      </c>
      <c r="D200" s="22" t="s">
        <v>11242</v>
      </c>
    </row>
    <row r="201" spans="1:64">
      <c r="A201" s="22" t="s">
        <v>11499</v>
      </c>
      <c r="B201" s="22" t="s">
        <v>11500</v>
      </c>
      <c r="C201" s="22" t="s">
        <v>11241</v>
      </c>
      <c r="D201" s="22" t="s">
        <v>11242</v>
      </c>
    </row>
    <row r="202" spans="1:64">
      <c r="A202" s="22" t="s">
        <v>10788</v>
      </c>
      <c r="B202" s="22" t="s">
        <v>11501</v>
      </c>
      <c r="C202" s="22" t="s">
        <v>11241</v>
      </c>
      <c r="D202" s="22" t="s">
        <v>11242</v>
      </c>
      <c r="E202" s="22">
        <v>89.765000088765007</v>
      </c>
      <c r="F202" s="22">
        <v>89.765000088765007</v>
      </c>
      <c r="G202" s="22">
        <v>89.765000088765007</v>
      </c>
      <c r="H202" s="22">
        <v>89.765000088765007</v>
      </c>
      <c r="I202" s="22">
        <v>89.765000088765007</v>
      </c>
      <c r="J202" s="22">
        <v>89.765000088765007</v>
      </c>
      <c r="K202" s="22">
        <v>89.765000088765007</v>
      </c>
      <c r="L202" s="22">
        <v>89.765000088765007</v>
      </c>
      <c r="M202" s="22">
        <v>89.765000088765007</v>
      </c>
      <c r="N202" s="22">
        <v>94.440000093440005</v>
      </c>
      <c r="O202" s="22">
        <v>100.985000099985</v>
      </c>
      <c r="P202" s="22">
        <v>100.689451223571</v>
      </c>
      <c r="Q202" s="22">
        <v>91.645968951929206</v>
      </c>
      <c r="R202" s="22">
        <v>81.0502219755422</v>
      </c>
      <c r="S202" s="22">
        <v>87.528548830185898</v>
      </c>
      <c r="T202" s="22">
        <v>77.931588724653196</v>
      </c>
      <c r="U202" s="22">
        <v>86.890670674160404</v>
      </c>
      <c r="V202" s="22">
        <v>89.337637916450106</v>
      </c>
      <c r="W202" s="22">
        <v>82.056281563365701</v>
      </c>
      <c r="X202" s="22">
        <v>77.352952935139498</v>
      </c>
      <c r="Y202" s="22">
        <v>76.828559514107795</v>
      </c>
      <c r="Z202" s="22">
        <v>98.810961781363503</v>
      </c>
      <c r="AA202" s="22">
        <v>119.492607763333</v>
      </c>
      <c r="AB202" s="22">
        <v>138.56880080833301</v>
      </c>
      <c r="AC202" s="22">
        <v>158.89256837242399</v>
      </c>
      <c r="AD202" s="22">
        <v>163.367563900455</v>
      </c>
      <c r="AE202" s="22">
        <v>125.928813465</v>
      </c>
      <c r="AF202" s="22">
        <v>109.285496775</v>
      </c>
      <c r="AG202" s="22">
        <v>108.307921995</v>
      </c>
      <c r="AH202" s="22">
        <v>116.002459755</v>
      </c>
      <c r="AI202" s="22">
        <v>99.004900995</v>
      </c>
      <c r="AJ202" s="22">
        <v>102.58383680999999</v>
      </c>
      <c r="AK202" s="22">
        <v>96.251100718499998</v>
      </c>
      <c r="AL202" s="22">
        <v>102.96771521399999</v>
      </c>
      <c r="AM202" s="22">
        <v>100.946171781</v>
      </c>
      <c r="AN202" s="22">
        <v>90.754136518500005</v>
      </c>
      <c r="AO202" s="22">
        <v>93.009406990499997</v>
      </c>
      <c r="AP202" s="22">
        <v>106.12156054499999</v>
      </c>
      <c r="AQ202" s="22">
        <v>107.2638139482</v>
      </c>
      <c r="AR202" s="22">
        <v>111.966914110147</v>
      </c>
      <c r="AS202" s="22">
        <v>129.201037953271</v>
      </c>
      <c r="AT202" s="22">
        <v>133.23779121622499</v>
      </c>
      <c r="AU202" s="22">
        <v>126.200312871571</v>
      </c>
      <c r="AV202" s="22">
        <v>105.494942032458</v>
      </c>
      <c r="AW202" s="22">
        <v>95.933336892522902</v>
      </c>
      <c r="AX202" s="22">
        <v>95.918843390948496</v>
      </c>
      <c r="AY202" s="22">
        <v>95.039671719798207</v>
      </c>
      <c r="AZ202" s="22">
        <v>87.073047933181201</v>
      </c>
      <c r="BA202" s="22">
        <v>81.136329278054902</v>
      </c>
      <c r="BB202" s="22">
        <v>85.5557814096789</v>
      </c>
      <c r="BC202" s="22">
        <v>90.0129741146296</v>
      </c>
      <c r="BD202" s="22">
        <v>85.729551829928695</v>
      </c>
      <c r="BE202" s="22">
        <v>92.880411084142906</v>
      </c>
      <c r="BF202" s="22">
        <v>89.850221498738506</v>
      </c>
      <c r="BG202" s="22">
        <v>89.824335377900894</v>
      </c>
      <c r="BH202" s="22">
        <v>107.55323440431501</v>
      </c>
      <c r="BI202" s="22">
        <v>107.806815805024</v>
      </c>
      <c r="BJ202" s="22">
        <v>105.63307815114899</v>
      </c>
      <c r="BK202" s="22">
        <v>101.046821879543</v>
      </c>
      <c r="BL202" s="22">
        <v>106.588933804405</v>
      </c>
    </row>
    <row r="203" spans="1:64">
      <c r="A203" s="22" t="s">
        <v>10898</v>
      </c>
      <c r="B203" s="22" t="s">
        <v>11502</v>
      </c>
      <c r="C203" s="22" t="s">
        <v>11241</v>
      </c>
      <c r="D203" s="22" t="s">
        <v>11242</v>
      </c>
      <c r="K203" s="22">
        <v>4.7619000037618999</v>
      </c>
      <c r="L203" s="22">
        <v>4.7619000037618999</v>
      </c>
      <c r="M203" s="22">
        <v>4.7619000037618999</v>
      </c>
      <c r="N203" s="22">
        <v>4.7619000037618999</v>
      </c>
      <c r="O203" s="22">
        <v>4.7619000037618999</v>
      </c>
      <c r="P203" s="22">
        <v>4.7479628848644202</v>
      </c>
      <c r="Q203" s="22">
        <v>4.3859778425048797</v>
      </c>
      <c r="R203" s="22">
        <v>3.99629355042679</v>
      </c>
      <c r="S203" s="22">
        <v>3.9473999989999999</v>
      </c>
      <c r="T203" s="22">
        <v>3.9307166656666701</v>
      </c>
      <c r="U203" s="22">
        <v>3.96343333233333</v>
      </c>
      <c r="V203" s="22">
        <v>3.9590166656666699</v>
      </c>
      <c r="W203" s="22">
        <v>3.8768999989999999</v>
      </c>
      <c r="X203" s="22">
        <v>3.7733249990000002</v>
      </c>
      <c r="Y203" s="22">
        <v>3.6569666656666699</v>
      </c>
      <c r="Z203" s="22">
        <v>3.639999999</v>
      </c>
      <c r="AA203" s="22">
        <v>3.639999999</v>
      </c>
      <c r="AB203" s="22">
        <v>3.639999999</v>
      </c>
      <c r="AC203" s="22">
        <v>3.6399999995833299</v>
      </c>
      <c r="AD203" s="22">
        <v>3.64</v>
      </c>
      <c r="AE203" s="22">
        <v>3.64</v>
      </c>
      <c r="AF203" s="22">
        <v>3.64</v>
      </c>
      <c r="AG203" s="22">
        <v>3.64</v>
      </c>
      <c r="AH203" s="22">
        <v>3.64</v>
      </c>
      <c r="AI203" s="22">
        <v>3.64</v>
      </c>
      <c r="AJ203" s="22">
        <v>3.64</v>
      </c>
      <c r="AK203" s="22">
        <v>3.64</v>
      </c>
      <c r="AL203" s="22">
        <v>3.64</v>
      </c>
      <c r="AM203" s="22">
        <v>3.64</v>
      </c>
      <c r="AN203" s="22">
        <v>3.64</v>
      </c>
      <c r="AO203" s="22">
        <v>3.64</v>
      </c>
      <c r="AP203" s="22">
        <v>3.64</v>
      </c>
      <c r="AQ203" s="22">
        <v>3.64</v>
      </c>
      <c r="AR203" s="22">
        <v>3.64</v>
      </c>
      <c r="AS203" s="22">
        <v>3.64</v>
      </c>
      <c r="AT203" s="22">
        <v>3.64</v>
      </c>
      <c r="AU203" s="22">
        <v>3.64</v>
      </c>
      <c r="AV203" s="22">
        <v>3.64</v>
      </c>
      <c r="AW203" s="22">
        <v>3.64</v>
      </c>
      <c r="AX203" s="22">
        <v>3.64</v>
      </c>
      <c r="AY203" s="22">
        <v>3.64</v>
      </c>
      <c r="AZ203" s="22">
        <v>3.64</v>
      </c>
      <c r="BA203" s="22">
        <v>3.64</v>
      </c>
      <c r="BB203" s="22">
        <v>3.64</v>
      </c>
      <c r="BC203" s="22">
        <v>3.64</v>
      </c>
      <c r="BD203" s="22">
        <v>3.64</v>
      </c>
      <c r="BE203" s="22">
        <v>3.64</v>
      </c>
      <c r="BF203" s="22">
        <v>3.64</v>
      </c>
      <c r="BG203" s="22">
        <v>3.64</v>
      </c>
      <c r="BH203" s="22">
        <v>3.64</v>
      </c>
      <c r="BI203" s="22">
        <v>3.64</v>
      </c>
      <c r="BJ203" s="22">
        <v>3.64</v>
      </c>
      <c r="BK203" s="22">
        <v>3.64</v>
      </c>
      <c r="BL203" s="22">
        <v>3.64</v>
      </c>
    </row>
    <row r="204" spans="1:64">
      <c r="A204" s="22" t="s">
        <v>10901</v>
      </c>
      <c r="B204" s="22" t="s">
        <v>11503</v>
      </c>
      <c r="C204" s="22" t="s">
        <v>11241</v>
      </c>
      <c r="D204" s="22" t="s">
        <v>11242</v>
      </c>
      <c r="E204" s="22">
        <v>5.9999999989999997E-4</v>
      </c>
      <c r="F204" s="22">
        <v>5.9999999989999997E-4</v>
      </c>
      <c r="G204" s="22">
        <v>5.9999999989999997E-4</v>
      </c>
      <c r="H204" s="22">
        <v>5.9999999989999997E-4</v>
      </c>
      <c r="I204" s="22">
        <v>5.9999999989999997E-4</v>
      </c>
      <c r="J204" s="22">
        <v>5.9999999989999997E-4</v>
      </c>
      <c r="K204" s="22">
        <v>5.9999999989999997E-4</v>
      </c>
      <c r="L204" s="22">
        <v>5.9999999989999997E-4</v>
      </c>
      <c r="M204" s="22">
        <v>5.9999999989999997E-4</v>
      </c>
      <c r="N204" s="22">
        <v>5.9999999989999997E-4</v>
      </c>
      <c r="O204" s="22">
        <v>5.9999999989999997E-4</v>
      </c>
      <c r="P204" s="22">
        <v>5.9999999989999997E-4</v>
      </c>
      <c r="Q204" s="22">
        <v>5.5299999990000002E-4</v>
      </c>
      <c r="R204" s="22">
        <v>1.87941666665833E-3</v>
      </c>
      <c r="S204" s="22">
        <v>2E-3</v>
      </c>
      <c r="T204" s="22">
        <v>2E-3</v>
      </c>
      <c r="U204" s="22">
        <v>2E-3</v>
      </c>
      <c r="V204" s="22">
        <v>2E-3</v>
      </c>
      <c r="W204" s="22">
        <v>1.8360249999916701E-3</v>
      </c>
      <c r="X204" s="22">
        <v>1.8E-3</v>
      </c>
      <c r="Y204" s="22">
        <v>1.8E-3</v>
      </c>
      <c r="Z204" s="22">
        <v>1.5E-3</v>
      </c>
      <c r="AA204" s="22">
        <v>1.5E-3</v>
      </c>
      <c r="AB204" s="22">
        <v>1.71784999995E-3</v>
      </c>
      <c r="AC204" s="22">
        <v>2.1280166666249999E-3</v>
      </c>
      <c r="AD204" s="22">
        <v>1.714141666625E-3</v>
      </c>
      <c r="AE204" s="22">
        <v>1.6153416666499999E-3</v>
      </c>
      <c r="AF204" s="22">
        <v>1.4557000000000001E-3</v>
      </c>
      <c r="AG204" s="22">
        <v>1.42769166666667E-3</v>
      </c>
      <c r="AH204" s="22">
        <v>1.4921583333333301E-3</v>
      </c>
      <c r="AI204" s="22">
        <v>2.2432083333333301E-3</v>
      </c>
      <c r="AJ204" s="22">
        <v>7.6387249999999999E-3</v>
      </c>
      <c r="AK204" s="22">
        <v>3.07953333333333E-2</v>
      </c>
      <c r="AL204" s="22">
        <v>7.6005083333333306E-2</v>
      </c>
      <c r="AM204" s="22">
        <v>0.16550858333333299</v>
      </c>
      <c r="AN204" s="22">
        <v>0.20332758333333301</v>
      </c>
      <c r="AO204" s="22">
        <v>0.30842174999999999</v>
      </c>
      <c r="AP204" s="22">
        <v>0.71679433333333298</v>
      </c>
      <c r="AQ204" s="22">
        <v>0.88755758333333301</v>
      </c>
      <c r="AR204" s="22">
        <v>1.5332837500000001</v>
      </c>
      <c r="AS204" s="22">
        <v>2.1708720833333301</v>
      </c>
      <c r="AT204" s="22">
        <v>2.9060791666666699</v>
      </c>
      <c r="AU204" s="22">
        <v>3.3055430000000001</v>
      </c>
      <c r="AV204" s="22">
        <v>3.3200070833333299</v>
      </c>
      <c r="AW204" s="22">
        <v>3.26365683333333</v>
      </c>
      <c r="AX204" s="22">
        <v>2.9136531666666698</v>
      </c>
      <c r="AY204" s="22">
        <v>2.8089833333333298</v>
      </c>
      <c r="AZ204" s="22">
        <v>2.43825</v>
      </c>
      <c r="BA204" s="22">
        <v>2.5188583333333301</v>
      </c>
      <c r="BB204" s="22">
        <v>3.0493250000000001</v>
      </c>
      <c r="BC204" s="22">
        <v>3.1779000000000002</v>
      </c>
      <c r="BD204" s="22">
        <v>3.04860833333333</v>
      </c>
      <c r="BE204" s="22">
        <v>3.4681999999999999</v>
      </c>
      <c r="BF204" s="22">
        <v>3.32791666666667</v>
      </c>
      <c r="BG204" s="22">
        <v>3.3491749999999998</v>
      </c>
      <c r="BH204" s="22">
        <v>4.00566666666667</v>
      </c>
      <c r="BI204" s="22">
        <v>4.0591833333333298</v>
      </c>
      <c r="BJ204" s="22">
        <v>4.0524916666666702</v>
      </c>
      <c r="BK204" s="22">
        <v>3.9416166666666701</v>
      </c>
      <c r="BL204" s="22">
        <v>4.2379249999999997</v>
      </c>
    </row>
    <row r="205" spans="1:64">
      <c r="A205" s="22" t="s">
        <v>10902</v>
      </c>
      <c r="B205" s="22" t="s">
        <v>11504</v>
      </c>
      <c r="C205" s="22" t="s">
        <v>11241</v>
      </c>
      <c r="D205" s="22" t="s">
        <v>11242</v>
      </c>
      <c r="AL205" s="22">
        <v>0.99166666666666703</v>
      </c>
      <c r="AO205" s="22">
        <v>5.12083333333333</v>
      </c>
      <c r="AP205" s="22">
        <v>5.7848333333333297</v>
      </c>
      <c r="AQ205" s="22">
        <v>9.7050833333333308</v>
      </c>
      <c r="AR205" s="22">
        <v>24.619900000000001</v>
      </c>
      <c r="AS205" s="22">
        <v>28.129166666666698</v>
      </c>
      <c r="AT205" s="22">
        <v>29.168524999999999</v>
      </c>
      <c r="AU205" s="22">
        <v>31.348483333333299</v>
      </c>
      <c r="AV205" s="22">
        <v>30.692025000000001</v>
      </c>
      <c r="AW205" s="22">
        <v>28.813741666666701</v>
      </c>
      <c r="AX205" s="22">
        <v>28.284441666666702</v>
      </c>
      <c r="AY205" s="22">
        <v>27.190958333333299</v>
      </c>
      <c r="AZ205" s="22">
        <v>25.580845367540402</v>
      </c>
      <c r="BA205" s="22">
        <v>24.852875000000001</v>
      </c>
      <c r="BB205" s="22">
        <v>31.740358333333301</v>
      </c>
      <c r="BC205" s="22">
        <v>30.367915338305899</v>
      </c>
      <c r="BD205" s="22">
        <v>29.382341370930199</v>
      </c>
      <c r="BE205" s="22">
        <v>30.839831351991698</v>
      </c>
      <c r="BF205" s="22">
        <v>31.837143640281301</v>
      </c>
      <c r="BG205" s="22">
        <v>38.378207144416798</v>
      </c>
      <c r="BH205" s="22">
        <v>60.937650108895198</v>
      </c>
      <c r="BI205" s="22">
        <v>67.0559333333333</v>
      </c>
      <c r="BJ205" s="22">
        <v>58.342801185171901</v>
      </c>
      <c r="BK205" s="22">
        <v>62.668133333333301</v>
      </c>
      <c r="BL205" s="22">
        <v>64.7376583333333</v>
      </c>
    </row>
    <row r="206" spans="1:64">
      <c r="A206" s="22" t="s">
        <v>10903</v>
      </c>
      <c r="B206" s="22" t="s">
        <v>11505</v>
      </c>
      <c r="C206" s="22" t="s">
        <v>11241</v>
      </c>
      <c r="D206" s="22" t="s">
        <v>11242</v>
      </c>
      <c r="E206" s="22">
        <v>49.999999950000003</v>
      </c>
      <c r="F206" s="22">
        <v>49.999999950000003</v>
      </c>
      <c r="G206" s="22">
        <v>49.999999950000003</v>
      </c>
      <c r="H206" s="22">
        <v>49.999999950000003</v>
      </c>
      <c r="I206" s="22">
        <v>49.999999950000003</v>
      </c>
      <c r="J206" s="22">
        <v>49.999999950000003</v>
      </c>
      <c r="K206" s="22">
        <v>87.499999912500002</v>
      </c>
      <c r="L206" s="22">
        <v>99.999999900000006</v>
      </c>
      <c r="M206" s="22">
        <v>99.999999900000006</v>
      </c>
      <c r="N206" s="22">
        <v>99.999999900000006</v>
      </c>
      <c r="O206" s="22">
        <v>99.999999900000006</v>
      </c>
      <c r="P206" s="22">
        <v>99.707333233333301</v>
      </c>
      <c r="Q206" s="22">
        <v>92.104999899999996</v>
      </c>
      <c r="R206" s="22">
        <v>83.921999900000003</v>
      </c>
      <c r="S206" s="22">
        <v>92.301756555666699</v>
      </c>
      <c r="T206" s="22">
        <v>92.277266554666696</v>
      </c>
      <c r="U206" s="22">
        <v>97.012346554666706</v>
      </c>
      <c r="V206" s="22">
        <v>95.935093221333304</v>
      </c>
      <c r="W206" s="22">
        <v>89.487906554666694</v>
      </c>
      <c r="X206" s="22">
        <v>86.690706554666704</v>
      </c>
      <c r="Y206" s="22">
        <v>86.063879888000002</v>
      </c>
      <c r="Z206" s="22">
        <v>87.160305038956693</v>
      </c>
      <c r="AA206" s="22">
        <v>93.059967438956704</v>
      </c>
      <c r="AB206" s="22">
        <v>96.093935247290005</v>
      </c>
      <c r="AC206" s="22">
        <v>100.23289152364499</v>
      </c>
      <c r="AD206" s="22">
        <v>101.244670649548</v>
      </c>
      <c r="AE206" s="22">
        <v>87.590916816666706</v>
      </c>
      <c r="AF206" s="22">
        <v>79.460649991666699</v>
      </c>
      <c r="AG206" s="22">
        <v>76.447737733333298</v>
      </c>
      <c r="AH206" s="22">
        <v>80.148978174999996</v>
      </c>
      <c r="AI206" s="22">
        <v>83.704097558333302</v>
      </c>
      <c r="AJ206" s="22">
        <v>125.1642483</v>
      </c>
      <c r="AK206" s="22">
        <v>133.938583325</v>
      </c>
      <c r="AL206" s="22">
        <v>144.23702053722499</v>
      </c>
      <c r="AM206" s="22">
        <v>140.703847467575</v>
      </c>
      <c r="AN206" s="22">
        <v>262.18226325860002</v>
      </c>
      <c r="AO206" s="22">
        <v>306.82</v>
      </c>
      <c r="AP206" s="22">
        <v>301.52981666666699</v>
      </c>
      <c r="AQ206" s="22">
        <v>312.31409166666703</v>
      </c>
      <c r="AR206" s="22">
        <v>333.94192500000003</v>
      </c>
      <c r="AS206" s="22">
        <v>389.696216666667</v>
      </c>
      <c r="AT206" s="22">
        <v>442.99189166666702</v>
      </c>
      <c r="AU206" s="22">
        <v>475.36524166666698</v>
      </c>
      <c r="AV206" s="22">
        <v>537.65498475000004</v>
      </c>
      <c r="AW206" s="22">
        <v>577.44897458333298</v>
      </c>
      <c r="AX206" s="22">
        <v>557.82264075000001</v>
      </c>
      <c r="AY206" s="22">
        <v>551.71033333333298</v>
      </c>
      <c r="AZ206" s="22">
        <v>546.95500000000004</v>
      </c>
      <c r="BA206" s="22">
        <v>546.84865316666696</v>
      </c>
      <c r="BB206" s="22">
        <v>568.28132683333297</v>
      </c>
      <c r="BC206" s="22">
        <v>583.13090658333294</v>
      </c>
      <c r="BD206" s="22">
        <v>600.30651975000001</v>
      </c>
      <c r="BE206" s="22">
        <v>614.29514241666698</v>
      </c>
      <c r="BF206" s="22">
        <v>646.63597449999997</v>
      </c>
      <c r="BG206" s="22">
        <v>682.43779538750005</v>
      </c>
      <c r="BH206" s="22">
        <v>719.85955550000006</v>
      </c>
      <c r="BI206" s="22">
        <v>787.25152175000005</v>
      </c>
      <c r="BJ206" s="22">
        <v>831.55433975000005</v>
      </c>
      <c r="BK206" s="22">
        <v>861.09341216666701</v>
      </c>
      <c r="BL206" s="22">
        <v>899.35050899999999</v>
      </c>
    </row>
    <row r="207" spans="1:64">
      <c r="A207" s="22" t="s">
        <v>11506</v>
      </c>
      <c r="B207" s="22" t="s">
        <v>11507</v>
      </c>
      <c r="C207" s="22" t="s">
        <v>11241</v>
      </c>
      <c r="D207" s="22" t="s">
        <v>11242</v>
      </c>
    </row>
    <row r="208" spans="1:64">
      <c r="A208" s="22" t="s">
        <v>1028</v>
      </c>
      <c r="B208" s="22" t="s">
        <v>11508</v>
      </c>
      <c r="C208" s="22" t="s">
        <v>11241</v>
      </c>
      <c r="D208" s="22" t="s">
        <v>11242</v>
      </c>
      <c r="E208" s="22">
        <v>4.5000000035000003</v>
      </c>
      <c r="F208" s="22">
        <v>4.5000000035000003</v>
      </c>
      <c r="G208" s="22">
        <v>4.5000000035000003</v>
      </c>
      <c r="H208" s="22">
        <v>4.5000000035000003</v>
      </c>
      <c r="I208" s="22">
        <v>4.5000000035000003</v>
      </c>
      <c r="J208" s="22">
        <v>4.5000000035000003</v>
      </c>
      <c r="K208" s="22">
        <v>4.5000000035000003</v>
      </c>
      <c r="L208" s="22">
        <v>4.5000000035000003</v>
      </c>
      <c r="M208" s="22">
        <v>4.5000000035000003</v>
      </c>
      <c r="N208" s="22">
        <v>4.5000000035000003</v>
      </c>
      <c r="O208" s="22">
        <v>4.5000000035000003</v>
      </c>
      <c r="P208" s="22">
        <v>4.4868294129714501</v>
      </c>
      <c r="Q208" s="22">
        <v>4.1447532058696597</v>
      </c>
      <c r="R208" s="22">
        <v>3.7065890401029402</v>
      </c>
      <c r="S208" s="22">
        <v>3.5499999990000002</v>
      </c>
      <c r="T208" s="22">
        <v>3.5176124990000002</v>
      </c>
      <c r="U208" s="22">
        <v>3.5299999990000002</v>
      </c>
      <c r="V208" s="22">
        <v>3.525064999</v>
      </c>
      <c r="W208" s="22">
        <v>3.3995616656666701</v>
      </c>
      <c r="X208" s="22">
        <v>3.3608366656666702</v>
      </c>
      <c r="Y208" s="22">
        <v>3.32674166566667</v>
      </c>
      <c r="Z208" s="22">
        <v>3.3825083325833298</v>
      </c>
      <c r="AA208" s="22">
        <v>3.42817083241667</v>
      </c>
      <c r="AB208" s="22">
        <v>3.4547591657500001</v>
      </c>
      <c r="AC208" s="22">
        <v>3.5238108330000002</v>
      </c>
      <c r="AD208" s="22">
        <v>3.62213583316667</v>
      </c>
      <c r="AE208" s="22">
        <v>3.7062499999999998</v>
      </c>
      <c r="AF208" s="22">
        <v>3.75</v>
      </c>
      <c r="AG208" s="22">
        <v>3.75</v>
      </c>
      <c r="AH208" s="22">
        <v>3.75</v>
      </c>
      <c r="AI208" s="22">
        <v>3.75</v>
      </c>
      <c r="AJ208" s="22">
        <v>3.75</v>
      </c>
      <c r="AK208" s="22">
        <v>3.75</v>
      </c>
      <c r="AL208" s="22">
        <v>3.75</v>
      </c>
      <c r="AM208" s="22">
        <v>3.75</v>
      </c>
      <c r="AN208" s="22">
        <v>3.75</v>
      </c>
      <c r="AO208" s="22">
        <v>3.75</v>
      </c>
      <c r="AP208" s="22">
        <v>3.75</v>
      </c>
      <c r="AQ208" s="22">
        <v>3.75</v>
      </c>
      <c r="AR208" s="22">
        <v>3.75</v>
      </c>
      <c r="AS208" s="22">
        <v>3.75</v>
      </c>
      <c r="AT208" s="22">
        <v>3.75</v>
      </c>
      <c r="AU208" s="22">
        <v>3.75</v>
      </c>
      <c r="AV208" s="22">
        <v>3.75</v>
      </c>
      <c r="AW208" s="22">
        <v>3.75</v>
      </c>
      <c r="AX208" s="22">
        <v>3.75</v>
      </c>
      <c r="AY208" s="22">
        <v>3.75</v>
      </c>
      <c r="AZ208" s="22">
        <v>3.75</v>
      </c>
      <c r="BA208" s="22">
        <v>3.75</v>
      </c>
      <c r="BB208" s="22">
        <v>3.75</v>
      </c>
      <c r="BC208" s="22">
        <v>3.75</v>
      </c>
      <c r="BD208" s="22">
        <v>3.75</v>
      </c>
      <c r="BE208" s="22">
        <v>3.75</v>
      </c>
      <c r="BF208" s="22">
        <v>3.75</v>
      </c>
      <c r="BG208" s="22">
        <v>3.75</v>
      </c>
      <c r="BH208" s="22">
        <v>3.75</v>
      </c>
      <c r="BI208" s="22">
        <v>3.75</v>
      </c>
      <c r="BJ208" s="22">
        <v>3.75</v>
      </c>
      <c r="BK208" s="22">
        <v>3.75</v>
      </c>
      <c r="BL208" s="22">
        <v>3.75</v>
      </c>
    </row>
    <row r="209" spans="1:64">
      <c r="A209" s="22" t="s">
        <v>10922</v>
      </c>
      <c r="B209" s="22" t="s">
        <v>11509</v>
      </c>
      <c r="C209" s="22" t="s">
        <v>11241</v>
      </c>
      <c r="D209" s="22" t="s">
        <v>11242</v>
      </c>
      <c r="E209" s="22">
        <v>3.4819999900000001E-4</v>
      </c>
      <c r="F209" s="22">
        <v>3.4819999900000001E-4</v>
      </c>
      <c r="G209" s="22">
        <v>3.4819999900000001E-4</v>
      </c>
      <c r="H209" s="22">
        <v>3.4819999900000001E-4</v>
      </c>
      <c r="I209" s="22">
        <v>3.4819999900000001E-4</v>
      </c>
      <c r="J209" s="22">
        <v>3.4819999900000001E-4</v>
      </c>
      <c r="K209" s="22">
        <v>3.4819999900000001E-4</v>
      </c>
      <c r="L209" s="22">
        <v>3.4819999900000001E-4</v>
      </c>
      <c r="M209" s="22">
        <v>3.4819999900000001E-4</v>
      </c>
      <c r="N209" s="22">
        <v>3.4819999900000001E-4</v>
      </c>
      <c r="O209" s="22">
        <v>3.4819999900000001E-4</v>
      </c>
      <c r="P209" s="22">
        <v>3.4819999900000001E-4</v>
      </c>
      <c r="Q209" s="22">
        <v>3.4819999900000001E-4</v>
      </c>
      <c r="R209" s="22">
        <v>3.4819999900000001E-4</v>
      </c>
      <c r="S209" s="22">
        <v>3.4819999900000001E-4</v>
      </c>
      <c r="T209" s="22">
        <v>3.4819999900000001E-4</v>
      </c>
      <c r="U209" s="22">
        <v>3.4819999900000001E-4</v>
      </c>
      <c r="V209" s="22">
        <v>3.4820616566666701E-4</v>
      </c>
      <c r="W209" s="22">
        <v>3.7745183233333301E-4</v>
      </c>
      <c r="X209" s="22">
        <v>4.29166665666667E-4</v>
      </c>
      <c r="Y209" s="22">
        <v>4.9999999900000001E-4</v>
      </c>
      <c r="Z209" s="22">
        <v>5.5885833233333302E-4</v>
      </c>
      <c r="AA209" s="22">
        <v>9.5229999916666703E-4</v>
      </c>
      <c r="AB209" s="22">
        <v>1.2999999999999999E-3</v>
      </c>
      <c r="AC209" s="22">
        <v>1.2999999999999999E-3</v>
      </c>
      <c r="AD209" s="22">
        <v>2.3040249999166699E-3</v>
      </c>
      <c r="AE209" s="22">
        <v>2.5000000000000001E-3</v>
      </c>
      <c r="AF209" s="22">
        <v>3.0000000000000001E-3</v>
      </c>
      <c r="AG209" s="22">
        <v>4.4999999999999997E-3</v>
      </c>
      <c r="AH209" s="22">
        <v>4.4999999999999997E-3</v>
      </c>
      <c r="AI209" s="22">
        <v>4.4999999999999997E-3</v>
      </c>
      <c r="AJ209" s="22">
        <v>6.95564166666667E-3</v>
      </c>
      <c r="AK209" s="22">
        <v>9.7431666666666694E-2</v>
      </c>
      <c r="AL209" s="22">
        <v>0.159313916666667</v>
      </c>
      <c r="AM209" s="22">
        <v>0.28960891666666699</v>
      </c>
      <c r="AN209" s="22">
        <v>0.58087374999999997</v>
      </c>
      <c r="AO209" s="22">
        <v>1.2507916666666701</v>
      </c>
      <c r="AP209" s="22">
        <v>1.5757425</v>
      </c>
      <c r="AQ209" s="22">
        <v>2.0080191666666698</v>
      </c>
      <c r="AR209" s="22">
        <v>2.52550416666667</v>
      </c>
      <c r="AS209" s="22">
        <v>2.5712250000000001</v>
      </c>
      <c r="AT209" s="22">
        <v>2.5870210416666701</v>
      </c>
      <c r="AU209" s="22">
        <v>2.6330583333333299</v>
      </c>
      <c r="AV209" s="22">
        <v>2.60983433333333</v>
      </c>
      <c r="AW209" s="22">
        <v>2.5790500000000001</v>
      </c>
      <c r="AX209" s="22">
        <v>2.4360583333333299</v>
      </c>
      <c r="AY209" s="22">
        <v>2.17153333333333</v>
      </c>
      <c r="AZ209" s="22">
        <v>2.0160999999999998</v>
      </c>
      <c r="BA209" s="22">
        <v>2.0901628287698402</v>
      </c>
      <c r="BB209" s="22">
        <v>2.3015333333333299</v>
      </c>
      <c r="BC209" s="22">
        <v>2.30600092016667</v>
      </c>
      <c r="BD209" s="22">
        <v>2.6666196217746898</v>
      </c>
      <c r="BE209" s="22">
        <v>3.5729583333333301</v>
      </c>
      <c r="BF209" s="22">
        <v>4.7567605470882102</v>
      </c>
      <c r="BG209" s="22">
        <v>5.7368666666666703</v>
      </c>
      <c r="BH209" s="22">
        <v>6.0257325979166696</v>
      </c>
      <c r="BI209" s="22">
        <v>6.2117136458333304</v>
      </c>
      <c r="BJ209" s="22">
        <v>6.6833600000000004</v>
      </c>
      <c r="BK209" s="22">
        <v>24.3289109018116</v>
      </c>
    </row>
    <row r="210" spans="1:64">
      <c r="A210" s="22" t="s">
        <v>6393</v>
      </c>
      <c r="B210" s="22" t="s">
        <v>11510</v>
      </c>
      <c r="C210" s="22" t="s">
        <v>11241</v>
      </c>
      <c r="D210" s="22" t="s">
        <v>11242</v>
      </c>
      <c r="E210" s="22">
        <v>245.19510139835899</v>
      </c>
      <c r="F210" s="22">
        <v>245.26010162116</v>
      </c>
      <c r="G210" s="22">
        <v>245.013850686544</v>
      </c>
      <c r="H210" s="22">
        <v>245.01635069607499</v>
      </c>
      <c r="I210" s="22">
        <v>245.027184079042</v>
      </c>
      <c r="J210" s="22">
        <v>245.06093420770799</v>
      </c>
      <c r="K210" s="22">
        <v>245.67843655764401</v>
      </c>
      <c r="L210" s="22">
        <v>246.00093779128099</v>
      </c>
      <c r="M210" s="22">
        <v>247.56469375695099</v>
      </c>
      <c r="N210" s="22">
        <v>259.960574351236</v>
      </c>
      <c r="O210" s="22">
        <v>276.403137026845</v>
      </c>
      <c r="P210" s="22">
        <v>275.35645668533198</v>
      </c>
      <c r="Q210" s="22">
        <v>252.02762746264901</v>
      </c>
      <c r="R210" s="22">
        <v>222.88918305322699</v>
      </c>
      <c r="S210" s="22">
        <v>240.70466763782301</v>
      </c>
      <c r="T210" s="22">
        <v>214.31290034121901</v>
      </c>
      <c r="U210" s="22">
        <v>238.95049426705901</v>
      </c>
      <c r="V210" s="22">
        <v>245.67968656657601</v>
      </c>
      <c r="W210" s="22">
        <v>225.65586023395699</v>
      </c>
      <c r="X210" s="22">
        <v>212.721644262377</v>
      </c>
      <c r="Y210" s="22">
        <v>211.27955541470499</v>
      </c>
      <c r="Z210" s="22">
        <v>271.73145255032699</v>
      </c>
      <c r="AA210" s="22">
        <v>328.60625269898998</v>
      </c>
      <c r="AB210" s="22">
        <v>381.06603602462798</v>
      </c>
      <c r="AC210" s="22">
        <v>436.95666578800802</v>
      </c>
      <c r="AD210" s="22">
        <v>449.26296271160697</v>
      </c>
      <c r="AE210" s="22">
        <v>346.305903554493</v>
      </c>
      <c r="AF210" s="22">
        <v>300.53656240147802</v>
      </c>
      <c r="AG210" s="22">
        <v>297.84821881937802</v>
      </c>
      <c r="AH210" s="22">
        <v>319.008299487903</v>
      </c>
      <c r="AI210" s="22">
        <v>272.264787954393</v>
      </c>
      <c r="AJ210" s="22">
        <v>282.10690880881998</v>
      </c>
      <c r="AK210" s="22">
        <v>264.69180075057898</v>
      </c>
      <c r="AL210" s="22">
        <v>283.16257950001801</v>
      </c>
      <c r="AM210" s="22">
        <v>555.20469565569704</v>
      </c>
      <c r="AN210" s="22">
        <v>499.14842590131002</v>
      </c>
      <c r="AO210" s="22">
        <v>511.55243027251601</v>
      </c>
      <c r="AP210" s="22">
        <v>583.66937235339606</v>
      </c>
      <c r="AQ210" s="22">
        <v>589.951774567332</v>
      </c>
      <c r="AR210" s="22">
        <v>615.47334931916396</v>
      </c>
      <c r="AS210" s="22">
        <v>710.20797703136702</v>
      </c>
      <c r="AT210" s="22">
        <v>732.39769326022804</v>
      </c>
      <c r="AU210" s="22">
        <v>693.71322649637398</v>
      </c>
      <c r="AV210" s="22">
        <v>579.897426172466</v>
      </c>
      <c r="AW210" s="22">
        <v>527.33803229157604</v>
      </c>
      <c r="AX210" s="22">
        <v>527.25836264962595</v>
      </c>
      <c r="AY210" s="22">
        <v>522.42562489517604</v>
      </c>
      <c r="AZ210" s="22">
        <v>478.63371847636301</v>
      </c>
      <c r="BA210" s="22">
        <v>446.00004143278801</v>
      </c>
      <c r="BB210" s="22">
        <v>470.29342334139801</v>
      </c>
      <c r="BC210" s="22">
        <v>494.794262222947</v>
      </c>
      <c r="BD210" s="22">
        <v>471.24862571893698</v>
      </c>
      <c r="BE210" s="22">
        <v>510.55633845425098</v>
      </c>
      <c r="BF210" s="22">
        <v>493.89962385223703</v>
      </c>
      <c r="BG210" s="22">
        <v>493.757329875312</v>
      </c>
      <c r="BH210" s="22">
        <v>591.21169798260996</v>
      </c>
      <c r="BI210" s="22">
        <v>592.60561506302201</v>
      </c>
      <c r="BJ210" s="22">
        <v>580.65674958785803</v>
      </c>
      <c r="BK210" s="22">
        <v>555.44645839822601</v>
      </c>
      <c r="BL210" s="22">
        <v>585.91101318036897</v>
      </c>
    </row>
    <row r="211" spans="1:64">
      <c r="A211" s="22" t="s">
        <v>10358</v>
      </c>
      <c r="B211" s="22" t="s">
        <v>11511</v>
      </c>
      <c r="C211" s="22" t="s">
        <v>11241</v>
      </c>
      <c r="D211" s="22" t="s">
        <v>11242</v>
      </c>
      <c r="E211" s="22">
        <v>3.0612200020612201</v>
      </c>
      <c r="F211" s="22">
        <v>3.0612200020612201</v>
      </c>
      <c r="G211" s="22">
        <v>3.0612200020612201</v>
      </c>
      <c r="H211" s="22">
        <v>3.0612200020612201</v>
      </c>
      <c r="I211" s="22">
        <v>3.0612200020612201</v>
      </c>
      <c r="J211" s="22">
        <v>3.0612200020612201</v>
      </c>
      <c r="K211" s="22">
        <v>3.0612200020612201</v>
      </c>
      <c r="L211" s="22">
        <v>3.0612200020612201</v>
      </c>
      <c r="M211" s="22">
        <v>3.0612200020612201</v>
      </c>
      <c r="N211" s="22">
        <v>3.0612200020612201</v>
      </c>
      <c r="O211" s="22">
        <v>3.0612200020612201</v>
      </c>
      <c r="P211" s="22">
        <v>3.0507016684727901</v>
      </c>
      <c r="Q211" s="22">
        <v>2.8124999989999999</v>
      </c>
      <c r="R211" s="22">
        <v>2.4573666658333302</v>
      </c>
      <c r="S211" s="22">
        <v>2.43686666583333</v>
      </c>
      <c r="T211" s="22">
        <v>2.3712999990833299</v>
      </c>
      <c r="U211" s="22">
        <v>2.4708416659166699</v>
      </c>
      <c r="V211" s="22">
        <v>2.43939999925</v>
      </c>
      <c r="W211" s="22">
        <v>2.2740249991666701</v>
      </c>
      <c r="X211" s="22">
        <v>2.1745583325000002</v>
      </c>
      <c r="Y211" s="22">
        <v>2.14120833258333</v>
      </c>
      <c r="Z211" s="22">
        <v>2.1126916659999999</v>
      </c>
      <c r="AA211" s="22">
        <v>2.1400249991666702</v>
      </c>
      <c r="AB211" s="22">
        <v>2.1130499989999998</v>
      </c>
      <c r="AC211" s="22">
        <v>2.1330833330000001</v>
      </c>
      <c r="AD211" s="22">
        <v>2.20014999966667</v>
      </c>
      <c r="AE211" s="22">
        <v>2.1774166665000001</v>
      </c>
      <c r="AF211" s="22">
        <v>2.10598333333333</v>
      </c>
      <c r="AG211" s="22">
        <v>2.0124249999999999</v>
      </c>
      <c r="AH211" s="22">
        <v>1.9502583333333301</v>
      </c>
      <c r="AI211" s="22">
        <v>1.81253333333333</v>
      </c>
      <c r="AJ211" s="22">
        <v>1.7275499999999999</v>
      </c>
      <c r="AK211" s="22">
        <v>1.62896666666667</v>
      </c>
      <c r="AL211" s="22">
        <v>1.61579083333333</v>
      </c>
      <c r="AM211" s="22">
        <v>1.52744416666667</v>
      </c>
      <c r="AN211" s="22">
        <v>1.4173750000000001</v>
      </c>
      <c r="AO211" s="22">
        <v>1.4100408333333301</v>
      </c>
      <c r="AP211" s="22">
        <v>1.48480583333333</v>
      </c>
      <c r="AQ211" s="22">
        <v>1.67360166666667</v>
      </c>
      <c r="AR211" s="22">
        <v>1.69495666666667</v>
      </c>
      <c r="AS211" s="22">
        <v>1.72396333333333</v>
      </c>
      <c r="AT211" s="22">
        <v>1.7917225000000001</v>
      </c>
      <c r="AU211" s="22">
        <v>1.7905883333333299</v>
      </c>
      <c r="AV211" s="22">
        <v>1.7421833333333301</v>
      </c>
      <c r="AW211" s="22">
        <v>1.6902283333333299</v>
      </c>
      <c r="AX211" s="22">
        <v>1.6643975</v>
      </c>
      <c r="AY211" s="22">
        <v>1.58893333333333</v>
      </c>
      <c r="AZ211" s="22">
        <v>1.5071016666666699</v>
      </c>
      <c r="BA211" s="22">
        <v>1.4148608333333299</v>
      </c>
      <c r="BB211" s="22">
        <v>1.45451471343873</v>
      </c>
      <c r="BC211" s="22">
        <v>1.36350833333333</v>
      </c>
      <c r="BD211" s="22">
        <v>1.2577758771929799</v>
      </c>
      <c r="BE211" s="22">
        <v>1.2496762037036999</v>
      </c>
      <c r="BF211" s="22">
        <v>1.2513000000000001</v>
      </c>
      <c r="BG211" s="22">
        <v>1.26705</v>
      </c>
      <c r="BH211" s="22">
        <v>1.374825</v>
      </c>
      <c r="BI211" s="22">
        <v>1.3815463636363601</v>
      </c>
      <c r="BJ211" s="22">
        <v>1.380925</v>
      </c>
      <c r="BK211" s="22">
        <v>1.34884166666667</v>
      </c>
      <c r="BL211" s="22">
        <v>1.36415833333333</v>
      </c>
    </row>
    <row r="212" spans="1:64">
      <c r="A212" s="22" t="s">
        <v>10915</v>
      </c>
      <c r="B212" s="22" t="s">
        <v>11512</v>
      </c>
      <c r="C212" s="22" t="s">
        <v>11241</v>
      </c>
      <c r="D212" s="22" t="s">
        <v>11242</v>
      </c>
      <c r="E212" s="22">
        <v>0.89285699989285705</v>
      </c>
      <c r="F212" s="22">
        <v>0.89285699989285705</v>
      </c>
      <c r="G212" s="22">
        <v>0.89285699989285705</v>
      </c>
      <c r="H212" s="22">
        <v>0.89285699989285705</v>
      </c>
      <c r="I212" s="22">
        <v>0.89285699989285705</v>
      </c>
      <c r="J212" s="22">
        <v>0.89285699989285705</v>
      </c>
      <c r="K212" s="22">
        <v>0.89285699989285705</v>
      </c>
      <c r="L212" s="22">
        <v>0.89285699989285705</v>
      </c>
      <c r="M212" s="22">
        <v>0.89285699989285705</v>
      </c>
      <c r="N212" s="22">
        <v>0.89285699989285705</v>
      </c>
      <c r="O212" s="22">
        <v>0.89285699989285705</v>
      </c>
      <c r="P212" s="22">
        <v>0.88161645427590696</v>
      </c>
      <c r="Q212" s="22">
        <v>0.83729999899999996</v>
      </c>
      <c r="R212" s="22">
        <v>0.70411390796665796</v>
      </c>
      <c r="S212" s="22">
        <v>0.698085449275053</v>
      </c>
      <c r="T212" s="22">
        <v>0.76386666666666703</v>
      </c>
      <c r="U212" s="22">
        <v>0.81828333333333303</v>
      </c>
      <c r="V212" s="22">
        <v>0.90181666666666704</v>
      </c>
      <c r="W212" s="22">
        <v>0.87365833333333298</v>
      </c>
      <c r="X212" s="22">
        <v>0.86596432184602701</v>
      </c>
      <c r="Y212" s="22">
        <v>0.82982723705133399</v>
      </c>
      <c r="Z212" s="22">
        <v>0.87016628815513497</v>
      </c>
      <c r="AA212" s="22">
        <v>0.97110438154040202</v>
      </c>
      <c r="AB212" s="22">
        <v>1.1485583118840701</v>
      </c>
      <c r="AC212" s="22">
        <v>1.2737151385596699</v>
      </c>
      <c r="AD212" s="22">
        <v>1.4807666665000001</v>
      </c>
      <c r="AE212" s="22">
        <v>1.74149999983333</v>
      </c>
      <c r="AF212" s="22">
        <v>2.0032916666666698</v>
      </c>
      <c r="AG212" s="22">
        <v>2.0825166666666699</v>
      </c>
      <c r="AH212" s="22">
        <v>2.29324166666667</v>
      </c>
      <c r="AI212" s="22">
        <v>2.5287833333333301</v>
      </c>
      <c r="AJ212" s="22">
        <v>2.71475</v>
      </c>
      <c r="AK212" s="22">
        <v>2.9281000000000001</v>
      </c>
      <c r="AL212" s="22">
        <v>3.18773333333333</v>
      </c>
      <c r="AM212" s="22">
        <v>3.2913583333333301</v>
      </c>
      <c r="AN212" s="22">
        <v>3.4058999999999999</v>
      </c>
      <c r="AO212" s="22">
        <v>3.56635833333333</v>
      </c>
      <c r="AP212" s="22">
        <v>3.7169416666666701</v>
      </c>
      <c r="AQ212" s="22">
        <v>4.8156491666666703</v>
      </c>
      <c r="AR212" s="22">
        <v>4.8381416666666697</v>
      </c>
      <c r="AS212" s="22">
        <v>5.0889308333333299</v>
      </c>
      <c r="AT212" s="22">
        <v>5.2779849531703702</v>
      </c>
      <c r="AU212" s="22">
        <v>6.7487721028988696</v>
      </c>
      <c r="AV212" s="22">
        <v>7.50594374859842</v>
      </c>
      <c r="AW212" s="22">
        <v>7.48474390550839</v>
      </c>
      <c r="AX212" s="22">
        <v>7.5298730248359602</v>
      </c>
      <c r="AY212" s="22">
        <v>7.6094583333333299</v>
      </c>
      <c r="AZ212" s="22">
        <v>7.6520000000000001</v>
      </c>
      <c r="BA212" s="22">
        <v>7.7479166666666703</v>
      </c>
      <c r="BB212" s="22">
        <v>8.0550416666666695</v>
      </c>
      <c r="BC212" s="22">
        <v>8.06450134408602</v>
      </c>
      <c r="BD212" s="22">
        <v>7.64125903009875</v>
      </c>
      <c r="BE212" s="22">
        <v>7.3552028471520297</v>
      </c>
      <c r="BF212" s="22">
        <v>7.3021351000420598</v>
      </c>
      <c r="BG212" s="22">
        <v>7.3753453536421096</v>
      </c>
      <c r="BH212" s="22">
        <v>7.9146889773578799</v>
      </c>
      <c r="BI212" s="22">
        <v>7.9481529377886702</v>
      </c>
      <c r="BJ212" s="22">
        <v>7.8873903690918299</v>
      </c>
      <c r="BK212" s="22">
        <v>7.9525048613100298</v>
      </c>
      <c r="BL212" s="22">
        <v>8.1733992977783902</v>
      </c>
    </row>
    <row r="213" spans="1:64">
      <c r="A213" s="22" t="s">
        <v>10911</v>
      </c>
      <c r="B213" s="22" t="s">
        <v>11513</v>
      </c>
      <c r="C213" s="22" t="s">
        <v>11241</v>
      </c>
      <c r="D213" s="22" t="s">
        <v>11242</v>
      </c>
      <c r="E213" s="22">
        <v>0.71428599971428597</v>
      </c>
      <c r="F213" s="22">
        <v>0.71428599971428597</v>
      </c>
      <c r="G213" s="22">
        <v>0.71428599971428597</v>
      </c>
      <c r="H213" s="22">
        <v>0.71428599971428597</v>
      </c>
      <c r="I213" s="22">
        <v>0.71428599971428597</v>
      </c>
      <c r="J213" s="22">
        <v>0.71428599971428597</v>
      </c>
      <c r="K213" s="22">
        <v>0.71428599971428597</v>
      </c>
      <c r="L213" s="22">
        <v>0.72420691633134904</v>
      </c>
      <c r="M213" s="22">
        <v>0.83333299983333298</v>
      </c>
      <c r="N213" s="22">
        <v>0.83333299983333298</v>
      </c>
      <c r="O213" s="22">
        <v>0.83333299983333298</v>
      </c>
      <c r="P213" s="22">
        <v>0.83089400256529</v>
      </c>
      <c r="Q213" s="22">
        <v>0.80078166566666698</v>
      </c>
      <c r="R213" s="22">
        <v>0.81634166566666699</v>
      </c>
      <c r="S213" s="22">
        <v>0.85546083233333303</v>
      </c>
      <c r="T213" s="22">
        <v>0.90402166566666697</v>
      </c>
      <c r="U213" s="22">
        <v>1.1128408325000001</v>
      </c>
      <c r="V213" s="22">
        <v>1.14649666575</v>
      </c>
      <c r="W213" s="22">
        <v>1.0470433324999999</v>
      </c>
      <c r="X213" s="22">
        <v>1.0569725444662901</v>
      </c>
      <c r="Y213" s="22">
        <v>1.0497976491415399</v>
      </c>
      <c r="Z213" s="22">
        <v>1.15909847113534</v>
      </c>
      <c r="AA213" s="22">
        <v>1.2386504266874001</v>
      </c>
      <c r="AB213" s="22">
        <v>1.8853301635048201</v>
      </c>
      <c r="AC213" s="22">
        <v>2.5099499995833301</v>
      </c>
      <c r="AD213" s="22">
        <v>5.0941625000000004</v>
      </c>
      <c r="AE213" s="22">
        <v>16.092133333250001</v>
      </c>
      <c r="AF213" s="22">
        <v>34.042524999999998</v>
      </c>
      <c r="AG213" s="22">
        <v>32.514083333333303</v>
      </c>
      <c r="AH213" s="22">
        <v>59.812758333333299</v>
      </c>
      <c r="AI213" s="22">
        <v>151.44583333333301</v>
      </c>
      <c r="AJ213" s="22">
        <v>295.34416666666698</v>
      </c>
      <c r="AK213" s="22">
        <v>499.44183333333302</v>
      </c>
      <c r="AL213" s="22">
        <v>567.45858333333297</v>
      </c>
      <c r="AM213" s="22">
        <v>586.73970833333306</v>
      </c>
      <c r="AN213" s="22">
        <v>755.21583333333297</v>
      </c>
      <c r="AO213" s="22">
        <v>920.73249999999996</v>
      </c>
      <c r="AP213" s="22">
        <v>981.48249999999996</v>
      </c>
      <c r="AQ213" s="22">
        <v>1563.6179999999999</v>
      </c>
      <c r="AR213" s="22">
        <v>1804.1949999999999</v>
      </c>
      <c r="AS213" s="22">
        <v>2092.125</v>
      </c>
      <c r="AT213" s="22">
        <v>1986.1541666666701</v>
      </c>
      <c r="AU213" s="22">
        <v>2099.0338657500001</v>
      </c>
      <c r="AV213" s="22">
        <v>2347.9416666666698</v>
      </c>
      <c r="AW213" s="22">
        <v>2701.2966666666698</v>
      </c>
      <c r="AX213" s="22">
        <v>2889.5875000000001</v>
      </c>
      <c r="AY213" s="22">
        <v>2961.90916666667</v>
      </c>
      <c r="AZ213" s="22">
        <v>2985.1858333333298</v>
      </c>
      <c r="BA213" s="22">
        <v>2981.5149999999999</v>
      </c>
      <c r="BB213" s="22">
        <v>3385.65</v>
      </c>
      <c r="BC213" s="22">
        <v>3978.0866666666702</v>
      </c>
      <c r="BD213" s="22">
        <v>4349.1616666666696</v>
      </c>
      <c r="BE213" s="22">
        <v>4344.0366666666696</v>
      </c>
      <c r="BF213" s="22">
        <v>4332.5008333333299</v>
      </c>
      <c r="BG213" s="22">
        <v>4524.15916666667</v>
      </c>
      <c r="BH213" s="22">
        <v>5080.7475000000004</v>
      </c>
      <c r="BI213" s="22">
        <v>6290.2974149522797</v>
      </c>
      <c r="BJ213" s="22">
        <v>7384.4322224869202</v>
      </c>
      <c r="BK213" s="22">
        <v>7931.6317497372802</v>
      </c>
      <c r="BL213" s="22">
        <v>9010.2211440091505</v>
      </c>
    </row>
    <row r="214" spans="1:64">
      <c r="A214" s="22" t="s">
        <v>10767</v>
      </c>
      <c r="B214" s="22" t="s">
        <v>11514</v>
      </c>
      <c r="C214" s="22" t="s">
        <v>11241</v>
      </c>
      <c r="D214" s="22" t="s">
        <v>11242</v>
      </c>
      <c r="E214" s="22">
        <v>2.5000000015000001</v>
      </c>
      <c r="F214" s="22">
        <v>2.5000000015000001</v>
      </c>
      <c r="G214" s="22">
        <v>2.5000000015000001</v>
      </c>
      <c r="H214" s="22">
        <v>2.5000000015000001</v>
      </c>
      <c r="I214" s="22">
        <v>2.5000000015000001</v>
      </c>
      <c r="J214" s="22">
        <v>2.5000000015000001</v>
      </c>
      <c r="K214" s="22">
        <v>2.5000000015000001</v>
      </c>
      <c r="L214" s="22">
        <v>2.5000000015000001</v>
      </c>
      <c r="M214" s="22">
        <v>2.5000000015000001</v>
      </c>
      <c r="N214" s="22">
        <v>2.5000000015000001</v>
      </c>
      <c r="O214" s="22">
        <v>2.5000000015000001</v>
      </c>
      <c r="P214" s="22">
        <v>2.5000000012916699</v>
      </c>
      <c r="Q214" s="22">
        <v>2.5000138172256099</v>
      </c>
      <c r="R214" s="22">
        <v>2.4999976984432202</v>
      </c>
      <c r="S214" s="22">
        <v>2.4999979282546501</v>
      </c>
      <c r="T214" s="22">
        <v>2.5</v>
      </c>
      <c r="U214" s="22">
        <v>2.5</v>
      </c>
      <c r="V214" s="22">
        <v>2.5</v>
      </c>
      <c r="W214" s="22">
        <v>2.5</v>
      </c>
      <c r="X214" s="22">
        <v>2.5</v>
      </c>
      <c r="Y214" s="22">
        <v>2.5</v>
      </c>
      <c r="Z214" s="22">
        <v>2.5</v>
      </c>
      <c r="AA214" s="22">
        <v>2.5</v>
      </c>
      <c r="AB214" s="22">
        <v>2.5</v>
      </c>
      <c r="AC214" s="22">
        <v>2.5</v>
      </c>
      <c r="AD214" s="22">
        <v>2.5</v>
      </c>
      <c r="AE214" s="22">
        <v>4.85215</v>
      </c>
      <c r="AF214" s="22">
        <v>5</v>
      </c>
      <c r="AG214" s="22">
        <v>5</v>
      </c>
      <c r="AH214" s="22">
        <v>5</v>
      </c>
      <c r="AI214" s="22">
        <v>6.8483333333333301</v>
      </c>
      <c r="AJ214" s="22">
        <v>8.0166666666666693</v>
      </c>
      <c r="AK214" s="22">
        <v>8.3608333333333302</v>
      </c>
      <c r="AL214" s="22">
        <v>8.7025083333333306</v>
      </c>
      <c r="AM214" s="22">
        <v>8.7287499999999998</v>
      </c>
      <c r="AN214" s="22">
        <v>8.7545833333333292</v>
      </c>
      <c r="AO214" s="22">
        <v>8.7550000000000008</v>
      </c>
      <c r="AP214" s="22">
        <v>8.7562499999999996</v>
      </c>
      <c r="AQ214" s="22">
        <v>8.7550000000000008</v>
      </c>
      <c r="AR214" s="22">
        <v>8.7550000000000008</v>
      </c>
      <c r="AS214" s="22">
        <v>8.7550000000000008</v>
      </c>
      <c r="AT214" s="22">
        <v>1</v>
      </c>
      <c r="AU214" s="22">
        <v>1</v>
      </c>
      <c r="AV214" s="22">
        <v>1</v>
      </c>
      <c r="AW214" s="22">
        <v>1</v>
      </c>
      <c r="AX214" s="22">
        <v>1</v>
      </c>
      <c r="AY214" s="22">
        <v>1</v>
      </c>
      <c r="AZ214" s="22">
        <v>1</v>
      </c>
      <c r="BA214" s="22">
        <v>1</v>
      </c>
      <c r="BB214" s="22">
        <v>1</v>
      </c>
      <c r="BC214" s="22">
        <v>1</v>
      </c>
      <c r="BD214" s="22">
        <v>1</v>
      </c>
      <c r="BE214" s="22">
        <v>1</v>
      </c>
      <c r="BF214" s="22">
        <v>1</v>
      </c>
      <c r="BG214" s="22">
        <v>1</v>
      </c>
      <c r="BH214" s="22">
        <v>1</v>
      </c>
      <c r="BI214" s="22">
        <v>1</v>
      </c>
      <c r="BJ214" s="22">
        <v>1</v>
      </c>
      <c r="BK214" s="22">
        <v>1</v>
      </c>
      <c r="BL214" s="22">
        <v>1</v>
      </c>
    </row>
    <row r="215" spans="1:64">
      <c r="A215" s="22" t="s">
        <v>10907</v>
      </c>
      <c r="B215" s="22" t="s">
        <v>11515</v>
      </c>
      <c r="C215" s="22" t="s">
        <v>11241</v>
      </c>
      <c r="D215" s="22" t="s">
        <v>11242</v>
      </c>
      <c r="Q215" s="22">
        <v>583.21749999941699</v>
      </c>
      <c r="R215" s="22">
        <v>582.99583333191697</v>
      </c>
      <c r="S215" s="22">
        <v>650.34333333183304</v>
      </c>
      <c r="T215" s="22">
        <v>652.84916666599997</v>
      </c>
      <c r="U215" s="22">
        <v>832.33499999966705</v>
      </c>
      <c r="V215" s="22">
        <v>882.38833333125001</v>
      </c>
      <c r="W215" s="22">
        <v>848.663333330917</v>
      </c>
      <c r="X215" s="22">
        <v>830.86166666591703</v>
      </c>
      <c r="Y215" s="22">
        <v>856.44749999741703</v>
      </c>
      <c r="Z215" s="22">
        <v>1136.7649999995799</v>
      </c>
      <c r="AA215" s="22">
        <v>1352.50999999808</v>
      </c>
      <c r="AB215" s="22">
        <v>1518.84833333283</v>
      </c>
      <c r="AC215" s="22">
        <v>1756.9608333318299</v>
      </c>
      <c r="AD215" s="22">
        <v>1909.4391666639999</v>
      </c>
      <c r="AE215" s="22">
        <v>1490.8099999987501</v>
      </c>
      <c r="AF215" s="22">
        <v>1296.07</v>
      </c>
      <c r="AG215" s="22">
        <v>1301.6275000000001</v>
      </c>
      <c r="AH215" s="22">
        <v>1372.0933333333301</v>
      </c>
      <c r="AI215" s="22">
        <v>1198.1016666666701</v>
      </c>
      <c r="AJ215" s="22">
        <v>1240.61333333333</v>
      </c>
      <c r="AK215" s="22">
        <v>1232.4058333333301</v>
      </c>
      <c r="AL215" s="22">
        <v>1573.6658666666699</v>
      </c>
      <c r="AM215" s="22">
        <v>1612.4449833333299</v>
      </c>
      <c r="AN215" s="22">
        <v>1628.9331583333301</v>
      </c>
      <c r="AO215" s="22">
        <v>1542.9469666666701</v>
      </c>
      <c r="AP215" s="22">
        <v>1703.09690833333</v>
      </c>
      <c r="AQ215" s="22">
        <v>1736.20738333333</v>
      </c>
      <c r="AR215" s="22">
        <v>0.938283072395239</v>
      </c>
      <c r="AS215" s="22">
        <v>1.08270508132601</v>
      </c>
      <c r="AT215" s="22">
        <v>1.11653308564468</v>
      </c>
      <c r="AU215" s="22">
        <v>1.0575589962396501</v>
      </c>
      <c r="AV215" s="22">
        <v>0.88404792718496095</v>
      </c>
      <c r="AW215" s="22">
        <v>0.80392164774760499</v>
      </c>
      <c r="AX215" s="22">
        <v>0.80380019216141596</v>
      </c>
      <c r="AY215" s="22">
        <v>0.79643273094909595</v>
      </c>
      <c r="AZ215" s="22">
        <v>0.72967239998408795</v>
      </c>
      <c r="BA215" s="22">
        <v>0.67992268004272904</v>
      </c>
      <c r="BB215" s="22">
        <v>0.71695770201613596</v>
      </c>
      <c r="BC215" s="22">
        <v>0.75430899010597896</v>
      </c>
      <c r="BD215" s="22">
        <v>0.71841389865332195</v>
      </c>
      <c r="BE215" s="22">
        <v>0.77833812041681205</v>
      </c>
      <c r="BF215" s="22">
        <v>0.75294512270200198</v>
      </c>
      <c r="BG215" s="22">
        <v>0.75272819693259096</v>
      </c>
      <c r="BH215" s="22">
        <v>0.90129642336709603</v>
      </c>
      <c r="BI215" s="22">
        <v>0.90342143625728799</v>
      </c>
      <c r="BJ215" s="22">
        <v>0.88520550826938005</v>
      </c>
      <c r="BK215" s="22">
        <v>0.84677266710809596</v>
      </c>
      <c r="BL215" s="22">
        <v>0.89321558147922597</v>
      </c>
    </row>
    <row r="216" spans="1:64">
      <c r="A216" s="22" t="s">
        <v>10916</v>
      </c>
      <c r="B216" s="22" t="s">
        <v>11516</v>
      </c>
      <c r="C216" s="22" t="s">
        <v>11241</v>
      </c>
      <c r="D216" s="22" t="s">
        <v>11242</v>
      </c>
      <c r="E216" s="22">
        <v>7.1428600061428602</v>
      </c>
      <c r="F216" s="22">
        <v>7.1428600061428602</v>
      </c>
      <c r="G216" s="22">
        <v>7.1428600061428602</v>
      </c>
      <c r="H216" s="22">
        <v>7.1428600061428602</v>
      </c>
      <c r="I216" s="22">
        <v>7.1428600061428602</v>
      </c>
      <c r="J216" s="22">
        <v>7.1428600061428602</v>
      </c>
      <c r="K216" s="22">
        <v>7.1428600061428602</v>
      </c>
      <c r="L216" s="22">
        <v>7.1428600061428602</v>
      </c>
      <c r="M216" s="22">
        <v>7.1428600061428602</v>
      </c>
      <c r="N216" s="22">
        <v>7.1428600061428602</v>
      </c>
      <c r="O216" s="22">
        <v>7.1428600061428602</v>
      </c>
      <c r="P216" s="22">
        <v>7.1285583388809597</v>
      </c>
      <c r="Q216" s="22">
        <v>6.9801249990000001</v>
      </c>
      <c r="R216" s="22">
        <v>6.2814999990000002</v>
      </c>
      <c r="S216" s="22">
        <v>6.2949999989999998</v>
      </c>
      <c r="T216" s="22">
        <v>6.2949999989999998</v>
      </c>
      <c r="U216" s="22">
        <v>6.2949999989999998</v>
      </c>
      <c r="V216" s="22">
        <v>6.2949999989999998</v>
      </c>
      <c r="W216" s="22">
        <v>6.2949999989999998</v>
      </c>
      <c r="X216" s="22">
        <v>6.2949999989999998</v>
      </c>
      <c r="Y216" s="22">
        <v>6.2949999989999998</v>
      </c>
      <c r="Z216" s="22">
        <v>6.2949999989999998</v>
      </c>
      <c r="AA216" s="22">
        <v>10.750349999000001</v>
      </c>
      <c r="AB216" s="22">
        <v>15.787658332333301</v>
      </c>
      <c r="AC216" s="22">
        <v>20.0185499995833</v>
      </c>
      <c r="AD216" s="22">
        <v>39.487141666666702</v>
      </c>
      <c r="AE216" s="22">
        <v>72</v>
      </c>
      <c r="AF216" s="22">
        <v>105.177083333333</v>
      </c>
      <c r="AG216" s="22">
        <v>170.45275000000001</v>
      </c>
      <c r="AH216" s="22">
        <v>490.675166666667</v>
      </c>
      <c r="BB216" s="22">
        <v>31558.9054783951</v>
      </c>
      <c r="BC216" s="22">
        <v>31269.662571225101</v>
      </c>
      <c r="BD216" s="22">
        <v>29966.835440408398</v>
      </c>
      <c r="BE216" s="22">
        <v>22516.000296771101</v>
      </c>
      <c r="BF216" s="22">
        <v>19283.799950452099</v>
      </c>
      <c r="BG216" s="22">
        <v>20230.929131054101</v>
      </c>
      <c r="BH216" s="22">
        <v>22254.2356837607</v>
      </c>
      <c r="BI216" s="22">
        <v>23061.784313865101</v>
      </c>
      <c r="BJ216" s="22">
        <v>23097.9873219373</v>
      </c>
    </row>
    <row r="217" spans="1:64">
      <c r="A217" s="22" t="s">
        <v>10909</v>
      </c>
      <c r="B217" s="22" t="s">
        <v>11517</v>
      </c>
      <c r="C217" s="22" t="s">
        <v>11241</v>
      </c>
      <c r="D217" s="22" t="s">
        <v>11242</v>
      </c>
      <c r="AP217" s="22">
        <v>5.9123000000000001</v>
      </c>
      <c r="AQ217" s="22">
        <v>10.030799999999999</v>
      </c>
      <c r="AR217" s="22">
        <v>11.6615</v>
      </c>
      <c r="AS217" s="22">
        <v>63.165900000000001</v>
      </c>
      <c r="AT217" s="22">
        <v>66.913659999999993</v>
      </c>
      <c r="AU217" s="22">
        <v>64.405225000000002</v>
      </c>
      <c r="AV217" s="22">
        <v>57.5900416666667</v>
      </c>
      <c r="AW217" s="22">
        <v>58.3757083333333</v>
      </c>
      <c r="AX217" s="22">
        <v>66.717825000000005</v>
      </c>
      <c r="AY217" s="22">
        <v>67.155124999999998</v>
      </c>
      <c r="AZ217" s="22">
        <v>58.449566666666698</v>
      </c>
      <c r="BA217" s="22">
        <v>55.72925</v>
      </c>
      <c r="BB217" s="22">
        <v>67.604933333333307</v>
      </c>
      <c r="BC217" s="22">
        <v>77.722841666666696</v>
      </c>
      <c r="BD217" s="22">
        <v>73.355433333333394</v>
      </c>
      <c r="BE217" s="22">
        <v>87.958808333333295</v>
      </c>
      <c r="BF217" s="22">
        <v>85.158841666666703</v>
      </c>
      <c r="BG217" s="22">
        <v>88.405308333333295</v>
      </c>
      <c r="BH217" s="22">
        <v>108.811425</v>
      </c>
      <c r="BI217" s="22">
        <v>111.27785</v>
      </c>
      <c r="BJ217" s="22">
        <v>107.75885</v>
      </c>
      <c r="BK217" s="22">
        <v>100.17507500000001</v>
      </c>
      <c r="BL217" s="22">
        <v>105.249558333333</v>
      </c>
    </row>
    <row r="218" spans="1:64">
      <c r="A218" s="22" t="s">
        <v>11518</v>
      </c>
      <c r="B218" s="22" t="s">
        <v>11519</v>
      </c>
      <c r="C218" s="22" t="s">
        <v>11241</v>
      </c>
      <c r="D218" s="22" t="s">
        <v>11242</v>
      </c>
    </row>
    <row r="219" spans="1:64">
      <c r="A219" s="22" t="s">
        <v>10917</v>
      </c>
      <c r="B219" s="22" t="s">
        <v>11520</v>
      </c>
      <c r="C219" s="22" t="s">
        <v>11241</v>
      </c>
      <c r="D219" s="22" t="s">
        <v>11242</v>
      </c>
      <c r="BD219" s="22">
        <v>2.98895</v>
      </c>
      <c r="BE219" s="22">
        <v>2.95</v>
      </c>
      <c r="BF219" s="22">
        <v>2.95</v>
      </c>
      <c r="BG219" s="22">
        <v>2.95</v>
      </c>
      <c r="BH219" s="22">
        <v>3.6041666666666701</v>
      </c>
      <c r="BI219" s="22">
        <v>46.7291666666667</v>
      </c>
      <c r="BJ219" s="22">
        <v>113.64749999999999</v>
      </c>
      <c r="BK219" s="22">
        <v>141.38583333333301</v>
      </c>
      <c r="BL219" s="22">
        <v>157.99916666666701</v>
      </c>
    </row>
    <row r="220" spans="1:64">
      <c r="A220" s="22" t="s">
        <v>10514</v>
      </c>
      <c r="B220" s="22" t="s">
        <v>11521</v>
      </c>
      <c r="C220" s="22" t="s">
        <v>11241</v>
      </c>
      <c r="D220" s="22" t="s">
        <v>11242</v>
      </c>
    </row>
    <row r="221" spans="1:64">
      <c r="A221" s="22" t="s">
        <v>11522</v>
      </c>
      <c r="B221" s="22" t="s">
        <v>11523</v>
      </c>
      <c r="C221" s="22" t="s">
        <v>11241</v>
      </c>
      <c r="D221" s="22" t="s">
        <v>11242</v>
      </c>
    </row>
    <row r="222" spans="1:64">
      <c r="A222" s="22" t="s">
        <v>10908</v>
      </c>
      <c r="B222" s="22" t="s">
        <v>11524</v>
      </c>
      <c r="C222" s="22" t="s">
        <v>11241</v>
      </c>
      <c r="D222" s="22" t="s">
        <v>11242</v>
      </c>
      <c r="E222" s="22">
        <v>2.875000002875E-2</v>
      </c>
      <c r="F222" s="22">
        <v>2.875000002875E-2</v>
      </c>
      <c r="G222" s="22">
        <v>2.875000002875E-2</v>
      </c>
      <c r="H222" s="22">
        <v>2.875000002875E-2</v>
      </c>
      <c r="I222" s="22">
        <v>2.875000002875E-2</v>
      </c>
      <c r="J222" s="22">
        <v>2.875000002875E-2</v>
      </c>
      <c r="K222" s="22">
        <v>2.875000002875E-2</v>
      </c>
      <c r="L222" s="22">
        <v>2.875000002875E-2</v>
      </c>
      <c r="M222" s="22">
        <v>2.875000002875E-2</v>
      </c>
      <c r="N222" s="22">
        <v>2.875000002875E-2</v>
      </c>
      <c r="O222" s="22">
        <v>2.875000002875E-2</v>
      </c>
      <c r="P222" s="22">
        <v>2.83601702878227E-2</v>
      </c>
      <c r="Q222" s="22">
        <v>2.7053416666666701E-2</v>
      </c>
      <c r="R222" s="22">
        <v>2.45151666665833E-2</v>
      </c>
      <c r="S222" s="22">
        <v>2.5408166666583298E-2</v>
      </c>
      <c r="T222" s="22">
        <v>2.5543249999916699E-2</v>
      </c>
      <c r="U222" s="22">
        <v>3.0229083333333299E-2</v>
      </c>
      <c r="V222" s="22">
        <v>3.7558070960585603E-2</v>
      </c>
      <c r="W222" s="22">
        <v>3.6154724439896903E-2</v>
      </c>
      <c r="X222" s="22">
        <v>3.5024583566634897E-2</v>
      </c>
      <c r="Y222" s="22">
        <v>3.4771398773720201E-2</v>
      </c>
      <c r="Z222" s="22">
        <v>3.8399464445231603E-2</v>
      </c>
      <c r="AA222" s="22">
        <v>4.0998602033422898E-2</v>
      </c>
      <c r="AB222" s="22">
        <v>4.2335198473825303E-2</v>
      </c>
      <c r="AC222" s="22">
        <v>4.4158667395588602E-2</v>
      </c>
      <c r="AD222" s="22">
        <v>4.4604388848353299E-2</v>
      </c>
      <c r="AE222" s="22">
        <v>3.85890122281718E-2</v>
      </c>
      <c r="AF222" s="22">
        <v>5.42112152376878E-2</v>
      </c>
      <c r="AG222" s="22">
        <v>8.63433333333333E-2</v>
      </c>
      <c r="AH222" s="22">
        <v>0.12467225</v>
      </c>
      <c r="AI222" s="22">
        <v>0.143330916666667</v>
      </c>
      <c r="AK222" s="22">
        <v>0.321337083333333</v>
      </c>
      <c r="AL222" s="22">
        <v>0.42985416666666698</v>
      </c>
      <c r="AM222" s="22">
        <v>0.73262816666666697</v>
      </c>
      <c r="AN222" s="22">
        <v>1.42034183333333</v>
      </c>
      <c r="AO222" s="22">
        <v>2.2031635833333301</v>
      </c>
      <c r="AP222" s="22">
        <v>4.5525059166666697</v>
      </c>
      <c r="AQ222" s="22">
        <v>6.8832428333333304</v>
      </c>
      <c r="AR222" s="22">
        <v>7.1189583333333299</v>
      </c>
      <c r="AS222" s="22">
        <v>7.97817166666667</v>
      </c>
      <c r="AT222" s="22">
        <v>8.8421091666666705</v>
      </c>
      <c r="AU222" s="22">
        <v>9.0883249999999993</v>
      </c>
      <c r="AV222" s="22">
        <v>9.3475833333333291</v>
      </c>
      <c r="AW222" s="22">
        <v>9.9023241666666699</v>
      </c>
      <c r="AX222" s="22">
        <v>10.5579703333333</v>
      </c>
      <c r="AY222" s="22">
        <v>12.4486425</v>
      </c>
      <c r="AZ222" s="22">
        <v>13.536754999999999</v>
      </c>
      <c r="BA222" s="22">
        <v>14.6952016666667</v>
      </c>
      <c r="BB222" s="22">
        <v>16.2084512541667</v>
      </c>
      <c r="BC222" s="22">
        <v>18.498601323751</v>
      </c>
      <c r="BD222" s="22">
        <v>17.622935005819699</v>
      </c>
      <c r="BE222" s="22">
        <v>19.0684168084154</v>
      </c>
      <c r="BF222" s="22">
        <v>18.449952624878101</v>
      </c>
      <c r="BG222" s="22">
        <v>18.4664030495763</v>
      </c>
      <c r="BH222" s="22">
        <v>22.090644560211299</v>
      </c>
      <c r="BI222" s="22">
        <v>22.148860634783802</v>
      </c>
      <c r="BJ222" s="22">
        <v>21.741138360711599</v>
      </c>
      <c r="BK222" s="22">
        <v>20.750859237091401</v>
      </c>
      <c r="BL222" s="22">
        <v>21.8847418164689</v>
      </c>
    </row>
    <row r="223" spans="1:64">
      <c r="A223" s="22" t="s">
        <v>10924</v>
      </c>
      <c r="B223" s="22" t="s">
        <v>11525</v>
      </c>
      <c r="C223" s="22" t="s">
        <v>11241</v>
      </c>
      <c r="D223" s="22" t="s">
        <v>11242</v>
      </c>
      <c r="E223" s="22">
        <v>1.885E-3</v>
      </c>
      <c r="F223" s="22">
        <v>1.885E-3</v>
      </c>
      <c r="G223" s="22">
        <v>1.885E-3</v>
      </c>
      <c r="H223" s="22">
        <v>1.885E-3</v>
      </c>
      <c r="I223" s="22">
        <v>1.885E-3</v>
      </c>
      <c r="J223" s="22">
        <v>1.885E-3</v>
      </c>
      <c r="K223" s="22">
        <v>1.885E-3</v>
      </c>
      <c r="L223" s="22">
        <v>1.885E-3</v>
      </c>
      <c r="M223" s="22">
        <v>1.885E-3</v>
      </c>
      <c r="N223" s="22">
        <v>1.885E-3</v>
      </c>
      <c r="O223" s="22">
        <v>1.885E-3</v>
      </c>
      <c r="P223" s="22">
        <v>1.88358333333333E-3</v>
      </c>
      <c r="Q223" s="22">
        <v>1.7849999999999999E-3</v>
      </c>
      <c r="R223" s="22">
        <v>1.7849999999999999E-3</v>
      </c>
      <c r="S223" s="22">
        <v>1.7849999999999999E-3</v>
      </c>
      <c r="T223" s="22">
        <v>1.7849999999999999E-3</v>
      </c>
      <c r="U223" s="22">
        <v>1.7849999999999999E-3</v>
      </c>
      <c r="V223" s="22">
        <v>1.7849999999999999E-3</v>
      </c>
      <c r="W223" s="22">
        <v>1.7849999999999999E-3</v>
      </c>
      <c r="X223" s="22">
        <v>1.7849999999999999E-3</v>
      </c>
      <c r="Y223" s="22">
        <v>1.7849999999999999E-3</v>
      </c>
      <c r="Z223" s="22">
        <v>1.7849999999999999E-3</v>
      </c>
      <c r="AA223" s="22">
        <v>1.7849999999999999E-3</v>
      </c>
      <c r="AB223" s="22">
        <v>1.7849999999999999E-3</v>
      </c>
      <c r="AC223" s="22">
        <v>1.7849999999999999E-3</v>
      </c>
      <c r="AD223" s="22">
        <v>1.7849999999999999E-3</v>
      </c>
      <c r="AE223" s="22">
        <v>1.7849999999999999E-3</v>
      </c>
      <c r="AF223" s="22">
        <v>1.7849999999999999E-3</v>
      </c>
      <c r="AG223" s="22">
        <v>1.7849999999999999E-3</v>
      </c>
      <c r="AH223" s="22">
        <v>1.7849999999999999E-3</v>
      </c>
      <c r="AI223" s="22">
        <v>1.7849999999999999E-3</v>
      </c>
      <c r="AJ223" s="22">
        <v>1.7849999999999999E-3</v>
      </c>
      <c r="AK223" s="22">
        <v>1.7849999999999999E-3</v>
      </c>
      <c r="AL223" s="22">
        <v>1.7849999999999999E-3</v>
      </c>
      <c r="AM223" s="22">
        <v>0.22246075758842601</v>
      </c>
      <c r="AN223" s="22">
        <v>0.44277198913867399</v>
      </c>
      <c r="AO223" s="22">
        <v>0.40101835370904798</v>
      </c>
      <c r="AP223" s="22">
        <v>0.401566152294698</v>
      </c>
      <c r="AQ223" s="22">
        <v>0.40160642570281102</v>
      </c>
      <c r="AR223" s="22">
        <v>0.83408426422225102</v>
      </c>
      <c r="AS223" s="22">
        <v>1.3224905154787401</v>
      </c>
      <c r="AT223" s="22">
        <v>2.1781822542340898</v>
      </c>
      <c r="AU223" s="22">
        <v>2.3467500000000001</v>
      </c>
      <c r="AV223" s="22">
        <v>2.6013333333333302</v>
      </c>
      <c r="AW223" s="22">
        <v>2.7335829756751999</v>
      </c>
      <c r="AX223" s="22">
        <v>2.7316666654786901</v>
      </c>
      <c r="AY223" s="22">
        <v>2.7437499999999999</v>
      </c>
      <c r="AZ223" s="22">
        <v>2.7450000000000001</v>
      </c>
      <c r="BA223" s="22">
        <v>2.7450000000000001</v>
      </c>
      <c r="BB223" s="22">
        <v>2.7450000000000001</v>
      </c>
      <c r="BC223" s="22">
        <v>2.7454166666666699</v>
      </c>
      <c r="BD223" s="22">
        <v>3.2679999999999998</v>
      </c>
      <c r="BE223" s="22">
        <v>3.3</v>
      </c>
      <c r="BF223" s="22">
        <v>3.3</v>
      </c>
      <c r="BG223" s="22">
        <v>3.3</v>
      </c>
      <c r="BH223" s="22">
        <v>3.4166666666666701</v>
      </c>
      <c r="BI223" s="22">
        <v>6.2286302784897902</v>
      </c>
      <c r="BJ223" s="22">
        <v>7.4876611249999998</v>
      </c>
      <c r="BK223" s="22">
        <v>7.4625111984126997</v>
      </c>
      <c r="BL223" s="22">
        <v>7.4580000000000002</v>
      </c>
    </row>
    <row r="224" spans="1:64">
      <c r="A224" s="22" t="s">
        <v>11526</v>
      </c>
      <c r="B224" s="22" t="s">
        <v>11527</v>
      </c>
      <c r="C224" s="22" t="s">
        <v>11241</v>
      </c>
      <c r="D224" s="22" t="s">
        <v>11242</v>
      </c>
      <c r="AL224" s="22">
        <v>30.769583333333301</v>
      </c>
      <c r="AM224" s="22">
        <v>32.044833333333301</v>
      </c>
      <c r="AN224" s="22">
        <v>29.713416666666699</v>
      </c>
      <c r="AO224" s="22">
        <v>30.653749999999999</v>
      </c>
      <c r="AP224" s="22">
        <v>33.6161666666667</v>
      </c>
      <c r="AQ224" s="22">
        <v>35.233416666666699</v>
      </c>
      <c r="AR224" s="22">
        <v>41.362833333333299</v>
      </c>
      <c r="AS224" s="22">
        <v>46.035166666666697</v>
      </c>
      <c r="AT224" s="22">
        <v>48.354833333333303</v>
      </c>
      <c r="AU224" s="22">
        <v>45.326749999999997</v>
      </c>
      <c r="AV224" s="22">
        <v>36.772916666666703</v>
      </c>
      <c r="AW224" s="22">
        <v>32.256916666666697</v>
      </c>
      <c r="AX224" s="22">
        <v>31.018249999999998</v>
      </c>
      <c r="AY224" s="22">
        <v>29.69725</v>
      </c>
      <c r="AZ224" s="22">
        <v>24.694333333333301</v>
      </c>
      <c r="BA224" s="22">
        <v>21.361416666666699</v>
      </c>
    </row>
    <row r="225" spans="1:64">
      <c r="A225" s="22" t="s">
        <v>10914</v>
      </c>
      <c r="B225" s="22" t="s">
        <v>11528</v>
      </c>
      <c r="C225" s="22" t="s">
        <v>11241</v>
      </c>
      <c r="D225" s="22" t="s">
        <v>11242</v>
      </c>
      <c r="AJ225" s="22">
        <v>27.571200000000001</v>
      </c>
      <c r="AK225" s="22">
        <v>81.286991666666694</v>
      </c>
      <c r="AL225" s="22">
        <v>113.24188333333301</v>
      </c>
      <c r="AM225" s="22">
        <v>128.808558333333</v>
      </c>
      <c r="AN225" s="22">
        <v>118.518466666667</v>
      </c>
      <c r="AO225" s="22">
        <v>135.36430833333301</v>
      </c>
      <c r="AP225" s="22">
        <v>159.68833333333299</v>
      </c>
      <c r="AQ225" s="22">
        <v>166.134166666667</v>
      </c>
      <c r="AR225" s="22">
        <v>181.76919333333299</v>
      </c>
      <c r="AS225" s="22">
        <v>222.65608583333301</v>
      </c>
      <c r="AT225" s="22">
        <v>242.74883500000001</v>
      </c>
      <c r="AU225" s="22">
        <v>240.24821499999999</v>
      </c>
      <c r="AV225" s="22">
        <v>207.11371569658101</v>
      </c>
      <c r="AW225" s="22">
        <v>192.38112433333299</v>
      </c>
      <c r="AX225" s="22">
        <v>192.705468</v>
      </c>
      <c r="AY225" s="22">
        <v>191.02825783333299</v>
      </c>
    </row>
    <row r="226" spans="1:64">
      <c r="A226" s="22" t="s">
        <v>10925</v>
      </c>
      <c r="B226" s="22" t="s">
        <v>11529</v>
      </c>
      <c r="C226" s="22" t="s">
        <v>11241</v>
      </c>
      <c r="D226" s="22" t="s">
        <v>11242</v>
      </c>
      <c r="E226" s="22">
        <v>5.1732100041732103</v>
      </c>
      <c r="F226" s="22">
        <v>5.1732100041732103</v>
      </c>
      <c r="G226" s="22">
        <v>5.1732100041732103</v>
      </c>
      <c r="H226" s="22">
        <v>5.1732100041732103</v>
      </c>
      <c r="I226" s="22">
        <v>5.1732100041732103</v>
      </c>
      <c r="J226" s="22">
        <v>5.1732100041732103</v>
      </c>
      <c r="K226" s="22">
        <v>5.1732100041732103</v>
      </c>
      <c r="L226" s="22">
        <v>5.1732100041732103</v>
      </c>
      <c r="M226" s="22">
        <v>5.1732100041732103</v>
      </c>
      <c r="N226" s="22">
        <v>5.1732100041732103</v>
      </c>
      <c r="O226" s="22">
        <v>5.1732100041732103</v>
      </c>
      <c r="P226" s="22">
        <v>5.1259052475026801</v>
      </c>
      <c r="Q226" s="22">
        <v>4.7624166656666702</v>
      </c>
      <c r="R226" s="22">
        <v>4.3672499990000002</v>
      </c>
      <c r="S226" s="22">
        <v>4.4394249989999999</v>
      </c>
      <c r="T226" s="22">
        <v>4.1521916656666704</v>
      </c>
      <c r="U226" s="22">
        <v>4.35589166566667</v>
      </c>
      <c r="V226" s="22">
        <v>4.48164166566667</v>
      </c>
      <c r="W226" s="22">
        <v>4.5184749990000004</v>
      </c>
      <c r="X226" s="22">
        <v>4.2870833323333297</v>
      </c>
      <c r="Y226" s="22">
        <v>4.2295749989999996</v>
      </c>
      <c r="Z226" s="22">
        <v>5.0634416656666703</v>
      </c>
      <c r="AA226" s="22">
        <v>6.2826083323333304</v>
      </c>
      <c r="AB226" s="22">
        <v>7.6671083323333304</v>
      </c>
      <c r="AC226" s="22">
        <v>8.27179999941667</v>
      </c>
      <c r="AD226" s="22">
        <v>8.6039249996666705</v>
      </c>
      <c r="AE226" s="22">
        <v>7.1235833333333298</v>
      </c>
      <c r="AF226" s="22">
        <v>6.3404416666666696</v>
      </c>
      <c r="AG226" s="22">
        <v>6.1271500000000003</v>
      </c>
      <c r="AH226" s="22">
        <v>6.4468758333333298</v>
      </c>
      <c r="AI226" s="22">
        <v>5.9187900000000004</v>
      </c>
      <c r="AJ226" s="22">
        <v>6.0474666666666703</v>
      </c>
      <c r="AK226" s="22">
        <v>5.8238333333333303</v>
      </c>
      <c r="AL226" s="22">
        <v>7.7834266666666698</v>
      </c>
      <c r="AM226" s="22">
        <v>7.7159700000000004</v>
      </c>
      <c r="AN226" s="22">
        <v>7.13326833333333</v>
      </c>
      <c r="AO226" s="22">
        <v>6.7059558333333298</v>
      </c>
      <c r="AP226" s="22">
        <v>7.6348941666666699</v>
      </c>
      <c r="AQ226" s="22">
        <v>7.9498681666666702</v>
      </c>
      <c r="AR226" s="22">
        <v>8.2624283333333306</v>
      </c>
      <c r="AS226" s="22">
        <v>9.1622441666666692</v>
      </c>
      <c r="AT226" s="22">
        <v>10.3291358333333</v>
      </c>
      <c r="AU226" s="22">
        <v>9.7371233333333294</v>
      </c>
      <c r="AV226" s="22">
        <v>8.08630416666667</v>
      </c>
      <c r="AW226" s="22">
        <v>7.3488866666666697</v>
      </c>
      <c r="AX226" s="22">
        <v>7.4730883333333296</v>
      </c>
      <c r="AY226" s="22">
        <v>7.3782491666666701</v>
      </c>
      <c r="AZ226" s="22">
        <v>6.7587700000000002</v>
      </c>
      <c r="BA226" s="22">
        <v>6.5910991666666696</v>
      </c>
      <c r="BB226" s="22">
        <v>7.6538191666666702</v>
      </c>
      <c r="BC226" s="22">
        <v>7.2075241666666701</v>
      </c>
      <c r="BD226" s="22">
        <v>6.4935433333333297</v>
      </c>
      <c r="BE226" s="22">
        <v>6.7750158333333301</v>
      </c>
      <c r="BF226" s="22">
        <v>6.51397166666667</v>
      </c>
      <c r="BG226" s="22">
        <v>6.8607849999999999</v>
      </c>
      <c r="BH226" s="22">
        <v>8.4348408333333307</v>
      </c>
      <c r="BI226" s="22">
        <v>8.5619916666666693</v>
      </c>
      <c r="BJ226" s="22">
        <v>8.5488608333333307</v>
      </c>
      <c r="BK226" s="22">
        <v>8.6925183333333305</v>
      </c>
      <c r="BL226" s="22">
        <v>9.4583491666666593</v>
      </c>
    </row>
    <row r="227" spans="1:64">
      <c r="A227" s="22" t="s">
        <v>10775</v>
      </c>
      <c r="B227" s="22" t="s">
        <v>11530</v>
      </c>
      <c r="C227" s="22" t="s">
        <v>11241</v>
      </c>
      <c r="D227" s="22" t="s">
        <v>11242</v>
      </c>
      <c r="E227" s="22">
        <v>0.71428599971428597</v>
      </c>
      <c r="F227" s="22">
        <v>0.71428599971428597</v>
      </c>
      <c r="G227" s="22">
        <v>0.71428599971428597</v>
      </c>
      <c r="H227" s="22">
        <v>0.71428599971428597</v>
      </c>
      <c r="I227" s="22">
        <v>0.71428599971428597</v>
      </c>
      <c r="J227" s="22">
        <v>0.71428599971428597</v>
      </c>
      <c r="K227" s="22">
        <v>0.71428599971428597</v>
      </c>
      <c r="L227" s="22">
        <v>0.71428599971428597</v>
      </c>
      <c r="M227" s="22">
        <v>0.71428599971428597</v>
      </c>
      <c r="N227" s="22">
        <v>0.71428599971428597</v>
      </c>
      <c r="O227" s="22">
        <v>0.71428599971428597</v>
      </c>
      <c r="P227" s="22">
        <v>0.71521691632142903</v>
      </c>
      <c r="Q227" s="22">
        <v>0.76872523719602703</v>
      </c>
      <c r="R227" s="22">
        <v>0.69395909802109201</v>
      </c>
      <c r="S227" s="22">
        <v>0.67947700357025098</v>
      </c>
      <c r="T227" s="22">
        <v>0.73950775529633594</v>
      </c>
      <c r="U227" s="22">
        <v>0.86956521814744803</v>
      </c>
      <c r="V227" s="22">
        <v>0.86956521814744803</v>
      </c>
      <c r="W227" s="22">
        <v>0.86956521814744803</v>
      </c>
      <c r="X227" s="22">
        <v>0.84202260193494305</v>
      </c>
      <c r="Y227" s="22">
        <v>0.77883373727604099</v>
      </c>
      <c r="Z227" s="22">
        <v>0.87757894275815396</v>
      </c>
      <c r="AA227" s="22">
        <v>1.0858158330833301</v>
      </c>
      <c r="AB227" s="22">
        <v>1.1140999997500001</v>
      </c>
      <c r="AC227" s="22">
        <v>1.47527749975</v>
      </c>
      <c r="AD227" s="22">
        <v>2.2286749994166701</v>
      </c>
      <c r="AE227" s="22">
        <v>2.2850316664166699</v>
      </c>
      <c r="AF227" s="22">
        <v>2.03603333333333</v>
      </c>
      <c r="AG227" s="22">
        <v>2.2734675000000002</v>
      </c>
      <c r="AH227" s="22">
        <v>2.6226775</v>
      </c>
      <c r="AI227" s="22">
        <v>2.58732083333333</v>
      </c>
      <c r="AJ227" s="22">
        <v>2.7613150000000002</v>
      </c>
      <c r="AK227" s="22">
        <v>2.8520141666666698</v>
      </c>
      <c r="AL227" s="22">
        <v>3.2677415833333301</v>
      </c>
      <c r="AM227" s="22">
        <v>3.5507983333333302</v>
      </c>
      <c r="AN227" s="22">
        <v>3.6270850000000001</v>
      </c>
      <c r="AO227" s="22">
        <v>4.2993491666666701</v>
      </c>
      <c r="AP227" s="22">
        <v>4.6079616666666698</v>
      </c>
      <c r="AQ227" s="22">
        <v>5.52828416666667</v>
      </c>
      <c r="AR227" s="22">
        <v>6.1094841666666699</v>
      </c>
      <c r="AS227" s="22">
        <v>6.9398283333333302</v>
      </c>
      <c r="AT227" s="22">
        <v>8.6091808333333297</v>
      </c>
      <c r="AU227" s="22">
        <v>10.540746666666699</v>
      </c>
      <c r="AV227" s="22">
        <v>7.5647491666666697</v>
      </c>
      <c r="AW227" s="22">
        <v>6.4596925000000001</v>
      </c>
      <c r="AX227" s="22">
        <v>6.3593283333333304</v>
      </c>
      <c r="AY227" s="22">
        <v>6.7715491666666701</v>
      </c>
      <c r="AZ227" s="22">
        <v>7.0453650000000003</v>
      </c>
      <c r="BA227" s="22">
        <v>8.26122333333333</v>
      </c>
      <c r="BB227" s="22">
        <v>8.4736741582488797</v>
      </c>
      <c r="BC227" s="22">
        <v>7.3212219611528804</v>
      </c>
      <c r="BD227" s="22">
        <v>7.2611321323273499</v>
      </c>
      <c r="BE227" s="22">
        <v>8.2099686265933105</v>
      </c>
      <c r="BF227" s="22">
        <v>9.6550560691352594</v>
      </c>
      <c r="BG227" s="22">
        <v>10.852655568783099</v>
      </c>
      <c r="BH227" s="22">
        <v>12.7589308811644</v>
      </c>
      <c r="BI227" s="22">
        <v>14.7096108855267</v>
      </c>
      <c r="BJ227" s="22">
        <v>13.3238014244992</v>
      </c>
      <c r="BK227" s="22">
        <v>13.233926471583301</v>
      </c>
      <c r="BL227" s="22">
        <v>14.451789228882401</v>
      </c>
    </row>
    <row r="228" spans="1:64">
      <c r="A228" s="22" t="s">
        <v>10912</v>
      </c>
      <c r="B228" s="22" t="s">
        <v>11531</v>
      </c>
      <c r="C228" s="22" t="s">
        <v>11241</v>
      </c>
      <c r="D228" s="22" t="s">
        <v>11242</v>
      </c>
      <c r="BD228" s="22">
        <v>1.79</v>
      </c>
      <c r="BE228" s="22">
        <v>1.79</v>
      </c>
      <c r="BF228" s="22">
        <v>1.79</v>
      </c>
      <c r="BG228" s="22">
        <v>1.79</v>
      </c>
      <c r="BH228" s="22">
        <v>1.79</v>
      </c>
      <c r="BI228" s="22">
        <v>1.79</v>
      </c>
      <c r="BJ228" s="22">
        <v>1.79</v>
      </c>
      <c r="BK228" s="22">
        <v>1.79</v>
      </c>
      <c r="BL228" s="22">
        <v>1.79</v>
      </c>
    </row>
    <row r="229" spans="1:64">
      <c r="A229" s="22" t="s">
        <v>10910</v>
      </c>
      <c r="B229" s="22" t="s">
        <v>11532</v>
      </c>
      <c r="C229" s="22" t="s">
        <v>11241</v>
      </c>
      <c r="D229" s="22" t="s">
        <v>11242</v>
      </c>
      <c r="E229" s="22">
        <v>4.7618947529714504</v>
      </c>
      <c r="F229" s="22">
        <v>4.7618947529714504</v>
      </c>
      <c r="G229" s="22">
        <v>4.7618947529714504</v>
      </c>
      <c r="H229" s="22">
        <v>4.7618947529714504</v>
      </c>
      <c r="I229" s="22">
        <v>4.7618947529714504</v>
      </c>
      <c r="J229" s="22">
        <v>4.7618947529714504</v>
      </c>
      <c r="K229" s="22">
        <v>4.7618947529714504</v>
      </c>
      <c r="L229" s="22">
        <v>4.8280328026350103</v>
      </c>
      <c r="M229" s="22">
        <v>5.5555461029055797</v>
      </c>
      <c r="N229" s="22">
        <v>5.5555461029055797</v>
      </c>
      <c r="O229" s="22">
        <v>5.5555461029055797</v>
      </c>
      <c r="P229" s="22">
        <v>5.4857627546936696</v>
      </c>
      <c r="Q229" s="22">
        <v>5.3385333323333297</v>
      </c>
      <c r="R229" s="22">
        <v>5.4422833323333304</v>
      </c>
      <c r="S229" s="22">
        <v>5.7030916656666699</v>
      </c>
      <c r="T229" s="22">
        <v>6.0267999989999996</v>
      </c>
      <c r="U229" s="22">
        <v>7.4188833324166703</v>
      </c>
      <c r="V229" s="22">
        <v>7.6433833323333298</v>
      </c>
      <c r="W229" s="22">
        <v>6.9524666656666696</v>
      </c>
      <c r="X229" s="22">
        <v>6.332649999</v>
      </c>
      <c r="Y229" s="22">
        <v>6.3919499990000004</v>
      </c>
      <c r="Z229" s="22">
        <v>6.3149249989999996</v>
      </c>
      <c r="AA229" s="22">
        <v>6.55254166566667</v>
      </c>
      <c r="AB229" s="22">
        <v>6.7676416656666696</v>
      </c>
      <c r="AC229" s="22">
        <v>7.0588666662500001</v>
      </c>
      <c r="AD229" s="22">
        <v>7.1343333333333296</v>
      </c>
      <c r="AE229" s="22">
        <v>6.17679166666667</v>
      </c>
      <c r="AF229" s="22">
        <v>5.6000083333333297</v>
      </c>
      <c r="AG229" s="22">
        <v>5.3835666666666704</v>
      </c>
      <c r="AH229" s="22">
        <v>5.6457166666666696</v>
      </c>
      <c r="AI229" s="22">
        <v>5.3369</v>
      </c>
      <c r="AJ229" s="22">
        <v>5.2893083333333299</v>
      </c>
      <c r="AK229" s="22">
        <v>5.12198333333333</v>
      </c>
      <c r="AL229" s="22">
        <v>5.1815333333333298</v>
      </c>
      <c r="AM229" s="22">
        <v>5.0558583333333296</v>
      </c>
      <c r="AN229" s="22">
        <v>4.7619749999999996</v>
      </c>
      <c r="AO229" s="22">
        <v>4.9699833333333299</v>
      </c>
      <c r="AP229" s="22">
        <v>5.0263416666666698</v>
      </c>
      <c r="AQ229" s="22">
        <v>5.2621916666666699</v>
      </c>
      <c r="AR229" s="22">
        <v>5.3425833333333301</v>
      </c>
      <c r="AS229" s="22">
        <v>5.7138166666666699</v>
      </c>
      <c r="AT229" s="22">
        <v>5.8575416666666698</v>
      </c>
      <c r="AU229" s="22">
        <v>5.4800333333333304</v>
      </c>
      <c r="AV229" s="22">
        <v>5.4007166666666704</v>
      </c>
      <c r="AW229" s="22">
        <v>5.5</v>
      </c>
      <c r="AX229" s="22">
        <v>5.5</v>
      </c>
      <c r="AY229" s="22">
        <v>5.5196916666666702</v>
      </c>
      <c r="AZ229" s="22">
        <v>6.7010595376306004</v>
      </c>
      <c r="BA229" s="22">
        <v>9.4572432834492108</v>
      </c>
      <c r="BB229" s="22">
        <v>13.609940452489999</v>
      </c>
      <c r="BC229" s="22">
        <v>12.06775664095</v>
      </c>
      <c r="BD229" s="22">
        <v>12.381031907384401</v>
      </c>
      <c r="BE229" s="22">
        <v>13.704031214932501</v>
      </c>
      <c r="BF229" s="22">
        <v>12.0583166666667</v>
      </c>
      <c r="BG229" s="22">
        <v>12.747033333333301</v>
      </c>
      <c r="BH229" s="22">
        <v>13.313924999999999</v>
      </c>
      <c r="BI229" s="22">
        <v>13.3191166666667</v>
      </c>
      <c r="BJ229" s="22">
        <v>13.6478416666667</v>
      </c>
      <c r="BK229" s="22">
        <v>13.9111166666667</v>
      </c>
      <c r="BL229" s="22">
        <v>14.033250000000001</v>
      </c>
    </row>
    <row r="230" spans="1:64">
      <c r="A230" s="22" t="s">
        <v>10927</v>
      </c>
      <c r="B230" s="22" t="s">
        <v>11533</v>
      </c>
      <c r="C230" s="22" t="s">
        <v>11241</v>
      </c>
      <c r="D230" s="22" t="s">
        <v>11242</v>
      </c>
      <c r="E230" s="22">
        <v>3.579999999</v>
      </c>
      <c r="F230" s="22">
        <v>3.579999999</v>
      </c>
      <c r="G230" s="22">
        <v>3.6899999989999999</v>
      </c>
      <c r="H230" s="22">
        <v>3.8199999990000002</v>
      </c>
      <c r="I230" s="22">
        <v>3.8199999990000002</v>
      </c>
      <c r="J230" s="22">
        <v>3.8199999990000002</v>
      </c>
      <c r="K230" s="22">
        <v>3.8199999990000002</v>
      </c>
      <c r="L230" s="22">
        <v>3.8199999990000002</v>
      </c>
      <c r="M230" s="22">
        <v>3.8199999990000002</v>
      </c>
      <c r="N230" s="22">
        <v>3.8199999990000002</v>
      </c>
      <c r="O230" s="22">
        <v>3.8199999990000002</v>
      </c>
      <c r="P230" s="22">
        <v>3.8199999990000002</v>
      </c>
      <c r="Q230" s="22">
        <v>3.8199999990000002</v>
      </c>
      <c r="R230" s="22">
        <v>3.8232499990000002</v>
      </c>
      <c r="S230" s="22">
        <v>3.7329166656666701</v>
      </c>
      <c r="T230" s="22">
        <v>3.6999999990000001</v>
      </c>
      <c r="U230" s="22">
        <v>3.8526666656666699</v>
      </c>
      <c r="V230" s="22">
        <v>3.9249999990000002</v>
      </c>
      <c r="W230" s="22">
        <v>3.9249999990000002</v>
      </c>
      <c r="X230" s="22">
        <v>3.9249999990000002</v>
      </c>
      <c r="Y230" s="22">
        <v>3.9249999990000002</v>
      </c>
      <c r="Z230" s="22">
        <v>3.9249999990000002</v>
      </c>
      <c r="AA230" s="22">
        <v>3.9249999990000002</v>
      </c>
      <c r="AB230" s="22">
        <v>3.9249999990000002</v>
      </c>
      <c r="AC230" s="22">
        <v>3.92499999958333</v>
      </c>
      <c r="AD230" s="22">
        <v>3.9249999999999998</v>
      </c>
      <c r="AE230" s="22">
        <v>3.9249999999999998</v>
      </c>
      <c r="AF230" s="22">
        <v>3.9249999999999998</v>
      </c>
      <c r="AG230" s="22">
        <v>11.225</v>
      </c>
      <c r="AH230" s="22">
        <v>11.225</v>
      </c>
      <c r="AI230" s="22">
        <v>11.225</v>
      </c>
      <c r="AJ230" s="22">
        <v>11.225</v>
      </c>
      <c r="AK230" s="22">
        <v>11.225</v>
      </c>
      <c r="AL230" s="22">
        <v>11.225</v>
      </c>
      <c r="AM230" s="22">
        <v>11.225</v>
      </c>
      <c r="AN230" s="22">
        <v>11.225</v>
      </c>
      <c r="AO230" s="22">
        <v>11.225</v>
      </c>
      <c r="AP230" s="22">
        <v>11.225</v>
      </c>
      <c r="AQ230" s="22">
        <v>11.225</v>
      </c>
      <c r="AR230" s="22">
        <v>11.225</v>
      </c>
      <c r="AS230" s="22">
        <v>11.225</v>
      </c>
      <c r="AT230" s="22">
        <v>11.225</v>
      </c>
      <c r="AU230" s="22">
        <v>11.225</v>
      </c>
      <c r="AV230" s="22">
        <v>11.225</v>
      </c>
      <c r="AW230" s="22">
        <v>11.225</v>
      </c>
      <c r="AX230" s="22">
        <v>11.225</v>
      </c>
      <c r="AY230" s="22">
        <v>11.225</v>
      </c>
      <c r="AZ230" s="22">
        <v>11.225</v>
      </c>
      <c r="BA230" s="22">
        <v>11.225</v>
      </c>
      <c r="BB230" s="22">
        <v>11.225</v>
      </c>
      <c r="BC230" s="22">
        <v>11.225</v>
      </c>
      <c r="BD230" s="22">
        <v>48.336666666666702</v>
      </c>
      <c r="BE230" s="22">
        <v>64.580833333333302</v>
      </c>
      <c r="BF230" s="22">
        <v>108.73333333333299</v>
      </c>
      <c r="BG230" s="22">
        <v>154.13</v>
      </c>
      <c r="BH230" s="22">
        <v>237.02916666666701</v>
      </c>
      <c r="BI230" s="22">
        <v>460.27583333333303</v>
      </c>
      <c r="BJ230" s="22">
        <v>492.61083333333301</v>
      </c>
    </row>
    <row r="231" spans="1:64">
      <c r="A231" s="22" t="s">
        <v>10936</v>
      </c>
      <c r="B231" s="22" t="s">
        <v>11534</v>
      </c>
      <c r="C231" s="22" t="s">
        <v>11241</v>
      </c>
      <c r="D231" s="22" t="s">
        <v>11242</v>
      </c>
    </row>
    <row r="232" spans="1:64">
      <c r="A232" s="22" t="s">
        <v>10723</v>
      </c>
      <c r="B232" s="22" t="s">
        <v>11535</v>
      </c>
      <c r="C232" s="22" t="s">
        <v>11241</v>
      </c>
      <c r="D232" s="22" t="s">
        <v>11242</v>
      </c>
      <c r="E232" s="22">
        <v>245.19510139835899</v>
      </c>
      <c r="F232" s="22">
        <v>245.26010162116</v>
      </c>
      <c r="G232" s="22">
        <v>245.013850686544</v>
      </c>
      <c r="H232" s="22">
        <v>245.01635069607499</v>
      </c>
      <c r="I232" s="22">
        <v>245.027184079042</v>
      </c>
      <c r="J232" s="22">
        <v>245.06093420770799</v>
      </c>
      <c r="K232" s="22">
        <v>245.67843655764401</v>
      </c>
      <c r="L232" s="22">
        <v>246.00093779128099</v>
      </c>
      <c r="M232" s="22">
        <v>247.56469375695099</v>
      </c>
      <c r="N232" s="22">
        <v>259.960574351236</v>
      </c>
      <c r="O232" s="22">
        <v>276.403137026845</v>
      </c>
      <c r="P232" s="22">
        <v>275.35645668533198</v>
      </c>
      <c r="Q232" s="22">
        <v>252.02762746264901</v>
      </c>
      <c r="R232" s="22">
        <v>222.88918305322699</v>
      </c>
      <c r="S232" s="22">
        <v>240.70466763782301</v>
      </c>
      <c r="T232" s="22">
        <v>214.31290034121901</v>
      </c>
      <c r="U232" s="22">
        <v>238.95049426705901</v>
      </c>
      <c r="V232" s="22">
        <v>245.67968656657601</v>
      </c>
      <c r="W232" s="22">
        <v>225.65586023395699</v>
      </c>
      <c r="X232" s="22">
        <v>212.721644262377</v>
      </c>
      <c r="Y232" s="22">
        <v>211.27955541470499</v>
      </c>
      <c r="Z232" s="22">
        <v>271.73145255032699</v>
      </c>
      <c r="AA232" s="22">
        <v>328.60625269898998</v>
      </c>
      <c r="AB232" s="22">
        <v>381.06603602462798</v>
      </c>
      <c r="AC232" s="22">
        <v>436.95666578800802</v>
      </c>
      <c r="AD232" s="22">
        <v>449.26296271160697</v>
      </c>
      <c r="AE232" s="22">
        <v>346.305903554493</v>
      </c>
      <c r="AF232" s="22">
        <v>300.53656240147802</v>
      </c>
      <c r="AG232" s="22">
        <v>297.84821881937802</v>
      </c>
      <c r="AH232" s="22">
        <v>319.008299487903</v>
      </c>
      <c r="AI232" s="22">
        <v>272.264787954393</v>
      </c>
      <c r="AJ232" s="22">
        <v>282.10690880881998</v>
      </c>
      <c r="AK232" s="22">
        <v>264.69180075057898</v>
      </c>
      <c r="AL232" s="22">
        <v>283.16257950001801</v>
      </c>
      <c r="AM232" s="22">
        <v>555.20469565569704</v>
      </c>
      <c r="AN232" s="22">
        <v>499.14842590131002</v>
      </c>
      <c r="AO232" s="22">
        <v>511.55243027251601</v>
      </c>
      <c r="AP232" s="22">
        <v>583.66937235339606</v>
      </c>
      <c r="AQ232" s="22">
        <v>589.951774567332</v>
      </c>
      <c r="AR232" s="22">
        <v>615.47334931916396</v>
      </c>
      <c r="AS232" s="22">
        <v>710.20797703136702</v>
      </c>
      <c r="AT232" s="22">
        <v>732.39769326022804</v>
      </c>
      <c r="AU232" s="22">
        <v>693.71322649637398</v>
      </c>
      <c r="AV232" s="22">
        <v>579.897426172466</v>
      </c>
      <c r="AW232" s="22">
        <v>527.33803229157604</v>
      </c>
      <c r="AX232" s="22">
        <v>527.25836264962595</v>
      </c>
      <c r="AY232" s="22">
        <v>522.42562489517604</v>
      </c>
      <c r="AZ232" s="22">
        <v>478.63371847636301</v>
      </c>
      <c r="BA232" s="22">
        <v>446.00004143278801</v>
      </c>
      <c r="BB232" s="22">
        <v>470.29342334139801</v>
      </c>
      <c r="BC232" s="22">
        <v>494.794262222947</v>
      </c>
      <c r="BD232" s="22">
        <v>471.24862571893698</v>
      </c>
      <c r="BE232" s="22">
        <v>510.55633845425098</v>
      </c>
      <c r="BF232" s="22">
        <v>493.89962385223703</v>
      </c>
      <c r="BG232" s="22">
        <v>493.757329875312</v>
      </c>
      <c r="BH232" s="22">
        <v>591.21169798260996</v>
      </c>
      <c r="BI232" s="22">
        <v>592.60561506302201</v>
      </c>
      <c r="BJ232" s="22">
        <v>580.65674958785803</v>
      </c>
      <c r="BK232" s="22">
        <v>555.44645839822601</v>
      </c>
      <c r="BL232" s="22">
        <v>585.91101318036897</v>
      </c>
    </row>
    <row r="233" spans="1:64">
      <c r="A233" s="22" t="s">
        <v>11536</v>
      </c>
      <c r="B233" s="22" t="s">
        <v>11537</v>
      </c>
      <c r="C233" s="22" t="s">
        <v>11241</v>
      </c>
      <c r="D233" s="22" t="s">
        <v>11242</v>
      </c>
    </row>
    <row r="234" spans="1:64">
      <c r="A234" s="22" t="s">
        <v>11538</v>
      </c>
      <c r="B234" s="22" t="s">
        <v>11539</v>
      </c>
      <c r="C234" s="22" t="s">
        <v>11241</v>
      </c>
      <c r="D234" s="22" t="s">
        <v>11242</v>
      </c>
    </row>
    <row r="235" spans="1:64">
      <c r="A235" s="22" t="s">
        <v>10930</v>
      </c>
      <c r="B235" s="22" t="s">
        <v>11540</v>
      </c>
      <c r="C235" s="22" t="s">
        <v>11241</v>
      </c>
      <c r="D235" s="22" t="s">
        <v>11242</v>
      </c>
      <c r="E235" s="22">
        <v>245.19510139835899</v>
      </c>
      <c r="F235" s="22">
        <v>245.26010162116</v>
      </c>
      <c r="G235" s="22">
        <v>245.013850686544</v>
      </c>
      <c r="H235" s="22">
        <v>245.01635069607499</v>
      </c>
      <c r="I235" s="22">
        <v>245.027184079042</v>
      </c>
      <c r="J235" s="22">
        <v>245.06093420770799</v>
      </c>
      <c r="K235" s="22">
        <v>245.67843655764401</v>
      </c>
      <c r="L235" s="22">
        <v>246.00093779128099</v>
      </c>
      <c r="M235" s="22">
        <v>247.56469375695099</v>
      </c>
      <c r="N235" s="22">
        <v>259.960574351236</v>
      </c>
      <c r="O235" s="22">
        <v>276.403137026845</v>
      </c>
      <c r="P235" s="22">
        <v>275.35645668533198</v>
      </c>
      <c r="Q235" s="22">
        <v>252.02762746264901</v>
      </c>
      <c r="R235" s="22">
        <v>222.88918305322699</v>
      </c>
      <c r="S235" s="22">
        <v>240.70466763782301</v>
      </c>
      <c r="T235" s="22">
        <v>214.31290034121901</v>
      </c>
      <c r="U235" s="22">
        <v>238.95049426705901</v>
      </c>
      <c r="V235" s="22">
        <v>245.67968656657601</v>
      </c>
      <c r="W235" s="22">
        <v>225.65586023395699</v>
      </c>
      <c r="X235" s="22">
        <v>212.721644262377</v>
      </c>
      <c r="Y235" s="22">
        <v>211.27955541470499</v>
      </c>
      <c r="Z235" s="22">
        <v>271.73145255032699</v>
      </c>
      <c r="AA235" s="22">
        <v>328.60625269898998</v>
      </c>
      <c r="AB235" s="22">
        <v>381.06603602462798</v>
      </c>
      <c r="AC235" s="22">
        <v>436.95666578800802</v>
      </c>
      <c r="AD235" s="22">
        <v>449.26296271160697</v>
      </c>
      <c r="AE235" s="22">
        <v>346.305903554493</v>
      </c>
      <c r="AF235" s="22">
        <v>300.53656240147802</v>
      </c>
      <c r="AG235" s="22">
        <v>297.84821881937802</v>
      </c>
      <c r="AH235" s="22">
        <v>319.008299487903</v>
      </c>
      <c r="AI235" s="22">
        <v>272.264787954393</v>
      </c>
      <c r="AJ235" s="22">
        <v>282.10690880881998</v>
      </c>
      <c r="AK235" s="22">
        <v>264.69180075057898</v>
      </c>
      <c r="AL235" s="22">
        <v>283.16257950001801</v>
      </c>
      <c r="AM235" s="22">
        <v>555.20469565569704</v>
      </c>
      <c r="AN235" s="22">
        <v>499.14842590131002</v>
      </c>
      <c r="AO235" s="22">
        <v>511.55243027251601</v>
      </c>
      <c r="AP235" s="22">
        <v>583.66937235339606</v>
      </c>
      <c r="AQ235" s="22">
        <v>589.951774567332</v>
      </c>
      <c r="AR235" s="22">
        <v>615.47334931916396</v>
      </c>
      <c r="AS235" s="22">
        <v>710.20797703136702</v>
      </c>
      <c r="AT235" s="22">
        <v>732.39769326022804</v>
      </c>
      <c r="AU235" s="22">
        <v>693.71322649637398</v>
      </c>
      <c r="AV235" s="22">
        <v>579.897426172466</v>
      </c>
      <c r="AW235" s="22">
        <v>527.33803229157604</v>
      </c>
      <c r="AX235" s="22">
        <v>527.25836264962595</v>
      </c>
      <c r="AY235" s="22">
        <v>522.42562489517604</v>
      </c>
      <c r="AZ235" s="22">
        <v>478.63371847636301</v>
      </c>
      <c r="BA235" s="22">
        <v>446.00004143278801</v>
      </c>
      <c r="BB235" s="22">
        <v>470.29342334139801</v>
      </c>
      <c r="BC235" s="22">
        <v>494.794262222947</v>
      </c>
      <c r="BD235" s="22">
        <v>471.24862571893698</v>
      </c>
      <c r="BE235" s="22">
        <v>510.55633845425098</v>
      </c>
      <c r="BF235" s="22">
        <v>493.89962385223703</v>
      </c>
      <c r="BG235" s="22">
        <v>493.757329875312</v>
      </c>
      <c r="BH235" s="22">
        <v>591.21169798260996</v>
      </c>
      <c r="BI235" s="22">
        <v>592.60561506302201</v>
      </c>
      <c r="BJ235" s="22">
        <v>580.65674958785803</v>
      </c>
      <c r="BK235" s="22">
        <v>555.44645839822601</v>
      </c>
      <c r="BL235" s="22">
        <v>585.91101318036897</v>
      </c>
    </row>
    <row r="236" spans="1:64">
      <c r="A236" s="22" t="s">
        <v>3570</v>
      </c>
      <c r="B236" s="22" t="s">
        <v>11541</v>
      </c>
      <c r="C236" s="22" t="s">
        <v>11241</v>
      </c>
      <c r="D236" s="22" t="s">
        <v>11242</v>
      </c>
      <c r="E236" s="22">
        <v>21.181773533674701</v>
      </c>
      <c r="F236" s="22">
        <v>21.058439578086801</v>
      </c>
      <c r="G236" s="22">
        <v>20.880105345007198</v>
      </c>
      <c r="H236" s="22">
        <v>20.830078862346198</v>
      </c>
      <c r="I236" s="22">
        <v>20.800000019799999</v>
      </c>
      <c r="J236" s="22">
        <v>20.800000019799999</v>
      </c>
      <c r="K236" s="22">
        <v>20.800000019799999</v>
      </c>
      <c r="L236" s="22">
        <v>20.800000019799999</v>
      </c>
      <c r="M236" s="22">
        <v>20.800000019799999</v>
      </c>
      <c r="N236" s="22">
        <v>20.800000019799999</v>
      </c>
      <c r="O236" s="22">
        <v>20.800000019799999</v>
      </c>
      <c r="P236" s="22">
        <v>20.800000018066701</v>
      </c>
      <c r="Q236" s="22">
        <v>20.800029492037499</v>
      </c>
      <c r="R236" s="22">
        <v>20.619581636391299</v>
      </c>
      <c r="S236" s="22">
        <v>20.375102798127202</v>
      </c>
      <c r="T236" s="22">
        <v>20.379269485649299</v>
      </c>
      <c r="U236" s="22">
        <v>20.400102923259801</v>
      </c>
      <c r="V236" s="22">
        <v>20.400102923259801</v>
      </c>
      <c r="W236" s="22">
        <v>20.336102600360199</v>
      </c>
      <c r="X236" s="22">
        <v>20.418936351696502</v>
      </c>
      <c r="Y236" s="22">
        <v>20.476353308047798</v>
      </c>
      <c r="Z236" s="22">
        <v>21.820443423110699</v>
      </c>
      <c r="AA236" s="22">
        <v>23.000116042057702</v>
      </c>
      <c r="AB236" s="22">
        <v>23.000116042057702</v>
      </c>
      <c r="AC236" s="22">
        <v>23.639369267103401</v>
      </c>
      <c r="AD236" s="22">
        <v>27.158887023977499</v>
      </c>
      <c r="AE236" s="22">
        <v>26.2988826852636</v>
      </c>
      <c r="AF236" s="22">
        <v>25.722796445413099</v>
      </c>
      <c r="AG236" s="22">
        <v>25.293877614730299</v>
      </c>
      <c r="AH236" s="22">
        <v>25.702046340723001</v>
      </c>
      <c r="AI236" s="22">
        <v>25.585462419191</v>
      </c>
      <c r="AJ236" s="22">
        <v>25.5167954060799</v>
      </c>
      <c r="AK236" s="22">
        <v>25.400128150794099</v>
      </c>
      <c r="AL236" s="22">
        <v>25.319611077896202</v>
      </c>
      <c r="AM236" s="22">
        <v>25.1499518885845</v>
      </c>
      <c r="AN236" s="22">
        <v>24.915175704072599</v>
      </c>
      <c r="AO236" s="22">
        <v>25.342682860966502</v>
      </c>
      <c r="AP236" s="22">
        <v>31.364334454295399</v>
      </c>
      <c r="AQ236" s="22">
        <v>41.359387499999997</v>
      </c>
      <c r="AR236" s="22">
        <v>37.8136558333333</v>
      </c>
      <c r="AS236" s="22">
        <v>40.111803333333299</v>
      </c>
      <c r="AT236" s="22">
        <v>44.431899999999999</v>
      </c>
      <c r="AU236" s="22">
        <v>42.960083333333301</v>
      </c>
      <c r="AV236" s="22">
        <v>41.484616666666703</v>
      </c>
      <c r="AW236" s="22">
        <v>40.2224149175021</v>
      </c>
      <c r="AX236" s="22">
        <v>40.220130208333302</v>
      </c>
      <c r="AY236" s="22">
        <v>37.881983221536302</v>
      </c>
      <c r="AZ236" s="22">
        <v>34.518180591701302</v>
      </c>
      <c r="BA236" s="22">
        <v>33.313300641233802</v>
      </c>
      <c r="BB236" s="22">
        <v>34.285774123424098</v>
      </c>
      <c r="BC236" s="22">
        <v>31.685704999999999</v>
      </c>
      <c r="BD236" s="22">
        <v>30.4917333333333</v>
      </c>
      <c r="BE236" s="22">
        <v>31.0830916666667</v>
      </c>
      <c r="BF236" s="22">
        <v>30.7259666666667</v>
      </c>
      <c r="BG236" s="22">
        <v>32.479833333333303</v>
      </c>
      <c r="BH236" s="22">
        <v>34.247716666666697</v>
      </c>
      <c r="BI236" s="22">
        <v>35.296383333333303</v>
      </c>
      <c r="BJ236" s="22">
        <v>33.939811056685798</v>
      </c>
      <c r="BK236" s="22">
        <v>32.3102257431458</v>
      </c>
      <c r="BL236" s="22">
        <v>31.047605780549901</v>
      </c>
    </row>
    <row r="237" spans="1:64">
      <c r="A237" s="22" t="s">
        <v>10928</v>
      </c>
      <c r="B237" s="22" t="s">
        <v>11542</v>
      </c>
      <c r="C237" s="22" t="s">
        <v>11241</v>
      </c>
      <c r="D237" s="22" t="s">
        <v>11242</v>
      </c>
      <c r="AK237" s="22">
        <v>2.4685179666666698E-3</v>
      </c>
      <c r="AL237" s="22">
        <v>1.0357405E-2</v>
      </c>
      <c r="AM237" s="22">
        <v>2.44943481666667E-2</v>
      </c>
      <c r="AN237" s="22">
        <v>0.122858703333333</v>
      </c>
      <c r="AO237" s="22">
        <v>0.29549999999999998</v>
      </c>
      <c r="AP237" s="22">
        <v>0.56233333333333302</v>
      </c>
      <c r="AQ237" s="22">
        <v>0.77662500000000001</v>
      </c>
      <c r="AR237" s="22">
        <v>1.23779166666667</v>
      </c>
      <c r="AS237" s="22">
        <v>2.0762499999999999</v>
      </c>
      <c r="AT237" s="22">
        <v>2.3721916666666698</v>
      </c>
      <c r="AU237" s="22">
        <v>2.76413333333333</v>
      </c>
      <c r="AV237" s="22">
        <v>3.0613666666666699</v>
      </c>
      <c r="AW237" s="22">
        <v>2.97050833333333</v>
      </c>
      <c r="AX237" s="22">
        <v>3.11656666666667</v>
      </c>
      <c r="AY237" s="22">
        <v>3.2984083333333301</v>
      </c>
      <c r="AZ237" s="22">
        <v>3.44248333333333</v>
      </c>
      <c r="BA237" s="22">
        <v>3.4307249999999998</v>
      </c>
      <c r="BB237" s="22">
        <v>4.1427083333333297</v>
      </c>
      <c r="BC237" s="22">
        <v>4.3789666666666696</v>
      </c>
      <c r="BD237" s="22">
        <v>4.61018333333333</v>
      </c>
      <c r="BE237" s="22">
        <v>4.7377083333333303</v>
      </c>
      <c r="BF237" s="22">
        <v>4.7642333333333298</v>
      </c>
      <c r="BG237" s="22">
        <v>4.9375666666666698</v>
      </c>
      <c r="BH237" s="22">
        <v>6.1631166666666699</v>
      </c>
      <c r="BI237" s="22">
        <v>7.8356750000000002</v>
      </c>
      <c r="BJ237" s="22">
        <v>8.5497416666666695</v>
      </c>
      <c r="BK237" s="22">
        <v>9.1512166666666701</v>
      </c>
      <c r="BL237" s="22">
        <v>9.5303666666666693</v>
      </c>
    </row>
    <row r="238" spans="1:64">
      <c r="A238" s="22" t="s">
        <v>10935</v>
      </c>
      <c r="B238" s="22" t="s">
        <v>11543</v>
      </c>
      <c r="C238" s="22" t="s">
        <v>11241</v>
      </c>
      <c r="D238" s="22" t="s">
        <v>11242</v>
      </c>
      <c r="AM238" s="22">
        <v>19.198333333333299</v>
      </c>
      <c r="AN238" s="22">
        <v>110.916666666667</v>
      </c>
      <c r="AO238" s="22">
        <v>3257.6666666666702</v>
      </c>
      <c r="AP238" s="22">
        <v>4143.4166666666697</v>
      </c>
      <c r="AQ238" s="22">
        <v>4890.1666666666697</v>
      </c>
      <c r="AR238" s="22">
        <v>5200</v>
      </c>
      <c r="AS238" s="22">
        <v>5200</v>
      </c>
      <c r="AT238" s="22">
        <v>5200</v>
      </c>
    </row>
    <row r="239" spans="1:64">
      <c r="A239" s="22" t="s">
        <v>11544</v>
      </c>
      <c r="B239" s="22" t="s">
        <v>11545</v>
      </c>
      <c r="C239" s="22" t="s">
        <v>11241</v>
      </c>
      <c r="D239" s="22" t="s">
        <v>11242</v>
      </c>
    </row>
    <row r="240" spans="1:64">
      <c r="A240" s="22" t="s">
        <v>10929</v>
      </c>
      <c r="B240" s="22" t="s">
        <v>11546</v>
      </c>
      <c r="C240" s="22" t="s">
        <v>11241</v>
      </c>
      <c r="D240" s="22" t="s">
        <v>11242</v>
      </c>
      <c r="E240" s="22">
        <v>1</v>
      </c>
      <c r="F240" s="22">
        <v>1</v>
      </c>
      <c r="G240" s="22">
        <v>1</v>
      </c>
      <c r="H240" s="22">
        <v>1</v>
      </c>
      <c r="I240" s="22">
        <v>1</v>
      </c>
      <c r="J240" s="22">
        <v>1</v>
      </c>
      <c r="K240" s="22">
        <v>1</v>
      </c>
      <c r="L240" s="22">
        <v>1</v>
      </c>
      <c r="M240" s="22">
        <v>1</v>
      </c>
      <c r="N240" s="22">
        <v>1</v>
      </c>
      <c r="O240" s="22">
        <v>1</v>
      </c>
      <c r="P240" s="22">
        <v>1</v>
      </c>
      <c r="Q240" s="22">
        <v>1</v>
      </c>
      <c r="R240" s="22">
        <v>1</v>
      </c>
      <c r="S240" s="22">
        <v>1</v>
      </c>
      <c r="T240" s="22">
        <v>1</v>
      </c>
      <c r="U240" s="22">
        <v>1</v>
      </c>
      <c r="V240" s="22">
        <v>1</v>
      </c>
      <c r="W240" s="22">
        <v>1</v>
      </c>
      <c r="X240" s="22">
        <v>1</v>
      </c>
      <c r="Y240" s="22">
        <v>1</v>
      </c>
      <c r="Z240" s="22">
        <v>1</v>
      </c>
      <c r="AA240" s="22">
        <v>1</v>
      </c>
      <c r="AB240" s="22">
        <v>1</v>
      </c>
      <c r="AC240" s="22">
        <v>1</v>
      </c>
      <c r="AD240" s="22">
        <v>1</v>
      </c>
      <c r="AE240" s="22">
        <v>1</v>
      </c>
      <c r="AF240" s="22">
        <v>1</v>
      </c>
      <c r="AG240" s="22">
        <v>1</v>
      </c>
      <c r="AH240" s="22">
        <v>1</v>
      </c>
      <c r="AI240" s="22">
        <v>1</v>
      </c>
      <c r="AJ240" s="22">
        <v>1</v>
      </c>
      <c r="AK240" s="22">
        <v>1</v>
      </c>
      <c r="AL240" s="22">
        <v>1</v>
      </c>
      <c r="AM240" s="22">
        <v>1</v>
      </c>
      <c r="AN240" s="22">
        <v>1</v>
      </c>
      <c r="AO240" s="22">
        <v>1</v>
      </c>
      <c r="AP240" s="22">
        <v>1</v>
      </c>
      <c r="AQ240" s="22">
        <v>1</v>
      </c>
      <c r="AR240" s="22">
        <v>1</v>
      </c>
      <c r="AS240" s="22">
        <v>1</v>
      </c>
      <c r="AT240" s="22">
        <v>1</v>
      </c>
      <c r="AU240" s="22">
        <v>1</v>
      </c>
      <c r="AV240" s="22">
        <v>1</v>
      </c>
      <c r="AW240" s="22">
        <v>1</v>
      </c>
      <c r="AX240" s="22">
        <v>1</v>
      </c>
      <c r="AY240" s="22">
        <v>1</v>
      </c>
      <c r="AZ240" s="22">
        <v>1</v>
      </c>
      <c r="BA240" s="22">
        <v>1</v>
      </c>
      <c r="BB240" s="22">
        <v>1</v>
      </c>
      <c r="BC240" s="22">
        <v>1</v>
      </c>
      <c r="BD240" s="22">
        <v>1</v>
      </c>
      <c r="BE240" s="22">
        <v>1</v>
      </c>
      <c r="BF240" s="22">
        <v>1</v>
      </c>
      <c r="BG240" s="22">
        <v>1</v>
      </c>
      <c r="BH240" s="22">
        <v>1</v>
      </c>
      <c r="BI240" s="22">
        <v>1</v>
      </c>
      <c r="BJ240" s="22">
        <v>1</v>
      </c>
      <c r="BK240" s="22">
        <v>1</v>
      </c>
      <c r="BL240" s="22">
        <v>1</v>
      </c>
    </row>
    <row r="241" spans="1:64">
      <c r="A241" s="22" t="s">
        <v>11547</v>
      </c>
      <c r="B241" s="22" t="s">
        <v>11548</v>
      </c>
      <c r="C241" s="22" t="s">
        <v>11241</v>
      </c>
      <c r="D241" s="22" t="s">
        <v>11242</v>
      </c>
    </row>
    <row r="242" spans="1:64">
      <c r="A242" s="22" t="s">
        <v>10931</v>
      </c>
      <c r="B242" s="22" t="s">
        <v>11549</v>
      </c>
      <c r="C242" s="22" t="s">
        <v>11241</v>
      </c>
      <c r="D242" s="22" t="s">
        <v>11242</v>
      </c>
      <c r="E242" s="22">
        <v>0.89285699989285705</v>
      </c>
      <c r="F242" s="22">
        <v>0.89285699989285705</v>
      </c>
      <c r="G242" s="22">
        <v>0.89285699989285705</v>
      </c>
      <c r="H242" s="22">
        <v>0.89285699989285705</v>
      </c>
      <c r="I242" s="22">
        <v>0.89285699989285705</v>
      </c>
      <c r="J242" s="22">
        <v>0.89285699989285705</v>
      </c>
      <c r="K242" s="22">
        <v>0.89285699989285705</v>
      </c>
      <c r="L242" s="22">
        <v>0.89285699989285705</v>
      </c>
      <c r="M242" s="22">
        <v>0.89285699989285705</v>
      </c>
      <c r="N242" s="22">
        <v>0.89285699989285705</v>
      </c>
      <c r="O242" s="22">
        <v>0.89285699989285705</v>
      </c>
      <c r="P242" s="22">
        <v>0.88060784236696699</v>
      </c>
      <c r="Q242" s="22">
        <v>0.81920056904624705</v>
      </c>
      <c r="R242" s="22">
        <v>0.70411390796665796</v>
      </c>
      <c r="S242" s="22">
        <v>0.69584522149195305</v>
      </c>
      <c r="T242" s="22">
        <v>0.763901879621256</v>
      </c>
      <c r="U242" s="22">
        <v>0.81831689486533898</v>
      </c>
      <c r="V242" s="22">
        <v>0.90186116145541395</v>
      </c>
      <c r="W242" s="22">
        <v>0.87369428203154598</v>
      </c>
      <c r="X242" s="22">
        <v>0.89467679004612999</v>
      </c>
      <c r="Y242" s="22">
        <v>0.87827954922302398</v>
      </c>
      <c r="Z242" s="22">
        <v>0.87024947723652302</v>
      </c>
      <c r="AA242" s="22">
        <v>0.98590236463811198</v>
      </c>
      <c r="AB242" s="22">
        <v>1.11005950987325</v>
      </c>
      <c r="AC242" s="22">
        <v>1.13956485971655</v>
      </c>
      <c r="AD242" s="22">
        <v>1.4319524173350899</v>
      </c>
      <c r="AE242" s="22">
        <v>1.49603415377469</v>
      </c>
      <c r="AF242" s="22">
        <v>1.4282372688666101</v>
      </c>
      <c r="AG242" s="22">
        <v>1.27973640514364</v>
      </c>
      <c r="AH242" s="22">
        <v>1.2637440682849801</v>
      </c>
      <c r="AI242" s="22">
        <v>1.2809288379911801</v>
      </c>
      <c r="AJ242" s="22">
        <v>1.2961145894858599</v>
      </c>
      <c r="AK242" s="22">
        <v>1.34717068495896</v>
      </c>
      <c r="AL242" s="22">
        <v>1.3840888319542</v>
      </c>
      <c r="AM242" s="22">
        <v>1.32021960428569</v>
      </c>
      <c r="AN242" s="22">
        <v>1.2709426283979099</v>
      </c>
      <c r="AO242" s="22">
        <v>1.2319743991993299</v>
      </c>
      <c r="AP242" s="22">
        <v>1.26351842815085</v>
      </c>
      <c r="AQ242" s="22">
        <v>1.4920553704766999</v>
      </c>
      <c r="AR242" s="22">
        <v>1.5991323724217399</v>
      </c>
      <c r="AS242" s="22">
        <v>1.75850260417167</v>
      </c>
      <c r="AT242" s="22">
        <v>2.1235741689248901</v>
      </c>
      <c r="AU242" s="22">
        <v>2.1951873352873799</v>
      </c>
      <c r="AV242" s="22">
        <v>2.1458922520015999</v>
      </c>
      <c r="AW242" s="22">
        <v>1.9715627931326101</v>
      </c>
      <c r="AX242" s="22">
        <v>1.9430362169364801</v>
      </c>
      <c r="AY242" s="22">
        <v>2.0258807949091402</v>
      </c>
      <c r="AZ242" s="22">
        <v>1.97093365696189</v>
      </c>
      <c r="BA242" s="22">
        <v>1.9424442568685301</v>
      </c>
      <c r="BB242" s="22">
        <v>2.0344936132287899</v>
      </c>
      <c r="BC242" s="22">
        <v>1.9059878423835299</v>
      </c>
      <c r="BD242" s="22">
        <v>1.7289507097783201</v>
      </c>
      <c r="BE242" s="22">
        <v>1.7195070158616499</v>
      </c>
      <c r="BF242" s="22">
        <v>1.77371311869907</v>
      </c>
      <c r="BG242" s="22">
        <v>1.8467736845354601</v>
      </c>
      <c r="BH242" s="22">
        <v>2.1057632574496701</v>
      </c>
      <c r="BI242" s="22">
        <v>2.2156611042252798</v>
      </c>
      <c r="BJ242" s="22">
        <v>2.2059726971783999</v>
      </c>
      <c r="BK242" s="22">
        <v>2.2365714759422302</v>
      </c>
      <c r="BL242" s="22">
        <v>2.28948563032632</v>
      </c>
    </row>
    <row r="243" spans="1:64">
      <c r="A243" s="22" t="s">
        <v>11550</v>
      </c>
      <c r="B243" s="22" t="s">
        <v>11551</v>
      </c>
      <c r="C243" s="22" t="s">
        <v>11241</v>
      </c>
      <c r="D243" s="22" t="s">
        <v>11242</v>
      </c>
    </row>
    <row r="244" spans="1:64">
      <c r="A244" s="22" t="s">
        <v>11552</v>
      </c>
      <c r="B244" s="22" t="s">
        <v>11553</v>
      </c>
      <c r="C244" s="22" t="s">
        <v>11241</v>
      </c>
      <c r="D244" s="22" t="s">
        <v>11242</v>
      </c>
    </row>
    <row r="245" spans="1:64">
      <c r="A245" s="22" t="s">
        <v>10932</v>
      </c>
      <c r="B245" s="22" t="s">
        <v>11554</v>
      </c>
      <c r="C245" s="22" t="s">
        <v>11241</v>
      </c>
      <c r="D245" s="22" t="s">
        <v>11242</v>
      </c>
      <c r="E245" s="22">
        <v>1.7142900007142901</v>
      </c>
      <c r="F245" s="22">
        <v>1.7142900007142901</v>
      </c>
      <c r="G245" s="22">
        <v>1.7142900007142901</v>
      </c>
      <c r="H245" s="22">
        <v>1.7142900007142901</v>
      </c>
      <c r="I245" s="22">
        <v>1.7142900007142901</v>
      </c>
      <c r="J245" s="22">
        <v>1.7142900007142901</v>
      </c>
      <c r="K245" s="22">
        <v>1.7142900007142901</v>
      </c>
      <c r="L245" s="22">
        <v>1.7380991672619099</v>
      </c>
      <c r="M245" s="22">
        <v>2.0000000010000001</v>
      </c>
      <c r="N245" s="22">
        <v>2.0000000010000001</v>
      </c>
      <c r="O245" s="22">
        <v>2.0000000010000001</v>
      </c>
      <c r="P245" s="22">
        <v>1.9748761519687701</v>
      </c>
      <c r="Q245" s="22">
        <v>1.92128071035726</v>
      </c>
      <c r="R245" s="22">
        <v>1.95922053743668</v>
      </c>
      <c r="S245" s="22">
        <v>2.0532309107887801</v>
      </c>
      <c r="T245" s="22">
        <v>2.1697975951999999</v>
      </c>
      <c r="U245" s="22">
        <v>2.4357864317</v>
      </c>
      <c r="V245" s="22">
        <v>2.3999999989999998</v>
      </c>
      <c r="W245" s="22">
        <v>2.3999999989999998</v>
      </c>
      <c r="X245" s="22">
        <v>2.3999999989999998</v>
      </c>
      <c r="Y245" s="22">
        <v>2.3999999989999998</v>
      </c>
      <c r="Z245" s="22">
        <v>2.3999999989999998</v>
      </c>
      <c r="AA245" s="22">
        <v>2.3999999989999998</v>
      </c>
      <c r="AB245" s="22">
        <v>2.3999999989999998</v>
      </c>
      <c r="AC245" s="22">
        <v>2.3999999995833301</v>
      </c>
      <c r="AD245" s="22">
        <v>2.4500000000000002</v>
      </c>
      <c r="AE245" s="22">
        <v>3.6</v>
      </c>
      <c r="AF245" s="22">
        <v>3.6</v>
      </c>
      <c r="AG245" s="22">
        <v>3.84375</v>
      </c>
      <c r="AH245" s="22">
        <v>4.25</v>
      </c>
      <c r="AI245" s="22">
        <v>4.25</v>
      </c>
      <c r="AJ245" s="22">
        <v>4.25</v>
      </c>
      <c r="AK245" s="22">
        <v>4.25</v>
      </c>
      <c r="AL245" s="22">
        <v>5.3510966666666704</v>
      </c>
      <c r="AM245" s="22">
        <v>5.9249291666666704</v>
      </c>
      <c r="AN245" s="22">
        <v>5.9477958333333296</v>
      </c>
      <c r="AO245" s="22">
        <v>6.0050658333333304</v>
      </c>
      <c r="AP245" s="22">
        <v>6.2516783333333299</v>
      </c>
      <c r="AQ245" s="22">
        <v>6.2983074999999999</v>
      </c>
      <c r="AR245" s="22">
        <v>6.2988999999999997</v>
      </c>
      <c r="AS245" s="22">
        <v>6.29979666666667</v>
      </c>
      <c r="AT245" s="22">
        <v>6.23321666666667</v>
      </c>
      <c r="AU245" s="22">
        <v>6.2486833333333296</v>
      </c>
      <c r="AV245" s="22">
        <v>6.2950999999999997</v>
      </c>
      <c r="AW245" s="22">
        <v>6.2989916666666703</v>
      </c>
      <c r="AX245" s="22">
        <v>6.29955833333333</v>
      </c>
      <c r="AY245" s="22">
        <v>6.3122833333333297</v>
      </c>
      <c r="AZ245" s="22">
        <v>6.3280333333333303</v>
      </c>
      <c r="BA245" s="22">
        <v>6.2894333333333297</v>
      </c>
      <c r="BB245" s="22">
        <v>6.3249083333333296</v>
      </c>
      <c r="BC245" s="22">
        <v>6.3755083333333298</v>
      </c>
      <c r="BD245" s="22">
        <v>6.40930070568578</v>
      </c>
      <c r="BE245" s="22">
        <v>6.4296026559454198</v>
      </c>
      <c r="BF245" s="22">
        <v>6.4426293976465896</v>
      </c>
      <c r="BG245" s="22">
        <v>6.4090945782979301</v>
      </c>
      <c r="BH245" s="22">
        <v>6.3774416666666696</v>
      </c>
      <c r="BI245" s="22">
        <v>6.6689666666666696</v>
      </c>
      <c r="BJ245" s="22">
        <v>6.7795249999999996</v>
      </c>
      <c r="BK245" s="22">
        <v>6.7707508982460602</v>
      </c>
      <c r="BL245" s="22">
        <v>6.7543266828631996</v>
      </c>
    </row>
    <row r="246" spans="1:64">
      <c r="A246" s="22" t="s">
        <v>10933</v>
      </c>
      <c r="B246" s="22" t="s">
        <v>11555</v>
      </c>
      <c r="C246" s="22" t="s">
        <v>11241</v>
      </c>
      <c r="D246" s="22" t="s">
        <v>11242</v>
      </c>
      <c r="E246" s="22">
        <v>0.41999999941999999</v>
      </c>
      <c r="F246" s="22">
        <v>0.41999999941999999</v>
      </c>
      <c r="G246" s="22">
        <v>0.41999999941999999</v>
      </c>
      <c r="H246" s="22">
        <v>0.41999999941999999</v>
      </c>
      <c r="I246" s="22">
        <v>0.44624999941124999</v>
      </c>
      <c r="J246" s="22">
        <v>0.52499999952499998</v>
      </c>
      <c r="K246" s="22">
        <v>0.52499999952499998</v>
      </c>
      <c r="L246" s="22">
        <v>0.52499999952499998</v>
      </c>
      <c r="M246" s="22">
        <v>0.52499999952499998</v>
      </c>
      <c r="N246" s="22">
        <v>0.52499999952499998</v>
      </c>
      <c r="O246" s="22">
        <v>0.52499999952499998</v>
      </c>
      <c r="P246" s="22">
        <v>0.52291666623124999</v>
      </c>
      <c r="Q246" s="22">
        <v>0.477083333</v>
      </c>
      <c r="R246" s="22">
        <v>0.42159583283333302</v>
      </c>
      <c r="S246" s="22">
        <v>0.43650833233333303</v>
      </c>
      <c r="T246" s="22">
        <v>0.40226666566666702</v>
      </c>
      <c r="U246" s="22">
        <v>0.42877499899999999</v>
      </c>
      <c r="V246" s="22">
        <v>0.42894999900000003</v>
      </c>
      <c r="W246" s="22">
        <v>0.41617083233333302</v>
      </c>
      <c r="X246" s="22">
        <v>0.40646249899999998</v>
      </c>
      <c r="Y246" s="22">
        <v>0.40495416566666698</v>
      </c>
      <c r="Z246" s="22">
        <v>0.49380416566666702</v>
      </c>
      <c r="AA246" s="22">
        <v>0.59068749899999995</v>
      </c>
      <c r="AB246" s="22">
        <v>0.67876666575</v>
      </c>
      <c r="AC246" s="22">
        <v>0.77683333291666701</v>
      </c>
      <c r="AD246" s="22">
        <v>0.83449583324999999</v>
      </c>
      <c r="AE246" s="22">
        <v>0.79402916666666701</v>
      </c>
      <c r="AF246" s="22">
        <v>0.82866249999999997</v>
      </c>
      <c r="AG246" s="22">
        <v>0.85780416666666703</v>
      </c>
      <c r="AH246" s="22">
        <v>0.94932083333333295</v>
      </c>
      <c r="AI246" s="22">
        <v>0.87833333333333297</v>
      </c>
      <c r="AJ246" s="22">
        <v>0.924620833333333</v>
      </c>
      <c r="AK246" s="22">
        <v>0.88443333333333296</v>
      </c>
      <c r="AL246" s="22">
        <v>1.0037416666666701</v>
      </c>
      <c r="AM246" s="22">
        <v>1.0115541666666701</v>
      </c>
      <c r="AN246" s="22">
        <v>0.94574999999999998</v>
      </c>
      <c r="AO246" s="22">
        <v>0.97340833333333299</v>
      </c>
      <c r="AP246" s="22">
        <v>1.1059083333333299</v>
      </c>
      <c r="AQ246" s="22">
        <v>1.138725</v>
      </c>
      <c r="AR246" s="22">
        <v>1.1862250000000001</v>
      </c>
      <c r="AS246" s="22">
        <v>1.3706833333333299</v>
      </c>
      <c r="AT246" s="22">
        <v>1.4387125000000001</v>
      </c>
      <c r="AU246" s="22">
        <v>1.42173333333333</v>
      </c>
      <c r="AV246" s="22">
        <v>1.2884583333333299</v>
      </c>
      <c r="AW246" s="22">
        <v>1.2454666666666701</v>
      </c>
      <c r="AX246" s="22">
        <v>1.2974333333333301</v>
      </c>
      <c r="AY246" s="22">
        <v>1.3310249999999999</v>
      </c>
      <c r="AZ246" s="22">
        <v>1.28135833333333</v>
      </c>
      <c r="BA246" s="22">
        <v>1.23214166666667</v>
      </c>
      <c r="BB246" s="22">
        <v>1.3502749999999999</v>
      </c>
      <c r="BC246" s="22">
        <v>1.4314</v>
      </c>
      <c r="BD246" s="22">
        <v>1.4077833333333301</v>
      </c>
      <c r="BE246" s="22">
        <v>1.56189166666667</v>
      </c>
      <c r="BF246" s="22">
        <v>1.62465833333333</v>
      </c>
      <c r="BG246" s="22">
        <v>1.697675</v>
      </c>
      <c r="BH246" s="22">
        <v>1.961625</v>
      </c>
      <c r="BI246" s="22">
        <v>2.1480333333333301</v>
      </c>
      <c r="BJ246" s="22">
        <v>2.4194249999999999</v>
      </c>
      <c r="BK246" s="22">
        <v>2.64686666666667</v>
      </c>
      <c r="BL246" s="22">
        <v>2.9344333333333301</v>
      </c>
    </row>
    <row r="247" spans="1:64">
      <c r="A247" s="22" t="s">
        <v>10934</v>
      </c>
      <c r="B247" s="22" t="s">
        <v>11556</v>
      </c>
      <c r="C247" s="22" t="s">
        <v>11241</v>
      </c>
      <c r="D247" s="22" t="s">
        <v>11242</v>
      </c>
      <c r="E247" s="22">
        <v>9.0169166665833305E-6</v>
      </c>
      <c r="F247" s="22">
        <v>9.02E-6</v>
      </c>
      <c r="G247" s="22">
        <v>9.02E-6</v>
      </c>
      <c r="H247" s="22">
        <v>9.02E-6</v>
      </c>
      <c r="I247" s="22">
        <v>9.0391666657500005E-6</v>
      </c>
      <c r="J247" s="22">
        <v>9.0399999989999995E-6</v>
      </c>
      <c r="K247" s="22">
        <v>9.0399999989999995E-6</v>
      </c>
      <c r="L247" s="22">
        <v>9.0399999989999995E-6</v>
      </c>
      <c r="M247" s="22">
        <v>9.0399999989999995E-6</v>
      </c>
      <c r="N247" s="22">
        <v>9.0399999989999995E-6</v>
      </c>
      <c r="O247" s="22">
        <v>1.1328499999E-5</v>
      </c>
      <c r="P247" s="22">
        <v>1.48666666670833E-5</v>
      </c>
      <c r="Q247" s="22">
        <v>1.415E-5</v>
      </c>
      <c r="R247" s="22">
        <v>1.415E-5</v>
      </c>
      <c r="S247" s="22">
        <v>1.39270833330833E-5</v>
      </c>
      <c r="T247" s="22">
        <v>1.44420833326667E-5</v>
      </c>
      <c r="U247" s="22">
        <v>1.60530833323333E-5</v>
      </c>
      <c r="V247" s="22">
        <v>1.8002249999000002E-5</v>
      </c>
      <c r="W247" s="22">
        <v>2.42821666656667E-5</v>
      </c>
      <c r="X247" s="22">
        <v>3.1077499999000002E-5</v>
      </c>
      <c r="Y247" s="22">
        <v>7.6038083332833302E-5</v>
      </c>
      <c r="Z247" s="22">
        <v>1.1121858333266701E-4</v>
      </c>
      <c r="AA247" s="22">
        <v>1.6255341666566699E-4</v>
      </c>
      <c r="AB247" s="22">
        <v>2.2545708333224999E-4</v>
      </c>
      <c r="AC247" s="22">
        <v>3.66677833333167E-4</v>
      </c>
      <c r="AD247" s="22">
        <v>5.2198308333316703E-4</v>
      </c>
      <c r="AE247" s="22">
        <v>6.7451175000024998E-4</v>
      </c>
      <c r="AF247" s="22">
        <v>8.5721416666666704E-4</v>
      </c>
      <c r="AG247" s="22">
        <v>1.4223458333333301E-3</v>
      </c>
      <c r="AH247" s="22">
        <v>2.1216791666666701E-3</v>
      </c>
      <c r="AI247" s="22">
        <v>2.6086416666666699E-3</v>
      </c>
      <c r="AJ247" s="22">
        <v>4.17181583333333E-3</v>
      </c>
      <c r="AK247" s="22">
        <v>6.8724233333333296E-3</v>
      </c>
      <c r="AL247" s="22">
        <v>1.09846283333333E-2</v>
      </c>
      <c r="AM247" s="22">
        <v>2.9608675833333299E-2</v>
      </c>
      <c r="AN247" s="22">
        <v>4.5845060833333298E-2</v>
      </c>
      <c r="AO247" s="22">
        <v>8.1404891666666701E-2</v>
      </c>
      <c r="AP247" s="22">
        <v>0.151865</v>
      </c>
      <c r="AQ247" s="22">
        <v>0.26072424999999999</v>
      </c>
      <c r="AR247" s="22">
        <v>0.418782916666667</v>
      </c>
      <c r="AS247" s="22">
        <v>0.62521850000000001</v>
      </c>
      <c r="AT247" s="22">
        <v>1.2255880833333299</v>
      </c>
      <c r="AU247" s="22">
        <v>1.50722641666667</v>
      </c>
      <c r="AV247" s="22">
        <v>1.50088520858333</v>
      </c>
      <c r="AW247" s="22">
        <v>1.4255372500000001</v>
      </c>
      <c r="AX247" s="22">
        <v>1.3435831083333301</v>
      </c>
      <c r="AY247" s="22">
        <v>1.4284534133384501</v>
      </c>
      <c r="AZ247" s="22">
        <v>1.3029309053379401</v>
      </c>
      <c r="BA247" s="22">
        <v>1.30152170281795</v>
      </c>
      <c r="BB247" s="22">
        <v>1.54995977566564</v>
      </c>
      <c r="BC247" s="22">
        <v>1.5028486296723</v>
      </c>
      <c r="BD247" s="22">
        <v>1.67495455197133</v>
      </c>
      <c r="BE247" s="22">
        <v>1.7960009444135501</v>
      </c>
      <c r="BF247" s="22">
        <v>1.90376824244752</v>
      </c>
      <c r="BG247" s="22">
        <v>2.1885424177547299</v>
      </c>
      <c r="BH247" s="22">
        <v>2.7200085279057902</v>
      </c>
      <c r="BI247" s="22">
        <v>3.0201347480804301</v>
      </c>
      <c r="BJ247" s="22">
        <v>3.6481326353686598</v>
      </c>
      <c r="BK247" s="22">
        <v>4.8283701472094203</v>
      </c>
      <c r="BL247" s="22">
        <v>5.67381930843574</v>
      </c>
    </row>
    <row r="248" spans="1:64">
      <c r="A248" s="22" t="s">
        <v>10937</v>
      </c>
      <c r="B248" s="22" t="s">
        <v>11557</v>
      </c>
      <c r="C248" s="22" t="s">
        <v>11241</v>
      </c>
      <c r="D248" s="22" t="s">
        <v>11242</v>
      </c>
    </row>
    <row r="249" spans="1:64">
      <c r="A249" s="22" t="s">
        <v>11558</v>
      </c>
      <c r="B249" s="22" t="s">
        <v>11559</v>
      </c>
      <c r="C249" s="22" t="s">
        <v>11241</v>
      </c>
      <c r="D249" s="22" t="s">
        <v>11242</v>
      </c>
      <c r="E249" s="22">
        <v>7.1428600061428602</v>
      </c>
      <c r="F249" s="22">
        <v>7.1428600061428602</v>
      </c>
      <c r="G249" s="22">
        <v>7.1428600061428602</v>
      </c>
      <c r="H249" s="22">
        <v>7.1428600061428602</v>
      </c>
      <c r="I249" s="22">
        <v>7.1428600061428602</v>
      </c>
      <c r="J249" s="22">
        <v>7.1428600061428602</v>
      </c>
      <c r="K249" s="22">
        <v>7.1428600061428602</v>
      </c>
      <c r="L249" s="22">
        <v>7.1428600061428602</v>
      </c>
      <c r="M249" s="22">
        <v>7.1428600061428602</v>
      </c>
      <c r="N249" s="22">
        <v>7.1428600061428602</v>
      </c>
      <c r="O249" s="22">
        <v>7.1428600061428602</v>
      </c>
      <c r="P249" s="22">
        <v>7.1428600055476199</v>
      </c>
      <c r="Q249" s="22">
        <v>7.1428999989999999</v>
      </c>
      <c r="R249" s="22">
        <v>7.0214466656666703</v>
      </c>
      <c r="S249" s="22">
        <v>7.1349833323333298</v>
      </c>
      <c r="T249" s="22">
        <v>7.3667916656666703</v>
      </c>
      <c r="U249" s="22">
        <v>8.3767749994166696</v>
      </c>
      <c r="V249" s="22">
        <v>8.2892083324999994</v>
      </c>
      <c r="W249" s="22">
        <v>7.7120499990000004</v>
      </c>
      <c r="X249" s="22">
        <v>8.2166249990000004</v>
      </c>
      <c r="Y249" s="22">
        <v>8.1965916658333295</v>
      </c>
      <c r="Z249" s="22">
        <v>8.2835083325833292</v>
      </c>
      <c r="AA249" s="22">
        <v>9.2825916658333298</v>
      </c>
      <c r="AB249" s="22">
        <v>11.1427833323333</v>
      </c>
      <c r="AC249" s="22">
        <v>15.292249999499999</v>
      </c>
      <c r="AD249" s="22">
        <v>17.472333333083299</v>
      </c>
      <c r="AE249" s="22">
        <v>32.698016666416699</v>
      </c>
      <c r="AF249" s="22">
        <v>64.260350000000003</v>
      </c>
      <c r="AG249" s="22">
        <v>99.292108333333303</v>
      </c>
      <c r="AH249" s="22">
        <v>143.376916666667</v>
      </c>
      <c r="AI249" s="22">
        <v>195.055916666667</v>
      </c>
      <c r="AJ249" s="22">
        <v>219.15741666666699</v>
      </c>
      <c r="AK249" s="22">
        <v>297.70808333333298</v>
      </c>
      <c r="AL249" s="22">
        <v>405.27401666666702</v>
      </c>
      <c r="AM249" s="22">
        <v>509.630875</v>
      </c>
      <c r="AN249" s="22">
        <v>574.76174166666704</v>
      </c>
      <c r="AO249" s="22">
        <v>579.97666666666703</v>
      </c>
      <c r="AP249" s="22">
        <v>612.12249999999995</v>
      </c>
      <c r="AQ249" s="22">
        <v>664.67120833333297</v>
      </c>
      <c r="AR249" s="22">
        <v>744.75907500000005</v>
      </c>
      <c r="AS249" s="22">
        <v>800.40851666666697</v>
      </c>
      <c r="AT249" s="22">
        <v>876.41166666666697</v>
      </c>
      <c r="AU249" s="22">
        <v>966.58278425925903</v>
      </c>
      <c r="AV249" s="22">
        <v>1038.4190065960399</v>
      </c>
      <c r="AW249" s="22">
        <v>1089.33477148982</v>
      </c>
      <c r="AX249" s="22">
        <v>1128.9341791619199</v>
      </c>
      <c r="AY249" s="22">
        <v>1251.89997292515</v>
      </c>
      <c r="AZ249" s="22">
        <v>1245.0354640478299</v>
      </c>
      <c r="BA249" s="22">
        <v>1196.3107092104599</v>
      </c>
      <c r="BB249" s="22">
        <v>1320.3120607404101</v>
      </c>
      <c r="BC249" s="22">
        <v>1395.625</v>
      </c>
      <c r="BD249" s="22">
        <v>1557.43333333333</v>
      </c>
      <c r="BE249" s="22">
        <v>1571.6983333333301</v>
      </c>
      <c r="BF249" s="22">
        <v>1597.5558333333299</v>
      </c>
      <c r="BG249" s="22">
        <v>1653.2308333333301</v>
      </c>
      <c r="BH249" s="22">
        <v>1991.39083333333</v>
      </c>
      <c r="BI249" s="22">
        <v>2177.0866666666702</v>
      </c>
      <c r="BJ249" s="22">
        <v>2228.8566666666702</v>
      </c>
      <c r="BK249" s="22">
        <v>2263.7816666666699</v>
      </c>
      <c r="BL249" s="22">
        <v>2288.2066666666701</v>
      </c>
    </row>
    <row r="250" spans="1:64">
      <c r="A250" s="22" t="s">
        <v>6281</v>
      </c>
      <c r="B250" s="22" t="s">
        <v>11560</v>
      </c>
      <c r="C250" s="22" t="s">
        <v>11241</v>
      </c>
      <c r="D250" s="22" t="s">
        <v>11242</v>
      </c>
      <c r="E250" s="22">
        <v>7.1430000071429994E-2</v>
      </c>
      <c r="F250" s="22">
        <v>7.1430000071429994E-2</v>
      </c>
      <c r="G250" s="22">
        <v>7.1430000071429994E-2</v>
      </c>
      <c r="H250" s="22">
        <v>7.1430000071429994E-2</v>
      </c>
      <c r="I250" s="22">
        <v>7.1430000071429994E-2</v>
      </c>
      <c r="J250" s="22">
        <v>7.1430000071429994E-2</v>
      </c>
      <c r="K250" s="22">
        <v>7.1430000071429994E-2</v>
      </c>
      <c r="L250" s="22">
        <v>7.1430000071429994E-2</v>
      </c>
      <c r="M250" s="22">
        <v>7.1430000071429994E-2</v>
      </c>
      <c r="N250" s="22">
        <v>7.1430000071429994E-2</v>
      </c>
      <c r="O250" s="22">
        <v>7.1430000071429994E-2</v>
      </c>
      <c r="P250" s="22">
        <v>7.1429995890081102E-2</v>
      </c>
      <c r="Q250" s="22">
        <v>7.1429999990000007E-2</v>
      </c>
      <c r="R250" s="22">
        <v>7.0214499989999998E-2</v>
      </c>
      <c r="S250" s="22">
        <v>7.1359499990000005E-2</v>
      </c>
      <c r="T250" s="22">
        <v>7.421924999E-2</v>
      </c>
      <c r="U250" s="22">
        <v>8.2661666662499994E-2</v>
      </c>
      <c r="V250" s="22">
        <v>8.2589999993333302E-2</v>
      </c>
      <c r="W250" s="22">
        <v>7.7356666656666698E-2</v>
      </c>
      <c r="X250" s="22">
        <v>7.4828333323333301E-2</v>
      </c>
      <c r="Y250" s="22">
        <v>7.4169999989999999E-2</v>
      </c>
      <c r="Z250" s="22">
        <v>0.50052333332666699</v>
      </c>
      <c r="AA250" s="22">
        <v>0.94046666666166701</v>
      </c>
      <c r="AB250" s="22">
        <v>1.5386249999924999</v>
      </c>
      <c r="AC250" s="22">
        <v>3.5970249999949999</v>
      </c>
      <c r="AD250" s="22">
        <v>6.7202000000058302</v>
      </c>
      <c r="AE250" s="22">
        <v>14</v>
      </c>
      <c r="AF250" s="22">
        <v>42.841266666666698</v>
      </c>
      <c r="AG250" s="22">
        <v>106.135833333333</v>
      </c>
      <c r="AH250" s="22">
        <v>223.09160630809001</v>
      </c>
      <c r="AI250" s="22">
        <v>428.85466666666701</v>
      </c>
      <c r="AJ250" s="22">
        <v>734.00991666666698</v>
      </c>
      <c r="AK250" s="22">
        <v>1133.8343333333301</v>
      </c>
      <c r="AL250" s="22">
        <v>1195.01675</v>
      </c>
      <c r="AM250" s="22">
        <v>979.44541666666703</v>
      </c>
      <c r="AN250" s="22">
        <v>968.91666666666697</v>
      </c>
      <c r="AO250" s="22">
        <v>1046.08475</v>
      </c>
      <c r="AP250" s="22">
        <v>1083.00866666667</v>
      </c>
      <c r="AQ250" s="22">
        <v>1240.3058333333299</v>
      </c>
      <c r="AR250" s="22">
        <v>1454.8271666666701</v>
      </c>
      <c r="AS250" s="22">
        <v>1644.4753333333299</v>
      </c>
      <c r="AT250" s="22">
        <v>1755.6587500000001</v>
      </c>
      <c r="AU250" s="22">
        <v>1797.5505000000001</v>
      </c>
      <c r="AV250" s="22">
        <v>1963.72008333333</v>
      </c>
      <c r="AW250" s="22">
        <v>1810.3047136515099</v>
      </c>
      <c r="AX250" s="22">
        <v>1780.54026086523</v>
      </c>
      <c r="AY250" s="22">
        <v>1831.45185089088</v>
      </c>
      <c r="AZ250" s="22">
        <v>1723.49158714041</v>
      </c>
      <c r="BA250" s="22">
        <v>1720.44387915111</v>
      </c>
      <c r="BB250" s="22">
        <v>2030.4880743341801</v>
      </c>
      <c r="BC250" s="22">
        <v>2177.5575068335802</v>
      </c>
      <c r="BD250" s="22">
        <v>2522.8020325226398</v>
      </c>
      <c r="BE250" s="22">
        <v>2504.5630775832801</v>
      </c>
      <c r="BF250" s="22">
        <v>2586.8895685656098</v>
      </c>
      <c r="BG250" s="22">
        <v>2599.7882006106702</v>
      </c>
      <c r="BH250" s="22">
        <v>3240.64542033826</v>
      </c>
      <c r="BI250" s="22">
        <v>3420.0980072473599</v>
      </c>
      <c r="BJ250" s="22">
        <v>3611.2244580446099</v>
      </c>
      <c r="BK250" s="22">
        <v>3727.0689948461199</v>
      </c>
      <c r="BL250" s="22">
        <v>3704.0490716968102</v>
      </c>
    </row>
    <row r="251" spans="1:64">
      <c r="A251" s="22" t="s">
        <v>10939</v>
      </c>
      <c r="B251" s="22" t="s">
        <v>11561</v>
      </c>
      <c r="C251" s="22" t="s">
        <v>11241</v>
      </c>
      <c r="D251" s="22" t="s">
        <v>11242</v>
      </c>
      <c r="AL251" s="22">
        <v>4.5324999999999997E-2</v>
      </c>
      <c r="AM251" s="22">
        <v>0.32751416666666699</v>
      </c>
      <c r="AN251" s="22">
        <v>1.4730749999999999</v>
      </c>
      <c r="AO251" s="22">
        <v>1.8294685583333301</v>
      </c>
      <c r="AP251" s="22">
        <v>1.8616583333333301</v>
      </c>
      <c r="AQ251" s="22">
        <v>2.4495416666666698</v>
      </c>
      <c r="AR251" s="22">
        <v>4.1304416666666697</v>
      </c>
      <c r="AS251" s="22">
        <v>5.4402333333333299</v>
      </c>
      <c r="AT251" s="22">
        <v>5.3721583333333296</v>
      </c>
      <c r="AU251" s="22">
        <v>5.3266249999999999</v>
      </c>
      <c r="AV251" s="22">
        <v>5.3326883333333299</v>
      </c>
      <c r="AW251" s="22">
        <v>5.3191806666666697</v>
      </c>
      <c r="AX251" s="22">
        <v>5.1247290000000003</v>
      </c>
      <c r="AY251" s="22">
        <v>5.05</v>
      </c>
      <c r="AZ251" s="22">
        <v>5.05</v>
      </c>
      <c r="BA251" s="22">
        <v>5.2672214166666702</v>
      </c>
      <c r="BB251" s="22">
        <v>7.79124033333333</v>
      </c>
      <c r="BC251" s="22">
        <v>7.9356394166666702</v>
      </c>
      <c r="BD251" s="22">
        <v>7.9675628333333304</v>
      </c>
      <c r="BE251" s="22">
        <v>7.99102933333333</v>
      </c>
      <c r="BF251" s="22">
        <v>7.9930000000000003</v>
      </c>
      <c r="BG251" s="22">
        <v>11.886659416666699</v>
      </c>
      <c r="BH251" s="22">
        <v>21.844697766666702</v>
      </c>
      <c r="BI251" s="22">
        <v>25.551334116666698</v>
      </c>
      <c r="BJ251" s="22">
        <v>26.596606300000001</v>
      </c>
      <c r="BK251" s="22">
        <v>27.200492333333301</v>
      </c>
      <c r="BL251" s="22">
        <v>25.845589333333301</v>
      </c>
    </row>
    <row r="252" spans="1:64">
      <c r="A252" s="22" t="s">
        <v>11562</v>
      </c>
      <c r="B252" s="22" t="s">
        <v>11563</v>
      </c>
      <c r="C252" s="22" t="s">
        <v>11241</v>
      </c>
      <c r="D252" s="22" t="s">
        <v>11242</v>
      </c>
    </row>
    <row r="253" spans="1:64">
      <c r="A253" s="22" t="s">
        <v>10940</v>
      </c>
      <c r="B253" s="22" t="s">
        <v>11564</v>
      </c>
      <c r="C253" s="22" t="s">
        <v>11241</v>
      </c>
      <c r="D253" s="22" t="s">
        <v>11242</v>
      </c>
      <c r="E253" s="22">
        <v>1.12966666666667E-5</v>
      </c>
      <c r="F253" s="22">
        <v>1.10091666666667E-5</v>
      </c>
      <c r="G253" s="22">
        <v>1.098E-5</v>
      </c>
      <c r="H253" s="22">
        <v>1.46475E-5</v>
      </c>
      <c r="I253" s="22">
        <v>1.6411666666666701E-5</v>
      </c>
      <c r="J253" s="22">
        <v>2.90358333333333E-5</v>
      </c>
      <c r="K253" s="22">
        <v>5.3891666666666698E-5</v>
      </c>
      <c r="L253" s="22">
        <v>1.049625E-4</v>
      </c>
      <c r="M253" s="22">
        <v>2.3185416666666699E-4</v>
      </c>
      <c r="N253" s="22">
        <v>2.4800000000000001E-4</v>
      </c>
      <c r="O253" s="22">
        <v>2.4800000000000001E-4</v>
      </c>
      <c r="P253" s="22">
        <v>2.4800000000000001E-4</v>
      </c>
      <c r="Q253" s="22">
        <v>5.3082583333333296E-4</v>
      </c>
      <c r="R253" s="22">
        <v>8.5715083333333299E-4</v>
      </c>
      <c r="S253" s="22">
        <v>1.1821325E-3</v>
      </c>
      <c r="T253" s="22">
        <v>2.2358333333333301E-3</v>
      </c>
      <c r="U253" s="22">
        <v>3.3024999999999999E-3</v>
      </c>
      <c r="V253" s="22">
        <v>4.6466666666666696E-3</v>
      </c>
      <c r="W253" s="22">
        <v>6.0233333333333302E-3</v>
      </c>
      <c r="X253" s="22">
        <v>7.8383333333333308E-3</v>
      </c>
      <c r="Y253" s="22">
        <v>9.0725000000000007E-3</v>
      </c>
      <c r="Z253" s="22">
        <v>1.0793333333333301E-2</v>
      </c>
      <c r="AA253" s="22">
        <v>1.3853333333333301E-2</v>
      </c>
      <c r="AB253" s="22">
        <v>3.43758333333333E-2</v>
      </c>
      <c r="AC253" s="22">
        <v>5.5893333333333302E-2</v>
      </c>
      <c r="AD253" s="22">
        <v>0.101155833333333</v>
      </c>
      <c r="AE253" s="22">
        <v>0.15143416666666701</v>
      </c>
      <c r="AF253" s="22">
        <v>0.22552166666666701</v>
      </c>
      <c r="AG253" s="22">
        <v>0.35850749999999998</v>
      </c>
      <c r="AH253" s="22">
        <v>0.62117833333333305</v>
      </c>
      <c r="AI253" s="22">
        <v>1.16948416666667</v>
      </c>
      <c r="AJ253" s="22">
        <v>2.01766333333333</v>
      </c>
      <c r="AK253" s="22">
        <v>3.02481166666667</v>
      </c>
      <c r="AL253" s="22">
        <v>3.94109166666667</v>
      </c>
      <c r="AM253" s="22">
        <v>5.0439166666666697</v>
      </c>
      <c r="AN253" s="22">
        <v>6.3490000000000002</v>
      </c>
      <c r="AO253" s="22">
        <v>7.97183333333333</v>
      </c>
      <c r="AP253" s="22">
        <v>9.4418333333333297</v>
      </c>
      <c r="AQ253" s="22">
        <v>10.471916666666701</v>
      </c>
      <c r="AR253" s="22">
        <v>11.3393</v>
      </c>
      <c r="AS253" s="22">
        <v>12.099591666666701</v>
      </c>
      <c r="AT253" s="22">
        <v>13.3191166666667</v>
      </c>
      <c r="AU253" s="22">
        <v>21.256966666666699</v>
      </c>
      <c r="AV253" s="22">
        <v>28.208683333333301</v>
      </c>
      <c r="AW253" s="22">
        <v>28.7037333333333</v>
      </c>
      <c r="AX253" s="22">
        <v>24.4786</v>
      </c>
      <c r="AY253" s="22">
        <v>24.073358333333299</v>
      </c>
      <c r="AZ253" s="22">
        <v>23.471025000000001</v>
      </c>
      <c r="BA253" s="22">
        <v>20.9493166666667</v>
      </c>
      <c r="BB253" s="22">
        <v>22.567983333333299</v>
      </c>
      <c r="BC253" s="22">
        <v>20.059275</v>
      </c>
      <c r="BD253" s="22">
        <v>19.314208333333301</v>
      </c>
      <c r="BE253" s="22">
        <v>20.310575</v>
      </c>
      <c r="BF253" s="22">
        <v>20.481608333333298</v>
      </c>
      <c r="BG253" s="22">
        <v>23.246024999999999</v>
      </c>
      <c r="BH253" s="22">
        <v>27.327366666666698</v>
      </c>
      <c r="BI253" s="22">
        <v>30.162600000000001</v>
      </c>
      <c r="BJ253" s="22">
        <v>28.676400000000001</v>
      </c>
      <c r="BK253" s="22">
        <v>30.725258333333301</v>
      </c>
      <c r="BL253" s="22">
        <v>35.255375000000001</v>
      </c>
    </row>
    <row r="254" spans="1:64">
      <c r="A254" s="22" t="s">
        <v>3135</v>
      </c>
      <c r="B254" s="22" t="s">
        <v>11565</v>
      </c>
      <c r="C254" s="22" t="s">
        <v>11241</v>
      </c>
      <c r="D254" s="22" t="s">
        <v>11242</v>
      </c>
      <c r="E254" s="22">
        <v>1</v>
      </c>
      <c r="F254" s="22">
        <v>1</v>
      </c>
      <c r="G254" s="22">
        <v>1</v>
      </c>
      <c r="H254" s="22">
        <v>1</v>
      </c>
      <c r="I254" s="22">
        <v>1</v>
      </c>
      <c r="J254" s="22">
        <v>1</v>
      </c>
      <c r="K254" s="22">
        <v>1</v>
      </c>
      <c r="L254" s="22">
        <v>1</v>
      </c>
      <c r="M254" s="22">
        <v>1</v>
      </c>
      <c r="N254" s="22">
        <v>1</v>
      </c>
      <c r="O254" s="22">
        <v>1</v>
      </c>
      <c r="P254" s="22">
        <v>1</v>
      </c>
      <c r="Q254" s="22">
        <v>1</v>
      </c>
      <c r="R254" s="22">
        <v>1</v>
      </c>
      <c r="S254" s="22">
        <v>1</v>
      </c>
      <c r="T254" s="22">
        <v>1</v>
      </c>
      <c r="U254" s="22">
        <v>1</v>
      </c>
      <c r="V254" s="22">
        <v>1</v>
      </c>
      <c r="W254" s="22">
        <v>1</v>
      </c>
      <c r="X254" s="22">
        <v>1</v>
      </c>
      <c r="Y254" s="22">
        <v>1</v>
      </c>
      <c r="Z254" s="22">
        <v>1</v>
      </c>
      <c r="AA254" s="22">
        <v>1</v>
      </c>
      <c r="AB254" s="22">
        <v>1</v>
      </c>
      <c r="AC254" s="22">
        <v>1</v>
      </c>
      <c r="AD254" s="22">
        <v>1</v>
      </c>
      <c r="AE254" s="22">
        <v>1</v>
      </c>
      <c r="AF254" s="22">
        <v>1</v>
      </c>
      <c r="AG254" s="22">
        <v>1</v>
      </c>
      <c r="AH254" s="22">
        <v>1</v>
      </c>
      <c r="AI254" s="22">
        <v>1</v>
      </c>
      <c r="AJ254" s="22">
        <v>1</v>
      </c>
      <c r="AK254" s="22">
        <v>1</v>
      </c>
      <c r="AL254" s="22">
        <v>1</v>
      </c>
      <c r="AM254" s="22">
        <v>1</v>
      </c>
      <c r="AN254" s="22">
        <v>1</v>
      </c>
      <c r="AO254" s="22">
        <v>1</v>
      </c>
      <c r="AP254" s="22">
        <v>1</v>
      </c>
      <c r="AQ254" s="22">
        <v>1</v>
      </c>
      <c r="AR254" s="22">
        <v>1</v>
      </c>
      <c r="AS254" s="22">
        <v>1</v>
      </c>
      <c r="AT254" s="22">
        <v>1</v>
      </c>
      <c r="AU254" s="22">
        <v>1</v>
      </c>
      <c r="AV254" s="22">
        <v>1</v>
      </c>
      <c r="AW254" s="22">
        <v>1</v>
      </c>
      <c r="AX254" s="22">
        <v>1</v>
      </c>
      <c r="AY254" s="22">
        <v>1</v>
      </c>
      <c r="AZ254" s="22">
        <v>1</v>
      </c>
      <c r="BA254" s="22">
        <v>1</v>
      </c>
      <c r="BB254" s="22">
        <v>1</v>
      </c>
      <c r="BC254" s="22">
        <v>1</v>
      </c>
      <c r="BD254" s="22">
        <v>1</v>
      </c>
      <c r="BE254" s="22">
        <v>1</v>
      </c>
      <c r="BF254" s="22">
        <v>1</v>
      </c>
      <c r="BG254" s="22">
        <v>1</v>
      </c>
      <c r="BH254" s="22">
        <v>1</v>
      </c>
      <c r="BI254" s="22">
        <v>1</v>
      </c>
      <c r="BJ254" s="22">
        <v>1</v>
      </c>
      <c r="BK254" s="22">
        <v>1</v>
      </c>
      <c r="BL254" s="22">
        <v>1</v>
      </c>
    </row>
    <row r="255" spans="1:64">
      <c r="A255" s="22" t="s">
        <v>10942</v>
      </c>
      <c r="B255" s="22" t="s">
        <v>11566</v>
      </c>
      <c r="C255" s="22" t="s">
        <v>11241</v>
      </c>
      <c r="D255" s="22" t="s">
        <v>11242</v>
      </c>
      <c r="AN255" s="22">
        <v>29.774999999999999</v>
      </c>
      <c r="AO255" s="22">
        <v>40.066666666666698</v>
      </c>
      <c r="AP255" s="22">
        <v>62.9166666666667</v>
      </c>
      <c r="AQ255" s="22">
        <v>94.491666666666703</v>
      </c>
      <c r="AR255" s="22">
        <v>124.625</v>
      </c>
      <c r="AS255" s="22">
        <v>236.60833333333301</v>
      </c>
      <c r="BF255" s="22">
        <v>2094.9884650537601</v>
      </c>
      <c r="BG255" s="22">
        <v>2310.9481588069598</v>
      </c>
      <c r="BH255" s="22">
        <v>2567.9872133982699</v>
      </c>
      <c r="BI255" s="22">
        <v>2965.25349937684</v>
      </c>
      <c r="BJ255" s="22">
        <v>5113.8789459571699</v>
      </c>
      <c r="BK255" s="22">
        <v>8069.6062365591397</v>
      </c>
      <c r="BL255" s="22">
        <v>8836.7875000000004</v>
      </c>
    </row>
    <row r="256" spans="1:64">
      <c r="A256" s="22" t="s">
        <v>10920</v>
      </c>
      <c r="B256" s="22" t="s">
        <v>11567</v>
      </c>
      <c r="C256" s="22" t="s">
        <v>11241</v>
      </c>
      <c r="D256" s="22" t="s">
        <v>11242</v>
      </c>
      <c r="E256" s="22">
        <v>1.7142900007142901</v>
      </c>
      <c r="F256" s="22">
        <v>1.7142900007142901</v>
      </c>
      <c r="G256" s="22">
        <v>1.7142900007142901</v>
      </c>
      <c r="H256" s="22">
        <v>1.7142900007142901</v>
      </c>
      <c r="I256" s="22">
        <v>1.7142900007142901</v>
      </c>
      <c r="J256" s="22">
        <v>1.7142900007142901</v>
      </c>
      <c r="K256" s="22">
        <v>1.7142900007142901</v>
      </c>
      <c r="L256" s="22">
        <v>1.7619083340952399</v>
      </c>
      <c r="M256" s="22">
        <v>2.0000000010000001</v>
      </c>
      <c r="N256" s="22">
        <v>2.0000000010000001</v>
      </c>
      <c r="O256" s="22">
        <v>2.0000000010000001</v>
      </c>
      <c r="P256" s="22">
        <v>1.97487273321145</v>
      </c>
      <c r="Q256" s="22">
        <v>1.9212781494760101</v>
      </c>
      <c r="R256" s="22">
        <v>1.9592192359816101</v>
      </c>
      <c r="S256" s="22">
        <v>2.0532324085176299</v>
      </c>
      <c r="T256" s="22">
        <v>2.16979583233333</v>
      </c>
      <c r="U256" s="22">
        <v>2.6146708328333301</v>
      </c>
      <c r="V256" s="22">
        <v>2.7</v>
      </c>
      <c r="W256" s="22">
        <v>2.7</v>
      </c>
      <c r="X256" s="22">
        <v>2.7</v>
      </c>
      <c r="Y256" s="22">
        <v>2.7</v>
      </c>
      <c r="Z256" s="22">
        <v>2.7</v>
      </c>
      <c r="AA256" s="22">
        <v>2.7</v>
      </c>
      <c r="AB256" s="22">
        <v>2.7</v>
      </c>
      <c r="AC256" s="22">
        <v>2.7</v>
      </c>
      <c r="AD256" s="22">
        <v>2.7</v>
      </c>
      <c r="AE256" s="22">
        <v>2.7</v>
      </c>
      <c r="AF256" s="22">
        <v>2.7</v>
      </c>
      <c r="AG256" s="22">
        <v>2.7</v>
      </c>
      <c r="AH256" s="22">
        <v>2.7</v>
      </c>
      <c r="AI256" s="22">
        <v>2.7</v>
      </c>
      <c r="AJ256" s="22">
        <v>2.7</v>
      </c>
      <c r="AK256" s="22">
        <v>2.7</v>
      </c>
      <c r="AL256" s="22">
        <v>2.7</v>
      </c>
      <c r="AM256" s="22">
        <v>2.7</v>
      </c>
      <c r="AN256" s="22">
        <v>2.7</v>
      </c>
      <c r="AO256" s="22">
        <v>2.7</v>
      </c>
      <c r="AP256" s="22">
        <v>2.7</v>
      </c>
      <c r="AQ256" s="22">
        <v>2.7</v>
      </c>
      <c r="AR256" s="22">
        <v>2.7</v>
      </c>
      <c r="AS256" s="22">
        <v>2.7</v>
      </c>
      <c r="AT256" s="22">
        <v>2.7</v>
      </c>
      <c r="AU256" s="22">
        <v>2.7</v>
      </c>
      <c r="AV256" s="22">
        <v>2.7</v>
      </c>
      <c r="AW256" s="22">
        <v>2.7</v>
      </c>
      <c r="AX256" s="22">
        <v>2.7</v>
      </c>
      <c r="AY256" s="22">
        <v>2.7</v>
      </c>
      <c r="AZ256" s="22">
        <v>2.7</v>
      </c>
      <c r="BA256" s="22">
        <v>2.7</v>
      </c>
      <c r="BB256" s="22">
        <v>2.7</v>
      </c>
      <c r="BC256" s="22">
        <v>2.7</v>
      </c>
      <c r="BD256" s="22">
        <v>2.7</v>
      </c>
      <c r="BE256" s="22">
        <v>2.7</v>
      </c>
      <c r="BF256" s="22">
        <v>2.7</v>
      </c>
      <c r="BG256" s="22">
        <v>2.7</v>
      </c>
      <c r="BH256" s="22">
        <v>2.7</v>
      </c>
      <c r="BI256" s="22">
        <v>2.7</v>
      </c>
      <c r="BJ256" s="22">
        <v>2.7</v>
      </c>
      <c r="BK256" s="22">
        <v>2.7</v>
      </c>
      <c r="BL256" s="22">
        <v>2.7</v>
      </c>
    </row>
    <row r="257" spans="1:64">
      <c r="A257" s="22" t="s">
        <v>11568</v>
      </c>
      <c r="B257" s="22" t="s">
        <v>11569</v>
      </c>
      <c r="C257" s="22" t="s">
        <v>11241</v>
      </c>
      <c r="D257" s="22" t="s">
        <v>11242</v>
      </c>
      <c r="E257" s="22">
        <v>3.3495833323333299E-3</v>
      </c>
      <c r="F257" s="22">
        <v>3.3498333323333301E-3</v>
      </c>
      <c r="G257" s="22">
        <v>3.3496666656666701E-3</v>
      </c>
      <c r="H257" s="22">
        <v>3.3496666656666701E-3</v>
      </c>
      <c r="I257" s="22">
        <v>4.3499999999999997E-3</v>
      </c>
      <c r="J257" s="22">
        <v>4.4000000000000003E-3</v>
      </c>
      <c r="K257" s="22">
        <v>4.4000000000000003E-3</v>
      </c>
      <c r="L257" s="22">
        <v>4.4000000000000003E-3</v>
      </c>
      <c r="M257" s="22">
        <v>4.4000000000000003E-3</v>
      </c>
      <c r="N257" s="22">
        <v>4.4000000000000003E-3</v>
      </c>
      <c r="O257" s="22">
        <v>4.4000000000000003E-3</v>
      </c>
      <c r="P257" s="22">
        <v>4.4000000000000003E-3</v>
      </c>
      <c r="Q257" s="22">
        <v>4.3E-3</v>
      </c>
      <c r="R257" s="22">
        <v>4.3E-3</v>
      </c>
      <c r="S257" s="22">
        <v>4.3E-3</v>
      </c>
      <c r="T257" s="22">
        <v>4.3E-3</v>
      </c>
      <c r="U257" s="22">
        <v>4.3E-3</v>
      </c>
      <c r="V257" s="22">
        <v>4.3E-3</v>
      </c>
      <c r="W257" s="22">
        <v>4.3E-3</v>
      </c>
      <c r="X257" s="22">
        <v>4.3E-3</v>
      </c>
      <c r="Y257" s="22">
        <v>4.3E-3</v>
      </c>
      <c r="Z257" s="22">
        <v>4.3E-3</v>
      </c>
      <c r="AA257" s="22">
        <v>4.3E-3</v>
      </c>
      <c r="AB257" s="22">
        <v>4.3E-3</v>
      </c>
      <c r="AC257" s="22">
        <v>7.0166666666666702E-3</v>
      </c>
      <c r="AD257" s="22">
        <v>7.4999999999999997E-3</v>
      </c>
      <c r="AE257" s="22">
        <v>8.0833333333333295E-3</v>
      </c>
      <c r="AF257" s="22">
        <v>1.4500000000000001E-2</v>
      </c>
      <c r="AG257" s="22">
        <v>1.4500000000000001E-2</v>
      </c>
      <c r="AH257" s="22">
        <v>3.4691666666666697E-2</v>
      </c>
      <c r="AI257" s="22">
        <v>4.68916666666667E-2</v>
      </c>
      <c r="AJ257" s="22">
        <v>5.6825000000000001E-2</v>
      </c>
      <c r="AK257" s="22">
        <v>6.8383333333333296E-2</v>
      </c>
      <c r="AL257" s="22">
        <v>9.0841666666666696E-2</v>
      </c>
      <c r="AM257" s="22">
        <v>0.14685833333333301</v>
      </c>
      <c r="AN257" s="22">
        <v>0.17684166666666701</v>
      </c>
      <c r="AO257" s="22">
        <v>0.41735</v>
      </c>
      <c r="AP257" s="22">
        <v>0.48863333333333298</v>
      </c>
      <c r="AQ257" s="22">
        <v>0.54756666666666698</v>
      </c>
      <c r="AR257" s="22">
        <v>0.60572499999999996</v>
      </c>
      <c r="AS257" s="22">
        <v>0.67996666666666705</v>
      </c>
      <c r="AT257" s="22">
        <v>0.72365833333333296</v>
      </c>
      <c r="AU257" s="22">
        <v>1.1609499999999999</v>
      </c>
      <c r="AV257" s="22">
        <v>1.6069583333333299</v>
      </c>
      <c r="AW257" s="22">
        <v>1.89133333333333</v>
      </c>
      <c r="AX257" s="22">
        <v>2.08975</v>
      </c>
      <c r="AY257" s="22">
        <v>2.1469999999999998</v>
      </c>
      <c r="AZ257" s="22">
        <v>2.1469999999999998</v>
      </c>
      <c r="BA257" s="22">
        <v>2.1469999999999998</v>
      </c>
      <c r="BB257" s="22">
        <v>2.1469999999999998</v>
      </c>
      <c r="BC257" s="22">
        <v>2.5820603174603201</v>
      </c>
      <c r="BD257" s="22">
        <v>4.2892999999999999</v>
      </c>
      <c r="BE257" s="22">
        <v>4.2892999999999999</v>
      </c>
      <c r="BF257" s="22">
        <v>6.0479618416666696</v>
      </c>
      <c r="BG257" s="22">
        <v>6.2842000000000002</v>
      </c>
      <c r="BH257" s="22">
        <v>6.2842000000000002</v>
      </c>
      <c r="BI257" s="22">
        <v>9.2573444444416708</v>
      </c>
      <c r="BJ257" s="22">
        <v>9.9749999999999996</v>
      </c>
    </row>
    <row r="258" spans="1:64">
      <c r="A258" s="22" t="s">
        <v>10697</v>
      </c>
      <c r="B258" s="22" t="s">
        <v>11570</v>
      </c>
      <c r="C258" s="22" t="s">
        <v>11241</v>
      </c>
      <c r="D258" s="22" t="s">
        <v>11242</v>
      </c>
    </row>
    <row r="259" spans="1:64">
      <c r="A259" s="22" t="s">
        <v>11571</v>
      </c>
      <c r="B259" s="22" t="s">
        <v>11572</v>
      </c>
      <c r="C259" s="22" t="s">
        <v>11241</v>
      </c>
      <c r="D259" s="22" t="s">
        <v>11242</v>
      </c>
    </row>
    <row r="260" spans="1:64">
      <c r="A260" s="22" t="s">
        <v>5844</v>
      </c>
      <c r="B260" s="22" t="s">
        <v>11573</v>
      </c>
      <c r="C260" s="22" t="s">
        <v>11241</v>
      </c>
      <c r="D260" s="22" t="s">
        <v>11242</v>
      </c>
      <c r="AB260" s="22">
        <v>1.0017709226849301</v>
      </c>
      <c r="AE260" s="22">
        <v>22.936728260869501</v>
      </c>
      <c r="AF260" s="22">
        <v>78.953315724637505</v>
      </c>
      <c r="AG260" s="22">
        <v>611.64608695652203</v>
      </c>
      <c r="AH260" s="22">
        <v>4501.6865290896703</v>
      </c>
      <c r="AI260" s="22">
        <v>6537.6046856884004</v>
      </c>
      <c r="AJ260" s="22">
        <v>10121.8932306763</v>
      </c>
      <c r="AK260" s="22">
        <v>11202.1916666667</v>
      </c>
      <c r="AL260" s="22">
        <v>10640.958333333299</v>
      </c>
      <c r="AM260" s="22">
        <v>10965.666666666701</v>
      </c>
      <c r="AN260" s="22">
        <v>11038.25</v>
      </c>
      <c r="AO260" s="22">
        <v>11032.583333333299</v>
      </c>
      <c r="AP260" s="22">
        <v>11683.333333333299</v>
      </c>
      <c r="AQ260" s="22">
        <v>13268</v>
      </c>
      <c r="AR260" s="22">
        <v>13943.166666666701</v>
      </c>
      <c r="AS260" s="22">
        <v>14167.75</v>
      </c>
      <c r="AT260" s="22">
        <v>14725.166666666701</v>
      </c>
      <c r="AU260" s="22">
        <v>15279.5</v>
      </c>
      <c r="AV260" s="22">
        <v>15509.583333333299</v>
      </c>
      <c r="AW260" s="22">
        <v>15746</v>
      </c>
      <c r="AX260" s="22">
        <v>15858.916666666701</v>
      </c>
      <c r="AY260" s="22">
        <v>15994.25</v>
      </c>
      <c r="AZ260" s="22">
        <v>16105.125</v>
      </c>
      <c r="BA260" s="22">
        <v>16302.25</v>
      </c>
      <c r="BB260" s="22">
        <v>17065.083333333299</v>
      </c>
      <c r="BC260" s="22">
        <v>18612.916666666701</v>
      </c>
      <c r="BD260" s="22">
        <v>20509.75</v>
      </c>
      <c r="BE260" s="22">
        <v>20828</v>
      </c>
      <c r="BF260" s="22">
        <v>20933.416666666701</v>
      </c>
      <c r="BG260" s="22">
        <v>21148</v>
      </c>
      <c r="BH260" s="22">
        <v>21697.567500000001</v>
      </c>
      <c r="BI260" s="22">
        <v>21935.000833333299</v>
      </c>
      <c r="BJ260" s="22">
        <v>22370.086666666699</v>
      </c>
      <c r="BK260" s="22">
        <v>22602.05</v>
      </c>
      <c r="BL260" s="22">
        <v>23050.241666666701</v>
      </c>
    </row>
    <row r="261" spans="1:64">
      <c r="A261" s="22" t="s">
        <v>10943</v>
      </c>
      <c r="B261" s="22" t="s">
        <v>11574</v>
      </c>
      <c r="C261" s="22" t="s">
        <v>11241</v>
      </c>
      <c r="D261" s="22" t="s">
        <v>11242</v>
      </c>
      <c r="E261" s="22">
        <v>89.765000088765007</v>
      </c>
      <c r="F261" s="22">
        <v>89.765000088765007</v>
      </c>
      <c r="G261" s="22">
        <v>89.765000088765007</v>
      </c>
      <c r="H261" s="22">
        <v>89.765000088765007</v>
      </c>
      <c r="I261" s="22">
        <v>89.765000088765007</v>
      </c>
      <c r="J261" s="22">
        <v>89.765000088765007</v>
      </c>
      <c r="K261" s="22">
        <v>89.765000088765007</v>
      </c>
      <c r="L261" s="22">
        <v>89.765000088765007</v>
      </c>
      <c r="M261" s="22">
        <v>89.765000088765007</v>
      </c>
      <c r="N261" s="22">
        <v>94.440000093440005</v>
      </c>
      <c r="O261" s="22">
        <v>100.985000099985</v>
      </c>
      <c r="P261" s="22">
        <v>100.689451223571</v>
      </c>
      <c r="Q261" s="22">
        <v>81.610909090916707</v>
      </c>
      <c r="R261" s="22">
        <v>72.044713804750003</v>
      </c>
      <c r="S261" s="22">
        <v>77.803232323333305</v>
      </c>
      <c r="T261" s="22">
        <v>69.272592592666697</v>
      </c>
      <c r="U261" s="22">
        <v>77.236228956166698</v>
      </c>
      <c r="V261" s="22">
        <v>79.411313131166693</v>
      </c>
      <c r="W261" s="22">
        <v>72.938989898916702</v>
      </c>
      <c r="X261" s="22">
        <v>68.7582491583333</v>
      </c>
      <c r="Y261" s="22">
        <v>68.292121212166705</v>
      </c>
      <c r="Z261" s="22">
        <v>87.825925925749999</v>
      </c>
      <c r="AA261" s="22">
        <v>96.207499999416697</v>
      </c>
      <c r="AB261" s="22">
        <v>99.367661994000002</v>
      </c>
      <c r="AC261" s="22">
        <v>99.2333333325833</v>
      </c>
      <c r="AD261" s="22">
        <v>106.03166666600001</v>
      </c>
      <c r="AE261" s="22">
        <v>106.075833332917</v>
      </c>
      <c r="AF261" s="22">
        <v>109.849166666667</v>
      </c>
      <c r="AG261" s="22">
        <v>104.425833333333</v>
      </c>
      <c r="AH261" s="22">
        <v>116.041666666667</v>
      </c>
      <c r="AI261" s="22">
        <v>117.06125</v>
      </c>
      <c r="AJ261" s="22">
        <v>111.675</v>
      </c>
      <c r="AK261" s="22">
        <v>113.39166666666701</v>
      </c>
      <c r="AL261" s="22">
        <v>121.580833333333</v>
      </c>
      <c r="AM261" s="22">
        <v>116.405</v>
      </c>
      <c r="AN261" s="22">
        <v>112.11166666666701</v>
      </c>
      <c r="AO261" s="22">
        <v>111.71916666666699</v>
      </c>
      <c r="AP261" s="22">
        <v>115.87333333333299</v>
      </c>
      <c r="AQ261" s="22">
        <v>127.5175</v>
      </c>
      <c r="AR261" s="22">
        <v>129.07499999999999</v>
      </c>
      <c r="AS261" s="22">
        <v>137.643333333333</v>
      </c>
      <c r="AT261" s="22">
        <v>145.3125</v>
      </c>
      <c r="AU261" s="22">
        <v>139.19833333333301</v>
      </c>
      <c r="AV261" s="22">
        <v>122.18916666666701</v>
      </c>
      <c r="AW261" s="22">
        <v>111.79</v>
      </c>
      <c r="AX261" s="22">
        <v>109.245833333333</v>
      </c>
      <c r="AY261" s="22">
        <v>110.64083333333301</v>
      </c>
      <c r="AZ261" s="22">
        <v>102.4375</v>
      </c>
      <c r="BA261" s="22">
        <v>101.334166666667</v>
      </c>
      <c r="BB261" s="22">
        <v>106.740833333333</v>
      </c>
      <c r="BC261" s="22">
        <v>96.905833333333305</v>
      </c>
      <c r="BD261" s="22">
        <v>89.469166666666695</v>
      </c>
      <c r="BE261" s="22">
        <v>92.637500000000003</v>
      </c>
      <c r="BF261" s="22">
        <v>94.542500000000004</v>
      </c>
      <c r="BG261" s="22">
        <v>97.071666666666701</v>
      </c>
      <c r="BH261" s="22">
        <v>108.989166666667</v>
      </c>
      <c r="BI261" s="22">
        <v>108.47499999999999</v>
      </c>
      <c r="BJ261" s="22">
        <v>107.820833333333</v>
      </c>
      <c r="BK261" s="22">
        <v>110.168333333333</v>
      </c>
      <c r="BL261" s="22">
        <v>114.253333333333</v>
      </c>
    </row>
    <row r="262" spans="1:64">
      <c r="A262" s="22" t="s">
        <v>11575</v>
      </c>
      <c r="B262" s="22" t="s">
        <v>11576</v>
      </c>
      <c r="C262" s="22" t="s">
        <v>11241</v>
      </c>
      <c r="D262" s="22" t="s">
        <v>11242</v>
      </c>
    </row>
    <row r="263" spans="1:64">
      <c r="A263" s="22" t="s">
        <v>10906</v>
      </c>
      <c r="B263" s="22" t="s">
        <v>11577</v>
      </c>
      <c r="C263" s="22" t="s">
        <v>11241</v>
      </c>
      <c r="D263" s="22" t="s">
        <v>11242</v>
      </c>
      <c r="E263" s="22">
        <v>0.71428999971428997</v>
      </c>
      <c r="F263" s="22">
        <v>0.71551499971551502</v>
      </c>
      <c r="G263" s="22">
        <v>0.71918999971918995</v>
      </c>
      <c r="H263" s="22">
        <v>0.71918999971918995</v>
      </c>
      <c r="I263" s="22">
        <v>0.71918999971918995</v>
      </c>
      <c r="J263" s="22">
        <v>0.71918999971918995</v>
      </c>
      <c r="K263" s="22">
        <v>0.71918999971918995</v>
      </c>
      <c r="L263" s="22">
        <v>0.71950333305283698</v>
      </c>
      <c r="M263" s="22">
        <v>0.72106999972107</v>
      </c>
      <c r="N263" s="22">
        <v>0.72106999972107</v>
      </c>
      <c r="O263" s="22">
        <v>0.72106999972107</v>
      </c>
      <c r="P263" s="22">
        <v>0.71895973437828298</v>
      </c>
      <c r="Q263" s="22">
        <v>0.67542999999999997</v>
      </c>
      <c r="R263" s="22">
        <v>0.61495250000000001</v>
      </c>
      <c r="S263" s="22">
        <v>0.60658000000000001</v>
      </c>
      <c r="T263" s="22">
        <v>0.63278858316666697</v>
      </c>
      <c r="U263" s="22">
        <v>0.79536549899999998</v>
      </c>
      <c r="V263" s="22">
        <v>0.78607749900000001</v>
      </c>
      <c r="W263" s="22">
        <v>0.73633283233333302</v>
      </c>
      <c r="X263" s="22">
        <v>0.82615833233333302</v>
      </c>
      <c r="Y263" s="22">
        <v>0.91930666566666697</v>
      </c>
      <c r="Z263" s="22">
        <v>1.0340849990833301</v>
      </c>
      <c r="AA263" s="22">
        <v>1.2073324990833301</v>
      </c>
      <c r="AB263" s="22">
        <v>1.54913083308333</v>
      </c>
      <c r="AC263" s="22">
        <v>1.86230583283333</v>
      </c>
      <c r="AD263" s="22">
        <v>2.2452733330833299</v>
      </c>
      <c r="AE263" s="22">
        <v>2.2357599999166702</v>
      </c>
      <c r="AF263" s="22">
        <v>2.12174833333333</v>
      </c>
      <c r="AG263" s="22">
        <v>2.08043666666667</v>
      </c>
      <c r="AH263" s="22">
        <v>2.2701916666666699</v>
      </c>
      <c r="AI263" s="22">
        <v>2.30985166666667</v>
      </c>
      <c r="AJ263" s="22">
        <v>2.3996223333333302</v>
      </c>
      <c r="AK263" s="22">
        <v>2.46630833333333</v>
      </c>
      <c r="AL263" s="22">
        <v>2.56860341666667</v>
      </c>
      <c r="AM263" s="22">
        <v>2.5350371666666698</v>
      </c>
      <c r="AN263" s="22">
        <v>2.4734041666666702</v>
      </c>
      <c r="AO263" s="22">
        <v>2.4621729166666699</v>
      </c>
      <c r="AP263" s="22">
        <v>2.5593716666666699</v>
      </c>
      <c r="AQ263" s="22">
        <v>2.9476868333333299</v>
      </c>
      <c r="AR263" s="22">
        <v>3.0131519999999998</v>
      </c>
      <c r="AS263" s="22">
        <v>3.2863615249999998</v>
      </c>
      <c r="AT263" s="22">
        <v>3.4780400715000002</v>
      </c>
      <c r="AU263" s="22">
        <v>3.3762581025</v>
      </c>
      <c r="AV263" s="22">
        <v>2.9732376583333302</v>
      </c>
      <c r="AW263" s="22">
        <v>2.7807234306666699</v>
      </c>
      <c r="AX263" s="22">
        <v>2.71033673441667</v>
      </c>
      <c r="AY263" s="22">
        <v>2.7792940446967198</v>
      </c>
      <c r="AZ263" s="22">
        <v>2.6165724724799602</v>
      </c>
      <c r="BA263" s="22">
        <v>2.64417628032353</v>
      </c>
      <c r="BB263" s="22">
        <v>2.7307785095373101</v>
      </c>
      <c r="BC263" s="22">
        <v>2.4846565845233801</v>
      </c>
      <c r="BD263" s="22">
        <v>2.3174720118126002</v>
      </c>
      <c r="BE263" s="22">
        <v>2.29231194992329</v>
      </c>
      <c r="BF263" s="22">
        <v>2.3109000348257598</v>
      </c>
      <c r="BG263" s="22">
        <v>2.3317688461830799</v>
      </c>
      <c r="BH263" s="22">
        <v>2.5608736880983001</v>
      </c>
      <c r="BI263" s="22">
        <v>2.56492967258212</v>
      </c>
      <c r="BJ263" s="22">
        <v>2.5543771164103699</v>
      </c>
      <c r="BK263" s="22">
        <v>2.5872799505726101</v>
      </c>
      <c r="BL263" s="22">
        <v>2.6488263218660499</v>
      </c>
    </row>
    <row r="264" spans="1:64">
      <c r="A264" s="22" t="s">
        <v>10837</v>
      </c>
      <c r="B264" s="22" t="s">
        <v>11578</v>
      </c>
      <c r="C264" s="22" t="s">
        <v>11241</v>
      </c>
      <c r="D264" s="22" t="s">
        <v>11242</v>
      </c>
      <c r="AU264" s="22">
        <v>1.0575589962396501</v>
      </c>
      <c r="AV264" s="22">
        <v>0.88404792718496095</v>
      </c>
      <c r="AW264" s="22">
        <v>0.80392164774760499</v>
      </c>
      <c r="AX264" s="22">
        <v>0.80380019216141596</v>
      </c>
      <c r="AY264" s="22">
        <v>0.79643273094909595</v>
      </c>
      <c r="AZ264" s="22">
        <v>0.72967239998408795</v>
      </c>
      <c r="BA264" s="22">
        <v>0.67992268004272904</v>
      </c>
      <c r="BB264" s="22">
        <v>0.71695770201613596</v>
      </c>
      <c r="BC264" s="22">
        <v>0.75430899010597896</v>
      </c>
      <c r="BD264" s="22">
        <v>0.71841389865332195</v>
      </c>
      <c r="BE264" s="22">
        <v>0.77833812041681205</v>
      </c>
      <c r="BF264" s="22">
        <v>0.75294512270200198</v>
      </c>
      <c r="BG264" s="22">
        <v>0.75272819693259096</v>
      </c>
      <c r="BH264" s="22">
        <v>0.90129642336709603</v>
      </c>
      <c r="BI264" s="22">
        <v>0.90342143625728799</v>
      </c>
      <c r="BJ264" s="22">
        <v>0.88520550826938005</v>
      </c>
      <c r="BK264" s="22">
        <v>0.84677266710809596</v>
      </c>
      <c r="BL264" s="22">
        <v>0.89321558147922597</v>
      </c>
    </row>
    <row r="265" spans="1:64">
      <c r="A265" s="22" t="s">
        <v>11579</v>
      </c>
      <c r="B265" s="22" t="s">
        <v>11580</v>
      </c>
      <c r="C265" s="22" t="s">
        <v>11241</v>
      </c>
      <c r="D265" s="22" t="s">
        <v>11242</v>
      </c>
      <c r="AI265" s="22">
        <v>12.0100611997629</v>
      </c>
      <c r="AJ265" s="22">
        <v>12.0100001707085</v>
      </c>
      <c r="AK265" s="22">
        <v>12.0100001707085</v>
      </c>
      <c r="AL265" s="22">
        <v>12.0100001707085</v>
      </c>
      <c r="AM265" s="22">
        <v>12.0100001707085</v>
      </c>
      <c r="AN265" s="22">
        <v>40.839166758134901</v>
      </c>
      <c r="AO265" s="22">
        <v>94.156666716535199</v>
      </c>
      <c r="AP265" s="22">
        <v>129.28083333333299</v>
      </c>
      <c r="AQ265" s="22">
        <v>135.881666666667</v>
      </c>
      <c r="AR265" s="22">
        <v>155.71833333333299</v>
      </c>
      <c r="AS265" s="22">
        <v>161.71833333333299</v>
      </c>
      <c r="AT265" s="22">
        <v>168.67166666666699</v>
      </c>
      <c r="AU265" s="22">
        <v>175.625</v>
      </c>
      <c r="AV265" s="22">
        <v>183.44833333333301</v>
      </c>
      <c r="AW265" s="22">
        <v>184.775833333333</v>
      </c>
      <c r="AX265" s="22">
        <v>191.509166666667</v>
      </c>
      <c r="AY265" s="22">
        <v>197.04916666666699</v>
      </c>
      <c r="AZ265" s="22">
        <v>198.95333333333301</v>
      </c>
      <c r="BA265" s="22">
        <v>199.76416666666699</v>
      </c>
      <c r="BB265" s="22">
        <v>202.84666666666701</v>
      </c>
      <c r="BC265" s="22">
        <v>219.59</v>
      </c>
      <c r="BD265" s="22">
        <v>213.8</v>
      </c>
      <c r="BE265" s="22">
        <v>214.35083333333301</v>
      </c>
      <c r="BF265" s="22">
        <v>214.89</v>
      </c>
      <c r="BG265" s="22">
        <v>214.89</v>
      </c>
      <c r="BH265" s="22">
        <v>214.89</v>
      </c>
      <c r="BI265" s="22">
        <v>241.26968253968201</v>
      </c>
      <c r="BJ265" s="22">
        <v>250.25</v>
      </c>
      <c r="BK265" s="22">
        <v>250.25</v>
      </c>
      <c r="BL265" s="22">
        <v>250.25</v>
      </c>
    </row>
    <row r="266" spans="1:64">
      <c r="A266" s="22" t="s">
        <v>6297</v>
      </c>
      <c r="B266" s="22" t="s">
        <v>11581</v>
      </c>
      <c r="C266" s="22" t="s">
        <v>11241</v>
      </c>
      <c r="D266" s="22" t="s">
        <v>11242</v>
      </c>
      <c r="E266" s="22">
        <v>0.71428599971428597</v>
      </c>
      <c r="F266" s="22">
        <v>0.71428599971428597</v>
      </c>
      <c r="G266" s="22">
        <v>0.71428599971428597</v>
      </c>
      <c r="H266" s="22">
        <v>0.71428599971428597</v>
      </c>
      <c r="I266" s="22">
        <v>0.71428599971428597</v>
      </c>
      <c r="J266" s="22">
        <v>0.71428599971428597</v>
      </c>
      <c r="K266" s="22">
        <v>0.71428599971428597</v>
      </c>
      <c r="L266" s="22">
        <v>0.71428599971428597</v>
      </c>
      <c r="M266" s="22">
        <v>0.71428599971428597</v>
      </c>
      <c r="N266" s="22">
        <v>0.71428599971428597</v>
      </c>
      <c r="O266" s="22">
        <v>0.71428599971428597</v>
      </c>
      <c r="P266" s="22">
        <v>0.71521691632142903</v>
      </c>
      <c r="Q266" s="22">
        <v>0.76872523719602703</v>
      </c>
      <c r="R266" s="22">
        <v>0.69395909802109201</v>
      </c>
      <c r="S266" s="22">
        <v>0.67947700357025098</v>
      </c>
      <c r="T266" s="22">
        <v>0.73950775529633594</v>
      </c>
      <c r="U266" s="22">
        <v>0.86956521814744803</v>
      </c>
      <c r="V266" s="22">
        <v>0.86956521814744803</v>
      </c>
      <c r="W266" s="22">
        <v>0.86956521814744803</v>
      </c>
      <c r="X266" s="22">
        <v>0.84202260193494305</v>
      </c>
      <c r="Y266" s="22">
        <v>0.77883373727604099</v>
      </c>
      <c r="Z266" s="22">
        <v>0.87757894275815396</v>
      </c>
      <c r="AA266" s="22">
        <v>1.0858158330833301</v>
      </c>
      <c r="AB266" s="22">
        <v>1.1140999997500001</v>
      </c>
      <c r="AC266" s="22">
        <v>1.47527749975</v>
      </c>
      <c r="AD266" s="22">
        <v>2.2286749994166701</v>
      </c>
      <c r="AE266" s="22">
        <v>2.2850316664166699</v>
      </c>
      <c r="AF266" s="22">
        <v>2.03603333333333</v>
      </c>
      <c r="AG266" s="22">
        <v>2.2734675000000002</v>
      </c>
      <c r="AH266" s="22">
        <v>2.6226775</v>
      </c>
      <c r="AI266" s="22">
        <v>2.58732083333333</v>
      </c>
      <c r="AJ266" s="22">
        <v>2.7613150000000002</v>
      </c>
      <c r="AK266" s="22">
        <v>2.8520141666666698</v>
      </c>
      <c r="AL266" s="22">
        <v>3.2677415833333301</v>
      </c>
      <c r="AM266" s="22">
        <v>3.5507983333333302</v>
      </c>
      <c r="AN266" s="22">
        <v>3.6270850000000001</v>
      </c>
      <c r="AO266" s="22">
        <v>4.2993491666666701</v>
      </c>
      <c r="AP266" s="22">
        <v>4.6079616666666698</v>
      </c>
      <c r="AQ266" s="22">
        <v>5.52828416666667</v>
      </c>
      <c r="AR266" s="22">
        <v>6.1094841666666699</v>
      </c>
      <c r="AS266" s="22">
        <v>6.9398283333333302</v>
      </c>
      <c r="AT266" s="22">
        <v>8.6091808333333297</v>
      </c>
      <c r="AU266" s="22">
        <v>10.540746666666699</v>
      </c>
      <c r="AV266" s="22">
        <v>7.5647491666666697</v>
      </c>
      <c r="AW266" s="22">
        <v>6.4596925000000001</v>
      </c>
      <c r="AX266" s="22">
        <v>6.3593283333333304</v>
      </c>
      <c r="AY266" s="22">
        <v>6.7715491666666701</v>
      </c>
      <c r="AZ266" s="22">
        <v>7.0453650000000003</v>
      </c>
      <c r="BA266" s="22">
        <v>8.26122333333333</v>
      </c>
      <c r="BB266" s="22">
        <v>8.4736741582488797</v>
      </c>
      <c r="BC266" s="22">
        <v>7.3212219611528804</v>
      </c>
      <c r="BD266" s="22">
        <v>7.2611321323273499</v>
      </c>
      <c r="BE266" s="22">
        <v>8.2099686265933105</v>
      </c>
      <c r="BF266" s="22">
        <v>9.6550560691352594</v>
      </c>
      <c r="BG266" s="22">
        <v>10.852655568783099</v>
      </c>
      <c r="BH266" s="22">
        <v>12.7589308811644</v>
      </c>
      <c r="BI266" s="22">
        <v>14.7096108855267</v>
      </c>
      <c r="BJ266" s="22">
        <v>13.3238014244992</v>
      </c>
      <c r="BK266" s="22">
        <v>13.233926471583301</v>
      </c>
      <c r="BL266" s="22">
        <v>14.448427054833299</v>
      </c>
    </row>
    <row r="267" spans="1:64">
      <c r="A267" s="22" t="s">
        <v>10950</v>
      </c>
      <c r="B267" s="22" t="s">
        <v>11582</v>
      </c>
      <c r="C267" s="22" t="s">
        <v>11241</v>
      </c>
      <c r="D267" s="22" t="s">
        <v>11242</v>
      </c>
      <c r="E267" s="22">
        <v>0.71428599971428597</v>
      </c>
      <c r="F267" s="22">
        <v>0.71428599971428597</v>
      </c>
      <c r="G267" s="22">
        <v>0.71428599971428597</v>
      </c>
      <c r="H267" s="22">
        <v>0.71428599971428597</v>
      </c>
      <c r="I267" s="22">
        <v>0.71428599971428597</v>
      </c>
      <c r="J267" s="22">
        <v>0.71428599971428597</v>
      </c>
      <c r="K267" s="22">
        <v>0.71428599971428597</v>
      </c>
      <c r="L267" s="22">
        <v>0.71428599971428597</v>
      </c>
      <c r="M267" s="22">
        <v>0.71428599971428597</v>
      </c>
      <c r="N267" s="22">
        <v>0.71428599971428597</v>
      </c>
      <c r="O267" s="22">
        <v>0.71428599971428597</v>
      </c>
      <c r="P267" s="22">
        <v>0.71428599887889399</v>
      </c>
      <c r="Q267" s="22">
        <v>7.1431749899999997E-4</v>
      </c>
      <c r="R267" s="22">
        <v>6.5239666566666704E-4</v>
      </c>
      <c r="S267" s="22">
        <v>6.43459999E-4</v>
      </c>
      <c r="T267" s="22">
        <v>6.4322999949999995E-4</v>
      </c>
      <c r="U267" s="22">
        <v>7.0098383316666703E-4</v>
      </c>
      <c r="V267" s="22">
        <v>7.89727832416667E-4</v>
      </c>
      <c r="W267" s="22">
        <v>8.0066666666666697E-4</v>
      </c>
      <c r="X267" s="22">
        <v>7.9333333333333296E-4</v>
      </c>
      <c r="Y267" s="22">
        <v>7.8866666666666701E-4</v>
      </c>
      <c r="Z267" s="22">
        <v>8.6958333333333299E-4</v>
      </c>
      <c r="AA267" s="22">
        <v>9.2875E-4</v>
      </c>
      <c r="AB267" s="22">
        <v>1.2589999999999999E-3</v>
      </c>
      <c r="AC267" s="22">
        <v>1.8131883327499999E-3</v>
      </c>
      <c r="AD267" s="22">
        <v>3.1396416662499999E-3</v>
      </c>
      <c r="AE267" s="22">
        <v>7.7884491665833298E-3</v>
      </c>
      <c r="AF267" s="22">
        <v>9.5194749999999995E-3</v>
      </c>
      <c r="AG267" s="22">
        <v>8.2660249999999998E-3</v>
      </c>
      <c r="AH267" s="22">
        <v>1.3813695833333301E-2</v>
      </c>
      <c r="AI267" s="22">
        <v>3.0289108333333301E-2</v>
      </c>
      <c r="AJ267" s="22">
        <v>6.4639708333333296E-2</v>
      </c>
      <c r="AK267" s="22">
        <v>0.17221378333333301</v>
      </c>
      <c r="AL267" s="22">
        <v>0.45276266666666698</v>
      </c>
      <c r="AM267" s="22">
        <v>0.66937062166666705</v>
      </c>
      <c r="AN267" s="22">
        <v>0.86411916666666699</v>
      </c>
      <c r="AO267" s="22">
        <v>1.2079</v>
      </c>
      <c r="AP267" s="22">
        <v>1.3144975000000001</v>
      </c>
      <c r="AQ267" s="22">
        <v>1.86206916666667</v>
      </c>
      <c r="AR267" s="22">
        <v>2.3880191666666701</v>
      </c>
      <c r="AS267" s="22">
        <v>3.11084416666667</v>
      </c>
      <c r="AT267" s="22">
        <v>3.610935</v>
      </c>
      <c r="AU267" s="22">
        <v>4.3985950000000003</v>
      </c>
      <c r="AV267" s="22">
        <v>4.7332710464987198</v>
      </c>
      <c r="AW267" s="22">
        <v>4.7788753864357902</v>
      </c>
      <c r="AX267" s="22">
        <v>4.4649999999999999</v>
      </c>
      <c r="AY267" s="22">
        <v>3.6016666666666701</v>
      </c>
      <c r="AZ267" s="22">
        <v>4.0016666666666696</v>
      </c>
      <c r="BA267" s="22">
        <v>3.7450000000000001</v>
      </c>
      <c r="BB267" s="22">
        <v>5.0449999999999999</v>
      </c>
      <c r="BC267" s="22">
        <v>4.7975000000000003</v>
      </c>
      <c r="BD267" s="22">
        <v>4.8616666666666699</v>
      </c>
      <c r="BE267" s="22">
        <v>5.1475</v>
      </c>
      <c r="BF267" s="22">
        <v>5.3964833333333297</v>
      </c>
      <c r="BG267" s="22">
        <v>6.1541666666666703</v>
      </c>
      <c r="BH267" s="22">
        <v>8.6316666666666695</v>
      </c>
      <c r="BI267" s="22">
        <v>10.307499999999999</v>
      </c>
      <c r="BJ267" s="22">
        <v>9.5175000000000001</v>
      </c>
      <c r="BK267" s="22">
        <v>10.4583333333333</v>
      </c>
      <c r="BL267" s="22">
        <v>12.89</v>
      </c>
    </row>
    <row r="268" spans="1:64">
      <c r="A268" s="22" t="s">
        <v>10429</v>
      </c>
      <c r="B268" s="22" t="s">
        <v>11583</v>
      </c>
      <c r="C268" s="22" t="s">
        <v>11241</v>
      </c>
      <c r="D268" s="22" t="s">
        <v>11242</v>
      </c>
      <c r="E268" s="22">
        <v>7.1428600071428601E-4</v>
      </c>
      <c r="F268" s="22">
        <v>7.1428600071428601E-4</v>
      </c>
      <c r="G268" s="22">
        <v>7.1428600071428601E-4</v>
      </c>
      <c r="H268" s="22">
        <v>7.1428600071428601E-4</v>
      </c>
      <c r="I268" s="22">
        <v>7.1428600071428601E-4</v>
      </c>
      <c r="J268" s="22">
        <v>7.1428600071428601E-4</v>
      </c>
      <c r="K268" s="22">
        <v>7.1428600071428601E-4</v>
      </c>
      <c r="L268" s="22">
        <v>7.1428600071428601E-4</v>
      </c>
      <c r="M268" s="22">
        <v>7.1428600071428601E-4</v>
      </c>
      <c r="N268" s="22">
        <v>7.1428600071428601E-4</v>
      </c>
      <c r="O268" s="22">
        <v>7.1428600071428601E-4</v>
      </c>
      <c r="P268" s="22">
        <v>7.1219542995242695E-4</v>
      </c>
      <c r="Q268" s="22">
        <v>6.5783174204698505E-4</v>
      </c>
      <c r="R268" s="22">
        <v>5.8571488122451999E-4</v>
      </c>
      <c r="S268" s="22">
        <v>5.8357882281972399E-4</v>
      </c>
      <c r="T268" s="22">
        <v>5.7076428281416605E-4</v>
      </c>
      <c r="U268" s="22">
        <v>6.2607704338503499E-4</v>
      </c>
      <c r="V268" s="22">
        <v>6.2906376559987204E-4</v>
      </c>
      <c r="W268" s="22">
        <v>6.7482402076295101E-4</v>
      </c>
      <c r="X268" s="22">
        <v>6.8049712441124505E-4</v>
      </c>
      <c r="Y268" s="22">
        <v>6.4529051059388995E-4</v>
      </c>
      <c r="Z268" s="22">
        <v>6.9097568056162499E-4</v>
      </c>
      <c r="AA268" s="22">
        <v>7.5994560388581401E-4</v>
      </c>
      <c r="AB268" s="22">
        <v>1.01423413220455E-3</v>
      </c>
      <c r="AC268" s="22">
        <v>1.25893678408442E-3</v>
      </c>
      <c r="AD268" s="22">
        <v>1.6155163771118799E-3</v>
      </c>
      <c r="AE268" s="22">
        <v>1.6684764684788899E-3</v>
      </c>
      <c r="AF268" s="22">
        <v>1.6634624460731601E-3</v>
      </c>
      <c r="AG268" s="22">
        <v>1.80773447752897E-3</v>
      </c>
      <c r="AH268" s="22">
        <v>2.12134031008689E-3</v>
      </c>
      <c r="AI268" s="22">
        <v>2.45451835023142E-3</v>
      </c>
      <c r="AJ268" s="22">
        <v>3.6254886572367698E-3</v>
      </c>
      <c r="AK268" s="22">
        <v>5.1042665511594996E-3</v>
      </c>
      <c r="AL268" s="22">
        <v>6.4904940995879198E-3</v>
      </c>
      <c r="AM268" s="22">
        <v>8.1607990595128806E-3</v>
      </c>
      <c r="AN268" s="22">
        <v>8.6752193293132395E-3</v>
      </c>
      <c r="AO268" s="22">
        <v>1.00137132167889E-2</v>
      </c>
      <c r="AP268" s="22">
        <v>1.21250465891802E-2</v>
      </c>
      <c r="AQ268" s="22">
        <v>2.3706012838122799E-2</v>
      </c>
      <c r="AR268" s="22">
        <v>3.8344710205420497E-2</v>
      </c>
      <c r="AS268" s="22">
        <v>4.4468376417429997E-2</v>
      </c>
      <c r="AT268" s="22">
        <v>5.5114659712586597E-2</v>
      </c>
      <c r="AU268" s="22">
        <v>5.5098290581033799E-2</v>
      </c>
      <c r="AV268" s="22">
        <v>0.69821607130572305</v>
      </c>
      <c r="AW268" s="22">
        <v>5.0744194146319499</v>
      </c>
      <c r="BC268" s="220">
        <f>$AW$268</f>
        <v>5.0744194146319499</v>
      </c>
      <c r="BD268" s="220">
        <f t="shared" ref="BD268:BL268" si="0">$AW$268</f>
        <v>5.0744194146319499</v>
      </c>
      <c r="BE268" s="220">
        <f t="shared" si="0"/>
        <v>5.0744194146319499</v>
      </c>
      <c r="BF268" s="220">
        <f t="shared" si="0"/>
        <v>5.0744194146319499</v>
      </c>
      <c r="BG268" s="220">
        <f t="shared" si="0"/>
        <v>5.0744194146319499</v>
      </c>
      <c r="BH268" s="220">
        <f t="shared" si="0"/>
        <v>5.0744194146319499</v>
      </c>
      <c r="BI268" s="220">
        <f t="shared" si="0"/>
        <v>5.0744194146319499</v>
      </c>
      <c r="BJ268" s="220">
        <f t="shared" si="0"/>
        <v>5.0744194146319499</v>
      </c>
      <c r="BK268" s="220">
        <f t="shared" si="0"/>
        <v>5.0744194146319499</v>
      </c>
      <c r="BL268" s="220">
        <f t="shared" si="0"/>
        <v>5.0744194146319499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FF08F3-2096-4A78-BCF0-C1B1B031E1C7}">
  <sheetPr>
    <tabColor theme="4"/>
  </sheetPr>
  <dimension ref="A2:AF717"/>
  <sheetViews>
    <sheetView zoomScale="60" zoomScaleNormal="60" workbookViewId="0">
      <selection activeCell="B40" sqref="B40"/>
    </sheetView>
  </sheetViews>
  <sheetFormatPr defaultColWidth="9.1796875" defaultRowHeight="14.5" outlineLevelRow="1"/>
  <cols>
    <col min="1" max="1" width="9.1796875" style="151"/>
    <col min="2" max="2" width="40" style="151" customWidth="1"/>
    <col min="3" max="3" width="15" style="151" bestFit="1" customWidth="1"/>
    <col min="4" max="5" width="15.26953125" style="151" bestFit="1" customWidth="1"/>
    <col min="6" max="6" width="33.26953125" style="151" customWidth="1"/>
    <col min="7" max="12" width="15.26953125" style="151" bestFit="1" customWidth="1"/>
    <col min="13" max="13" width="16.26953125" style="151" bestFit="1" customWidth="1"/>
    <col min="14" max="14" width="33" style="151" customWidth="1"/>
    <col min="15" max="15" width="9.1796875" style="151"/>
    <col min="16" max="16" width="27.7265625" style="151" bestFit="1" customWidth="1"/>
    <col min="17" max="16384" width="9.1796875" style="151"/>
  </cols>
  <sheetData>
    <row r="2" spans="2:32">
      <c r="B2" s="152"/>
      <c r="C2" s="152"/>
      <c r="D2" s="152"/>
      <c r="E2" s="152"/>
      <c r="F2" s="152"/>
      <c r="G2" s="152"/>
      <c r="H2" s="152"/>
      <c r="I2" s="152"/>
      <c r="J2" s="152"/>
      <c r="K2" s="152"/>
      <c r="L2" s="152"/>
      <c r="M2" s="152"/>
      <c r="N2" s="152"/>
      <c r="O2" s="152"/>
      <c r="P2" s="152"/>
      <c r="Q2" s="152"/>
      <c r="R2" s="152"/>
      <c r="S2" s="152"/>
      <c r="T2" s="152"/>
      <c r="U2" s="152"/>
    </row>
    <row r="3" spans="2:32">
      <c r="B3" s="153" t="s">
        <v>11025</v>
      </c>
      <c r="C3" s="152"/>
      <c r="D3" s="154"/>
      <c r="E3" s="152"/>
      <c r="F3" s="152"/>
      <c r="G3" s="152"/>
      <c r="H3" s="152"/>
      <c r="I3" s="152"/>
      <c r="J3" s="152"/>
      <c r="K3" s="152"/>
      <c r="L3" s="152"/>
      <c r="M3" s="152"/>
      <c r="N3" s="152"/>
      <c r="O3" s="152"/>
      <c r="P3" s="152"/>
      <c r="Q3" s="152"/>
      <c r="R3" s="152"/>
      <c r="S3" s="152"/>
      <c r="T3" s="152"/>
      <c r="U3" s="152"/>
      <c r="AD3" s="22" t="s">
        <v>11140</v>
      </c>
      <c r="AE3" s="22" t="s">
        <v>11141</v>
      </c>
      <c r="AF3" s="22"/>
    </row>
    <row r="4" spans="2:32" outlineLevel="1">
      <c r="B4" s="153" t="s">
        <v>11026</v>
      </c>
      <c r="C4" s="152"/>
      <c r="D4" s="154"/>
      <c r="E4" s="152"/>
      <c r="F4" s="152"/>
      <c r="G4" s="152"/>
      <c r="H4" s="152"/>
      <c r="I4" s="152"/>
      <c r="J4" s="152"/>
      <c r="K4" s="152"/>
      <c r="L4" s="152"/>
      <c r="M4" s="152"/>
      <c r="N4" s="152"/>
      <c r="O4" s="152"/>
      <c r="P4" s="152"/>
      <c r="Q4" s="152"/>
      <c r="R4" s="152"/>
      <c r="S4" s="152"/>
      <c r="T4" s="152"/>
      <c r="U4" s="152"/>
      <c r="AD4" s="22" t="s">
        <v>11142</v>
      </c>
      <c r="AE4" s="22" t="s">
        <v>11143</v>
      </c>
      <c r="AF4" s="22"/>
    </row>
    <row r="5" spans="2:32" outlineLevel="1">
      <c r="B5" s="155" t="s">
        <v>11046</v>
      </c>
      <c r="C5" s="152"/>
      <c r="D5" s="152"/>
      <c r="E5" s="152"/>
      <c r="F5" s="152"/>
      <c r="G5" s="152"/>
      <c r="H5" s="152"/>
      <c r="I5" s="152"/>
      <c r="J5" s="152"/>
      <c r="K5" s="152"/>
      <c r="L5" s="152"/>
      <c r="M5" s="152"/>
      <c r="N5" s="152"/>
      <c r="O5" s="152"/>
      <c r="P5" s="152"/>
      <c r="Q5" s="152"/>
      <c r="R5" s="152"/>
      <c r="S5" s="152"/>
      <c r="T5" s="152"/>
      <c r="U5" s="152"/>
      <c r="W5" s="22" t="s">
        <v>11141</v>
      </c>
      <c r="AD5" s="22" t="s">
        <v>11144</v>
      </c>
      <c r="AE5" s="22"/>
      <c r="AF5" s="22"/>
    </row>
    <row r="6" spans="2:32" outlineLevel="1">
      <c r="B6" s="155" t="s">
        <v>11160</v>
      </c>
      <c r="C6" s="152"/>
      <c r="D6" s="154"/>
      <c r="E6" s="152"/>
      <c r="F6" s="152"/>
      <c r="G6" s="152"/>
      <c r="H6" s="152"/>
      <c r="I6" s="152"/>
      <c r="J6" s="152"/>
      <c r="K6" s="152"/>
      <c r="L6" s="152"/>
      <c r="M6" s="152"/>
      <c r="N6" s="152"/>
      <c r="O6" s="152"/>
      <c r="P6" s="152"/>
      <c r="Q6" s="152"/>
      <c r="R6" s="152"/>
      <c r="S6" s="152"/>
      <c r="T6" s="152"/>
      <c r="U6" s="152"/>
      <c r="W6" s="22" t="s">
        <v>11143</v>
      </c>
    </row>
    <row r="7" spans="2:32" outlineLevel="1">
      <c r="B7" s="156" t="s">
        <v>11161</v>
      </c>
      <c r="C7" s="156"/>
      <c r="D7" s="156"/>
      <c r="E7" s="156"/>
      <c r="F7" s="156"/>
      <c r="G7" s="156"/>
      <c r="H7" s="156"/>
      <c r="I7" s="156"/>
      <c r="J7" s="156"/>
      <c r="K7" s="156"/>
      <c r="L7" s="156"/>
      <c r="M7" s="156"/>
      <c r="N7" s="152"/>
      <c r="O7" s="152"/>
      <c r="P7" s="152"/>
      <c r="Q7" s="152"/>
      <c r="R7" s="152"/>
      <c r="S7" s="152"/>
      <c r="T7" s="152"/>
      <c r="U7" s="152"/>
    </row>
    <row r="8" spans="2:32" outlineLevel="1">
      <c r="B8" s="153"/>
      <c r="C8" s="157"/>
      <c r="D8" s="157"/>
      <c r="E8" s="157"/>
      <c r="F8" s="157"/>
      <c r="G8" s="157"/>
      <c r="H8" s="157"/>
      <c r="I8" s="157"/>
      <c r="J8" s="157"/>
      <c r="K8" s="157"/>
      <c r="L8" s="157"/>
      <c r="M8" s="157"/>
      <c r="N8" s="152"/>
      <c r="O8" s="152"/>
      <c r="P8" s="152"/>
      <c r="Q8" s="152"/>
      <c r="R8" s="152"/>
      <c r="S8" s="152"/>
      <c r="T8" s="152"/>
      <c r="U8" s="152"/>
    </row>
    <row r="9" spans="2:32" outlineLevel="1">
      <c r="B9" s="155"/>
      <c r="C9" s="157"/>
      <c r="D9" s="157"/>
      <c r="E9" s="157"/>
      <c r="F9" s="157"/>
      <c r="G9" s="157"/>
      <c r="H9" s="157"/>
      <c r="I9" s="157"/>
      <c r="J9" s="157"/>
      <c r="K9" s="157"/>
      <c r="L9" s="157"/>
      <c r="M9" s="157"/>
      <c r="N9" s="152"/>
      <c r="O9" s="152"/>
      <c r="P9" s="152"/>
      <c r="Q9" s="152"/>
      <c r="R9" s="152"/>
      <c r="S9" s="152"/>
      <c r="T9" s="152"/>
      <c r="U9" s="152"/>
    </row>
    <row r="10" spans="2:32" outlineLevel="1">
      <c r="C10" s="157"/>
      <c r="D10" s="157"/>
      <c r="E10" s="157"/>
      <c r="F10" s="157"/>
      <c r="G10" s="157"/>
      <c r="H10" s="157"/>
      <c r="I10" s="157"/>
      <c r="J10" s="157"/>
      <c r="K10" s="157"/>
      <c r="L10" s="157"/>
      <c r="M10" s="157"/>
      <c r="N10" s="152"/>
      <c r="O10" s="152"/>
      <c r="P10" s="152"/>
      <c r="Q10" s="152"/>
      <c r="R10" s="152"/>
      <c r="S10" s="152"/>
      <c r="T10" s="152"/>
      <c r="U10" s="152"/>
    </row>
    <row r="11" spans="2:32" outlineLevel="1">
      <c r="B11" s="251"/>
      <c r="C11" s="251"/>
      <c r="D11" s="251"/>
      <c r="E11" s="251"/>
      <c r="F11" s="251"/>
      <c r="G11" s="251"/>
      <c r="H11" s="251"/>
      <c r="I11" s="251"/>
      <c r="J11" s="251"/>
      <c r="K11" s="251"/>
      <c r="L11" s="251"/>
      <c r="M11" s="251"/>
      <c r="N11" s="251"/>
      <c r="O11" s="251"/>
      <c r="P11" s="251"/>
      <c r="Q11" s="152"/>
      <c r="R11" s="152"/>
      <c r="S11" s="152"/>
      <c r="T11" s="152"/>
      <c r="U11" s="152"/>
    </row>
    <row r="12" spans="2:32" outlineLevel="1">
      <c r="B12" s="251"/>
      <c r="C12" s="251"/>
      <c r="D12" s="251"/>
      <c r="E12" s="251"/>
      <c r="F12" s="251"/>
      <c r="G12" s="251"/>
      <c r="H12" s="251"/>
      <c r="I12" s="251"/>
      <c r="J12" s="251"/>
      <c r="K12" s="251"/>
      <c r="L12" s="251"/>
      <c r="M12" s="251"/>
      <c r="N12" s="251"/>
      <c r="O12" s="251"/>
      <c r="P12" s="251"/>
      <c r="Q12" s="152"/>
      <c r="R12" s="152"/>
      <c r="S12" s="152"/>
      <c r="T12" s="152"/>
      <c r="U12" s="152"/>
    </row>
    <row r="13" spans="2:32">
      <c r="B13" s="158" t="s">
        <v>11028</v>
      </c>
      <c r="C13" s="152"/>
      <c r="D13" s="154"/>
      <c r="E13" s="152"/>
      <c r="F13" s="152"/>
      <c r="G13" s="152"/>
      <c r="H13" s="152"/>
      <c r="I13" s="152"/>
      <c r="J13" s="152"/>
      <c r="K13" s="152"/>
      <c r="L13" s="152"/>
      <c r="M13" s="154"/>
      <c r="N13" s="154"/>
      <c r="O13" s="154"/>
      <c r="P13" s="152"/>
      <c r="Q13" s="152"/>
      <c r="R13" s="152"/>
      <c r="S13" s="152"/>
      <c r="T13" s="152"/>
      <c r="U13" s="152"/>
    </row>
    <row r="14" spans="2:32">
      <c r="B14" s="158"/>
      <c r="C14" s="152"/>
      <c r="D14" s="154"/>
      <c r="E14" s="152"/>
      <c r="F14" s="152"/>
      <c r="G14" s="152"/>
      <c r="H14" s="152"/>
      <c r="I14" s="152"/>
      <c r="J14" s="152"/>
      <c r="K14" s="152"/>
      <c r="L14" s="152"/>
      <c r="M14" s="154"/>
      <c r="N14" s="154"/>
      <c r="O14" s="154"/>
      <c r="P14" s="152"/>
      <c r="Q14" s="152"/>
      <c r="R14" s="152"/>
      <c r="S14" s="152"/>
      <c r="T14" s="152"/>
      <c r="U14" s="152"/>
    </row>
    <row r="15" spans="2:32">
      <c r="B15" s="200" t="s">
        <v>11590</v>
      </c>
      <c r="C15" s="22"/>
      <c r="E15" s="152"/>
      <c r="F15" s="152"/>
      <c r="G15" s="152"/>
      <c r="H15" s="152"/>
      <c r="I15" s="152"/>
      <c r="J15" s="152"/>
      <c r="K15" s="152"/>
      <c r="L15" s="152"/>
      <c r="M15" s="154"/>
      <c r="N15" s="154"/>
      <c r="O15" s="154"/>
      <c r="P15" s="152"/>
      <c r="Q15" s="152"/>
      <c r="R15" s="152"/>
      <c r="S15" s="152"/>
      <c r="T15" s="152"/>
      <c r="U15" s="152"/>
    </row>
    <row r="16" spans="2:32">
      <c r="B16" s="209" t="str">
        <f>[1]Dashboard_linked!$C$7</f>
        <v>Constant USD (2010), fixed exch rate</v>
      </c>
      <c r="C16" s="152"/>
      <c r="D16" s="154"/>
      <c r="E16" s="152"/>
      <c r="F16" s="152"/>
      <c r="G16" s="152"/>
      <c r="H16" s="152"/>
      <c r="I16" s="152"/>
      <c r="J16" s="152"/>
      <c r="K16" s="152"/>
      <c r="L16" s="152"/>
      <c r="M16" s="154"/>
      <c r="N16" s="154"/>
      <c r="O16" s="154"/>
      <c r="P16" s="152"/>
      <c r="Q16" s="152"/>
      <c r="R16" s="152"/>
      <c r="S16" s="152"/>
      <c r="T16" s="152"/>
      <c r="U16" s="152"/>
    </row>
    <row r="17" spans="2:27">
      <c r="B17" s="203" t="s">
        <v>11589</v>
      </c>
      <c r="C17" s="152"/>
      <c r="D17" s="154"/>
      <c r="E17" s="152"/>
      <c r="F17" s="152"/>
      <c r="G17" s="152"/>
      <c r="H17" s="152"/>
      <c r="I17" s="152"/>
      <c r="J17" s="152"/>
      <c r="K17" s="152"/>
      <c r="L17" s="152"/>
      <c r="M17" s="154"/>
      <c r="N17" s="154"/>
      <c r="O17" s="154"/>
      <c r="P17" s="152"/>
      <c r="Q17" s="152"/>
      <c r="R17" s="152"/>
      <c r="S17" s="152"/>
      <c r="T17" s="152"/>
      <c r="U17" s="152"/>
    </row>
    <row r="18" spans="2:27">
      <c r="B18" s="159" t="s">
        <v>11048</v>
      </c>
      <c r="C18" s="160"/>
      <c r="D18" s="161"/>
      <c r="E18" s="162"/>
      <c r="F18" s="162"/>
      <c r="G18" s="162"/>
      <c r="H18" s="162"/>
      <c r="I18" s="162"/>
      <c r="J18" s="162"/>
      <c r="K18" s="162"/>
      <c r="L18" s="162"/>
      <c r="M18" s="161"/>
      <c r="N18" s="252" t="s">
        <v>11593</v>
      </c>
      <c r="O18" s="252"/>
      <c r="P18" s="252"/>
      <c r="Q18" s="252"/>
      <c r="R18" s="252"/>
      <c r="S18" s="252"/>
      <c r="T18" s="252"/>
      <c r="U18" s="252"/>
      <c r="V18" s="252"/>
      <c r="W18" s="252"/>
      <c r="X18" s="252"/>
      <c r="Y18" s="252"/>
      <c r="Z18" s="252"/>
      <c r="AA18" s="252"/>
    </row>
    <row r="19" spans="2:27">
      <c r="B19" s="158"/>
      <c r="C19" s="152"/>
      <c r="D19" s="154"/>
      <c r="E19" s="152"/>
      <c r="F19" s="152"/>
      <c r="G19" s="152"/>
      <c r="H19" s="152"/>
      <c r="I19" s="152"/>
      <c r="J19" s="152"/>
      <c r="K19" s="152"/>
      <c r="L19" s="152"/>
      <c r="M19" s="154"/>
      <c r="N19" s="154"/>
      <c r="O19" s="154"/>
      <c r="P19" s="152"/>
      <c r="Q19" s="152"/>
      <c r="R19" s="152"/>
      <c r="S19" s="152"/>
      <c r="T19" s="152"/>
      <c r="U19" s="152"/>
    </row>
    <row r="20" spans="2:27">
      <c r="B20" s="163" t="s">
        <v>11033</v>
      </c>
      <c r="C20" s="163"/>
      <c r="D20" s="163"/>
      <c r="E20" s="163"/>
      <c r="F20" s="163"/>
      <c r="G20" s="163"/>
      <c r="H20" s="163"/>
      <c r="I20" s="163"/>
      <c r="J20" s="163"/>
      <c r="K20" s="163"/>
      <c r="L20" s="163"/>
      <c r="M20" s="163"/>
    </row>
    <row r="21" spans="2:27">
      <c r="B21" s="164" t="s">
        <v>11029</v>
      </c>
      <c r="C21" s="186">
        <v>2010</v>
      </c>
      <c r="D21" s="186">
        <v>2011</v>
      </c>
      <c r="E21" s="186">
        <v>2012</v>
      </c>
      <c r="F21" s="186">
        <v>2013</v>
      </c>
      <c r="G21" s="186">
        <v>2014</v>
      </c>
      <c r="H21" s="186">
        <v>2015</v>
      </c>
      <c r="I21" s="186">
        <v>2016</v>
      </c>
      <c r="J21" s="186">
        <v>2017</v>
      </c>
      <c r="K21" s="186">
        <v>2018</v>
      </c>
      <c r="L21" s="186">
        <v>2019</v>
      </c>
      <c r="M21" s="164" t="s">
        <v>11030</v>
      </c>
      <c r="N21" s="165"/>
    </row>
    <row r="22" spans="2:27">
      <c r="B22" s="165" t="s">
        <v>11034</v>
      </c>
      <c r="C22" s="150">
        <f>'Top-Down estimates'!E46</f>
        <v>1062.1143934849285</v>
      </c>
      <c r="D22" s="150">
        <f>'Top-Down estimates'!F46</f>
        <v>1165.0851658894628</v>
      </c>
      <c r="E22" s="150">
        <f>'Top-Down estimates'!G46</f>
        <v>1080.5398716825562</v>
      </c>
      <c r="F22" s="150">
        <f>'Top-Down estimates'!H46</f>
        <v>998.16876276638311</v>
      </c>
      <c r="G22" s="150">
        <f>'Top-Down estimates'!I46</f>
        <v>1351.3990768355745</v>
      </c>
      <c r="H22" s="150">
        <f>'Top-Down estimates'!J46</f>
        <v>1460.0301951394742</v>
      </c>
      <c r="I22" s="150">
        <f>'Top-Down estimates'!K46</f>
        <v>1339.3257754127419</v>
      </c>
      <c r="J22" s="150">
        <f>'Top-Down estimates'!L46</f>
        <v>1493.420013743041</v>
      </c>
      <c r="K22" s="150">
        <f>'Top-Down estimates'!M46</f>
        <v>1728.1321199540903</v>
      </c>
      <c r="L22" s="150">
        <f>'Top-Down estimates'!N46</f>
        <v>1644.2903436718932</v>
      </c>
      <c r="M22" s="151">
        <f>_xlfn.AGGREGATE(9,6,C22:L22)</f>
        <v>13322.505718580147</v>
      </c>
      <c r="N22" s="101"/>
    </row>
    <row r="23" spans="2:27">
      <c r="B23" s="165" t="s">
        <v>11035</v>
      </c>
      <c r="C23" s="150">
        <f>'Top-Down estimates'!E47</f>
        <v>1287.9939251310448</v>
      </c>
      <c r="D23" s="150">
        <f>'Top-Down estimates'!F47</f>
        <v>1406.61825951116</v>
      </c>
      <c r="E23" s="150">
        <f>'Top-Down estimates'!G47</f>
        <v>1309.745299009159</v>
      </c>
      <c r="F23" s="150">
        <f>'Top-Down estimates'!H47</f>
        <v>1247.7109534579788</v>
      </c>
      <c r="G23" s="150">
        <f>'Top-Down estimates'!I47</f>
        <v>1678.1109415650542</v>
      </c>
      <c r="H23" s="150">
        <f>'Top-Down estimates'!J47</f>
        <v>1803.5667116428799</v>
      </c>
      <c r="I23" s="150">
        <f>'Top-Down estimates'!K47</f>
        <v>1633.9774460035451</v>
      </c>
      <c r="J23" s="150">
        <f>'Top-Down estimates'!L47</f>
        <v>1816.9943500540332</v>
      </c>
      <c r="K23" s="150">
        <f>'Top-Down estimates'!M47</f>
        <v>2044.3915928868648</v>
      </c>
      <c r="L23" s="150">
        <f>'Top-Down estimates'!N47</f>
        <v>1939.0537915625243</v>
      </c>
      <c r="M23" s="151">
        <f>_xlfn.AGGREGATE(9,6,C23:L23)</f>
        <v>16168.163270824243</v>
      </c>
      <c r="N23" s="101"/>
    </row>
    <row r="24" spans="2:27">
      <c r="B24" s="165" t="s">
        <v>11036</v>
      </c>
      <c r="C24" s="150">
        <f>'Top-Down estimates'!E48</f>
        <v>1513.873456777161</v>
      </c>
      <c r="D24" s="150">
        <f>'Top-Down estimates'!F48</f>
        <v>1648.1513531328574</v>
      </c>
      <c r="E24" s="150">
        <f>'Top-Down estimates'!G48</f>
        <v>1538.9507263357618</v>
      </c>
      <c r="F24" s="150">
        <f>'Top-Down estimates'!H48</f>
        <v>1497.2531441495746</v>
      </c>
      <c r="G24" s="150">
        <f>'Top-Down estimates'!I48</f>
        <v>2004.8228062945336</v>
      </c>
      <c r="H24" s="150">
        <f>'Top-Down estimates'!J48</f>
        <v>2147.1032281462853</v>
      </c>
      <c r="I24" s="150">
        <f>'Top-Down estimates'!K48</f>
        <v>1928.6291165943485</v>
      </c>
      <c r="J24" s="150">
        <f>'Top-Down estimates'!L48</f>
        <v>2140.5686863650253</v>
      </c>
      <c r="K24" s="150">
        <f>'Top-Down estimates'!M48</f>
        <v>2360.6510658196394</v>
      </c>
      <c r="L24" s="150">
        <f>'Top-Down estimates'!N48</f>
        <v>2233.8172394531553</v>
      </c>
      <c r="M24" s="151">
        <f>_xlfn.AGGREGATE(9,6,C24:L24)</f>
        <v>19013.820823068341</v>
      </c>
      <c r="N24" s="101"/>
    </row>
    <row r="25" spans="2:27" ht="15" thickBot="1"/>
    <row r="26" spans="2:27" ht="20" thickBot="1">
      <c r="B26" s="248" t="s">
        <v>11034</v>
      </c>
      <c r="C26" s="249"/>
      <c r="D26" s="249"/>
      <c r="E26" s="249"/>
      <c r="F26" s="249"/>
      <c r="G26" s="249"/>
      <c r="H26" s="249"/>
      <c r="I26" s="249"/>
      <c r="J26" s="249"/>
      <c r="K26" s="249"/>
      <c r="L26" s="249"/>
      <c r="M26" s="250"/>
    </row>
    <row r="27" spans="2:27">
      <c r="B27" s="163" t="s">
        <v>10460</v>
      </c>
      <c r="C27" s="163"/>
      <c r="D27" s="163"/>
      <c r="E27" s="163"/>
      <c r="F27" s="163"/>
      <c r="G27" s="163"/>
      <c r="H27" s="163"/>
      <c r="I27" s="163"/>
      <c r="J27" s="163"/>
      <c r="K27" s="163"/>
      <c r="L27" s="163"/>
      <c r="M27" s="163"/>
      <c r="N27" s="165"/>
    </row>
    <row r="28" spans="2:27">
      <c r="B28" s="151" t="s">
        <v>10621</v>
      </c>
      <c r="C28" s="151">
        <f>INDEX('Analysis of bottom-up tags'!$N$10:$W$15,MATCH(Dashboard!$B28,'Analysis of bottom-up tags'!$B$10:$B$15,0),MATCH(Dashboard!C$21,'Analysis of bottom-up tags'!$N$6:$W$6,0))*C$22</f>
        <v>11.341444883539788</v>
      </c>
      <c r="D28" s="151">
        <f>INDEX('Analysis of bottom-up tags'!$N$10:$W$15,MATCH(Dashboard!$B28,'Analysis of bottom-up tags'!$B$10:$B$15,0),MATCH(Dashboard!D$21,'Analysis of bottom-up tags'!$N$6:$W$6,0))*D$22</f>
        <v>0</v>
      </c>
      <c r="E28" s="151">
        <f>INDEX('Analysis of bottom-up tags'!$N$10:$W$15,MATCH(Dashboard!$B28,'Analysis of bottom-up tags'!$B$10:$B$15,0),MATCH(Dashboard!E$21,'Analysis of bottom-up tags'!$N$6:$W$6,0))*E$22</f>
        <v>173.49577185880568</v>
      </c>
      <c r="F28" s="151">
        <f>INDEX('Analysis of bottom-up tags'!$N$10:$W$15,MATCH(Dashboard!$B28,'Analysis of bottom-up tags'!$B$10:$B$15,0),MATCH(Dashboard!F$21,'Analysis of bottom-up tags'!$N$6:$W$6,0))*F$22</f>
        <v>0</v>
      </c>
      <c r="G28" s="151">
        <f>INDEX('Analysis of bottom-up tags'!$N$10:$W$15,MATCH(Dashboard!$B28,'Analysis of bottom-up tags'!$B$10:$B$15,0),MATCH(Dashboard!G$21,'Analysis of bottom-up tags'!$N$6:$W$6,0))*G$22</f>
        <v>76.212778873065616</v>
      </c>
      <c r="H28" s="151">
        <f>INDEX('Analysis of bottom-up tags'!$N$10:$W$15,MATCH(Dashboard!$B28,'Analysis of bottom-up tags'!$B$10:$B$15,0),MATCH(Dashboard!H$21,'Analysis of bottom-up tags'!$N$6:$W$6,0))*H$22</f>
        <v>325.01561893722845</v>
      </c>
      <c r="I28" s="151">
        <f>INDEX('Analysis of bottom-up tags'!$N$10:$W$15,MATCH(Dashboard!$B28,'Analysis of bottom-up tags'!$B$10:$B$15,0),MATCH(Dashboard!I$21,'Analysis of bottom-up tags'!$N$6:$W$6,0))*I$22</f>
        <v>735.6094982053412</v>
      </c>
      <c r="J28" s="151">
        <f>INDEX('Analysis of bottom-up tags'!$N$10:$W$15,MATCH(Dashboard!$B28,'Analysis of bottom-up tags'!$B$10:$B$15,0),MATCH(Dashboard!J$21,'Analysis of bottom-up tags'!$N$6:$W$6,0))*J$22</f>
        <v>20.013977987025569</v>
      </c>
      <c r="K28" s="151">
        <f>INDEX('Analysis of bottom-up tags'!$N$10:$W$15,MATCH(Dashboard!$B28,'Analysis of bottom-up tags'!$B$10:$B$15,0),MATCH(Dashboard!K$21,'Analysis of bottom-up tags'!$N$6:$W$6,0))*K$22</f>
        <v>1333.9499173620889</v>
      </c>
      <c r="L28" s="151">
        <f>INDEX('Analysis of bottom-up tags'!$N$10:$W$15,MATCH(Dashboard!$B28,'Analysis of bottom-up tags'!$B$10:$B$15,0),MATCH(Dashboard!L$21,'Analysis of bottom-up tags'!$N$6:$W$6,0))*L$22</f>
        <v>34.0411981222096</v>
      </c>
      <c r="M28" s="151">
        <f>SUM(C28:L28)</f>
        <v>2709.6802062293045</v>
      </c>
      <c r="N28" s="101"/>
    </row>
    <row r="29" spans="2:27">
      <c r="B29" s="151" t="s">
        <v>11108</v>
      </c>
      <c r="C29" s="151">
        <f>INDEX('Analysis of bottom-up tags'!$N$10:$W$15,MATCH(Dashboard!$B29,'Analysis of bottom-up tags'!$B$10:$B$15,0),MATCH(Dashboard!C$21,'Analysis of bottom-up tags'!$N$6:$W$6,0))*C$22</f>
        <v>1050.7729486013886</v>
      </c>
      <c r="D29" s="151">
        <f>INDEX('Analysis of bottom-up tags'!$N$10:$W$15,MATCH(Dashboard!$B29,'Analysis of bottom-up tags'!$B$10:$B$15,0),MATCH(Dashboard!D$21,'Analysis of bottom-up tags'!$N$6:$W$6,0))*D$22</f>
        <v>1159.2845243469101</v>
      </c>
      <c r="E29" s="151">
        <f>INDEX('Analysis of bottom-up tags'!$N$10:$W$15,MATCH(Dashboard!$B29,'Analysis of bottom-up tags'!$B$10:$B$15,0),MATCH(Dashboard!E$21,'Analysis of bottom-up tags'!$N$6:$W$6,0))*E$22</f>
        <v>907.04409982375034</v>
      </c>
      <c r="F29" s="151">
        <f>INDEX('Analysis of bottom-up tags'!$N$10:$W$15,MATCH(Dashboard!$B29,'Analysis of bottom-up tags'!$B$10:$B$15,0),MATCH(Dashboard!F$21,'Analysis of bottom-up tags'!$N$6:$W$6,0))*F$22</f>
        <v>949.70425952275116</v>
      </c>
      <c r="G29" s="151">
        <f>INDEX('Analysis of bottom-up tags'!$N$10:$W$15,MATCH(Dashboard!$B29,'Analysis of bottom-up tags'!$B$10:$B$15,0),MATCH(Dashboard!G$21,'Analysis of bottom-up tags'!$N$6:$W$6,0))*G$22</f>
        <v>1273.5499371420242</v>
      </c>
      <c r="H29" s="151">
        <f>INDEX('Analysis of bottom-up tags'!$N$10:$W$15,MATCH(Dashboard!$B29,'Analysis of bottom-up tags'!$B$10:$B$15,0),MATCH(Dashboard!H$21,'Analysis of bottom-up tags'!$N$6:$W$6,0))*H$22</f>
        <v>962.86447975665237</v>
      </c>
      <c r="I29" s="151">
        <f>INDEX('Analysis of bottom-up tags'!$N$10:$W$15,MATCH(Dashboard!$B29,'Analysis of bottom-up tags'!$B$10:$B$15,0),MATCH(Dashboard!I$21,'Analysis of bottom-up tags'!$N$6:$W$6,0))*I$22</f>
        <v>525.48360538557722</v>
      </c>
      <c r="J29" s="151">
        <f>INDEX('Analysis of bottom-up tags'!$N$10:$W$15,MATCH(Dashboard!$B29,'Analysis of bottom-up tags'!$B$10:$B$15,0),MATCH(Dashboard!J$21,'Analysis of bottom-up tags'!$N$6:$W$6,0))*J$22</f>
        <v>1329.0386429777698</v>
      </c>
      <c r="K29" s="151">
        <f>INDEX('Analysis of bottom-up tags'!$N$10:$W$15,MATCH(Dashboard!$B29,'Analysis of bottom-up tags'!$B$10:$B$15,0),MATCH(Dashboard!K$21,'Analysis of bottom-up tags'!$N$6:$W$6,0))*K$22</f>
        <v>262.32614414083827</v>
      </c>
      <c r="L29" s="151">
        <f>INDEX('Analysis of bottom-up tags'!$N$10:$W$15,MATCH(Dashboard!$B29,'Analysis of bottom-up tags'!$B$10:$B$15,0),MATCH(Dashboard!L$21,'Analysis of bottom-up tags'!$N$6:$W$6,0))*L$22</f>
        <v>1408.3553945342451</v>
      </c>
      <c r="M29" s="151">
        <f t="shared" ref="M29:M34" si="0">SUM(C29:L29)</f>
        <v>9828.4240362319069</v>
      </c>
      <c r="N29" s="101"/>
    </row>
    <row r="30" spans="2:27">
      <c r="B30" s="151" t="s">
        <v>11109</v>
      </c>
      <c r="C30" s="151">
        <f>INDEX('Analysis of bottom-up tags'!$N$10:$W$15,MATCH(Dashboard!$B30,'Analysis of bottom-up tags'!$B$10:$B$15,0),MATCH(Dashboard!C$21,'Analysis of bottom-up tags'!$N$6:$W$6,0))*C$22</f>
        <v>0</v>
      </c>
      <c r="D30" s="151">
        <f>INDEX('Analysis of bottom-up tags'!$N$10:$W$15,MATCH(Dashboard!$B30,'Analysis of bottom-up tags'!$B$10:$B$15,0),MATCH(Dashboard!D$21,'Analysis of bottom-up tags'!$N$6:$W$6,0))*D$22</f>
        <v>0</v>
      </c>
      <c r="E30" s="151">
        <f>INDEX('Analysis of bottom-up tags'!$N$10:$W$15,MATCH(Dashboard!$B30,'Analysis of bottom-up tags'!$B$10:$B$15,0),MATCH(Dashboard!E$21,'Analysis of bottom-up tags'!$N$6:$W$6,0))*E$22</f>
        <v>0</v>
      </c>
      <c r="F30" s="151">
        <f>INDEX('Analysis of bottom-up tags'!$N$10:$W$15,MATCH(Dashboard!$B30,'Analysis of bottom-up tags'!$B$10:$B$15,0),MATCH(Dashboard!F$21,'Analysis of bottom-up tags'!$N$6:$W$6,0))*F$22</f>
        <v>17.748624453007118</v>
      </c>
      <c r="G30" s="151">
        <f>INDEX('Analysis of bottom-up tags'!$N$10:$W$15,MATCH(Dashboard!$B30,'Analysis of bottom-up tags'!$B$10:$B$15,0),MATCH(Dashboard!G$21,'Analysis of bottom-up tags'!$N$6:$W$6,0))*G$22</f>
        <v>0</v>
      </c>
      <c r="H30" s="151">
        <f>INDEX('Analysis of bottom-up tags'!$N$10:$W$15,MATCH(Dashboard!$B30,'Analysis of bottom-up tags'!$B$10:$B$15,0),MATCH(Dashboard!H$21,'Analysis of bottom-up tags'!$N$6:$W$6,0))*H$22</f>
        <v>11.401828978682223</v>
      </c>
      <c r="I30" s="151">
        <f>INDEX('Analysis of bottom-up tags'!$N$10:$W$15,MATCH(Dashboard!$B30,'Analysis of bottom-up tags'!$B$10:$B$15,0),MATCH(Dashboard!I$21,'Analysis of bottom-up tags'!$N$6:$W$6,0))*I$22</f>
        <v>63.68810685080981</v>
      </c>
      <c r="J30" s="151">
        <f>INDEX('Analysis of bottom-up tags'!$N$10:$W$15,MATCH(Dashboard!$B30,'Analysis of bottom-up tags'!$B$10:$B$15,0),MATCH(Dashboard!J$21,'Analysis of bottom-up tags'!$N$6:$W$6,0))*J$22</f>
        <v>60.935772657789748</v>
      </c>
      <c r="K30" s="151">
        <f>INDEX('Analysis of bottom-up tags'!$N$10:$W$15,MATCH(Dashboard!$B30,'Analysis of bottom-up tags'!$B$10:$B$15,0),MATCH(Dashboard!K$21,'Analysis of bottom-up tags'!$N$6:$W$6,0))*K$22</f>
        <v>52.038815630052184</v>
      </c>
      <c r="L30" s="151">
        <f>INDEX('Analysis of bottom-up tags'!$N$10:$W$15,MATCH(Dashboard!$B30,'Analysis of bottom-up tags'!$B$10:$B$15,0),MATCH(Dashboard!L$21,'Analysis of bottom-up tags'!$N$6:$W$6,0))*L$22</f>
        <v>9.1989523559346793</v>
      </c>
      <c r="M30" s="151">
        <f t="shared" si="0"/>
        <v>215.01210092627576</v>
      </c>
      <c r="N30" s="101"/>
    </row>
    <row r="31" spans="2:27">
      <c r="B31" s="151" t="s">
        <v>11110</v>
      </c>
      <c r="C31" s="151">
        <f>INDEX('Analysis of bottom-up tags'!$N$10:$W$15,MATCH(Dashboard!$B31,'Analysis of bottom-up tags'!$B$10:$B$15,0),MATCH(Dashboard!C$21,'Analysis of bottom-up tags'!$N$6:$W$6,0))*C$22</f>
        <v>0</v>
      </c>
      <c r="D31" s="151">
        <f>INDEX('Analysis of bottom-up tags'!$N$10:$W$15,MATCH(Dashboard!$B31,'Analysis of bottom-up tags'!$B$10:$B$15,0),MATCH(Dashboard!D$21,'Analysis of bottom-up tags'!$N$6:$W$6,0))*D$22</f>
        <v>5.8006415425528575</v>
      </c>
      <c r="E31" s="151">
        <f>INDEX('Analysis of bottom-up tags'!$N$10:$W$15,MATCH(Dashboard!$B31,'Analysis of bottom-up tags'!$B$10:$B$15,0),MATCH(Dashboard!E$21,'Analysis of bottom-up tags'!$N$6:$W$6,0))*E$22</f>
        <v>0</v>
      </c>
      <c r="F31" s="151">
        <f>INDEX('Analysis of bottom-up tags'!$N$10:$W$15,MATCH(Dashboard!$B31,'Analysis of bottom-up tags'!$B$10:$B$15,0),MATCH(Dashboard!F$21,'Analysis of bottom-up tags'!$N$6:$W$6,0))*F$22</f>
        <v>30.715878790624942</v>
      </c>
      <c r="G31" s="151">
        <f>INDEX('Analysis of bottom-up tags'!$N$10:$W$15,MATCH(Dashboard!$B31,'Analysis of bottom-up tags'!$B$10:$B$15,0),MATCH(Dashboard!G$21,'Analysis of bottom-up tags'!$N$6:$W$6,0))*G$22</f>
        <v>1.6363608204846258</v>
      </c>
      <c r="H31" s="151">
        <f>INDEX('Analysis of bottom-up tags'!$N$10:$W$15,MATCH(Dashboard!$B31,'Analysis of bottom-up tags'!$B$10:$B$15,0),MATCH(Dashboard!H$21,'Analysis of bottom-up tags'!$N$6:$W$6,0))*H$22</f>
        <v>160.74826746691187</v>
      </c>
      <c r="I31" s="151">
        <f>INDEX('Analysis of bottom-up tags'!$N$10:$W$15,MATCH(Dashboard!$B31,'Analysis of bottom-up tags'!$B$10:$B$15,0),MATCH(Dashboard!I$21,'Analysis of bottom-up tags'!$N$6:$W$6,0))*I$22</f>
        <v>14.544564971013903</v>
      </c>
      <c r="J31" s="151">
        <f>INDEX('Analysis of bottom-up tags'!$N$10:$W$15,MATCH(Dashboard!$B31,'Analysis of bottom-up tags'!$B$10:$B$15,0),MATCH(Dashboard!J$21,'Analysis of bottom-up tags'!$N$6:$W$6,0))*J$22</f>
        <v>83.347627662532105</v>
      </c>
      <c r="K31" s="151">
        <f>INDEX('Analysis of bottom-up tags'!$N$10:$W$15,MATCH(Dashboard!$B31,'Analysis of bottom-up tags'!$B$10:$B$15,0),MATCH(Dashboard!K$21,'Analysis of bottom-up tags'!$N$6:$W$6,0))*K$22</f>
        <v>79.817242821109815</v>
      </c>
      <c r="L31" s="151">
        <f>INDEX('Analysis of bottom-up tags'!$N$10:$W$15,MATCH(Dashboard!$B31,'Analysis of bottom-up tags'!$B$10:$B$15,0),MATCH(Dashboard!L$21,'Analysis of bottom-up tags'!$N$6:$W$6,0))*L$22</f>
        <v>192.69479865950325</v>
      </c>
      <c r="M31" s="151">
        <f t="shared" si="0"/>
        <v>569.30538273473337</v>
      </c>
      <c r="N31" s="101"/>
    </row>
    <row r="32" spans="2:27">
      <c r="B32" s="151" t="s">
        <v>10558</v>
      </c>
      <c r="C32" s="151">
        <f>INDEX('Analysis of bottom-up tags'!$N$10:$W$15,MATCH(Dashboard!$B32,'Analysis of bottom-up tags'!$B$10:$B$15,0),MATCH(Dashboard!C$21,'Analysis of bottom-up tags'!$N$6:$W$6,0))*C$22</f>
        <v>0</v>
      </c>
      <c r="D32" s="151">
        <f>INDEX('Analysis of bottom-up tags'!$N$10:$W$15,MATCH(Dashboard!$B32,'Analysis of bottom-up tags'!$B$10:$B$15,0),MATCH(Dashboard!D$21,'Analysis of bottom-up tags'!$N$6:$W$6,0))*D$22</f>
        <v>0</v>
      </c>
      <c r="E32" s="151">
        <f>INDEX('Analysis of bottom-up tags'!$N$10:$W$15,MATCH(Dashboard!$B32,'Analysis of bottom-up tags'!$B$10:$B$15,0),MATCH(Dashboard!E$21,'Analysis of bottom-up tags'!$N$6:$W$6,0))*E$22</f>
        <v>0</v>
      </c>
      <c r="F32" s="151">
        <f>INDEX('Analysis of bottom-up tags'!$N$10:$W$15,MATCH(Dashboard!$B32,'Analysis of bottom-up tags'!$B$10:$B$15,0),MATCH(Dashboard!F$21,'Analysis of bottom-up tags'!$N$6:$W$6,0))*F$22</f>
        <v>0</v>
      </c>
      <c r="G32" s="151">
        <f>INDEX('Analysis of bottom-up tags'!$N$10:$W$15,MATCH(Dashboard!$B32,'Analysis of bottom-up tags'!$B$10:$B$15,0),MATCH(Dashboard!G$21,'Analysis of bottom-up tags'!$N$6:$W$6,0))*G$22</f>
        <v>0</v>
      </c>
      <c r="H32" s="151">
        <f>INDEX('Analysis of bottom-up tags'!$N$10:$W$15,MATCH(Dashboard!$B32,'Analysis of bottom-up tags'!$B$10:$B$15,0),MATCH(Dashboard!H$21,'Analysis of bottom-up tags'!$N$6:$W$6,0))*H$22</f>
        <v>0</v>
      </c>
      <c r="I32" s="151">
        <f>INDEX('Analysis of bottom-up tags'!$N$10:$W$15,MATCH(Dashboard!$B32,'Analysis of bottom-up tags'!$B$10:$B$15,0),MATCH(Dashboard!I$21,'Analysis of bottom-up tags'!$N$6:$W$6,0))*I$22</f>
        <v>0</v>
      </c>
      <c r="J32" s="151">
        <f>INDEX('Analysis of bottom-up tags'!$N$10:$W$15,MATCH(Dashboard!$B32,'Analysis of bottom-up tags'!$B$10:$B$15,0),MATCH(Dashboard!J$21,'Analysis of bottom-up tags'!$N$6:$W$6,0))*J$22</f>
        <v>0</v>
      </c>
      <c r="K32" s="151">
        <f>INDEX('Analysis of bottom-up tags'!$N$10:$W$15,MATCH(Dashboard!$B32,'Analysis of bottom-up tags'!$B$10:$B$15,0),MATCH(Dashboard!K$21,'Analysis of bottom-up tags'!$N$6:$W$6,0))*K$22</f>
        <v>0</v>
      </c>
      <c r="L32" s="151">
        <f>INDEX('Analysis of bottom-up tags'!$N$10:$W$15,MATCH(Dashboard!$B32,'Analysis of bottom-up tags'!$B$10:$B$15,0),MATCH(Dashboard!L$21,'Analysis of bottom-up tags'!$N$6:$W$6,0))*L$22</f>
        <v>0</v>
      </c>
      <c r="M32" s="151">
        <f t="shared" si="0"/>
        <v>0</v>
      </c>
      <c r="N32" s="101"/>
    </row>
    <row r="33" spans="2:14">
      <c r="B33" s="151" t="s">
        <v>11111</v>
      </c>
      <c r="C33" s="123">
        <f>INDEX('Analysis of bottom-up tags'!$N$10:$W$15,MATCH(Dashboard!$B33,'Analysis of bottom-up tags'!$B$10:$B$15,0),MATCH(Dashboard!C$21,'Analysis of bottom-up tags'!$N$6:$W$6,0))*C$22</f>
        <v>0</v>
      </c>
      <c r="D33" s="123">
        <f>INDEX('Analysis of bottom-up tags'!$N$10:$W$15,MATCH(Dashboard!$B33,'Analysis of bottom-up tags'!$B$10:$B$15,0),MATCH(Dashboard!D$21,'Analysis of bottom-up tags'!$N$6:$W$6,0))*D$22</f>
        <v>0</v>
      </c>
      <c r="E33" s="123">
        <f>INDEX('Analysis of bottom-up tags'!$N$10:$W$15,MATCH(Dashboard!$B33,'Analysis of bottom-up tags'!$B$10:$B$15,0),MATCH(Dashboard!E$21,'Analysis of bottom-up tags'!$N$6:$W$6,0))*E$22</f>
        <v>0</v>
      </c>
      <c r="F33" s="123">
        <f>INDEX('Analysis of bottom-up tags'!$N$10:$W$15,MATCH(Dashboard!$B33,'Analysis of bottom-up tags'!$B$10:$B$15,0),MATCH(Dashboard!F$21,'Analysis of bottom-up tags'!$N$6:$W$6,0))*F$22</f>
        <v>0</v>
      </c>
      <c r="G33" s="123">
        <f>INDEX('Analysis of bottom-up tags'!$N$10:$W$15,MATCH(Dashboard!$B33,'Analysis of bottom-up tags'!$B$10:$B$15,0),MATCH(Dashboard!G$21,'Analysis of bottom-up tags'!$N$6:$W$6,0))*G$22</f>
        <v>0</v>
      </c>
      <c r="H33" s="123">
        <f>INDEX('Analysis of bottom-up tags'!$N$10:$W$15,MATCH(Dashboard!$B33,'Analysis of bottom-up tags'!$B$10:$B$15,0),MATCH(Dashboard!H$21,'Analysis of bottom-up tags'!$N$6:$W$6,0))*H$22</f>
        <v>0</v>
      </c>
      <c r="I33" s="123">
        <f>INDEX('Analysis of bottom-up tags'!$N$10:$W$15,MATCH(Dashboard!$B33,'Analysis of bottom-up tags'!$B$10:$B$15,0),MATCH(Dashboard!I$21,'Analysis of bottom-up tags'!$N$6:$W$6,0))*I$22</f>
        <v>0</v>
      </c>
      <c r="J33" s="123">
        <f>INDEX('Analysis of bottom-up tags'!$N$10:$W$15,MATCH(Dashboard!$B33,'Analysis of bottom-up tags'!$B$10:$B$15,0),MATCH(Dashboard!J$21,'Analysis of bottom-up tags'!$N$6:$W$6,0))*J$22</f>
        <v>8.3992457923022693E-2</v>
      </c>
      <c r="K33" s="123">
        <f>INDEX('Analysis of bottom-up tags'!$N$10:$W$15,MATCH(Dashboard!$B33,'Analysis of bottom-up tags'!$B$10:$B$15,0),MATCH(Dashboard!K$21,'Analysis of bottom-up tags'!$N$6:$W$6,0))*K$22</f>
        <v>0</v>
      </c>
      <c r="L33" s="123">
        <f>INDEX('Analysis of bottom-up tags'!$N$10:$W$15,MATCH(Dashboard!$B33,'Analysis of bottom-up tags'!$B$10:$B$15,0),MATCH(Dashboard!L$21,'Analysis of bottom-up tags'!$N$6:$W$6,0))*L$22</f>
        <v>0</v>
      </c>
      <c r="M33" s="123">
        <f t="shared" si="0"/>
        <v>8.3992457923022693E-2</v>
      </c>
      <c r="N33" s="101"/>
    </row>
    <row r="34" spans="2:14">
      <c r="B34" s="166" t="s">
        <v>11042</v>
      </c>
      <c r="C34" s="166">
        <f>SUM(C28:C33)</f>
        <v>1062.1143934849283</v>
      </c>
      <c r="D34" s="166">
        <f t="shared" ref="D34:L34" si="1">SUM(D28:D33)</f>
        <v>1165.085165889463</v>
      </c>
      <c r="E34" s="166">
        <f t="shared" si="1"/>
        <v>1080.5398716825559</v>
      </c>
      <c r="F34" s="166">
        <f t="shared" si="1"/>
        <v>998.16876276638322</v>
      </c>
      <c r="G34" s="166">
        <f t="shared" si="1"/>
        <v>1351.3990768355745</v>
      </c>
      <c r="H34" s="166">
        <f t="shared" si="1"/>
        <v>1460.0301951394749</v>
      </c>
      <c r="I34" s="166">
        <f t="shared" si="1"/>
        <v>1339.3257754127421</v>
      </c>
      <c r="J34" s="166">
        <f t="shared" si="1"/>
        <v>1493.4200137430403</v>
      </c>
      <c r="K34" s="166">
        <f t="shared" si="1"/>
        <v>1728.1321199540891</v>
      </c>
      <c r="L34" s="166">
        <f t="shared" si="1"/>
        <v>1644.2903436718925</v>
      </c>
      <c r="M34" s="166">
        <f t="shared" si="0"/>
        <v>13322.505718580142</v>
      </c>
    </row>
    <row r="35" spans="2:14">
      <c r="B35" s="163" t="s">
        <v>10461</v>
      </c>
      <c r="C35" s="163"/>
      <c r="D35" s="163"/>
      <c r="E35" s="163"/>
      <c r="F35" s="163"/>
      <c r="G35" s="163"/>
      <c r="H35" s="163"/>
      <c r="I35" s="163"/>
      <c r="J35" s="163"/>
      <c r="K35" s="163"/>
      <c r="L35" s="163"/>
      <c r="M35" s="163"/>
    </row>
    <row r="36" spans="2:14">
      <c r="B36" s="167" t="s">
        <v>10558</v>
      </c>
      <c r="C36" s="151">
        <f>INDEX('Analysis of bottom-up tags'!$N$18:$W$21,MATCH(Dashboard!$B36,'Analysis of bottom-up tags'!$B$18:$B$21,0),MATCH(Dashboard!C$21,'Analysis of bottom-up tags'!$N$6:$W$6,0))*C$22</f>
        <v>34.238120886674089</v>
      </c>
      <c r="D36" s="151">
        <f>INDEX('Analysis of bottom-up tags'!$N$18:$W$21,MATCH(Dashboard!$B36,'Analysis of bottom-up tags'!$B$18:$B$21,0),MATCH(Dashboard!D$21,'Analysis of bottom-up tags'!$N$6:$W$6,0))*D$22</f>
        <v>744.76463250939639</v>
      </c>
      <c r="E36" s="151">
        <f>INDEX('Analysis of bottom-up tags'!$N$18:$W$21,MATCH(Dashboard!$B36,'Analysis of bottom-up tags'!$B$18:$B$21,0),MATCH(Dashboard!E$21,'Analysis of bottom-up tags'!$N$6:$W$6,0))*E$22</f>
        <v>506.83024646742751</v>
      </c>
      <c r="F36" s="151">
        <f>INDEX('Analysis of bottom-up tags'!$N$18:$W$21,MATCH(Dashboard!$B36,'Analysis of bottom-up tags'!$B$18:$B$21,0),MATCH(Dashboard!F$21,'Analysis of bottom-up tags'!$N$6:$W$6,0))*F$22</f>
        <v>576.66090104040484</v>
      </c>
      <c r="G36" s="151">
        <f>INDEX('Analysis of bottom-up tags'!$N$18:$W$21,MATCH(Dashboard!$B36,'Analysis of bottom-up tags'!$B$18:$B$21,0),MATCH(Dashboard!G$21,'Analysis of bottom-up tags'!$N$6:$W$6,0))*G$22</f>
        <v>782.7010468409145</v>
      </c>
      <c r="H36" s="151">
        <f>INDEX('Analysis of bottom-up tags'!$N$18:$W$21,MATCH(Dashboard!$B36,'Analysis of bottom-up tags'!$B$18:$B$21,0),MATCH(Dashboard!H$21,'Analysis of bottom-up tags'!$N$6:$W$6,0))*H$22</f>
        <v>526.74416961890847</v>
      </c>
      <c r="I36" s="151">
        <f>INDEX('Analysis of bottom-up tags'!$N$18:$W$21,MATCH(Dashboard!$B36,'Analysis of bottom-up tags'!$B$18:$B$21,0),MATCH(Dashboard!I$21,'Analysis of bottom-up tags'!$N$6:$W$6,0))*I$22</f>
        <v>848.29757488729638</v>
      </c>
      <c r="J36" s="151">
        <f>INDEX('Analysis of bottom-up tags'!$N$18:$W$21,MATCH(Dashboard!$B36,'Analysis of bottom-up tags'!$B$18:$B$21,0),MATCH(Dashboard!J$21,'Analysis of bottom-up tags'!$N$6:$W$6,0))*J$22</f>
        <v>523.29949094063738</v>
      </c>
      <c r="K36" s="151">
        <f>INDEX('Analysis of bottom-up tags'!$N$18:$W$21,MATCH(Dashboard!$B36,'Analysis of bottom-up tags'!$B$18:$B$21,0),MATCH(Dashboard!K$21,'Analysis of bottom-up tags'!$N$6:$W$6,0))*K$22</f>
        <v>159.09363399450893</v>
      </c>
      <c r="L36" s="151">
        <f>INDEX('Analysis of bottom-up tags'!$N$18:$W$21,MATCH(Dashboard!$B36,'Analysis of bottom-up tags'!$B$18:$B$21,0),MATCH(Dashboard!L$21,'Analysis of bottom-up tags'!$N$6:$W$6,0))*L$22</f>
        <v>104.79259117790204</v>
      </c>
      <c r="M36" s="151">
        <f>SUM(C36:L36)</f>
        <v>4807.4224083640711</v>
      </c>
    </row>
    <row r="37" spans="2:14">
      <c r="B37" s="167" t="s">
        <v>11074</v>
      </c>
      <c r="C37" s="151">
        <f>INDEX('Analysis of bottom-up tags'!$N$18:$W$21,MATCH(Dashboard!$B37,'Analysis of bottom-up tags'!$B$18:$B$21,0),MATCH(Dashboard!C$21,'Analysis of bottom-up tags'!$N$6:$W$6,0))*C$22</f>
        <v>1004.3509743295601</v>
      </c>
      <c r="D37" s="151">
        <f>INDEX('Analysis of bottom-up tags'!$N$18:$W$21,MATCH(Dashboard!$B37,'Analysis of bottom-up tags'!$B$18:$B$21,0),MATCH(Dashboard!D$21,'Analysis of bottom-up tags'!$N$6:$W$6,0))*D$22</f>
        <v>419.39168868650273</v>
      </c>
      <c r="E37" s="151">
        <f>INDEX('Analysis of bottom-up tags'!$N$18:$W$21,MATCH(Dashboard!$B37,'Analysis of bottom-up tags'!$B$18:$B$21,0),MATCH(Dashboard!E$21,'Analysis of bottom-up tags'!$N$6:$W$6,0))*E$22</f>
        <v>543.67860320399984</v>
      </c>
      <c r="F37" s="151">
        <f>INDEX('Analysis of bottom-up tags'!$N$18:$W$21,MATCH(Dashboard!$B37,'Analysis of bottom-up tags'!$B$18:$B$21,0),MATCH(Dashboard!F$21,'Analysis of bottom-up tags'!$N$6:$W$6,0))*F$22</f>
        <v>390.2806336907185</v>
      </c>
      <c r="G37" s="151">
        <f>INDEX('Analysis of bottom-up tags'!$N$18:$W$21,MATCH(Dashboard!$B37,'Analysis of bottom-up tags'!$B$18:$B$21,0),MATCH(Dashboard!G$21,'Analysis of bottom-up tags'!$N$6:$W$6,0))*G$22</f>
        <v>437.00669628715843</v>
      </c>
      <c r="H37" s="151">
        <f>INDEX('Analysis of bottom-up tags'!$N$18:$W$21,MATCH(Dashboard!$B37,'Analysis of bottom-up tags'!$B$18:$B$21,0),MATCH(Dashboard!H$21,'Analysis of bottom-up tags'!$N$6:$W$6,0))*H$22</f>
        <v>433.04777780580514</v>
      </c>
      <c r="I37" s="151">
        <f>INDEX('Analysis of bottom-up tags'!$N$18:$W$21,MATCH(Dashboard!$B37,'Analysis of bottom-up tags'!$B$18:$B$21,0),MATCH(Dashboard!I$21,'Analysis of bottom-up tags'!$N$6:$W$6,0))*I$22</f>
        <v>442.51386623119669</v>
      </c>
      <c r="J37" s="151">
        <f>INDEX('Analysis of bottom-up tags'!$N$18:$W$21,MATCH(Dashboard!$B37,'Analysis of bottom-up tags'!$B$18:$B$21,0),MATCH(Dashboard!J$21,'Analysis of bottom-up tags'!$N$6:$W$6,0))*J$22</f>
        <v>909.01053449008828</v>
      </c>
      <c r="K37" s="151">
        <f>INDEX('Analysis of bottom-up tags'!$N$18:$W$21,MATCH(Dashboard!$B37,'Analysis of bottom-up tags'!$B$18:$B$21,0),MATCH(Dashboard!K$21,'Analysis of bottom-up tags'!$N$6:$W$6,0))*K$22</f>
        <v>1471.3759753726988</v>
      </c>
      <c r="L37" s="151">
        <f>INDEX('Analysis of bottom-up tags'!$N$18:$W$21,MATCH(Dashboard!$B37,'Analysis of bottom-up tags'!$B$18:$B$21,0),MATCH(Dashboard!L$21,'Analysis of bottom-up tags'!$N$6:$W$6,0))*L$22</f>
        <v>1344.1720384572034</v>
      </c>
      <c r="M37" s="151">
        <f t="shared" ref="M37:M42" si="2">SUM(C37:L37)</f>
        <v>7394.8287885549316</v>
      </c>
    </row>
    <row r="38" spans="2:14">
      <c r="B38" s="167" t="s">
        <v>11075</v>
      </c>
      <c r="C38" s="151">
        <f>INDEX('Analysis of bottom-up tags'!$N$18:$W$21,MATCH(Dashboard!$B38,'Analysis of bottom-up tags'!$B$18:$B$21,0),MATCH(Dashboard!C$21,'Analysis of bottom-up tags'!$N$6:$W$6,0))*C$22</f>
        <v>0</v>
      </c>
      <c r="D38" s="151">
        <f>INDEX('Analysis of bottom-up tags'!$N$18:$W$21,MATCH(Dashboard!$B38,'Analysis of bottom-up tags'!$B$18:$B$21,0),MATCH(Dashboard!D$21,'Analysis of bottom-up tags'!$N$6:$W$6,0))*D$22</f>
        <v>0</v>
      </c>
      <c r="E38" s="151">
        <f>INDEX('Analysis of bottom-up tags'!$N$18:$W$21,MATCH(Dashboard!$B38,'Analysis of bottom-up tags'!$B$18:$B$21,0),MATCH(Dashboard!E$21,'Analysis of bottom-up tags'!$N$6:$W$6,0))*E$22</f>
        <v>0</v>
      </c>
      <c r="F38" s="151">
        <f>INDEX('Analysis of bottom-up tags'!$N$18:$W$21,MATCH(Dashboard!$B38,'Analysis of bottom-up tags'!$B$18:$B$21,0),MATCH(Dashboard!F$21,'Analysis of bottom-up tags'!$N$6:$W$6,0))*F$22</f>
        <v>23.516351606368666</v>
      </c>
      <c r="G38" s="151">
        <f>INDEX('Analysis of bottom-up tags'!$N$18:$W$21,MATCH(Dashboard!$B38,'Analysis of bottom-up tags'!$B$18:$B$21,0),MATCH(Dashboard!G$21,'Analysis of bottom-up tags'!$N$6:$W$6,0))*G$22</f>
        <v>123.52076176954105</v>
      </c>
      <c r="H38" s="151">
        <f>INDEX('Analysis of bottom-up tags'!$N$18:$W$21,MATCH(Dashboard!$B38,'Analysis of bottom-up tags'!$B$18:$B$21,0),MATCH(Dashboard!H$21,'Analysis of bottom-up tags'!$N$6:$W$6,0))*H$22</f>
        <v>492.47086690877836</v>
      </c>
      <c r="I38" s="151">
        <f>INDEX('Analysis of bottom-up tags'!$N$18:$W$21,MATCH(Dashboard!$B38,'Analysis of bottom-up tags'!$B$18:$B$21,0),MATCH(Dashboard!I$21,'Analysis of bottom-up tags'!$N$6:$W$6,0))*I$22</f>
        <v>42.865178541216437</v>
      </c>
      <c r="J38" s="151">
        <f>INDEX('Analysis of bottom-up tags'!$N$18:$W$21,MATCH(Dashboard!$B38,'Analysis of bottom-up tags'!$B$18:$B$21,0),MATCH(Dashboard!J$21,'Analysis of bottom-up tags'!$N$6:$W$6,0))*J$22</f>
        <v>7.5871513240725763</v>
      </c>
      <c r="K38" s="151">
        <f>INDEX('Analysis of bottom-up tags'!$N$18:$W$21,MATCH(Dashboard!$B38,'Analysis of bottom-up tags'!$B$18:$B$21,0),MATCH(Dashboard!K$21,'Analysis of bottom-up tags'!$N$6:$W$6,0))*K$22</f>
        <v>91.961335350542853</v>
      </c>
      <c r="L38" s="151">
        <f>INDEX('Analysis of bottom-up tags'!$N$18:$W$21,MATCH(Dashboard!$B38,'Analysis of bottom-up tags'!$B$18:$B$21,0),MATCH(Dashboard!L$21,'Analysis of bottom-up tags'!$N$6:$W$6,0))*L$22</f>
        <v>189.54159665690429</v>
      </c>
      <c r="M38" s="151">
        <f t="shared" si="2"/>
        <v>971.46324215742425</v>
      </c>
    </row>
    <row r="39" spans="2:14">
      <c r="B39" s="167" t="s">
        <v>11076</v>
      </c>
      <c r="C39" s="151">
        <f>INDEX('Analysis of bottom-up tags'!$N$18:$W$21,MATCH(Dashboard!$B39,'Analysis of bottom-up tags'!$B$18:$B$21,0),MATCH(Dashboard!C$21,'Analysis of bottom-up tags'!$N$6:$W$6,0))*C$22</f>
        <v>23.525298268694261</v>
      </c>
      <c r="D39" s="151">
        <f>INDEX('Analysis of bottom-up tags'!$N$18:$W$21,MATCH(Dashboard!$B39,'Analysis of bottom-up tags'!$B$18:$B$21,0),MATCH(Dashboard!D$21,'Analysis of bottom-up tags'!$N$6:$W$6,0))*D$22</f>
        <v>0.92884469356351906</v>
      </c>
      <c r="E39" s="151">
        <f>INDEX('Analysis of bottom-up tags'!$N$18:$W$21,MATCH(Dashboard!$B39,'Analysis of bottom-up tags'!$B$18:$B$21,0),MATCH(Dashboard!E$21,'Analysis of bottom-up tags'!$N$6:$W$6,0))*E$22</f>
        <v>30.031022011128787</v>
      </c>
      <c r="F39" s="151">
        <f>INDEX('Analysis of bottom-up tags'!$N$18:$W$21,MATCH(Dashboard!$B39,'Analysis of bottom-up tags'!$B$18:$B$21,0),MATCH(Dashboard!F$21,'Analysis of bottom-up tags'!$N$6:$W$6,0))*F$22</f>
        <v>7.7108764288908516</v>
      </c>
      <c r="G39" s="151">
        <f>INDEX('Analysis of bottom-up tags'!$N$18:$W$21,MATCH(Dashboard!$B39,'Analysis of bottom-up tags'!$B$18:$B$21,0),MATCH(Dashboard!G$21,'Analysis of bottom-up tags'!$N$6:$W$6,0))*G$22</f>
        <v>8.1705719379602701</v>
      </c>
      <c r="H39" s="151">
        <f>INDEX('Analysis of bottom-up tags'!$N$18:$W$21,MATCH(Dashboard!$B39,'Analysis of bottom-up tags'!$B$18:$B$21,0),MATCH(Dashboard!H$21,'Analysis of bottom-up tags'!$N$6:$W$6,0))*H$22</f>
        <v>7.7673808059831924</v>
      </c>
      <c r="I39" s="151">
        <f>INDEX('Analysis of bottom-up tags'!$N$18:$W$21,MATCH(Dashboard!$B39,'Analysis of bottom-up tags'!$B$18:$B$21,0),MATCH(Dashboard!I$21,'Analysis of bottom-up tags'!$N$6:$W$6,0))*I$22</f>
        <v>5.6491557530329048</v>
      </c>
      <c r="J39" s="151">
        <f>INDEX('Analysis of bottom-up tags'!$N$18:$W$21,MATCH(Dashboard!$B39,'Analysis of bottom-up tags'!$B$18:$B$21,0),MATCH(Dashboard!J$21,'Analysis of bottom-up tags'!$N$6:$W$6,0))*J$22</f>
        <v>53.522836988241309</v>
      </c>
      <c r="K39" s="151">
        <f>INDEX('Analysis of bottom-up tags'!$N$18:$W$21,MATCH(Dashboard!$B39,'Analysis of bottom-up tags'!$B$18:$B$21,0),MATCH(Dashboard!K$21,'Analysis of bottom-up tags'!$N$6:$W$6,0))*K$22</f>
        <v>5.7011752363391759</v>
      </c>
      <c r="L39" s="151">
        <f>INDEX('Analysis of bottom-up tags'!$N$18:$W$21,MATCH(Dashboard!$B39,'Analysis of bottom-up tags'!$B$18:$B$21,0),MATCH(Dashboard!L$21,'Analysis of bottom-up tags'!$N$6:$W$6,0))*L$22</f>
        <v>5.7841173798830638</v>
      </c>
      <c r="M39" s="151">
        <f t="shared" si="2"/>
        <v>148.79127950371733</v>
      </c>
    </row>
    <row r="40" spans="2:14">
      <c r="B40" s="168" t="s">
        <v>11042</v>
      </c>
      <c r="C40" s="166">
        <f t="shared" ref="C40:L40" si="3">SUM(C36:C39)</f>
        <v>1062.1143934849285</v>
      </c>
      <c r="D40" s="166">
        <f t="shared" si="3"/>
        <v>1165.0851658894626</v>
      </c>
      <c r="E40" s="166">
        <f t="shared" si="3"/>
        <v>1080.5398716825562</v>
      </c>
      <c r="F40" s="166">
        <f t="shared" si="3"/>
        <v>998.16876276638277</v>
      </c>
      <c r="G40" s="166">
        <f t="shared" si="3"/>
        <v>1351.3990768355741</v>
      </c>
      <c r="H40" s="166">
        <f t="shared" si="3"/>
        <v>1460.0301951394752</v>
      </c>
      <c r="I40" s="166">
        <f t="shared" si="3"/>
        <v>1339.3257754127424</v>
      </c>
      <c r="J40" s="166">
        <f t="shared" si="3"/>
        <v>1493.4200137430394</v>
      </c>
      <c r="K40" s="166">
        <f t="shared" si="3"/>
        <v>1728.1321199540898</v>
      </c>
      <c r="L40" s="166">
        <f t="shared" si="3"/>
        <v>1644.2903436718927</v>
      </c>
      <c r="M40" s="166">
        <f t="shared" si="2"/>
        <v>13322.505718580143</v>
      </c>
    </row>
    <row r="41" spans="2:14">
      <c r="B41" s="163" t="s">
        <v>10462</v>
      </c>
      <c r="C41" s="163"/>
      <c r="D41" s="163"/>
      <c r="E41" s="163"/>
      <c r="F41" s="163"/>
      <c r="G41" s="163"/>
      <c r="H41" s="163"/>
      <c r="I41" s="163"/>
      <c r="J41" s="163"/>
      <c r="K41" s="163"/>
      <c r="L41" s="163"/>
      <c r="M41" s="163"/>
    </row>
    <row r="42" spans="2:14">
      <c r="B42" s="151" t="s">
        <v>11003</v>
      </c>
      <c r="C42" s="151">
        <f>INDEX('Analysis of bottom-up tags'!$N$24:$W$25,MATCH(Dashboard!$B42,'Analysis of bottom-up tags'!$B$24:$B$25,0),MATCH(Dashboard!C$21,'Analysis of bottom-up tags'!$N$6:$W$6,0))*C$22</f>
        <v>1062.1143934849285</v>
      </c>
      <c r="D42" s="151">
        <f>INDEX('Analysis of bottom-up tags'!$N$24:$W$25,MATCH(Dashboard!$B42,'Analysis of bottom-up tags'!$B$24:$B$25,0),MATCH(Dashboard!D$21,'Analysis of bottom-up tags'!$N$6:$W$6,0))*D$22</f>
        <v>1165.0851658894628</v>
      </c>
      <c r="E42" s="151">
        <f>INDEX('Analysis of bottom-up tags'!$N$24:$W$25,MATCH(Dashboard!$B42,'Analysis of bottom-up tags'!$B$24:$B$25,0),MATCH(Dashboard!E$21,'Analysis of bottom-up tags'!$N$6:$W$6,0))*E$22</f>
        <v>1080.5398716825562</v>
      </c>
      <c r="F42" s="151">
        <f>INDEX('Analysis of bottom-up tags'!$N$24:$W$25,MATCH(Dashboard!$B42,'Analysis of bottom-up tags'!$B$24:$B$25,0),MATCH(Dashboard!F$21,'Analysis of bottom-up tags'!$N$6:$W$6,0))*F$22</f>
        <v>998.16876276638311</v>
      </c>
      <c r="G42" s="151">
        <f>INDEX('Analysis of bottom-up tags'!$N$24:$W$25,MATCH(Dashboard!$B42,'Analysis of bottom-up tags'!$B$24:$B$25,0),MATCH(Dashboard!G$21,'Analysis of bottom-up tags'!$N$6:$W$6,0))*G$22</f>
        <v>1351.3990768355745</v>
      </c>
      <c r="H42" s="151">
        <f>INDEX('Analysis of bottom-up tags'!$N$24:$W$25,MATCH(Dashboard!$B42,'Analysis of bottom-up tags'!$B$24:$B$25,0),MATCH(Dashboard!H$21,'Analysis of bottom-up tags'!$N$6:$W$6,0))*H$22</f>
        <v>1460.0301951394742</v>
      </c>
      <c r="I42" s="151">
        <f>INDEX('Analysis of bottom-up tags'!$N$24:$W$25,MATCH(Dashboard!$B42,'Analysis of bottom-up tags'!$B$24:$B$25,0),MATCH(Dashboard!I$21,'Analysis of bottom-up tags'!$N$6:$W$6,0))*I$22</f>
        <v>1339.3257754127419</v>
      </c>
      <c r="J42" s="151">
        <f>INDEX('Analysis of bottom-up tags'!$N$24:$W$25,MATCH(Dashboard!$B42,'Analysis of bottom-up tags'!$B$24:$B$25,0),MATCH(Dashboard!J$21,'Analysis of bottom-up tags'!$N$6:$W$6,0))*J$22</f>
        <v>1493.420013743041</v>
      </c>
      <c r="K42" s="151">
        <f>INDEX('Analysis of bottom-up tags'!$N$24:$W$25,MATCH(Dashboard!$B42,'Analysis of bottom-up tags'!$B$24:$B$25,0),MATCH(Dashboard!K$21,'Analysis of bottom-up tags'!$N$6:$W$6,0))*K$22</f>
        <v>1728.1321199540903</v>
      </c>
      <c r="L42" s="151">
        <f>INDEX('Analysis of bottom-up tags'!$N$24:$W$25,MATCH(Dashboard!$B42,'Analysis of bottom-up tags'!$B$24:$B$25,0),MATCH(Dashboard!L$21,'Analysis of bottom-up tags'!$N$6:$W$6,0))*L$22</f>
        <v>1644.2903436718932</v>
      </c>
      <c r="M42" s="151">
        <f t="shared" si="2"/>
        <v>13322.505718580147</v>
      </c>
    </row>
    <row r="44" spans="2:14">
      <c r="B44" s="163" t="s">
        <v>10463</v>
      </c>
      <c r="C44" s="163"/>
      <c r="D44" s="163"/>
      <c r="E44" s="163"/>
      <c r="F44" s="163"/>
      <c r="G44" s="163"/>
      <c r="H44" s="163"/>
      <c r="I44" s="163"/>
      <c r="J44" s="163"/>
      <c r="K44" s="163"/>
      <c r="L44" s="163"/>
      <c r="M44" s="163"/>
    </row>
    <row r="45" spans="2:14">
      <c r="B45" s="151" t="s">
        <v>10466</v>
      </c>
      <c r="C45" s="151">
        <f>INDEX('Analysis of bottom-up tags'!$N$27:$W$29,MATCH(Dashboard!$B45,'Analysis of bottom-up tags'!$B$27:$B$29,0),MATCH(Dashboard!C$21,'Analysis of bottom-up tags'!$N$6:$W$6,0))*C$22</f>
        <v>1050.7729486013886</v>
      </c>
      <c r="D45" s="151">
        <f>INDEX('Analysis of bottom-up tags'!$N$27:$W$29,MATCH(Dashboard!$B45,'Analysis of bottom-up tags'!$B$27:$B$29,0),MATCH(Dashboard!D$21,'Analysis of bottom-up tags'!$N$6:$W$6,0))*D$22</f>
        <v>1165.0851658894628</v>
      </c>
      <c r="E45" s="151">
        <f>INDEX('Analysis of bottom-up tags'!$N$27:$W$29,MATCH(Dashboard!$B45,'Analysis of bottom-up tags'!$B$27:$B$29,0),MATCH(Dashboard!E$21,'Analysis of bottom-up tags'!$N$6:$W$6,0))*E$22</f>
        <v>1002.2510414083613</v>
      </c>
      <c r="F45" s="151">
        <f>INDEX('Analysis of bottom-up tags'!$N$27:$W$29,MATCH(Dashboard!$B45,'Analysis of bottom-up tags'!$B$27:$B$29,0),MATCH(Dashboard!F$21,'Analysis of bottom-up tags'!$N$6:$W$6,0))*F$22</f>
        <v>776.70958362624617</v>
      </c>
      <c r="G45" s="151">
        <f>INDEX('Analysis of bottom-up tags'!$N$27:$W$29,MATCH(Dashboard!$B45,'Analysis of bottom-up tags'!$B$27:$B$29,0),MATCH(Dashboard!G$21,'Analysis of bottom-up tags'!$N$6:$W$6,0))*G$22</f>
        <v>1345.565324154097</v>
      </c>
      <c r="H45" s="151">
        <f>INDEX('Analysis of bottom-up tags'!$N$27:$W$29,MATCH(Dashboard!$B45,'Analysis of bottom-up tags'!$B$27:$B$29,0),MATCH(Dashboard!H$21,'Analysis of bottom-up tags'!$N$6:$W$6,0))*H$22</f>
        <v>1455.7719839067279</v>
      </c>
      <c r="I45" s="151">
        <f>INDEX('Analysis of bottom-up tags'!$N$27:$W$29,MATCH(Dashboard!$B45,'Analysis of bottom-up tags'!$B$27:$B$29,0),MATCH(Dashboard!I$21,'Analysis of bottom-up tags'!$N$6:$W$6,0))*I$22</f>
        <v>1337.8506211279387</v>
      </c>
      <c r="J45" s="151">
        <f>INDEX('Analysis of bottom-up tags'!$N$27:$W$29,MATCH(Dashboard!$B45,'Analysis of bottom-up tags'!$B$27:$B$29,0),MATCH(Dashboard!J$21,'Analysis of bottom-up tags'!$N$6:$W$6,0))*J$22</f>
        <v>1409.8341601960858</v>
      </c>
      <c r="K45" s="151">
        <f>INDEX('Analysis of bottom-up tags'!$N$27:$W$29,MATCH(Dashboard!$B45,'Analysis of bottom-up tags'!$B$27:$B$29,0),MATCH(Dashboard!K$21,'Analysis of bottom-up tags'!$N$6:$W$6,0))*K$22</f>
        <v>1720.7920308244079</v>
      </c>
      <c r="L45" s="151">
        <f>INDEX('Analysis of bottom-up tags'!$N$27:$W$29,MATCH(Dashboard!$B45,'Analysis of bottom-up tags'!$B$27:$B$29,0),MATCH(Dashboard!L$21,'Analysis of bottom-up tags'!$N$6:$W$6,0))*L$22</f>
        <v>1585.4865450049863</v>
      </c>
      <c r="M45" s="151">
        <f t="shared" ref="M45:M47" si="4">SUM(C45:L45)</f>
        <v>12850.119404739702</v>
      </c>
      <c r="N45" s="101"/>
    </row>
    <row r="46" spans="2:14">
      <c r="B46" s="151" t="s">
        <v>10464</v>
      </c>
      <c r="C46" s="151">
        <f>INDEX('Analysis of bottom-up tags'!$N$27:$W$29,MATCH(Dashboard!$B46,'Analysis of bottom-up tags'!$B$27:$B$29,0),MATCH(Dashboard!C$21,'Analysis of bottom-up tags'!$N$6:$W$6,0))*C$22</f>
        <v>0</v>
      </c>
      <c r="D46" s="151">
        <f>INDEX('Analysis of bottom-up tags'!$N$27:$W$29,MATCH(Dashboard!$B46,'Analysis of bottom-up tags'!$B$27:$B$29,0),MATCH(Dashboard!D$21,'Analysis of bottom-up tags'!$N$6:$W$6,0))*D$22</f>
        <v>0</v>
      </c>
      <c r="E46" s="151">
        <f>INDEX('Analysis of bottom-up tags'!$N$27:$W$29,MATCH(Dashboard!$B46,'Analysis of bottom-up tags'!$B$27:$B$29,0),MATCH(Dashboard!E$21,'Analysis of bottom-up tags'!$N$6:$W$6,0))*E$22</f>
        <v>0</v>
      </c>
      <c r="F46" s="151">
        <f>INDEX('Analysis of bottom-up tags'!$N$27:$W$29,MATCH(Dashboard!$B46,'Analysis of bottom-up tags'!$B$27:$B$29,0),MATCH(Dashboard!F$21,'Analysis of bottom-up tags'!$N$6:$W$6,0))*F$22</f>
        <v>221.45917914013671</v>
      </c>
      <c r="G46" s="151">
        <f>INDEX('Analysis of bottom-up tags'!$N$27:$W$29,MATCH(Dashboard!$B46,'Analysis of bottom-up tags'!$B$27:$B$29,0),MATCH(Dashboard!G$21,'Analysis of bottom-up tags'!$N$6:$W$6,0))*G$22</f>
        <v>0</v>
      </c>
      <c r="H46" s="151">
        <f>INDEX('Analysis of bottom-up tags'!$N$27:$W$29,MATCH(Dashboard!$B46,'Analysis of bottom-up tags'!$B$27:$B$29,0),MATCH(Dashboard!H$21,'Analysis of bottom-up tags'!$N$6:$W$6,0))*H$22</f>
        <v>0</v>
      </c>
      <c r="I46" s="151">
        <f>INDEX('Analysis of bottom-up tags'!$N$27:$W$29,MATCH(Dashboard!$B46,'Analysis of bottom-up tags'!$B$27:$B$29,0),MATCH(Dashboard!I$21,'Analysis of bottom-up tags'!$N$6:$W$6,0))*I$22</f>
        <v>0</v>
      </c>
      <c r="J46" s="151">
        <f>INDEX('Analysis of bottom-up tags'!$N$27:$W$29,MATCH(Dashboard!$B46,'Analysis of bottom-up tags'!$B$27:$B$29,0),MATCH(Dashboard!J$21,'Analysis of bottom-up tags'!$N$6:$W$6,0))*J$22</f>
        <v>73.395959502716309</v>
      </c>
      <c r="K46" s="151">
        <f>INDEX('Analysis of bottom-up tags'!$N$27:$W$29,MATCH(Dashboard!$B46,'Analysis of bottom-up tags'!$B$27:$B$29,0),MATCH(Dashboard!K$21,'Analysis of bottom-up tags'!$N$6:$W$6,0))*K$22</f>
        <v>2.9761076532053909</v>
      </c>
      <c r="L46" s="151">
        <f>INDEX('Analysis of bottom-up tags'!$N$27:$W$29,MATCH(Dashboard!$B46,'Analysis of bottom-up tags'!$B$27:$B$29,0),MATCH(Dashboard!L$21,'Analysis of bottom-up tags'!$N$6:$W$6,0))*L$22</f>
        <v>58.020075909676684</v>
      </c>
      <c r="M46" s="151">
        <f t="shared" si="4"/>
        <v>355.85132220573513</v>
      </c>
      <c r="N46" s="101"/>
    </row>
    <row r="47" spans="2:14">
      <c r="B47" s="151" t="s">
        <v>10465</v>
      </c>
      <c r="C47" s="151">
        <f>INDEX('Analysis of bottom-up tags'!$N$27:$W$29,MATCH(Dashboard!$B47,'Analysis of bottom-up tags'!$B$27:$B$29,0),MATCH(Dashboard!C$21,'Analysis of bottom-up tags'!$N$6:$W$6,0))*C$22</f>
        <v>11.341444883539788</v>
      </c>
      <c r="D47" s="151">
        <f>INDEX('Analysis of bottom-up tags'!$N$27:$W$29,MATCH(Dashboard!$B47,'Analysis of bottom-up tags'!$B$27:$B$29,0),MATCH(Dashboard!D$21,'Analysis of bottom-up tags'!$N$6:$W$6,0))*D$22</f>
        <v>0</v>
      </c>
      <c r="E47" s="151">
        <f>INDEX('Analysis of bottom-up tags'!$N$27:$W$29,MATCH(Dashboard!$B47,'Analysis of bottom-up tags'!$B$27:$B$29,0),MATCH(Dashboard!E$21,'Analysis of bottom-up tags'!$N$6:$W$6,0))*E$22</f>
        <v>78.288830274194837</v>
      </c>
      <c r="F47" s="151">
        <f>INDEX('Analysis of bottom-up tags'!$N$27:$W$29,MATCH(Dashboard!$B47,'Analysis of bottom-up tags'!$B$27:$B$29,0),MATCH(Dashboard!F$21,'Analysis of bottom-up tags'!$N$6:$W$6,0))*F$22</f>
        <v>0</v>
      </c>
      <c r="G47" s="151">
        <f>INDEX('Analysis of bottom-up tags'!$N$27:$W$29,MATCH(Dashboard!$B47,'Analysis of bottom-up tags'!$B$27:$B$29,0),MATCH(Dashboard!G$21,'Analysis of bottom-up tags'!$N$6:$W$6,0))*G$22</f>
        <v>5.8337526814777014</v>
      </c>
      <c r="H47" s="151">
        <f>INDEX('Analysis of bottom-up tags'!$N$27:$W$29,MATCH(Dashboard!$B47,'Analysis of bottom-up tags'!$B$27:$B$29,0),MATCH(Dashboard!H$21,'Analysis of bottom-up tags'!$N$6:$W$6,0))*H$22</f>
        <v>4.2582112327461585</v>
      </c>
      <c r="I47" s="151">
        <f>INDEX('Analysis of bottom-up tags'!$N$27:$W$29,MATCH(Dashboard!$B47,'Analysis of bottom-up tags'!$B$27:$B$29,0),MATCH(Dashboard!I$21,'Analysis of bottom-up tags'!$N$6:$W$6,0))*I$22</f>
        <v>1.4751542848033785</v>
      </c>
      <c r="J47" s="151">
        <f>INDEX('Analysis of bottom-up tags'!$N$27:$W$29,MATCH(Dashboard!$B47,'Analysis of bottom-up tags'!$B$27:$B$29,0),MATCH(Dashboard!J$21,'Analysis of bottom-up tags'!$N$6:$W$6,0))*J$22</f>
        <v>10.18989404423893</v>
      </c>
      <c r="K47" s="151">
        <f>INDEX('Analysis of bottom-up tags'!$N$27:$W$29,MATCH(Dashboard!$B47,'Analysis of bottom-up tags'!$B$27:$B$29,0),MATCH(Dashboard!K$21,'Analysis of bottom-up tags'!$N$6:$W$6,0))*K$22</f>
        <v>4.3639814764769778</v>
      </c>
      <c r="L47" s="151">
        <f>INDEX('Analysis of bottom-up tags'!$N$27:$W$29,MATCH(Dashboard!$B47,'Analysis of bottom-up tags'!$B$27:$B$29,0),MATCH(Dashboard!L$21,'Analysis of bottom-up tags'!$N$6:$W$6,0))*L$22</f>
        <v>0.78372275722958906</v>
      </c>
      <c r="M47" s="151">
        <f t="shared" si="4"/>
        <v>116.53499163470737</v>
      </c>
      <c r="N47" s="101"/>
    </row>
    <row r="48" spans="2:14">
      <c r="B48" s="166" t="s">
        <v>11042</v>
      </c>
      <c r="C48" s="166">
        <f>SUM(C45:C47)</f>
        <v>1062.1143934849283</v>
      </c>
      <c r="D48" s="166">
        <f t="shared" ref="D48:M48" si="5">SUM(D45:D47)</f>
        <v>1165.0851658894628</v>
      </c>
      <c r="E48" s="166">
        <f t="shared" si="5"/>
        <v>1080.5398716825562</v>
      </c>
      <c r="F48" s="166">
        <f t="shared" si="5"/>
        <v>998.16876276638288</v>
      </c>
      <c r="G48" s="166">
        <f t="shared" si="5"/>
        <v>1351.3990768355748</v>
      </c>
      <c r="H48" s="166">
        <f t="shared" si="5"/>
        <v>1460.030195139474</v>
      </c>
      <c r="I48" s="166">
        <f t="shared" si="5"/>
        <v>1339.3257754127421</v>
      </c>
      <c r="J48" s="166">
        <f t="shared" si="5"/>
        <v>1493.420013743041</v>
      </c>
      <c r="K48" s="166">
        <f t="shared" si="5"/>
        <v>1728.1321199540903</v>
      </c>
      <c r="L48" s="166">
        <f t="shared" si="5"/>
        <v>1644.2903436718925</v>
      </c>
      <c r="M48" s="166">
        <f t="shared" si="5"/>
        <v>13322.505718580145</v>
      </c>
    </row>
    <row r="49" spans="2:14">
      <c r="B49" s="163" t="s">
        <v>10467</v>
      </c>
      <c r="C49" s="163"/>
      <c r="D49" s="163"/>
      <c r="E49" s="163"/>
      <c r="F49" s="163"/>
      <c r="G49" s="163"/>
      <c r="H49" s="163"/>
      <c r="I49" s="163"/>
      <c r="J49" s="163"/>
      <c r="K49" s="163"/>
      <c r="L49" s="163"/>
      <c r="M49" s="163"/>
    </row>
    <row r="50" spans="2:14">
      <c r="B50" s="151" t="s">
        <v>10970</v>
      </c>
      <c r="C50" s="151">
        <f>INDEX('Analysis of bottom-up tags'!$N$32:$W$33,MATCH(Dashboard!$B50,'Analysis of bottom-up tags'!$B$32:$B$33,0),MATCH(Dashboard!C$21,'Analysis of bottom-up tags'!$N$6:$W$6,0))*C$22</f>
        <v>1062.1143934849285</v>
      </c>
      <c r="D50" s="151">
        <f>INDEX('Analysis of bottom-up tags'!$N$32:$W$33,MATCH(Dashboard!$B50,'Analysis of bottom-up tags'!$B$32:$B$33,0),MATCH(Dashboard!D$21,'Analysis of bottom-up tags'!$N$6:$W$6,0))*D$22</f>
        <v>1165.0851658894628</v>
      </c>
      <c r="E50" s="151">
        <f>INDEX('Analysis of bottom-up tags'!$N$32:$W$33,MATCH(Dashboard!$B50,'Analysis of bottom-up tags'!$B$32:$B$33,0),MATCH(Dashboard!E$21,'Analysis of bottom-up tags'!$N$6:$W$6,0))*E$22</f>
        <v>1080.5398716825562</v>
      </c>
      <c r="F50" s="151">
        <f>INDEX('Analysis of bottom-up tags'!$N$32:$W$33,MATCH(Dashboard!$B50,'Analysis of bottom-up tags'!$B$32:$B$33,0),MATCH(Dashboard!F$21,'Analysis of bottom-up tags'!$N$6:$W$6,0))*F$22</f>
        <v>998.16876276638311</v>
      </c>
      <c r="G50" s="151">
        <f>INDEX('Analysis of bottom-up tags'!$N$32:$W$33,MATCH(Dashboard!$B50,'Analysis of bottom-up tags'!$B$32:$B$33,0),MATCH(Dashboard!G$21,'Analysis of bottom-up tags'!$N$6:$W$6,0))*G$22</f>
        <v>1351.3990768355745</v>
      </c>
      <c r="H50" s="151">
        <f>INDEX('Analysis of bottom-up tags'!$N$32:$W$33,MATCH(Dashboard!$B50,'Analysis of bottom-up tags'!$B$32:$B$33,0),MATCH(Dashboard!H$21,'Analysis of bottom-up tags'!$N$6:$W$6,0))*H$22</f>
        <v>1460.0301951394742</v>
      </c>
      <c r="I50" s="151">
        <f>INDEX('Analysis of bottom-up tags'!$N$32:$W$33,MATCH(Dashboard!$B50,'Analysis of bottom-up tags'!$B$32:$B$33,0),MATCH(Dashboard!I$21,'Analysis of bottom-up tags'!$N$6:$W$6,0))*I$22</f>
        <v>1339.3257754127419</v>
      </c>
      <c r="J50" s="151">
        <f>INDEX('Analysis of bottom-up tags'!$N$32:$W$33,MATCH(Dashboard!$B50,'Analysis of bottom-up tags'!$B$32:$B$33,0),MATCH(Dashboard!J$21,'Analysis of bottom-up tags'!$N$6:$W$6,0))*J$22</f>
        <v>1493.420013743041</v>
      </c>
      <c r="K50" s="151">
        <f>INDEX('Analysis of bottom-up tags'!$N$32:$W$33,MATCH(Dashboard!$B50,'Analysis of bottom-up tags'!$B$32:$B$33,0),MATCH(Dashboard!K$21,'Analysis of bottom-up tags'!$N$6:$W$6,0))*K$22</f>
        <v>1728.1321199540903</v>
      </c>
      <c r="L50" s="151">
        <f>INDEX('Analysis of bottom-up tags'!$N$32:$W$33,MATCH(Dashboard!$B50,'Analysis of bottom-up tags'!$B$32:$B$33,0),MATCH(Dashboard!L$21,'Analysis of bottom-up tags'!$N$6:$W$6,0))*L$22</f>
        <v>1644.2903436718932</v>
      </c>
      <c r="M50" s="151">
        <f t="shared" ref="M50" si="6">SUM(C50:L50)</f>
        <v>13322.505718580147</v>
      </c>
    </row>
    <row r="53" spans="2:14">
      <c r="B53" s="163" t="s">
        <v>10468</v>
      </c>
      <c r="C53" s="163"/>
      <c r="D53" s="163"/>
      <c r="E53" s="163"/>
      <c r="F53" s="163"/>
      <c r="G53" s="163"/>
      <c r="H53" s="163"/>
      <c r="I53" s="163"/>
      <c r="J53" s="163"/>
      <c r="K53" s="163"/>
      <c r="L53" s="163"/>
      <c r="M53" s="163"/>
    </row>
    <row r="54" spans="2:14">
      <c r="B54" s="151" t="s">
        <v>10973</v>
      </c>
      <c r="C54" s="151">
        <f>INDEX('Analysis of bottom-up tags'!$N$36:$W$39,MATCH(Dashboard!$B54,'Analysis of bottom-up tags'!$B$36:$B$39,0),MATCH(Dashboard!C$21,'Analysis of bottom-up tags'!$N$6:$W$6,0))*C$22</f>
        <v>78.91092679700408</v>
      </c>
      <c r="D54" s="151">
        <f>INDEX('Analysis of bottom-up tags'!$N$36:$W$39,MATCH(Dashboard!$B54,'Analysis of bottom-up tags'!$B$36:$B$39,0),MATCH(Dashboard!D$21,'Analysis of bottom-up tags'!$N$6:$W$6,0))*D$22</f>
        <v>401.28352013149259</v>
      </c>
      <c r="E54" s="151">
        <f>INDEX('Analysis of bottom-up tags'!$N$36:$W$39,MATCH(Dashboard!$B54,'Analysis of bottom-up tags'!$B$36:$B$39,0),MATCH(Dashboard!E$21,'Analysis of bottom-up tags'!$N$6:$W$6,0))*E$22</f>
        <v>825.49422734812913</v>
      </c>
      <c r="F54" s="151">
        <f>INDEX('Analysis of bottom-up tags'!$N$36:$W$39,MATCH(Dashboard!$B54,'Analysis of bottom-up tags'!$B$36:$B$39,0),MATCH(Dashboard!F$21,'Analysis of bottom-up tags'!$N$6:$W$6,0))*F$22</f>
        <v>328.39346789728285</v>
      </c>
      <c r="G54" s="151">
        <f>INDEX('Analysis of bottom-up tags'!$N$36:$W$39,MATCH(Dashboard!$B54,'Analysis of bottom-up tags'!$B$36:$B$39,0),MATCH(Dashboard!G$21,'Analysis of bottom-up tags'!$N$6:$W$6,0))*G$22</f>
        <v>1147.4163321453048</v>
      </c>
      <c r="H54" s="151">
        <f>INDEX('Analysis of bottom-up tags'!$N$36:$W$39,MATCH(Dashboard!$B54,'Analysis of bottom-up tags'!$B$36:$B$39,0),MATCH(Dashboard!H$21,'Analysis of bottom-up tags'!$N$6:$W$6,0))*H$22</f>
        <v>1295.9364655045624</v>
      </c>
      <c r="I54" s="151">
        <f>INDEX('Analysis of bottom-up tags'!$N$36:$W$39,MATCH(Dashboard!$B54,'Analysis of bottom-up tags'!$B$36:$B$39,0),MATCH(Dashboard!I$21,'Analysis of bottom-up tags'!$N$6:$W$6,0))*I$22</f>
        <v>1279.3639182603895</v>
      </c>
      <c r="J54" s="151">
        <f>INDEX('Analysis of bottom-up tags'!$N$36:$W$39,MATCH(Dashboard!$B54,'Analysis of bottom-up tags'!$B$36:$B$39,0),MATCH(Dashboard!J$21,'Analysis of bottom-up tags'!$N$6:$W$6,0))*J$22</f>
        <v>1114.395209483195</v>
      </c>
      <c r="K54" s="151">
        <f>INDEX('Analysis of bottom-up tags'!$N$36:$W$39,MATCH(Dashboard!$B54,'Analysis of bottom-up tags'!$B$36:$B$39,0),MATCH(Dashboard!K$21,'Analysis of bottom-up tags'!$N$6:$W$6,0))*K$22</f>
        <v>1646.7002835593835</v>
      </c>
      <c r="L54" s="151">
        <f>INDEX('Analysis of bottom-up tags'!$N$36:$W$39,MATCH(Dashboard!$B54,'Analysis of bottom-up tags'!$B$36:$B$39,0),MATCH(Dashboard!L$21,'Analysis of bottom-up tags'!$N$6:$W$6,0))*L$22</f>
        <v>1171.5295311135217</v>
      </c>
      <c r="M54" s="151">
        <f>SUM(C54:L54)</f>
        <v>9289.4238822402658</v>
      </c>
      <c r="N54" s="101"/>
    </row>
    <row r="55" spans="2:14">
      <c r="B55" s="151" t="s">
        <v>10977</v>
      </c>
      <c r="C55" s="151">
        <f>INDEX('Analysis of bottom-up tags'!$N$36:$W$39,MATCH(Dashboard!$B55,'Analysis of bottom-up tags'!$B$36:$B$39,0),MATCH(Dashboard!C$21,'Analysis of bottom-up tags'!$N$6:$W$6,0))*C$22</f>
        <v>983.20346668792445</v>
      </c>
      <c r="D55" s="151">
        <f>INDEX('Analysis of bottom-up tags'!$N$36:$W$39,MATCH(Dashboard!$B55,'Analysis of bottom-up tags'!$B$36:$B$39,0),MATCH(Dashboard!D$21,'Analysis of bottom-up tags'!$N$6:$W$6,0))*D$22</f>
        <v>744.20530754446122</v>
      </c>
      <c r="E55" s="151">
        <f>INDEX('Analysis of bottom-up tags'!$N$36:$W$39,MATCH(Dashboard!$B55,'Analysis of bottom-up tags'!$B$36:$B$39,0),MATCH(Dashboard!E$21,'Analysis of bottom-up tags'!$N$6:$W$6,0))*E$22</f>
        <v>255.04564433442692</v>
      </c>
      <c r="F55" s="151">
        <f>INDEX('Analysis of bottom-up tags'!$N$36:$W$39,MATCH(Dashboard!$B55,'Analysis of bottom-up tags'!$B$36:$B$39,0),MATCH(Dashboard!F$21,'Analysis of bottom-up tags'!$N$6:$W$6,0))*F$22</f>
        <v>656.81900276084957</v>
      </c>
      <c r="G55" s="151">
        <f>INDEX('Analysis of bottom-up tags'!$N$36:$W$39,MATCH(Dashboard!$B55,'Analysis of bottom-up tags'!$B$36:$B$39,0),MATCH(Dashboard!G$21,'Analysis of bottom-up tags'!$N$6:$W$6,0))*G$22</f>
        <v>66.951445921880946</v>
      </c>
      <c r="H55" s="151">
        <f>INDEX('Analysis of bottom-up tags'!$N$36:$W$39,MATCH(Dashboard!$B55,'Analysis of bottom-up tags'!$B$36:$B$39,0),MATCH(Dashboard!H$21,'Analysis of bottom-up tags'!$N$6:$W$6,0))*H$22</f>
        <v>123.0677402146846</v>
      </c>
      <c r="I55" s="151">
        <f>INDEX('Analysis of bottom-up tags'!$N$36:$W$39,MATCH(Dashboard!$B55,'Analysis of bottom-up tags'!$B$36:$B$39,0),MATCH(Dashboard!I$21,'Analysis of bottom-up tags'!$N$6:$W$6,0))*I$22</f>
        <v>4.8168482984846319</v>
      </c>
      <c r="J55" s="151">
        <f>INDEX('Analysis of bottom-up tags'!$N$36:$W$39,MATCH(Dashboard!$B55,'Analysis of bottom-up tags'!$B$36:$B$39,0),MATCH(Dashboard!J$21,'Analysis of bottom-up tags'!$N$6:$W$6,0))*J$22</f>
        <v>159.13334357979875</v>
      </c>
      <c r="K55" s="151">
        <f>INDEX('Analysis of bottom-up tags'!$N$36:$W$39,MATCH(Dashboard!$B55,'Analysis of bottom-up tags'!$B$36:$B$39,0),MATCH(Dashboard!K$21,'Analysis of bottom-up tags'!$N$6:$W$6,0))*K$22</f>
        <v>31.903805932559852</v>
      </c>
      <c r="L55" s="151">
        <f>INDEX('Analysis of bottom-up tags'!$N$36:$W$39,MATCH(Dashboard!$B55,'Analysis of bottom-up tags'!$B$36:$B$39,0),MATCH(Dashboard!L$21,'Analysis of bottom-up tags'!$N$6:$W$6,0))*L$22</f>
        <v>257.78693428779036</v>
      </c>
      <c r="M55" s="151">
        <f t="shared" ref="M55:M119" si="7">SUM(C55:L55)</f>
        <v>3282.9335395628614</v>
      </c>
    </row>
    <row r="56" spans="2:14">
      <c r="B56" s="151" t="s">
        <v>10558</v>
      </c>
      <c r="C56" s="151">
        <f>INDEX('Analysis of bottom-up tags'!$N$36:$W$39,MATCH(Dashboard!$B56,'Analysis of bottom-up tags'!$B$36:$B$39,0),MATCH(Dashboard!C$21,'Analysis of bottom-up tags'!$N$6:$W$6,0))*C$22</f>
        <v>0</v>
      </c>
      <c r="D56" s="151">
        <f>INDEX('Analysis of bottom-up tags'!$N$36:$W$39,MATCH(Dashboard!$B56,'Analysis of bottom-up tags'!$B$36:$B$39,0),MATCH(Dashboard!D$21,'Analysis of bottom-up tags'!$N$6:$W$6,0))*D$22</f>
        <v>0</v>
      </c>
      <c r="E56" s="151">
        <f>INDEX('Analysis of bottom-up tags'!$N$36:$W$39,MATCH(Dashboard!$B56,'Analysis of bottom-up tags'!$B$36:$B$39,0),MATCH(Dashboard!E$21,'Analysis of bottom-up tags'!$N$6:$W$6,0))*E$22</f>
        <v>0</v>
      </c>
      <c r="F56" s="151">
        <f>INDEX('Analysis of bottom-up tags'!$N$36:$W$39,MATCH(Dashboard!$B56,'Analysis of bottom-up tags'!$B$36:$B$39,0),MATCH(Dashboard!F$21,'Analysis of bottom-up tags'!$N$6:$W$6,0))*F$22</f>
        <v>0</v>
      </c>
      <c r="G56" s="151">
        <f>INDEX('Analysis of bottom-up tags'!$N$36:$W$39,MATCH(Dashboard!$B56,'Analysis of bottom-up tags'!$B$36:$B$39,0),MATCH(Dashboard!G$21,'Analysis of bottom-up tags'!$N$6:$W$6,0))*G$22</f>
        <v>0</v>
      </c>
      <c r="H56" s="151">
        <f>INDEX('Analysis of bottom-up tags'!$N$36:$W$39,MATCH(Dashboard!$B56,'Analysis of bottom-up tags'!$B$36:$B$39,0),MATCH(Dashboard!H$21,'Analysis of bottom-up tags'!$N$6:$W$6,0))*H$22</f>
        <v>0</v>
      </c>
      <c r="I56" s="151">
        <f>INDEX('Analysis of bottom-up tags'!$N$36:$W$39,MATCH(Dashboard!$B56,'Analysis of bottom-up tags'!$B$36:$B$39,0),MATCH(Dashboard!I$21,'Analysis of bottom-up tags'!$N$6:$W$6,0))*I$22</f>
        <v>0</v>
      </c>
      <c r="J56" s="151">
        <f>INDEX('Analysis of bottom-up tags'!$N$36:$W$39,MATCH(Dashboard!$B56,'Analysis of bottom-up tags'!$B$36:$B$39,0),MATCH(Dashboard!J$21,'Analysis of bottom-up tags'!$N$6:$W$6,0))*J$22</f>
        <v>0</v>
      </c>
      <c r="K56" s="151">
        <f>INDEX('Analysis of bottom-up tags'!$N$36:$W$39,MATCH(Dashboard!$B56,'Analysis of bottom-up tags'!$B$36:$B$39,0),MATCH(Dashboard!K$21,'Analysis of bottom-up tags'!$N$6:$W$6,0))*K$22</f>
        <v>0</v>
      </c>
      <c r="L56" s="151">
        <f>INDEX('Analysis of bottom-up tags'!$N$36:$W$39,MATCH(Dashboard!$B56,'Analysis of bottom-up tags'!$B$36:$B$39,0),MATCH(Dashboard!L$21,'Analysis of bottom-up tags'!$N$6:$W$6,0))*L$22</f>
        <v>0</v>
      </c>
      <c r="M56" s="151">
        <f t="shared" si="7"/>
        <v>0</v>
      </c>
    </row>
    <row r="57" spans="2:14">
      <c r="B57" s="151" t="s">
        <v>10981</v>
      </c>
      <c r="C57" s="151">
        <f>INDEX('Analysis of bottom-up tags'!$N$36:$W$39,MATCH(Dashboard!$B57,'Analysis of bottom-up tags'!$B$36:$B$39,0),MATCH(Dashboard!C$21,'Analysis of bottom-up tags'!$N$6:$W$6,0))*C$22</f>
        <v>0</v>
      </c>
      <c r="D57" s="151">
        <f>INDEX('Analysis of bottom-up tags'!$N$36:$W$39,MATCH(Dashboard!$B57,'Analysis of bottom-up tags'!$B$36:$B$39,0),MATCH(Dashboard!D$21,'Analysis of bottom-up tags'!$N$6:$W$6,0))*D$22</f>
        <v>19.59633821350889</v>
      </c>
      <c r="E57" s="151">
        <f>INDEX('Analysis of bottom-up tags'!$N$36:$W$39,MATCH(Dashboard!$B57,'Analysis of bottom-up tags'!$B$36:$B$39,0),MATCH(Dashboard!E$21,'Analysis of bottom-up tags'!$N$6:$W$6,0))*E$22</f>
        <v>0</v>
      </c>
      <c r="F57" s="151">
        <f>INDEX('Analysis of bottom-up tags'!$N$36:$W$39,MATCH(Dashboard!$B57,'Analysis of bottom-up tags'!$B$36:$B$39,0),MATCH(Dashboard!F$21,'Analysis of bottom-up tags'!$N$6:$W$6,0))*F$22</f>
        <v>12.956292108250386</v>
      </c>
      <c r="G57" s="151">
        <f>INDEX('Analysis of bottom-up tags'!$N$36:$W$39,MATCH(Dashboard!$B57,'Analysis of bottom-up tags'!$B$36:$B$39,0),MATCH(Dashboard!G$21,'Analysis of bottom-up tags'!$N$6:$W$6,0))*G$22</f>
        <v>137.03129876838855</v>
      </c>
      <c r="H57" s="151">
        <f>INDEX('Analysis of bottom-up tags'!$N$36:$W$39,MATCH(Dashboard!$B57,'Analysis of bottom-up tags'!$B$36:$B$39,0),MATCH(Dashboard!H$21,'Analysis of bottom-up tags'!$N$6:$W$6,0))*H$22</f>
        <v>41.025989420227667</v>
      </c>
      <c r="I57" s="151">
        <f>INDEX('Analysis of bottom-up tags'!$N$36:$W$39,MATCH(Dashboard!$B57,'Analysis of bottom-up tags'!$B$36:$B$39,0),MATCH(Dashboard!I$21,'Analysis of bottom-up tags'!$N$6:$W$6,0))*I$22</f>
        <v>55.145008853867864</v>
      </c>
      <c r="J57" s="151">
        <f>INDEX('Analysis of bottom-up tags'!$N$36:$W$39,MATCH(Dashboard!$B57,'Analysis of bottom-up tags'!$B$36:$B$39,0),MATCH(Dashboard!J$21,'Analysis of bottom-up tags'!$N$6:$W$6,0))*J$22</f>
        <v>219.89146068004683</v>
      </c>
      <c r="K57" s="151">
        <f>INDEX('Analysis of bottom-up tags'!$N$36:$W$39,MATCH(Dashboard!$B57,'Analysis of bottom-up tags'!$B$36:$B$39,0),MATCH(Dashboard!K$21,'Analysis of bottom-up tags'!$N$6:$W$6,0))*K$22</f>
        <v>49.52803046214585</v>
      </c>
      <c r="L57" s="151">
        <f>INDEX('Analysis of bottom-up tags'!$N$36:$W$39,MATCH(Dashboard!$B57,'Analysis of bottom-up tags'!$B$36:$B$39,0),MATCH(Dashboard!L$21,'Analysis of bottom-up tags'!$N$6:$W$6,0))*L$22</f>
        <v>214.97387827058057</v>
      </c>
      <c r="M57" s="151">
        <f t="shared" si="7"/>
        <v>750.14829677701664</v>
      </c>
    </row>
    <row r="58" spans="2:14">
      <c r="B58" s="166" t="s">
        <v>11042</v>
      </c>
      <c r="C58" s="166">
        <f>SUM(C54:C57)</f>
        <v>1062.1143934849285</v>
      </c>
      <c r="D58" s="166">
        <f t="shared" ref="D58:L58" si="8">SUM(D54:D57)</f>
        <v>1165.0851658894628</v>
      </c>
      <c r="E58" s="166">
        <f t="shared" si="8"/>
        <v>1080.5398716825562</v>
      </c>
      <c r="F58" s="166">
        <f t="shared" si="8"/>
        <v>998.16876276638277</v>
      </c>
      <c r="G58" s="166">
        <f t="shared" si="8"/>
        <v>1351.3990768355743</v>
      </c>
      <c r="H58" s="166">
        <f t="shared" si="8"/>
        <v>1460.0301951394747</v>
      </c>
      <c r="I58" s="166">
        <f t="shared" si="8"/>
        <v>1339.3257754127421</v>
      </c>
      <c r="J58" s="166">
        <f t="shared" si="8"/>
        <v>1493.4200137430405</v>
      </c>
      <c r="K58" s="166">
        <f t="shared" si="8"/>
        <v>1728.1321199540891</v>
      </c>
      <c r="L58" s="166">
        <f t="shared" si="8"/>
        <v>1644.2903436718927</v>
      </c>
      <c r="M58" s="166">
        <f t="shared" si="7"/>
        <v>13322.505718580143</v>
      </c>
    </row>
    <row r="59" spans="2:14">
      <c r="B59" s="163" t="s">
        <v>10469</v>
      </c>
      <c r="C59" s="163"/>
      <c r="D59" s="163"/>
      <c r="E59" s="163"/>
      <c r="F59" s="163"/>
      <c r="G59" s="163"/>
      <c r="H59" s="163"/>
      <c r="I59" s="163"/>
      <c r="J59" s="163"/>
      <c r="K59" s="163"/>
      <c r="L59" s="163"/>
      <c r="M59" s="163"/>
    </row>
    <row r="60" spans="2:14">
      <c r="B60" s="151" t="s">
        <v>10957</v>
      </c>
      <c r="C60" s="151">
        <f>INDEX('Analysis of bottom-up tags'!$N$42:$W$45,MATCH(Dashboard!$B60,'Analysis of bottom-up tags'!$B$42:$B$45,0),MATCH(Dashboard!C$21,'Analysis of bottom-up tags'!$N$6:$W$6,0))*C$22</f>
        <v>24.384106499610546</v>
      </c>
      <c r="D60" s="151">
        <f>INDEX('Analysis of bottom-up tags'!$N$42:$W$45,MATCH(Dashboard!$B60,'Analysis of bottom-up tags'!$B$42:$B$45,0),MATCH(Dashboard!D$21,'Analysis of bottom-up tags'!$N$6:$W$6,0))*D$22</f>
        <v>82.678149234939212</v>
      </c>
      <c r="E60" s="151">
        <f>INDEX('Analysis of bottom-up tags'!$N$42:$W$45,MATCH(Dashboard!$B60,'Analysis of bottom-up tags'!$B$42:$B$45,0),MATCH(Dashboard!E$21,'Analysis of bottom-up tags'!$N$6:$W$6,0))*E$22</f>
        <v>5.3767133673116065</v>
      </c>
      <c r="F60" s="151">
        <f>INDEX('Analysis of bottom-up tags'!$N$42:$W$45,MATCH(Dashboard!$B60,'Analysis of bottom-up tags'!$B$42:$B$45,0),MATCH(Dashboard!F$21,'Analysis of bottom-up tags'!$N$6:$W$6,0))*F$22</f>
        <v>267.73903231718515</v>
      </c>
      <c r="G60" s="151">
        <f>INDEX('Analysis of bottom-up tags'!$N$42:$W$45,MATCH(Dashboard!$B60,'Analysis of bottom-up tags'!$B$42:$B$45,0),MATCH(Dashboard!G$21,'Analysis of bottom-up tags'!$N$6:$W$6,0))*G$22</f>
        <v>788.45493110062512</v>
      </c>
      <c r="H60" s="151">
        <f>INDEX('Analysis of bottom-up tags'!$N$42:$W$45,MATCH(Dashboard!$B60,'Analysis of bottom-up tags'!$B$42:$B$45,0),MATCH(Dashboard!H$21,'Analysis of bottom-up tags'!$N$6:$W$6,0))*H$22</f>
        <v>347.97214361525954</v>
      </c>
      <c r="I60" s="151">
        <f>INDEX('Analysis of bottom-up tags'!$N$42:$W$45,MATCH(Dashboard!$B60,'Analysis of bottom-up tags'!$B$42:$B$45,0),MATCH(Dashboard!I$21,'Analysis of bottom-up tags'!$N$6:$W$6,0))*I$22</f>
        <v>796.27686620006727</v>
      </c>
      <c r="J60" s="151">
        <f>INDEX('Analysis of bottom-up tags'!$N$42:$W$45,MATCH(Dashboard!$B60,'Analysis of bottom-up tags'!$B$42:$B$45,0),MATCH(Dashboard!J$21,'Analysis of bottom-up tags'!$N$6:$W$6,0))*J$22</f>
        <v>462.8299166822685</v>
      </c>
      <c r="K60" s="151">
        <f>INDEX('Analysis of bottom-up tags'!$N$42:$W$45,MATCH(Dashboard!$B60,'Analysis of bottom-up tags'!$B$42:$B$45,0),MATCH(Dashboard!K$21,'Analysis of bottom-up tags'!$N$6:$W$6,0))*K$22</f>
        <v>1593.3939931631708</v>
      </c>
      <c r="L60" s="151">
        <f>INDEX('Analysis of bottom-up tags'!$N$42:$W$45,MATCH(Dashboard!$B60,'Analysis of bottom-up tags'!$B$42:$B$45,0),MATCH(Dashboard!L$21,'Analysis of bottom-up tags'!$N$6:$W$6,0))*L$22</f>
        <v>909.38080420795575</v>
      </c>
      <c r="M60" s="151">
        <f t="shared" si="7"/>
        <v>5278.4866563883925</v>
      </c>
    </row>
    <row r="61" spans="2:14">
      <c r="B61" s="151" t="s">
        <v>10967</v>
      </c>
      <c r="C61" s="151">
        <f>INDEX('Analysis of bottom-up tags'!$N$42:$W$45,MATCH(Dashboard!$B61,'Analysis of bottom-up tags'!$B$42:$B$45,0),MATCH(Dashboard!C$21,'Analysis of bottom-up tags'!$N$6:$W$6,0))*C$22</f>
        <v>645.44219539449341</v>
      </c>
      <c r="D61" s="151">
        <f>INDEX('Analysis of bottom-up tags'!$N$42:$W$45,MATCH(Dashboard!$B61,'Analysis of bottom-up tags'!$B$42:$B$45,0),MATCH(Dashboard!D$21,'Analysis of bottom-up tags'!$N$6:$W$6,0))*D$22</f>
        <v>663.01532796802087</v>
      </c>
      <c r="E61" s="151">
        <f>INDEX('Analysis of bottom-up tags'!$N$42:$W$45,MATCH(Dashboard!$B61,'Analysis of bottom-up tags'!$B$42:$B$45,0),MATCH(Dashboard!E$21,'Analysis of bottom-up tags'!$N$6:$W$6,0))*E$22</f>
        <v>249.66893096711533</v>
      </c>
      <c r="F61" s="151">
        <f>INDEX('Analysis of bottom-up tags'!$N$42:$W$45,MATCH(Dashboard!$B61,'Analysis of bottom-up tags'!$B$42:$B$45,0),MATCH(Dashboard!F$21,'Analysis of bottom-up tags'!$N$6:$W$6,0))*F$22</f>
        <v>84.498812804979039</v>
      </c>
      <c r="G61" s="151">
        <f>INDEX('Analysis of bottom-up tags'!$N$42:$W$45,MATCH(Dashboard!$B61,'Analysis of bottom-up tags'!$B$42:$B$45,0),MATCH(Dashboard!G$21,'Analysis of bottom-up tags'!$N$6:$W$6,0))*G$22</f>
        <v>8.1705719379602701</v>
      </c>
      <c r="H61" s="151">
        <f>INDEX('Analysis of bottom-up tags'!$N$42:$W$45,MATCH(Dashboard!$B61,'Analysis of bottom-up tags'!$B$42:$B$45,0),MATCH(Dashboard!H$21,'Analysis of bottom-up tags'!$N$6:$W$6,0))*H$22</f>
        <v>251.64654112778382</v>
      </c>
      <c r="I61" s="151">
        <f>INDEX('Analysis of bottom-up tags'!$N$42:$W$45,MATCH(Dashboard!$B61,'Analysis of bottom-up tags'!$B$42:$B$45,0),MATCH(Dashboard!I$21,'Analysis of bottom-up tags'!$N$6:$W$6,0))*I$22</f>
        <v>31.567694280176731</v>
      </c>
      <c r="J61" s="151">
        <f>INDEX('Analysis of bottom-up tags'!$N$42:$W$45,MATCH(Dashboard!$B61,'Analysis of bottom-up tags'!$B$42:$B$45,0),MATCH(Dashboard!J$21,'Analysis of bottom-up tags'!$N$6:$W$6,0))*J$22</f>
        <v>50.744882712413713</v>
      </c>
      <c r="K61" s="151">
        <f>INDEX('Analysis of bottom-up tags'!$N$42:$W$45,MATCH(Dashboard!$B61,'Analysis of bottom-up tags'!$B$42:$B$45,0),MATCH(Dashboard!K$21,'Analysis of bottom-up tags'!$N$6:$W$6,0))*K$22</f>
        <v>1.5417385007078017</v>
      </c>
      <c r="L61" s="151">
        <f>INDEX('Analysis of bottom-up tags'!$N$42:$W$45,MATCH(Dashboard!$B61,'Analysis of bottom-up tags'!$B$42:$B$45,0),MATCH(Dashboard!L$21,'Analysis of bottom-up tags'!$N$6:$W$6,0))*L$22</f>
        <v>15.939556589587877</v>
      </c>
      <c r="M61" s="151">
        <f t="shared" si="7"/>
        <v>2002.2362522832389</v>
      </c>
    </row>
    <row r="62" spans="2:14">
      <c r="B62" s="151" t="s">
        <v>10959</v>
      </c>
      <c r="C62" s="151">
        <f>INDEX('Analysis of bottom-up tags'!$N$42:$W$45,MATCH(Dashboard!$B62,'Analysis of bottom-up tags'!$B$42:$B$45,0),MATCH(Dashboard!C$21,'Analysis of bottom-up tags'!$N$6:$W$6,0))*C$22</f>
        <v>12.183853385154473</v>
      </c>
      <c r="D62" s="151">
        <f>INDEX('Analysis of bottom-up tags'!$N$42:$W$45,MATCH(Dashboard!$B62,'Analysis of bottom-up tags'!$B$42:$B$45,0),MATCH(Dashboard!D$21,'Analysis of bottom-up tags'!$N$6:$W$6,0))*D$22</f>
        <v>38.556980122345728</v>
      </c>
      <c r="E62" s="151">
        <f>INDEX('Analysis of bottom-up tags'!$N$42:$W$45,MATCH(Dashboard!$B62,'Analysis of bottom-up tags'!$B$42:$B$45,0),MATCH(Dashboard!E$21,'Analysis of bottom-up tags'!$N$6:$W$6,0))*E$22</f>
        <v>603.00346283067358</v>
      </c>
      <c r="F62" s="151">
        <f>INDEX('Analysis of bottom-up tags'!$N$42:$W$45,MATCH(Dashboard!$B62,'Analysis of bottom-up tags'!$B$42:$B$45,0),MATCH(Dashboard!F$21,'Analysis of bottom-up tags'!$N$6:$W$6,0))*F$22</f>
        <v>140.74862490761092</v>
      </c>
      <c r="G62" s="151">
        <f>INDEX('Analysis of bottom-up tags'!$N$42:$W$45,MATCH(Dashboard!$B62,'Analysis of bottom-up tags'!$B$42:$B$45,0),MATCH(Dashboard!G$21,'Analysis of bottom-up tags'!$N$6:$W$6,0))*G$22</f>
        <v>228.89034540743521</v>
      </c>
      <c r="H62" s="151">
        <f>INDEX('Analysis of bottom-up tags'!$N$42:$W$45,MATCH(Dashboard!$B62,'Analysis of bottom-up tags'!$B$42:$B$45,0),MATCH(Dashboard!H$21,'Analysis of bottom-up tags'!$N$6:$W$6,0))*H$22</f>
        <v>139.1612716726998</v>
      </c>
      <c r="I62" s="151">
        <f>INDEX('Analysis of bottom-up tags'!$N$42:$W$45,MATCH(Dashboard!$B62,'Analysis of bottom-up tags'!$B$42:$B$45,0),MATCH(Dashboard!I$21,'Analysis of bottom-up tags'!$N$6:$W$6,0))*I$22</f>
        <v>98.249922702131954</v>
      </c>
      <c r="J62" s="151">
        <f>INDEX('Analysis of bottom-up tags'!$N$42:$W$45,MATCH(Dashboard!$B62,'Analysis of bottom-up tags'!$B$42:$B$45,0),MATCH(Dashboard!J$21,'Analysis of bottom-up tags'!$N$6:$W$6,0))*J$22</f>
        <v>949.40547489031849</v>
      </c>
      <c r="K62" s="151">
        <f>INDEX('Analysis of bottom-up tags'!$N$42:$W$45,MATCH(Dashboard!$B62,'Analysis of bottom-up tags'!$B$42:$B$45,0),MATCH(Dashboard!K$21,'Analysis of bottom-up tags'!$N$6:$W$6,0))*K$22</f>
        <v>121.98202535540905</v>
      </c>
      <c r="L62" s="151">
        <f>INDEX('Analysis of bottom-up tags'!$N$42:$W$45,MATCH(Dashboard!$B62,'Analysis of bottom-up tags'!$B$42:$B$45,0),MATCH(Dashboard!L$21,'Analysis of bottom-up tags'!$N$6:$W$6,0))*L$22</f>
        <v>694.74467063267571</v>
      </c>
      <c r="M62" s="151">
        <f t="shared" si="7"/>
        <v>3026.9266319064545</v>
      </c>
    </row>
    <row r="63" spans="2:14">
      <c r="B63" s="151" t="s">
        <v>10558</v>
      </c>
      <c r="C63" s="151">
        <f>INDEX('Analysis of bottom-up tags'!$N$42:$W$45,MATCH(Dashboard!$B63,'Analysis of bottom-up tags'!$B$42:$B$45,0),MATCH(Dashboard!C$21,'Analysis of bottom-up tags'!$N$6:$W$6,0))*C$22</f>
        <v>380.10423820567001</v>
      </c>
      <c r="D63" s="151">
        <f>INDEX('Analysis of bottom-up tags'!$N$42:$W$45,MATCH(Dashboard!$B63,'Analysis of bottom-up tags'!$B$42:$B$45,0),MATCH(Dashboard!D$21,'Analysis of bottom-up tags'!$N$6:$W$6,0))*D$22</f>
        <v>380.83470856415698</v>
      </c>
      <c r="E63" s="151">
        <f>INDEX('Analysis of bottom-up tags'!$N$42:$W$45,MATCH(Dashboard!$B63,'Analysis of bottom-up tags'!$B$42:$B$45,0),MATCH(Dashboard!E$21,'Analysis of bottom-up tags'!$N$6:$W$6,0))*E$22</f>
        <v>222.49076451745552</v>
      </c>
      <c r="F63" s="151">
        <f>INDEX('Analysis of bottom-up tags'!$N$42:$W$45,MATCH(Dashboard!$B63,'Analysis of bottom-up tags'!$B$42:$B$45,0),MATCH(Dashboard!F$21,'Analysis of bottom-up tags'!$N$6:$W$6,0))*F$22</f>
        <v>505.18229273660779</v>
      </c>
      <c r="G63" s="151">
        <f>INDEX('Analysis of bottom-up tags'!$N$42:$W$45,MATCH(Dashboard!$B63,'Analysis of bottom-up tags'!$B$42:$B$45,0),MATCH(Dashboard!G$21,'Analysis of bottom-up tags'!$N$6:$W$6,0))*G$22</f>
        <v>325.88322838955378</v>
      </c>
      <c r="H63" s="151">
        <f>INDEX('Analysis of bottom-up tags'!$N$42:$W$45,MATCH(Dashboard!$B63,'Analysis of bottom-up tags'!$B$42:$B$45,0),MATCH(Dashboard!H$21,'Analysis of bottom-up tags'!$N$6:$W$6,0))*H$22</f>
        <v>721.25023872373174</v>
      </c>
      <c r="I63" s="151">
        <f>INDEX('Analysis of bottom-up tags'!$N$42:$W$45,MATCH(Dashboard!$B63,'Analysis of bottom-up tags'!$B$42:$B$45,0),MATCH(Dashboard!I$21,'Analysis of bottom-up tags'!$N$6:$W$6,0))*I$22</f>
        <v>413.23129223036625</v>
      </c>
      <c r="J63" s="151">
        <f>INDEX('Analysis of bottom-up tags'!$N$42:$W$45,MATCH(Dashboard!$B63,'Analysis of bottom-up tags'!$B$42:$B$45,0),MATCH(Dashboard!J$21,'Analysis of bottom-up tags'!$N$6:$W$6,0))*J$22</f>
        <v>30.439739458039142</v>
      </c>
      <c r="K63" s="151">
        <f>INDEX('Analysis of bottom-up tags'!$N$42:$W$45,MATCH(Dashboard!$B63,'Analysis of bottom-up tags'!$B$42:$B$45,0),MATCH(Dashboard!K$21,'Analysis of bottom-up tags'!$N$6:$W$6,0))*K$22</f>
        <v>11.21436293480194</v>
      </c>
      <c r="L63" s="151">
        <f>INDEX('Analysis of bottom-up tags'!$N$42:$W$45,MATCH(Dashboard!$B63,'Analysis of bottom-up tags'!$B$42:$B$45,0),MATCH(Dashboard!L$21,'Analysis of bottom-up tags'!$N$6:$W$6,0))*L$22</f>
        <v>24.225312241673425</v>
      </c>
      <c r="M63" s="151">
        <f t="shared" si="7"/>
        <v>3014.8561780020564</v>
      </c>
    </row>
    <row r="64" spans="2:14">
      <c r="B64" s="166" t="s">
        <v>11042</v>
      </c>
      <c r="C64" s="166">
        <f>SUM(C60:C63)</f>
        <v>1062.1143934849285</v>
      </c>
      <c r="D64" s="166">
        <f t="shared" ref="D64:K64" si="9">SUM(D60:D63)</f>
        <v>1165.0851658894628</v>
      </c>
      <c r="E64" s="166">
        <f t="shared" si="9"/>
        <v>1080.5398716825559</v>
      </c>
      <c r="F64" s="166">
        <f t="shared" si="9"/>
        <v>998.16876276638288</v>
      </c>
      <c r="G64" s="166">
        <f t="shared" si="9"/>
        <v>1351.3990768355743</v>
      </c>
      <c r="H64" s="166">
        <f t="shared" si="9"/>
        <v>1460.0301951394749</v>
      </c>
      <c r="I64" s="166">
        <f t="shared" si="9"/>
        <v>1339.3257754127421</v>
      </c>
      <c r="J64" s="166">
        <f t="shared" si="9"/>
        <v>1493.4200137430398</v>
      </c>
      <c r="K64" s="166">
        <f t="shared" si="9"/>
        <v>1728.1321199540896</v>
      </c>
      <c r="L64" s="166">
        <f>SUM(L60:L63)</f>
        <v>1644.2903436718927</v>
      </c>
      <c r="M64" s="166">
        <f t="shared" si="7"/>
        <v>13322.505718580143</v>
      </c>
    </row>
    <row r="65" spans="2:13">
      <c r="B65" s="163" t="s">
        <v>10470</v>
      </c>
      <c r="C65" s="163"/>
      <c r="D65" s="163"/>
      <c r="E65" s="163"/>
      <c r="F65" s="163"/>
      <c r="G65" s="163"/>
      <c r="H65" s="163"/>
      <c r="I65" s="163"/>
      <c r="J65" s="163"/>
      <c r="K65" s="163"/>
      <c r="L65" s="163"/>
      <c r="M65" s="163"/>
    </row>
    <row r="66" spans="2:13">
      <c r="B66" s="151" t="s">
        <v>10558</v>
      </c>
      <c r="C66" s="151">
        <f>INDEX('Analysis of bottom-up tags'!$N$48:$W$51,MATCH(Dashboard!$B66,'Analysis of bottom-up tags'!$B$48:$B$51,0),MATCH(Dashboard!C$21,'Analysis of bottom-up tags'!$N$6:$W$6,0))*C$22</f>
        <v>1003.7059523346986</v>
      </c>
      <c r="D66" s="151">
        <f>INDEX('Analysis of bottom-up tags'!$N$48:$W$51,MATCH(Dashboard!$B66,'Analysis of bottom-up tags'!$B$48:$B$51,0),MATCH(Dashboard!D$21,'Analysis of bottom-up tags'!$N$6:$W$6,0))*D$22</f>
        <v>1082.9663416194589</v>
      </c>
      <c r="E66" s="151">
        <f>INDEX('Analysis of bottom-up tags'!$N$48:$W$51,MATCH(Dashboard!$B66,'Analysis of bottom-up tags'!$B$48:$B$51,0),MATCH(Dashboard!E$21,'Analysis of bottom-up tags'!$N$6:$W$6,0))*E$22</f>
        <v>798.72424753842665</v>
      </c>
      <c r="F66" s="151">
        <f>INDEX('Analysis of bottom-up tags'!$N$48:$W$51,MATCH(Dashboard!$B66,'Analysis of bottom-up tags'!$B$48:$B$51,0),MATCH(Dashboard!F$21,'Analysis of bottom-up tags'!$N$6:$W$6,0))*F$22</f>
        <v>739.60090914913656</v>
      </c>
      <c r="G66" s="151">
        <f>INDEX('Analysis of bottom-up tags'!$N$48:$W$51,MATCH(Dashboard!$B66,'Analysis of bottom-up tags'!$B$48:$B$51,0),MATCH(Dashboard!G$21,'Analysis of bottom-up tags'!$N$6:$W$6,0))*G$22</f>
        <v>1315.3287376122869</v>
      </c>
      <c r="H66" s="151">
        <f>INDEX('Analysis of bottom-up tags'!$N$48:$W$51,MATCH(Dashboard!$B66,'Analysis of bottom-up tags'!$B$48:$B$51,0),MATCH(Dashboard!H$21,'Analysis of bottom-up tags'!$N$6:$W$6,0))*H$22</f>
        <v>1421.3904761265474</v>
      </c>
      <c r="I66" s="151">
        <f>INDEX('Analysis of bottom-up tags'!$N$48:$W$51,MATCH(Dashboard!$B66,'Analysis of bottom-up tags'!$B$48:$B$51,0),MATCH(Dashboard!I$21,'Analysis of bottom-up tags'!$N$6:$W$6,0))*I$22</f>
        <v>1294.5507414533588</v>
      </c>
      <c r="J66" s="151">
        <f>INDEX('Analysis of bottom-up tags'!$N$48:$W$51,MATCH(Dashboard!$B66,'Analysis of bottom-up tags'!$B$48:$B$51,0),MATCH(Dashboard!J$21,'Analysis of bottom-up tags'!$N$6:$W$6,0))*J$22</f>
        <v>1451.4387245417154</v>
      </c>
      <c r="K66" s="151">
        <f>INDEX('Analysis of bottom-up tags'!$N$48:$W$51,MATCH(Dashboard!$B66,'Analysis of bottom-up tags'!$B$48:$B$51,0),MATCH(Dashboard!K$21,'Analysis of bottom-up tags'!$N$6:$W$6,0))*K$22</f>
        <v>1720.5392483593807</v>
      </c>
      <c r="L66" s="151">
        <f>INDEX('Analysis of bottom-up tags'!$N$48:$W$51,MATCH(Dashboard!$B66,'Analysis of bottom-up tags'!$B$48:$B$51,0),MATCH(Dashboard!L$21,'Analysis of bottom-up tags'!$N$6:$W$6,0))*L$22</f>
        <v>1635.1981559672515</v>
      </c>
      <c r="M66" s="151">
        <f t="shared" si="7"/>
        <v>12463.443534702261</v>
      </c>
    </row>
    <row r="67" spans="2:13">
      <c r="B67" s="151" t="s">
        <v>10968</v>
      </c>
      <c r="C67" s="151">
        <f>INDEX('Analysis of bottom-up tags'!$N$48:$W$51,MATCH(Dashboard!$B67,'Analysis of bottom-up tags'!$B$48:$B$51,0),MATCH(Dashboard!C$21,'Analysis of bottom-up tags'!$N$6:$W$6,0))*C$22</f>
        <v>24.384106499610546</v>
      </c>
      <c r="D67" s="151">
        <f>INDEX('Analysis of bottom-up tags'!$N$48:$W$51,MATCH(Dashboard!$B67,'Analysis of bottom-up tags'!$B$48:$B$51,0),MATCH(Dashboard!D$21,'Analysis of bottom-up tags'!$N$6:$W$6,0))*D$22</f>
        <v>82.118824270003955</v>
      </c>
      <c r="E67" s="151">
        <f>INDEX('Analysis of bottom-up tags'!$N$48:$W$51,MATCH(Dashboard!$B67,'Analysis of bottom-up tags'!$B$48:$B$51,0),MATCH(Dashboard!E$21,'Analysis of bottom-up tags'!$N$6:$W$6,0))*E$22</f>
        <v>0</v>
      </c>
      <c r="F67" s="151">
        <f>INDEX('Analysis of bottom-up tags'!$N$48:$W$51,MATCH(Dashboard!$B67,'Analysis of bottom-up tags'!$B$48:$B$51,0),MATCH(Dashboard!F$21,'Analysis of bottom-up tags'!$N$6:$W$6,0))*F$22</f>
        <v>37.108674477109524</v>
      </c>
      <c r="G67" s="151">
        <f>INDEX('Analysis of bottom-up tags'!$N$48:$W$51,MATCH(Dashboard!$B67,'Analysis of bottom-up tags'!$B$48:$B$51,0),MATCH(Dashboard!G$21,'Analysis of bottom-up tags'!$N$6:$W$6,0))*G$22</f>
        <v>36.070339223287803</v>
      </c>
      <c r="H67" s="151">
        <f>INDEX('Analysis of bottom-up tags'!$N$48:$W$51,MATCH(Dashboard!$B67,'Analysis of bottom-up tags'!$B$48:$B$51,0),MATCH(Dashboard!H$21,'Analysis of bottom-up tags'!$N$6:$W$6,0))*H$22</f>
        <v>1.4948012726158166</v>
      </c>
      <c r="I67" s="151">
        <f>INDEX('Analysis of bottom-up tags'!$N$48:$W$51,MATCH(Dashboard!$B67,'Analysis of bottom-up tags'!$B$48:$B$51,0),MATCH(Dashboard!I$21,'Analysis of bottom-up tags'!$N$6:$W$6,0))*I$22</f>
        <v>43.125915594320212</v>
      </c>
      <c r="J67" s="151">
        <f>INDEX('Analysis of bottom-up tags'!$N$48:$W$51,MATCH(Dashboard!$B67,'Analysis of bottom-up tags'!$B$48:$B$51,0),MATCH(Dashboard!J$21,'Analysis of bottom-up tags'!$N$6:$W$6,0))*J$22</f>
        <v>41.630622368530133</v>
      </c>
      <c r="K67" s="151">
        <f>INDEX('Analysis of bottom-up tags'!$N$48:$W$51,MATCH(Dashboard!$B67,'Analysis of bottom-up tags'!$B$48:$B$51,0),MATCH(Dashboard!K$21,'Analysis of bottom-up tags'!$N$6:$W$6,0))*K$22</f>
        <v>3.2113547124792645</v>
      </c>
      <c r="L67" s="151">
        <f>INDEX('Analysis of bottom-up tags'!$N$48:$W$51,MATCH(Dashboard!$B67,'Analysis of bottom-up tags'!$B$48:$B$51,0),MATCH(Dashboard!L$21,'Analysis of bottom-up tags'!$N$6:$W$6,0))*L$22</f>
        <v>0.47907384509633127</v>
      </c>
      <c r="M67" s="151">
        <f t="shared" si="7"/>
        <v>269.62371226305356</v>
      </c>
    </row>
    <row r="68" spans="2:13">
      <c r="B68" s="151" t="s">
        <v>11101</v>
      </c>
      <c r="C68" s="151">
        <f>INDEX('Analysis of bottom-up tags'!$N$48:$W$51,MATCH(Dashboard!$B68,'Analysis of bottom-up tags'!$B$48:$B$51,0),MATCH(Dashboard!C$21,'Analysis of bottom-up tags'!$N$6:$W$6,0))*C$22</f>
        <v>22.682889767079576</v>
      </c>
      <c r="D68" s="151">
        <f>INDEX('Analysis of bottom-up tags'!$N$48:$W$51,MATCH(Dashboard!$B68,'Analysis of bottom-up tags'!$B$48:$B$51,0),MATCH(Dashboard!D$21,'Analysis of bottom-up tags'!$N$6:$W$6,0))*D$22</f>
        <v>0</v>
      </c>
      <c r="E68" s="151">
        <f>INDEX('Analysis of bottom-up tags'!$N$48:$W$51,MATCH(Dashboard!$B68,'Analysis of bottom-up tags'!$B$48:$B$51,0),MATCH(Dashboard!E$21,'Analysis of bottom-up tags'!$N$6:$W$6,0))*E$22</f>
        <v>108.31985228532362</v>
      </c>
      <c r="F68" s="151">
        <f>INDEX('Analysis of bottom-up tags'!$N$48:$W$51,MATCH(Dashboard!$B68,'Analysis of bottom-up tags'!$B$48:$B$51,0),MATCH(Dashboard!F$21,'Analysis of bottom-up tags'!$N$6:$W$6,0))*F$22</f>
        <v>221.45917914013671</v>
      </c>
      <c r="G68" s="151">
        <f>INDEX('Analysis of bottom-up tags'!$N$48:$W$51,MATCH(Dashboard!$B68,'Analysis of bottom-up tags'!$B$48:$B$51,0),MATCH(Dashboard!G$21,'Analysis of bottom-up tags'!$N$6:$W$6,0))*G$22</f>
        <v>0</v>
      </c>
      <c r="H68" s="151">
        <f>INDEX('Analysis of bottom-up tags'!$N$48:$W$51,MATCH(Dashboard!$B68,'Analysis of bottom-up tags'!$B$48:$B$51,0),MATCH(Dashboard!H$21,'Analysis of bottom-up tags'!$N$6:$W$6,0))*H$22</f>
        <v>37.1449177403112</v>
      </c>
      <c r="I68" s="151">
        <f>INDEX('Analysis of bottom-up tags'!$N$48:$W$51,MATCH(Dashboard!$B68,'Analysis of bottom-up tags'!$B$48:$B$51,0),MATCH(Dashboard!I$21,'Analysis of bottom-up tags'!$N$6:$W$6,0))*I$22</f>
        <v>0</v>
      </c>
      <c r="J68" s="151">
        <f>INDEX('Analysis of bottom-up tags'!$N$48:$W$51,MATCH(Dashboard!$B68,'Analysis of bottom-up tags'!$B$48:$B$51,0),MATCH(Dashboard!J$21,'Analysis of bottom-up tags'!$N$6:$W$6,0))*J$22</f>
        <v>0.35066683279512373</v>
      </c>
      <c r="K68" s="151">
        <f>INDEX('Analysis of bottom-up tags'!$N$48:$W$51,MATCH(Dashboard!$B68,'Analysis of bottom-up tags'!$B$48:$B$51,0),MATCH(Dashboard!K$21,'Analysis of bottom-up tags'!$N$6:$W$6,0))*K$22</f>
        <v>3.5504180808240617</v>
      </c>
      <c r="L68" s="151">
        <f>INDEX('Analysis of bottom-up tags'!$N$48:$W$51,MATCH(Dashboard!$B68,'Analysis of bottom-up tags'!$B$48:$B$51,0),MATCH(Dashboard!L$21,'Analysis of bottom-up tags'!$N$6:$W$6,0))*L$22</f>
        <v>8.6131138595452654</v>
      </c>
      <c r="M68" s="151">
        <f t="shared" si="7"/>
        <v>402.1210377060155</v>
      </c>
    </row>
    <row r="69" spans="2:13">
      <c r="B69" s="151" t="s">
        <v>11102</v>
      </c>
      <c r="C69" s="151">
        <f>INDEX('Analysis of bottom-up tags'!$N$48:$W$51,MATCH(Dashboard!$B69,'Analysis of bottom-up tags'!$B$48:$B$51,0),MATCH(Dashboard!C$21,'Analysis of bottom-up tags'!$N$6:$W$6,0))*C$22</f>
        <v>11.341444883539788</v>
      </c>
      <c r="D69" s="151">
        <f>INDEX('Analysis of bottom-up tags'!$N$48:$W$51,MATCH(Dashboard!$B69,'Analysis of bottom-up tags'!$B$48:$B$51,0),MATCH(Dashboard!D$21,'Analysis of bottom-up tags'!$N$6:$W$6,0))*D$22</f>
        <v>0</v>
      </c>
      <c r="E69" s="151">
        <f>INDEX('Analysis of bottom-up tags'!$N$48:$W$51,MATCH(Dashboard!$B69,'Analysis of bottom-up tags'!$B$48:$B$51,0),MATCH(Dashboard!E$21,'Analysis of bottom-up tags'!$N$6:$W$6,0))*E$22</f>
        <v>173.49577185880568</v>
      </c>
      <c r="F69" s="151">
        <f>INDEX('Analysis of bottom-up tags'!$N$48:$W$51,MATCH(Dashboard!$B69,'Analysis of bottom-up tags'!$B$48:$B$51,0),MATCH(Dashboard!F$21,'Analysis of bottom-up tags'!$N$6:$W$6,0))*F$22</f>
        <v>0</v>
      </c>
      <c r="G69" s="151">
        <f>INDEX('Analysis of bottom-up tags'!$N$48:$W$51,MATCH(Dashboard!$B69,'Analysis of bottom-up tags'!$B$48:$B$51,0),MATCH(Dashboard!G$21,'Analysis of bottom-up tags'!$N$6:$W$6,0))*G$22</f>
        <v>0</v>
      </c>
      <c r="H69" s="151">
        <f>INDEX('Analysis of bottom-up tags'!$N$48:$W$51,MATCH(Dashboard!$B69,'Analysis of bottom-up tags'!$B$48:$B$51,0),MATCH(Dashboard!H$21,'Analysis of bottom-up tags'!$N$6:$W$6,0))*H$22</f>
        <v>0</v>
      </c>
      <c r="I69" s="151">
        <f>INDEX('Analysis of bottom-up tags'!$N$48:$W$51,MATCH(Dashboard!$B69,'Analysis of bottom-up tags'!$B$48:$B$51,0),MATCH(Dashboard!I$21,'Analysis of bottom-up tags'!$N$6:$W$6,0))*I$22</f>
        <v>1.6491183650628984</v>
      </c>
      <c r="J69" s="151">
        <f>INDEX('Analysis of bottom-up tags'!$N$48:$W$51,MATCH(Dashboard!$B69,'Analysis of bottom-up tags'!$B$48:$B$51,0),MATCH(Dashboard!J$21,'Analysis of bottom-up tags'!$N$6:$W$6,0))*J$22</f>
        <v>0</v>
      </c>
      <c r="K69" s="151">
        <f>INDEX('Analysis of bottom-up tags'!$N$48:$W$51,MATCH(Dashboard!$B69,'Analysis of bottom-up tags'!$B$48:$B$51,0),MATCH(Dashboard!K$21,'Analysis of bottom-up tags'!$N$6:$W$6,0))*K$22</f>
        <v>0.83109880140538062</v>
      </c>
      <c r="L69" s="151">
        <f>INDEX('Analysis of bottom-up tags'!$N$48:$W$51,MATCH(Dashboard!$B69,'Analysis of bottom-up tags'!$B$48:$B$51,0),MATCH(Dashboard!L$21,'Analysis of bottom-up tags'!$N$6:$W$6,0))*L$22</f>
        <v>0</v>
      </c>
      <c r="M69" s="151">
        <f t="shared" si="7"/>
        <v>187.31743390881374</v>
      </c>
    </row>
    <row r="70" spans="2:13">
      <c r="B70" s="166" t="s">
        <v>11042</v>
      </c>
      <c r="C70" s="166">
        <f>SUM(C66:C69)</f>
        <v>1062.1143934849285</v>
      </c>
      <c r="D70" s="166">
        <f t="shared" ref="D70:L70" si="10">SUM(D66:D69)</f>
        <v>1165.0851658894628</v>
      </c>
      <c r="E70" s="166">
        <f t="shared" si="10"/>
        <v>1080.5398716825559</v>
      </c>
      <c r="F70" s="166">
        <f t="shared" si="10"/>
        <v>998.16876276638277</v>
      </c>
      <c r="G70" s="166">
        <f t="shared" si="10"/>
        <v>1351.3990768355748</v>
      </c>
      <c r="H70" s="166">
        <f t="shared" si="10"/>
        <v>1460.0301951394745</v>
      </c>
      <c r="I70" s="166">
        <f t="shared" si="10"/>
        <v>1339.3257754127419</v>
      </c>
      <c r="J70" s="166">
        <f t="shared" si="10"/>
        <v>1493.4200137430405</v>
      </c>
      <c r="K70" s="166">
        <f t="shared" si="10"/>
        <v>1728.1321199540896</v>
      </c>
      <c r="L70" s="166">
        <f t="shared" si="10"/>
        <v>1644.2903436718932</v>
      </c>
      <c r="M70" s="166">
        <f t="shared" si="7"/>
        <v>13322.505718580143</v>
      </c>
    </row>
    <row r="71" spans="2:13">
      <c r="B71" s="163" t="s">
        <v>10471</v>
      </c>
      <c r="C71" s="163"/>
      <c r="D71" s="163"/>
      <c r="E71" s="163"/>
      <c r="F71" s="163"/>
      <c r="G71" s="163"/>
      <c r="H71" s="163"/>
      <c r="I71" s="163"/>
      <c r="J71" s="163"/>
      <c r="K71" s="163"/>
      <c r="L71" s="163"/>
      <c r="M71" s="163"/>
    </row>
    <row r="72" spans="2:13">
      <c r="B72" s="22" t="s">
        <v>11163</v>
      </c>
      <c r="C72" s="151">
        <f>INDEX('Analysis of bottom-up tags'!$N$54:$W$69,MATCH(Dashboard!$B72,'Analysis of bottom-up tags'!$B$54:$B$69,0),MATCH(Dashboard!C$21,'Analysis of bottom-up tags'!$N$6:$W$6,0))*C$22</f>
        <v>17.1780019323968</v>
      </c>
      <c r="D72" s="151">
        <f>INDEX('Analysis of bottom-up tags'!$N$54:$W$69,MATCH(Dashboard!$B72,'Analysis of bottom-up tags'!$B$54:$B$69,0),MATCH(Dashboard!D$21,'Analysis of bottom-up tags'!$N$6:$W$6,0))*D$22</f>
        <v>381.76355325772056</v>
      </c>
      <c r="E72" s="151">
        <f>INDEX('Analysis of bottom-up tags'!$N$54:$W$69,MATCH(Dashboard!$B72,'Analysis of bottom-up tags'!$B$54:$B$69,0),MATCH(Dashboard!E$21,'Analysis of bottom-up tags'!$N$6:$W$6,0))*E$22</f>
        <v>114.17091223213185</v>
      </c>
      <c r="F72" s="151">
        <f>INDEX('Analysis of bottom-up tags'!$N$54:$W$69,MATCH(Dashboard!$B72,'Analysis of bottom-up tags'!$B$54:$B$69,0),MATCH(Dashboard!F$21,'Analysis of bottom-up tags'!$N$6:$W$6,0))*F$22</f>
        <v>247.92430372622184</v>
      </c>
      <c r="G72" s="151">
        <f>INDEX('Analysis of bottom-up tags'!$N$54:$W$69,MATCH(Dashboard!$B72,'Analysis of bottom-up tags'!$B$54:$B$69,0),MATCH(Dashboard!G$21,'Analysis of bottom-up tags'!$N$6:$W$6,0))*G$22</f>
        <v>1022.5523396407458</v>
      </c>
      <c r="H72" s="151">
        <f>INDEX('Analysis of bottom-up tags'!$N$54:$W$69,MATCH(Dashboard!$B72,'Analysis of bottom-up tags'!$B$54:$B$69,0),MATCH(Dashboard!H$21,'Analysis of bottom-up tags'!$N$6:$W$6,0))*H$22</f>
        <v>698.61501298650705</v>
      </c>
      <c r="I72" s="151">
        <f>INDEX('Analysis of bottom-up tags'!$N$54:$W$69,MATCH(Dashboard!$B72,'Analysis of bottom-up tags'!$B$54:$B$69,0),MATCH(Dashboard!I$21,'Analysis of bottom-up tags'!$N$6:$W$6,0))*I$22</f>
        <v>1232.4757448591818</v>
      </c>
      <c r="J72" s="151">
        <f>INDEX('Analysis of bottom-up tags'!$N$54:$W$69,MATCH(Dashboard!$B72,'Analysis of bottom-up tags'!$B$54:$B$69,0),MATCH(Dashboard!J$21,'Analysis of bottom-up tags'!$N$6:$W$6,0))*J$22</f>
        <v>499.22718796597331</v>
      </c>
      <c r="K72" s="151">
        <f>INDEX('Analysis of bottom-up tags'!$N$54:$W$69,MATCH(Dashboard!$B72,'Analysis of bottom-up tags'!$B$54:$B$69,0),MATCH(Dashboard!K$21,'Analysis of bottom-up tags'!$N$6:$W$6,0))*K$22</f>
        <v>1588.8261671323323</v>
      </c>
      <c r="L72" s="151">
        <f>INDEX('Analysis of bottom-up tags'!$N$54:$W$69,MATCH(Dashboard!$B72,'Analysis of bottom-up tags'!$B$54:$B$69,0),MATCH(Dashboard!L$21,'Analysis of bottom-up tags'!$N$6:$W$6,0))*L$22</f>
        <v>990.33694682804355</v>
      </c>
      <c r="M72" s="151">
        <f t="shared" si="7"/>
        <v>6793.0701705612546</v>
      </c>
    </row>
    <row r="73" spans="2:13">
      <c r="B73" s="22" t="s">
        <v>10989</v>
      </c>
      <c r="C73" s="151">
        <f>INDEX('Analysis of bottom-up tags'!$N$54:$W$69,MATCH(Dashboard!$B73,'Analysis of bottom-up tags'!$B$54:$B$69,0),MATCH(Dashboard!C$21,'Analysis of bottom-up tags'!$N$6:$W$6,0))*C$22</f>
        <v>632.75281978654505</v>
      </c>
      <c r="D73" s="151">
        <f>INDEX('Analysis of bottom-up tags'!$N$54:$W$69,MATCH(Dashboard!$B73,'Analysis of bottom-up tags'!$B$54:$B$69,0),MATCH(Dashboard!D$21,'Analysis of bottom-up tags'!$N$6:$W$6,0))*D$22</f>
        <v>0</v>
      </c>
      <c r="E73" s="151">
        <f>INDEX('Analysis of bottom-up tags'!$N$54:$W$69,MATCH(Dashboard!$B73,'Analysis of bottom-up tags'!$B$54:$B$69,0),MATCH(Dashboard!E$21,'Analysis of bottom-up tags'!$N$6:$W$6,0))*E$22</f>
        <v>0</v>
      </c>
      <c r="F73" s="151">
        <f>INDEX('Analysis of bottom-up tags'!$N$54:$W$69,MATCH(Dashboard!$B73,'Analysis of bottom-up tags'!$B$54:$B$69,0),MATCH(Dashboard!F$21,'Analysis of bottom-up tags'!$N$6:$W$6,0))*F$22</f>
        <v>18.778852554367031</v>
      </c>
      <c r="G73" s="151">
        <f>INDEX('Analysis of bottom-up tags'!$N$54:$W$69,MATCH(Dashboard!$B73,'Analysis of bottom-up tags'!$B$54:$B$69,0),MATCH(Dashboard!G$21,'Analysis of bottom-up tags'!$N$6:$W$6,0))*G$22</f>
        <v>12.851700496941636</v>
      </c>
      <c r="H73" s="151">
        <f>INDEX('Analysis of bottom-up tags'!$N$54:$W$69,MATCH(Dashboard!$B73,'Analysis of bottom-up tags'!$B$54:$B$69,0),MATCH(Dashboard!H$21,'Analysis of bottom-up tags'!$N$6:$W$6,0))*H$22</f>
        <v>410.04193212943454</v>
      </c>
      <c r="I73" s="151">
        <f>INDEX('Analysis of bottom-up tags'!$N$54:$W$69,MATCH(Dashboard!$B73,'Analysis of bottom-up tags'!$B$54:$B$69,0),MATCH(Dashboard!I$21,'Analysis of bottom-up tags'!$N$6:$W$6,0))*I$22</f>
        <v>4.0043187509001408</v>
      </c>
      <c r="J73" s="151">
        <f>INDEX('Analysis of bottom-up tags'!$N$54:$W$69,MATCH(Dashboard!$B73,'Analysis of bottom-up tags'!$B$54:$B$69,0),MATCH(Dashboard!J$21,'Analysis of bottom-up tags'!$N$6:$W$6,0))*J$22</f>
        <v>52.740354603261409</v>
      </c>
      <c r="K73" s="151">
        <f>INDEX('Analysis of bottom-up tags'!$N$54:$W$69,MATCH(Dashboard!$B73,'Analysis of bottom-up tags'!$B$54:$B$69,0),MATCH(Dashboard!K$21,'Analysis of bottom-up tags'!$N$6:$W$6,0))*K$22</f>
        <v>1.6913111861473757</v>
      </c>
      <c r="L73" s="151">
        <f>INDEX('Analysis of bottom-up tags'!$N$54:$W$69,MATCH(Dashboard!$B73,'Analysis of bottom-up tags'!$B$54:$B$69,0),MATCH(Dashboard!L$21,'Analysis of bottom-up tags'!$N$6:$W$6,0))*L$22</f>
        <v>24.164876778071374</v>
      </c>
      <c r="M73" s="151">
        <f t="shared" si="7"/>
        <v>1157.0261662856688</v>
      </c>
    </row>
    <row r="74" spans="2:13">
      <c r="B74" s="22" t="s">
        <v>10994</v>
      </c>
      <c r="C74" s="151">
        <f>INDEX('Analysis of bottom-up tags'!$N$54:$W$69,MATCH(Dashboard!$B74,'Analysis of bottom-up tags'!$B$54:$B$69,0),MATCH(Dashboard!C$21,'Analysis of bottom-up tags'!$N$6:$W$6,0))*C$22</f>
        <v>340.24334650619363</v>
      </c>
      <c r="D74" s="151">
        <f>INDEX('Analysis of bottom-up tags'!$N$54:$W$69,MATCH(Dashboard!$B74,'Analysis of bottom-up tags'!$B$54:$B$69,0),MATCH(Dashboard!D$21,'Analysis of bottom-up tags'!$N$6:$W$6,0))*D$22</f>
        <v>663.01532796802087</v>
      </c>
      <c r="E74" s="151">
        <f>INDEX('Analysis of bottom-up tags'!$N$54:$W$69,MATCH(Dashboard!$B74,'Analysis of bottom-up tags'!$B$54:$B$69,0),MATCH(Dashboard!E$21,'Analysis of bottom-up tags'!$N$6:$W$6,0))*E$22</f>
        <v>0</v>
      </c>
      <c r="F74" s="151">
        <f>INDEX('Analysis of bottom-up tags'!$N$54:$W$69,MATCH(Dashboard!$B74,'Analysis of bottom-up tags'!$B$54:$B$69,0),MATCH(Dashboard!F$21,'Analysis of bottom-up tags'!$N$6:$W$6,0))*F$22</f>
        <v>92.745421134127795</v>
      </c>
      <c r="G74" s="151">
        <f>INDEX('Analysis of bottom-up tags'!$N$54:$W$69,MATCH(Dashboard!$B74,'Analysis of bottom-up tags'!$B$54:$B$69,0),MATCH(Dashboard!G$21,'Analysis of bottom-up tags'!$N$6:$W$6,0))*G$22</f>
        <v>0.41336233171270759</v>
      </c>
      <c r="H74" s="151">
        <f>INDEX('Analysis of bottom-up tags'!$N$54:$W$69,MATCH(Dashboard!$B74,'Analysis of bottom-up tags'!$B$54:$B$69,0),MATCH(Dashboard!H$21,'Analysis of bottom-up tags'!$N$6:$W$6,0))*H$22</f>
        <v>2.492906063252601</v>
      </c>
      <c r="I74" s="151">
        <f>INDEX('Analysis of bottom-up tags'!$N$54:$W$69,MATCH(Dashboard!$B74,'Analysis of bottom-up tags'!$B$54:$B$69,0),MATCH(Dashboard!I$21,'Analysis of bottom-up tags'!$N$6:$W$6,0))*I$22</f>
        <v>1.971841083644067</v>
      </c>
      <c r="J74" s="151">
        <f>INDEX('Analysis of bottom-up tags'!$N$54:$W$69,MATCH(Dashboard!$B74,'Analysis of bottom-up tags'!$B$54:$B$69,0),MATCH(Dashboard!J$21,'Analysis of bottom-up tags'!$N$6:$W$6,0))*J$22</f>
        <v>0</v>
      </c>
      <c r="K74" s="151">
        <f>INDEX('Analysis of bottom-up tags'!$N$54:$W$69,MATCH(Dashboard!$B74,'Analysis of bottom-up tags'!$B$54:$B$69,0),MATCH(Dashboard!K$21,'Analysis of bottom-up tags'!$N$6:$W$6,0))*K$22</f>
        <v>0.23494872414815585</v>
      </c>
      <c r="L74" s="151">
        <f>INDEX('Analysis of bottom-up tags'!$N$54:$W$69,MATCH(Dashboard!$B74,'Analysis of bottom-up tags'!$B$54:$B$69,0),MATCH(Dashboard!L$21,'Analysis of bottom-up tags'!$N$6:$W$6,0))*L$22</f>
        <v>128.83395977518694</v>
      </c>
      <c r="M74" s="151">
        <f t="shared" si="7"/>
        <v>1229.9511135862867</v>
      </c>
    </row>
    <row r="75" spans="2:13">
      <c r="B75" s="22" t="s">
        <v>11002</v>
      </c>
      <c r="C75" s="151">
        <f>INDEX('Analysis of bottom-up tags'!$N$54:$W$69,MATCH(Dashboard!$B75,'Analysis of bottom-up tags'!$B$54:$B$69,0),MATCH(Dashboard!C$21,'Analysis of bottom-up tags'!$N$6:$W$6,0))*C$22</f>
        <v>0</v>
      </c>
      <c r="D75" s="151">
        <f>INDEX('Analysis of bottom-up tags'!$N$54:$W$69,MATCH(Dashboard!$B75,'Analysis of bottom-up tags'!$B$54:$B$69,0),MATCH(Dashboard!D$21,'Analysis of bottom-up tags'!$N$6:$W$6,0))*D$22</f>
        <v>0</v>
      </c>
      <c r="E75" s="151">
        <f>INDEX('Analysis of bottom-up tags'!$N$54:$W$69,MATCH(Dashboard!$B75,'Analysis of bottom-up tags'!$B$54:$B$69,0),MATCH(Dashboard!E$21,'Analysis of bottom-up tags'!$N$6:$W$6,0))*E$22</f>
        <v>249.66893096711533</v>
      </c>
      <c r="F75" s="151">
        <f>INDEX('Analysis of bottom-up tags'!$N$54:$W$69,MATCH(Dashboard!$B75,'Analysis of bottom-up tags'!$B$54:$B$69,0),MATCH(Dashboard!F$21,'Analysis of bottom-up tags'!$N$6:$W$6,0))*F$22</f>
        <v>0</v>
      </c>
      <c r="G75" s="151">
        <f>INDEX('Analysis of bottom-up tags'!$N$54:$W$69,MATCH(Dashboard!$B75,'Analysis of bottom-up tags'!$B$54:$B$69,0),MATCH(Dashboard!G$21,'Analysis of bottom-up tags'!$N$6:$W$6,0))*G$22</f>
        <v>4.0692079019918088</v>
      </c>
      <c r="H75" s="151">
        <f>INDEX('Analysis of bottom-up tags'!$N$54:$W$69,MATCH(Dashboard!$B75,'Analysis of bottom-up tags'!$B$54:$B$69,0),MATCH(Dashboard!H$21,'Analysis of bottom-up tags'!$N$6:$W$6,0))*H$22</f>
        <v>0</v>
      </c>
      <c r="I75" s="151">
        <f>INDEX('Analysis of bottom-up tags'!$N$54:$W$69,MATCH(Dashboard!$B75,'Analysis of bottom-up tags'!$B$54:$B$69,0),MATCH(Dashboard!I$21,'Analysis of bottom-up tags'!$N$6:$W$6,0))*I$22</f>
        <v>0</v>
      </c>
      <c r="J75" s="151">
        <f>INDEX('Analysis of bottom-up tags'!$N$54:$W$69,MATCH(Dashboard!$B75,'Analysis of bottom-up tags'!$B$54:$B$69,0),MATCH(Dashboard!J$21,'Analysis of bottom-up tags'!$N$6:$W$6,0))*J$22</f>
        <v>54.913815753252244</v>
      </c>
      <c r="K75" s="151">
        <f>INDEX('Analysis of bottom-up tags'!$N$54:$W$69,MATCH(Dashboard!$B75,'Analysis of bottom-up tags'!$B$54:$B$69,0),MATCH(Dashboard!K$21,'Analysis of bottom-up tags'!$N$6:$W$6,0))*K$22</f>
        <v>0</v>
      </c>
      <c r="L75" s="151">
        <f>INDEX('Analysis of bottom-up tags'!$N$54:$W$69,MATCH(Dashboard!$B75,'Analysis of bottom-up tags'!$B$54:$B$69,0),MATCH(Dashboard!L$21,'Analysis of bottom-up tags'!$N$6:$W$6,0))*L$22</f>
        <v>11.956673265958855</v>
      </c>
      <c r="M75" s="151">
        <f t="shared" si="7"/>
        <v>320.60862788831821</v>
      </c>
    </row>
    <row r="76" spans="2:13">
      <c r="B76" s="22" t="s">
        <v>11164</v>
      </c>
      <c r="C76" s="151">
        <f>INDEX('Analysis of bottom-up tags'!$N$54:$W$69,MATCH(Dashboard!$B76,'Analysis of bottom-up tags'!$B$54:$B$69,0),MATCH(Dashboard!C$21,'Analysis of bottom-up tags'!$N$6:$W$6,0))*C$22</f>
        <v>0</v>
      </c>
      <c r="D76" s="151">
        <f>INDEX('Analysis of bottom-up tags'!$N$54:$W$69,MATCH(Dashboard!$B76,'Analysis of bottom-up tags'!$B$54:$B$69,0),MATCH(Dashboard!D$21,'Analysis of bottom-up tags'!$N$6:$W$6,0))*D$22</f>
        <v>0</v>
      </c>
      <c r="E76" s="151">
        <f>INDEX('Analysis of bottom-up tags'!$N$54:$W$69,MATCH(Dashboard!$B76,'Analysis of bottom-up tags'!$B$54:$B$69,0),MATCH(Dashboard!E$21,'Analysis of bottom-up tags'!$N$6:$W$6,0))*E$22</f>
        <v>5.3767133673116065</v>
      </c>
      <c r="F76" s="151">
        <f>INDEX('Analysis of bottom-up tags'!$N$54:$W$69,MATCH(Dashboard!$B76,'Analysis of bottom-up tags'!$B$54:$B$69,0),MATCH(Dashboard!F$21,'Analysis of bottom-up tags'!$N$6:$W$6,0))*F$22</f>
        <v>0</v>
      </c>
      <c r="G76" s="151">
        <f>INDEX('Analysis of bottom-up tags'!$N$54:$W$69,MATCH(Dashboard!$B76,'Analysis of bottom-up tags'!$B$54:$B$69,0),MATCH(Dashboard!G$21,'Analysis of bottom-up tags'!$N$6:$W$6,0))*G$22</f>
        <v>0</v>
      </c>
      <c r="H76" s="151">
        <f>INDEX('Analysis of bottom-up tags'!$N$54:$W$69,MATCH(Dashboard!$B76,'Analysis of bottom-up tags'!$B$54:$B$69,0),MATCH(Dashboard!H$21,'Analysis of bottom-up tags'!$N$6:$W$6,0))*H$22</f>
        <v>179.12410489201534</v>
      </c>
      <c r="I76" s="151">
        <f>INDEX('Analysis of bottom-up tags'!$N$54:$W$69,MATCH(Dashboard!$B76,'Analysis of bottom-up tags'!$B$54:$B$69,0),MATCH(Dashboard!I$21,'Analysis of bottom-up tags'!$N$6:$W$6,0))*I$22</f>
        <v>2.1123269213323135</v>
      </c>
      <c r="J76" s="151">
        <f>INDEX('Analysis of bottom-up tags'!$N$54:$W$69,MATCH(Dashboard!$B76,'Analysis of bottom-up tags'!$B$54:$B$69,0),MATCH(Dashboard!J$21,'Analysis of bottom-up tags'!$N$6:$W$6,0))*J$22</f>
        <v>263.77280117596263</v>
      </c>
      <c r="K76" s="151">
        <f>INDEX('Analysis of bottom-up tags'!$N$54:$W$69,MATCH(Dashboard!$B76,'Analysis of bottom-up tags'!$B$54:$B$69,0),MATCH(Dashboard!K$21,'Analysis of bottom-up tags'!$N$6:$W$6,0))*K$22</f>
        <v>48.367758118576184</v>
      </c>
      <c r="L76" s="151">
        <f>INDEX('Analysis of bottom-up tags'!$N$54:$W$69,MATCH(Dashboard!$B76,'Analysis of bottom-up tags'!$B$54:$B$69,0),MATCH(Dashboard!L$21,'Analysis of bottom-up tags'!$N$6:$W$6,0))*L$22</f>
        <v>0</v>
      </c>
      <c r="M76" s="151">
        <f t="shared" si="7"/>
        <v>498.75370447519805</v>
      </c>
    </row>
    <row r="77" spans="2:13">
      <c r="B77" s="22" t="s">
        <v>10992</v>
      </c>
      <c r="C77" s="151">
        <f>INDEX('Analysis of bottom-up tags'!$N$54:$W$69,MATCH(Dashboard!$B77,'Analysis of bottom-up tags'!$B$54:$B$69,0),MATCH(Dashboard!C$21,'Analysis of bottom-up tags'!$N$6:$W$6,0))*C$22</f>
        <v>0</v>
      </c>
      <c r="D77" s="151">
        <f>INDEX('Analysis of bottom-up tags'!$N$54:$W$69,MATCH(Dashboard!$B77,'Analysis of bottom-up tags'!$B$54:$B$69,0),MATCH(Dashboard!D$21,'Analysis of bottom-up tags'!$N$6:$W$6,0))*D$22</f>
        <v>0</v>
      </c>
      <c r="E77" s="151">
        <f>INDEX('Analysis of bottom-up tags'!$N$54:$W$69,MATCH(Dashboard!$B77,'Analysis of bottom-up tags'!$B$54:$B$69,0),MATCH(Dashboard!E$21,'Analysis of bottom-up tags'!$N$6:$W$6,0))*E$22</f>
        <v>0</v>
      </c>
      <c r="F77" s="151">
        <f>INDEX('Analysis of bottom-up tags'!$N$54:$W$69,MATCH(Dashboard!$B77,'Analysis of bottom-up tags'!$B$54:$B$69,0),MATCH(Dashboard!F$21,'Analysis of bottom-up tags'!$N$6:$W$6,0))*F$22</f>
        <v>0</v>
      </c>
      <c r="G77" s="151">
        <f>INDEX('Analysis of bottom-up tags'!$N$54:$W$69,MATCH(Dashboard!$B77,'Analysis of bottom-up tags'!$B$54:$B$69,0),MATCH(Dashboard!G$21,'Analysis of bottom-up tags'!$N$6:$W$6,0))*G$22</f>
        <v>0</v>
      </c>
      <c r="H77" s="151">
        <f>INDEX('Analysis of bottom-up tags'!$N$54:$W$69,MATCH(Dashboard!$B77,'Analysis of bottom-up tags'!$B$54:$B$69,0),MATCH(Dashboard!H$21,'Analysis of bottom-up tags'!$N$6:$W$6,0))*H$22</f>
        <v>0</v>
      </c>
      <c r="I77" s="151">
        <f>INDEX('Analysis of bottom-up tags'!$N$54:$W$69,MATCH(Dashboard!$B77,'Analysis of bottom-up tags'!$B$54:$B$69,0),MATCH(Dashboard!I$21,'Analysis of bottom-up tags'!$N$6:$W$6,0))*I$22</f>
        <v>0</v>
      </c>
      <c r="J77" s="151">
        <f>INDEX('Analysis of bottom-up tags'!$N$54:$W$69,MATCH(Dashboard!$B77,'Analysis of bottom-up tags'!$B$54:$B$69,0),MATCH(Dashboard!J$21,'Analysis of bottom-up tags'!$N$6:$W$6,0))*J$22</f>
        <v>0</v>
      </c>
      <c r="K77" s="151">
        <f>INDEX('Analysis of bottom-up tags'!$N$54:$W$69,MATCH(Dashboard!$B77,'Analysis of bottom-up tags'!$B$54:$B$69,0),MATCH(Dashboard!K$21,'Analysis of bottom-up tags'!$N$6:$W$6,0))*K$22</f>
        <v>1.7610349304877457</v>
      </c>
      <c r="L77" s="151">
        <f>INDEX('Analysis of bottom-up tags'!$N$54:$W$69,MATCH(Dashboard!$B77,'Analysis of bottom-up tags'!$B$54:$B$69,0),MATCH(Dashboard!L$21,'Analysis of bottom-up tags'!$N$6:$W$6,0))*L$22</f>
        <v>0</v>
      </c>
      <c r="M77" s="151">
        <f t="shared" si="7"/>
        <v>1.7610349304877457</v>
      </c>
    </row>
    <row r="78" spans="2:13">
      <c r="B78" s="22" t="s">
        <v>10974</v>
      </c>
      <c r="C78" s="151">
        <f>INDEX('Analysis of bottom-up tags'!$N$54:$W$69,MATCH(Dashboard!$B78,'Analysis of bottom-up tags'!$B$54:$B$69,0),MATCH(Dashboard!C$21,'Analysis of bottom-up tags'!$N$6:$W$6,0))*C$22</f>
        <v>26.360659489579209</v>
      </c>
      <c r="D78" s="151">
        <f>INDEX('Analysis of bottom-up tags'!$N$54:$W$69,MATCH(Dashboard!$B78,'Analysis of bottom-up tags'!$B$54:$B$69,0),MATCH(Dashboard!D$21,'Analysis of bottom-up tags'!$N$6:$W$6,0))*D$22</f>
        <v>39.116305087280985</v>
      </c>
      <c r="E78" s="151">
        <f>INDEX('Analysis of bottom-up tags'!$N$54:$W$69,MATCH(Dashboard!$B78,'Analysis of bottom-up tags'!$B$54:$B$69,0),MATCH(Dashboard!E$21,'Analysis of bottom-up tags'!$N$6:$W$6,0))*E$22</f>
        <v>603.00346283067358</v>
      </c>
      <c r="F78" s="151">
        <f>INDEX('Analysis of bottom-up tags'!$N$54:$W$69,MATCH(Dashboard!$B78,'Analysis of bottom-up tags'!$B$54:$B$69,0),MATCH(Dashboard!F$21,'Analysis of bottom-up tags'!$N$6:$W$6,0))*F$22</f>
        <v>109.68341685160834</v>
      </c>
      <c r="G78" s="151">
        <f>INDEX('Analysis of bottom-up tags'!$N$54:$W$69,MATCH(Dashboard!$B78,'Analysis of bottom-up tags'!$B$54:$B$69,0),MATCH(Dashboard!G$21,'Analysis of bottom-up tags'!$N$6:$W$6,0))*G$22</f>
        <v>296.42511489866735</v>
      </c>
      <c r="H78" s="151">
        <f>INDEX('Analysis of bottom-up tags'!$N$54:$W$69,MATCH(Dashboard!$B78,'Analysis of bottom-up tags'!$B$54:$B$69,0),MATCH(Dashboard!H$21,'Analysis of bottom-up tags'!$N$6:$W$6,0))*H$22</f>
        <v>115.1624821629637</v>
      </c>
      <c r="I78" s="151">
        <f>INDEX('Analysis of bottom-up tags'!$N$54:$W$69,MATCH(Dashboard!$B78,'Analysis of bottom-up tags'!$B$54:$B$69,0),MATCH(Dashboard!I$21,'Analysis of bottom-up tags'!$N$6:$W$6,0))*I$22</f>
        <v>90.466695556869524</v>
      </c>
      <c r="J78" s="151">
        <f>INDEX('Analysis of bottom-up tags'!$N$54:$W$69,MATCH(Dashboard!$B78,'Analysis of bottom-up tags'!$B$54:$B$69,0),MATCH(Dashboard!J$21,'Analysis of bottom-up tags'!$N$6:$W$6,0))*J$22</f>
        <v>478.24976886867057</v>
      </c>
      <c r="K78" s="151">
        <f>INDEX('Analysis of bottom-up tags'!$N$54:$W$69,MATCH(Dashboard!$B78,'Analysis of bottom-up tags'!$B$54:$B$69,0),MATCH(Dashboard!K$21,'Analysis of bottom-up tags'!$N$6:$W$6,0))*K$22</f>
        <v>58.118235456894645</v>
      </c>
      <c r="L78" s="151">
        <f>INDEX('Analysis of bottom-up tags'!$N$54:$W$69,MATCH(Dashboard!$B78,'Analysis of bottom-up tags'!$B$54:$B$69,0),MATCH(Dashboard!L$21,'Analysis of bottom-up tags'!$N$6:$W$6,0))*L$22</f>
        <v>377.44263063146923</v>
      </c>
      <c r="M78" s="151">
        <f t="shared" si="7"/>
        <v>2194.0287718346772</v>
      </c>
    </row>
    <row r="79" spans="2:13">
      <c r="B79" s="22" t="s">
        <v>11165</v>
      </c>
      <c r="C79" s="151">
        <f>INDEX('Analysis of bottom-up tags'!$N$54:$W$69,MATCH(Dashboard!$B79,'Analysis of bottom-up tags'!$B$54:$B$69,0),MATCH(Dashboard!C$21,'Analysis of bottom-up tags'!$N$6:$W$6,0))*C$22</f>
        <v>0</v>
      </c>
      <c r="D79" s="151">
        <f>INDEX('Analysis of bottom-up tags'!$N$54:$W$69,MATCH(Dashboard!$B79,'Analysis of bottom-up tags'!$B$54:$B$69,0),MATCH(Dashboard!D$21,'Analysis of bottom-up tags'!$N$6:$W$6,0))*D$22</f>
        <v>0</v>
      </c>
      <c r="E79" s="151">
        <f>INDEX('Analysis of bottom-up tags'!$N$54:$W$69,MATCH(Dashboard!$B79,'Analysis of bottom-up tags'!$B$54:$B$69,0),MATCH(Dashboard!E$21,'Analysis of bottom-up tags'!$N$6:$W$6,0))*E$22</f>
        <v>0</v>
      </c>
      <c r="F79" s="151">
        <f>INDEX('Analysis of bottom-up tags'!$N$54:$W$69,MATCH(Dashboard!$B79,'Analysis of bottom-up tags'!$B$54:$B$69,0),MATCH(Dashboard!F$21,'Analysis of bottom-up tags'!$N$6:$W$6,0))*F$22</f>
        <v>0</v>
      </c>
      <c r="G79" s="151">
        <f>INDEX('Analysis of bottom-up tags'!$N$54:$W$69,MATCH(Dashboard!$B79,'Analysis of bottom-up tags'!$B$54:$B$69,0),MATCH(Dashboard!G$21,'Analysis of bottom-up tags'!$N$6:$W$6,0))*G$22</f>
        <v>0</v>
      </c>
      <c r="H79" s="151">
        <f>INDEX('Analysis of bottom-up tags'!$N$54:$W$69,MATCH(Dashboard!$B79,'Analysis of bottom-up tags'!$B$54:$B$69,0),MATCH(Dashboard!H$21,'Analysis of bottom-up tags'!$N$6:$W$6,0))*H$22</f>
        <v>0</v>
      </c>
      <c r="I79" s="151">
        <f>INDEX('Analysis of bottom-up tags'!$N$54:$W$69,MATCH(Dashboard!$B79,'Analysis of bottom-up tags'!$B$54:$B$69,0),MATCH(Dashboard!I$21,'Analysis of bottom-up tags'!$N$6:$W$6,0))*I$22</f>
        <v>0.23969361884459409</v>
      </c>
      <c r="J79" s="151">
        <f>INDEX('Analysis of bottom-up tags'!$N$54:$W$69,MATCH(Dashboard!$B79,'Analysis of bottom-up tags'!$B$54:$B$69,0),MATCH(Dashboard!J$21,'Analysis of bottom-up tags'!$N$6:$W$6,0))*J$22</f>
        <v>40.010382936715288</v>
      </c>
      <c r="K79" s="151">
        <f>INDEX('Analysis of bottom-up tags'!$N$54:$W$69,MATCH(Dashboard!$B79,'Analysis of bottom-up tags'!$B$54:$B$69,0),MATCH(Dashboard!K$21,'Analysis of bottom-up tags'!$N$6:$W$6,0))*K$22</f>
        <v>0</v>
      </c>
      <c r="L79" s="151">
        <f>INDEX('Analysis of bottom-up tags'!$N$54:$W$69,MATCH(Dashboard!$B79,'Analysis of bottom-up tags'!$B$54:$B$69,0),MATCH(Dashboard!L$21,'Analysis of bottom-up tags'!$N$6:$W$6,0))*L$22</f>
        <v>0</v>
      </c>
      <c r="M79" s="151">
        <f t="shared" si="7"/>
        <v>40.250076555559879</v>
      </c>
    </row>
    <row r="80" spans="2:13">
      <c r="B80" s="22" t="s">
        <v>10978</v>
      </c>
      <c r="C80" s="151">
        <f>INDEX('Analysis of bottom-up tags'!$N$54:$W$69,MATCH(Dashboard!$B80,'Analysis of bottom-up tags'!$B$54:$B$69,0),MATCH(Dashboard!C$21,'Analysis of bottom-up tags'!$N$6:$W$6,0))*C$22</f>
        <v>0</v>
      </c>
      <c r="D80" s="151">
        <f>INDEX('Analysis of bottom-up tags'!$N$54:$W$69,MATCH(Dashboard!$B80,'Analysis of bottom-up tags'!$B$54:$B$69,0),MATCH(Dashboard!D$21,'Analysis of bottom-up tags'!$N$6:$W$6,0))*D$22</f>
        <v>0</v>
      </c>
      <c r="E80" s="151">
        <f>INDEX('Analysis of bottom-up tags'!$N$54:$W$69,MATCH(Dashboard!$B80,'Analysis of bottom-up tags'!$B$54:$B$69,0),MATCH(Dashboard!E$21,'Analysis of bottom-up tags'!$N$6:$W$6,0))*E$22</f>
        <v>0</v>
      </c>
      <c r="F80" s="151">
        <f>INDEX('Analysis of bottom-up tags'!$N$54:$W$69,MATCH(Dashboard!$B80,'Analysis of bottom-up tags'!$B$54:$B$69,0),MATCH(Dashboard!F$21,'Analysis of bottom-up tags'!$N$6:$W$6,0))*F$22</f>
        <v>0</v>
      </c>
      <c r="G80" s="151">
        <f>INDEX('Analysis of bottom-up tags'!$N$54:$W$69,MATCH(Dashboard!$B80,'Analysis of bottom-up tags'!$B$54:$B$69,0),MATCH(Dashboard!G$21,'Analysis of bottom-up tags'!$N$6:$W$6,0))*G$22</f>
        <v>0</v>
      </c>
      <c r="H80" s="151">
        <f>INDEX('Analysis of bottom-up tags'!$N$54:$W$69,MATCH(Dashboard!$B80,'Analysis of bottom-up tags'!$B$54:$B$69,0),MATCH(Dashboard!H$21,'Analysis of bottom-up tags'!$N$6:$W$6,0))*H$22</f>
        <v>0</v>
      </c>
      <c r="I80" s="151">
        <f>INDEX('Analysis of bottom-up tags'!$N$54:$W$69,MATCH(Dashboard!$B80,'Analysis of bottom-up tags'!$B$54:$B$69,0),MATCH(Dashboard!I$21,'Analysis of bottom-up tags'!$N$6:$W$6,0))*I$22</f>
        <v>4.3374285787495337</v>
      </c>
      <c r="J80" s="151">
        <f>INDEX('Analysis of bottom-up tags'!$N$54:$W$69,MATCH(Dashboard!$B80,'Analysis of bottom-up tags'!$B$54:$B$69,0),MATCH(Dashboard!J$21,'Analysis of bottom-up tags'!$N$6:$W$6,0))*J$22</f>
        <v>32.883697175990385</v>
      </c>
      <c r="K80" s="151">
        <f>INDEX('Analysis of bottom-up tags'!$N$54:$W$69,MATCH(Dashboard!$B80,'Analysis of bottom-up tags'!$B$54:$B$69,0),MATCH(Dashboard!K$21,'Analysis of bottom-up tags'!$N$6:$W$6,0))*K$22</f>
        <v>2.110689899928178</v>
      </c>
      <c r="L80" s="151">
        <f>INDEX('Analysis of bottom-up tags'!$N$54:$W$69,MATCH(Dashboard!$B80,'Analysis of bottom-up tags'!$B$54:$B$69,0),MATCH(Dashboard!L$21,'Analysis of bottom-up tags'!$N$6:$W$6,0))*L$22</f>
        <v>16.017136834503447</v>
      </c>
      <c r="M80" s="151">
        <f t="shared" si="7"/>
        <v>55.348952489171538</v>
      </c>
    </row>
    <row r="81" spans="2:14">
      <c r="B81" s="22" t="s">
        <v>11167</v>
      </c>
      <c r="C81" s="151">
        <f>INDEX('Analysis of bottom-up tags'!$N$54:$W$69,MATCH(Dashboard!$B81,'Analysis of bottom-up tags'!$B$54:$B$69,0),MATCH(Dashboard!C$21,'Analysis of bottom-up tags'!$N$6:$W$6,0))*C$22</f>
        <v>10.207300395185809</v>
      </c>
      <c r="D81" s="151">
        <f>INDEX('Analysis of bottom-up tags'!$N$54:$W$69,MATCH(Dashboard!$B81,'Analysis of bottom-up tags'!$B$54:$B$69,0),MATCH(Dashboard!D$21,'Analysis of bottom-up tags'!$N$6:$W$6,0))*D$22</f>
        <v>81.189979576440436</v>
      </c>
      <c r="E81" s="151">
        <f>INDEX('Analysis of bottom-up tags'!$N$54:$W$69,MATCH(Dashboard!$B81,'Analysis of bottom-up tags'!$B$54:$B$69,0),MATCH(Dashboard!E$21,'Analysis of bottom-up tags'!$N$6:$W$6,0))*E$22</f>
        <v>0</v>
      </c>
      <c r="F81" s="151">
        <f>INDEX('Analysis of bottom-up tags'!$N$54:$W$69,MATCH(Dashboard!$B81,'Analysis of bottom-up tags'!$B$54:$B$69,0),MATCH(Dashboard!F$21,'Analysis of bottom-up tags'!$N$6:$W$6,0))*F$22</f>
        <v>259.1130861162892</v>
      </c>
      <c r="G81" s="151">
        <f>INDEX('Analysis of bottom-up tags'!$N$54:$W$69,MATCH(Dashboard!$B81,'Analysis of bottom-up tags'!$B$54:$B$69,0),MATCH(Dashboard!G$21,'Analysis of bottom-up tags'!$N$6:$W$6,0))*G$22</f>
        <v>12.893397745249771</v>
      </c>
      <c r="H81" s="151">
        <f>INDEX('Analysis of bottom-up tags'!$N$54:$W$69,MATCH(Dashboard!$B81,'Analysis of bottom-up tags'!$B$54:$B$69,0),MATCH(Dashboard!H$21,'Analysis of bottom-up tags'!$N$6:$W$6,0))*H$22</f>
        <v>5.9614782342998698</v>
      </c>
      <c r="I81" s="151">
        <f>INDEX('Analysis of bottom-up tags'!$N$54:$W$69,MATCH(Dashboard!$B81,'Analysis of bottom-up tags'!$B$54:$B$69,0),MATCH(Dashboard!I$21,'Analysis of bottom-up tags'!$N$6:$W$6,0))*I$22</f>
        <v>2.3767518591471335</v>
      </c>
      <c r="J81" s="151">
        <f>INDEX('Analysis of bottom-up tags'!$N$54:$W$69,MATCH(Dashboard!$B81,'Analysis of bottom-up tags'!$B$54:$B$69,0),MATCH(Dashboard!J$21,'Analysis of bottom-up tags'!$N$6:$W$6,0))*J$22</f>
        <v>0.77164394434148142</v>
      </c>
      <c r="K81" s="151">
        <f>INDEX('Analysis of bottom-up tags'!$N$54:$W$69,MATCH(Dashboard!$B81,'Analysis of bottom-up tags'!$B$54:$B$69,0),MATCH(Dashboard!K$21,'Analysis of bottom-up tags'!$N$6:$W$6,0))*K$22</f>
        <v>2.75371184101515</v>
      </c>
      <c r="L81" s="151">
        <f>INDEX('Analysis of bottom-up tags'!$N$54:$W$69,MATCH(Dashboard!$B81,'Analysis of bottom-up tags'!$B$54:$B$69,0),MATCH(Dashboard!L$21,'Analysis of bottom-up tags'!$N$6:$W$6,0))*L$22</f>
        <v>32.144834923362168</v>
      </c>
      <c r="M81" s="151">
        <f t="shared" si="7"/>
        <v>407.41218463533102</v>
      </c>
    </row>
    <row r="82" spans="2:14">
      <c r="B82" s="22" t="s">
        <v>10999</v>
      </c>
      <c r="C82" s="151">
        <f>INDEX('Analysis of bottom-up tags'!$N$54:$W$69,MATCH(Dashboard!$B82,'Analysis of bottom-up tags'!$B$54:$B$69,0),MATCH(Dashboard!C$21,'Analysis of bottom-up tags'!$N$6:$W$6,0))*C$22</f>
        <v>0</v>
      </c>
      <c r="D82" s="151">
        <f>INDEX('Analysis of bottom-up tags'!$N$54:$W$69,MATCH(Dashboard!$B82,'Analysis of bottom-up tags'!$B$54:$B$69,0),MATCH(Dashboard!D$21,'Analysis of bottom-up tags'!$N$6:$W$6,0))*D$22</f>
        <v>0</v>
      </c>
      <c r="E82" s="151">
        <f>INDEX('Analysis of bottom-up tags'!$N$54:$W$69,MATCH(Dashboard!$B82,'Analysis of bottom-up tags'!$B$54:$B$69,0),MATCH(Dashboard!E$21,'Analysis of bottom-up tags'!$N$6:$W$6,0))*E$22</f>
        <v>0</v>
      </c>
      <c r="F82" s="151">
        <f>INDEX('Analysis of bottom-up tags'!$N$54:$W$69,MATCH(Dashboard!$B82,'Analysis of bottom-up tags'!$B$54:$B$69,0),MATCH(Dashboard!F$21,'Analysis of bottom-up tags'!$N$6:$W$6,0))*F$22</f>
        <v>48.464503243632066</v>
      </c>
      <c r="G82" s="151">
        <f>INDEX('Analysis of bottom-up tags'!$N$54:$W$69,MATCH(Dashboard!$B82,'Analysis of bottom-up tags'!$B$54:$B$69,0),MATCH(Dashboard!G$21,'Analysis of bottom-up tags'!$N$6:$W$6,0))*G$22</f>
        <v>0</v>
      </c>
      <c r="H82" s="151">
        <f>INDEX('Analysis of bottom-up tags'!$N$54:$W$69,MATCH(Dashboard!$B82,'Analysis of bottom-up tags'!$B$54:$B$69,0),MATCH(Dashboard!H$21,'Analysis of bottom-up tags'!$N$6:$W$6,0))*H$22</f>
        <v>11.843243916327189</v>
      </c>
      <c r="I82" s="151">
        <f>INDEX('Analysis of bottom-up tags'!$N$54:$W$69,MATCH(Dashboard!$B82,'Analysis of bottom-up tags'!$B$54:$B$69,0),MATCH(Dashboard!I$21,'Analysis of bottom-up tags'!$N$6:$W$6,0))*I$22</f>
        <v>0.12013436256110499</v>
      </c>
      <c r="J82" s="151">
        <f>INDEX('Analysis of bottom-up tags'!$N$54:$W$69,MATCH(Dashboard!$B82,'Analysis of bottom-up tags'!$B$54:$B$69,0),MATCH(Dashboard!J$21,'Analysis of bottom-up tags'!$N$6:$W$6,0))*J$22</f>
        <v>10.613153884305278</v>
      </c>
      <c r="K82" s="151">
        <f>INDEX('Analysis of bottom-up tags'!$N$54:$W$69,MATCH(Dashboard!$B82,'Analysis of bottom-up tags'!$B$54:$B$69,0),MATCH(Dashboard!K$21,'Analysis of bottom-up tags'!$N$6:$W$6,0))*K$22</f>
        <v>21.039488857131303</v>
      </c>
      <c r="L82" s="151">
        <f>INDEX('Analysis of bottom-up tags'!$N$54:$W$69,MATCH(Dashboard!$B82,'Analysis of bottom-up tags'!$B$54:$B$69,0),MATCH(Dashboard!L$21,'Analysis of bottom-up tags'!$N$6:$W$6,0))*L$22</f>
        <v>2.8187421016763432</v>
      </c>
      <c r="M82" s="151">
        <f t="shared" si="7"/>
        <v>94.899266365633295</v>
      </c>
    </row>
    <row r="83" spans="2:14">
      <c r="B83" s="22" t="s">
        <v>11112</v>
      </c>
      <c r="C83" s="151">
        <f>INDEX('Analysis of bottom-up tags'!$N$54:$W$69,MATCH(Dashboard!$B83,'Analysis of bottom-up tags'!$B$54:$B$69,0),MATCH(Dashboard!C$21,'Analysis of bottom-up tags'!$N$6:$W$6,0))*C$22</f>
        <v>0</v>
      </c>
      <c r="D83" s="151">
        <f>INDEX('Analysis of bottom-up tags'!$N$54:$W$69,MATCH(Dashboard!$B83,'Analysis of bottom-up tags'!$B$54:$B$69,0),MATCH(Dashboard!D$21,'Analysis of bottom-up tags'!$N$6:$W$6,0))*D$22</f>
        <v>0</v>
      </c>
      <c r="E83" s="151">
        <f>INDEX('Analysis of bottom-up tags'!$N$54:$W$69,MATCH(Dashboard!$B83,'Analysis of bottom-up tags'!$B$54:$B$69,0),MATCH(Dashboard!E$21,'Analysis of bottom-up tags'!$N$6:$W$6,0))*E$22</f>
        <v>0</v>
      </c>
      <c r="F83" s="151">
        <f>INDEX('Analysis of bottom-up tags'!$N$54:$W$69,MATCH(Dashboard!$B83,'Analysis of bottom-up tags'!$B$54:$B$69,0),MATCH(Dashboard!F$21,'Analysis of bottom-up tags'!$N$6:$W$6,0))*F$22</f>
        <v>221.45917914013671</v>
      </c>
      <c r="G83" s="151">
        <f>INDEX('Analysis of bottom-up tags'!$N$54:$W$69,MATCH(Dashboard!$B83,'Analysis of bottom-up tags'!$B$54:$B$69,0),MATCH(Dashboard!G$21,'Analysis of bottom-up tags'!$N$6:$W$6,0))*G$22</f>
        <v>2.1939538202651163</v>
      </c>
      <c r="H83" s="151">
        <f>INDEX('Analysis of bottom-up tags'!$N$54:$W$69,MATCH(Dashboard!$B83,'Analysis of bottom-up tags'!$B$54:$B$69,0),MATCH(Dashboard!H$21,'Analysis of bottom-up tags'!$N$6:$W$6,0))*H$22</f>
        <v>0</v>
      </c>
      <c r="I83" s="151">
        <f>INDEX('Analysis of bottom-up tags'!$N$54:$W$69,MATCH(Dashboard!$B83,'Analysis of bottom-up tags'!$B$54:$B$69,0),MATCH(Dashboard!I$21,'Analysis of bottom-up tags'!$N$6:$W$6,0))*I$22</f>
        <v>0</v>
      </c>
      <c r="J83" s="151">
        <f>INDEX('Analysis of bottom-up tags'!$N$54:$W$69,MATCH(Dashboard!$B83,'Analysis of bottom-up tags'!$B$54:$B$69,0),MATCH(Dashboard!J$21,'Analysis of bottom-up tags'!$N$6:$W$6,0))*J$22</f>
        <v>0</v>
      </c>
      <c r="K83" s="151">
        <f>INDEX('Analysis of bottom-up tags'!$N$54:$W$69,MATCH(Dashboard!$B83,'Analysis of bottom-up tags'!$B$54:$B$69,0),MATCH(Dashboard!K$21,'Analysis of bottom-up tags'!$N$6:$W$6,0))*K$22</f>
        <v>0</v>
      </c>
      <c r="L83" s="151">
        <f>INDEX('Analysis of bottom-up tags'!$N$54:$W$69,MATCH(Dashboard!$B83,'Analysis of bottom-up tags'!$B$54:$B$69,0),MATCH(Dashboard!L$21,'Analysis of bottom-up tags'!$N$6:$W$6,0))*L$22</f>
        <v>0</v>
      </c>
      <c r="M83" s="151">
        <f t="shared" si="7"/>
        <v>223.65313296040182</v>
      </c>
    </row>
    <row r="84" spans="2:14">
      <c r="B84" s="22" t="s">
        <v>11087</v>
      </c>
      <c r="C84" s="151">
        <f>INDEX('Analysis of bottom-up tags'!$N$54:$W$69,MATCH(Dashboard!$B84,'Analysis of bottom-up tags'!$B$54:$B$69,0),MATCH(Dashboard!C$21,'Analysis of bottom-up tags'!$N$6:$W$6,0))*C$22</f>
        <v>0</v>
      </c>
      <c r="D84" s="151">
        <f>INDEX('Analysis of bottom-up tags'!$N$54:$W$69,MATCH(Dashboard!$B84,'Analysis of bottom-up tags'!$B$54:$B$69,0),MATCH(Dashboard!D$21,'Analysis of bottom-up tags'!$N$6:$W$6,0))*D$22</f>
        <v>0</v>
      </c>
      <c r="E84" s="151">
        <f>INDEX('Analysis of bottom-up tags'!$N$54:$W$69,MATCH(Dashboard!$B84,'Analysis of bottom-up tags'!$B$54:$B$69,0),MATCH(Dashboard!E$21,'Analysis of bottom-up tags'!$N$6:$W$6,0))*E$22</f>
        <v>0</v>
      </c>
      <c r="F84" s="151">
        <f>INDEX('Analysis of bottom-up tags'!$N$54:$W$69,MATCH(Dashboard!$B84,'Analysis of bottom-up tags'!$B$54:$B$69,0),MATCH(Dashboard!F$21,'Analysis of bottom-up tags'!$N$6:$W$6,0))*F$22</f>
        <v>0</v>
      </c>
      <c r="G84" s="151">
        <f>INDEX('Analysis of bottom-up tags'!$N$54:$W$69,MATCH(Dashboard!$B84,'Analysis of bottom-up tags'!$B$54:$B$69,0),MATCH(Dashboard!G$21,'Analysis of bottom-up tags'!$N$6:$W$6,0))*G$22</f>
        <v>0</v>
      </c>
      <c r="H84" s="151">
        <f>INDEX('Analysis of bottom-up tags'!$N$54:$W$69,MATCH(Dashboard!$B84,'Analysis of bottom-up tags'!$B$54:$B$69,0),MATCH(Dashboard!H$21,'Analysis of bottom-up tags'!$N$6:$W$6,0))*H$22</f>
        <v>0</v>
      </c>
      <c r="I84" s="151">
        <f>INDEX('Analysis of bottom-up tags'!$N$54:$W$69,MATCH(Dashboard!$B84,'Analysis of bottom-up tags'!$B$54:$B$69,0),MATCH(Dashboard!I$21,'Analysis of bottom-up tags'!$N$6:$W$6,0))*I$22</f>
        <v>0.97917135626537422</v>
      </c>
      <c r="J84" s="151">
        <f>INDEX('Analysis of bottom-up tags'!$N$54:$W$69,MATCH(Dashboard!$B84,'Analysis of bottom-up tags'!$B$54:$B$69,0),MATCH(Dashboard!J$21,'Analysis of bottom-up tags'!$N$6:$W$6,0))*J$22</f>
        <v>55.553138733201727</v>
      </c>
      <c r="K84" s="151">
        <f>INDEX('Analysis of bottom-up tags'!$N$54:$W$69,MATCH(Dashboard!$B84,'Analysis of bottom-up tags'!$B$54:$B$69,0),MATCH(Dashboard!K$21,'Analysis of bottom-up tags'!$N$6:$W$6,0))*K$22</f>
        <v>0.41273983971001782</v>
      </c>
      <c r="L84" s="151">
        <f>INDEX('Analysis of bottom-up tags'!$N$54:$W$69,MATCH(Dashboard!$B84,'Analysis of bottom-up tags'!$B$54:$B$69,0),MATCH(Dashboard!L$21,'Analysis of bottom-up tags'!$N$6:$W$6,0))*L$22</f>
        <v>8.6131138595452654</v>
      </c>
      <c r="M84" s="151">
        <f t="shared" si="7"/>
        <v>65.558163788722396</v>
      </c>
    </row>
    <row r="85" spans="2:14">
      <c r="B85" s="22" t="s">
        <v>11116</v>
      </c>
      <c r="C85" s="151">
        <f>INDEX('Analysis of bottom-up tags'!$N$54:$W$69,MATCH(Dashboard!$B85,'Analysis of bottom-up tags'!$B$54:$B$69,0),MATCH(Dashboard!C$21,'Analysis of bottom-up tags'!$N$6:$W$6,0))*C$22</f>
        <v>0</v>
      </c>
      <c r="D85" s="151">
        <f>INDEX('Analysis of bottom-up tags'!$N$54:$W$69,MATCH(Dashboard!$B85,'Analysis of bottom-up tags'!$B$54:$B$69,0),MATCH(Dashboard!D$21,'Analysis of bottom-up tags'!$N$6:$W$6,0))*D$22</f>
        <v>0</v>
      </c>
      <c r="E85" s="151">
        <f>INDEX('Analysis of bottom-up tags'!$N$54:$W$69,MATCH(Dashboard!$B85,'Analysis of bottom-up tags'!$B$54:$B$69,0),MATCH(Dashboard!E$21,'Analysis of bottom-up tags'!$N$6:$W$6,0))*E$22</f>
        <v>0</v>
      </c>
      <c r="F85" s="151">
        <f>INDEX('Analysis of bottom-up tags'!$N$54:$W$69,MATCH(Dashboard!$B85,'Analysis of bottom-up tags'!$B$54:$B$69,0),MATCH(Dashboard!F$21,'Analysis of bottom-up tags'!$N$6:$W$6,0))*F$22</f>
        <v>0</v>
      </c>
      <c r="G85" s="151">
        <f>INDEX('Analysis of bottom-up tags'!$N$54:$W$69,MATCH(Dashboard!$B85,'Analysis of bottom-up tags'!$B$54:$B$69,0),MATCH(Dashboard!G$21,'Analysis of bottom-up tags'!$N$6:$W$6,0))*G$22</f>
        <v>0</v>
      </c>
      <c r="H85" s="151">
        <f>INDEX('Analysis of bottom-up tags'!$N$54:$W$69,MATCH(Dashboard!$B85,'Analysis of bottom-up tags'!$B$54:$B$69,0),MATCH(Dashboard!H$21,'Analysis of bottom-up tags'!$N$6:$W$6,0))*H$22</f>
        <v>0</v>
      </c>
      <c r="I85" s="151">
        <f>INDEX('Analysis of bottom-up tags'!$N$54:$W$69,MATCH(Dashboard!$B85,'Analysis of bottom-up tags'!$B$54:$B$69,0),MATCH(Dashboard!I$21,'Analysis of bottom-up tags'!$N$6:$W$6,0))*I$22</f>
        <v>0</v>
      </c>
      <c r="J85" s="151">
        <f>INDEX('Analysis of bottom-up tags'!$N$54:$W$69,MATCH(Dashboard!$B85,'Analysis of bottom-up tags'!$B$54:$B$69,0),MATCH(Dashboard!J$21,'Analysis of bottom-up tags'!$N$6:$W$6,0))*J$22</f>
        <v>8.3992457923022693E-2</v>
      </c>
      <c r="K85" s="151">
        <f>INDEX('Analysis of bottom-up tags'!$N$54:$W$69,MATCH(Dashboard!$B85,'Analysis of bottom-up tags'!$B$54:$B$69,0),MATCH(Dashboard!K$21,'Analysis of bottom-up tags'!$N$6:$W$6,0))*K$22</f>
        <v>0</v>
      </c>
      <c r="L85" s="151">
        <f>INDEX('Analysis of bottom-up tags'!$N$54:$W$69,MATCH(Dashboard!$B85,'Analysis of bottom-up tags'!$B$54:$B$69,0),MATCH(Dashboard!L$21,'Analysis of bottom-up tags'!$N$6:$W$6,0))*L$22</f>
        <v>43.909306188126266</v>
      </c>
      <c r="M85" s="151">
        <f t="shared" si="7"/>
        <v>43.99329864604929</v>
      </c>
    </row>
    <row r="86" spans="2:14">
      <c r="B86" s="22" t="s">
        <v>11166</v>
      </c>
      <c r="C86" s="151">
        <f>INDEX('Analysis of bottom-up tags'!$N$54:$W$69,MATCH(Dashboard!$B86,'Analysis of bottom-up tags'!$B$54:$B$69,0),MATCH(Dashboard!C$21,'Analysis of bottom-up tags'!$N$6:$W$6,0))*C$22</f>
        <v>35.372265375028071</v>
      </c>
      <c r="D86" s="151">
        <f>INDEX('Analysis of bottom-up tags'!$N$54:$W$69,MATCH(Dashboard!$B86,'Analysis of bottom-up tags'!$B$54:$B$69,0),MATCH(Dashboard!D$21,'Analysis of bottom-up tags'!$N$6:$W$6,0))*D$22</f>
        <v>0</v>
      </c>
      <c r="E86" s="151">
        <f>INDEX('Analysis of bottom-up tags'!$N$54:$W$69,MATCH(Dashboard!$B86,'Analysis of bottom-up tags'!$B$54:$B$69,0),MATCH(Dashboard!E$21,'Analysis of bottom-up tags'!$N$6:$W$6,0))*E$22</f>
        <v>108.31985228532362</v>
      </c>
      <c r="F86" s="151">
        <f>INDEX('Analysis of bottom-up tags'!$N$54:$W$69,MATCH(Dashboard!$B86,'Analysis of bottom-up tags'!$B$54:$B$69,0),MATCH(Dashboard!F$21,'Analysis of bottom-up tags'!$N$6:$W$6,0))*F$22</f>
        <v>0</v>
      </c>
      <c r="G86" s="151">
        <f>INDEX('Analysis of bottom-up tags'!$N$54:$W$69,MATCH(Dashboard!$B86,'Analysis of bottom-up tags'!$B$54:$B$69,0),MATCH(Dashboard!G$21,'Analysis of bottom-up tags'!$N$6:$W$6,0))*G$22</f>
        <v>0</v>
      </c>
      <c r="H86" s="151">
        <f>INDEX('Analysis of bottom-up tags'!$N$54:$W$69,MATCH(Dashboard!$B86,'Analysis of bottom-up tags'!$B$54:$B$69,0),MATCH(Dashboard!H$21,'Analysis of bottom-up tags'!$N$6:$W$6,0))*H$22</f>
        <v>36.789034754674631</v>
      </c>
      <c r="I86" s="151">
        <f>INDEX('Analysis of bottom-up tags'!$N$54:$W$69,MATCH(Dashboard!$B86,'Analysis of bottom-up tags'!$B$54:$B$69,0),MATCH(Dashboard!I$21,'Analysis of bottom-up tags'!$N$6:$W$6,0))*I$22</f>
        <v>0</v>
      </c>
      <c r="J86" s="151">
        <f>INDEX('Analysis of bottom-up tags'!$N$54:$W$69,MATCH(Dashboard!$B86,'Analysis of bottom-up tags'!$B$54:$B$69,0),MATCH(Dashboard!J$21,'Analysis of bottom-up tags'!$N$6:$W$6,0))*J$22</f>
        <v>0</v>
      </c>
      <c r="K86" s="151">
        <f>INDEX('Analysis of bottom-up tags'!$N$54:$W$69,MATCH(Dashboard!$B86,'Analysis of bottom-up tags'!$B$54:$B$69,0),MATCH(Dashboard!K$21,'Analysis of bottom-up tags'!$N$6:$W$6,0))*K$22</f>
        <v>0</v>
      </c>
      <c r="L86" s="151">
        <f>INDEX('Analysis of bottom-up tags'!$N$54:$W$69,MATCH(Dashboard!$B86,'Analysis of bottom-up tags'!$B$54:$B$69,0),MATCH(Dashboard!L$21,'Analysis of bottom-up tags'!$N$6:$W$6,0))*L$22</f>
        <v>0</v>
      </c>
      <c r="M86" s="151">
        <f t="shared" si="7"/>
        <v>180.48115241502632</v>
      </c>
    </row>
    <row r="87" spans="2:14">
      <c r="B87" s="22" t="s">
        <v>10997</v>
      </c>
      <c r="C87" s="151">
        <f>INDEX('Analysis of bottom-up tags'!$N$54:$W$69,MATCH(Dashboard!$B87,'Analysis of bottom-up tags'!$B$54:$B$69,0),MATCH(Dashboard!C$21,'Analysis of bottom-up tags'!$N$6:$W$6,0))*C$22</f>
        <v>0</v>
      </c>
      <c r="D87" s="151">
        <f>INDEX('Analysis of bottom-up tags'!$N$54:$W$69,MATCH(Dashboard!$B87,'Analysis of bottom-up tags'!$B$54:$B$69,0),MATCH(Dashboard!D$21,'Analysis of bottom-up tags'!$N$6:$W$6,0))*D$22</f>
        <v>0</v>
      </c>
      <c r="E87" s="151">
        <f>INDEX('Analysis of bottom-up tags'!$N$54:$W$69,MATCH(Dashboard!$B87,'Analysis of bottom-up tags'!$B$54:$B$69,0),MATCH(Dashboard!E$21,'Analysis of bottom-up tags'!$N$6:$W$6,0))*E$22</f>
        <v>0</v>
      </c>
      <c r="F87" s="151">
        <f>INDEX('Analysis of bottom-up tags'!$N$54:$W$69,MATCH(Dashboard!$B87,'Analysis of bottom-up tags'!$B$54:$B$69,0),MATCH(Dashboard!F$21,'Analysis of bottom-up tags'!$N$6:$W$6,0))*F$22</f>
        <v>0</v>
      </c>
      <c r="G87" s="151">
        <f>INDEX('Analysis of bottom-up tags'!$N$54:$W$69,MATCH(Dashboard!$B87,'Analysis of bottom-up tags'!$B$54:$B$69,0),MATCH(Dashboard!G$21,'Analysis of bottom-up tags'!$N$6:$W$6,0))*G$22</f>
        <v>0</v>
      </c>
      <c r="H87" s="151">
        <f>INDEX('Analysis of bottom-up tags'!$N$54:$W$69,MATCH(Dashboard!$B87,'Analysis of bottom-up tags'!$B$54:$B$69,0),MATCH(Dashboard!H$21,'Analysis of bottom-up tags'!$N$6:$W$6,0))*H$22</f>
        <v>0</v>
      </c>
      <c r="I87" s="151">
        <f>INDEX('Analysis of bottom-up tags'!$N$54:$W$69,MATCH(Dashboard!$B87,'Analysis of bottom-up tags'!$B$54:$B$69,0),MATCH(Dashboard!I$21,'Analysis of bottom-up tags'!$N$6:$W$6,0))*I$22</f>
        <v>0.24166846524626359</v>
      </c>
      <c r="J87" s="151">
        <f>INDEX('Analysis of bottom-up tags'!$N$54:$W$69,MATCH(Dashboard!$B87,'Analysis of bottom-up tags'!$B$54:$B$69,0),MATCH(Dashboard!J$21,'Analysis of bottom-up tags'!$N$6:$W$6,0))*J$22</f>
        <v>4.6000762434427829</v>
      </c>
      <c r="K87" s="151">
        <f>INDEX('Analysis of bottom-up tags'!$N$54:$W$69,MATCH(Dashboard!$B87,'Analysis of bottom-up tags'!$B$54:$B$69,0),MATCH(Dashboard!K$21,'Analysis of bottom-up tags'!$N$6:$W$6,0))*K$22</f>
        <v>2.8160339677182642</v>
      </c>
      <c r="L87" s="151">
        <f>INDEX('Analysis of bottom-up tags'!$N$54:$W$69,MATCH(Dashboard!$B87,'Analysis of bottom-up tags'!$B$54:$B$69,0),MATCH(Dashboard!L$21,'Analysis of bottom-up tags'!$N$6:$W$6,0))*L$22</f>
        <v>8.0521224859491838</v>
      </c>
      <c r="M87" s="151">
        <f t="shared" si="7"/>
        <v>15.709901162356495</v>
      </c>
    </row>
    <row r="88" spans="2:14">
      <c r="B88" s="166" t="s">
        <v>11042</v>
      </c>
      <c r="C88" s="166">
        <f>SUM(C72:C87)</f>
        <v>1062.1143934849285</v>
      </c>
      <c r="D88" s="166">
        <f t="shared" ref="D88:L88" si="11">SUM(D72:D87)</f>
        <v>1165.0851658894628</v>
      </c>
      <c r="E88" s="166">
        <f t="shared" si="11"/>
        <v>1080.5398716825559</v>
      </c>
      <c r="F88" s="166">
        <f t="shared" si="11"/>
        <v>998.168762766383</v>
      </c>
      <c r="G88" s="166">
        <f t="shared" si="11"/>
        <v>1351.3990768355741</v>
      </c>
      <c r="H88" s="166">
        <f t="shared" si="11"/>
        <v>1460.0301951394749</v>
      </c>
      <c r="I88" s="166">
        <f t="shared" si="11"/>
        <v>1339.3257754127419</v>
      </c>
      <c r="J88" s="166">
        <f t="shared" si="11"/>
        <v>1493.4200137430403</v>
      </c>
      <c r="K88" s="166">
        <f t="shared" si="11"/>
        <v>1728.1321199540894</v>
      </c>
      <c r="L88" s="166">
        <f t="shared" si="11"/>
        <v>1644.290343671893</v>
      </c>
      <c r="M88" s="166">
        <f t="shared" si="7"/>
        <v>13322.505718580143</v>
      </c>
    </row>
    <row r="89" spans="2:14">
      <c r="B89" s="163" t="s">
        <v>10473</v>
      </c>
      <c r="C89" s="163"/>
      <c r="D89" s="163"/>
      <c r="E89" s="163"/>
      <c r="F89" s="163"/>
      <c r="G89" s="163"/>
      <c r="H89" s="163"/>
      <c r="I89" s="163"/>
      <c r="J89" s="163"/>
      <c r="K89" s="163"/>
      <c r="L89" s="163"/>
      <c r="M89" s="163"/>
    </row>
    <row r="90" spans="2:14">
      <c r="B90" s="151" t="s">
        <v>10972</v>
      </c>
      <c r="C90" s="151">
        <f>INDEX('Analysis of bottom-up tags'!$N$71:$W$74,MATCH(Dashboard!$B90,'Analysis of bottom-up tags'!$B$71:$B$74,0),MATCH(Dashboard!C$21,'Analysis of bottom-up tags'!$N$6:$W$6,0))*C$22</f>
        <v>43.538661421976002</v>
      </c>
      <c r="D90" s="151">
        <f>INDEX('Analysis of bottom-up tags'!$N$71:$W$74,MATCH(Dashboard!$B90,'Analysis of bottom-up tags'!$B$71:$B$74,0),MATCH(Dashboard!D$21,'Analysis of bottom-up tags'!$N$6:$W$6,0))*D$22</f>
        <v>400.35467543792913</v>
      </c>
      <c r="E90" s="151">
        <f>INDEX('Analysis of bottom-up tags'!$N$71:$W$74,MATCH(Dashboard!$B90,'Analysis of bottom-up tags'!$B$71:$B$74,0),MATCH(Dashboard!E$21,'Analysis of bottom-up tags'!$N$6:$W$6,0))*E$22</f>
        <v>603.00346283067358</v>
      </c>
      <c r="F90" s="151">
        <f>INDEX('Analysis of bottom-up tags'!$N$71:$W$74,MATCH(Dashboard!$B90,'Analysis of bottom-up tags'!$B$71:$B$74,0),MATCH(Dashboard!F$21,'Analysis of bottom-up tags'!$N$6:$W$6,0))*F$22</f>
        <v>328.39346789728285</v>
      </c>
      <c r="G90" s="151">
        <f>INDEX('Analysis of bottom-up tags'!$N$71:$W$74,MATCH(Dashboard!$B90,'Analysis of bottom-up tags'!$B$71:$B$74,0),MATCH(Dashboard!G$21,'Analysis of bottom-up tags'!$N$6:$W$6,0))*G$22</f>
        <v>1127.184657073346</v>
      </c>
      <c r="H90" s="151">
        <f>INDEX('Analysis of bottom-up tags'!$N$71:$W$74,MATCH(Dashboard!$B90,'Analysis of bottom-up tags'!$B$71:$B$74,0),MATCH(Dashboard!H$21,'Analysis of bottom-up tags'!$N$6:$W$6,0))*H$22</f>
        <v>1015.2955600866424</v>
      </c>
      <c r="I90" s="151">
        <f>INDEX('Analysis of bottom-up tags'!$N$71:$W$74,MATCH(Dashboard!$B90,'Analysis of bottom-up tags'!$B$71:$B$74,0),MATCH(Dashboard!I$21,'Analysis of bottom-up tags'!$N$6:$W$6,0))*I$22</f>
        <v>1166.0658863100782</v>
      </c>
      <c r="J90" s="151">
        <f>INDEX('Analysis of bottom-up tags'!$N$71:$W$74,MATCH(Dashboard!$B90,'Analysis of bottom-up tags'!$B$71:$B$74,0),MATCH(Dashboard!J$21,'Analysis of bottom-up tags'!$N$6:$W$6,0))*J$22</f>
        <v>631.89980150282622</v>
      </c>
      <c r="K90" s="151">
        <f>INDEX('Analysis of bottom-up tags'!$N$71:$W$74,MATCH(Dashboard!$B90,'Analysis of bottom-up tags'!$B$71:$B$74,0),MATCH(Dashboard!K$21,'Analysis of bottom-up tags'!$N$6:$W$6,0))*K$22</f>
        <v>1597.5807204043685</v>
      </c>
      <c r="L90" s="151">
        <f>INDEX('Analysis of bottom-up tags'!$N$71:$W$74,MATCH(Dashboard!$B90,'Analysis of bottom-up tags'!$B$71:$B$74,0),MATCH(Dashboard!L$21,'Analysis of bottom-up tags'!$N$6:$W$6,0))*L$22</f>
        <v>1115.5768788245839</v>
      </c>
      <c r="M90" s="151">
        <f t="shared" si="7"/>
        <v>8028.893771789707</v>
      </c>
    </row>
    <row r="91" spans="2:14">
      <c r="B91" s="151" t="s">
        <v>10982</v>
      </c>
      <c r="C91" s="151">
        <f>INDEX('Analysis of bottom-up tags'!$N$71:$W$74,MATCH(Dashboard!$B91,'Analysis of bottom-up tags'!$B$71:$B$74,0),MATCH(Dashboard!C$21,'Analysis of bottom-up tags'!$N$6:$W$6,0))*C$22</f>
        <v>1018.5757320629525</v>
      </c>
      <c r="D91" s="151">
        <f>INDEX('Analysis of bottom-up tags'!$N$71:$W$74,MATCH(Dashboard!$B91,'Analysis of bottom-up tags'!$B$71:$B$74,0),MATCH(Dashboard!D$21,'Analysis of bottom-up tags'!$N$6:$W$6,0))*D$22</f>
        <v>763.80164575797016</v>
      </c>
      <c r="E91" s="151">
        <f>INDEX('Analysis of bottom-up tags'!$N$71:$W$74,MATCH(Dashboard!$B91,'Analysis of bottom-up tags'!$B$71:$B$74,0),MATCH(Dashboard!E$21,'Analysis of bottom-up tags'!$N$6:$W$6,0))*E$22</f>
        <v>113.69656565263523</v>
      </c>
      <c r="F91" s="151">
        <f>INDEX('Analysis of bottom-up tags'!$N$71:$W$74,MATCH(Dashboard!$B91,'Analysis of bottom-up tags'!$B$71:$B$74,0),MATCH(Dashboard!F$21,'Analysis of bottom-up tags'!$N$6:$W$6,0))*F$22</f>
        <v>399.85161248533137</v>
      </c>
      <c r="G91" s="151">
        <f>INDEX('Analysis of bottom-up tags'!$N$71:$W$74,MATCH(Dashboard!$B91,'Analysis of bottom-up tags'!$B$71:$B$74,0),MATCH(Dashboard!G$21,'Analysis of bottom-up tags'!$N$6:$W$6,0))*G$22</f>
        <v>192.745980574578</v>
      </c>
      <c r="H91" s="151">
        <f>INDEX('Analysis of bottom-up tags'!$N$71:$W$74,MATCH(Dashboard!$B91,'Analysis of bottom-up tags'!$B$71:$B$74,0),MATCH(Dashboard!H$21,'Analysis of bottom-up tags'!$N$6:$W$6,0))*H$22</f>
        <v>365.31678921749364</v>
      </c>
      <c r="I91" s="151">
        <f>INDEX('Analysis of bottom-up tags'!$N$71:$W$74,MATCH(Dashboard!$B91,'Analysis of bottom-up tags'!$B$71:$B$74,0),MATCH(Dashboard!I$21,'Analysis of bottom-up tags'!$N$6:$W$6,0))*I$22</f>
        <v>157.87091098282147</v>
      </c>
      <c r="J91" s="151">
        <f>INDEX('Analysis of bottom-up tags'!$N$71:$W$74,MATCH(Dashboard!$B91,'Analysis of bottom-up tags'!$B$71:$B$74,0),MATCH(Dashboard!J$21,'Analysis of bottom-up tags'!$N$6:$W$6,0))*J$22</f>
        <v>664.91521411258122</v>
      </c>
      <c r="K91" s="151">
        <f>INDEX('Analysis of bottom-up tags'!$N$71:$W$74,MATCH(Dashboard!$B91,'Analysis of bottom-up tags'!$B$71:$B$74,0),MATCH(Dashboard!K$21,'Analysis of bottom-up tags'!$N$6:$W$6,0))*K$22</f>
        <v>101.8986280548765</v>
      </c>
      <c r="L91" s="151">
        <f>INDEX('Analysis of bottom-up tags'!$N$71:$W$74,MATCH(Dashboard!$B91,'Analysis of bottom-up tags'!$B$71:$B$74,0),MATCH(Dashboard!L$21,'Analysis of bottom-up tags'!$N$6:$W$6,0))*L$22</f>
        <v>441.72848753218915</v>
      </c>
      <c r="M91" s="151">
        <f t="shared" si="7"/>
        <v>4220.4015664334293</v>
      </c>
    </row>
    <row r="92" spans="2:14">
      <c r="B92" s="151" t="s">
        <v>10980</v>
      </c>
      <c r="C92" s="151">
        <f>INDEX('Analysis of bottom-up tags'!$N$71:$W$74,MATCH(Dashboard!$B92,'Analysis of bottom-up tags'!$B$71:$B$74,0),MATCH(Dashboard!C$21,'Analysis of bottom-up tags'!$N$6:$W$6,0))*C$22</f>
        <v>0</v>
      </c>
      <c r="D92" s="151">
        <f>INDEX('Analysis of bottom-up tags'!$N$71:$W$74,MATCH(Dashboard!$B92,'Analysis of bottom-up tags'!$B$71:$B$74,0),MATCH(Dashboard!D$21,'Analysis of bottom-up tags'!$N$6:$W$6,0))*D$22</f>
        <v>0</v>
      </c>
      <c r="E92" s="151">
        <f>INDEX('Analysis of bottom-up tags'!$N$71:$W$74,MATCH(Dashboard!$B92,'Analysis of bottom-up tags'!$B$71:$B$74,0),MATCH(Dashboard!E$21,'Analysis of bottom-up tags'!$N$6:$W$6,0))*E$22</f>
        <v>249.66893096711533</v>
      </c>
      <c r="F92" s="151">
        <f>INDEX('Analysis of bottom-up tags'!$N$71:$W$74,MATCH(Dashboard!$B92,'Analysis of bottom-up tags'!$B$71:$B$74,0),MATCH(Dashboard!F$21,'Analysis of bottom-up tags'!$N$6:$W$6,0))*F$22</f>
        <v>269.92368238376878</v>
      </c>
      <c r="G92" s="151">
        <f>INDEX('Analysis of bottom-up tags'!$N$71:$W$74,MATCH(Dashboard!$B92,'Analysis of bottom-up tags'!$B$71:$B$74,0),MATCH(Dashboard!G$21,'Analysis of bottom-up tags'!$N$6:$W$6,0))*G$22</f>
        <v>11.236764115691535</v>
      </c>
      <c r="H92" s="151">
        <f>INDEX('Analysis of bottom-up tags'!$N$71:$W$74,MATCH(Dashboard!$B92,'Analysis of bottom-up tags'!$B$71:$B$74,0),MATCH(Dashboard!H$21,'Analysis of bottom-up tags'!$N$6:$W$6,0))*H$22</f>
        <v>75.84663473912083</v>
      </c>
      <c r="I92" s="151">
        <f>INDEX('Analysis of bottom-up tags'!$N$71:$W$74,MATCH(Dashboard!$B92,'Analysis of bottom-up tags'!$B$71:$B$74,0),MATCH(Dashboard!I$21,'Analysis of bottom-up tags'!$N$6:$W$6,0))*I$22</f>
        <v>4.7487155687088167</v>
      </c>
      <c r="J92" s="151">
        <f>INDEX('Analysis of bottom-up tags'!$N$71:$W$74,MATCH(Dashboard!$B92,'Analysis of bottom-up tags'!$B$71:$B$74,0),MATCH(Dashboard!J$21,'Analysis of bottom-up tags'!$N$6:$W$6,0))*J$22</f>
        <v>98.788372062410815</v>
      </c>
      <c r="K92" s="151">
        <f>INDEX('Analysis of bottom-up tags'!$N$71:$W$74,MATCH(Dashboard!$B92,'Analysis of bottom-up tags'!$B$71:$B$74,0),MATCH(Dashboard!K$21,'Analysis of bottom-up tags'!$N$6:$W$6,0))*K$22</f>
        <v>24.911213687547228</v>
      </c>
      <c r="L92" s="151">
        <f>INDEX('Analysis of bottom-up tags'!$N$71:$W$74,MATCH(Dashboard!$B92,'Analysis of bottom-up tags'!$B$71:$B$74,0),MATCH(Dashboard!L$21,'Analysis of bottom-up tags'!$N$6:$W$6,0))*L$22</f>
        <v>30.792552202138651</v>
      </c>
      <c r="M92" s="151">
        <f t="shared" si="7"/>
        <v>765.91686572650201</v>
      </c>
    </row>
    <row r="93" spans="2:14">
      <c r="B93" s="151" t="s">
        <v>10985</v>
      </c>
      <c r="C93" s="151">
        <f>INDEX('Analysis of bottom-up tags'!$N$71:$W$74,MATCH(Dashboard!$B93,'Analysis of bottom-up tags'!$B$71:$B$74,0),MATCH(Dashboard!C$21,'Analysis of bottom-up tags'!$N$6:$W$6,0))*C$22</f>
        <v>0</v>
      </c>
      <c r="D93" s="151">
        <f>INDEX('Analysis of bottom-up tags'!$N$71:$W$74,MATCH(Dashboard!$B93,'Analysis of bottom-up tags'!$B$71:$B$74,0),MATCH(Dashboard!D$21,'Analysis of bottom-up tags'!$N$6:$W$6,0))*D$22</f>
        <v>0.92884469356351906</v>
      </c>
      <c r="E93" s="151">
        <f>INDEX('Analysis of bottom-up tags'!$N$71:$W$74,MATCH(Dashboard!$B93,'Analysis of bottom-up tags'!$B$71:$B$74,0),MATCH(Dashboard!E$21,'Analysis of bottom-up tags'!$N$6:$W$6,0))*E$22</f>
        <v>114.17091223213185</v>
      </c>
      <c r="F93" s="151">
        <f>INDEX('Analysis of bottom-up tags'!$N$71:$W$74,MATCH(Dashboard!$B93,'Analysis of bottom-up tags'!$B$71:$B$74,0),MATCH(Dashboard!F$21,'Analysis of bottom-up tags'!$N$6:$W$6,0))*F$22</f>
        <v>0</v>
      </c>
      <c r="G93" s="151">
        <f>INDEX('Analysis of bottom-up tags'!$N$71:$W$74,MATCH(Dashboard!$B93,'Analysis of bottom-up tags'!$B$71:$B$74,0),MATCH(Dashboard!G$21,'Analysis of bottom-up tags'!$N$6:$W$6,0))*G$22</f>
        <v>20.231675071958676</v>
      </c>
      <c r="H93" s="151">
        <f>INDEX('Analysis of bottom-up tags'!$N$71:$W$74,MATCH(Dashboard!$B93,'Analysis of bottom-up tags'!$B$71:$B$74,0),MATCH(Dashboard!H$21,'Analysis of bottom-up tags'!$N$6:$W$6,0))*H$22</f>
        <v>3.5712110962176897</v>
      </c>
      <c r="I93" s="151">
        <f>INDEX('Analysis of bottom-up tags'!$N$71:$W$74,MATCH(Dashboard!$B93,'Analysis of bottom-up tags'!$B$71:$B$74,0),MATCH(Dashboard!I$21,'Analysis of bottom-up tags'!$N$6:$W$6,0))*I$22</f>
        <v>10.640262551133487</v>
      </c>
      <c r="J93" s="151">
        <f>INDEX('Analysis of bottom-up tags'!$N$71:$W$74,MATCH(Dashboard!$B93,'Analysis of bottom-up tags'!$B$71:$B$74,0),MATCH(Dashboard!J$21,'Analysis of bottom-up tags'!$N$6:$W$6,0))*J$22</f>
        <v>97.81662606522157</v>
      </c>
      <c r="K93" s="151">
        <f>INDEX('Analysis of bottom-up tags'!$N$71:$W$74,MATCH(Dashboard!$B93,'Analysis of bottom-up tags'!$B$71:$B$74,0),MATCH(Dashboard!K$21,'Analysis of bottom-up tags'!$N$6:$W$6,0))*K$22</f>
        <v>3.7415578072973279</v>
      </c>
      <c r="L93" s="151">
        <f>INDEX('Analysis of bottom-up tags'!$N$71:$W$74,MATCH(Dashboard!$B93,'Analysis of bottom-up tags'!$B$71:$B$74,0),MATCH(Dashboard!L$21,'Analysis of bottom-up tags'!$N$6:$W$6,0))*L$22</f>
        <v>56.192425112981034</v>
      </c>
      <c r="M93" s="151">
        <f t="shared" si="7"/>
        <v>307.29351463050517</v>
      </c>
    </row>
    <row r="94" spans="2:14">
      <c r="B94" s="166" t="s">
        <v>11042</v>
      </c>
      <c r="C94" s="166">
        <f>SUM(C90:C93)</f>
        <v>1062.1143934849285</v>
      </c>
      <c r="D94" s="166">
        <f t="shared" ref="D94:L94" si="12">SUM(D90:D93)</f>
        <v>1165.0851658894626</v>
      </c>
      <c r="E94" s="166">
        <f t="shared" si="12"/>
        <v>1080.5398716825562</v>
      </c>
      <c r="F94" s="166">
        <f t="shared" si="12"/>
        <v>998.168762766383</v>
      </c>
      <c r="G94" s="166">
        <f t="shared" si="12"/>
        <v>1351.3990768355743</v>
      </c>
      <c r="H94" s="166">
        <f t="shared" si="12"/>
        <v>1460.0301951394745</v>
      </c>
      <c r="I94" s="166">
        <f t="shared" si="12"/>
        <v>1339.3257754127419</v>
      </c>
      <c r="J94" s="166">
        <f t="shared" si="12"/>
        <v>1493.4200137430398</v>
      </c>
      <c r="K94" s="166">
        <f t="shared" si="12"/>
        <v>1728.1321199540896</v>
      </c>
      <c r="L94" s="166">
        <f t="shared" si="12"/>
        <v>1644.2903436718927</v>
      </c>
      <c r="M94" s="166">
        <f t="shared" si="7"/>
        <v>13322.505718580143</v>
      </c>
    </row>
    <row r="95" spans="2:14">
      <c r="B95" s="163" t="s">
        <v>10468</v>
      </c>
      <c r="C95" s="163"/>
      <c r="D95" s="163"/>
      <c r="E95" s="163"/>
      <c r="F95" s="163"/>
      <c r="G95" s="163"/>
      <c r="H95" s="163"/>
      <c r="I95" s="163"/>
      <c r="J95" s="163"/>
      <c r="K95" s="163"/>
      <c r="L95" s="163"/>
      <c r="M95" s="163"/>
      <c r="N95" s="208" t="s">
        <v>11159</v>
      </c>
    </row>
    <row r="96" spans="2:14">
      <c r="B96" s="151" t="s">
        <v>10821</v>
      </c>
      <c r="C96" s="151">
        <f>INDEX('Analysis of bottom-up tags'!$N$77:$W$118,MATCH(Dashboard!$B96,'Analysis of bottom-up tags'!$B$77:$B$118,0),MATCH(Dashboard!C$21,'Analysis of bottom-up tags'!$N$6:$W$6,0))*C$22</f>
        <v>17.1780019323968</v>
      </c>
      <c r="D96" s="151">
        <f>INDEX('Analysis of bottom-up tags'!$N$77:$W$118,MATCH(Dashboard!$B96,'Analysis of bottom-up tags'!$B$77:$B$118,0),MATCH(Dashboard!D$21,'Analysis of bottom-up tags'!$N$6:$W$6,0))*D$22</f>
        <v>380.83470856415698</v>
      </c>
      <c r="E96" s="151">
        <f>INDEX('Analysis of bottom-up tags'!$N$77:$W$118,MATCH(Dashboard!$B96,'Analysis of bottom-up tags'!$B$77:$B$118,0),MATCH(Dashboard!E$21,'Analysis of bottom-up tags'!$N$6:$W$6,0))*E$22</f>
        <v>0</v>
      </c>
      <c r="F96" s="151">
        <f>INDEX('Analysis of bottom-up tags'!$N$77:$W$118,MATCH(Dashboard!$B96,'Analysis of bottom-up tags'!$B$77:$B$118,0),MATCH(Dashboard!F$21,'Analysis of bottom-up tags'!$N$6:$W$6,0))*F$22</f>
        <v>247.92430372622184</v>
      </c>
      <c r="G96" s="151">
        <f>INDEX('Analysis of bottom-up tags'!$N$77:$W$118,MATCH(Dashboard!$B96,'Analysis of bottom-up tags'!$B$77:$B$118,0),MATCH(Dashboard!G$21,'Analysis of bottom-up tags'!$N$6:$W$6,0))*G$22</f>
        <v>1002.3206645687872</v>
      </c>
      <c r="H96" s="151">
        <f>INDEX('Analysis of bottom-up tags'!$N$77:$W$118,MATCH(Dashboard!$B96,'Analysis of bottom-up tags'!$B$77:$B$118,0),MATCH(Dashboard!H$21,'Analysis of bottom-up tags'!$N$6:$W$6,0))*H$22</f>
        <v>951.05736518146387</v>
      </c>
      <c r="I96" s="151">
        <f>INDEX('Analysis of bottom-up tags'!$N$77:$W$118,MATCH(Dashboard!$B96,'Analysis of bottom-up tags'!$B$77:$B$118,0),MATCH(Dashboard!I$21,'Analysis of bottom-up tags'!$N$6:$W$6,0))*I$22</f>
        <v>1122.2692111864685</v>
      </c>
      <c r="J96" s="151">
        <f>INDEX('Analysis of bottom-up tags'!$N$77:$W$118,MATCH(Dashboard!$B96,'Analysis of bottom-up tags'!$B$77:$B$118,0),MATCH(Dashboard!J$21,'Analysis of bottom-up tags'!$N$6:$W$6,0))*J$22</f>
        <v>336.05771989476949</v>
      </c>
      <c r="K96" s="151">
        <f>INDEX('Analysis of bottom-up tags'!$N$77:$W$118,MATCH(Dashboard!$B96,'Analysis of bottom-up tags'!$B$77:$B$118,0),MATCH(Dashboard!K$21,'Analysis of bottom-up tags'!$N$6:$W$6,0))*K$22</f>
        <v>1582.6519672811366</v>
      </c>
      <c r="L96" s="151">
        <f>INDEX('Analysis of bottom-up tags'!$N$77:$W$118,MATCH(Dashboard!$B96,'Analysis of bottom-up tags'!$B$77:$B$118,0),MATCH(Dashboard!L$21,'Analysis of bottom-up tags'!$N$6:$W$6,0))*L$22</f>
        <v>942.99740839865103</v>
      </c>
      <c r="M96" s="151">
        <f t="shared" si="7"/>
        <v>6583.2913507340518</v>
      </c>
      <c r="N96" s="151" t="str" cm="1">
        <f t="array" ref="N96">INDEX(Framework!$C$3:$C$119,MATCH(Dashboard!$B96,Framework!$D$3:$D$119,),)</f>
        <v xml:space="preserve">Post-production </v>
      </c>
    </row>
    <row r="97" spans="2:14">
      <c r="B97" s="151" t="s">
        <v>10993</v>
      </c>
      <c r="C97" s="151">
        <f>INDEX('Analysis of bottom-up tags'!$N$77:$W$118,MATCH(Dashboard!$B97,'Analysis of bottom-up tags'!$B$77:$B$118,0),MATCH(Dashboard!C$21,'Analysis of bottom-up tags'!$N$6:$W$6,0))*C$22</f>
        <v>972.99616629273874</v>
      </c>
      <c r="D97" s="151">
        <f>INDEX('Analysis of bottom-up tags'!$N$77:$W$118,MATCH(Dashboard!$B97,'Analysis of bottom-up tags'!$B$77:$B$118,0),MATCH(Dashboard!D$21,'Analysis of bottom-up tags'!$N$6:$W$6,0))*D$22</f>
        <v>663.01532796802087</v>
      </c>
      <c r="E97" s="151">
        <f>INDEX('Analysis of bottom-up tags'!$N$77:$W$118,MATCH(Dashboard!$B97,'Analysis of bottom-up tags'!$B$77:$B$118,0),MATCH(Dashboard!E$21,'Analysis of bottom-up tags'!$N$6:$W$6,0))*E$22</f>
        <v>0</v>
      </c>
      <c r="F97" s="151">
        <f>INDEX('Analysis of bottom-up tags'!$N$77:$W$118,MATCH(Dashboard!$B97,'Analysis of bottom-up tags'!$B$77:$B$118,0),MATCH(Dashboard!F$21,'Analysis of bottom-up tags'!$N$6:$W$6,0))*F$22</f>
        <v>92.745421134127795</v>
      </c>
      <c r="G97" s="151">
        <f>INDEX('Analysis of bottom-up tags'!$N$77:$W$118,MATCH(Dashboard!$B97,'Analysis of bottom-up tags'!$B$77:$B$118,0),MATCH(Dashboard!G$21,'Analysis of bottom-up tags'!$N$6:$W$6,0))*G$22</f>
        <v>0.41336233171270759</v>
      </c>
      <c r="H97" s="151">
        <f>INDEX('Analysis of bottom-up tags'!$N$77:$W$118,MATCH(Dashboard!$B97,'Analysis of bottom-up tags'!$B$77:$B$118,0),MATCH(Dashboard!H$21,'Analysis of bottom-up tags'!$N$6:$W$6,0))*H$22</f>
        <v>2.492906063252601</v>
      </c>
      <c r="I97" s="151">
        <f>INDEX('Analysis of bottom-up tags'!$N$77:$W$118,MATCH(Dashboard!$B97,'Analysis of bottom-up tags'!$B$77:$B$118,0),MATCH(Dashboard!I$21,'Analysis of bottom-up tags'!$N$6:$W$6,0))*I$22</f>
        <v>1.971841083644067</v>
      </c>
      <c r="J97" s="151">
        <f>INDEX('Analysis of bottom-up tags'!$N$77:$W$118,MATCH(Dashboard!$B97,'Analysis of bottom-up tags'!$B$77:$B$118,0),MATCH(Dashboard!J$21,'Analysis of bottom-up tags'!$N$6:$W$6,0))*J$22</f>
        <v>0</v>
      </c>
      <c r="K97" s="151">
        <f>INDEX('Analysis of bottom-up tags'!$N$77:$W$118,MATCH(Dashboard!$B97,'Analysis of bottom-up tags'!$B$77:$B$118,0),MATCH(Dashboard!K$21,'Analysis of bottom-up tags'!$N$6:$W$6,0))*K$22</f>
        <v>0.23494872414815585</v>
      </c>
      <c r="L97" s="151">
        <f>INDEX('Analysis of bottom-up tags'!$N$77:$W$118,MATCH(Dashboard!$B97,'Analysis of bottom-up tags'!$B$77:$B$118,0),MATCH(Dashboard!L$21,'Analysis of bottom-up tags'!$N$6:$W$6,0))*L$22</f>
        <v>128.83395977518694</v>
      </c>
      <c r="M97" s="151">
        <f t="shared" si="7"/>
        <v>1862.7039333728319</v>
      </c>
      <c r="N97" s="151" t="str" cm="1">
        <f t="array" ref="N97">INDEX(Framework!$C$3:$C$119,MATCH(Dashboard!$B97,Framework!$D$3:$D$119,),)</f>
        <v>Inputs</v>
      </c>
    </row>
    <row r="98" spans="2:14">
      <c r="B98" s="151" t="s">
        <v>10720</v>
      </c>
      <c r="C98" s="151">
        <f>INDEX('Analysis of bottom-up tags'!$N$77:$W$118,MATCH(Dashboard!$B98,'Analysis of bottom-up tags'!$B$77:$B$118,0),MATCH(Dashboard!C$21,'Analysis of bottom-up tags'!$N$6:$W$6,0))*C$22</f>
        <v>0</v>
      </c>
      <c r="D98" s="151">
        <f>INDEX('Analysis of bottom-up tags'!$N$77:$W$118,MATCH(Dashboard!$B98,'Analysis of bottom-up tags'!$B$77:$B$118,0),MATCH(Dashboard!D$21,'Analysis of bottom-up tags'!$N$6:$W$6,0))*D$22</f>
        <v>0</v>
      </c>
      <c r="E98" s="151">
        <f>INDEX('Analysis of bottom-up tags'!$N$77:$W$118,MATCH(Dashboard!$B98,'Analysis of bottom-up tags'!$B$77:$B$118,0),MATCH(Dashboard!E$21,'Analysis of bottom-up tags'!$N$6:$W$6,0))*E$22</f>
        <v>0</v>
      </c>
      <c r="F98" s="151">
        <f>INDEX('Analysis of bottom-up tags'!$N$77:$W$118,MATCH(Dashboard!$B98,'Analysis of bottom-up tags'!$B$77:$B$118,0),MATCH(Dashboard!F$21,'Analysis of bottom-up tags'!$N$6:$W$6,0))*F$22</f>
        <v>0</v>
      </c>
      <c r="G98" s="151">
        <f>INDEX('Analysis of bottom-up tags'!$N$77:$W$118,MATCH(Dashboard!$B98,'Analysis of bottom-up tags'!$B$77:$B$118,0),MATCH(Dashboard!G$21,'Analysis of bottom-up tags'!$N$6:$W$6,0))*G$22</f>
        <v>0</v>
      </c>
      <c r="H98" s="151">
        <f>INDEX('Analysis of bottom-up tags'!$N$77:$W$118,MATCH(Dashboard!$B98,'Analysis of bottom-up tags'!$B$77:$B$118,0),MATCH(Dashboard!H$21,'Analysis of bottom-up tags'!$N$6:$W$6,0))*H$22</f>
        <v>0</v>
      </c>
      <c r="I98" s="151">
        <f>INDEX('Analysis of bottom-up tags'!$N$77:$W$118,MATCH(Dashboard!$B98,'Analysis of bottom-up tags'!$B$77:$B$118,0),MATCH(Dashboard!I$21,'Analysis of bottom-up tags'!$N$6:$W$6,0))*I$22</f>
        <v>0</v>
      </c>
      <c r="J98" s="151">
        <f>INDEX('Analysis of bottom-up tags'!$N$77:$W$118,MATCH(Dashboard!$B98,'Analysis of bottom-up tags'!$B$77:$B$118,0),MATCH(Dashboard!J$21,'Analysis of bottom-up tags'!$N$6:$W$6,0))*J$22</f>
        <v>54.43733853532212</v>
      </c>
      <c r="K98" s="151">
        <f>INDEX('Analysis of bottom-up tags'!$N$77:$W$118,MATCH(Dashboard!$B98,'Analysis of bottom-up tags'!$B$77:$B$118,0),MATCH(Dashboard!K$21,'Analysis of bottom-up tags'!$N$6:$W$6,0))*K$22</f>
        <v>0</v>
      </c>
      <c r="L98" s="151">
        <f>INDEX('Analysis of bottom-up tags'!$N$77:$W$118,MATCH(Dashboard!$B98,'Analysis of bottom-up tags'!$B$77:$B$118,0),MATCH(Dashboard!L$21,'Analysis of bottom-up tags'!$N$6:$W$6,0))*L$22</f>
        <v>7.702547258723766</v>
      </c>
      <c r="M98" s="151">
        <f t="shared" si="7"/>
        <v>62.139885794045888</v>
      </c>
      <c r="N98" s="151" t="str" cm="1">
        <f t="array" ref="N98">INDEX(Framework!$C$3:$C$119,MATCH(Dashboard!$B98,Framework!$D$3:$D$119,),)</f>
        <v>Inputs</v>
      </c>
    </row>
    <row r="99" spans="2:14">
      <c r="B99" s="151" t="s">
        <v>10718</v>
      </c>
      <c r="C99" s="151">
        <f>INDEX('Analysis of bottom-up tags'!$N$77:$W$118,MATCH(Dashboard!$B99,'Analysis of bottom-up tags'!$B$77:$B$118,0),MATCH(Dashboard!C$21,'Analysis of bottom-up tags'!$N$6:$W$6,0))*C$22</f>
        <v>0</v>
      </c>
      <c r="D99" s="151">
        <f>INDEX('Analysis of bottom-up tags'!$N$77:$W$118,MATCH(Dashboard!$B99,'Analysis of bottom-up tags'!$B$77:$B$118,0),MATCH(Dashboard!D$21,'Analysis of bottom-up tags'!$N$6:$W$6,0))*D$22</f>
        <v>0</v>
      </c>
      <c r="E99" s="151">
        <f>INDEX('Analysis of bottom-up tags'!$N$77:$W$118,MATCH(Dashboard!$B99,'Analysis of bottom-up tags'!$B$77:$B$118,0),MATCH(Dashboard!E$21,'Analysis of bottom-up tags'!$N$6:$W$6,0))*E$22</f>
        <v>0</v>
      </c>
      <c r="F99" s="151">
        <f>INDEX('Analysis of bottom-up tags'!$N$77:$W$118,MATCH(Dashboard!$B99,'Analysis of bottom-up tags'!$B$77:$B$118,0),MATCH(Dashboard!F$21,'Analysis of bottom-up tags'!$N$6:$W$6,0))*F$22</f>
        <v>0</v>
      </c>
      <c r="G99" s="151">
        <f>INDEX('Analysis of bottom-up tags'!$N$77:$W$118,MATCH(Dashboard!$B99,'Analysis of bottom-up tags'!$B$77:$B$118,0),MATCH(Dashboard!G$21,'Analysis of bottom-up tags'!$N$6:$W$6,0))*G$22</f>
        <v>0</v>
      </c>
      <c r="H99" s="151">
        <f>INDEX('Analysis of bottom-up tags'!$N$77:$W$118,MATCH(Dashboard!$B99,'Analysis of bottom-up tags'!$B$77:$B$118,0),MATCH(Dashboard!H$21,'Analysis of bottom-up tags'!$N$6:$W$6,0))*H$22</f>
        <v>176.27726874423388</v>
      </c>
      <c r="I99" s="151">
        <f>INDEX('Analysis of bottom-up tags'!$N$77:$W$118,MATCH(Dashboard!$B99,'Analysis of bottom-up tags'!$B$77:$B$118,0),MATCH(Dashboard!I$21,'Analysis of bottom-up tags'!$N$6:$W$6,0))*I$22</f>
        <v>2.1123269213323135</v>
      </c>
      <c r="J99" s="151">
        <f>INDEX('Analysis of bottom-up tags'!$N$77:$W$118,MATCH(Dashboard!$B99,'Analysis of bottom-up tags'!$B$77:$B$118,0),MATCH(Dashboard!J$21,'Analysis of bottom-up tags'!$N$6:$W$6,0))*J$22</f>
        <v>263.77280117596263</v>
      </c>
      <c r="K99" s="151">
        <f>INDEX('Analysis of bottom-up tags'!$N$77:$W$118,MATCH(Dashboard!$B99,'Analysis of bottom-up tags'!$B$77:$B$118,0),MATCH(Dashboard!K$21,'Analysis of bottom-up tags'!$N$6:$W$6,0))*K$22</f>
        <v>43.917537880358097</v>
      </c>
      <c r="L99" s="151">
        <f>INDEX('Analysis of bottom-up tags'!$N$77:$W$118,MATCH(Dashboard!$B99,'Analysis of bottom-up tags'!$B$77:$B$118,0),MATCH(Dashboard!L$21,'Analysis of bottom-up tags'!$N$6:$W$6,0))*L$22</f>
        <v>0</v>
      </c>
      <c r="M99" s="151">
        <f t="shared" si="7"/>
        <v>486.0799347218869</v>
      </c>
      <c r="N99" s="151" t="str" cm="1">
        <f t="array" ref="N99">INDEX(Framework!$C$3:$C$119,MATCH(Dashboard!$B99,Framework!$D$3:$D$119,),)</f>
        <v>Inputs</v>
      </c>
    </row>
    <row r="100" spans="2:14">
      <c r="B100" s="151" t="s">
        <v>10712</v>
      </c>
      <c r="C100" s="151">
        <f>INDEX('Analysis of bottom-up tags'!$N$77:$W$118,MATCH(Dashboard!$B100,'Analysis of bottom-up tags'!$B$77:$B$118,0),MATCH(Dashboard!C$21,'Analysis of bottom-up tags'!$N$6:$W$6,0))*C$22</f>
        <v>0</v>
      </c>
      <c r="D100" s="151">
        <f>INDEX('Analysis of bottom-up tags'!$N$77:$W$118,MATCH(Dashboard!$B100,'Analysis of bottom-up tags'!$B$77:$B$118,0),MATCH(Dashboard!D$21,'Analysis of bottom-up tags'!$N$6:$W$6,0))*D$22</f>
        <v>0</v>
      </c>
      <c r="E100" s="151">
        <f>INDEX('Analysis of bottom-up tags'!$N$77:$W$118,MATCH(Dashboard!$B100,'Analysis of bottom-up tags'!$B$77:$B$118,0),MATCH(Dashboard!E$21,'Analysis of bottom-up tags'!$N$6:$W$6,0))*E$22</f>
        <v>0</v>
      </c>
      <c r="F100" s="151">
        <f>INDEX('Analysis of bottom-up tags'!$N$77:$W$118,MATCH(Dashboard!$B100,'Analysis of bottom-up tags'!$B$77:$B$118,0),MATCH(Dashboard!F$21,'Analysis of bottom-up tags'!$N$6:$W$6,0))*F$22</f>
        <v>0</v>
      </c>
      <c r="G100" s="151">
        <f>INDEX('Analysis of bottom-up tags'!$N$77:$W$118,MATCH(Dashboard!$B100,'Analysis of bottom-up tags'!$B$77:$B$118,0),MATCH(Dashboard!G$21,'Analysis of bottom-up tags'!$N$6:$W$6,0))*G$22</f>
        <v>0</v>
      </c>
      <c r="H100" s="151">
        <f>INDEX('Analysis of bottom-up tags'!$N$77:$W$118,MATCH(Dashboard!$B100,'Analysis of bottom-up tags'!$B$77:$B$118,0),MATCH(Dashboard!H$21,'Analysis of bottom-up tags'!$N$6:$W$6,0))*H$22</f>
        <v>0</v>
      </c>
      <c r="I100" s="151">
        <f>INDEX('Analysis of bottom-up tags'!$N$77:$W$118,MATCH(Dashboard!$B100,'Analysis of bottom-up tags'!$B$77:$B$118,0),MATCH(Dashboard!I$21,'Analysis of bottom-up tags'!$N$6:$W$6,0))*I$22</f>
        <v>0</v>
      </c>
      <c r="J100" s="151">
        <f>INDEX('Analysis of bottom-up tags'!$N$77:$W$118,MATCH(Dashboard!$B100,'Analysis of bottom-up tags'!$B$77:$B$118,0),MATCH(Dashboard!J$21,'Analysis of bottom-up tags'!$N$6:$W$6,0))*J$22</f>
        <v>0</v>
      </c>
      <c r="K100" s="151">
        <f>INDEX('Analysis of bottom-up tags'!$N$77:$W$118,MATCH(Dashboard!$B100,'Analysis of bottom-up tags'!$B$77:$B$118,0),MATCH(Dashboard!K$21,'Analysis of bottom-up tags'!$N$6:$W$6,0))*K$22</f>
        <v>1.7610349304877457</v>
      </c>
      <c r="L100" s="151">
        <f>INDEX('Analysis of bottom-up tags'!$N$77:$W$118,MATCH(Dashboard!$B100,'Analysis of bottom-up tags'!$B$77:$B$118,0),MATCH(Dashboard!L$21,'Analysis of bottom-up tags'!$N$6:$W$6,0))*L$22</f>
        <v>0</v>
      </c>
      <c r="M100" s="151">
        <f t="shared" si="7"/>
        <v>1.7610349304877457</v>
      </c>
      <c r="N100" s="151" t="str" cm="1">
        <f t="array" ref="N100">INDEX(Framework!$C$3:$C$119,MATCH(Dashboard!$B100,Framework!$D$3:$D$119,),)</f>
        <v>Inputs</v>
      </c>
    </row>
    <row r="101" spans="2:14">
      <c r="B101" s="151" t="s">
        <v>10766</v>
      </c>
      <c r="C101" s="151">
        <f>INDEX('Analysis of bottom-up tags'!$N$77:$W$118,MATCH(Dashboard!$B101,'Analysis of bottom-up tags'!$B$77:$B$118,0),MATCH(Dashboard!C$21,'Analysis of bottom-up tags'!$N$6:$W$6,0))*C$22</f>
        <v>0</v>
      </c>
      <c r="D101" s="151">
        <f>INDEX('Analysis of bottom-up tags'!$N$77:$W$118,MATCH(Dashboard!$B101,'Analysis of bottom-up tags'!$B$77:$B$118,0),MATCH(Dashboard!D$21,'Analysis of bottom-up tags'!$N$6:$W$6,0))*D$22</f>
        <v>0</v>
      </c>
      <c r="E101" s="151">
        <f>INDEX('Analysis of bottom-up tags'!$N$77:$W$118,MATCH(Dashboard!$B101,'Analysis of bottom-up tags'!$B$77:$B$118,0),MATCH(Dashboard!E$21,'Analysis of bottom-up tags'!$N$6:$W$6,0))*E$22</f>
        <v>0</v>
      </c>
      <c r="F101" s="151">
        <f>INDEX('Analysis of bottom-up tags'!$N$77:$W$118,MATCH(Dashboard!$B101,'Analysis of bottom-up tags'!$B$77:$B$118,0),MATCH(Dashboard!F$21,'Analysis of bottom-up tags'!$N$6:$W$6,0))*F$22</f>
        <v>11.603530858390775</v>
      </c>
      <c r="G101" s="151">
        <f>INDEX('Analysis of bottom-up tags'!$N$77:$W$118,MATCH(Dashboard!$B101,'Analysis of bottom-up tags'!$B$77:$B$118,0),MATCH(Dashboard!G$21,'Analysis of bottom-up tags'!$N$6:$W$6,0))*G$22</f>
        <v>7.8780981035070248</v>
      </c>
      <c r="H101" s="151">
        <f>INDEX('Analysis of bottom-up tags'!$N$77:$W$118,MATCH(Dashboard!$B101,'Analysis of bottom-up tags'!$B$77:$B$118,0),MATCH(Dashboard!H$21,'Analysis of bottom-up tags'!$N$6:$W$6,0))*H$22</f>
        <v>1.7483883489700114</v>
      </c>
      <c r="I101" s="151">
        <f>INDEX('Analysis of bottom-up tags'!$N$77:$W$118,MATCH(Dashboard!$B101,'Analysis of bottom-up tags'!$B$77:$B$118,0),MATCH(Dashboard!I$21,'Analysis of bottom-up tags'!$N$6:$W$6,0))*I$22</f>
        <v>3.8958913766124086</v>
      </c>
      <c r="J101" s="151">
        <f>INDEX('Analysis of bottom-up tags'!$N$77:$W$118,MATCH(Dashboard!$B101,'Analysis of bottom-up tags'!$B$77:$B$118,0),MATCH(Dashboard!J$21,'Analysis of bottom-up tags'!$N$6:$W$6,0))*J$22</f>
        <v>0</v>
      </c>
      <c r="K101" s="151">
        <f>INDEX('Analysis of bottom-up tags'!$N$77:$W$118,MATCH(Dashboard!$B101,'Analysis of bottom-up tags'!$B$77:$B$118,0),MATCH(Dashboard!K$21,'Analysis of bottom-up tags'!$N$6:$W$6,0))*K$22</f>
        <v>1.6913111861473757</v>
      </c>
      <c r="L101" s="151">
        <f>INDEX('Analysis of bottom-up tags'!$N$77:$W$118,MATCH(Dashboard!$B101,'Analysis of bottom-up tags'!$B$77:$B$118,0),MATCH(Dashboard!L$21,'Analysis of bottom-up tags'!$N$6:$W$6,0))*L$22</f>
        <v>2.3157444130870108</v>
      </c>
      <c r="M101" s="151">
        <f t="shared" si="7"/>
        <v>29.132964286714603</v>
      </c>
      <c r="N101" s="151" t="str" cm="1">
        <f t="array" ref="N101">INDEX(Framework!$C$3:$C$119,MATCH(Dashboard!$B101,Framework!$D$3:$D$119,),)</f>
        <v>Production</v>
      </c>
    </row>
    <row r="102" spans="2:14">
      <c r="B102" s="151" t="s">
        <v>10842</v>
      </c>
      <c r="C102" s="151">
        <f>INDEX('Analysis of bottom-up tags'!$N$77:$W$118,MATCH(Dashboard!$B102,'Analysis of bottom-up tags'!$B$77:$B$118,0),MATCH(Dashboard!C$21,'Analysis of bottom-up tags'!$N$6:$W$6,0))*C$22</f>
        <v>26.360659489579209</v>
      </c>
      <c r="D102" s="151">
        <f>INDEX('Analysis of bottom-up tags'!$N$77:$W$118,MATCH(Dashboard!$B102,'Analysis of bottom-up tags'!$B$77:$B$118,0),MATCH(Dashboard!D$21,'Analysis of bottom-up tags'!$N$6:$W$6,0))*D$22</f>
        <v>19.519966873772095</v>
      </c>
      <c r="E102" s="151">
        <f>INDEX('Analysis of bottom-up tags'!$N$77:$W$118,MATCH(Dashboard!$B102,'Analysis of bottom-up tags'!$B$77:$B$118,0),MATCH(Dashboard!E$21,'Analysis of bottom-up tags'!$N$6:$W$6,0))*E$22</f>
        <v>603.00346283067358</v>
      </c>
      <c r="F102" s="151">
        <f>INDEX('Analysis of bottom-up tags'!$N$77:$W$118,MATCH(Dashboard!$B102,'Analysis of bottom-up tags'!$B$77:$B$118,0),MATCH(Dashboard!F$21,'Analysis of bottom-up tags'!$N$6:$W$6,0))*F$22</f>
        <v>80.469164171061038</v>
      </c>
      <c r="G102" s="151">
        <f>INDEX('Analysis of bottom-up tags'!$N$77:$W$118,MATCH(Dashboard!$B102,'Analysis of bottom-up tags'!$B$77:$B$118,0),MATCH(Dashboard!G$21,'Analysis of bottom-up tags'!$N$6:$W$6,0))*G$22</f>
        <v>124.86399250455887</v>
      </c>
      <c r="H102" s="151">
        <f>INDEX('Analysis of bottom-up tags'!$N$77:$W$118,MATCH(Dashboard!$B102,'Analysis of bottom-up tags'!$B$77:$B$118,0),MATCH(Dashboard!H$21,'Analysis of bottom-up tags'!$N$6:$W$6,0))*H$22</f>
        <v>64.238194905178801</v>
      </c>
      <c r="I102" s="151">
        <f>INDEX('Analysis of bottom-up tags'!$N$77:$W$118,MATCH(Dashboard!$B102,'Analysis of bottom-up tags'!$B$77:$B$118,0),MATCH(Dashboard!I$21,'Analysis of bottom-up tags'!$N$6:$W$6,0))*I$22</f>
        <v>43.79667512360988</v>
      </c>
      <c r="J102" s="151">
        <f>INDEX('Analysis of bottom-up tags'!$N$77:$W$118,MATCH(Dashboard!$B102,'Analysis of bottom-up tags'!$B$77:$B$118,0),MATCH(Dashboard!J$21,'Analysis of bottom-up tags'!$N$6:$W$6,0))*J$22</f>
        <v>295.84208160805684</v>
      </c>
      <c r="K102" s="151">
        <f>INDEX('Analysis of bottom-up tags'!$N$77:$W$118,MATCH(Dashboard!$B102,'Analysis of bottom-up tags'!$B$77:$B$118,0),MATCH(Dashboard!K$21,'Analysis of bottom-up tags'!$N$6:$W$6,0))*K$22</f>
        <v>14.928753123231859</v>
      </c>
      <c r="L102" s="151">
        <f>INDEX('Analysis of bottom-up tags'!$N$77:$W$118,MATCH(Dashboard!$B102,'Analysis of bottom-up tags'!$B$77:$B$118,0),MATCH(Dashboard!L$21,'Analysis of bottom-up tags'!$N$6:$W$6,0))*L$22</f>
        <v>172.57947042593304</v>
      </c>
      <c r="M102" s="151">
        <f t="shared" si="7"/>
        <v>1445.6024210556554</v>
      </c>
      <c r="N102" s="151" t="str" cm="1">
        <f t="array" ref="N102">INDEX(Framework!$C$3:$C$119,MATCH(Dashboard!$B102,Framework!$D$3:$D$119,),)</f>
        <v>Cross-cutting</v>
      </c>
    </row>
    <row r="103" spans="2:14">
      <c r="B103" s="151" t="s">
        <v>10846</v>
      </c>
      <c r="C103" s="151">
        <f>INDEX('Analysis of bottom-up tags'!$N$77:$W$118,MATCH(Dashboard!$B103,'Analysis of bottom-up tags'!$B$77:$B$118,0),MATCH(Dashboard!C$21,'Analysis of bottom-up tags'!$N$6:$W$6,0))*C$22</f>
        <v>0</v>
      </c>
      <c r="D103" s="151">
        <f>INDEX('Analysis of bottom-up tags'!$N$77:$W$118,MATCH(Dashboard!$B103,'Analysis of bottom-up tags'!$B$77:$B$118,0),MATCH(Dashboard!D$21,'Analysis of bottom-up tags'!$N$6:$W$6,0))*D$22</f>
        <v>13.795696670956033</v>
      </c>
      <c r="E103" s="151">
        <f>INDEX('Analysis of bottom-up tags'!$N$77:$W$118,MATCH(Dashboard!$B103,'Analysis of bottom-up tags'!$B$77:$B$118,0),MATCH(Dashboard!E$21,'Analysis of bottom-up tags'!$N$6:$W$6,0))*E$22</f>
        <v>0</v>
      </c>
      <c r="F103" s="151">
        <f>INDEX('Analysis of bottom-up tags'!$N$77:$W$118,MATCH(Dashboard!$B103,'Analysis of bottom-up tags'!$B$77:$B$118,0),MATCH(Dashboard!F$21,'Analysis of bottom-up tags'!$N$6:$W$6,0))*F$22</f>
        <v>1.3527612498596111</v>
      </c>
      <c r="G103" s="151">
        <f>INDEX('Analysis of bottom-up tags'!$N$77:$W$118,MATCH(Dashboard!$B103,'Analysis of bottom-up tags'!$B$77:$B$118,0),MATCH(Dashboard!G$21,'Analysis of bottom-up tags'!$N$6:$W$6,0))*G$22</f>
        <v>129.15320066488155</v>
      </c>
      <c r="H103" s="151">
        <f>INDEX('Analysis of bottom-up tags'!$N$77:$W$118,MATCH(Dashboard!$B103,'Analysis of bottom-up tags'!$B$77:$B$118,0),MATCH(Dashboard!H$21,'Analysis of bottom-up tags'!$N$6:$W$6,0))*H$22</f>
        <v>6.0087681836493143</v>
      </c>
      <c r="I103" s="151">
        <f>INDEX('Analysis of bottom-up tags'!$N$77:$W$118,MATCH(Dashboard!$B103,'Analysis of bottom-up tags'!$B$77:$B$118,0),MATCH(Dashboard!I$21,'Analysis of bottom-up tags'!$N$6:$W$6,0))*I$22</f>
        <v>40.948000651983172</v>
      </c>
      <c r="J103" s="151">
        <f>INDEX('Analysis of bottom-up tags'!$N$77:$W$118,MATCH(Dashboard!$B103,'Analysis of bottom-up tags'!$B$77:$B$118,0),MATCH(Dashboard!J$21,'Analysis of bottom-up tags'!$N$6:$W$6,0))*J$22</f>
        <v>162.09910509019301</v>
      </c>
      <c r="K103" s="151">
        <f>INDEX('Analysis of bottom-up tags'!$N$77:$W$118,MATCH(Dashboard!$B103,'Analysis of bottom-up tags'!$B$77:$B$118,0),MATCH(Dashboard!K$21,'Analysis of bottom-up tags'!$N$6:$W$6,0))*K$22</f>
        <v>38.970978363469186</v>
      </c>
      <c r="L103" s="151">
        <f>INDEX('Analysis of bottom-up tags'!$N$77:$W$118,MATCH(Dashboard!$B103,'Analysis of bottom-up tags'!$B$77:$B$118,0),MATCH(Dashboard!L$21,'Analysis of bottom-up tags'!$N$6:$W$6,0))*L$22</f>
        <v>174.7926904749846</v>
      </c>
      <c r="M103" s="151">
        <f t="shared" si="7"/>
        <v>567.12120134997645</v>
      </c>
      <c r="N103" s="151" t="str" cm="1">
        <f t="array" ref="N103">INDEX(Framework!$C$3:$C$119,MATCH(Dashboard!$B103,Framework!$D$3:$D$119,),)</f>
        <v>Cross-cutting</v>
      </c>
    </row>
    <row r="104" spans="2:14">
      <c r="B104" s="151" t="s">
        <v>10776</v>
      </c>
      <c r="C104" s="151">
        <f>INDEX('Analysis of bottom-up tags'!$N$77:$W$118,MATCH(Dashboard!$B104,'Analysis of bottom-up tags'!$B$77:$B$118,0),MATCH(Dashboard!C$21,'Analysis of bottom-up tags'!$N$6:$W$6,0))*C$22</f>
        <v>0</v>
      </c>
      <c r="D104" s="151">
        <f>INDEX('Analysis of bottom-up tags'!$N$77:$W$118,MATCH(Dashboard!$B104,'Analysis of bottom-up tags'!$B$77:$B$118,0),MATCH(Dashboard!D$21,'Analysis of bottom-up tags'!$N$6:$W$6,0))*D$22</f>
        <v>0</v>
      </c>
      <c r="E104" s="151">
        <f>INDEX('Analysis of bottom-up tags'!$N$77:$W$118,MATCH(Dashboard!$B104,'Analysis of bottom-up tags'!$B$77:$B$118,0),MATCH(Dashboard!E$21,'Analysis of bottom-up tags'!$N$6:$W$6,0))*E$22</f>
        <v>0</v>
      </c>
      <c r="F104" s="151">
        <f>INDEX('Analysis of bottom-up tags'!$N$77:$W$118,MATCH(Dashboard!$B104,'Analysis of bottom-up tags'!$B$77:$B$118,0),MATCH(Dashboard!F$21,'Analysis of bottom-up tags'!$N$6:$W$6,0))*F$22</f>
        <v>0</v>
      </c>
      <c r="G104" s="151">
        <f>INDEX('Analysis of bottom-up tags'!$N$77:$W$118,MATCH(Dashboard!$B104,'Analysis of bottom-up tags'!$B$77:$B$118,0),MATCH(Dashboard!G$21,'Analysis of bottom-up tags'!$N$6:$W$6,0))*G$22</f>
        <v>0</v>
      </c>
      <c r="H104" s="151">
        <f>INDEX('Analysis of bottom-up tags'!$N$77:$W$118,MATCH(Dashboard!$B104,'Analysis of bottom-up tags'!$B$77:$B$118,0),MATCH(Dashboard!H$21,'Analysis of bottom-up tags'!$N$6:$W$6,0))*H$22</f>
        <v>0</v>
      </c>
      <c r="I104" s="151">
        <f>INDEX('Analysis of bottom-up tags'!$N$77:$W$118,MATCH(Dashboard!$B104,'Analysis of bottom-up tags'!$B$77:$B$118,0),MATCH(Dashboard!I$21,'Analysis of bottom-up tags'!$N$6:$W$6,0))*I$22</f>
        <v>0</v>
      </c>
      <c r="J104" s="151">
        <f>INDEX('Analysis of bottom-up tags'!$N$77:$W$118,MATCH(Dashboard!$B104,'Analysis of bottom-up tags'!$B$77:$B$118,0),MATCH(Dashboard!J$21,'Analysis of bottom-up tags'!$N$6:$W$6,0))*J$22</f>
        <v>40.010382936715288</v>
      </c>
      <c r="K104" s="151">
        <f>INDEX('Analysis of bottom-up tags'!$N$77:$W$118,MATCH(Dashboard!$B104,'Analysis of bottom-up tags'!$B$77:$B$118,0),MATCH(Dashboard!K$21,'Analysis of bottom-up tags'!$N$6:$W$6,0))*K$22</f>
        <v>0</v>
      </c>
      <c r="L104" s="151">
        <f>INDEX('Analysis of bottom-up tags'!$N$77:$W$118,MATCH(Dashboard!$B104,'Analysis of bottom-up tags'!$B$77:$B$118,0),MATCH(Dashboard!L$21,'Analysis of bottom-up tags'!$N$6:$W$6,0))*L$22</f>
        <v>0</v>
      </c>
      <c r="M104" s="151">
        <f t="shared" si="7"/>
        <v>40.010382936715288</v>
      </c>
      <c r="N104" s="151" t="str" cm="1">
        <f t="array" ref="N104">INDEX(Framework!$C$3:$C$119,MATCH(Dashboard!$B104,Framework!$D$3:$D$119,),)</f>
        <v>Production</v>
      </c>
    </row>
    <row r="105" spans="2:14">
      <c r="B105" s="151" t="s">
        <v>10517</v>
      </c>
      <c r="C105" s="151">
        <f>INDEX('Analysis of bottom-up tags'!$N$77:$W$118,MATCH(Dashboard!$B105,'Analysis of bottom-up tags'!$B$77:$B$118,0),MATCH(Dashboard!C$21,'Analysis of bottom-up tags'!$N$6:$W$6,0))*C$22</f>
        <v>0</v>
      </c>
      <c r="D105" s="151">
        <f>INDEX('Analysis of bottom-up tags'!$N$77:$W$118,MATCH(Dashboard!$B105,'Analysis of bottom-up tags'!$B$77:$B$118,0),MATCH(Dashboard!D$21,'Analysis of bottom-up tags'!$N$6:$W$6,0))*D$22</f>
        <v>0</v>
      </c>
      <c r="E105" s="151">
        <f>INDEX('Analysis of bottom-up tags'!$N$77:$W$118,MATCH(Dashboard!$B105,'Analysis of bottom-up tags'!$B$77:$B$118,0),MATCH(Dashboard!E$21,'Analysis of bottom-up tags'!$N$6:$W$6,0))*E$22</f>
        <v>0</v>
      </c>
      <c r="F105" s="151">
        <f>INDEX('Analysis of bottom-up tags'!$N$77:$W$118,MATCH(Dashboard!$B105,'Analysis of bottom-up tags'!$B$77:$B$118,0),MATCH(Dashboard!F$21,'Analysis of bottom-up tags'!$N$6:$W$6,0))*F$22</f>
        <v>0</v>
      </c>
      <c r="G105" s="151">
        <f>INDEX('Analysis of bottom-up tags'!$N$77:$W$118,MATCH(Dashboard!$B105,'Analysis of bottom-up tags'!$B$77:$B$118,0),MATCH(Dashboard!G$21,'Analysis of bottom-up tags'!$N$6:$W$6,0))*G$22</f>
        <v>0</v>
      </c>
      <c r="H105" s="151">
        <f>INDEX('Analysis of bottom-up tags'!$N$77:$W$118,MATCH(Dashboard!$B105,'Analysis of bottom-up tags'!$B$77:$B$118,0),MATCH(Dashboard!H$21,'Analysis of bottom-up tags'!$N$6:$W$6,0))*H$22</f>
        <v>64.003390822793648</v>
      </c>
      <c r="I105" s="151">
        <f>INDEX('Analysis of bottom-up tags'!$N$77:$W$118,MATCH(Dashboard!$B105,'Analysis of bottom-up tags'!$B$77:$B$118,0),MATCH(Dashboard!I$21,'Analysis of bottom-up tags'!$N$6:$W$6,0))*I$22</f>
        <v>98.308319321544374</v>
      </c>
      <c r="J105" s="151">
        <f>INDEX('Analysis of bottom-up tags'!$N$77:$W$118,MATCH(Dashboard!$B105,'Analysis of bottom-up tags'!$B$77:$B$118,0),MATCH(Dashboard!J$21,'Analysis of bottom-up tags'!$N$6:$W$6,0))*J$22</f>
        <v>20.050269546049119</v>
      </c>
      <c r="K105" s="151">
        <f>INDEX('Analysis of bottom-up tags'!$N$77:$W$118,MATCH(Dashboard!$B105,'Analysis of bottom-up tags'!$B$77:$B$118,0),MATCH(Dashboard!K$21,'Analysis of bottom-up tags'!$N$6:$W$6,0))*K$22</f>
        <v>0.48687825677318619</v>
      </c>
      <c r="L105" s="151">
        <f>INDEX('Analysis of bottom-up tags'!$N$77:$W$118,MATCH(Dashboard!$B105,'Analysis of bottom-up tags'!$B$77:$B$118,0),MATCH(Dashboard!L$21,'Analysis of bottom-up tags'!$N$6:$W$6,0))*L$22</f>
        <v>9.738134261813256</v>
      </c>
      <c r="M105" s="151">
        <f t="shared" si="7"/>
        <v>192.58699220897358</v>
      </c>
      <c r="N105" s="207" t="s">
        <v>10517</v>
      </c>
    </row>
    <row r="106" spans="2:14">
      <c r="B106" s="151" t="s">
        <v>10759</v>
      </c>
      <c r="C106" s="151">
        <f>INDEX('Analysis of bottom-up tags'!$N$77:$W$118,MATCH(Dashboard!$B106,'Analysis of bottom-up tags'!$B$77:$B$118,0),MATCH(Dashboard!C$21,'Analysis of bottom-up tags'!$N$6:$W$6,0))*C$22</f>
        <v>0</v>
      </c>
      <c r="D106" s="151">
        <f>INDEX('Analysis of bottom-up tags'!$N$77:$W$118,MATCH(Dashboard!$B106,'Analysis of bottom-up tags'!$B$77:$B$118,0),MATCH(Dashboard!D$21,'Analysis of bottom-up tags'!$N$6:$W$6,0))*D$22</f>
        <v>0</v>
      </c>
      <c r="E106" s="151">
        <f>INDEX('Analysis of bottom-up tags'!$N$77:$W$118,MATCH(Dashboard!$B106,'Analysis of bottom-up tags'!$B$77:$B$118,0),MATCH(Dashboard!E$21,'Analysis of bottom-up tags'!$N$6:$W$6,0))*E$22</f>
        <v>0</v>
      </c>
      <c r="F106" s="151">
        <f>INDEX('Analysis of bottom-up tags'!$N$77:$W$118,MATCH(Dashboard!$B106,'Analysis of bottom-up tags'!$B$77:$B$118,0),MATCH(Dashboard!F$21,'Analysis of bottom-up tags'!$N$6:$W$6,0))*F$22</f>
        <v>0</v>
      </c>
      <c r="G106" s="151">
        <f>INDEX('Analysis of bottom-up tags'!$N$77:$W$118,MATCH(Dashboard!$B106,'Analysis of bottom-up tags'!$B$77:$B$118,0),MATCH(Dashboard!G$21,'Analysis of bottom-up tags'!$N$6:$W$6,0))*G$22</f>
        <v>0</v>
      </c>
      <c r="H106" s="151">
        <f>INDEX('Analysis of bottom-up tags'!$N$77:$W$118,MATCH(Dashboard!$B106,'Analysis of bottom-up tags'!$B$77:$B$118,0),MATCH(Dashboard!H$21,'Analysis of bottom-up tags'!$N$6:$W$6,0))*H$22</f>
        <v>0</v>
      </c>
      <c r="I106" s="151">
        <f>INDEX('Analysis of bottom-up tags'!$N$77:$W$118,MATCH(Dashboard!$B106,'Analysis of bottom-up tags'!$B$77:$B$118,0),MATCH(Dashboard!I$21,'Analysis of bottom-up tags'!$N$6:$W$6,0))*I$22</f>
        <v>4.3374285787495337</v>
      </c>
      <c r="J106" s="151">
        <f>INDEX('Analysis of bottom-up tags'!$N$77:$W$118,MATCH(Dashboard!$B106,'Analysis of bottom-up tags'!$B$77:$B$118,0),MATCH(Dashboard!J$21,'Analysis of bottom-up tags'!$N$6:$W$6,0))*J$22</f>
        <v>32.883697175990385</v>
      </c>
      <c r="K106" s="151">
        <f>INDEX('Analysis of bottom-up tags'!$N$77:$W$118,MATCH(Dashboard!$B106,'Analysis of bottom-up tags'!$B$77:$B$118,0),MATCH(Dashboard!K$21,'Analysis of bottom-up tags'!$N$6:$W$6,0))*K$22</f>
        <v>2.110689899928178</v>
      </c>
      <c r="L106" s="151">
        <f>INDEX('Analysis of bottom-up tags'!$N$77:$W$118,MATCH(Dashboard!$B106,'Analysis of bottom-up tags'!$B$77:$B$118,0),MATCH(Dashboard!L$21,'Analysis of bottom-up tags'!$N$6:$W$6,0))*L$22</f>
        <v>16.017136834503447</v>
      </c>
      <c r="M106" s="151">
        <f t="shared" si="7"/>
        <v>55.348952489171538</v>
      </c>
      <c r="N106" s="151" t="str" cm="1">
        <f t="array" ref="N106">INDEX(Framework!$C$3:$C$119,MATCH(Dashboard!$B106,Framework!$D$3:$D$119,),)</f>
        <v>Production</v>
      </c>
    </row>
    <row r="107" spans="2:14">
      <c r="B107" s="151" t="s">
        <v>10852</v>
      </c>
      <c r="C107" s="151">
        <f>INDEX('Analysis of bottom-up tags'!$N$77:$W$118,MATCH(Dashboard!$B107,'Analysis of bottom-up tags'!$B$77:$B$118,0),MATCH(Dashboard!C$21,'Analysis of bottom-up tags'!$N$6:$W$6,0))*C$22</f>
        <v>0</v>
      </c>
      <c r="D107" s="151">
        <f>INDEX('Analysis of bottom-up tags'!$N$77:$W$118,MATCH(Dashboard!$B107,'Analysis of bottom-up tags'!$B$77:$B$118,0),MATCH(Dashboard!D$21,'Analysis of bottom-up tags'!$N$6:$W$6,0))*D$22</f>
        <v>0</v>
      </c>
      <c r="E107" s="151">
        <f>INDEX('Analysis of bottom-up tags'!$N$77:$W$118,MATCH(Dashboard!$B107,'Analysis of bottom-up tags'!$B$77:$B$118,0),MATCH(Dashboard!E$21,'Analysis of bottom-up tags'!$N$6:$W$6,0))*E$22</f>
        <v>0</v>
      </c>
      <c r="F107" s="151">
        <f>INDEX('Analysis of bottom-up tags'!$N$77:$W$118,MATCH(Dashboard!$B107,'Analysis of bottom-up tags'!$B$77:$B$118,0),MATCH(Dashboard!F$21,'Analysis of bottom-up tags'!$N$6:$W$6,0))*F$22</f>
        <v>0</v>
      </c>
      <c r="G107" s="151">
        <f>INDEX('Analysis of bottom-up tags'!$N$77:$W$118,MATCH(Dashboard!$B107,'Analysis of bottom-up tags'!$B$77:$B$118,0),MATCH(Dashboard!G$21,'Analysis of bottom-up tags'!$N$6:$W$6,0))*G$22</f>
        <v>0</v>
      </c>
      <c r="H107" s="151">
        <f>INDEX('Analysis of bottom-up tags'!$N$77:$W$118,MATCH(Dashboard!$B107,'Analysis of bottom-up tags'!$B$77:$B$118,0),MATCH(Dashboard!H$21,'Analysis of bottom-up tags'!$N$6:$W$6,0))*H$22</f>
        <v>0</v>
      </c>
      <c r="I107" s="151">
        <f>INDEX('Analysis of bottom-up tags'!$N$77:$W$118,MATCH(Dashboard!$B107,'Analysis of bottom-up tags'!$B$77:$B$118,0),MATCH(Dashboard!I$21,'Analysis of bottom-up tags'!$N$6:$W$6,0))*I$22</f>
        <v>1.2579518000357</v>
      </c>
      <c r="J107" s="151">
        <f>INDEX('Analysis of bottom-up tags'!$N$77:$W$118,MATCH(Dashboard!$B107,'Analysis of bottom-up tags'!$B$77:$B$118,0),MATCH(Dashboard!J$21,'Analysis of bottom-up tags'!$N$6:$W$6,0))*J$22</f>
        <v>85.396947854571565</v>
      </c>
      <c r="K107" s="151">
        <f>INDEX('Analysis of bottom-up tags'!$N$77:$W$118,MATCH(Dashboard!$B107,'Analysis of bottom-up tags'!$B$77:$B$118,0),MATCH(Dashboard!K$21,'Analysis of bottom-up tags'!$N$6:$W$6,0))*K$22</f>
        <v>1.9457637871254023</v>
      </c>
      <c r="L107" s="151">
        <f>INDEX('Analysis of bottom-up tags'!$N$77:$W$118,MATCH(Dashboard!$B107,'Analysis of bottom-up tags'!$B$77:$B$118,0),MATCH(Dashboard!L$21,'Analysis of bottom-up tags'!$N$6:$W$6,0))*L$22</f>
        <v>25.31828524272477</v>
      </c>
      <c r="M107" s="151">
        <f t="shared" si="7"/>
        <v>113.91894868445743</v>
      </c>
      <c r="N107" s="151" t="str" cm="1">
        <f t="array" ref="N107">INDEX(Framework!$C$3:$C$119,MATCH(Dashboard!$B107,Framework!$D$3:$D$119,),)</f>
        <v>Cross-cutting</v>
      </c>
    </row>
    <row r="108" spans="2:14">
      <c r="B108" s="151" t="s">
        <v>10768</v>
      </c>
      <c r="C108" s="151">
        <f>INDEX('Analysis of bottom-up tags'!$N$77:$W$118,MATCH(Dashboard!$B108,'Analysis of bottom-up tags'!$B$77:$B$118,0),MATCH(Dashboard!C$21,'Analysis of bottom-up tags'!$N$6:$W$6,0))*C$22</f>
        <v>10.207300395185809</v>
      </c>
      <c r="D108" s="151">
        <f>INDEX('Analysis of bottom-up tags'!$N$77:$W$118,MATCH(Dashboard!$B108,'Analysis of bottom-up tags'!$B$77:$B$118,0),MATCH(Dashboard!D$21,'Analysis of bottom-up tags'!$N$6:$W$6,0))*D$22</f>
        <v>81.189979576440436</v>
      </c>
      <c r="E108" s="151">
        <f>INDEX('Analysis of bottom-up tags'!$N$77:$W$118,MATCH(Dashboard!$B108,'Analysis of bottom-up tags'!$B$77:$B$118,0),MATCH(Dashboard!E$21,'Analysis of bottom-up tags'!$N$6:$W$6,0))*E$22</f>
        <v>0</v>
      </c>
      <c r="F108" s="151">
        <f>INDEX('Analysis of bottom-up tags'!$N$77:$W$118,MATCH(Dashboard!$B108,'Analysis of bottom-up tags'!$B$77:$B$118,0),MATCH(Dashboard!F$21,'Analysis of bottom-up tags'!$N$6:$W$6,0))*F$22</f>
        <v>259.1130861162892</v>
      </c>
      <c r="G108" s="151">
        <f>INDEX('Analysis of bottom-up tags'!$N$77:$W$118,MATCH(Dashboard!$B108,'Analysis of bottom-up tags'!$B$77:$B$118,0),MATCH(Dashboard!G$21,'Analysis of bottom-up tags'!$N$6:$W$6,0))*G$22</f>
        <v>12.893397745249771</v>
      </c>
      <c r="H108" s="151">
        <f>INDEX('Analysis of bottom-up tags'!$N$77:$W$118,MATCH(Dashboard!$B108,'Analysis of bottom-up tags'!$B$77:$B$118,0),MATCH(Dashboard!H$21,'Analysis of bottom-up tags'!$N$6:$W$6,0))*H$22</f>
        <v>5.9614782342998698</v>
      </c>
      <c r="I108" s="151">
        <f>INDEX('Analysis of bottom-up tags'!$N$77:$W$118,MATCH(Dashboard!$B108,'Analysis of bottom-up tags'!$B$77:$B$118,0),MATCH(Dashboard!I$21,'Analysis of bottom-up tags'!$N$6:$W$6,0))*I$22</f>
        <v>2.3767518591471335</v>
      </c>
      <c r="J108" s="151">
        <f>INDEX('Analysis of bottom-up tags'!$N$77:$W$118,MATCH(Dashboard!$B108,'Analysis of bottom-up tags'!$B$77:$B$118,0),MATCH(Dashboard!J$21,'Analysis of bottom-up tags'!$N$6:$W$6,0))*J$22</f>
        <v>0.60554356794653363</v>
      </c>
      <c r="K108" s="151">
        <f>INDEX('Analysis of bottom-up tags'!$N$77:$W$118,MATCH(Dashboard!$B108,'Analysis of bottom-up tags'!$B$77:$B$118,0),MATCH(Dashboard!K$21,'Analysis of bottom-up tags'!$N$6:$W$6,0))*K$22</f>
        <v>2.75371184101515</v>
      </c>
      <c r="L108" s="151">
        <f>INDEX('Analysis of bottom-up tags'!$N$77:$W$118,MATCH(Dashboard!$B108,'Analysis of bottom-up tags'!$B$77:$B$118,0),MATCH(Dashboard!L$21,'Analysis of bottom-up tags'!$N$6:$W$6,0))*L$22</f>
        <v>31.787283416556736</v>
      </c>
      <c r="M108" s="151">
        <f t="shared" si="7"/>
        <v>406.88853275213069</v>
      </c>
      <c r="N108" s="151" t="str" cm="1">
        <f t="array" ref="N108">INDEX(Framework!$C$3:$C$119,MATCH(Dashboard!$B108,Framework!$D$3:$D$119,),)</f>
        <v>Production</v>
      </c>
    </row>
    <row r="109" spans="2:14">
      <c r="B109" s="151" t="s">
        <v>10870</v>
      </c>
      <c r="C109" s="151">
        <f>INDEX('Analysis of bottom-up tags'!$N$77:$W$118,MATCH(Dashboard!$B109,'Analysis of bottom-up tags'!$B$77:$B$118,0),MATCH(Dashboard!C$21,'Analysis of bottom-up tags'!$N$6:$W$6,0))*C$22</f>
        <v>0</v>
      </c>
      <c r="D109" s="151">
        <f>INDEX('Analysis of bottom-up tags'!$N$77:$W$118,MATCH(Dashboard!$B109,'Analysis of bottom-up tags'!$B$77:$B$118,0),MATCH(Dashboard!D$21,'Analysis of bottom-up tags'!$N$6:$W$6,0))*D$22</f>
        <v>0</v>
      </c>
      <c r="E109" s="151">
        <f>INDEX('Analysis of bottom-up tags'!$N$77:$W$118,MATCH(Dashboard!$B109,'Analysis of bottom-up tags'!$B$77:$B$118,0),MATCH(Dashboard!E$21,'Analysis of bottom-up tags'!$N$6:$W$6,0))*E$22</f>
        <v>0</v>
      </c>
      <c r="F109" s="151">
        <f>INDEX('Analysis of bottom-up tags'!$N$77:$W$118,MATCH(Dashboard!$B109,'Analysis of bottom-up tags'!$B$77:$B$118,0),MATCH(Dashboard!F$21,'Analysis of bottom-up tags'!$N$6:$W$6,0))*F$22</f>
        <v>48.464503243632066</v>
      </c>
      <c r="G109" s="151">
        <f>INDEX('Analysis of bottom-up tags'!$N$77:$W$118,MATCH(Dashboard!$B109,'Analysis of bottom-up tags'!$B$77:$B$118,0),MATCH(Dashboard!G$21,'Analysis of bottom-up tags'!$N$6:$W$6,0))*G$22</f>
        <v>0</v>
      </c>
      <c r="H109" s="151">
        <f>INDEX('Analysis of bottom-up tags'!$N$77:$W$118,MATCH(Dashboard!$B109,'Analysis of bottom-up tags'!$B$77:$B$118,0),MATCH(Dashboard!H$21,'Analysis of bottom-up tags'!$N$6:$W$6,0))*H$22</f>
        <v>11.843243916327189</v>
      </c>
      <c r="I109" s="151">
        <f>INDEX('Analysis of bottom-up tags'!$N$77:$W$118,MATCH(Dashboard!$B109,'Analysis of bottom-up tags'!$B$77:$B$118,0),MATCH(Dashboard!I$21,'Analysis of bottom-up tags'!$N$6:$W$6,0))*I$22</f>
        <v>0</v>
      </c>
      <c r="J109" s="151">
        <f>INDEX('Analysis of bottom-up tags'!$N$77:$W$118,MATCH(Dashboard!$B109,'Analysis of bottom-up tags'!$B$77:$B$118,0),MATCH(Dashboard!J$21,'Analysis of bottom-up tags'!$N$6:$W$6,0))*J$22</f>
        <v>10.070356402807922</v>
      </c>
      <c r="K109" s="151">
        <f>INDEX('Analysis of bottom-up tags'!$N$77:$W$118,MATCH(Dashboard!$B109,'Analysis of bottom-up tags'!$B$77:$B$118,0),MATCH(Dashboard!K$21,'Analysis of bottom-up tags'!$N$6:$W$6,0))*K$22</f>
        <v>20.917841952776929</v>
      </c>
      <c r="L109" s="151">
        <f>INDEX('Analysis of bottom-up tags'!$N$77:$W$118,MATCH(Dashboard!$B109,'Analysis of bottom-up tags'!$B$77:$B$118,0),MATCH(Dashboard!L$21,'Analysis of bottom-up tags'!$N$6:$W$6,0))*L$22</f>
        <v>2.8187421016763432</v>
      </c>
      <c r="M109" s="151">
        <f t="shared" si="7"/>
        <v>94.114687617220454</v>
      </c>
      <c r="N109" s="151" t="str" cm="1">
        <f t="array" ref="N109">INDEX(Framework!$C$3:$C$119,MATCH(Dashboard!$B109,Framework!$D$3:$D$119,),)</f>
        <v>Biodiversity management</v>
      </c>
    </row>
    <row r="110" spans="2:14">
      <c r="B110" s="151" t="s">
        <v>10765</v>
      </c>
      <c r="C110" s="151">
        <f>INDEX('Analysis of bottom-up tags'!$N$77:$W$118,MATCH(Dashboard!$B110,'Analysis of bottom-up tags'!$B$77:$B$118,0),MATCH(Dashboard!C$21,'Analysis of bottom-up tags'!$N$6:$W$6,0))*C$22</f>
        <v>0</v>
      </c>
      <c r="D110" s="151">
        <f>INDEX('Analysis of bottom-up tags'!$N$77:$W$118,MATCH(Dashboard!$B110,'Analysis of bottom-up tags'!$B$77:$B$118,0),MATCH(Dashboard!D$21,'Analysis of bottom-up tags'!$N$6:$W$6,0))*D$22</f>
        <v>0</v>
      </c>
      <c r="E110" s="151">
        <f>INDEX('Analysis of bottom-up tags'!$N$77:$W$118,MATCH(Dashboard!$B110,'Analysis of bottom-up tags'!$B$77:$B$118,0),MATCH(Dashboard!E$21,'Analysis of bottom-up tags'!$N$6:$W$6,0))*E$22</f>
        <v>0</v>
      </c>
      <c r="F110" s="151">
        <f>INDEX('Analysis of bottom-up tags'!$N$77:$W$118,MATCH(Dashboard!$B110,'Analysis of bottom-up tags'!$B$77:$B$118,0),MATCH(Dashboard!F$21,'Analysis of bottom-up tags'!$N$6:$W$6,0))*F$22</f>
        <v>7.1753216959762574</v>
      </c>
      <c r="G110" s="151">
        <f>INDEX('Analysis of bottom-up tags'!$N$77:$W$118,MATCH(Dashboard!$B110,'Analysis of bottom-up tags'!$B$77:$B$118,0),MATCH(Dashboard!G$21,'Analysis of bottom-up tags'!$N$6:$W$6,0))*G$22</f>
        <v>0</v>
      </c>
      <c r="H110" s="151">
        <f>INDEX('Analysis of bottom-up tags'!$N$77:$W$118,MATCH(Dashboard!$B110,'Analysis of bottom-up tags'!$B$77:$B$118,0),MATCH(Dashboard!H$21,'Analysis of bottom-up tags'!$N$6:$W$6,0))*H$22</f>
        <v>24.273198843702598</v>
      </c>
      <c r="I110" s="151">
        <f>INDEX('Analysis of bottom-up tags'!$N$77:$W$118,MATCH(Dashboard!$B110,'Analysis of bottom-up tags'!$B$77:$B$118,0),MATCH(Dashboard!I$21,'Analysis of bottom-up tags'!$N$6:$W$6,0))*I$22</f>
        <v>5.696836573414802E-2</v>
      </c>
      <c r="J110" s="151">
        <f>INDEX('Analysis of bottom-up tags'!$N$77:$W$118,MATCH(Dashboard!$B110,'Analysis of bottom-up tags'!$B$77:$B$118,0),MATCH(Dashboard!J$21,'Analysis of bottom-up tags'!$N$6:$W$6,0))*J$22</f>
        <v>52.362649354398492</v>
      </c>
      <c r="K110" s="151">
        <f>INDEX('Analysis of bottom-up tags'!$N$77:$W$118,MATCH(Dashboard!$B110,'Analysis of bottom-up tags'!$B$77:$B$118,0),MATCH(Dashboard!K$21,'Analysis of bottom-up tags'!$N$6:$W$6,0))*K$22</f>
        <v>0</v>
      </c>
      <c r="L110" s="151">
        <f>INDEX('Analysis of bottom-up tags'!$N$77:$W$118,MATCH(Dashboard!$B110,'Analysis of bottom-up tags'!$B$77:$B$118,0),MATCH(Dashboard!L$21,'Analysis of bottom-up tags'!$N$6:$W$6,0))*L$22</f>
        <v>11.598506714252055</v>
      </c>
      <c r="M110" s="151">
        <f t="shared" si="7"/>
        <v>95.466644974063556</v>
      </c>
      <c r="N110" s="151" t="str" cm="1">
        <f t="array" ref="N110">INDEX(Framework!$C$3:$C$119,MATCH(Dashboard!$B110,Framework!$D$3:$D$119,),)</f>
        <v>Production</v>
      </c>
    </row>
    <row r="111" spans="2:14">
      <c r="B111" s="151" t="s">
        <v>10735</v>
      </c>
      <c r="C111" s="151">
        <f>INDEX('Analysis of bottom-up tags'!$N$77:$W$118,MATCH(Dashboard!$B111,'Analysis of bottom-up tags'!$B$77:$B$118,0),MATCH(Dashboard!C$21,'Analysis of bottom-up tags'!$N$6:$W$6,0))*C$22</f>
        <v>0</v>
      </c>
      <c r="D111" s="151">
        <f>INDEX('Analysis of bottom-up tags'!$N$77:$W$118,MATCH(Dashboard!$B111,'Analysis of bottom-up tags'!$B$77:$B$118,0),MATCH(Dashboard!D$21,'Analysis of bottom-up tags'!$N$6:$W$6,0))*D$22</f>
        <v>0</v>
      </c>
      <c r="E111" s="151">
        <f>INDEX('Analysis of bottom-up tags'!$N$77:$W$118,MATCH(Dashboard!$B111,'Analysis of bottom-up tags'!$B$77:$B$118,0),MATCH(Dashboard!E$21,'Analysis of bottom-up tags'!$N$6:$W$6,0))*E$22</f>
        <v>0</v>
      </c>
      <c r="F111" s="151">
        <f>INDEX('Analysis of bottom-up tags'!$N$77:$W$118,MATCH(Dashboard!$B111,'Analysis of bottom-up tags'!$B$77:$B$118,0),MATCH(Dashboard!F$21,'Analysis of bottom-up tags'!$N$6:$W$6,0))*F$22</f>
        <v>0</v>
      </c>
      <c r="G111" s="151">
        <f>INDEX('Analysis of bottom-up tags'!$N$77:$W$118,MATCH(Dashboard!$B111,'Analysis of bottom-up tags'!$B$77:$B$118,0),MATCH(Dashboard!G$21,'Analysis of bottom-up tags'!$N$6:$W$6,0))*G$22</f>
        <v>4.9736023934346081</v>
      </c>
      <c r="H111" s="151">
        <f>INDEX('Analysis of bottom-up tags'!$N$77:$W$118,MATCH(Dashboard!$B111,'Analysis of bottom-up tags'!$B$77:$B$118,0),MATCH(Dashboard!H$21,'Analysis of bottom-up tags'!$N$6:$W$6,0))*H$22</f>
        <v>64.003390822793648</v>
      </c>
      <c r="I111" s="151">
        <f>INDEX('Analysis of bottom-up tags'!$N$77:$W$118,MATCH(Dashboard!$B111,'Analysis of bottom-up tags'!$B$77:$B$118,0),MATCH(Dashboard!I$21,'Analysis of bottom-up tags'!$N$6:$W$6,0))*I$22</f>
        <v>5.1459008553584165E-2</v>
      </c>
      <c r="J111" s="151">
        <f>INDEX('Analysis of bottom-up tags'!$N$77:$W$118,MATCH(Dashboard!$B111,'Analysis of bottom-up tags'!$B$77:$B$118,0),MATCH(Dashboard!J$21,'Analysis of bottom-up tags'!$N$6:$W$6,0))*J$22</f>
        <v>0.37770524886291806</v>
      </c>
      <c r="K111" s="151">
        <f>INDEX('Analysis of bottom-up tags'!$N$77:$W$118,MATCH(Dashboard!$B111,'Analysis of bottom-up tags'!$B$77:$B$118,0),MATCH(Dashboard!K$21,'Analysis of bottom-up tags'!$N$6:$W$6,0))*K$22</f>
        <v>0</v>
      </c>
      <c r="L111" s="151">
        <f>INDEX('Analysis of bottom-up tags'!$N$77:$W$118,MATCH(Dashboard!$B111,'Analysis of bottom-up tags'!$B$77:$B$118,0),MATCH(Dashboard!L$21,'Analysis of bottom-up tags'!$N$6:$W$6,0))*L$22</f>
        <v>0</v>
      </c>
      <c r="M111" s="151">
        <f t="shared" si="7"/>
        <v>69.406157473644754</v>
      </c>
      <c r="N111" s="151" t="str" cm="1">
        <f t="array" ref="N111">INDEX(Framework!$C$3:$C$119,MATCH(Dashboard!$B111,Framework!$D$3:$D$119,),)</f>
        <v>Inputs</v>
      </c>
    </row>
    <row r="112" spans="2:14">
      <c r="B112" s="151" t="s">
        <v>10709</v>
      </c>
      <c r="C112" s="151">
        <f>INDEX('Analysis of bottom-up tags'!$N$77:$W$118,MATCH(Dashboard!$B112,'Analysis of bottom-up tags'!$B$77:$B$118,0),MATCH(Dashboard!C$21,'Analysis of bottom-up tags'!$N$6:$W$6,0))*C$22</f>
        <v>0</v>
      </c>
      <c r="D112" s="151">
        <f>INDEX('Analysis of bottom-up tags'!$N$77:$W$118,MATCH(Dashboard!$B112,'Analysis of bottom-up tags'!$B$77:$B$118,0),MATCH(Dashboard!D$21,'Analysis of bottom-up tags'!$N$6:$W$6,0))*D$22</f>
        <v>0</v>
      </c>
      <c r="E112" s="151">
        <f>INDEX('Analysis of bottom-up tags'!$N$77:$W$118,MATCH(Dashboard!$B112,'Analysis of bottom-up tags'!$B$77:$B$118,0),MATCH(Dashboard!E$21,'Analysis of bottom-up tags'!$N$6:$W$6,0))*E$22</f>
        <v>0</v>
      </c>
      <c r="F112" s="151">
        <f>INDEX('Analysis of bottom-up tags'!$N$77:$W$118,MATCH(Dashboard!$B112,'Analysis of bottom-up tags'!$B$77:$B$118,0),MATCH(Dashboard!F$21,'Analysis of bottom-up tags'!$N$6:$W$6,0))*F$22</f>
        <v>221.45917914013671</v>
      </c>
      <c r="G112" s="151">
        <f>INDEX('Analysis of bottom-up tags'!$N$77:$W$118,MATCH(Dashboard!$B112,'Analysis of bottom-up tags'!$B$77:$B$118,0),MATCH(Dashboard!G$21,'Analysis of bottom-up tags'!$N$6:$W$6,0))*G$22</f>
        <v>2.1939538202651163</v>
      </c>
      <c r="H112" s="151">
        <f>INDEX('Analysis of bottom-up tags'!$N$77:$W$118,MATCH(Dashboard!$B112,'Analysis of bottom-up tags'!$B$77:$B$118,0),MATCH(Dashboard!H$21,'Analysis of bottom-up tags'!$N$6:$W$6,0))*H$22</f>
        <v>0</v>
      </c>
      <c r="I112" s="151">
        <f>INDEX('Analysis of bottom-up tags'!$N$77:$W$118,MATCH(Dashboard!$B112,'Analysis of bottom-up tags'!$B$77:$B$118,0),MATCH(Dashboard!I$21,'Analysis of bottom-up tags'!$N$6:$W$6,0))*I$22</f>
        <v>0</v>
      </c>
      <c r="J112" s="151">
        <f>INDEX('Analysis of bottom-up tags'!$N$77:$W$118,MATCH(Dashboard!$B112,'Analysis of bottom-up tags'!$B$77:$B$118,0),MATCH(Dashboard!J$21,'Analysis of bottom-up tags'!$N$6:$W$6,0))*J$22</f>
        <v>0</v>
      </c>
      <c r="K112" s="151">
        <f>INDEX('Analysis of bottom-up tags'!$N$77:$W$118,MATCH(Dashboard!$B112,'Analysis of bottom-up tags'!$B$77:$B$118,0),MATCH(Dashboard!K$21,'Analysis of bottom-up tags'!$N$6:$W$6,0))*K$22</f>
        <v>0</v>
      </c>
      <c r="L112" s="151">
        <f>INDEX('Analysis of bottom-up tags'!$N$77:$W$118,MATCH(Dashboard!$B112,'Analysis of bottom-up tags'!$B$77:$B$118,0),MATCH(Dashboard!L$21,'Analysis of bottom-up tags'!$N$6:$W$6,0))*L$22</f>
        <v>0</v>
      </c>
      <c r="M112" s="151">
        <f t="shared" si="7"/>
        <v>223.65313296040182</v>
      </c>
      <c r="N112" s="151" t="str" cm="1">
        <f t="array" ref="N112">INDEX(Framework!$C$3:$C$119,MATCH(Dashboard!$B112,Framework!$D$3:$D$119,),)</f>
        <v>Inputs</v>
      </c>
    </row>
    <row r="113" spans="2:14">
      <c r="B113" s="151" t="s">
        <v>10774</v>
      </c>
      <c r="C113" s="151">
        <f>INDEX('Analysis of bottom-up tags'!$N$77:$W$118,MATCH(Dashboard!$B113,'Analysis of bottom-up tags'!$B$77:$B$118,0),MATCH(Dashboard!C$21,'Analysis of bottom-up tags'!$N$6:$W$6,0))*C$22</f>
        <v>0</v>
      </c>
      <c r="D113" s="151">
        <f>INDEX('Analysis of bottom-up tags'!$N$77:$W$118,MATCH(Dashboard!$B113,'Analysis of bottom-up tags'!$B$77:$B$118,0),MATCH(Dashboard!D$21,'Analysis of bottom-up tags'!$N$6:$W$6,0))*D$22</f>
        <v>0</v>
      </c>
      <c r="E113" s="151">
        <f>INDEX('Analysis of bottom-up tags'!$N$77:$W$118,MATCH(Dashboard!$B113,'Analysis of bottom-up tags'!$B$77:$B$118,0),MATCH(Dashboard!E$21,'Analysis of bottom-up tags'!$N$6:$W$6,0))*E$22</f>
        <v>0</v>
      </c>
      <c r="F113" s="151">
        <f>INDEX('Analysis of bottom-up tags'!$N$77:$W$118,MATCH(Dashboard!$B113,'Analysis of bottom-up tags'!$B$77:$B$118,0),MATCH(Dashboard!F$21,'Analysis of bottom-up tags'!$N$6:$W$6,0))*F$22</f>
        <v>0</v>
      </c>
      <c r="G113" s="151">
        <f>INDEX('Analysis of bottom-up tags'!$N$77:$W$118,MATCH(Dashboard!$B113,'Analysis of bottom-up tags'!$B$77:$B$118,0),MATCH(Dashboard!G$21,'Analysis of bottom-up tags'!$N$6:$W$6,0))*G$22</f>
        <v>0</v>
      </c>
      <c r="H113" s="151">
        <f>INDEX('Analysis of bottom-up tags'!$N$77:$W$118,MATCH(Dashboard!$B113,'Analysis of bottom-up tags'!$B$77:$B$118,0),MATCH(Dashboard!H$21,'Analysis of bottom-up tags'!$N$6:$W$6,0))*H$22</f>
        <v>0</v>
      </c>
      <c r="I113" s="151">
        <f>INDEX('Analysis of bottom-up tags'!$N$77:$W$118,MATCH(Dashboard!$B113,'Analysis of bottom-up tags'!$B$77:$B$118,0),MATCH(Dashboard!I$21,'Analysis of bottom-up tags'!$N$6:$W$6,0))*I$22</f>
        <v>0.97917135626537422</v>
      </c>
      <c r="J113" s="151">
        <f>INDEX('Analysis of bottom-up tags'!$N$77:$W$118,MATCH(Dashboard!$B113,'Analysis of bottom-up tags'!$B$77:$B$118,0),MATCH(Dashboard!J$21,'Analysis of bottom-up tags'!$N$6:$W$6,0))*J$22</f>
        <v>55.553138733201727</v>
      </c>
      <c r="K113" s="151">
        <f>INDEX('Analysis of bottom-up tags'!$N$77:$W$118,MATCH(Dashboard!$B113,'Analysis of bottom-up tags'!$B$77:$B$118,0),MATCH(Dashboard!K$21,'Analysis of bottom-up tags'!$N$6:$W$6,0))*K$22</f>
        <v>0.41273983971001782</v>
      </c>
      <c r="L113" s="151">
        <f>INDEX('Analysis of bottom-up tags'!$N$77:$W$118,MATCH(Dashboard!$B113,'Analysis of bottom-up tags'!$B$77:$B$118,0),MATCH(Dashboard!L$21,'Analysis of bottom-up tags'!$N$6:$W$6,0))*L$22</f>
        <v>8.6131138595452654</v>
      </c>
      <c r="M113" s="151">
        <f t="shared" si="7"/>
        <v>65.558163788722396</v>
      </c>
      <c r="N113" s="151" t="str" cm="1">
        <f t="array" ref="N113">INDEX(Framework!$C$3:$C$119,MATCH(Dashboard!$B113,Framework!$D$3:$D$119,),)</f>
        <v>Production</v>
      </c>
    </row>
    <row r="114" spans="2:14">
      <c r="B114" s="151" t="s">
        <v>10748</v>
      </c>
      <c r="C114" s="151">
        <f>INDEX('Analysis of bottom-up tags'!$N$77:$W$118,MATCH(Dashboard!$B114,'Analysis of bottom-up tags'!$B$77:$B$118,0),MATCH(Dashboard!C$21,'Analysis of bottom-up tags'!$N$6:$W$6,0))*C$22</f>
        <v>0</v>
      </c>
      <c r="D114" s="151">
        <f>INDEX('Analysis of bottom-up tags'!$N$77:$W$118,MATCH(Dashboard!$B114,'Analysis of bottom-up tags'!$B$77:$B$118,0),MATCH(Dashboard!D$21,'Analysis of bottom-up tags'!$N$6:$W$6,0))*D$22</f>
        <v>0</v>
      </c>
      <c r="E114" s="151">
        <f>INDEX('Analysis of bottom-up tags'!$N$77:$W$118,MATCH(Dashboard!$B114,'Analysis of bottom-up tags'!$B$77:$B$118,0),MATCH(Dashboard!E$21,'Analysis of bottom-up tags'!$N$6:$W$6,0))*E$22</f>
        <v>0</v>
      </c>
      <c r="F114" s="151">
        <f>INDEX('Analysis of bottom-up tags'!$N$77:$W$118,MATCH(Dashboard!$B114,'Analysis of bottom-up tags'!$B$77:$B$118,0),MATCH(Dashboard!F$21,'Analysis of bottom-up tags'!$N$6:$W$6,0))*F$22</f>
        <v>0</v>
      </c>
      <c r="G114" s="151">
        <f>INDEX('Analysis of bottom-up tags'!$N$77:$W$118,MATCH(Dashboard!$B114,'Analysis of bottom-up tags'!$B$77:$B$118,0),MATCH(Dashboard!G$21,'Analysis of bottom-up tags'!$N$6:$W$6,0))*G$22</f>
        <v>0</v>
      </c>
      <c r="H114" s="151">
        <f>INDEX('Analysis of bottom-up tags'!$N$77:$W$118,MATCH(Dashboard!$B114,'Analysis of bottom-up tags'!$B$77:$B$118,0),MATCH(Dashboard!H$21,'Analysis of bottom-up tags'!$N$6:$W$6,0))*H$22</f>
        <v>0</v>
      </c>
      <c r="I114" s="151">
        <f>INDEX('Analysis of bottom-up tags'!$N$77:$W$118,MATCH(Dashboard!$B114,'Analysis of bottom-up tags'!$B$77:$B$118,0),MATCH(Dashboard!I$21,'Analysis of bottom-up tags'!$N$6:$W$6,0))*I$22</f>
        <v>0</v>
      </c>
      <c r="J114" s="151">
        <f>INDEX('Analysis of bottom-up tags'!$N$77:$W$118,MATCH(Dashboard!$B114,'Analysis of bottom-up tags'!$B$77:$B$118,0),MATCH(Dashboard!J$21,'Analysis of bottom-up tags'!$N$6:$W$6,0))*J$22</f>
        <v>0</v>
      </c>
      <c r="K114" s="151">
        <f>INDEX('Analysis of bottom-up tags'!$N$77:$W$118,MATCH(Dashboard!$B114,'Analysis of bottom-up tags'!$B$77:$B$118,0),MATCH(Dashboard!K$21,'Analysis of bottom-up tags'!$N$6:$W$6,0))*K$22</f>
        <v>0</v>
      </c>
      <c r="L114" s="151">
        <f>INDEX('Analysis of bottom-up tags'!$N$77:$W$118,MATCH(Dashboard!$B114,'Analysis of bottom-up tags'!$B$77:$B$118,0),MATCH(Dashboard!L$21,'Analysis of bottom-up tags'!$N$6:$W$6,0))*L$22</f>
        <v>43.909306188126266</v>
      </c>
      <c r="M114" s="151">
        <f t="shared" si="7"/>
        <v>43.909306188126266</v>
      </c>
      <c r="N114" s="151" t="str" cm="1">
        <f t="array" ref="N114">INDEX(Framework!$C$3:$C$119,MATCH(Dashboard!$B114,Framework!$D$3:$D$119,),)</f>
        <v xml:space="preserve">Novel foods </v>
      </c>
    </row>
    <row r="115" spans="2:14">
      <c r="B115" s="151" t="s">
        <v>10819</v>
      </c>
      <c r="C115" s="151">
        <f>INDEX('Analysis of bottom-up tags'!$N$77:$W$118,MATCH(Dashboard!$B115,'Analysis of bottom-up tags'!$B$77:$B$118,0),MATCH(Dashboard!C$21,'Analysis of bottom-up tags'!$N$6:$W$6,0))*C$22</f>
        <v>0</v>
      </c>
      <c r="D115" s="151">
        <f>INDEX('Analysis of bottom-up tags'!$N$77:$W$118,MATCH(Dashboard!$B115,'Analysis of bottom-up tags'!$B$77:$B$118,0),MATCH(Dashboard!D$21,'Analysis of bottom-up tags'!$N$6:$W$6,0))*D$22</f>
        <v>0.92884469356351906</v>
      </c>
      <c r="E115" s="151">
        <f>INDEX('Analysis of bottom-up tags'!$N$77:$W$118,MATCH(Dashboard!$B115,'Analysis of bottom-up tags'!$B$77:$B$118,0),MATCH(Dashboard!E$21,'Analysis of bottom-up tags'!$N$6:$W$6,0))*E$22</f>
        <v>114.17091223213185</v>
      </c>
      <c r="F115" s="151">
        <f>INDEX('Analysis of bottom-up tags'!$N$77:$W$118,MATCH(Dashboard!$B115,'Analysis of bottom-up tags'!$B$77:$B$118,0),MATCH(Dashboard!F$21,'Analysis of bottom-up tags'!$N$6:$W$6,0))*F$22</f>
        <v>0</v>
      </c>
      <c r="G115" s="151">
        <f>INDEX('Analysis of bottom-up tags'!$N$77:$W$118,MATCH(Dashboard!$B115,'Analysis of bottom-up tags'!$B$77:$B$118,0),MATCH(Dashboard!G$21,'Analysis of bottom-up tags'!$N$6:$W$6,0))*G$22</f>
        <v>20.231675071958676</v>
      </c>
      <c r="H115" s="151">
        <f>INDEX('Analysis of bottom-up tags'!$N$77:$W$118,MATCH(Dashboard!$B115,'Analysis of bottom-up tags'!$B$77:$B$118,0),MATCH(Dashboard!H$21,'Analysis of bottom-up tags'!$N$6:$W$6,0))*H$22</f>
        <v>3.5712110962176897</v>
      </c>
      <c r="I115" s="151">
        <f>INDEX('Analysis of bottom-up tags'!$N$77:$W$118,MATCH(Dashboard!$B115,'Analysis of bottom-up tags'!$B$77:$B$118,0),MATCH(Dashboard!I$21,'Analysis of bottom-up tags'!$N$6:$W$6,0))*I$22</f>
        <v>10.640262551133487</v>
      </c>
      <c r="J115" s="151">
        <f>INDEX('Analysis of bottom-up tags'!$N$77:$W$118,MATCH(Dashboard!$B115,'Analysis of bottom-up tags'!$B$77:$B$118,0),MATCH(Dashboard!J$21,'Analysis of bottom-up tags'!$N$6:$W$6,0))*J$22</f>
        <v>57.722250670583264</v>
      </c>
      <c r="K115" s="151">
        <f>INDEX('Analysis of bottom-up tags'!$N$77:$W$118,MATCH(Dashboard!$B115,'Analysis of bottom-up tags'!$B$77:$B$118,0),MATCH(Dashboard!K$21,'Analysis of bottom-up tags'!$N$6:$W$6,0))*K$22</f>
        <v>2.3566433910486522</v>
      </c>
      <c r="L115" s="151">
        <f>INDEX('Analysis of bottom-up tags'!$N$77:$W$118,MATCH(Dashboard!$B115,'Analysis of bottom-up tags'!$B$77:$B$118,0),MATCH(Dashboard!L$21,'Analysis of bottom-up tags'!$N$6:$W$6,0))*L$22</f>
        <v>12.283118924854772</v>
      </c>
      <c r="M115" s="151">
        <f t="shared" si="7"/>
        <v>221.90491863149191</v>
      </c>
      <c r="N115" s="151" t="str" cm="1">
        <f t="array" ref="N115">INDEX(Framework!$C$3:$C$119,MATCH(Dashboard!$B115,Framework!$D$3:$D$119,),)</f>
        <v xml:space="preserve">Post-production </v>
      </c>
    </row>
    <row r="116" spans="2:14">
      <c r="B116" s="151" t="s">
        <v>10706</v>
      </c>
      <c r="C116" s="151">
        <f>INDEX('Analysis of bottom-up tags'!$N$77:$W$118,MATCH(Dashboard!$B116,'Analysis of bottom-up tags'!$B$77:$B$118,0),MATCH(Dashboard!C$21,'Analysis of bottom-up tags'!$N$6:$W$6,0))*C$22</f>
        <v>35.372265375028071</v>
      </c>
      <c r="D116" s="151">
        <f>INDEX('Analysis of bottom-up tags'!$N$77:$W$118,MATCH(Dashboard!$B116,'Analysis of bottom-up tags'!$B$77:$B$118,0),MATCH(Dashboard!D$21,'Analysis of bottom-up tags'!$N$6:$W$6,0))*D$22</f>
        <v>0</v>
      </c>
      <c r="E116" s="151">
        <f>INDEX('Analysis of bottom-up tags'!$N$77:$W$118,MATCH(Dashboard!$B116,'Analysis of bottom-up tags'!$B$77:$B$118,0),MATCH(Dashboard!E$21,'Analysis of bottom-up tags'!$N$6:$W$6,0))*E$22</f>
        <v>108.31985228532362</v>
      </c>
      <c r="F116" s="151">
        <f>INDEX('Analysis of bottom-up tags'!$N$77:$W$118,MATCH(Dashboard!$B116,'Analysis of bottom-up tags'!$B$77:$B$118,0),MATCH(Dashboard!F$21,'Analysis of bottom-up tags'!$N$6:$W$6,0))*F$22</f>
        <v>0</v>
      </c>
      <c r="G116" s="151">
        <f>INDEX('Analysis of bottom-up tags'!$N$77:$W$118,MATCH(Dashboard!$B116,'Analysis of bottom-up tags'!$B$77:$B$118,0),MATCH(Dashboard!G$21,'Analysis of bottom-up tags'!$N$6:$W$6,0))*G$22</f>
        <v>0</v>
      </c>
      <c r="H116" s="151">
        <f>INDEX('Analysis of bottom-up tags'!$N$77:$W$118,MATCH(Dashboard!$B116,'Analysis of bottom-up tags'!$B$77:$B$118,0),MATCH(Dashboard!H$21,'Analysis of bottom-up tags'!$N$6:$W$6,0))*H$22</f>
        <v>36.789034754674631</v>
      </c>
      <c r="I116" s="151">
        <f>INDEX('Analysis of bottom-up tags'!$N$77:$W$118,MATCH(Dashboard!$B116,'Analysis of bottom-up tags'!$B$77:$B$118,0),MATCH(Dashboard!I$21,'Analysis of bottom-up tags'!$N$6:$W$6,0))*I$22</f>
        <v>0</v>
      </c>
      <c r="J116" s="151">
        <f>INDEX('Analysis of bottom-up tags'!$N$77:$W$118,MATCH(Dashboard!$B116,'Analysis of bottom-up tags'!$B$77:$B$118,0),MATCH(Dashboard!J$21,'Analysis of bottom-up tags'!$N$6:$W$6,0))*J$22</f>
        <v>0</v>
      </c>
      <c r="K116" s="151">
        <f>INDEX('Analysis of bottom-up tags'!$N$77:$W$118,MATCH(Dashboard!$B116,'Analysis of bottom-up tags'!$B$77:$B$118,0),MATCH(Dashboard!K$21,'Analysis of bottom-up tags'!$N$6:$W$6,0))*K$22</f>
        <v>0</v>
      </c>
      <c r="L116" s="151">
        <f>INDEX('Analysis of bottom-up tags'!$N$77:$W$118,MATCH(Dashboard!$B116,'Analysis of bottom-up tags'!$B$77:$B$118,0),MATCH(Dashboard!L$21,'Analysis of bottom-up tags'!$N$6:$W$6,0))*L$22</f>
        <v>0</v>
      </c>
      <c r="M116" s="151">
        <f t="shared" si="7"/>
        <v>180.48115241502632</v>
      </c>
      <c r="N116" s="151" t="str" cm="1">
        <f t="array" ref="N116">INDEX(Framework!$C$3:$C$119,MATCH(Dashboard!$B116,Framework!$D$3:$D$119,),)</f>
        <v>Inputs</v>
      </c>
    </row>
    <row r="117" spans="2:14">
      <c r="B117" s="151" t="s">
        <v>10784</v>
      </c>
      <c r="C117" s="151">
        <f>INDEX('Analysis of bottom-up tags'!$N$77:$W$118,MATCH(Dashboard!$B117,'Analysis of bottom-up tags'!$B$77:$B$118,0),MATCH(Dashboard!C$21,'Analysis of bottom-up tags'!$N$6:$W$6,0))*C$22</f>
        <v>0</v>
      </c>
      <c r="D117" s="151">
        <f>INDEX('Analysis of bottom-up tags'!$N$77:$W$118,MATCH(Dashboard!$B117,'Analysis of bottom-up tags'!$B$77:$B$118,0),MATCH(Dashboard!D$21,'Analysis of bottom-up tags'!$N$6:$W$6,0))*D$22</f>
        <v>5.8006415425528575</v>
      </c>
      <c r="E117" s="151">
        <f>INDEX('Analysis of bottom-up tags'!$N$77:$W$118,MATCH(Dashboard!$B117,'Analysis of bottom-up tags'!$B$77:$B$118,0),MATCH(Dashboard!E$21,'Analysis of bottom-up tags'!$N$6:$W$6,0))*E$22</f>
        <v>0</v>
      </c>
      <c r="F117" s="151">
        <f>INDEX('Analysis of bottom-up tags'!$N$77:$W$118,MATCH(Dashboard!$B117,'Analysis of bottom-up tags'!$B$77:$B$118,0),MATCH(Dashboard!F$21,'Analysis of bottom-up tags'!$N$6:$W$6,0))*F$22</f>
        <v>0</v>
      </c>
      <c r="G117" s="151">
        <f>INDEX('Analysis of bottom-up tags'!$N$77:$W$118,MATCH(Dashboard!$B117,'Analysis of bottom-up tags'!$B$77:$B$118,0),MATCH(Dashboard!G$21,'Analysis of bottom-up tags'!$N$6:$W$6,0))*G$22</f>
        <v>0</v>
      </c>
      <c r="H117" s="151">
        <f>INDEX('Analysis of bottom-up tags'!$N$77:$W$118,MATCH(Dashboard!$B117,'Analysis of bottom-up tags'!$B$77:$B$118,0),MATCH(Dashboard!H$21,'Analysis of bottom-up tags'!$N$6:$W$6,0))*H$22</f>
        <v>29.441559778485082</v>
      </c>
      <c r="I117" s="151">
        <f>INDEX('Analysis of bottom-up tags'!$N$77:$W$118,MATCH(Dashboard!$B117,'Analysis of bottom-up tags'!$B$77:$B$118,0),MATCH(Dashboard!I$21,'Analysis of bottom-up tags'!$N$6:$W$6,0))*I$22</f>
        <v>5.2779053451212059</v>
      </c>
      <c r="J117" s="151">
        <f>INDEX('Analysis of bottom-up tags'!$N$77:$W$118,MATCH(Dashboard!$B117,'Analysis of bottom-up tags'!$B$77:$B$118,0),MATCH(Dashboard!J$21,'Analysis of bottom-up tags'!$N$6:$W$6,0))*J$22</f>
        <v>2.7971455360469095</v>
      </c>
      <c r="K117" s="151">
        <f>INDEX('Analysis of bottom-up tags'!$N$77:$W$118,MATCH(Dashboard!$B117,'Analysis of bottom-up tags'!$B$77:$B$118,0),MATCH(Dashboard!K$21,'Analysis of bottom-up tags'!$N$6:$W$6,0))*K$22</f>
        <v>3.771824258776181</v>
      </c>
      <c r="L117" s="151">
        <f>INDEX('Analysis of bottom-up tags'!$N$77:$W$118,MATCH(Dashboard!$B117,'Analysis of bottom-up tags'!$B$77:$B$118,0),MATCH(Dashboard!L$21,'Analysis of bottom-up tags'!$N$6:$W$6,0))*L$22</f>
        <v>0.1117870960028893</v>
      </c>
      <c r="M117" s="151">
        <f t="shared" si="7"/>
        <v>47.200863556985126</v>
      </c>
      <c r="N117" s="151" t="str" cm="1">
        <f t="array" ref="N117">INDEX(Framework!$C$3:$C$119,MATCH(Dashboard!$B117,Framework!$D$3:$D$119,),)</f>
        <v>Production</v>
      </c>
    </row>
    <row r="118" spans="2:14">
      <c r="B118" s="151" t="s">
        <v>10793</v>
      </c>
      <c r="C118" s="151">
        <f>INDEX('Analysis of bottom-up tags'!$N$77:$W$118,MATCH(Dashboard!$B118,'Analysis of bottom-up tags'!$B$77:$B$118,0),MATCH(Dashboard!C$21,'Analysis of bottom-up tags'!$N$6:$W$6,0))*C$22</f>
        <v>0</v>
      </c>
      <c r="D118" s="151">
        <f>INDEX('Analysis of bottom-up tags'!$N$77:$W$118,MATCH(Dashboard!$B118,'Analysis of bottom-up tags'!$B$77:$B$118,0),MATCH(Dashboard!D$21,'Analysis of bottom-up tags'!$N$6:$W$6,0))*D$22</f>
        <v>0</v>
      </c>
      <c r="E118" s="151">
        <f>INDEX('Analysis of bottom-up tags'!$N$77:$W$118,MATCH(Dashboard!$B118,'Analysis of bottom-up tags'!$B$77:$B$118,0),MATCH(Dashboard!E$21,'Analysis of bottom-up tags'!$N$6:$W$6,0))*E$22</f>
        <v>0</v>
      </c>
      <c r="F118" s="151">
        <f>INDEX('Analysis of bottom-up tags'!$N$77:$W$118,MATCH(Dashboard!$B118,'Analysis of bottom-up tags'!$B$77:$B$118,0),MATCH(Dashboard!F$21,'Analysis of bottom-up tags'!$N$6:$W$6,0))*F$22</f>
        <v>0</v>
      </c>
      <c r="G118" s="151">
        <f>INDEX('Analysis of bottom-up tags'!$N$77:$W$118,MATCH(Dashboard!$B118,'Analysis of bottom-up tags'!$B$77:$B$118,0),MATCH(Dashboard!G$21,'Analysis of bottom-up tags'!$N$6:$W$6,0))*G$22</f>
        <v>0</v>
      </c>
      <c r="H118" s="151">
        <f>INDEX('Analysis of bottom-up tags'!$N$77:$W$118,MATCH(Dashboard!$B118,'Analysis of bottom-up tags'!$B$77:$B$118,0),MATCH(Dashboard!H$21,'Analysis of bottom-up tags'!$N$6:$W$6,0))*H$22</f>
        <v>2.8468361477814699</v>
      </c>
      <c r="I118" s="151">
        <f>INDEX('Analysis of bottom-up tags'!$N$77:$W$118,MATCH(Dashboard!$B118,'Analysis of bottom-up tags'!$B$77:$B$118,0),MATCH(Dashboard!I$21,'Analysis of bottom-up tags'!$N$6:$W$6,0))*I$22</f>
        <v>0</v>
      </c>
      <c r="J118" s="151">
        <f>INDEX('Analysis of bottom-up tags'!$N$77:$W$118,MATCH(Dashboard!$B118,'Analysis of bottom-up tags'!$B$77:$B$118,0),MATCH(Dashboard!J$21,'Analysis of bottom-up tags'!$N$6:$W$6,0))*J$22</f>
        <v>0</v>
      </c>
      <c r="K118" s="151">
        <f>INDEX('Analysis of bottom-up tags'!$N$77:$W$118,MATCH(Dashboard!$B118,'Analysis of bottom-up tags'!$B$77:$B$118,0),MATCH(Dashboard!K$21,'Analysis of bottom-up tags'!$N$6:$W$6,0))*K$22</f>
        <v>4.4502202382180851</v>
      </c>
      <c r="L118" s="151">
        <f>INDEX('Analysis of bottom-up tags'!$N$77:$W$118,MATCH(Dashboard!$B118,'Analysis of bottom-up tags'!$B$77:$B$118,0),MATCH(Dashboard!L$21,'Analysis of bottom-up tags'!$N$6:$W$6,0))*L$22</f>
        <v>0</v>
      </c>
      <c r="M118" s="151">
        <f t="shared" si="7"/>
        <v>7.2970563859995554</v>
      </c>
      <c r="N118" s="151" t="str" cm="1">
        <f t="array" ref="N118">INDEX(Framework!$C$3:$C$119,MATCH(Dashboard!$B118,Framework!$D$3:$D$119,),)</f>
        <v>Production</v>
      </c>
    </row>
    <row r="119" spans="2:14">
      <c r="B119" s="151" t="s">
        <v>10715</v>
      </c>
      <c r="C119" s="151">
        <f>INDEX('Analysis of bottom-up tags'!$N$77:$W$118,MATCH(Dashboard!$B119,'Analysis of bottom-up tags'!$B$77:$B$118,0),MATCH(Dashboard!C$21,'Analysis of bottom-up tags'!$N$6:$W$6,0))*C$22</f>
        <v>0</v>
      </c>
      <c r="D119" s="151">
        <f>INDEX('Analysis of bottom-up tags'!$N$77:$W$118,MATCH(Dashboard!$B119,'Analysis of bottom-up tags'!$B$77:$B$118,0),MATCH(Dashboard!D$21,'Analysis of bottom-up tags'!$N$6:$W$6,0))*D$22</f>
        <v>0</v>
      </c>
      <c r="E119" s="151">
        <f>INDEX('Analysis of bottom-up tags'!$N$77:$W$118,MATCH(Dashboard!$B119,'Analysis of bottom-up tags'!$B$77:$B$118,0),MATCH(Dashboard!E$21,'Analysis of bottom-up tags'!$N$6:$W$6,0))*E$22</f>
        <v>0</v>
      </c>
      <c r="F119" s="151">
        <f>INDEX('Analysis of bottom-up tags'!$N$77:$W$118,MATCH(Dashboard!$B119,'Analysis of bottom-up tags'!$B$77:$B$118,0),MATCH(Dashboard!F$21,'Analysis of bottom-up tags'!$N$6:$W$6,0))*F$22</f>
        <v>27.861491430687717</v>
      </c>
      <c r="G119" s="151">
        <f>INDEX('Analysis of bottom-up tags'!$N$77:$W$118,MATCH(Dashboard!$B119,'Analysis of bottom-up tags'!$B$77:$B$118,0),MATCH(Dashboard!G$21,'Analysis of bottom-up tags'!$N$6:$W$6,0))*G$22</f>
        <v>42.407921729226942</v>
      </c>
      <c r="H119" s="151">
        <f>INDEX('Analysis of bottom-up tags'!$N$77:$W$118,MATCH(Dashboard!$B119,'Analysis of bottom-up tags'!$B$77:$B$118,0),MATCH(Dashboard!H$21,'Analysis of bottom-up tags'!$N$6:$W$6,0))*H$22</f>
        <v>11.646686186527228</v>
      </c>
      <c r="I119" s="151">
        <f>INDEX('Analysis of bottom-up tags'!$N$77:$W$118,MATCH(Dashboard!$B119,'Analysis of bottom-up tags'!$B$77:$B$118,0),MATCH(Dashboard!I$21,'Analysis of bottom-up tags'!$N$6:$W$6,0))*I$22</f>
        <v>0</v>
      </c>
      <c r="J119" s="151">
        <f>INDEX('Analysis of bottom-up tags'!$N$77:$W$118,MATCH(Dashboard!$B119,'Analysis of bottom-up tags'!$B$77:$B$118,0),MATCH(Dashboard!J$21,'Analysis of bottom-up tags'!$N$6:$W$6,0))*J$22</f>
        <v>0</v>
      </c>
      <c r="K119" s="151">
        <f>INDEX('Analysis of bottom-up tags'!$N$77:$W$118,MATCH(Dashboard!$B119,'Analysis of bottom-up tags'!$B$77:$B$118,0),MATCH(Dashboard!K$21,'Analysis of bottom-up tags'!$N$6:$W$6,0))*K$22</f>
        <v>0.27948692531072955</v>
      </c>
      <c r="L119" s="151">
        <f>INDEX('Analysis of bottom-up tags'!$N$77:$W$118,MATCH(Dashboard!$B119,'Analysis of bottom-up tags'!$B$77:$B$118,0),MATCH(Dashboard!L$21,'Analysis of bottom-up tags'!$N$6:$W$6,0))*L$22</f>
        <v>16.274285668495402</v>
      </c>
      <c r="M119" s="151">
        <f t="shared" si="7"/>
        <v>98.469871940248026</v>
      </c>
      <c r="N119" s="151" t="str" cm="1">
        <f t="array" ref="N119">INDEX(Framework!$C$3:$C$119,MATCH(Dashboard!$B119,Framework!$D$3:$D$119,),)</f>
        <v>Inputs</v>
      </c>
    </row>
    <row r="120" spans="2:14">
      <c r="B120" s="151" t="s">
        <v>10963</v>
      </c>
      <c r="C120" s="151">
        <f>INDEX('Analysis of bottom-up tags'!$N$77:$W$118,MATCH(Dashboard!$B120,'Analysis of bottom-up tags'!$B$77:$B$118,0),MATCH(Dashboard!C$21,'Analysis of bottom-up tags'!$N$6:$W$6,0))*C$22</f>
        <v>0</v>
      </c>
      <c r="D120" s="151">
        <f>INDEX('Analysis of bottom-up tags'!$N$77:$W$118,MATCH(Dashboard!$B120,'Analysis of bottom-up tags'!$B$77:$B$118,0),MATCH(Dashboard!D$21,'Analysis of bottom-up tags'!$N$6:$W$6,0))*D$22</f>
        <v>0</v>
      </c>
      <c r="E120" s="151">
        <f>INDEX('Analysis of bottom-up tags'!$N$77:$W$118,MATCH(Dashboard!$B120,'Analysis of bottom-up tags'!$B$77:$B$118,0),MATCH(Dashboard!E$21,'Analysis of bottom-up tags'!$N$6:$W$6,0))*E$22</f>
        <v>0</v>
      </c>
      <c r="F120" s="151">
        <f>INDEX('Analysis of bottom-up tags'!$N$77:$W$118,MATCH(Dashboard!$B120,'Analysis of bottom-up tags'!$B$77:$B$118,0),MATCH(Dashboard!F$21,'Analysis of bottom-up tags'!$N$6:$W$6,0))*F$22</f>
        <v>0</v>
      </c>
      <c r="G120" s="151">
        <f>INDEX('Analysis of bottom-up tags'!$N$77:$W$118,MATCH(Dashboard!$B120,'Analysis of bottom-up tags'!$B$77:$B$118,0),MATCH(Dashboard!G$21,'Analysis of bottom-up tags'!$N$6:$W$6,0))*G$22</f>
        <v>0</v>
      </c>
      <c r="H120" s="151">
        <f>INDEX('Analysis of bottom-up tags'!$N$77:$W$118,MATCH(Dashboard!$B120,'Analysis of bottom-up tags'!$B$77:$B$118,0),MATCH(Dashboard!H$21,'Analysis of bottom-up tags'!$N$6:$W$6,0))*H$22</f>
        <v>0</v>
      </c>
      <c r="I120" s="151">
        <f>INDEX('Analysis of bottom-up tags'!$N$77:$W$118,MATCH(Dashboard!$B120,'Analysis of bottom-up tags'!$B$77:$B$118,0),MATCH(Dashboard!I$21,'Analysis of bottom-up tags'!$N$6:$W$6,0))*I$22</f>
        <v>0</v>
      </c>
      <c r="J120" s="151">
        <f>INDEX('Analysis of bottom-up tags'!$N$77:$W$118,MATCH(Dashboard!$B120,'Analysis of bottom-up tags'!$B$77:$B$118,0),MATCH(Dashboard!J$21,'Analysis of bottom-up tags'!$N$6:$W$6,0))*J$22</f>
        <v>8.3992457923022693E-2</v>
      </c>
      <c r="K120" s="151">
        <f>INDEX('Analysis of bottom-up tags'!$N$77:$W$118,MATCH(Dashboard!$B120,'Analysis of bottom-up tags'!$B$77:$B$118,0),MATCH(Dashboard!K$21,'Analysis of bottom-up tags'!$N$6:$W$6,0))*K$22</f>
        <v>0</v>
      </c>
      <c r="L120" s="151">
        <f>INDEX('Analysis of bottom-up tags'!$N$77:$W$118,MATCH(Dashboard!$B120,'Analysis of bottom-up tags'!$B$77:$B$118,0),MATCH(Dashboard!L$21,'Analysis of bottom-up tags'!$N$6:$W$6,0))*L$22</f>
        <v>0</v>
      </c>
      <c r="M120" s="151">
        <f t="shared" ref="M120:M138" si="13">SUM(C120:L120)</f>
        <v>8.3992457923022693E-2</v>
      </c>
      <c r="N120" s="151" t="str" cm="1">
        <f t="array" ref="N120">INDEX(Framework!$C$3:$C$119,MATCH(Dashboard!$B120,Framework!$D$3:$D$119,),)</f>
        <v xml:space="preserve">Novel foods </v>
      </c>
    </row>
    <row r="121" spans="2:14">
      <c r="B121" s="151" t="s">
        <v>10770</v>
      </c>
      <c r="C121" s="151">
        <f>INDEX('Analysis of bottom-up tags'!$N$77:$W$118,MATCH(Dashboard!$B121,'Analysis of bottom-up tags'!$B$77:$B$118,0),MATCH(Dashboard!C$21,'Analysis of bottom-up tags'!$N$6:$W$6,0))*C$22</f>
        <v>0</v>
      </c>
      <c r="D121" s="151">
        <f>INDEX('Analysis of bottom-up tags'!$N$77:$W$118,MATCH(Dashboard!$B121,'Analysis of bottom-up tags'!$B$77:$B$118,0),MATCH(Dashboard!D$21,'Analysis of bottom-up tags'!$N$6:$W$6,0))*D$22</f>
        <v>0</v>
      </c>
      <c r="E121" s="151">
        <f>INDEX('Analysis of bottom-up tags'!$N$77:$W$118,MATCH(Dashboard!$B121,'Analysis of bottom-up tags'!$B$77:$B$118,0),MATCH(Dashboard!E$21,'Analysis of bottom-up tags'!$N$6:$W$6,0))*E$22</f>
        <v>0</v>
      </c>
      <c r="F121" s="151">
        <f>INDEX('Analysis of bottom-up tags'!$N$77:$W$118,MATCH(Dashboard!$B121,'Analysis of bottom-up tags'!$B$77:$B$118,0),MATCH(Dashboard!F$21,'Analysis of bottom-up tags'!$N$6:$W$6,0))*F$22</f>
        <v>0</v>
      </c>
      <c r="G121" s="151">
        <f>INDEX('Analysis of bottom-up tags'!$N$77:$W$118,MATCH(Dashboard!$B121,'Analysis of bottom-up tags'!$B$77:$B$118,0),MATCH(Dashboard!G$21,'Analysis of bottom-up tags'!$N$6:$W$6,0))*G$22</f>
        <v>0</v>
      </c>
      <c r="H121" s="151">
        <f>INDEX('Analysis of bottom-up tags'!$N$77:$W$118,MATCH(Dashboard!$B121,'Analysis of bottom-up tags'!$B$77:$B$118,0),MATCH(Dashboard!H$21,'Analysis of bottom-up tags'!$N$6:$W$6,0))*H$22</f>
        <v>3.8272731091232632</v>
      </c>
      <c r="I121" s="151">
        <f>INDEX('Analysis of bottom-up tags'!$N$77:$W$118,MATCH(Dashboard!$B121,'Analysis of bottom-up tags'!$B$77:$B$118,0),MATCH(Dashboard!I$21,'Analysis of bottom-up tags'!$N$6:$W$6,0))*I$22</f>
        <v>0.44411443615528201</v>
      </c>
      <c r="J121" s="151">
        <f>INDEX('Analysis of bottom-up tags'!$N$77:$W$118,MATCH(Dashboard!$B121,'Analysis of bottom-up tags'!$B$77:$B$118,0),MATCH(Dashboard!J$21,'Analysis of bottom-up tags'!$N$6:$W$6,0))*J$22</f>
        <v>17.511436634373734</v>
      </c>
      <c r="K121" s="151">
        <f>INDEX('Analysis of bottom-up tags'!$N$77:$W$118,MATCH(Dashboard!$B121,'Analysis of bottom-up tags'!$B$77:$B$118,0),MATCH(Dashboard!K$21,'Analysis of bottom-up tags'!$N$6:$W$6,0))*K$22</f>
        <v>0.16719278610666738</v>
      </c>
      <c r="L121" s="151">
        <f>INDEX('Analysis of bottom-up tags'!$N$77:$W$118,MATCH(Dashboard!$B121,'Analysis of bottom-up tags'!$B$77:$B$118,0),MATCH(Dashboard!L$21,'Analysis of bottom-up tags'!$N$6:$W$6,0))*L$22</f>
        <v>13.684396966053461</v>
      </c>
      <c r="M121" s="151">
        <f t="shared" si="13"/>
        <v>35.634413931812411</v>
      </c>
      <c r="N121" s="151" t="str" cm="1">
        <f t="array" ref="N121">INDEX(Framework!$C$3:$C$119,MATCH(Dashboard!$B121,Framework!$D$3:$D$119,),)</f>
        <v>Production</v>
      </c>
    </row>
    <row r="122" spans="2:14">
      <c r="B122" s="151" t="s">
        <v>10965</v>
      </c>
      <c r="C122" s="151">
        <f>INDEX('Analysis of bottom-up tags'!$N$77:$W$118,MATCH(Dashboard!$B122,'Analysis of bottom-up tags'!$B$77:$B$118,0),MATCH(Dashboard!C$21,'Analysis of bottom-up tags'!$N$6:$W$6,0))*C$22</f>
        <v>0</v>
      </c>
      <c r="D122" s="151">
        <f>INDEX('Analysis of bottom-up tags'!$N$77:$W$118,MATCH(Dashboard!$B122,'Analysis of bottom-up tags'!$B$77:$B$118,0),MATCH(Dashboard!D$21,'Analysis of bottom-up tags'!$N$6:$W$6,0))*D$22</f>
        <v>0</v>
      </c>
      <c r="E122" s="151">
        <f>INDEX('Analysis of bottom-up tags'!$N$77:$W$118,MATCH(Dashboard!$B122,'Analysis of bottom-up tags'!$B$77:$B$118,0),MATCH(Dashboard!E$21,'Analysis of bottom-up tags'!$N$6:$W$6,0))*E$22</f>
        <v>0</v>
      </c>
      <c r="F122" s="151">
        <f>INDEX('Analysis of bottom-up tags'!$N$77:$W$118,MATCH(Dashboard!$B122,'Analysis of bottom-up tags'!$B$77:$B$118,0),MATCH(Dashboard!F$21,'Analysis of bottom-up tags'!$N$6:$W$6,0))*F$22</f>
        <v>0</v>
      </c>
      <c r="G122" s="151">
        <f>INDEX('Analysis of bottom-up tags'!$N$77:$W$118,MATCH(Dashboard!$B122,'Analysis of bottom-up tags'!$B$77:$B$118,0),MATCH(Dashboard!G$21,'Analysis of bottom-up tags'!$N$6:$W$6,0))*G$22</f>
        <v>0</v>
      </c>
      <c r="H122" s="151">
        <f>INDEX('Analysis of bottom-up tags'!$N$77:$W$118,MATCH(Dashboard!$B122,'Analysis of bottom-up tags'!$B$77:$B$118,0),MATCH(Dashboard!H$21,'Analysis of bottom-up tags'!$N$6:$W$6,0))*H$22</f>
        <v>0</v>
      </c>
      <c r="I122" s="151">
        <f>INDEX('Analysis of bottom-up tags'!$N$77:$W$118,MATCH(Dashboard!$B122,'Analysis of bottom-up tags'!$B$77:$B$118,0),MATCH(Dashboard!I$21,'Analysis of bottom-up tags'!$N$6:$W$6,0))*I$22</f>
        <v>0.24166846524626359</v>
      </c>
      <c r="J122" s="151">
        <f>INDEX('Analysis of bottom-up tags'!$N$77:$W$118,MATCH(Dashboard!$B122,'Analysis of bottom-up tags'!$B$77:$B$118,0),MATCH(Dashboard!J$21,'Analysis of bottom-up tags'!$N$6:$W$6,0))*J$22</f>
        <v>4.6000762434427829</v>
      </c>
      <c r="K122" s="151">
        <f>INDEX('Analysis of bottom-up tags'!$N$77:$W$118,MATCH(Dashboard!$B122,'Analysis of bottom-up tags'!$B$77:$B$118,0),MATCH(Dashboard!K$21,'Analysis of bottom-up tags'!$N$6:$W$6,0))*K$22</f>
        <v>2.8160339677182642</v>
      </c>
      <c r="L122" s="151">
        <f>INDEX('Analysis of bottom-up tags'!$N$77:$W$118,MATCH(Dashboard!$B122,'Analysis of bottom-up tags'!$B$77:$B$118,0),MATCH(Dashboard!L$21,'Analysis of bottom-up tags'!$N$6:$W$6,0))*L$22</f>
        <v>8.0521224859491838</v>
      </c>
      <c r="M122" s="151">
        <f t="shared" si="13"/>
        <v>15.709901162356495</v>
      </c>
      <c r="N122" s="151" t="str" cm="1">
        <f t="array" ref="N122">INDEX(Framework!$C$3:$C$119,MATCH(Dashboard!$B122,Framework!$D$3:$D$119,),)</f>
        <v xml:space="preserve">Post-production </v>
      </c>
    </row>
    <row r="123" spans="2:14">
      <c r="B123" s="151" t="s">
        <v>10813</v>
      </c>
      <c r="C123" s="151">
        <f>INDEX('Analysis of bottom-up tags'!$N$77:$W$118,MATCH(Dashboard!$B123,'Analysis of bottom-up tags'!$B$77:$B$118,0),MATCH(Dashboard!C$21,'Analysis of bottom-up tags'!$N$6:$W$6,0))*C$22</f>
        <v>0</v>
      </c>
      <c r="D123" s="151">
        <f>INDEX('Analysis of bottom-up tags'!$N$77:$W$118,MATCH(Dashboard!$B123,'Analysis of bottom-up tags'!$B$77:$B$118,0),MATCH(Dashboard!D$21,'Analysis of bottom-up tags'!$N$6:$W$6,0))*D$22</f>
        <v>0</v>
      </c>
      <c r="E123" s="151">
        <f>INDEX('Analysis of bottom-up tags'!$N$77:$W$118,MATCH(Dashboard!$B123,'Analysis of bottom-up tags'!$B$77:$B$118,0),MATCH(Dashboard!E$21,'Analysis of bottom-up tags'!$N$6:$W$6,0))*E$22</f>
        <v>249.66893096711533</v>
      </c>
      <c r="F123" s="151">
        <f>INDEX('Analysis of bottom-up tags'!$N$77:$W$118,MATCH(Dashboard!$B123,'Analysis of bottom-up tags'!$B$77:$B$118,0),MATCH(Dashboard!F$21,'Analysis of bottom-up tags'!$N$6:$W$6,0))*F$22</f>
        <v>0</v>
      </c>
      <c r="G123" s="151">
        <f>INDEX('Analysis of bottom-up tags'!$N$77:$W$118,MATCH(Dashboard!$B123,'Analysis of bottom-up tags'!$B$77:$B$118,0),MATCH(Dashboard!G$21,'Analysis of bottom-up tags'!$N$6:$W$6,0))*G$22</f>
        <v>4.0692079019918088</v>
      </c>
      <c r="H123" s="151">
        <f>INDEX('Analysis of bottom-up tags'!$N$77:$W$118,MATCH(Dashboard!$B123,'Analysis of bottom-up tags'!$B$77:$B$118,0),MATCH(Dashboard!H$21,'Analysis of bottom-up tags'!$N$6:$W$6,0))*H$22</f>
        <v>0</v>
      </c>
      <c r="I123" s="151">
        <f>INDEX('Analysis of bottom-up tags'!$N$77:$W$118,MATCH(Dashboard!$B123,'Analysis of bottom-up tags'!$B$77:$B$118,0),MATCH(Dashboard!I$21,'Analysis of bottom-up tags'!$N$6:$W$6,0))*I$22</f>
        <v>0</v>
      </c>
      <c r="J123" s="151">
        <f>INDEX('Analysis of bottom-up tags'!$N$77:$W$118,MATCH(Dashboard!$B123,'Analysis of bottom-up tags'!$B$77:$B$118,0),MATCH(Dashboard!J$21,'Analysis of bottom-up tags'!$N$6:$W$6,0))*J$22</f>
        <v>0.4764772179301332</v>
      </c>
      <c r="K123" s="151">
        <f>INDEX('Analysis of bottom-up tags'!$N$77:$W$118,MATCH(Dashboard!$B123,'Analysis of bottom-up tags'!$B$77:$B$118,0),MATCH(Dashboard!K$21,'Analysis of bottom-up tags'!$N$6:$W$6,0))*K$22</f>
        <v>0</v>
      </c>
      <c r="L123" s="151">
        <f>INDEX('Analysis of bottom-up tags'!$N$77:$W$118,MATCH(Dashboard!$B123,'Analysis of bottom-up tags'!$B$77:$B$118,0),MATCH(Dashboard!L$21,'Analysis of bottom-up tags'!$N$6:$W$6,0))*L$22</f>
        <v>0</v>
      </c>
      <c r="M123" s="151">
        <f t="shared" si="13"/>
        <v>254.21461608703726</v>
      </c>
      <c r="N123" s="151" t="str" cm="1">
        <f t="array" ref="N123">INDEX(Framework!$C$3:$C$119,MATCH(Dashboard!$B123,Framework!$D$3:$D$119,),)</f>
        <v xml:space="preserve">Post-production </v>
      </c>
    </row>
    <row r="124" spans="2:14">
      <c r="B124" s="151" t="s">
        <v>10961</v>
      </c>
      <c r="C124" s="151">
        <f>INDEX('Analysis of bottom-up tags'!$N$77:$W$118,MATCH(Dashboard!$B124,'Analysis of bottom-up tags'!$B$77:$B$118,0),MATCH(Dashboard!C$21,'Analysis of bottom-up tags'!$N$6:$W$6,0))*C$22</f>
        <v>0</v>
      </c>
      <c r="D124" s="151">
        <f>INDEX('Analysis of bottom-up tags'!$N$77:$W$118,MATCH(Dashboard!$B124,'Analysis of bottom-up tags'!$B$77:$B$118,0),MATCH(Dashboard!D$21,'Analysis of bottom-up tags'!$N$6:$W$6,0))*D$22</f>
        <v>0</v>
      </c>
      <c r="E124" s="151">
        <f>INDEX('Analysis of bottom-up tags'!$N$77:$W$118,MATCH(Dashboard!$B124,'Analysis of bottom-up tags'!$B$77:$B$118,0),MATCH(Dashboard!E$21,'Analysis of bottom-up tags'!$N$6:$W$6,0))*E$22</f>
        <v>0</v>
      </c>
      <c r="F124" s="151">
        <f>INDEX('Analysis of bottom-up tags'!$N$77:$W$118,MATCH(Dashboard!$B124,'Analysis of bottom-up tags'!$B$77:$B$118,0),MATCH(Dashboard!F$21,'Analysis of bottom-up tags'!$N$6:$W$6,0))*F$22</f>
        <v>0</v>
      </c>
      <c r="G124" s="151">
        <f>INDEX('Analysis of bottom-up tags'!$N$77:$W$118,MATCH(Dashboard!$B124,'Analysis of bottom-up tags'!$B$77:$B$118,0),MATCH(Dashboard!G$21,'Analysis of bottom-up tags'!$N$6:$W$6,0))*G$22</f>
        <v>0</v>
      </c>
      <c r="H124" s="151">
        <f>INDEX('Analysis of bottom-up tags'!$N$77:$W$118,MATCH(Dashboard!$B124,'Analysis of bottom-up tags'!$B$77:$B$118,0),MATCH(Dashboard!H$21,'Analysis of bottom-up tags'!$N$6:$W$6,0))*H$22</f>
        <v>0</v>
      </c>
      <c r="I124" s="151">
        <f>INDEX('Analysis of bottom-up tags'!$N$77:$W$118,MATCH(Dashboard!$B124,'Analysis of bottom-up tags'!$B$77:$B$118,0),MATCH(Dashboard!I$21,'Analysis of bottom-up tags'!$N$6:$W$6,0))*I$22</f>
        <v>0</v>
      </c>
      <c r="J124" s="151">
        <f>INDEX('Analysis of bottom-up tags'!$N$77:$W$118,MATCH(Dashboard!$B124,'Analysis of bottom-up tags'!$B$77:$B$118,0),MATCH(Dashboard!J$21,'Analysis of bottom-up tags'!$N$6:$W$6,0))*J$22</f>
        <v>0</v>
      </c>
      <c r="K124" s="151">
        <f>INDEX('Analysis of bottom-up tags'!$N$77:$W$118,MATCH(Dashboard!$B124,'Analysis of bottom-up tags'!$B$77:$B$118,0),MATCH(Dashboard!K$21,'Analysis of bottom-up tags'!$N$6:$W$6,0))*K$22</f>
        <v>0</v>
      </c>
      <c r="L124" s="151">
        <f>INDEX('Analysis of bottom-up tags'!$N$77:$W$118,MATCH(Dashboard!$B124,'Analysis of bottom-up tags'!$B$77:$B$118,0),MATCH(Dashboard!L$21,'Analysis of bottom-up tags'!$N$6:$W$6,0))*L$22</f>
        <v>10.250625650732307</v>
      </c>
      <c r="M124" s="151">
        <f t="shared" si="13"/>
        <v>10.250625650732307</v>
      </c>
      <c r="N124" s="151" t="str" cm="1">
        <f t="array" ref="N124">INDEX(Framework!$C$3:$C$119,MATCH(Dashboard!$B124,Framework!$D$3:$D$119,),)</f>
        <v>Production</v>
      </c>
    </row>
    <row r="125" spans="2:14">
      <c r="B125" s="151" t="s">
        <v>10848</v>
      </c>
      <c r="C125" s="151">
        <f>INDEX('Analysis of bottom-up tags'!$N$77:$W$118,MATCH(Dashboard!$B125,'Analysis of bottom-up tags'!$B$77:$B$118,0),MATCH(Dashboard!C$21,'Analysis of bottom-up tags'!$N$6:$W$6,0))*C$22</f>
        <v>0</v>
      </c>
      <c r="D125" s="151">
        <f>INDEX('Analysis of bottom-up tags'!$N$77:$W$118,MATCH(Dashboard!$B125,'Analysis of bottom-up tags'!$B$77:$B$118,0),MATCH(Dashboard!D$21,'Analysis of bottom-up tags'!$N$6:$W$6,0))*D$22</f>
        <v>0</v>
      </c>
      <c r="E125" s="151">
        <f>INDEX('Analysis of bottom-up tags'!$N$77:$W$118,MATCH(Dashboard!$B125,'Analysis of bottom-up tags'!$B$77:$B$118,0),MATCH(Dashboard!E$21,'Analysis of bottom-up tags'!$N$6:$W$6,0))*E$22</f>
        <v>0</v>
      </c>
      <c r="F125" s="151">
        <f>INDEX('Analysis of bottom-up tags'!$N$77:$W$118,MATCH(Dashboard!$B125,'Analysis of bottom-up tags'!$B$77:$B$118,0),MATCH(Dashboard!F$21,'Analysis of bottom-up tags'!$N$6:$W$6,0))*F$22</f>
        <v>0</v>
      </c>
      <c r="G125" s="151">
        <f>INDEX('Analysis of bottom-up tags'!$N$77:$W$118,MATCH(Dashboard!$B125,'Analysis of bottom-up tags'!$B$77:$B$118,0),MATCH(Dashboard!G$21,'Analysis of bottom-up tags'!$N$6:$W$6,0))*G$22</f>
        <v>0</v>
      </c>
      <c r="H125" s="151">
        <f>INDEX('Analysis of bottom-up tags'!$N$77:$W$118,MATCH(Dashboard!$B125,'Analysis of bottom-up tags'!$B$77:$B$118,0),MATCH(Dashboard!H$21,'Analysis of bottom-up tags'!$N$6:$W$6,0))*H$22</f>
        <v>0</v>
      </c>
      <c r="I125" s="151">
        <f>INDEX('Analysis of bottom-up tags'!$N$77:$W$118,MATCH(Dashboard!$B125,'Analysis of bottom-up tags'!$B$77:$B$118,0),MATCH(Dashboard!I$21,'Analysis of bottom-up tags'!$N$6:$W$6,0))*I$22</f>
        <v>0</v>
      </c>
      <c r="J125" s="151">
        <f>INDEX('Analysis of bottom-up tags'!$N$77:$W$118,MATCH(Dashboard!$B125,'Analysis of bottom-up tags'!$B$77:$B$118,0),MATCH(Dashboard!J$21,'Analysis of bottom-up tags'!$N$6:$W$6,0))*J$22</f>
        <v>0</v>
      </c>
      <c r="K125" s="151">
        <f>INDEX('Analysis of bottom-up tags'!$N$77:$W$118,MATCH(Dashboard!$B125,'Analysis of bottom-up tags'!$B$77:$B$118,0),MATCH(Dashboard!K$21,'Analysis of bottom-up tags'!$N$6:$W$6,0))*K$22</f>
        <v>1.3849144162486764</v>
      </c>
      <c r="L125" s="151">
        <f>INDEX('Analysis of bottom-up tags'!$N$77:$W$118,MATCH(Dashboard!$B125,'Analysis of bottom-up tags'!$B$77:$B$118,0),MATCH(Dashboard!L$21,'Analysis of bottom-up tags'!$N$6:$W$6,0))*L$22</f>
        <v>0</v>
      </c>
      <c r="M125" s="151">
        <f t="shared" si="13"/>
        <v>1.3849144162486764</v>
      </c>
      <c r="N125" s="151" t="str" cm="1">
        <f t="array" ref="N125">INDEX(Framework!$C$3:$C$119,MATCH(Dashboard!$B125,Framework!$D$3:$D$119,),)</f>
        <v>Cross-cutting</v>
      </c>
    </row>
    <row r="126" spans="2:14">
      <c r="B126" s="151" t="s">
        <v>10728</v>
      </c>
      <c r="C126" s="151">
        <f>INDEX('Analysis of bottom-up tags'!$N$77:$W$118,MATCH(Dashboard!$B126,'Analysis of bottom-up tags'!$B$77:$B$118,0),MATCH(Dashboard!C$21,'Analysis of bottom-up tags'!$N$6:$W$6,0))*C$22</f>
        <v>0</v>
      </c>
      <c r="D126" s="151">
        <f>INDEX('Analysis of bottom-up tags'!$N$77:$W$118,MATCH(Dashboard!$B126,'Analysis of bottom-up tags'!$B$77:$B$118,0),MATCH(Dashboard!D$21,'Analysis of bottom-up tags'!$N$6:$W$6,0))*D$22</f>
        <v>0</v>
      </c>
      <c r="E126" s="151">
        <f>INDEX('Analysis of bottom-up tags'!$N$77:$W$118,MATCH(Dashboard!$B126,'Analysis of bottom-up tags'!$B$77:$B$118,0),MATCH(Dashboard!E$21,'Analysis of bottom-up tags'!$N$6:$W$6,0))*E$22</f>
        <v>0</v>
      </c>
      <c r="F126" s="151">
        <f>INDEX('Analysis of bottom-up tags'!$N$77:$W$118,MATCH(Dashboard!$B126,'Analysis of bottom-up tags'!$B$77:$B$118,0),MATCH(Dashboard!F$21,'Analysis of bottom-up tags'!$N$6:$W$6,0))*F$22</f>
        <v>0</v>
      </c>
      <c r="G126" s="151">
        <f>INDEX('Analysis of bottom-up tags'!$N$77:$W$118,MATCH(Dashboard!$B126,'Analysis of bottom-up tags'!$B$77:$B$118,0),MATCH(Dashboard!G$21,'Analysis of bottom-up tags'!$N$6:$W$6,0))*G$22</f>
        <v>0</v>
      </c>
      <c r="H126" s="151">
        <f>INDEX('Analysis of bottom-up tags'!$N$77:$W$118,MATCH(Dashboard!$B126,'Analysis of bottom-up tags'!$B$77:$B$118,0),MATCH(Dashboard!H$21,'Analysis of bottom-up tags'!$N$6:$W$6,0))*H$22</f>
        <v>0</v>
      </c>
      <c r="I126" s="151">
        <f>INDEX('Analysis of bottom-up tags'!$N$77:$W$118,MATCH(Dashboard!$B126,'Analysis of bottom-up tags'!$B$77:$B$118,0),MATCH(Dashboard!I$21,'Analysis of bottom-up tags'!$N$6:$W$6,0))*I$22</f>
        <v>0</v>
      </c>
      <c r="J126" s="151">
        <f>INDEX('Analysis of bottom-up tags'!$N$77:$W$118,MATCH(Dashboard!$B126,'Analysis of bottom-up tags'!$B$77:$B$118,0),MATCH(Dashboard!J$21,'Analysis of bottom-up tags'!$N$6:$W$6,0))*J$22</f>
        <v>0</v>
      </c>
      <c r="K126" s="151">
        <f>INDEX('Analysis of bottom-up tags'!$N$77:$W$118,MATCH(Dashboard!$B126,'Analysis of bottom-up tags'!$B$77:$B$118,0),MATCH(Dashboard!K$21,'Analysis of bottom-up tags'!$N$6:$W$6,0))*K$22</f>
        <v>0</v>
      </c>
      <c r="L126" s="151">
        <f>INDEX('Analysis of bottom-up tags'!$N$77:$W$118,MATCH(Dashboard!$B126,'Analysis of bottom-up tags'!$B$77:$B$118,0),MATCH(Dashboard!L$21,'Analysis of bottom-up tags'!$N$6:$W$6,0))*L$22</f>
        <v>4.2541260072350893</v>
      </c>
      <c r="M126" s="151">
        <f t="shared" si="13"/>
        <v>4.2541260072350893</v>
      </c>
      <c r="N126" s="151" t="str" cm="1">
        <f t="array" ref="N126">INDEX(Framework!$C$3:$C$119,MATCH(Dashboard!$B126,Framework!$D$3:$D$119,),)</f>
        <v>Inputs</v>
      </c>
    </row>
    <row r="127" spans="2:14">
      <c r="B127" s="151" t="s">
        <v>10861</v>
      </c>
      <c r="C127" s="151">
        <f>INDEX('Analysis of bottom-up tags'!$N$77:$W$118,MATCH(Dashboard!$B127,'Analysis of bottom-up tags'!$B$77:$B$118,0),MATCH(Dashboard!C$21,'Analysis of bottom-up tags'!$N$6:$W$6,0))*C$22</f>
        <v>0</v>
      </c>
      <c r="D127" s="151">
        <f>INDEX('Analysis of bottom-up tags'!$N$77:$W$118,MATCH(Dashboard!$B127,'Analysis of bottom-up tags'!$B$77:$B$118,0),MATCH(Dashboard!D$21,'Analysis of bottom-up tags'!$N$6:$W$6,0))*D$22</f>
        <v>0</v>
      </c>
      <c r="E127" s="151">
        <f>INDEX('Analysis of bottom-up tags'!$N$77:$W$118,MATCH(Dashboard!$B127,'Analysis of bottom-up tags'!$B$77:$B$118,0),MATCH(Dashboard!E$21,'Analysis of bottom-up tags'!$N$6:$W$6,0))*E$22</f>
        <v>0</v>
      </c>
      <c r="F127" s="151">
        <f>INDEX('Analysis of bottom-up tags'!$N$77:$W$118,MATCH(Dashboard!$B127,'Analysis of bottom-up tags'!$B$77:$B$118,0),MATCH(Dashboard!F$21,'Analysis of bottom-up tags'!$N$6:$W$6,0))*F$22</f>
        <v>0</v>
      </c>
      <c r="G127" s="151">
        <f>INDEX('Analysis of bottom-up tags'!$N$77:$W$118,MATCH(Dashboard!$B127,'Analysis of bottom-up tags'!$B$77:$B$118,0),MATCH(Dashboard!G$21,'Analysis of bottom-up tags'!$N$6:$W$6,0))*G$22</f>
        <v>0</v>
      </c>
      <c r="H127" s="151">
        <f>INDEX('Analysis of bottom-up tags'!$N$77:$W$118,MATCH(Dashboard!$B127,'Analysis of bottom-up tags'!$B$77:$B$118,0),MATCH(Dashboard!H$21,'Analysis of bottom-up tags'!$N$6:$W$6,0))*H$22</f>
        <v>0</v>
      </c>
      <c r="I127" s="151">
        <f>INDEX('Analysis of bottom-up tags'!$N$77:$W$118,MATCH(Dashboard!$B127,'Analysis of bottom-up tags'!$B$77:$B$118,0),MATCH(Dashboard!I$21,'Analysis of bottom-up tags'!$N$6:$W$6,0))*I$22</f>
        <v>0</v>
      </c>
      <c r="J127" s="151">
        <f>INDEX('Analysis of bottom-up tags'!$N$77:$W$118,MATCH(Dashboard!$B127,'Analysis of bottom-up tags'!$B$77:$B$118,0),MATCH(Dashboard!J$21,'Analysis of bottom-up tags'!$N$6:$W$6,0))*J$22</f>
        <v>0</v>
      </c>
      <c r="K127" s="151">
        <f>INDEX('Analysis of bottom-up tags'!$N$77:$W$118,MATCH(Dashboard!$B127,'Analysis of bottom-up tags'!$B$77:$B$118,0),MATCH(Dashboard!K$21,'Analysis of bottom-up tags'!$N$6:$W$6,0))*K$22</f>
        <v>0</v>
      </c>
      <c r="L127" s="151">
        <f>INDEX('Analysis of bottom-up tags'!$N$77:$W$118,MATCH(Dashboard!$B127,'Analysis of bottom-up tags'!$B$77:$B$118,0),MATCH(Dashboard!L$21,'Analysis of bottom-up tags'!$N$6:$W$6,0))*L$22</f>
        <v>0</v>
      </c>
      <c r="M127" s="151">
        <f t="shared" si="13"/>
        <v>0</v>
      </c>
      <c r="N127" s="151" t="str" cm="1">
        <f t="array" ref="N127">INDEX(Framework!$C$3:$C$119,MATCH(Dashboard!$B127,Framework!$D$3:$D$119,),)</f>
        <v>Soil &amp; water health management</v>
      </c>
    </row>
    <row r="128" spans="2:14">
      <c r="B128" s="151" t="s">
        <v>10780</v>
      </c>
      <c r="C128" s="151">
        <f>INDEX('Analysis of bottom-up tags'!$N$77:$W$118,MATCH(Dashboard!$B128,'Analysis of bottom-up tags'!$B$77:$B$118,0),MATCH(Dashboard!C$21,'Analysis of bottom-up tags'!$N$6:$W$6,0))*C$22</f>
        <v>0</v>
      </c>
      <c r="D128" s="151">
        <f>INDEX('Analysis of bottom-up tags'!$N$77:$W$118,MATCH(Dashboard!$B128,'Analysis of bottom-up tags'!$B$77:$B$118,0),MATCH(Dashboard!D$21,'Analysis of bottom-up tags'!$N$6:$W$6,0))*D$22</f>
        <v>0</v>
      </c>
      <c r="E128" s="151">
        <f>INDEX('Analysis of bottom-up tags'!$N$77:$W$118,MATCH(Dashboard!$B128,'Analysis of bottom-up tags'!$B$77:$B$118,0),MATCH(Dashboard!E$21,'Analysis of bottom-up tags'!$N$6:$W$6,0))*E$22</f>
        <v>0</v>
      </c>
      <c r="F128" s="151">
        <f>INDEX('Analysis of bottom-up tags'!$N$77:$W$118,MATCH(Dashboard!$B128,'Analysis of bottom-up tags'!$B$77:$B$118,0),MATCH(Dashboard!F$21,'Analysis of bottom-up tags'!$N$6:$W$6,0))*F$22</f>
        <v>0</v>
      </c>
      <c r="G128" s="151">
        <f>INDEX('Analysis of bottom-up tags'!$N$77:$W$118,MATCH(Dashboard!$B128,'Analysis of bottom-up tags'!$B$77:$B$118,0),MATCH(Dashboard!G$21,'Analysis of bottom-up tags'!$N$6:$W$6,0))*G$22</f>
        <v>0</v>
      </c>
      <c r="H128" s="151">
        <f>INDEX('Analysis of bottom-up tags'!$N$77:$W$118,MATCH(Dashboard!$B128,'Analysis of bottom-up tags'!$B$77:$B$118,0),MATCH(Dashboard!H$21,'Analysis of bottom-up tags'!$N$6:$W$6,0))*H$22</f>
        <v>0</v>
      </c>
      <c r="I128" s="151">
        <f>INDEX('Analysis of bottom-up tags'!$N$77:$W$118,MATCH(Dashboard!$B128,'Analysis of bottom-up tags'!$B$77:$B$118,0),MATCH(Dashboard!I$21,'Analysis of bottom-up tags'!$N$6:$W$6,0))*I$22</f>
        <v>0.12013436256110499</v>
      </c>
      <c r="J128" s="151">
        <f>INDEX('Analysis of bottom-up tags'!$N$77:$W$118,MATCH(Dashboard!$B128,'Analysis of bottom-up tags'!$B$77:$B$118,0),MATCH(Dashboard!J$21,'Analysis of bottom-up tags'!$N$6:$W$6,0))*J$22</f>
        <v>0.54279748149735485</v>
      </c>
      <c r="K128" s="151">
        <f>INDEX('Analysis of bottom-up tags'!$N$77:$W$118,MATCH(Dashboard!$B128,'Analysis of bottom-up tags'!$B$77:$B$118,0),MATCH(Dashboard!K$21,'Analysis of bottom-up tags'!$N$6:$W$6,0))*K$22</f>
        <v>0.12164690435437156</v>
      </c>
      <c r="L128" s="151">
        <f>INDEX('Analysis of bottom-up tags'!$N$77:$W$118,MATCH(Dashboard!$B128,'Analysis of bottom-up tags'!$B$77:$B$118,0),MATCH(Dashboard!L$21,'Analysis of bottom-up tags'!$N$6:$W$6,0))*L$22</f>
        <v>0</v>
      </c>
      <c r="M128" s="151">
        <f t="shared" si="13"/>
        <v>0.78457874841283137</v>
      </c>
      <c r="N128" s="151" t="str" cm="1">
        <f t="array" ref="N128">INDEX(Framework!$C$3:$C$119,MATCH(Dashboard!$B128,Framework!$D$3:$D$119,),)</f>
        <v>Production</v>
      </c>
    </row>
    <row r="129" spans="1:14">
      <c r="B129" s="151" t="s">
        <v>10857</v>
      </c>
      <c r="C129" s="151">
        <f>INDEX('Analysis of bottom-up tags'!$N$77:$W$118,MATCH(Dashboard!$B129,'Analysis of bottom-up tags'!$B$77:$B$118,0),MATCH(Dashboard!C$21,'Analysis of bottom-up tags'!$N$6:$W$6,0))*C$22</f>
        <v>0</v>
      </c>
      <c r="D129" s="151">
        <f>INDEX('Analysis of bottom-up tags'!$N$77:$W$118,MATCH(Dashboard!$B129,'Analysis of bottom-up tags'!$B$77:$B$118,0),MATCH(Dashboard!D$21,'Analysis of bottom-up tags'!$N$6:$W$6,0))*D$22</f>
        <v>0</v>
      </c>
      <c r="E129" s="151">
        <f>INDEX('Analysis of bottom-up tags'!$N$77:$W$118,MATCH(Dashboard!$B129,'Analysis of bottom-up tags'!$B$77:$B$118,0),MATCH(Dashboard!E$21,'Analysis of bottom-up tags'!$N$6:$W$6,0))*E$22</f>
        <v>0</v>
      </c>
      <c r="F129" s="151">
        <f>INDEX('Analysis of bottom-up tags'!$N$77:$W$118,MATCH(Dashboard!$B129,'Analysis of bottom-up tags'!$B$77:$B$118,0),MATCH(Dashboard!F$21,'Analysis of bottom-up tags'!$N$6:$W$6,0))*F$22</f>
        <v>0</v>
      </c>
      <c r="G129" s="151">
        <f>INDEX('Analysis of bottom-up tags'!$N$77:$W$118,MATCH(Dashboard!$B129,'Analysis of bottom-up tags'!$B$77:$B$118,0),MATCH(Dashboard!G$21,'Analysis of bottom-up tags'!$N$6:$W$6,0))*G$22</f>
        <v>0</v>
      </c>
      <c r="H129" s="151">
        <f>INDEX('Analysis of bottom-up tags'!$N$77:$W$118,MATCH(Dashboard!$B129,'Analysis of bottom-up tags'!$B$77:$B$118,0),MATCH(Dashboard!H$21,'Analysis of bottom-up tags'!$N$6:$W$6,0))*H$22</f>
        <v>0</v>
      </c>
      <c r="I129" s="151">
        <f>INDEX('Analysis of bottom-up tags'!$N$77:$W$118,MATCH(Dashboard!$B129,'Analysis of bottom-up tags'!$B$77:$B$118,0),MATCH(Dashboard!I$21,'Analysis of bottom-up tags'!$N$6:$W$6,0))*I$22</f>
        <v>0.23969361884459409</v>
      </c>
      <c r="J129" s="151">
        <f>INDEX('Analysis of bottom-up tags'!$N$77:$W$118,MATCH(Dashboard!$B129,'Analysis of bottom-up tags'!$B$77:$B$118,0),MATCH(Dashboard!J$21,'Analysis of bottom-up tags'!$N$6:$W$6,0))*J$22</f>
        <v>0</v>
      </c>
      <c r="K129" s="151">
        <f>INDEX('Analysis of bottom-up tags'!$N$77:$W$118,MATCH(Dashboard!$B129,'Analysis of bottom-up tags'!$B$77:$B$118,0),MATCH(Dashboard!K$21,'Analysis of bottom-up tags'!$N$6:$W$6,0))*K$22</f>
        <v>0</v>
      </c>
      <c r="L129" s="151">
        <f>INDEX('Analysis of bottom-up tags'!$N$77:$W$118,MATCH(Dashboard!$B129,'Analysis of bottom-up tags'!$B$77:$B$118,0),MATCH(Dashboard!L$21,'Analysis of bottom-up tags'!$N$6:$W$6,0))*L$22</f>
        <v>0</v>
      </c>
      <c r="M129" s="151">
        <f t="shared" si="13"/>
        <v>0.23969361884459409</v>
      </c>
      <c r="N129" s="151" t="str" cm="1">
        <f t="array" ref="N129">INDEX(Framework!$C$3:$C$119,MATCH(Dashboard!$B129,Framework!$D$3:$D$119,),)</f>
        <v>Soil &amp; water health management</v>
      </c>
    </row>
    <row r="130" spans="1:14">
      <c r="B130" s="151" t="s">
        <v>10966</v>
      </c>
      <c r="C130" s="151">
        <f>INDEX('Analysis of bottom-up tags'!$N$77:$W$118,MATCH(Dashboard!$B130,'Analysis of bottom-up tags'!$B$77:$B$118,0),MATCH(Dashboard!C$21,'Analysis of bottom-up tags'!$N$6:$W$6,0))*C$22</f>
        <v>0</v>
      </c>
      <c r="D130" s="151">
        <f>INDEX('Analysis of bottom-up tags'!$N$77:$W$118,MATCH(Dashboard!$B130,'Analysis of bottom-up tags'!$B$77:$B$118,0),MATCH(Dashboard!D$21,'Analysis of bottom-up tags'!$N$6:$W$6,0))*D$22</f>
        <v>0</v>
      </c>
      <c r="E130" s="151">
        <f>INDEX('Analysis of bottom-up tags'!$N$77:$W$118,MATCH(Dashboard!$B130,'Analysis of bottom-up tags'!$B$77:$B$118,0),MATCH(Dashboard!E$21,'Analysis of bottom-up tags'!$N$6:$W$6,0))*E$22</f>
        <v>0</v>
      </c>
      <c r="F130" s="151">
        <f>INDEX('Analysis of bottom-up tags'!$N$77:$W$118,MATCH(Dashboard!$B130,'Analysis of bottom-up tags'!$B$77:$B$118,0),MATCH(Dashboard!F$21,'Analysis of bottom-up tags'!$N$6:$W$6,0))*F$22</f>
        <v>0</v>
      </c>
      <c r="G130" s="151">
        <f>INDEX('Analysis of bottom-up tags'!$N$77:$W$118,MATCH(Dashboard!$B130,'Analysis of bottom-up tags'!$B$77:$B$118,0),MATCH(Dashboard!G$21,'Analysis of bottom-up tags'!$N$6:$W$6,0))*G$22</f>
        <v>0</v>
      </c>
      <c r="H130" s="151">
        <f>INDEX('Analysis of bottom-up tags'!$N$77:$W$118,MATCH(Dashboard!$B130,'Analysis of bottom-up tags'!$B$77:$B$118,0),MATCH(Dashboard!H$21,'Analysis of bottom-up tags'!$N$6:$W$6,0))*H$22</f>
        <v>0</v>
      </c>
      <c r="I130" s="151">
        <f>INDEX('Analysis of bottom-up tags'!$N$77:$W$118,MATCH(Dashboard!$B130,'Analysis of bottom-up tags'!$B$77:$B$118,0),MATCH(Dashboard!I$21,'Analysis of bottom-up tags'!$N$6:$W$6,0))*I$22</f>
        <v>0</v>
      </c>
      <c r="J130" s="151">
        <f>INDEX('Analysis of bottom-up tags'!$N$77:$W$118,MATCH(Dashboard!$B130,'Analysis of bottom-up tags'!$B$77:$B$118,0),MATCH(Dashboard!J$21,'Analysis of bottom-up tags'!$N$6:$W$6,0))*J$22</f>
        <v>0.16610037639494776</v>
      </c>
      <c r="K130" s="151">
        <f>INDEX('Analysis of bottom-up tags'!$N$77:$W$118,MATCH(Dashboard!$B130,'Analysis of bottom-up tags'!$B$77:$B$118,0),MATCH(Dashboard!K$21,'Analysis of bottom-up tags'!$N$6:$W$6,0))*K$22</f>
        <v>0</v>
      </c>
      <c r="L130" s="151">
        <f>INDEX('Analysis of bottom-up tags'!$N$77:$W$118,MATCH(Dashboard!$B130,'Analysis of bottom-up tags'!$B$77:$B$118,0),MATCH(Dashboard!L$21,'Analysis of bottom-up tags'!$N$6:$W$6,0))*L$22</f>
        <v>0.3575515068054344</v>
      </c>
      <c r="M130" s="151">
        <f t="shared" si="13"/>
        <v>0.52365188320038214</v>
      </c>
      <c r="N130" s="151" t="str" cm="1">
        <f t="array" ref="N130">INDEX(Framework!$C$3:$C$119,MATCH(Dashboard!$B130,Framework!$D$3:$D$119,),)</f>
        <v xml:space="preserve">Post-production </v>
      </c>
    </row>
    <row r="131" spans="1:14">
      <c r="B131" s="151" t="s">
        <v>10850</v>
      </c>
      <c r="C131" s="151">
        <f>INDEX('Analysis of bottom-up tags'!$N$77:$W$118,MATCH(Dashboard!$B131,'Analysis of bottom-up tags'!$B$77:$B$118,0),MATCH(Dashboard!C$21,'Analysis of bottom-up tags'!$N$6:$W$6,0))*C$22</f>
        <v>0</v>
      </c>
      <c r="D131" s="151">
        <f>INDEX('Analysis of bottom-up tags'!$N$77:$W$118,MATCH(Dashboard!$B131,'Analysis of bottom-up tags'!$B$77:$B$118,0),MATCH(Dashboard!D$21,'Analysis of bottom-up tags'!$N$6:$W$6,0))*D$22</f>
        <v>0</v>
      </c>
      <c r="E131" s="151">
        <f>INDEX('Analysis of bottom-up tags'!$N$77:$W$118,MATCH(Dashboard!$B131,'Analysis of bottom-up tags'!$B$77:$B$118,0),MATCH(Dashboard!E$21,'Analysis of bottom-up tags'!$N$6:$W$6,0))*E$22</f>
        <v>5.3767133673116065</v>
      </c>
      <c r="F131" s="151">
        <f>INDEX('Analysis of bottom-up tags'!$N$77:$W$118,MATCH(Dashboard!$B131,'Analysis of bottom-up tags'!$B$77:$B$118,0),MATCH(Dashboard!F$21,'Analysis of bottom-up tags'!$N$6:$W$6,0))*F$22</f>
        <v>0</v>
      </c>
      <c r="G131" s="151">
        <f>INDEX('Analysis of bottom-up tags'!$N$77:$W$118,MATCH(Dashboard!$B131,'Analysis of bottom-up tags'!$B$77:$B$118,0),MATCH(Dashboard!G$21,'Analysis of bottom-up tags'!$N$6:$W$6,0))*G$22</f>
        <v>0</v>
      </c>
      <c r="H131" s="151">
        <f>INDEX('Analysis of bottom-up tags'!$N$77:$W$118,MATCH(Dashboard!$B131,'Analysis of bottom-up tags'!$B$77:$B$118,0),MATCH(Dashboard!H$21,'Analysis of bottom-up tags'!$N$6:$W$6,0))*H$22</f>
        <v>0</v>
      </c>
      <c r="I131" s="151">
        <f>INDEX('Analysis of bottom-up tags'!$N$77:$W$118,MATCH(Dashboard!$B131,'Analysis of bottom-up tags'!$B$77:$B$118,0),MATCH(Dashboard!I$21,'Analysis of bottom-up tags'!$N$6:$W$6,0))*I$22</f>
        <v>0</v>
      </c>
      <c r="J131" s="151">
        <f>INDEX('Analysis of bottom-up tags'!$N$77:$W$118,MATCH(Dashboard!$B131,'Analysis of bottom-up tags'!$B$77:$B$118,0),MATCH(Dashboard!J$21,'Analysis of bottom-up tags'!$N$6:$W$6,0))*J$22</f>
        <v>0</v>
      </c>
      <c r="K131" s="151">
        <f>INDEX('Analysis of bottom-up tags'!$N$77:$W$118,MATCH(Dashboard!$B131,'Analysis of bottom-up tags'!$B$77:$B$118,0),MATCH(Dashboard!K$21,'Analysis of bottom-up tags'!$N$6:$W$6,0))*K$22</f>
        <v>0</v>
      </c>
      <c r="L131" s="151">
        <f>INDEX('Analysis of bottom-up tags'!$N$77:$W$118,MATCH(Dashboard!$B131,'Analysis of bottom-up tags'!$B$77:$B$118,0),MATCH(Dashboard!L$21,'Analysis of bottom-up tags'!$N$6:$W$6,0))*L$22</f>
        <v>0</v>
      </c>
      <c r="M131" s="151">
        <f t="shared" si="13"/>
        <v>5.3767133673116065</v>
      </c>
      <c r="N131" s="151" t="str" cm="1">
        <f t="array" ref="N131">INDEX(Framework!$C$3:$C$119,MATCH(Dashboard!$B131,Framework!$D$3:$D$119,),)</f>
        <v>Cross-cutting</v>
      </c>
    </row>
    <row r="132" spans="1:14">
      <c r="B132" s="151" t="s">
        <v>10737</v>
      </c>
      <c r="C132" s="151">
        <f>INDEX('Analysis of bottom-up tags'!$N$77:$W$118,MATCH(Dashboard!$B132,'Analysis of bottom-up tags'!$B$77:$B$118,0),MATCH(Dashboard!C$21,'Analysis of bottom-up tags'!$N$6:$W$6,0))*C$22</f>
        <v>0</v>
      </c>
      <c r="D132" s="151">
        <f>INDEX('Analysis of bottom-up tags'!$N$77:$W$118,MATCH(Dashboard!$B132,'Analysis of bottom-up tags'!$B$77:$B$118,0),MATCH(Dashboard!D$21,'Analysis of bottom-up tags'!$N$6:$W$6,0))*D$22</f>
        <v>0</v>
      </c>
      <c r="E132" s="151">
        <f>INDEX('Analysis of bottom-up tags'!$N$77:$W$118,MATCH(Dashboard!$B132,'Analysis of bottom-up tags'!$B$77:$B$118,0),MATCH(Dashboard!E$21,'Analysis of bottom-up tags'!$N$6:$W$6,0))*E$22</f>
        <v>0</v>
      </c>
      <c r="F132" s="151">
        <f>INDEX('Analysis of bottom-up tags'!$N$77:$W$118,MATCH(Dashboard!$B132,'Analysis of bottom-up tags'!$B$77:$B$118,0),MATCH(Dashboard!F$21,'Analysis of bottom-up tags'!$N$6:$W$6,0))*F$22</f>
        <v>0</v>
      </c>
      <c r="G132" s="151">
        <f>INDEX('Analysis of bottom-up tags'!$N$77:$W$118,MATCH(Dashboard!$B132,'Analysis of bottom-up tags'!$B$77:$B$118,0),MATCH(Dashboard!G$21,'Analysis of bottom-up tags'!$N$6:$W$6,0))*G$22</f>
        <v>0</v>
      </c>
      <c r="H132" s="151">
        <f>INDEX('Analysis of bottom-up tags'!$N$77:$W$118,MATCH(Dashboard!$B132,'Analysis of bottom-up tags'!$B$77:$B$118,0),MATCH(Dashboard!H$21,'Analysis of bottom-up tags'!$N$6:$W$6,0))*H$22</f>
        <v>0</v>
      </c>
      <c r="I132" s="151">
        <f>INDEX('Analysis of bottom-up tags'!$N$77:$W$118,MATCH(Dashboard!$B132,'Analysis of bottom-up tags'!$B$77:$B$118,0),MATCH(Dashboard!I$21,'Analysis of bottom-up tags'!$N$6:$W$6,0))*I$22</f>
        <v>0</v>
      </c>
      <c r="J132" s="151">
        <f>INDEX('Analysis of bottom-up tags'!$N$77:$W$118,MATCH(Dashboard!$B132,'Analysis of bottom-up tags'!$B$77:$B$118,0),MATCH(Dashboard!J$21,'Analysis of bottom-up tags'!$N$6:$W$6,0))*J$22</f>
        <v>0</v>
      </c>
      <c r="K132" s="151">
        <f>INDEX('Analysis of bottom-up tags'!$N$77:$W$118,MATCH(Dashboard!$B132,'Analysis of bottom-up tags'!$B$77:$B$118,0),MATCH(Dashboard!K$21,'Analysis of bottom-up tags'!$N$6:$W$6,0))*K$22</f>
        <v>0</v>
      </c>
      <c r="L132" s="151">
        <f>INDEX('Analysis of bottom-up tags'!$N$77:$W$118,MATCH(Dashboard!$B132,'Analysis of bottom-up tags'!$B$77:$B$118,0),MATCH(Dashboard!L$21,'Analysis of bottom-up tags'!$N$6:$W$6,0))*L$22</f>
        <v>0</v>
      </c>
      <c r="M132" s="151">
        <f t="shared" si="13"/>
        <v>0</v>
      </c>
      <c r="N132" s="151" t="str" cm="1">
        <f t="array" ref="N132">INDEX(Framework!$C$3:$C$119,MATCH(Dashboard!$B132,Framework!$D$3:$D$119,),)</f>
        <v>Inputs</v>
      </c>
    </row>
    <row r="133" spans="1:14">
      <c r="B133" s="151" t="s">
        <v>10733</v>
      </c>
      <c r="C133" s="151">
        <f>INDEX('Analysis of bottom-up tags'!$N$77:$W$118,MATCH(Dashboard!$B133,'Analysis of bottom-up tags'!$B$77:$B$118,0),MATCH(Dashboard!C$21,'Analysis of bottom-up tags'!$N$6:$W$6,0))*C$22</f>
        <v>0</v>
      </c>
      <c r="D133" s="151">
        <f>INDEX('Analysis of bottom-up tags'!$N$77:$W$118,MATCH(Dashboard!$B133,'Analysis of bottom-up tags'!$B$77:$B$118,0),MATCH(Dashboard!D$21,'Analysis of bottom-up tags'!$N$6:$W$6,0))*D$22</f>
        <v>0</v>
      </c>
      <c r="E133" s="151">
        <f>INDEX('Analysis of bottom-up tags'!$N$77:$W$118,MATCH(Dashboard!$B133,'Analysis of bottom-up tags'!$B$77:$B$118,0),MATCH(Dashboard!E$21,'Analysis of bottom-up tags'!$N$6:$W$6,0))*E$22</f>
        <v>0</v>
      </c>
      <c r="F133" s="151">
        <f>INDEX('Analysis of bottom-up tags'!$N$77:$W$118,MATCH(Dashboard!$B133,'Analysis of bottom-up tags'!$B$77:$B$118,0),MATCH(Dashboard!F$21,'Analysis of bottom-up tags'!$N$6:$W$6,0))*F$22</f>
        <v>0</v>
      </c>
      <c r="G133" s="151">
        <f>INDEX('Analysis of bottom-up tags'!$N$77:$W$118,MATCH(Dashboard!$B133,'Analysis of bottom-up tags'!$B$77:$B$118,0),MATCH(Dashboard!G$21,'Analysis of bottom-up tags'!$N$6:$W$6,0))*G$22</f>
        <v>0</v>
      </c>
      <c r="H133" s="151">
        <f>INDEX('Analysis of bottom-up tags'!$N$77:$W$118,MATCH(Dashboard!$B133,'Analysis of bottom-up tags'!$B$77:$B$118,0),MATCH(Dashboard!H$21,'Analysis of bottom-up tags'!$N$6:$W$6,0))*H$22</f>
        <v>0</v>
      </c>
      <c r="I133" s="151">
        <f>INDEX('Analysis of bottom-up tags'!$N$77:$W$118,MATCH(Dashboard!$B133,'Analysis of bottom-up tags'!$B$77:$B$118,0),MATCH(Dashboard!I$21,'Analysis of bottom-up tags'!$N$6:$W$6,0))*I$22</f>
        <v>0</v>
      </c>
      <c r="J133" s="151">
        <f>INDEX('Analysis of bottom-up tags'!$N$77:$W$118,MATCH(Dashboard!$B133,'Analysis of bottom-up tags'!$B$77:$B$118,0),MATCH(Dashboard!J$21,'Analysis of bottom-up tags'!$N$6:$W$6,0))*J$22</f>
        <v>0</v>
      </c>
      <c r="K133" s="151">
        <f>INDEX('Analysis of bottom-up tags'!$N$77:$W$118,MATCH(Dashboard!$B133,'Analysis of bottom-up tags'!$B$77:$B$118,0),MATCH(Dashboard!K$21,'Analysis of bottom-up tags'!$N$6:$W$6,0))*K$22</f>
        <v>0</v>
      </c>
      <c r="L133" s="151">
        <f>INDEX('Analysis of bottom-up tags'!$N$77:$W$118,MATCH(Dashboard!$B133,'Analysis of bottom-up tags'!$B$77:$B$118,0),MATCH(Dashboard!L$21,'Analysis of bottom-up tags'!$N$6:$W$6,0))*L$22</f>
        <v>0</v>
      </c>
      <c r="M133" s="151">
        <f t="shared" si="13"/>
        <v>0</v>
      </c>
      <c r="N133" s="151" t="str" cm="1">
        <f t="array" ref="N133">INDEX(Framework!$C$3:$C$119,MATCH(Dashboard!$B133,Framework!$D$3:$D$119,),)</f>
        <v>Inputs</v>
      </c>
    </row>
    <row r="134" spans="1:14">
      <c r="B134" s="151" t="s">
        <v>10763</v>
      </c>
      <c r="C134" s="151">
        <f>INDEX('Analysis of bottom-up tags'!$N$77:$W$118,MATCH(Dashboard!$B134,'Analysis of bottom-up tags'!$B$77:$B$118,0),MATCH(Dashboard!C$21,'Analysis of bottom-up tags'!$N$6:$W$6,0))*C$22</f>
        <v>0</v>
      </c>
      <c r="D134" s="151">
        <f>INDEX('Analysis of bottom-up tags'!$N$77:$W$118,MATCH(Dashboard!$B134,'Analysis of bottom-up tags'!$B$77:$B$118,0),MATCH(Dashboard!D$21,'Analysis of bottom-up tags'!$N$6:$W$6,0))*D$22</f>
        <v>0</v>
      </c>
      <c r="E134" s="151">
        <f>INDEX('Analysis of bottom-up tags'!$N$77:$W$118,MATCH(Dashboard!$B134,'Analysis of bottom-up tags'!$B$77:$B$118,0),MATCH(Dashboard!E$21,'Analysis of bottom-up tags'!$N$6:$W$6,0))*E$22</f>
        <v>0</v>
      </c>
      <c r="F134" s="151">
        <f>INDEX('Analysis of bottom-up tags'!$N$77:$W$118,MATCH(Dashboard!$B134,'Analysis of bottom-up tags'!$B$77:$B$118,0),MATCH(Dashboard!F$21,'Analysis of bottom-up tags'!$N$6:$W$6,0))*F$22</f>
        <v>0</v>
      </c>
      <c r="G134" s="151">
        <f>INDEX('Analysis of bottom-up tags'!$N$77:$W$118,MATCH(Dashboard!$B134,'Analysis of bottom-up tags'!$B$77:$B$118,0),MATCH(Dashboard!G$21,'Analysis of bottom-up tags'!$N$6:$W$6,0))*G$22</f>
        <v>0</v>
      </c>
      <c r="H134" s="151">
        <f>INDEX('Analysis of bottom-up tags'!$N$77:$W$118,MATCH(Dashboard!$B134,'Analysis of bottom-up tags'!$B$77:$B$118,0),MATCH(Dashboard!H$21,'Analysis of bottom-up tags'!$N$6:$W$6,0))*H$22</f>
        <v>0</v>
      </c>
      <c r="I134" s="151">
        <f>INDEX('Analysis of bottom-up tags'!$N$77:$W$118,MATCH(Dashboard!$B134,'Analysis of bottom-up tags'!$B$77:$B$118,0),MATCH(Dashboard!I$21,'Analysis of bottom-up tags'!$N$6:$W$6,0))*I$22</f>
        <v>0</v>
      </c>
      <c r="J134" s="151">
        <f>INDEX('Analysis of bottom-up tags'!$N$77:$W$118,MATCH(Dashboard!$B134,'Analysis of bottom-up tags'!$B$77:$B$118,0),MATCH(Dashboard!J$21,'Analysis of bottom-up tags'!$N$6:$W$6,0))*J$22</f>
        <v>0</v>
      </c>
      <c r="K134" s="151">
        <f>INDEX('Analysis of bottom-up tags'!$N$77:$W$118,MATCH(Dashboard!$B134,'Analysis of bottom-up tags'!$B$77:$B$118,0),MATCH(Dashboard!K$21,'Analysis of bottom-up tags'!$N$6:$W$6,0))*K$22</f>
        <v>0</v>
      </c>
      <c r="L134" s="151">
        <f>INDEX('Analysis of bottom-up tags'!$N$77:$W$118,MATCH(Dashboard!$B134,'Analysis of bottom-up tags'!$B$77:$B$118,0),MATCH(Dashboard!L$21,'Analysis of bottom-up tags'!$N$6:$W$6,0))*L$22</f>
        <v>0</v>
      </c>
      <c r="M134" s="151">
        <f t="shared" si="13"/>
        <v>0</v>
      </c>
      <c r="N134" s="151" t="str" cm="1">
        <f t="array" ref="N134">INDEX(Framework!$C$3:$C$119,MATCH(Dashboard!$B134,Framework!$D$3:$D$119,),)</f>
        <v>Production</v>
      </c>
    </row>
    <row r="135" spans="1:14">
      <c r="B135" s="151" t="s">
        <v>10722</v>
      </c>
      <c r="C135" s="151">
        <f>INDEX('Analysis of bottom-up tags'!$N$77:$W$118,MATCH(Dashboard!$B135,'Analysis of bottom-up tags'!$B$77:$B$118,0),MATCH(Dashboard!C$21,'Analysis of bottom-up tags'!$N$6:$W$6,0))*C$22</f>
        <v>0</v>
      </c>
      <c r="D135" s="151">
        <f>INDEX('Analysis of bottom-up tags'!$N$77:$W$118,MATCH(Dashboard!$B135,'Analysis of bottom-up tags'!$B$77:$B$118,0),MATCH(Dashboard!D$21,'Analysis of bottom-up tags'!$N$6:$W$6,0))*D$22</f>
        <v>0</v>
      </c>
      <c r="E135" s="151">
        <f>INDEX('Analysis of bottom-up tags'!$N$77:$W$118,MATCH(Dashboard!$B135,'Analysis of bottom-up tags'!$B$77:$B$118,0),MATCH(Dashboard!E$21,'Analysis of bottom-up tags'!$N$6:$W$6,0))*E$22</f>
        <v>0</v>
      </c>
      <c r="F135" s="151">
        <f>INDEX('Analysis of bottom-up tags'!$N$77:$W$118,MATCH(Dashboard!$B135,'Analysis of bottom-up tags'!$B$77:$B$118,0),MATCH(Dashboard!F$21,'Analysis of bottom-up tags'!$N$6:$W$6,0))*F$22</f>
        <v>0</v>
      </c>
      <c r="G135" s="151">
        <f>INDEX('Analysis of bottom-up tags'!$N$77:$W$118,MATCH(Dashboard!$B135,'Analysis of bottom-up tags'!$B$77:$B$118,0),MATCH(Dashboard!G$21,'Analysis of bottom-up tags'!$N$6:$W$6,0))*G$22</f>
        <v>0</v>
      </c>
      <c r="H135" s="151">
        <f>INDEX('Analysis of bottom-up tags'!$N$77:$W$118,MATCH(Dashboard!$B135,'Analysis of bottom-up tags'!$B$77:$B$118,0),MATCH(Dashboard!H$21,'Analysis of bottom-up tags'!$N$6:$W$6,0))*H$22</f>
        <v>0</v>
      </c>
      <c r="I135" s="151">
        <f>INDEX('Analysis of bottom-up tags'!$N$77:$W$118,MATCH(Dashboard!$B135,'Analysis of bottom-up tags'!$B$77:$B$118,0),MATCH(Dashboard!I$21,'Analysis of bottom-up tags'!$N$6:$W$6,0))*I$22</f>
        <v>0</v>
      </c>
      <c r="J135" s="151">
        <f>INDEX('Analysis of bottom-up tags'!$N$77:$W$118,MATCH(Dashboard!$B135,'Analysis of bottom-up tags'!$B$77:$B$118,0),MATCH(Dashboard!J$21,'Analysis of bottom-up tags'!$N$6:$W$6,0))*J$22</f>
        <v>0</v>
      </c>
      <c r="K135" s="151">
        <f>INDEX('Analysis of bottom-up tags'!$N$77:$W$118,MATCH(Dashboard!$B135,'Analysis of bottom-up tags'!$B$77:$B$118,0),MATCH(Dashboard!K$21,'Analysis of bottom-up tags'!$N$6:$W$6,0))*K$22</f>
        <v>0</v>
      </c>
      <c r="L135" s="151">
        <f>INDEX('Analysis of bottom-up tags'!$N$77:$W$118,MATCH(Dashboard!$B135,'Analysis of bottom-up tags'!$B$77:$B$118,0),MATCH(Dashboard!L$21,'Analysis of bottom-up tags'!$N$6:$W$6,0))*L$22</f>
        <v>0</v>
      </c>
      <c r="M135" s="151">
        <f t="shared" si="13"/>
        <v>0</v>
      </c>
      <c r="N135" s="151" t="str" cm="1">
        <f t="array" ref="N135">INDEX(Framework!$C$3:$C$119,MATCH(Dashboard!$B135,Framework!$D$3:$D$119,),)</f>
        <v>Inputs</v>
      </c>
    </row>
    <row r="136" spans="1:14">
      <c r="B136" s="151" t="s">
        <v>10731</v>
      </c>
      <c r="C136" s="151">
        <f>INDEX('Analysis of bottom-up tags'!$N$77:$W$118,MATCH(Dashboard!$B136,'Analysis of bottom-up tags'!$B$77:$B$118,0),MATCH(Dashboard!C$21,'Analysis of bottom-up tags'!$N$6:$W$6,0))*C$22</f>
        <v>0</v>
      </c>
      <c r="D136" s="151">
        <f>INDEX('Analysis of bottom-up tags'!$N$77:$W$118,MATCH(Dashboard!$B136,'Analysis of bottom-up tags'!$B$77:$B$118,0),MATCH(Dashboard!D$21,'Analysis of bottom-up tags'!$N$6:$W$6,0))*D$22</f>
        <v>0</v>
      </c>
      <c r="E136" s="151">
        <f>INDEX('Analysis of bottom-up tags'!$N$77:$W$118,MATCH(Dashboard!$B136,'Analysis of bottom-up tags'!$B$77:$B$118,0),MATCH(Dashboard!E$21,'Analysis of bottom-up tags'!$N$6:$W$6,0))*E$22</f>
        <v>0</v>
      </c>
      <c r="F136" s="151">
        <f>INDEX('Analysis of bottom-up tags'!$N$77:$W$118,MATCH(Dashboard!$B136,'Analysis of bottom-up tags'!$B$77:$B$118,0),MATCH(Dashboard!F$21,'Analysis of bottom-up tags'!$N$6:$W$6,0))*F$22</f>
        <v>0</v>
      </c>
      <c r="G136" s="151">
        <f>INDEX('Analysis of bottom-up tags'!$N$77:$W$118,MATCH(Dashboard!$B136,'Analysis of bottom-up tags'!$B$77:$B$118,0),MATCH(Dashboard!G$21,'Analysis of bottom-up tags'!$N$6:$W$6,0))*G$22</f>
        <v>0</v>
      </c>
      <c r="H136" s="151">
        <f>INDEX('Analysis of bottom-up tags'!$N$77:$W$118,MATCH(Dashboard!$B136,'Analysis of bottom-up tags'!$B$77:$B$118,0),MATCH(Dashboard!H$21,'Analysis of bottom-up tags'!$N$6:$W$6,0))*H$22</f>
        <v>0</v>
      </c>
      <c r="I136" s="151">
        <f>INDEX('Analysis of bottom-up tags'!$N$77:$W$118,MATCH(Dashboard!$B136,'Analysis of bottom-up tags'!$B$77:$B$118,0),MATCH(Dashboard!I$21,'Analysis of bottom-up tags'!$N$6:$W$6,0))*I$22</f>
        <v>0</v>
      </c>
      <c r="J136" s="151">
        <f>INDEX('Analysis of bottom-up tags'!$N$77:$W$118,MATCH(Dashboard!$B136,'Analysis of bottom-up tags'!$B$77:$B$118,0),MATCH(Dashboard!J$21,'Analysis of bottom-up tags'!$N$6:$W$6,0))*J$22</f>
        <v>0</v>
      </c>
      <c r="K136" s="151">
        <f>INDEX('Analysis of bottom-up tags'!$N$77:$W$118,MATCH(Dashboard!$B136,'Analysis of bottom-up tags'!$B$77:$B$118,0),MATCH(Dashboard!K$21,'Analysis of bottom-up tags'!$N$6:$W$6,0))*K$22</f>
        <v>0</v>
      </c>
      <c r="L136" s="151">
        <f>INDEX('Analysis of bottom-up tags'!$N$77:$W$118,MATCH(Dashboard!$B136,'Analysis of bottom-up tags'!$B$77:$B$118,0),MATCH(Dashboard!L$21,'Analysis of bottom-up tags'!$N$6:$W$6,0))*L$22</f>
        <v>0</v>
      </c>
      <c r="M136" s="151">
        <f t="shared" si="13"/>
        <v>0</v>
      </c>
      <c r="N136" s="151" t="str" cm="1">
        <f t="array" ref="N136">INDEX(Framework!$C$3:$C$119,MATCH(Dashboard!$B136,Framework!$D$3:$D$119,),)</f>
        <v>Inputs</v>
      </c>
    </row>
    <row r="137" spans="1:14">
      <c r="B137" s="151" t="s">
        <v>10645</v>
      </c>
      <c r="C137" s="151">
        <f>INDEX('Analysis of bottom-up tags'!$N$77:$W$118,MATCH(Dashboard!$B137,'Analysis of bottom-up tags'!$B$77:$B$118,0),MATCH(Dashboard!C$21,'Analysis of bottom-up tags'!$N$6:$W$6,0))*C$22</f>
        <v>0</v>
      </c>
      <c r="D137" s="151">
        <f>INDEX('Analysis of bottom-up tags'!$N$77:$W$118,MATCH(Dashboard!$B137,'Analysis of bottom-up tags'!$B$77:$B$118,0),MATCH(Dashboard!D$21,'Analysis of bottom-up tags'!$N$6:$W$6,0))*D$22</f>
        <v>0</v>
      </c>
      <c r="E137" s="151">
        <f>INDEX('Analysis of bottom-up tags'!$N$77:$W$118,MATCH(Dashboard!$B137,'Analysis of bottom-up tags'!$B$77:$B$118,0),MATCH(Dashboard!E$21,'Analysis of bottom-up tags'!$N$6:$W$6,0))*E$22</f>
        <v>0</v>
      </c>
      <c r="F137" s="151">
        <f>INDEX('Analysis of bottom-up tags'!$N$77:$W$118,MATCH(Dashboard!$B137,'Analysis of bottom-up tags'!$B$77:$B$118,0),MATCH(Dashboard!F$21,'Analysis of bottom-up tags'!$N$6:$W$6,0))*F$22</f>
        <v>0</v>
      </c>
      <c r="G137" s="151">
        <f>INDEX('Analysis of bottom-up tags'!$N$77:$W$118,MATCH(Dashboard!$B137,'Analysis of bottom-up tags'!$B$77:$B$118,0),MATCH(Dashboard!G$21,'Analysis of bottom-up tags'!$N$6:$W$6,0))*G$22</f>
        <v>0</v>
      </c>
      <c r="H137" s="151">
        <f>INDEX('Analysis of bottom-up tags'!$N$77:$W$118,MATCH(Dashboard!$B137,'Analysis of bottom-up tags'!$B$77:$B$118,0),MATCH(Dashboard!H$21,'Analysis of bottom-up tags'!$N$6:$W$6,0))*H$22</f>
        <v>0</v>
      </c>
      <c r="I137" s="151">
        <f>INDEX('Analysis of bottom-up tags'!$N$77:$W$118,MATCH(Dashboard!$B137,'Analysis of bottom-up tags'!$B$77:$B$118,0),MATCH(Dashboard!I$21,'Analysis of bottom-up tags'!$N$6:$W$6,0))*I$22</f>
        <v>0</v>
      </c>
      <c r="J137" s="151">
        <f>INDEX('Analysis of bottom-up tags'!$N$77:$W$118,MATCH(Dashboard!$B137,'Analysis of bottom-up tags'!$B$77:$B$118,0),MATCH(Dashboard!J$21,'Analysis of bottom-up tags'!$N$6:$W$6,0))*J$22</f>
        <v>0</v>
      </c>
      <c r="K137" s="151">
        <f>INDEX('Analysis of bottom-up tags'!$N$77:$W$118,MATCH(Dashboard!$B137,'Analysis of bottom-up tags'!$B$77:$B$118,0),MATCH(Dashboard!K$21,'Analysis of bottom-up tags'!$N$6:$W$6,0))*K$22</f>
        <v>0</v>
      </c>
      <c r="L137" s="151">
        <f>INDEX('Analysis of bottom-up tags'!$N$77:$W$118,MATCH(Dashboard!$B137,'Analysis of bottom-up tags'!$B$77:$B$118,0),MATCH(Dashboard!L$21,'Analysis of bottom-up tags'!$N$6:$W$6,0))*L$22</f>
        <v>0</v>
      </c>
      <c r="M137" s="151">
        <f t="shared" si="13"/>
        <v>0</v>
      </c>
      <c r="N137" s="151" t="str" cm="1">
        <f t="array" ref="N137">INDEX(Framework!$C$3:$C$119,MATCH(Dashboard!$B137,Framework!$D$3:$D$119,),)</f>
        <v xml:space="preserve">Agriculture financing systems </v>
      </c>
    </row>
    <row r="138" spans="1:14">
      <c r="B138" s="166" t="s">
        <v>11042</v>
      </c>
      <c r="C138" s="166">
        <f>SUM(C96:C137)</f>
        <v>1062.1143934849285</v>
      </c>
      <c r="D138" s="166">
        <f t="shared" ref="D138:L138" si="14">SUM(D96:D137)</f>
        <v>1165.0851658894628</v>
      </c>
      <c r="E138" s="166">
        <f t="shared" si="14"/>
        <v>1080.5398716825559</v>
      </c>
      <c r="F138" s="166">
        <f t="shared" si="14"/>
        <v>998.16876276638288</v>
      </c>
      <c r="G138" s="166">
        <f t="shared" si="14"/>
        <v>1351.3990768355743</v>
      </c>
      <c r="H138" s="166">
        <f t="shared" si="14"/>
        <v>1460.0301951394745</v>
      </c>
      <c r="I138" s="166">
        <f t="shared" si="14"/>
        <v>1339.3257754127419</v>
      </c>
      <c r="J138" s="166">
        <f t="shared" si="14"/>
        <v>1493.4200137430398</v>
      </c>
      <c r="K138" s="166">
        <f t="shared" si="14"/>
        <v>1728.1321199540894</v>
      </c>
      <c r="L138" s="166">
        <f t="shared" si="14"/>
        <v>1644.2903436718934</v>
      </c>
      <c r="M138" s="166">
        <f t="shared" si="13"/>
        <v>13322.505718580143</v>
      </c>
    </row>
    <row r="139" spans="1:14">
      <c r="A139" s="151" t="s">
        <v>11126</v>
      </c>
      <c r="N139" s="101"/>
    </row>
    <row r="140" spans="1:14">
      <c r="B140" s="163" t="s">
        <v>2</v>
      </c>
      <c r="C140" s="163"/>
      <c r="D140" s="163"/>
      <c r="E140" s="163"/>
      <c r="F140" s="163"/>
      <c r="G140" s="163"/>
      <c r="H140" s="163"/>
      <c r="I140" s="163"/>
      <c r="J140" s="163"/>
      <c r="K140" s="163"/>
      <c r="L140" s="163"/>
      <c r="M140" s="163"/>
      <c r="N140" s="101"/>
    </row>
    <row r="141" spans="1:14">
      <c r="B141" s="22" t="s">
        <v>2057</v>
      </c>
      <c r="C141" s="151">
        <f>INDEX('Analysis of bottom-up tags'!$N$122:$W$153,MATCH(Dashboard!$B141,'Analysis of bottom-up tags'!$B$122:$B$153,0),MATCH(Dashboard!C$21,'Analysis of bottom-up tags'!$N$6:$W$6,0))*C$22</f>
        <v>17.1780019323968</v>
      </c>
      <c r="D141" s="151">
        <f>INDEX('Analysis of bottom-up tags'!$N$122:$W$153,MATCH(Dashboard!$B141,'Analysis of bottom-up tags'!$B$122:$B$153,0),MATCH(Dashboard!D$21,'Analysis of bottom-up tags'!$N$6:$W$6,0))*D$22</f>
        <v>380.83470856415698</v>
      </c>
      <c r="E141" s="151">
        <f>INDEX('Analysis of bottom-up tags'!$N$122:$W$153,MATCH(Dashboard!$B141,'Analysis of bottom-up tags'!$B$122:$B$153,0),MATCH(Dashboard!E$21,'Analysis of bottom-up tags'!$N$6:$W$6,0))*E$22</f>
        <v>249.66893096711533</v>
      </c>
      <c r="F141" s="151">
        <f>INDEX('Analysis of bottom-up tags'!$N$122:$W$153,MATCH(Dashboard!$B141,'Analysis of bottom-up tags'!$B$122:$B$153,0),MATCH(Dashboard!F$21,'Analysis of bottom-up tags'!$N$6:$W$6,0))*F$22</f>
        <v>244.2580913073927</v>
      </c>
      <c r="G141" s="151">
        <f>INDEX('Analysis of bottom-up tags'!$N$122:$W$153,MATCH(Dashboard!$B141,'Analysis of bottom-up tags'!$B$122:$B$153,0),MATCH(Dashboard!G$21,'Analysis of bottom-up tags'!$N$6:$W$6,0))*G$22</f>
        <v>948.87818581656495</v>
      </c>
      <c r="H141" s="151">
        <f>INDEX('Analysis of bottom-up tags'!$N$122:$W$153,MATCH(Dashboard!$B141,'Analysis of bottom-up tags'!$B$122:$B$153,0),MATCH(Dashboard!H$21,'Analysis of bottom-up tags'!$N$6:$W$6,0))*H$22</f>
        <v>1283.5926751986565</v>
      </c>
      <c r="I141" s="151">
        <f>INDEX('Analysis of bottom-up tags'!$N$122:$W$153,MATCH(Dashboard!$B141,'Analysis of bottom-up tags'!$B$122:$B$153,0),MATCH(Dashboard!I$21,'Analysis of bottom-up tags'!$N$6:$W$6,0))*I$22</f>
        <v>1221.2076005756423</v>
      </c>
      <c r="J141" s="151">
        <f>INDEX('Analysis of bottom-up tags'!$N$122:$W$153,MATCH(Dashboard!$B141,'Analysis of bottom-up tags'!$B$122:$B$153,0),MATCH(Dashboard!J$21,'Analysis of bottom-up tags'!$N$6:$W$6,0))*J$22</f>
        <v>714.9083557728618</v>
      </c>
      <c r="K141" s="151">
        <f>INDEX('Analysis of bottom-up tags'!$N$122:$W$153,MATCH(Dashboard!$B141,'Analysis of bottom-up tags'!$B$122:$B$153,0),MATCH(Dashboard!K$21,'Analysis of bottom-up tags'!$N$6:$W$6,0))*K$22</f>
        <v>1516.2107812240538</v>
      </c>
      <c r="L141" s="151">
        <f>INDEX('Analysis of bottom-up tags'!$N$122:$W$153,MATCH(Dashboard!$B141,'Analysis of bottom-up tags'!$B$122:$B$153,0),MATCH(Dashboard!L$21,'Analysis of bottom-up tags'!$N$6:$W$6,0))*L$22</f>
        <v>107.32984544886308</v>
      </c>
      <c r="M141" s="151">
        <f t="shared" ref="M141:M173" si="15">SUM(C141:L141)</f>
        <v>6684.0671768077045</v>
      </c>
      <c r="N141" s="101"/>
    </row>
    <row r="142" spans="1:14">
      <c r="B142" s="22" t="s">
        <v>3994</v>
      </c>
      <c r="C142" s="151">
        <f>INDEX('Analysis of bottom-up tags'!$N$122:$W$153,MATCH(Dashboard!$B142,'Analysis of bottom-up tags'!$B$122:$B$153,0),MATCH(Dashboard!C$21,'Analysis of bottom-up tags'!$N$6:$W$6,0))*C$22</f>
        <v>1019.4181405645672</v>
      </c>
      <c r="D142" s="151">
        <f>INDEX('Analysis of bottom-up tags'!$N$122:$W$153,MATCH(Dashboard!$B142,'Analysis of bottom-up tags'!$B$122:$B$153,0),MATCH(Dashboard!D$21,'Analysis of bottom-up tags'!$N$6:$W$6,0))*D$22</f>
        <v>783.6911323603706</v>
      </c>
      <c r="E142" s="151">
        <f>INDEX('Analysis of bottom-up tags'!$N$122:$W$153,MATCH(Dashboard!$B142,'Analysis of bottom-up tags'!$B$122:$B$153,0),MATCH(Dashboard!E$21,'Analysis of bottom-up tags'!$N$6:$W$6,0))*E$22</f>
        <v>651.99845548932342</v>
      </c>
      <c r="F142" s="151">
        <f>INDEX('Analysis of bottom-up tags'!$N$122:$W$153,MATCH(Dashboard!$B142,'Analysis of bottom-up tags'!$B$122:$B$153,0),MATCH(Dashboard!F$21,'Analysis of bottom-up tags'!$N$6:$W$6,0))*F$22</f>
        <v>745.28472525809434</v>
      </c>
      <c r="G142" s="151">
        <f>INDEX('Analysis of bottom-up tags'!$N$122:$W$153,MATCH(Dashboard!$B142,'Analysis of bottom-up tags'!$B$122:$B$153,0),MATCH(Dashboard!G$21,'Analysis of bottom-up tags'!$N$6:$W$6,0))*G$22</f>
        <v>318.77726839139751</v>
      </c>
      <c r="H142" s="151">
        <f>INDEX('Analysis of bottom-up tags'!$N$122:$W$153,MATCH(Dashboard!$B142,'Analysis of bottom-up tags'!$B$122:$B$153,0),MATCH(Dashboard!H$21,'Analysis of bottom-up tags'!$N$6:$W$6,0))*H$22</f>
        <v>167.13176624202032</v>
      </c>
      <c r="I142" s="151">
        <f>INDEX('Analysis of bottom-up tags'!$N$122:$W$153,MATCH(Dashboard!$B142,'Analysis of bottom-up tags'!$B$122:$B$153,0),MATCH(Dashboard!I$21,'Analysis of bottom-up tags'!$N$6:$W$6,0))*I$22</f>
        <v>73.492081970682449</v>
      </c>
      <c r="J142" s="151">
        <f>INDEX('Analysis of bottom-up tags'!$N$122:$W$153,MATCH(Dashboard!$B142,'Analysis of bottom-up tags'!$B$122:$B$153,0),MATCH(Dashboard!J$21,'Analysis of bottom-up tags'!$N$6:$W$6,0))*J$22</f>
        <v>451.01334480235522</v>
      </c>
      <c r="K142" s="151">
        <f>INDEX('Analysis of bottom-up tags'!$N$122:$W$153,MATCH(Dashboard!$B142,'Analysis of bottom-up tags'!$B$122:$B$153,0),MATCH(Dashboard!K$21,'Analysis of bottom-up tags'!$N$6:$W$6,0))*K$22</f>
        <v>157.79698783027121</v>
      </c>
      <c r="L142" s="151">
        <f>INDEX('Analysis of bottom-up tags'!$N$122:$W$153,MATCH(Dashboard!$B142,'Analysis of bottom-up tags'!$B$122:$B$153,0),MATCH(Dashboard!L$21,'Analysis of bottom-up tags'!$N$6:$W$6,0))*L$22</f>
        <v>1253.3788802641914</v>
      </c>
      <c r="M142" s="151">
        <f t="shared" si="15"/>
        <v>5621.9827831732728</v>
      </c>
      <c r="N142" s="101"/>
    </row>
    <row r="143" spans="1:14">
      <c r="B143" s="22" t="s">
        <v>5333</v>
      </c>
      <c r="C143" s="151">
        <f>INDEX('Analysis of bottom-up tags'!$N$122:$W$153,MATCH(Dashboard!$B143,'Analysis of bottom-up tags'!$B$122:$B$153,0),MATCH(Dashboard!C$21,'Analysis of bottom-up tags'!$N$6:$W$6,0))*C$22</f>
        <v>0</v>
      </c>
      <c r="D143" s="151">
        <f>INDEX('Analysis of bottom-up tags'!$N$122:$W$153,MATCH(Dashboard!$B143,'Analysis of bottom-up tags'!$B$122:$B$153,0),MATCH(Dashboard!D$21,'Analysis of bottom-up tags'!$N$6:$W$6,0))*D$22</f>
        <v>0</v>
      </c>
      <c r="E143" s="151">
        <f>INDEX('Analysis of bottom-up tags'!$N$122:$W$153,MATCH(Dashboard!$B143,'Analysis of bottom-up tags'!$B$122:$B$153,0),MATCH(Dashboard!E$21,'Analysis of bottom-up tags'!$N$6:$W$6,0))*E$22</f>
        <v>0</v>
      </c>
      <c r="F143" s="151">
        <f>INDEX('Analysis of bottom-up tags'!$N$122:$W$153,MATCH(Dashboard!$B143,'Analysis of bottom-up tags'!$B$122:$B$153,0),MATCH(Dashboard!F$21,'Analysis of bottom-up tags'!$N$6:$W$6,0))*F$22</f>
        <v>0</v>
      </c>
      <c r="G143" s="151">
        <f>INDEX('Analysis of bottom-up tags'!$N$122:$W$153,MATCH(Dashboard!$B143,'Analysis of bottom-up tags'!$B$122:$B$153,0),MATCH(Dashboard!G$21,'Analysis of bottom-up tags'!$N$6:$W$6,0))*G$22</f>
        <v>0</v>
      </c>
      <c r="H143" s="151">
        <f>INDEX('Analysis of bottom-up tags'!$N$122:$W$153,MATCH(Dashboard!$B143,'Analysis of bottom-up tags'!$B$122:$B$153,0),MATCH(Dashboard!H$21,'Analysis of bottom-up tags'!$N$6:$W$6,0))*H$22</f>
        <v>3.0714261592947425</v>
      </c>
      <c r="I143" s="151">
        <f>INDEX('Analysis of bottom-up tags'!$N$122:$W$153,MATCH(Dashboard!$B143,'Analysis of bottom-up tags'!$B$122:$B$153,0),MATCH(Dashboard!I$21,'Analysis of bottom-up tags'!$N$6:$W$6,0))*I$22</f>
        <v>0.97306575229091663</v>
      </c>
      <c r="J143" s="151">
        <f>INDEX('Analysis of bottom-up tags'!$N$122:$W$153,MATCH(Dashboard!$B143,'Analysis of bottom-up tags'!$B$122:$B$153,0),MATCH(Dashboard!J$21,'Analysis of bottom-up tags'!$N$6:$W$6,0))*J$22</f>
        <v>54.509921653369219</v>
      </c>
      <c r="K143" s="151">
        <f>INDEX('Analysis of bottom-up tags'!$N$122:$W$153,MATCH(Dashboard!$B143,'Analysis of bottom-up tags'!$B$122:$B$153,0),MATCH(Dashboard!K$21,'Analysis of bottom-up tags'!$N$6:$W$6,0))*K$22</f>
        <v>1.4775920503899318</v>
      </c>
      <c r="L143" s="151">
        <f>INDEX('Analysis of bottom-up tags'!$N$122:$W$153,MATCH(Dashboard!$B143,'Analysis of bottom-up tags'!$B$122:$B$153,0),MATCH(Dashboard!L$21,'Analysis of bottom-up tags'!$N$6:$W$6,0))*L$22</f>
        <v>7.702547258723766</v>
      </c>
      <c r="M143" s="151">
        <f t="shared" si="15"/>
        <v>67.734552874068569</v>
      </c>
      <c r="N143" s="101"/>
    </row>
    <row r="144" spans="1:14">
      <c r="B144" s="22" t="s">
        <v>5208</v>
      </c>
      <c r="C144" s="151">
        <f>INDEX('Analysis of bottom-up tags'!$N$122:$W$153,MATCH(Dashboard!$B144,'Analysis of bottom-up tags'!$B$122:$B$153,0),MATCH(Dashboard!C$21,'Analysis of bottom-up tags'!$N$6:$W$6,0))*C$22</f>
        <v>0</v>
      </c>
      <c r="D144" s="151">
        <f>INDEX('Analysis of bottom-up tags'!$N$122:$W$153,MATCH(Dashboard!$B144,'Analysis of bottom-up tags'!$B$122:$B$153,0),MATCH(Dashboard!D$21,'Analysis of bottom-up tags'!$N$6:$W$6,0))*D$22</f>
        <v>0</v>
      </c>
      <c r="E144" s="151">
        <f>INDEX('Analysis of bottom-up tags'!$N$122:$W$153,MATCH(Dashboard!$B144,'Analysis of bottom-up tags'!$B$122:$B$153,0),MATCH(Dashboard!E$21,'Analysis of bottom-up tags'!$N$6:$W$6,0))*E$22</f>
        <v>0</v>
      </c>
      <c r="F144" s="151">
        <f>INDEX('Analysis of bottom-up tags'!$N$122:$W$153,MATCH(Dashboard!$B144,'Analysis of bottom-up tags'!$B$122:$B$153,0),MATCH(Dashboard!F$21,'Analysis of bottom-up tags'!$N$6:$W$6,0))*F$22</f>
        <v>0</v>
      </c>
      <c r="G144" s="151">
        <f>INDEX('Analysis of bottom-up tags'!$N$122:$W$153,MATCH(Dashboard!$B144,'Analysis of bottom-up tags'!$B$122:$B$153,0),MATCH(Dashboard!G$21,'Analysis of bottom-up tags'!$N$6:$W$6,0))*G$22</f>
        <v>44.857505073394201</v>
      </c>
      <c r="H144" s="151">
        <f>INDEX('Analysis of bottom-up tags'!$N$122:$W$153,MATCH(Dashboard!$B144,'Analysis of bottom-up tags'!$B$122:$B$153,0),MATCH(Dashboard!H$21,'Analysis of bottom-up tags'!$N$6:$W$6,0))*H$22</f>
        <v>0.2505232529437566</v>
      </c>
      <c r="I144" s="151">
        <f>INDEX('Analysis of bottom-up tags'!$N$122:$W$153,MATCH(Dashboard!$B144,'Analysis of bottom-up tags'!$B$122:$B$153,0),MATCH(Dashboard!I$21,'Analysis of bottom-up tags'!$N$6:$W$6,0))*I$22</f>
        <v>5.6160474380548528</v>
      </c>
      <c r="J144" s="151">
        <f>INDEX('Analysis of bottom-up tags'!$N$122:$W$153,MATCH(Dashboard!$B144,'Analysis of bottom-up tags'!$B$122:$B$153,0),MATCH(Dashboard!J$21,'Analysis of bottom-up tags'!$N$6:$W$6,0))*J$22</f>
        <v>5.7491674407901412</v>
      </c>
      <c r="K144" s="151">
        <f>INDEX('Analysis of bottom-up tags'!$N$122:$W$153,MATCH(Dashboard!$B144,'Analysis of bottom-up tags'!$B$122:$B$153,0),MATCH(Dashboard!K$21,'Analysis of bottom-up tags'!$N$6:$W$6,0))*K$22</f>
        <v>7.8807087358803782</v>
      </c>
      <c r="L144" s="151">
        <f>INDEX('Analysis of bottom-up tags'!$N$122:$W$153,MATCH(Dashboard!$B144,'Analysis of bottom-up tags'!$B$122:$B$153,0),MATCH(Dashboard!L$21,'Analysis of bottom-up tags'!$N$6:$W$6,0))*L$22</f>
        <v>23.566725819179794</v>
      </c>
      <c r="M144" s="151">
        <f t="shared" si="15"/>
        <v>87.920677760243123</v>
      </c>
      <c r="N144" s="101"/>
    </row>
    <row r="145" spans="2:14">
      <c r="B145" s="22" t="s">
        <v>11148</v>
      </c>
      <c r="C145" s="151">
        <f>INDEX('Analysis of bottom-up tags'!$N$122:$W$153,MATCH(Dashboard!$B145,'Analysis of bottom-up tags'!$B$122:$B$153,0),MATCH(Dashboard!C$21,'Analysis of bottom-up tags'!$N$6:$W$6,0))*C$22</f>
        <v>0</v>
      </c>
      <c r="D145" s="151">
        <f>INDEX('Analysis of bottom-up tags'!$N$122:$W$153,MATCH(Dashboard!$B145,'Analysis of bottom-up tags'!$B$122:$B$153,0),MATCH(Dashboard!D$21,'Analysis of bottom-up tags'!$N$6:$W$6,0))*D$22</f>
        <v>0</v>
      </c>
      <c r="E145" s="151">
        <f>INDEX('Analysis of bottom-up tags'!$N$122:$W$153,MATCH(Dashboard!$B145,'Analysis of bottom-up tags'!$B$122:$B$153,0),MATCH(Dashboard!E$21,'Analysis of bottom-up tags'!$N$6:$W$6,0))*E$22</f>
        <v>0</v>
      </c>
      <c r="F145" s="151">
        <f>INDEX('Analysis of bottom-up tags'!$N$122:$W$153,MATCH(Dashboard!$B145,'Analysis of bottom-up tags'!$B$122:$B$153,0),MATCH(Dashboard!F$21,'Analysis of bottom-up tags'!$N$6:$W$6,0))*F$22</f>
        <v>0</v>
      </c>
      <c r="G145" s="151">
        <f>INDEX('Analysis of bottom-up tags'!$N$122:$W$153,MATCH(Dashboard!$B145,'Analysis of bottom-up tags'!$B$122:$B$153,0),MATCH(Dashboard!G$21,'Analysis of bottom-up tags'!$N$6:$W$6,0))*G$22</f>
        <v>0</v>
      </c>
      <c r="H145" s="151">
        <f>INDEX('Analysis of bottom-up tags'!$N$122:$W$153,MATCH(Dashboard!$B145,'Analysis of bottom-up tags'!$B$122:$B$153,0),MATCH(Dashboard!H$21,'Analysis of bottom-up tags'!$N$6:$W$6,0))*H$22</f>
        <v>0</v>
      </c>
      <c r="I145" s="151">
        <f>INDEX('Analysis of bottom-up tags'!$N$122:$W$153,MATCH(Dashboard!$B145,'Analysis of bottom-up tags'!$B$122:$B$153,0),MATCH(Dashboard!I$21,'Analysis of bottom-up tags'!$N$6:$W$6,0))*I$22</f>
        <v>4.6416741607429373</v>
      </c>
      <c r="J145" s="151">
        <f>INDEX('Analysis of bottom-up tags'!$N$122:$W$153,MATCH(Dashboard!$B145,'Analysis of bottom-up tags'!$B$122:$B$153,0),MATCH(Dashboard!J$21,'Analysis of bottom-up tags'!$N$6:$W$6,0))*J$22</f>
        <v>32.888042278162189</v>
      </c>
      <c r="K145" s="151">
        <f>INDEX('Analysis of bottom-up tags'!$N$122:$W$153,MATCH(Dashboard!$B145,'Analysis of bottom-up tags'!$B$122:$B$153,0),MATCH(Dashboard!K$21,'Analysis of bottom-up tags'!$N$6:$W$6,0))*K$22</f>
        <v>18.768957021835355</v>
      </c>
      <c r="L145" s="151">
        <f>INDEX('Analysis of bottom-up tags'!$N$122:$W$153,MATCH(Dashboard!$B145,'Analysis of bottom-up tags'!$B$122:$B$153,0),MATCH(Dashboard!L$21,'Analysis of bottom-up tags'!$N$6:$W$6,0))*L$22</f>
        <v>0</v>
      </c>
      <c r="M145" s="151">
        <f t="shared" si="15"/>
        <v>56.298673460740481</v>
      </c>
      <c r="N145" s="101"/>
    </row>
    <row r="146" spans="2:14">
      <c r="B146" s="22" t="s">
        <v>5391</v>
      </c>
      <c r="C146" s="151">
        <f>INDEX('Analysis of bottom-up tags'!$N$122:$W$153,MATCH(Dashboard!$B146,'Analysis of bottom-up tags'!$B$122:$B$153,0),MATCH(Dashboard!C$21,'Analysis of bottom-up tags'!$N$6:$W$6,0))*C$22</f>
        <v>11.341444883539788</v>
      </c>
      <c r="D146" s="151">
        <f>INDEX('Analysis of bottom-up tags'!$N$122:$W$153,MATCH(Dashboard!$B146,'Analysis of bottom-up tags'!$B$122:$B$153,0),MATCH(Dashboard!D$21,'Analysis of bottom-up tags'!$N$6:$W$6,0))*D$22</f>
        <v>0</v>
      </c>
      <c r="E146" s="151">
        <f>INDEX('Analysis of bottom-up tags'!$N$122:$W$153,MATCH(Dashboard!$B146,'Analysis of bottom-up tags'!$B$122:$B$153,0),MATCH(Dashboard!E$21,'Analysis of bottom-up tags'!$N$6:$W$6,0))*E$22</f>
        <v>173.49577185880568</v>
      </c>
      <c r="F146" s="151">
        <f>INDEX('Analysis of bottom-up tags'!$N$122:$W$153,MATCH(Dashboard!$B146,'Analysis of bottom-up tags'!$B$122:$B$153,0),MATCH(Dashboard!F$21,'Analysis of bottom-up tags'!$N$6:$W$6,0))*F$22</f>
        <v>5.0887921172712289</v>
      </c>
      <c r="G146" s="151">
        <f>INDEX('Analysis of bottom-up tags'!$N$122:$W$153,MATCH(Dashboard!$B146,'Analysis of bottom-up tags'!$B$122:$B$153,0),MATCH(Dashboard!G$21,'Analysis of bottom-up tags'!$N$6:$W$6,0))*G$22</f>
        <v>2.1939538202651163</v>
      </c>
      <c r="H146" s="151">
        <f>INDEX('Analysis of bottom-up tags'!$N$122:$W$153,MATCH(Dashboard!$B146,'Analysis of bottom-up tags'!$B$122:$B$153,0),MATCH(Dashboard!H$21,'Analysis of bottom-up tags'!$N$6:$W$6,0))*H$22</f>
        <v>1.2053032784011521</v>
      </c>
      <c r="I146" s="151">
        <f>INDEX('Analysis of bottom-up tags'!$N$122:$W$153,MATCH(Dashboard!$B146,'Analysis of bottom-up tags'!$B$122:$B$153,0),MATCH(Dashboard!I$21,'Analysis of bottom-up tags'!$N$6:$W$6,0))*I$22</f>
        <v>1.2648133553086218</v>
      </c>
      <c r="J146" s="151">
        <f>INDEX('Analysis of bottom-up tags'!$N$122:$W$153,MATCH(Dashboard!$B146,'Analysis of bottom-up tags'!$B$122:$B$153,0),MATCH(Dashboard!J$21,'Analysis of bottom-up tags'!$N$6:$W$6,0))*J$22</f>
        <v>90.47234693225974</v>
      </c>
      <c r="K146" s="151">
        <f>INDEX('Analysis of bottom-up tags'!$N$122:$W$153,MATCH(Dashboard!$B146,'Analysis of bottom-up tags'!$B$122:$B$153,0),MATCH(Dashboard!K$21,'Analysis of bottom-up tags'!$N$6:$W$6,0))*K$22</f>
        <v>10.643781518744943</v>
      </c>
      <c r="L146" s="151">
        <f>INDEX('Analysis of bottom-up tags'!$N$122:$W$153,MATCH(Dashboard!$B146,'Analysis of bottom-up tags'!$B$122:$B$153,0),MATCH(Dashboard!L$21,'Analysis of bottom-up tags'!$N$6:$W$6,0))*L$22</f>
        <v>122.17338611697032</v>
      </c>
      <c r="M146" s="151">
        <f t="shared" si="15"/>
        <v>417.87959388156662</v>
      </c>
      <c r="N146" s="101"/>
    </row>
    <row r="147" spans="2:14">
      <c r="B147" s="22" t="s">
        <v>7086</v>
      </c>
      <c r="C147" s="151">
        <f>INDEX('Analysis of bottom-up tags'!$N$122:$W$153,MATCH(Dashboard!$B147,'Analysis of bottom-up tags'!$B$122:$B$153,0),MATCH(Dashboard!C$21,'Analysis of bottom-up tags'!$N$6:$W$6,0))*C$22</f>
        <v>0</v>
      </c>
      <c r="D147" s="151">
        <f>INDEX('Analysis of bottom-up tags'!$N$122:$W$153,MATCH(Dashboard!$B147,'Analysis of bottom-up tags'!$B$122:$B$153,0),MATCH(Dashboard!D$21,'Analysis of bottom-up tags'!$N$6:$W$6,0))*D$22</f>
        <v>0</v>
      </c>
      <c r="E147" s="151">
        <f>INDEX('Analysis of bottom-up tags'!$N$122:$W$153,MATCH(Dashboard!$B147,'Analysis of bottom-up tags'!$B$122:$B$153,0),MATCH(Dashboard!E$21,'Analysis of bottom-up tags'!$N$6:$W$6,0))*E$22</f>
        <v>0</v>
      </c>
      <c r="F147" s="151">
        <f>INDEX('Analysis of bottom-up tags'!$N$122:$W$153,MATCH(Dashboard!$B147,'Analysis of bottom-up tags'!$B$122:$B$153,0),MATCH(Dashboard!F$21,'Analysis of bottom-up tags'!$N$6:$W$6,0))*F$22</f>
        <v>0</v>
      </c>
      <c r="G147" s="151">
        <f>INDEX('Analysis of bottom-up tags'!$N$122:$W$153,MATCH(Dashboard!$B147,'Analysis of bottom-up tags'!$B$122:$B$153,0),MATCH(Dashboard!G$21,'Analysis of bottom-up tags'!$N$6:$W$6,0))*G$22</f>
        <v>0</v>
      </c>
      <c r="H147" s="151">
        <f>INDEX('Analysis of bottom-up tags'!$N$122:$W$153,MATCH(Dashboard!$B147,'Analysis of bottom-up tags'!$B$122:$B$153,0),MATCH(Dashboard!H$21,'Analysis of bottom-up tags'!$N$6:$W$6,0))*H$22</f>
        <v>0</v>
      </c>
      <c r="I147" s="151">
        <f>INDEX('Analysis of bottom-up tags'!$N$122:$W$153,MATCH(Dashboard!$B147,'Analysis of bottom-up tags'!$B$122:$B$153,0),MATCH(Dashboard!I$21,'Analysis of bottom-up tags'!$N$6:$W$6,0))*I$22</f>
        <v>4.330567023476612</v>
      </c>
      <c r="J147" s="151">
        <f>INDEX('Analysis of bottom-up tags'!$N$122:$W$153,MATCH(Dashboard!$B147,'Analysis of bottom-up tags'!$B$122:$B$153,0),MATCH(Dashboard!J$21,'Analysis of bottom-up tags'!$N$6:$W$6,0))*J$22</f>
        <v>32.883697175990385</v>
      </c>
      <c r="K147" s="151">
        <f>INDEX('Analysis of bottom-up tags'!$N$122:$W$153,MATCH(Dashboard!$B147,'Analysis of bottom-up tags'!$B$122:$B$153,0),MATCH(Dashboard!K$21,'Analysis of bottom-up tags'!$N$6:$W$6,0))*K$22</f>
        <v>0</v>
      </c>
      <c r="L147" s="151">
        <f>INDEX('Analysis of bottom-up tags'!$N$122:$W$153,MATCH(Dashboard!$B147,'Analysis of bottom-up tags'!$B$122:$B$153,0),MATCH(Dashboard!L$21,'Analysis of bottom-up tags'!$N$6:$W$6,0))*L$22</f>
        <v>10.2200403527956</v>
      </c>
      <c r="M147" s="151">
        <f t="shared" si="15"/>
        <v>47.434304552262596</v>
      </c>
      <c r="N147" s="101"/>
    </row>
    <row r="148" spans="2:14">
      <c r="B148" s="22" t="s">
        <v>6213</v>
      </c>
      <c r="C148" s="151">
        <f>INDEX('Analysis of bottom-up tags'!$N$122:$W$153,MATCH(Dashboard!$B148,'Analysis of bottom-up tags'!$B$122:$B$153,0),MATCH(Dashboard!C$21,'Analysis of bottom-up tags'!$N$6:$W$6,0))*C$22</f>
        <v>0</v>
      </c>
      <c r="D148" s="151">
        <f>INDEX('Analysis of bottom-up tags'!$N$122:$W$153,MATCH(Dashboard!$B148,'Analysis of bottom-up tags'!$B$122:$B$153,0),MATCH(Dashboard!D$21,'Analysis of bottom-up tags'!$N$6:$W$6,0))*D$22</f>
        <v>0</v>
      </c>
      <c r="E148" s="151">
        <f>INDEX('Analysis of bottom-up tags'!$N$122:$W$153,MATCH(Dashboard!$B148,'Analysis of bottom-up tags'!$B$122:$B$153,0),MATCH(Dashboard!E$21,'Analysis of bottom-up tags'!$N$6:$W$6,0))*E$22</f>
        <v>0</v>
      </c>
      <c r="F148" s="151">
        <f>INDEX('Analysis of bottom-up tags'!$N$122:$W$153,MATCH(Dashboard!$B148,'Analysis of bottom-up tags'!$B$122:$B$153,0),MATCH(Dashboard!F$21,'Analysis of bottom-up tags'!$N$6:$W$6,0))*F$22</f>
        <v>0</v>
      </c>
      <c r="G148" s="151">
        <f>INDEX('Analysis of bottom-up tags'!$N$122:$W$153,MATCH(Dashboard!$B148,'Analysis of bottom-up tags'!$B$122:$B$153,0),MATCH(Dashboard!G$21,'Analysis of bottom-up tags'!$N$6:$W$6,0))*G$22</f>
        <v>2.0034380407279588</v>
      </c>
      <c r="H148" s="151">
        <f>INDEX('Analysis of bottom-up tags'!$N$122:$W$153,MATCH(Dashboard!$B148,'Analysis of bottom-up tags'!$B$122:$B$153,0),MATCH(Dashboard!H$21,'Analysis of bottom-up tags'!$N$6:$W$6,0))*H$22</f>
        <v>0</v>
      </c>
      <c r="I148" s="151">
        <f>INDEX('Analysis of bottom-up tags'!$N$122:$W$153,MATCH(Dashboard!$B148,'Analysis of bottom-up tags'!$B$122:$B$153,0),MATCH(Dashboard!I$21,'Analysis of bottom-up tags'!$N$6:$W$6,0))*I$22</f>
        <v>23.163069898043815</v>
      </c>
      <c r="J148" s="151">
        <f>INDEX('Analysis of bottom-up tags'!$N$122:$W$153,MATCH(Dashboard!$B148,'Analysis of bottom-up tags'!$B$122:$B$153,0),MATCH(Dashboard!J$21,'Analysis of bottom-up tags'!$N$6:$W$6,0))*J$22</f>
        <v>93.028590774493651</v>
      </c>
      <c r="K148" s="151">
        <f>INDEX('Analysis of bottom-up tags'!$N$122:$W$153,MATCH(Dashboard!$B148,'Analysis of bottom-up tags'!$B$122:$B$153,0),MATCH(Dashboard!K$21,'Analysis of bottom-up tags'!$N$6:$W$6,0))*K$22</f>
        <v>0.2812079027235066</v>
      </c>
      <c r="L148" s="151">
        <f>INDEX('Analysis of bottom-up tags'!$N$122:$W$153,MATCH(Dashboard!$B148,'Analysis of bottom-up tags'!$B$122:$B$153,0),MATCH(Dashboard!L$21,'Analysis of bottom-up tags'!$N$6:$W$6,0))*L$22</f>
        <v>5.0390254530357543</v>
      </c>
      <c r="M148" s="151">
        <f t="shared" si="15"/>
        <v>123.51533206902468</v>
      </c>
      <c r="N148" s="101"/>
    </row>
    <row r="149" spans="2:14">
      <c r="B149" s="22" t="s">
        <v>5277</v>
      </c>
      <c r="C149" s="151">
        <f>INDEX('Analysis of bottom-up tags'!$N$122:$W$153,MATCH(Dashboard!$B149,'Analysis of bottom-up tags'!$B$122:$B$153,0),MATCH(Dashboard!C$21,'Analysis of bottom-up tags'!$N$6:$W$6,0))*C$22</f>
        <v>0</v>
      </c>
      <c r="D149" s="151">
        <f>INDEX('Analysis of bottom-up tags'!$N$122:$W$153,MATCH(Dashboard!$B149,'Analysis of bottom-up tags'!$B$122:$B$153,0),MATCH(Dashboard!D$21,'Analysis of bottom-up tags'!$N$6:$W$6,0))*D$22</f>
        <v>0</v>
      </c>
      <c r="E149" s="151">
        <f>INDEX('Analysis of bottom-up tags'!$N$122:$W$153,MATCH(Dashboard!$B149,'Analysis of bottom-up tags'!$B$122:$B$153,0),MATCH(Dashboard!E$21,'Analysis of bottom-up tags'!$N$6:$W$6,0))*E$22</f>
        <v>0</v>
      </c>
      <c r="F149" s="151">
        <f>INDEX('Analysis of bottom-up tags'!$N$122:$W$153,MATCH(Dashboard!$B149,'Analysis of bottom-up tags'!$B$122:$B$153,0),MATCH(Dashboard!F$21,'Analysis of bottom-up tags'!$N$6:$W$6,0))*F$22</f>
        <v>3.5371540836246691</v>
      </c>
      <c r="G149" s="151">
        <f>INDEX('Analysis of bottom-up tags'!$N$122:$W$153,MATCH(Dashboard!$B149,'Analysis of bottom-up tags'!$B$122:$B$153,0),MATCH(Dashboard!G$21,'Analysis of bottom-up tags'!$N$6:$W$6,0))*G$22</f>
        <v>0</v>
      </c>
      <c r="H149" s="151">
        <f>INDEX('Analysis of bottom-up tags'!$N$122:$W$153,MATCH(Dashboard!$B149,'Analysis of bottom-up tags'!$B$122:$B$153,0),MATCH(Dashboard!H$21,'Analysis of bottom-up tags'!$N$6:$W$6,0))*H$22</f>
        <v>2.8468361477814699</v>
      </c>
      <c r="I149" s="151">
        <f>INDEX('Analysis of bottom-up tags'!$N$122:$W$153,MATCH(Dashboard!$B149,'Analysis of bottom-up tags'!$B$122:$B$153,0),MATCH(Dashboard!I$21,'Analysis of bottom-up tags'!$N$6:$W$6,0))*I$22</f>
        <v>0.54271129630642068</v>
      </c>
      <c r="J149" s="151">
        <f>INDEX('Analysis of bottom-up tags'!$N$122:$W$153,MATCH(Dashboard!$B149,'Analysis of bottom-up tags'!$B$122:$B$153,0),MATCH(Dashboard!J$21,'Analysis of bottom-up tags'!$N$6:$W$6,0))*J$22</f>
        <v>0</v>
      </c>
      <c r="K149" s="151">
        <f>INDEX('Analysis of bottom-up tags'!$N$122:$W$153,MATCH(Dashboard!$B149,'Analysis of bottom-up tags'!$B$122:$B$153,0),MATCH(Dashboard!K$21,'Analysis of bottom-up tags'!$N$6:$W$6,0))*K$22</f>
        <v>4.4502202382180851</v>
      </c>
      <c r="L149" s="151">
        <f>INDEX('Analysis of bottom-up tags'!$N$122:$W$153,MATCH(Dashboard!$B149,'Analysis of bottom-up tags'!$B$122:$B$153,0),MATCH(Dashboard!L$21,'Analysis of bottom-up tags'!$N$6:$W$6,0))*L$22</f>
        <v>46.22723048201761</v>
      </c>
      <c r="M149" s="151">
        <f t="shared" si="15"/>
        <v>57.604152247948257</v>
      </c>
      <c r="N149" s="101"/>
    </row>
    <row r="150" spans="2:14">
      <c r="B150" s="22" t="s">
        <v>7133</v>
      </c>
      <c r="C150" s="151">
        <f>INDEX('Analysis of bottom-up tags'!$N$122:$W$153,MATCH(Dashboard!$B150,'Analysis of bottom-up tags'!$B$122:$B$153,0),MATCH(Dashboard!C$21,'Analysis of bottom-up tags'!$N$6:$W$6,0))*C$22</f>
        <v>0</v>
      </c>
      <c r="D150" s="151">
        <f>INDEX('Analysis of bottom-up tags'!$N$122:$W$153,MATCH(Dashboard!$B150,'Analysis of bottom-up tags'!$B$122:$B$153,0),MATCH(Dashboard!D$21,'Analysis of bottom-up tags'!$N$6:$W$6,0))*D$22</f>
        <v>0</v>
      </c>
      <c r="E150" s="151">
        <f>INDEX('Analysis of bottom-up tags'!$N$122:$W$153,MATCH(Dashboard!$B150,'Analysis of bottom-up tags'!$B$122:$B$153,0),MATCH(Dashboard!E$21,'Analysis of bottom-up tags'!$N$6:$W$6,0))*E$22</f>
        <v>0</v>
      </c>
      <c r="F150" s="151">
        <f>INDEX('Analysis of bottom-up tags'!$N$122:$W$153,MATCH(Dashboard!$B150,'Analysis of bottom-up tags'!$B$122:$B$153,0),MATCH(Dashboard!F$21,'Analysis of bottom-up tags'!$N$6:$W$6,0))*F$22</f>
        <v>0</v>
      </c>
      <c r="G150" s="151">
        <f>INDEX('Analysis of bottom-up tags'!$N$122:$W$153,MATCH(Dashboard!$B150,'Analysis of bottom-up tags'!$B$122:$B$153,0),MATCH(Dashboard!G$21,'Analysis of bottom-up tags'!$N$6:$W$6,0))*G$22</f>
        <v>0</v>
      </c>
      <c r="H150" s="151">
        <f>INDEX('Analysis of bottom-up tags'!$N$122:$W$153,MATCH(Dashboard!$B150,'Analysis of bottom-up tags'!$B$122:$B$153,0),MATCH(Dashboard!H$21,'Analysis of bottom-up tags'!$N$6:$W$6,0))*H$22</f>
        <v>0</v>
      </c>
      <c r="I150" s="151">
        <f>INDEX('Analysis of bottom-up tags'!$N$122:$W$153,MATCH(Dashboard!$B150,'Analysis of bottom-up tags'!$B$122:$B$153,0),MATCH(Dashboard!I$21,'Analysis of bottom-up tags'!$N$6:$W$6,0))*I$22</f>
        <v>0</v>
      </c>
      <c r="J150" s="151">
        <f>INDEX('Analysis of bottom-up tags'!$N$122:$W$153,MATCH(Dashboard!$B150,'Analysis of bottom-up tags'!$B$122:$B$153,0),MATCH(Dashboard!J$21,'Analysis of bottom-up tags'!$N$6:$W$6,0))*J$22</f>
        <v>0</v>
      </c>
      <c r="K150" s="151">
        <f>INDEX('Analysis of bottom-up tags'!$N$122:$W$153,MATCH(Dashboard!$B150,'Analysis of bottom-up tags'!$B$122:$B$153,0),MATCH(Dashboard!K$21,'Analysis of bottom-up tags'!$N$6:$W$6,0))*K$22</f>
        <v>3.8780892521873538</v>
      </c>
      <c r="L150" s="151">
        <f>INDEX('Analysis of bottom-up tags'!$N$122:$W$153,MATCH(Dashboard!$B150,'Analysis of bottom-up tags'!$B$122:$B$153,0),MATCH(Dashboard!L$21,'Analysis of bottom-up tags'!$N$6:$W$6,0))*L$22</f>
        <v>0</v>
      </c>
      <c r="M150" s="151">
        <f t="shared" si="15"/>
        <v>3.8780892521873538</v>
      </c>
      <c r="N150" s="101"/>
    </row>
    <row r="151" spans="2:14">
      <c r="B151" s="22" t="s">
        <v>5416</v>
      </c>
      <c r="C151" s="151">
        <f>INDEX('Analysis of bottom-up tags'!$N$122:$W$153,MATCH(Dashboard!$B151,'Analysis of bottom-up tags'!$B$122:$B$153,0),MATCH(Dashboard!C$21,'Analysis of bottom-up tags'!$N$6:$W$6,0))*C$22</f>
        <v>0</v>
      </c>
      <c r="D151" s="151">
        <f>INDEX('Analysis of bottom-up tags'!$N$122:$W$153,MATCH(Dashboard!$B151,'Analysis of bottom-up tags'!$B$122:$B$153,0),MATCH(Dashboard!D$21,'Analysis of bottom-up tags'!$N$6:$W$6,0))*D$22</f>
        <v>0</v>
      </c>
      <c r="E151" s="151">
        <f>INDEX('Analysis of bottom-up tags'!$N$122:$W$153,MATCH(Dashboard!$B151,'Analysis of bottom-up tags'!$B$122:$B$153,0),MATCH(Dashboard!E$21,'Analysis of bottom-up tags'!$N$6:$W$6,0))*E$22</f>
        <v>0</v>
      </c>
      <c r="F151" s="151">
        <f>INDEX('Analysis of bottom-up tags'!$N$122:$W$153,MATCH(Dashboard!$B151,'Analysis of bottom-up tags'!$B$122:$B$153,0),MATCH(Dashboard!F$21,'Analysis of bottom-up tags'!$N$6:$W$6,0))*F$22</f>
        <v>0</v>
      </c>
      <c r="G151" s="151">
        <f>INDEX('Analysis of bottom-up tags'!$N$122:$W$153,MATCH(Dashboard!$B151,'Analysis of bottom-up tags'!$B$122:$B$153,0),MATCH(Dashboard!G$21,'Analysis of bottom-up tags'!$N$6:$W$6,0))*G$22</f>
        <v>0</v>
      </c>
      <c r="H151" s="151">
        <f>INDEX('Analysis of bottom-up tags'!$N$122:$W$153,MATCH(Dashboard!$B151,'Analysis of bottom-up tags'!$B$122:$B$153,0),MATCH(Dashboard!H$21,'Analysis of bottom-up tags'!$N$6:$W$6,0))*H$22</f>
        <v>0</v>
      </c>
      <c r="I151" s="151">
        <f>INDEX('Analysis of bottom-up tags'!$N$122:$W$153,MATCH(Dashboard!$B151,'Analysis of bottom-up tags'!$B$122:$B$153,0),MATCH(Dashboard!I$21,'Analysis of bottom-up tags'!$N$6:$W$6,0))*I$22</f>
        <v>0</v>
      </c>
      <c r="J151" s="151">
        <f>INDEX('Analysis of bottom-up tags'!$N$122:$W$153,MATCH(Dashboard!$B151,'Analysis of bottom-up tags'!$B$122:$B$153,0),MATCH(Dashboard!J$21,'Analysis of bottom-up tags'!$N$6:$W$6,0))*J$22</f>
        <v>0</v>
      </c>
      <c r="K151" s="151">
        <f>INDEX('Analysis of bottom-up tags'!$N$122:$W$153,MATCH(Dashboard!$B151,'Analysis of bottom-up tags'!$B$122:$B$153,0),MATCH(Dashboard!K$21,'Analysis of bottom-up tags'!$N$6:$W$6,0))*K$22</f>
        <v>0.37017713130354885</v>
      </c>
      <c r="L151" s="151">
        <f>INDEX('Analysis of bottom-up tags'!$N$122:$W$153,MATCH(Dashboard!$B151,'Analysis of bottom-up tags'!$B$122:$B$153,0),MATCH(Dashboard!L$21,'Analysis of bottom-up tags'!$N$6:$W$6,0))*L$22</f>
        <v>43.909306188126266</v>
      </c>
      <c r="M151" s="151">
        <f t="shared" si="15"/>
        <v>44.279483319429815</v>
      </c>
      <c r="N151" s="101"/>
    </row>
    <row r="152" spans="2:14">
      <c r="B152" s="22" t="s">
        <v>6297</v>
      </c>
      <c r="C152" s="151">
        <f>INDEX('Analysis of bottom-up tags'!$N$122:$W$153,MATCH(Dashboard!$B152,'Analysis of bottom-up tags'!$B$122:$B$153,0),MATCH(Dashboard!C$21,'Analysis of bottom-up tags'!$N$6:$W$6,0))*C$22</f>
        <v>0</v>
      </c>
      <c r="D152" s="151">
        <f>INDEX('Analysis of bottom-up tags'!$N$122:$W$153,MATCH(Dashboard!$B152,'Analysis of bottom-up tags'!$B$122:$B$153,0),MATCH(Dashboard!D$21,'Analysis of bottom-up tags'!$N$6:$W$6,0))*D$22</f>
        <v>0</v>
      </c>
      <c r="E152" s="151">
        <f>INDEX('Analysis of bottom-up tags'!$N$122:$W$153,MATCH(Dashboard!$B152,'Analysis of bottom-up tags'!$B$122:$B$153,0),MATCH(Dashboard!E$21,'Analysis of bottom-up tags'!$N$6:$W$6,0))*E$22</f>
        <v>0</v>
      </c>
      <c r="F152" s="151">
        <f>INDEX('Analysis of bottom-up tags'!$N$122:$W$153,MATCH(Dashboard!$B152,'Analysis of bottom-up tags'!$B$122:$B$153,0),MATCH(Dashboard!F$21,'Analysis of bottom-up tags'!$N$6:$W$6,0))*F$22</f>
        <v>0</v>
      </c>
      <c r="G152" s="151">
        <f>INDEX('Analysis of bottom-up tags'!$N$122:$W$153,MATCH(Dashboard!$B152,'Analysis of bottom-up tags'!$B$122:$B$153,0),MATCH(Dashboard!G$21,'Analysis of bottom-up tags'!$N$6:$W$6,0))*G$22</f>
        <v>0</v>
      </c>
      <c r="H152" s="151">
        <f>INDEX('Analysis of bottom-up tags'!$N$122:$W$153,MATCH(Dashboard!$B152,'Analysis of bottom-up tags'!$B$122:$B$153,0),MATCH(Dashboard!H$21,'Analysis of bottom-up tags'!$N$6:$W$6,0))*H$22</f>
        <v>0</v>
      </c>
      <c r="I152" s="151">
        <f>INDEX('Analysis of bottom-up tags'!$N$122:$W$153,MATCH(Dashboard!$B152,'Analysis of bottom-up tags'!$B$122:$B$153,0),MATCH(Dashboard!I$21,'Analysis of bottom-up tags'!$N$6:$W$6,0))*I$22</f>
        <v>0</v>
      </c>
      <c r="J152" s="151">
        <f>INDEX('Analysis of bottom-up tags'!$N$122:$W$153,MATCH(Dashboard!$B152,'Analysis of bottom-up tags'!$B$122:$B$153,0),MATCH(Dashboard!J$21,'Analysis of bottom-up tags'!$N$6:$W$6,0))*J$22</f>
        <v>3.1124560107151988</v>
      </c>
      <c r="K152" s="151">
        <f>INDEX('Analysis of bottom-up tags'!$N$122:$W$153,MATCH(Dashboard!$B152,'Analysis of bottom-up tags'!$B$122:$B$153,0),MATCH(Dashboard!K$21,'Analysis of bottom-up tags'!$N$6:$W$6,0))*K$22</f>
        <v>2.0432612942438162</v>
      </c>
      <c r="L152" s="151">
        <f>INDEX('Analysis of bottom-up tags'!$N$122:$W$153,MATCH(Dashboard!$B152,'Analysis of bottom-up tags'!$B$122:$B$153,0),MATCH(Dashboard!L$21,'Analysis of bottom-up tags'!$N$6:$W$6,0))*L$22</f>
        <v>8.1484538875205192</v>
      </c>
      <c r="M152" s="151">
        <f t="shared" si="15"/>
        <v>13.304171192479535</v>
      </c>
      <c r="N152" s="101"/>
    </row>
    <row r="153" spans="2:14">
      <c r="B153" s="22" t="s">
        <v>6632</v>
      </c>
      <c r="C153" s="151">
        <f>INDEX('Analysis of bottom-up tags'!$N$122:$W$153,MATCH(Dashboard!$B153,'Analysis of bottom-up tags'!$B$122:$B$153,0),MATCH(Dashboard!C$21,'Analysis of bottom-up tags'!$N$6:$W$6,0))*C$22</f>
        <v>0</v>
      </c>
      <c r="D153" s="151">
        <f>INDEX('Analysis of bottom-up tags'!$N$122:$W$153,MATCH(Dashboard!$B153,'Analysis of bottom-up tags'!$B$122:$B$153,0),MATCH(Dashboard!D$21,'Analysis of bottom-up tags'!$N$6:$W$6,0))*D$22</f>
        <v>0</v>
      </c>
      <c r="E153" s="151">
        <f>INDEX('Analysis of bottom-up tags'!$N$122:$W$153,MATCH(Dashboard!$B153,'Analysis of bottom-up tags'!$B$122:$B$153,0),MATCH(Dashboard!E$21,'Analysis of bottom-up tags'!$N$6:$W$6,0))*E$22</f>
        <v>0</v>
      </c>
      <c r="F153" s="151">
        <f>INDEX('Analysis of bottom-up tags'!$N$122:$W$153,MATCH(Dashboard!$B153,'Analysis of bottom-up tags'!$B$122:$B$153,0),MATCH(Dashboard!F$21,'Analysis of bottom-up tags'!$N$6:$W$6,0))*F$22</f>
        <v>0</v>
      </c>
      <c r="G153" s="151">
        <f>INDEX('Analysis of bottom-up tags'!$N$122:$W$153,MATCH(Dashboard!$B153,'Analysis of bottom-up tags'!$B$122:$B$153,0),MATCH(Dashboard!G$21,'Analysis of bottom-up tags'!$N$6:$W$6,0))*G$22</f>
        <v>11.565315971947369</v>
      </c>
      <c r="H153" s="151">
        <f>INDEX('Analysis of bottom-up tags'!$N$122:$W$153,MATCH(Dashboard!$B153,'Analysis of bottom-up tags'!$B$122:$B$153,0),MATCH(Dashboard!H$21,'Analysis of bottom-up tags'!$N$6:$W$6,0))*H$22</f>
        <v>0</v>
      </c>
      <c r="I153" s="151">
        <f>INDEX('Analysis of bottom-up tags'!$N$122:$W$153,MATCH(Dashboard!$B153,'Analysis of bottom-up tags'!$B$122:$B$153,0),MATCH(Dashboard!I$21,'Analysis of bottom-up tags'!$N$6:$W$6,0))*I$22</f>
        <v>9.7581675805502338E-2</v>
      </c>
      <c r="J153" s="151">
        <f>INDEX('Analysis of bottom-up tags'!$N$122:$W$153,MATCH(Dashboard!$B153,'Analysis of bottom-up tags'!$B$122:$B$153,0),MATCH(Dashboard!J$21,'Analysis of bottom-up tags'!$N$6:$W$6,0))*J$22</f>
        <v>13.612054122711699</v>
      </c>
      <c r="K153" s="151">
        <f>INDEX('Analysis of bottom-up tags'!$N$122:$W$153,MATCH(Dashboard!$B153,'Analysis of bottom-up tags'!$B$122:$B$153,0),MATCH(Dashboard!K$21,'Analysis of bottom-up tags'!$N$6:$W$6,0))*K$22</f>
        <v>0</v>
      </c>
      <c r="L153" s="151">
        <f>INDEX('Analysis of bottom-up tags'!$N$122:$W$153,MATCH(Dashboard!$B153,'Analysis of bottom-up tags'!$B$122:$B$153,0),MATCH(Dashboard!L$21,'Analysis of bottom-up tags'!$N$6:$W$6,0))*L$22</f>
        <v>0</v>
      </c>
      <c r="M153" s="151">
        <f t="shared" si="15"/>
        <v>25.274951770464568</v>
      </c>
      <c r="N153" s="101"/>
    </row>
    <row r="154" spans="2:14">
      <c r="B154" s="22" t="s">
        <v>3468</v>
      </c>
      <c r="C154" s="151">
        <f>INDEX('Analysis of bottom-up tags'!$N$122:$W$153,MATCH(Dashboard!$B154,'Analysis of bottom-up tags'!$B$122:$B$153,0),MATCH(Dashboard!C$21,'Analysis of bottom-up tags'!$N$6:$W$6,0))*C$22</f>
        <v>0</v>
      </c>
      <c r="D154" s="151">
        <f>INDEX('Analysis of bottom-up tags'!$N$122:$W$153,MATCH(Dashboard!$B154,'Analysis of bottom-up tags'!$B$122:$B$153,0),MATCH(Dashboard!D$21,'Analysis of bottom-up tags'!$N$6:$W$6,0))*D$22</f>
        <v>0</v>
      </c>
      <c r="E154" s="151">
        <f>INDEX('Analysis of bottom-up tags'!$N$122:$W$153,MATCH(Dashboard!$B154,'Analysis of bottom-up tags'!$B$122:$B$153,0),MATCH(Dashboard!E$21,'Analysis of bottom-up tags'!$N$6:$W$6,0))*E$22</f>
        <v>0</v>
      </c>
      <c r="F154" s="151">
        <f>INDEX('Analysis of bottom-up tags'!$N$122:$W$153,MATCH(Dashboard!$B154,'Analysis of bottom-up tags'!$B$122:$B$153,0),MATCH(Dashboard!F$21,'Analysis of bottom-up tags'!$N$6:$W$6,0))*F$22</f>
        <v>0</v>
      </c>
      <c r="G154" s="151">
        <f>INDEX('Analysis of bottom-up tags'!$N$122:$W$153,MATCH(Dashboard!$B154,'Analysis of bottom-up tags'!$B$122:$B$153,0),MATCH(Dashboard!G$21,'Analysis of bottom-up tags'!$N$6:$W$6,0))*G$22</f>
        <v>0</v>
      </c>
      <c r="H154" s="151">
        <f>INDEX('Analysis of bottom-up tags'!$N$122:$W$153,MATCH(Dashboard!$B154,'Analysis of bottom-up tags'!$B$122:$B$153,0),MATCH(Dashboard!H$21,'Analysis of bottom-up tags'!$N$6:$W$6,0))*H$22</f>
        <v>0</v>
      </c>
      <c r="I154" s="151">
        <f>INDEX('Analysis of bottom-up tags'!$N$122:$W$153,MATCH(Dashboard!$B154,'Analysis of bottom-up tags'!$B$122:$B$153,0),MATCH(Dashboard!I$21,'Analysis of bottom-up tags'!$N$6:$W$6,0))*I$22</f>
        <v>0.12013436256110499</v>
      </c>
      <c r="J154" s="151">
        <f>INDEX('Analysis of bottom-up tags'!$N$122:$W$153,MATCH(Dashboard!$B154,'Analysis of bottom-up tags'!$B$122:$B$153,0),MATCH(Dashboard!J$21,'Analysis of bottom-up tags'!$N$6:$W$6,0))*J$22</f>
        <v>0.54279748149735485</v>
      </c>
      <c r="K154" s="151">
        <f>INDEX('Analysis of bottom-up tags'!$N$122:$W$153,MATCH(Dashboard!$B154,'Analysis of bottom-up tags'!$B$122:$B$153,0),MATCH(Dashboard!K$21,'Analysis of bottom-up tags'!$N$6:$W$6,0))*K$22</f>
        <v>1.8084054809805894</v>
      </c>
      <c r="L154" s="151">
        <f>INDEX('Analysis of bottom-up tags'!$N$122:$W$153,MATCH(Dashboard!$B154,'Analysis of bottom-up tags'!$B$122:$B$153,0),MATCH(Dashboard!L$21,'Analysis of bottom-up tags'!$N$6:$W$6,0))*L$22</f>
        <v>0</v>
      </c>
      <c r="M154" s="151">
        <f t="shared" si="15"/>
        <v>2.4713373250390491</v>
      </c>
      <c r="N154" s="101"/>
    </row>
    <row r="155" spans="2:14">
      <c r="B155" s="22" t="s">
        <v>1028</v>
      </c>
      <c r="C155" s="151">
        <f>INDEX('Analysis of bottom-up tags'!$N$122:$W$153,MATCH(Dashboard!$B155,'Analysis of bottom-up tags'!$B$122:$B$153,0),MATCH(Dashboard!C$21,'Analysis of bottom-up tags'!$N$6:$W$6,0))*C$22</f>
        <v>0</v>
      </c>
      <c r="D155" s="151">
        <f>INDEX('Analysis of bottom-up tags'!$N$122:$W$153,MATCH(Dashboard!$B155,'Analysis of bottom-up tags'!$B$122:$B$153,0),MATCH(Dashboard!D$21,'Analysis of bottom-up tags'!$N$6:$W$6,0))*D$22</f>
        <v>0</v>
      </c>
      <c r="E155" s="151">
        <f>INDEX('Analysis of bottom-up tags'!$N$122:$W$153,MATCH(Dashboard!$B155,'Analysis of bottom-up tags'!$B$122:$B$153,0),MATCH(Dashboard!E$21,'Analysis of bottom-up tags'!$N$6:$W$6,0))*E$22</f>
        <v>0</v>
      </c>
      <c r="F155" s="151">
        <f>INDEX('Analysis of bottom-up tags'!$N$122:$W$153,MATCH(Dashboard!$B155,'Analysis of bottom-up tags'!$B$122:$B$153,0),MATCH(Dashboard!F$21,'Analysis of bottom-up tags'!$N$6:$W$6,0))*F$22</f>
        <v>0</v>
      </c>
      <c r="G155" s="151">
        <f>INDEX('Analysis of bottom-up tags'!$N$122:$W$153,MATCH(Dashboard!$B155,'Analysis of bottom-up tags'!$B$122:$B$153,0),MATCH(Dashboard!G$21,'Analysis of bottom-up tags'!$N$6:$W$6,0))*G$22</f>
        <v>0</v>
      </c>
      <c r="H155" s="151">
        <f>INDEX('Analysis of bottom-up tags'!$N$122:$W$153,MATCH(Dashboard!$B155,'Analysis of bottom-up tags'!$B$122:$B$153,0),MATCH(Dashboard!H$21,'Analysis of bottom-up tags'!$N$6:$W$6,0))*H$22</f>
        <v>0</v>
      </c>
      <c r="I155" s="151">
        <f>INDEX('Analysis of bottom-up tags'!$N$122:$W$153,MATCH(Dashboard!$B155,'Analysis of bottom-up tags'!$B$122:$B$153,0),MATCH(Dashboard!I$21,'Analysis of bottom-up tags'!$N$6:$W$6,0))*I$22</f>
        <v>0</v>
      </c>
      <c r="J155" s="151">
        <f>INDEX('Analysis of bottom-up tags'!$N$122:$W$153,MATCH(Dashboard!$B155,'Analysis of bottom-up tags'!$B$122:$B$153,0),MATCH(Dashboard!J$21,'Analysis of bottom-up tags'!$N$6:$W$6,0))*J$22</f>
        <v>0</v>
      </c>
      <c r="K155" s="151">
        <f>INDEX('Analysis of bottom-up tags'!$N$122:$W$153,MATCH(Dashboard!$B155,'Analysis of bottom-up tags'!$B$122:$B$153,0),MATCH(Dashboard!K$21,'Analysis of bottom-up tags'!$N$6:$W$6,0))*K$22</f>
        <v>0.14125610138432609</v>
      </c>
      <c r="L155" s="151">
        <f>INDEX('Analysis of bottom-up tags'!$N$122:$W$153,MATCH(Dashboard!$B155,'Analysis of bottom-up tags'!$B$122:$B$153,0),MATCH(Dashboard!L$21,'Analysis of bottom-up tags'!$N$6:$W$6,0))*L$22</f>
        <v>10.790132263928745</v>
      </c>
      <c r="M155" s="151">
        <f t="shared" si="15"/>
        <v>10.931388365313072</v>
      </c>
      <c r="N155" s="101"/>
    </row>
    <row r="156" spans="2:14">
      <c r="B156" s="22" t="s">
        <v>5524</v>
      </c>
      <c r="C156" s="151">
        <f>INDEX('Analysis of bottom-up tags'!$N$122:$W$153,MATCH(Dashboard!$B156,'Analysis of bottom-up tags'!$B$122:$B$153,0),MATCH(Dashboard!C$21,'Analysis of bottom-up tags'!$N$6:$W$6,0))*C$22</f>
        <v>14.176806104424736</v>
      </c>
      <c r="D156" s="151">
        <f>INDEX('Analysis of bottom-up tags'!$N$122:$W$153,MATCH(Dashboard!$B156,'Analysis of bottom-up tags'!$B$122:$B$153,0),MATCH(Dashboard!D$21,'Analysis of bottom-up tags'!$N$6:$W$6,0))*D$22</f>
        <v>0</v>
      </c>
      <c r="E156" s="151">
        <f>INDEX('Analysis of bottom-up tags'!$N$122:$W$153,MATCH(Dashboard!$B156,'Analysis of bottom-up tags'!$B$122:$B$153,0),MATCH(Dashboard!E$21,'Analysis of bottom-up tags'!$N$6:$W$6,0))*E$22</f>
        <v>0</v>
      </c>
      <c r="F156" s="151">
        <f>INDEX('Analysis of bottom-up tags'!$N$122:$W$153,MATCH(Dashboard!$B156,'Analysis of bottom-up tags'!$B$122:$B$153,0),MATCH(Dashboard!F$21,'Analysis of bottom-up tags'!$N$6:$W$6,0))*F$22</f>
        <v>0</v>
      </c>
      <c r="G156" s="151">
        <f>INDEX('Analysis of bottom-up tags'!$N$122:$W$153,MATCH(Dashboard!$B156,'Analysis of bottom-up tags'!$B$122:$B$153,0),MATCH(Dashboard!G$21,'Analysis of bottom-up tags'!$N$6:$W$6,0))*G$22</f>
        <v>20.307631390347353</v>
      </c>
      <c r="H156" s="151">
        <f>INDEX('Analysis of bottom-up tags'!$N$122:$W$153,MATCH(Dashboard!$B156,'Analysis of bottom-up tags'!$B$122:$B$153,0),MATCH(Dashboard!H$21,'Analysis of bottom-up tags'!$N$6:$W$6,0))*H$22</f>
        <v>0</v>
      </c>
      <c r="I156" s="151">
        <f>INDEX('Analysis of bottom-up tags'!$N$122:$W$153,MATCH(Dashboard!$B156,'Analysis of bottom-up tags'!$B$122:$B$153,0),MATCH(Dashboard!I$21,'Analysis of bottom-up tags'!$N$6:$W$6,0))*I$22</f>
        <v>1.102666014742393</v>
      </c>
      <c r="J156" s="151">
        <f>INDEX('Analysis of bottom-up tags'!$N$122:$W$153,MATCH(Dashboard!$B156,'Analysis of bottom-up tags'!$B$122:$B$153,0),MATCH(Dashboard!J$21,'Analysis of bottom-up tags'!$N$6:$W$6,0))*J$22</f>
        <v>0.28304608712070856</v>
      </c>
      <c r="K156" s="151">
        <f>INDEX('Analysis of bottom-up tags'!$N$122:$W$153,MATCH(Dashboard!$B156,'Analysis of bottom-up tags'!$B$122:$B$153,0),MATCH(Dashboard!K$21,'Analysis of bottom-up tags'!$N$6:$W$6,0))*K$22</f>
        <v>0.88477848433746231</v>
      </c>
      <c r="L156" s="151">
        <f>INDEX('Analysis of bottom-up tags'!$N$122:$W$153,MATCH(Dashboard!$B156,'Analysis of bottom-up tags'!$B$122:$B$153,0),MATCH(Dashboard!L$21,'Analysis of bottom-up tags'!$N$6:$W$6,0))*L$22</f>
        <v>0</v>
      </c>
      <c r="M156" s="151">
        <f t="shared" si="15"/>
        <v>36.754928080972647</v>
      </c>
      <c r="N156" s="101"/>
    </row>
    <row r="157" spans="2:14">
      <c r="B157" s="22" t="s">
        <v>5844</v>
      </c>
      <c r="C157" s="151">
        <f>INDEX('Analysis of bottom-up tags'!$N$122:$W$153,MATCH(Dashboard!$B157,'Analysis of bottom-up tags'!$B$122:$B$153,0),MATCH(Dashboard!C$21,'Analysis of bottom-up tags'!$N$6:$W$6,0))*C$22</f>
        <v>0</v>
      </c>
      <c r="D157" s="151">
        <f>INDEX('Analysis of bottom-up tags'!$N$122:$W$153,MATCH(Dashboard!$B157,'Analysis of bottom-up tags'!$B$122:$B$153,0),MATCH(Dashboard!D$21,'Analysis of bottom-up tags'!$N$6:$W$6,0))*D$22</f>
        <v>0</v>
      </c>
      <c r="E157" s="151">
        <f>INDEX('Analysis of bottom-up tags'!$N$122:$W$153,MATCH(Dashboard!$B157,'Analysis of bottom-up tags'!$B$122:$B$153,0),MATCH(Dashboard!E$21,'Analysis of bottom-up tags'!$N$6:$W$6,0))*E$22</f>
        <v>0</v>
      </c>
      <c r="F157" s="151">
        <f>INDEX('Analysis of bottom-up tags'!$N$122:$W$153,MATCH(Dashboard!$B157,'Analysis of bottom-up tags'!$B$122:$B$153,0),MATCH(Dashboard!F$21,'Analysis of bottom-up tags'!$N$6:$W$6,0))*F$22</f>
        <v>0</v>
      </c>
      <c r="G157" s="151">
        <f>INDEX('Analysis of bottom-up tags'!$N$122:$W$153,MATCH(Dashboard!$B157,'Analysis of bottom-up tags'!$B$122:$B$153,0),MATCH(Dashboard!G$21,'Analysis of bottom-up tags'!$N$6:$W$6,0))*G$22</f>
        <v>0</v>
      </c>
      <c r="H157" s="151">
        <f>INDEX('Analysis of bottom-up tags'!$N$122:$W$153,MATCH(Dashboard!$B157,'Analysis of bottom-up tags'!$B$122:$B$153,0),MATCH(Dashboard!H$21,'Analysis of bottom-up tags'!$N$6:$W$6,0))*H$22</f>
        <v>7.516806940965795E-2</v>
      </c>
      <c r="I157" s="151">
        <f>INDEX('Analysis of bottom-up tags'!$N$122:$W$153,MATCH(Dashboard!$B157,'Analysis of bottom-up tags'!$B$122:$B$153,0),MATCH(Dashboard!I$21,'Analysis of bottom-up tags'!$N$6:$W$6,0))*I$22</f>
        <v>2.481715706693187</v>
      </c>
      <c r="J157" s="151">
        <f>INDEX('Analysis of bottom-up tags'!$N$122:$W$153,MATCH(Dashboard!$B157,'Analysis of bottom-up tags'!$B$122:$B$153,0),MATCH(Dashboard!J$21,'Analysis of bottom-up tags'!$N$6:$W$6,0))*J$22</f>
        <v>8.3992457923022693E-2</v>
      </c>
      <c r="K157" s="151">
        <f>INDEX('Analysis of bottom-up tags'!$N$122:$W$153,MATCH(Dashboard!$B157,'Analysis of bottom-up tags'!$B$122:$B$153,0),MATCH(Dashboard!K$21,'Analysis of bottom-up tags'!$N$6:$W$6,0))*K$22</f>
        <v>0</v>
      </c>
      <c r="L157" s="151">
        <f>INDEX('Analysis of bottom-up tags'!$N$122:$W$153,MATCH(Dashboard!$B157,'Analysis of bottom-up tags'!$B$122:$B$153,0),MATCH(Dashboard!L$21,'Analysis of bottom-up tags'!$N$6:$W$6,0))*L$22</f>
        <v>4.2541260072350893</v>
      </c>
      <c r="M157" s="151">
        <f t="shared" si="15"/>
        <v>6.8950022412609577</v>
      </c>
      <c r="N157" s="101"/>
    </row>
    <row r="158" spans="2:14">
      <c r="B158" s="22" t="s">
        <v>1258</v>
      </c>
      <c r="C158" s="151">
        <f>INDEX('Analysis of bottom-up tags'!$N$122:$W$153,MATCH(Dashboard!$B158,'Analysis of bottom-up tags'!$B$122:$B$153,0),MATCH(Dashboard!C$21,'Analysis of bottom-up tags'!$N$6:$W$6,0))*C$22</f>
        <v>0</v>
      </c>
      <c r="D158" s="151">
        <f>INDEX('Analysis of bottom-up tags'!$N$122:$W$153,MATCH(Dashboard!$B158,'Analysis of bottom-up tags'!$B$122:$B$153,0),MATCH(Dashboard!D$21,'Analysis of bottom-up tags'!$N$6:$W$6,0))*D$22</f>
        <v>0.55932496493526251</v>
      </c>
      <c r="E158" s="151">
        <f>INDEX('Analysis of bottom-up tags'!$N$122:$W$153,MATCH(Dashboard!$B158,'Analysis of bottom-up tags'!$B$122:$B$153,0),MATCH(Dashboard!E$21,'Analysis of bottom-up tags'!$N$6:$W$6,0))*E$22</f>
        <v>5.3767133673116065</v>
      </c>
      <c r="F158" s="151">
        <f>INDEX('Analysis of bottom-up tags'!$N$122:$W$153,MATCH(Dashboard!$B158,'Analysis of bottom-up tags'!$B$122:$B$153,0),MATCH(Dashboard!F$21,'Analysis of bottom-up tags'!$N$6:$W$6,0))*F$22</f>
        <v>0</v>
      </c>
      <c r="G158" s="151">
        <f>INDEX('Analysis of bottom-up tags'!$N$122:$W$153,MATCH(Dashboard!$B158,'Analysis of bottom-up tags'!$B$122:$B$153,0),MATCH(Dashboard!G$21,'Analysis of bottom-up tags'!$N$6:$W$6,0))*G$22</f>
        <v>1.1794175104452513</v>
      </c>
      <c r="H158" s="151">
        <f>INDEX('Analysis of bottom-up tags'!$N$122:$W$153,MATCH(Dashboard!$B158,'Analysis of bottom-up tags'!$B$122:$B$153,0),MATCH(Dashboard!H$21,'Analysis of bottom-up tags'!$N$6:$W$6,0))*H$22</f>
        <v>0.20397924474748796</v>
      </c>
      <c r="I158" s="151">
        <f>INDEX('Analysis of bottom-up tags'!$N$122:$W$153,MATCH(Dashboard!$B158,'Analysis of bottom-up tags'!$B$122:$B$153,0),MATCH(Dashboard!I$21,'Analysis of bottom-up tags'!$N$6:$W$6,0))*I$22</f>
        <v>0.22220244576644191</v>
      </c>
      <c r="J158" s="151">
        <f>INDEX('Analysis of bottom-up tags'!$N$122:$W$153,MATCH(Dashboard!$B158,'Analysis of bottom-up tags'!$B$122:$B$153,0),MATCH(Dashboard!J$21,'Analysis of bottom-up tags'!$N$6:$W$6,0))*J$22</f>
        <v>0.33220075278989553</v>
      </c>
      <c r="K158" s="151">
        <f>INDEX('Analysis of bottom-up tags'!$N$122:$W$153,MATCH(Dashboard!$B158,'Analysis of bottom-up tags'!$B$122:$B$153,0),MATCH(Dashboard!K$21,'Analysis of bottom-up tags'!$N$6:$W$6,0))*K$22</f>
        <v>0.35868300104384299</v>
      </c>
      <c r="L158" s="151">
        <f>INDEX('Analysis of bottom-up tags'!$N$122:$W$153,MATCH(Dashboard!$B158,'Analysis of bottom-up tags'!$B$122:$B$153,0),MATCH(Dashboard!L$21,'Analysis of bottom-up tags'!$N$6:$W$6,0))*L$22</f>
        <v>0.80449089031222731</v>
      </c>
      <c r="M158" s="151">
        <f t="shared" si="15"/>
        <v>9.0370121773520147</v>
      </c>
      <c r="N158" s="101"/>
    </row>
    <row r="159" spans="2:14">
      <c r="B159" s="22" t="s">
        <v>5818</v>
      </c>
      <c r="C159" s="151">
        <f>INDEX('Analysis of bottom-up tags'!$N$122:$W$153,MATCH(Dashboard!$B159,'Analysis of bottom-up tags'!$B$122:$B$153,0),MATCH(Dashboard!C$21,'Analysis of bottom-up tags'!$N$6:$W$6,0))*C$22</f>
        <v>0</v>
      </c>
      <c r="D159" s="151">
        <f>INDEX('Analysis of bottom-up tags'!$N$122:$W$153,MATCH(Dashboard!$B159,'Analysis of bottom-up tags'!$B$122:$B$153,0),MATCH(Dashboard!D$21,'Analysis of bottom-up tags'!$N$6:$W$6,0))*D$22</f>
        <v>0</v>
      </c>
      <c r="E159" s="151">
        <f>INDEX('Analysis of bottom-up tags'!$N$122:$W$153,MATCH(Dashboard!$B159,'Analysis of bottom-up tags'!$B$122:$B$153,0),MATCH(Dashboard!E$21,'Analysis of bottom-up tags'!$N$6:$W$6,0))*E$22</f>
        <v>0</v>
      </c>
      <c r="F159" s="151">
        <f>INDEX('Analysis of bottom-up tags'!$N$122:$W$153,MATCH(Dashboard!$B159,'Analysis of bottom-up tags'!$B$122:$B$153,0),MATCH(Dashboard!F$21,'Analysis of bottom-up tags'!$N$6:$W$6,0))*F$22</f>
        <v>0</v>
      </c>
      <c r="G159" s="151">
        <f>INDEX('Analysis of bottom-up tags'!$N$122:$W$153,MATCH(Dashboard!$B159,'Analysis of bottom-up tags'!$B$122:$B$153,0),MATCH(Dashboard!G$21,'Analysis of bottom-up tags'!$N$6:$W$6,0))*G$22</f>
        <v>0</v>
      </c>
      <c r="H159" s="151">
        <f>INDEX('Analysis of bottom-up tags'!$N$122:$W$153,MATCH(Dashboard!$B159,'Analysis of bottom-up tags'!$B$122:$B$153,0),MATCH(Dashboard!H$21,'Analysis of bottom-up tags'!$N$6:$W$6,0))*H$22</f>
        <v>0</v>
      </c>
      <c r="I159" s="151">
        <f>INDEX('Analysis of bottom-up tags'!$N$122:$W$153,MATCH(Dashboard!$B159,'Analysis of bottom-up tags'!$B$122:$B$153,0),MATCH(Dashboard!I$21,'Analysis of bottom-up tags'!$N$6:$W$6,0))*I$22</f>
        <v>0</v>
      </c>
      <c r="J159" s="151">
        <f>INDEX('Analysis of bottom-up tags'!$N$122:$W$153,MATCH(Dashboard!$B159,'Analysis of bottom-up tags'!$B$122:$B$153,0),MATCH(Dashboard!J$21,'Analysis of bottom-up tags'!$N$6:$W$6,0))*J$22</f>
        <v>0</v>
      </c>
      <c r="K159" s="151">
        <f>INDEX('Analysis of bottom-up tags'!$N$122:$W$153,MATCH(Dashboard!$B159,'Analysis of bottom-up tags'!$B$122:$B$153,0),MATCH(Dashboard!K$21,'Analysis of bottom-up tags'!$N$6:$W$6,0))*K$22</f>
        <v>0.97155783203291834</v>
      </c>
      <c r="L159" s="151">
        <f>INDEX('Analysis of bottom-up tags'!$N$122:$W$153,MATCH(Dashboard!$B159,'Analysis of bottom-up tags'!$B$122:$B$153,0),MATCH(Dashboard!L$21,'Analysis of bottom-up tags'!$N$6:$W$6,0))*L$22</f>
        <v>0</v>
      </c>
      <c r="M159" s="151">
        <f t="shared" si="15"/>
        <v>0.97155783203291834</v>
      </c>
      <c r="N159" s="101"/>
    </row>
    <row r="160" spans="2:14">
      <c r="B160" s="22" t="s">
        <v>1740</v>
      </c>
      <c r="C160" s="151">
        <f>INDEX('Analysis of bottom-up tags'!$N$122:$W$153,MATCH(Dashboard!$B160,'Analysis of bottom-up tags'!$B$122:$B$153,0),MATCH(Dashboard!C$21,'Analysis of bottom-up tags'!$N$6:$W$6,0))*C$22</f>
        <v>0</v>
      </c>
      <c r="D160" s="151">
        <f>INDEX('Analysis of bottom-up tags'!$N$122:$W$153,MATCH(Dashboard!$B160,'Analysis of bottom-up tags'!$B$122:$B$153,0),MATCH(Dashboard!D$21,'Analysis of bottom-up tags'!$N$6:$W$6,0))*D$22</f>
        <v>0</v>
      </c>
      <c r="E160" s="151">
        <f>INDEX('Analysis of bottom-up tags'!$N$122:$W$153,MATCH(Dashboard!$B160,'Analysis of bottom-up tags'!$B$122:$B$153,0),MATCH(Dashboard!E$21,'Analysis of bottom-up tags'!$N$6:$W$6,0))*E$22</f>
        <v>0</v>
      </c>
      <c r="F160" s="151">
        <f>INDEX('Analysis of bottom-up tags'!$N$122:$W$153,MATCH(Dashboard!$B160,'Analysis of bottom-up tags'!$B$122:$B$153,0),MATCH(Dashboard!F$21,'Analysis of bottom-up tags'!$N$6:$W$6,0))*F$22</f>
        <v>0</v>
      </c>
      <c r="G160" s="151">
        <f>INDEX('Analysis of bottom-up tags'!$N$122:$W$153,MATCH(Dashboard!$B160,'Analysis of bottom-up tags'!$B$122:$B$153,0),MATCH(Dashboard!G$21,'Analysis of bottom-up tags'!$N$6:$W$6,0))*G$22</f>
        <v>0</v>
      </c>
      <c r="H160" s="151">
        <f>INDEX('Analysis of bottom-up tags'!$N$122:$W$153,MATCH(Dashboard!$B160,'Analysis of bottom-up tags'!$B$122:$B$153,0),MATCH(Dashboard!H$21,'Analysis of bottom-up tags'!$N$6:$W$6,0))*H$22</f>
        <v>0</v>
      </c>
      <c r="I160" s="151">
        <f>INDEX('Analysis of bottom-up tags'!$N$122:$W$153,MATCH(Dashboard!$B160,'Analysis of bottom-up tags'!$B$122:$B$153,0),MATCH(Dashboard!I$21,'Analysis of bottom-up tags'!$N$6:$W$6,0))*I$22</f>
        <v>0</v>
      </c>
      <c r="J160" s="151">
        <f>INDEX('Analysis of bottom-up tags'!$N$122:$W$153,MATCH(Dashboard!$B160,'Analysis of bottom-up tags'!$B$122:$B$153,0),MATCH(Dashboard!J$21,'Analysis of bottom-up tags'!$N$6:$W$6,0))*J$22</f>
        <v>0</v>
      </c>
      <c r="K160" s="151">
        <f>INDEX('Analysis of bottom-up tags'!$N$122:$W$153,MATCH(Dashboard!$B160,'Analysis of bottom-up tags'!$B$122:$B$153,0),MATCH(Dashboard!K$21,'Analysis of bottom-up tags'!$N$6:$W$6,0))*K$22</f>
        <v>1.6773055774192806E-2</v>
      </c>
      <c r="L160" s="151">
        <f>INDEX('Analysis of bottom-up tags'!$N$122:$W$153,MATCH(Dashboard!$B160,'Analysis of bottom-up tags'!$B$122:$B$153,0),MATCH(Dashboard!L$21,'Analysis of bottom-up tags'!$N$6:$W$6,0))*L$22</f>
        <v>0</v>
      </c>
      <c r="M160" s="151">
        <f t="shared" si="15"/>
        <v>1.6773055774192806E-2</v>
      </c>
      <c r="N160" s="101"/>
    </row>
    <row r="161" spans="2:16">
      <c r="B161" s="22" t="s">
        <v>9288</v>
      </c>
      <c r="C161" s="151">
        <f>INDEX('Analysis of bottom-up tags'!$N$122:$W$153,MATCH(Dashboard!$B161,'Analysis of bottom-up tags'!$B$122:$B$153,0),MATCH(Dashboard!C$21,'Analysis of bottom-up tags'!$N$6:$W$6,0))*C$22</f>
        <v>0</v>
      </c>
      <c r="D161" s="151">
        <f>INDEX('Analysis of bottom-up tags'!$N$122:$W$153,MATCH(Dashboard!$B161,'Analysis of bottom-up tags'!$B$122:$B$153,0),MATCH(Dashboard!D$21,'Analysis of bottom-up tags'!$N$6:$W$6,0))*D$22</f>
        <v>0</v>
      </c>
      <c r="E161" s="151">
        <f>INDEX('Analysis of bottom-up tags'!$N$122:$W$153,MATCH(Dashboard!$B161,'Analysis of bottom-up tags'!$B$122:$B$153,0),MATCH(Dashboard!E$21,'Analysis of bottom-up tags'!$N$6:$W$6,0))*E$22</f>
        <v>0</v>
      </c>
      <c r="F161" s="151">
        <f>INDEX('Analysis of bottom-up tags'!$N$122:$W$153,MATCH(Dashboard!$B161,'Analysis of bottom-up tags'!$B$122:$B$153,0),MATCH(Dashboard!F$21,'Analysis of bottom-up tags'!$N$6:$W$6,0))*F$22</f>
        <v>0</v>
      </c>
      <c r="G161" s="151">
        <f>INDEX('Analysis of bottom-up tags'!$N$122:$W$153,MATCH(Dashboard!$B161,'Analysis of bottom-up tags'!$B$122:$B$153,0),MATCH(Dashboard!G$21,'Analysis of bottom-up tags'!$N$6:$W$6,0))*G$22</f>
        <v>0</v>
      </c>
      <c r="H161" s="151">
        <f>INDEX('Analysis of bottom-up tags'!$N$122:$W$153,MATCH(Dashboard!$B161,'Analysis of bottom-up tags'!$B$122:$B$153,0),MATCH(Dashboard!H$21,'Analysis of bottom-up tags'!$N$6:$W$6,0))*H$22</f>
        <v>0.990200611162528</v>
      </c>
      <c r="I161" s="151">
        <f>INDEX('Analysis of bottom-up tags'!$N$122:$W$153,MATCH(Dashboard!$B161,'Analysis of bottom-up tags'!$B$122:$B$153,0),MATCH(Dashboard!I$21,'Analysis of bottom-up tags'!$N$6:$W$6,0))*I$22</f>
        <v>6.9843736624292038E-2</v>
      </c>
      <c r="J161" s="151">
        <f>INDEX('Analysis of bottom-up tags'!$N$122:$W$153,MATCH(Dashboard!$B161,'Analysis of bottom-up tags'!$B$122:$B$153,0),MATCH(Dashboard!J$21,'Analysis of bottom-up tags'!$N$6:$W$6,0))*J$22</f>
        <v>0</v>
      </c>
      <c r="K161" s="151">
        <f>INDEX('Analysis of bottom-up tags'!$N$122:$W$153,MATCH(Dashboard!$B161,'Analysis of bottom-up tags'!$B$122:$B$153,0),MATCH(Dashboard!K$21,'Analysis of bottom-up tags'!$N$6:$W$6,0))*K$22</f>
        <v>0</v>
      </c>
      <c r="L161" s="151">
        <f>INDEX('Analysis of bottom-up tags'!$N$122:$W$153,MATCH(Dashboard!$B161,'Analysis of bottom-up tags'!$B$122:$B$153,0),MATCH(Dashboard!L$21,'Analysis of bottom-up tags'!$N$6:$W$6,0))*L$22</f>
        <v>0</v>
      </c>
      <c r="M161" s="151">
        <f t="shared" si="15"/>
        <v>1.06004434778682</v>
      </c>
      <c r="N161" s="101"/>
    </row>
    <row r="162" spans="2:16">
      <c r="B162" s="22" t="s">
        <v>7148</v>
      </c>
      <c r="C162" s="151">
        <f>INDEX('Analysis of bottom-up tags'!$N$122:$W$153,MATCH(Dashboard!$B162,'Analysis of bottom-up tags'!$B$122:$B$153,0),MATCH(Dashboard!C$21,'Analysis of bottom-up tags'!$N$6:$W$6,0))*C$22</f>
        <v>0</v>
      </c>
      <c r="D162" s="151">
        <f>INDEX('Analysis of bottom-up tags'!$N$122:$W$153,MATCH(Dashboard!$B162,'Analysis of bottom-up tags'!$B$122:$B$153,0),MATCH(Dashboard!D$21,'Analysis of bottom-up tags'!$N$6:$W$6,0))*D$22</f>
        <v>0</v>
      </c>
      <c r="E162" s="151">
        <f>INDEX('Analysis of bottom-up tags'!$N$122:$W$153,MATCH(Dashboard!$B162,'Analysis of bottom-up tags'!$B$122:$B$153,0),MATCH(Dashboard!E$21,'Analysis of bottom-up tags'!$N$6:$W$6,0))*E$22</f>
        <v>0</v>
      </c>
      <c r="F162" s="151">
        <f>INDEX('Analysis of bottom-up tags'!$N$122:$W$153,MATCH(Dashboard!$B162,'Analysis of bottom-up tags'!$B$122:$B$153,0),MATCH(Dashboard!F$21,'Analysis of bottom-up tags'!$N$6:$W$6,0))*F$22</f>
        <v>0</v>
      </c>
      <c r="G162" s="151">
        <f>INDEX('Analysis of bottom-up tags'!$N$122:$W$153,MATCH(Dashboard!$B162,'Analysis of bottom-up tags'!$B$122:$B$153,0),MATCH(Dashboard!G$21,'Analysis of bottom-up tags'!$N$6:$W$6,0))*G$22</f>
        <v>0</v>
      </c>
      <c r="H162" s="151">
        <f>INDEX('Analysis of bottom-up tags'!$N$122:$W$153,MATCH(Dashboard!$B162,'Analysis of bottom-up tags'!$B$122:$B$153,0),MATCH(Dashboard!H$21,'Analysis of bottom-up tags'!$N$6:$W$6,0))*H$22</f>
        <v>0</v>
      </c>
      <c r="I162" s="151">
        <f>INDEX('Analysis of bottom-up tags'!$N$122:$W$153,MATCH(Dashboard!$B162,'Analysis of bottom-up tags'!$B$122:$B$153,0),MATCH(Dashboard!I$21,'Analysis of bottom-up tags'!$N$6:$W$6,0))*I$22</f>
        <v>0</v>
      </c>
      <c r="J162" s="151">
        <f>INDEX('Analysis of bottom-up tags'!$N$122:$W$153,MATCH(Dashboard!$B162,'Analysis of bottom-up tags'!$B$122:$B$153,0),MATCH(Dashboard!J$21,'Analysis of bottom-up tags'!$N$6:$W$6,0))*J$22</f>
        <v>0</v>
      </c>
      <c r="K162" s="151">
        <f>INDEX('Analysis of bottom-up tags'!$N$122:$W$153,MATCH(Dashboard!$B162,'Analysis of bottom-up tags'!$B$122:$B$153,0),MATCH(Dashboard!K$21,'Analysis of bottom-up tags'!$N$6:$W$6,0))*K$22</f>
        <v>0</v>
      </c>
      <c r="L162" s="151">
        <f>INDEX('Analysis of bottom-up tags'!$N$122:$W$153,MATCH(Dashboard!$B162,'Analysis of bottom-up tags'!$B$122:$B$153,0),MATCH(Dashboard!L$21,'Analysis of bottom-up tags'!$N$6:$W$6,0))*L$22</f>
        <v>0.55306643680567336</v>
      </c>
      <c r="M162" s="151">
        <f t="shared" si="15"/>
        <v>0.55306643680567336</v>
      </c>
      <c r="N162" s="101"/>
    </row>
    <row r="163" spans="2:16">
      <c r="B163" s="22" t="s">
        <v>6393</v>
      </c>
      <c r="C163" s="151">
        <f>INDEX('Analysis of bottom-up tags'!$N$122:$W$153,MATCH(Dashboard!$B163,'Analysis of bottom-up tags'!$B$122:$B$153,0),MATCH(Dashboard!C$21,'Analysis of bottom-up tags'!$N$6:$W$6,0))*C$22</f>
        <v>0</v>
      </c>
      <c r="D163" s="151">
        <f>INDEX('Analysis of bottom-up tags'!$N$122:$W$153,MATCH(Dashboard!$B163,'Analysis of bottom-up tags'!$B$122:$B$153,0),MATCH(Dashboard!D$21,'Analysis of bottom-up tags'!$N$6:$W$6,0))*D$22</f>
        <v>0</v>
      </c>
      <c r="E163" s="151">
        <f>INDEX('Analysis of bottom-up tags'!$N$122:$W$153,MATCH(Dashboard!$B163,'Analysis of bottom-up tags'!$B$122:$B$153,0),MATCH(Dashboard!E$21,'Analysis of bottom-up tags'!$N$6:$W$6,0))*E$22</f>
        <v>0</v>
      </c>
      <c r="F163" s="151">
        <f>INDEX('Analysis of bottom-up tags'!$N$122:$W$153,MATCH(Dashboard!$B163,'Analysis of bottom-up tags'!$B$122:$B$153,0),MATCH(Dashboard!F$21,'Analysis of bottom-up tags'!$N$6:$W$6,0))*F$22</f>
        <v>0</v>
      </c>
      <c r="G163" s="151">
        <f>INDEX('Analysis of bottom-up tags'!$N$122:$W$153,MATCH(Dashboard!$B163,'Analysis of bottom-up tags'!$B$122:$B$153,0),MATCH(Dashboard!G$21,'Analysis of bottom-up tags'!$N$6:$W$6,0))*G$22</f>
        <v>0</v>
      </c>
      <c r="H163" s="151">
        <f>INDEX('Analysis of bottom-up tags'!$N$122:$W$153,MATCH(Dashboard!$B163,'Analysis of bottom-up tags'!$B$122:$B$153,0),MATCH(Dashboard!H$21,'Analysis of bottom-up tags'!$N$6:$W$6,0))*H$22</f>
        <v>0</v>
      </c>
      <c r="I163" s="151">
        <f>INDEX('Analysis of bottom-up tags'!$N$122:$W$153,MATCH(Dashboard!$B163,'Analysis of bottom-up tags'!$B$122:$B$153,0),MATCH(Dashboard!I$21,'Analysis of bottom-up tags'!$N$6:$W$6,0))*I$22</f>
        <v>0</v>
      </c>
      <c r="J163" s="151">
        <f>INDEX('Analysis of bottom-up tags'!$N$122:$W$153,MATCH(Dashboard!$B163,'Analysis of bottom-up tags'!$B$122:$B$153,0),MATCH(Dashboard!J$21,'Analysis of bottom-up tags'!$N$6:$W$6,0))*J$22</f>
        <v>0</v>
      </c>
      <c r="K163" s="151">
        <f>INDEX('Analysis of bottom-up tags'!$N$122:$W$153,MATCH(Dashboard!$B163,'Analysis of bottom-up tags'!$B$122:$B$153,0),MATCH(Dashboard!K$21,'Analysis of bottom-up tags'!$N$6:$W$6,0))*K$22</f>
        <v>0.14890179868430609</v>
      </c>
      <c r="L163" s="151">
        <f>INDEX('Analysis of bottom-up tags'!$N$122:$W$153,MATCH(Dashboard!$B163,'Analysis of bottom-up tags'!$B$122:$B$153,0),MATCH(Dashboard!L$21,'Analysis of bottom-up tags'!$N$6:$W$6,0))*L$22</f>
        <v>0</v>
      </c>
      <c r="M163" s="151">
        <f t="shared" si="15"/>
        <v>0.14890179868430609</v>
      </c>
      <c r="N163" s="101"/>
    </row>
    <row r="164" spans="2:16">
      <c r="B164" s="22" t="s">
        <v>9462</v>
      </c>
      <c r="C164" s="151">
        <f>INDEX('Analysis of bottom-up tags'!$N$122:$W$153,MATCH(Dashboard!$B164,'Analysis of bottom-up tags'!$B$122:$B$153,0),MATCH(Dashboard!C$21,'Analysis of bottom-up tags'!$N$6:$W$6,0))*C$22</f>
        <v>0</v>
      </c>
      <c r="D164" s="151">
        <f>INDEX('Analysis of bottom-up tags'!$N$122:$W$153,MATCH(Dashboard!$B164,'Analysis of bottom-up tags'!$B$122:$B$153,0),MATCH(Dashboard!D$21,'Analysis of bottom-up tags'!$N$6:$W$6,0))*D$22</f>
        <v>0</v>
      </c>
      <c r="E164" s="151">
        <f>INDEX('Analysis of bottom-up tags'!$N$122:$W$153,MATCH(Dashboard!$B164,'Analysis of bottom-up tags'!$B$122:$B$153,0),MATCH(Dashboard!E$21,'Analysis of bottom-up tags'!$N$6:$W$6,0))*E$22</f>
        <v>0</v>
      </c>
      <c r="F164" s="151">
        <f>INDEX('Analysis of bottom-up tags'!$N$122:$W$153,MATCH(Dashboard!$B164,'Analysis of bottom-up tags'!$B$122:$B$153,0),MATCH(Dashboard!F$21,'Analysis of bottom-up tags'!$N$6:$W$6,0))*F$22</f>
        <v>0</v>
      </c>
      <c r="G164" s="151">
        <f>INDEX('Analysis of bottom-up tags'!$N$122:$W$153,MATCH(Dashboard!$B164,'Analysis of bottom-up tags'!$B$122:$B$153,0),MATCH(Dashboard!G$21,'Analysis of bottom-up tags'!$N$6:$W$6,0))*G$22</f>
        <v>0</v>
      </c>
      <c r="H164" s="151">
        <f>INDEX('Analysis of bottom-up tags'!$N$122:$W$153,MATCH(Dashboard!$B164,'Analysis of bottom-up tags'!$B$122:$B$153,0),MATCH(Dashboard!H$21,'Analysis of bottom-up tags'!$N$6:$W$6,0))*H$22</f>
        <v>0.59835219825318775</v>
      </c>
      <c r="I164" s="151">
        <f>INDEX('Analysis of bottom-up tags'!$N$122:$W$153,MATCH(Dashboard!$B164,'Analysis of bottom-up tags'!$B$122:$B$153,0),MATCH(Dashboard!I$21,'Analysis of bottom-up tags'!$N$6:$W$6,0))*I$22</f>
        <v>0</v>
      </c>
      <c r="J164" s="151">
        <f>INDEX('Analysis of bottom-up tags'!$N$122:$W$153,MATCH(Dashboard!$B164,'Analysis of bottom-up tags'!$B$122:$B$153,0),MATCH(Dashboard!J$21,'Analysis of bottom-up tags'!$N$6:$W$6,0))*J$22</f>
        <v>0</v>
      </c>
      <c r="K164" s="151">
        <f>INDEX('Analysis of bottom-up tags'!$N$122:$W$153,MATCH(Dashboard!$B164,'Analysis of bottom-up tags'!$B$122:$B$153,0),MATCH(Dashboard!K$21,'Analysis of bottom-up tags'!$N$6:$W$6,0))*K$22</f>
        <v>0</v>
      </c>
      <c r="L164" s="151">
        <f>INDEX('Analysis of bottom-up tags'!$N$122:$W$153,MATCH(Dashboard!$B164,'Analysis of bottom-up tags'!$B$122:$B$153,0),MATCH(Dashboard!L$21,'Analysis of bottom-up tags'!$N$6:$W$6,0))*L$22</f>
        <v>0</v>
      </c>
      <c r="M164" s="151">
        <f t="shared" si="15"/>
        <v>0.59835219825318775</v>
      </c>
      <c r="N164" s="101"/>
    </row>
    <row r="165" spans="2:16">
      <c r="B165" s="22" t="s">
        <v>6313</v>
      </c>
      <c r="C165" s="151">
        <f>INDEX('Analysis of bottom-up tags'!$N$122:$W$153,MATCH(Dashboard!$B165,'Analysis of bottom-up tags'!$B$122:$B$153,0),MATCH(Dashboard!C$21,'Analysis of bottom-up tags'!$N$6:$W$6,0))*C$22</f>
        <v>0</v>
      </c>
      <c r="D165" s="151">
        <f>INDEX('Analysis of bottom-up tags'!$N$122:$W$153,MATCH(Dashboard!$B165,'Analysis of bottom-up tags'!$B$122:$B$153,0),MATCH(Dashboard!D$21,'Analysis of bottom-up tags'!$N$6:$W$6,0))*D$22</f>
        <v>0</v>
      </c>
      <c r="E165" s="151">
        <f>INDEX('Analysis of bottom-up tags'!$N$122:$W$153,MATCH(Dashboard!$B165,'Analysis of bottom-up tags'!$B$122:$B$153,0),MATCH(Dashboard!E$21,'Analysis of bottom-up tags'!$N$6:$W$6,0))*E$22</f>
        <v>0</v>
      </c>
      <c r="F165" s="151">
        <f>INDEX('Analysis of bottom-up tags'!$N$122:$W$153,MATCH(Dashboard!$B165,'Analysis of bottom-up tags'!$B$122:$B$153,0),MATCH(Dashboard!F$21,'Analysis of bottom-up tags'!$N$6:$W$6,0))*F$22</f>
        <v>0</v>
      </c>
      <c r="G165" s="151">
        <f>INDEX('Analysis of bottom-up tags'!$N$122:$W$153,MATCH(Dashboard!$B165,'Analysis of bottom-up tags'!$B$122:$B$153,0),MATCH(Dashboard!G$21,'Analysis of bottom-up tags'!$N$6:$W$6,0))*G$22</f>
        <v>0</v>
      </c>
      <c r="H165" s="151">
        <f>INDEX('Analysis of bottom-up tags'!$N$122:$W$153,MATCH(Dashboard!$B165,'Analysis of bottom-up tags'!$B$122:$B$153,0),MATCH(Dashboard!H$21,'Analysis of bottom-up tags'!$N$6:$W$6,0))*H$22</f>
        <v>0</v>
      </c>
      <c r="I165" s="151">
        <f>INDEX('Analysis of bottom-up tags'!$N$122:$W$153,MATCH(Dashboard!$B165,'Analysis of bottom-up tags'!$B$122:$B$153,0),MATCH(Dashboard!I$21,'Analysis of bottom-up tags'!$N$6:$W$6,0))*I$22</f>
        <v>0</v>
      </c>
      <c r="J165" s="151">
        <f>INDEX('Analysis of bottom-up tags'!$N$122:$W$153,MATCH(Dashboard!$B165,'Analysis of bottom-up tags'!$B$122:$B$153,0),MATCH(Dashboard!J$21,'Analysis of bottom-up tags'!$N$6:$W$6,0))*J$22</f>
        <v>0</v>
      </c>
      <c r="K165" s="151">
        <f>INDEX('Analysis of bottom-up tags'!$N$122:$W$153,MATCH(Dashboard!$B165,'Analysis of bottom-up tags'!$B$122:$B$153,0),MATCH(Dashboard!K$21,'Analysis of bottom-up tags'!$N$6:$W$6,0))*K$22</f>
        <v>0</v>
      </c>
      <c r="L165" s="151">
        <f>INDEX('Analysis of bottom-up tags'!$N$122:$W$153,MATCH(Dashboard!$B165,'Analysis of bottom-up tags'!$B$122:$B$153,0),MATCH(Dashboard!L$21,'Analysis of bottom-up tags'!$N$6:$W$6,0))*L$22</f>
        <v>0</v>
      </c>
      <c r="M165" s="151">
        <f t="shared" si="15"/>
        <v>0</v>
      </c>
      <c r="N165" s="101"/>
    </row>
    <row r="166" spans="2:16">
      <c r="B166" s="22" t="s">
        <v>9855</v>
      </c>
      <c r="C166" s="151">
        <f>INDEX('Analysis of bottom-up tags'!$N$122:$W$153,MATCH(Dashboard!$B166,'Analysis of bottom-up tags'!$B$122:$B$153,0),MATCH(Dashboard!C$21,'Analysis of bottom-up tags'!$N$6:$W$6,0))*C$22</f>
        <v>0</v>
      </c>
      <c r="D166" s="151">
        <f>INDEX('Analysis of bottom-up tags'!$N$122:$W$153,MATCH(Dashboard!$B166,'Analysis of bottom-up tags'!$B$122:$B$153,0),MATCH(Dashboard!D$21,'Analysis of bottom-up tags'!$N$6:$W$6,0))*D$22</f>
        <v>0</v>
      </c>
      <c r="E166" s="151">
        <f>INDEX('Analysis of bottom-up tags'!$N$122:$W$153,MATCH(Dashboard!$B166,'Analysis of bottom-up tags'!$B$122:$B$153,0),MATCH(Dashboard!E$21,'Analysis of bottom-up tags'!$N$6:$W$6,0))*E$22</f>
        <v>0</v>
      </c>
      <c r="F166" s="151">
        <f>INDEX('Analysis of bottom-up tags'!$N$122:$W$153,MATCH(Dashboard!$B166,'Analysis of bottom-up tags'!$B$122:$B$153,0),MATCH(Dashboard!F$21,'Analysis of bottom-up tags'!$N$6:$W$6,0))*F$22</f>
        <v>0</v>
      </c>
      <c r="G166" s="151">
        <f>INDEX('Analysis of bottom-up tags'!$N$122:$W$153,MATCH(Dashboard!$B166,'Analysis of bottom-up tags'!$B$122:$B$153,0),MATCH(Dashboard!G$21,'Analysis of bottom-up tags'!$N$6:$W$6,0))*G$22</f>
        <v>1.6363608204846258</v>
      </c>
      <c r="H166" s="151">
        <f>INDEX('Analysis of bottom-up tags'!$N$122:$W$153,MATCH(Dashboard!$B166,'Analysis of bottom-up tags'!$B$122:$B$153,0),MATCH(Dashboard!H$21,'Analysis of bottom-up tags'!$N$6:$W$6,0))*H$22</f>
        <v>0</v>
      </c>
      <c r="I166" s="151">
        <f>INDEX('Analysis of bottom-up tags'!$N$122:$W$153,MATCH(Dashboard!$B166,'Analysis of bottom-up tags'!$B$122:$B$153,0),MATCH(Dashboard!I$21,'Analysis of bottom-up tags'!$N$6:$W$6,0))*I$22</f>
        <v>0</v>
      </c>
      <c r="J166" s="151">
        <f>INDEX('Analysis of bottom-up tags'!$N$122:$W$153,MATCH(Dashboard!$B166,'Analysis of bottom-up tags'!$B$122:$B$153,0),MATCH(Dashboard!J$21,'Analysis of bottom-up tags'!$N$6:$W$6,0))*J$22</f>
        <v>0</v>
      </c>
      <c r="K166" s="151">
        <f>INDEX('Analysis of bottom-up tags'!$N$122:$W$153,MATCH(Dashboard!$B166,'Analysis of bottom-up tags'!$B$122:$B$153,0),MATCH(Dashboard!K$21,'Analysis of bottom-up tags'!$N$6:$W$6,0))*K$22</f>
        <v>0</v>
      </c>
      <c r="L166" s="151">
        <f>INDEX('Analysis of bottom-up tags'!$N$122:$W$153,MATCH(Dashboard!$B166,'Analysis of bottom-up tags'!$B$122:$B$153,0),MATCH(Dashboard!L$21,'Analysis of bottom-up tags'!$N$6:$W$6,0))*L$22</f>
        <v>0</v>
      </c>
      <c r="M166" s="151">
        <f t="shared" si="15"/>
        <v>1.6363608204846258</v>
      </c>
      <c r="N166" s="101"/>
    </row>
    <row r="167" spans="2:16">
      <c r="B167" s="22" t="s">
        <v>6281</v>
      </c>
      <c r="C167" s="151">
        <f>INDEX('Analysis of bottom-up tags'!$N$122:$W$153,MATCH(Dashboard!$B167,'Analysis of bottom-up tags'!$B$122:$B$153,0),MATCH(Dashboard!C$21,'Analysis of bottom-up tags'!$N$6:$W$6,0))*C$22</f>
        <v>0</v>
      </c>
      <c r="D167" s="151">
        <f>INDEX('Analysis of bottom-up tags'!$N$122:$W$153,MATCH(Dashboard!$B167,'Analysis of bottom-up tags'!$B$122:$B$153,0),MATCH(Dashboard!D$21,'Analysis of bottom-up tags'!$N$6:$W$6,0))*D$22</f>
        <v>0</v>
      </c>
      <c r="E167" s="151">
        <f>INDEX('Analysis of bottom-up tags'!$N$122:$W$153,MATCH(Dashboard!$B167,'Analysis of bottom-up tags'!$B$122:$B$153,0),MATCH(Dashboard!E$21,'Analysis of bottom-up tags'!$N$6:$W$6,0))*E$22</f>
        <v>0</v>
      </c>
      <c r="F167" s="151">
        <f>INDEX('Analysis of bottom-up tags'!$N$122:$W$153,MATCH(Dashboard!$B167,'Analysis of bottom-up tags'!$B$122:$B$153,0),MATCH(Dashboard!F$21,'Analysis of bottom-up tags'!$N$6:$W$6,0))*F$22</f>
        <v>0</v>
      </c>
      <c r="G167" s="151">
        <f>INDEX('Analysis of bottom-up tags'!$N$122:$W$153,MATCH(Dashboard!$B167,'Analysis of bottom-up tags'!$B$122:$B$153,0),MATCH(Dashboard!G$21,'Analysis of bottom-up tags'!$N$6:$W$6,0))*G$22</f>
        <v>0</v>
      </c>
      <c r="H167" s="151">
        <f>INDEX('Analysis of bottom-up tags'!$N$122:$W$153,MATCH(Dashboard!$B167,'Analysis of bottom-up tags'!$B$122:$B$153,0),MATCH(Dashboard!H$21,'Analysis of bottom-up tags'!$N$6:$W$6,0))*H$22</f>
        <v>0</v>
      </c>
      <c r="I167" s="151">
        <f>INDEX('Analysis of bottom-up tags'!$N$122:$W$153,MATCH(Dashboard!$B167,'Analysis of bottom-up tags'!$B$122:$B$153,0),MATCH(Dashboard!I$21,'Analysis of bottom-up tags'!$N$6:$W$6,0))*I$22</f>
        <v>0</v>
      </c>
      <c r="J167" s="151">
        <f>INDEX('Analysis of bottom-up tags'!$N$122:$W$153,MATCH(Dashboard!$B167,'Analysis of bottom-up tags'!$B$122:$B$153,0),MATCH(Dashboard!J$21,'Analysis of bottom-up tags'!$N$6:$W$6,0))*J$22</f>
        <v>0</v>
      </c>
      <c r="K167" s="151">
        <f>INDEX('Analysis of bottom-up tags'!$N$122:$W$153,MATCH(Dashboard!$B167,'Analysis of bottom-up tags'!$B$122:$B$153,0),MATCH(Dashboard!K$21,'Analysis of bottom-up tags'!$N$6:$W$6,0))*K$22</f>
        <v>0</v>
      </c>
      <c r="L167" s="151">
        <f>INDEX('Analysis of bottom-up tags'!$N$122:$W$153,MATCH(Dashboard!$B167,'Analysis of bottom-up tags'!$B$122:$B$153,0),MATCH(Dashboard!L$21,'Analysis of bottom-up tags'!$N$6:$W$6,0))*L$22</f>
        <v>0.19308680218680879</v>
      </c>
      <c r="M167" s="151">
        <f t="shared" si="15"/>
        <v>0.19308680218680879</v>
      </c>
      <c r="N167" s="101"/>
    </row>
    <row r="168" spans="2:16">
      <c r="B168" s="22" t="s">
        <v>10098</v>
      </c>
      <c r="C168" s="151">
        <f>INDEX('Analysis of bottom-up tags'!$N$122:$W$153,MATCH(Dashboard!$B168,'Analysis of bottom-up tags'!$B$122:$B$153,0),MATCH(Dashboard!C$21,'Analysis of bottom-up tags'!$N$6:$W$6,0))*C$22</f>
        <v>0</v>
      </c>
      <c r="D168" s="151">
        <f>INDEX('Analysis of bottom-up tags'!$N$122:$W$153,MATCH(Dashboard!$B168,'Analysis of bottom-up tags'!$B$122:$B$153,0),MATCH(Dashboard!D$21,'Analysis of bottom-up tags'!$N$6:$W$6,0))*D$22</f>
        <v>0</v>
      </c>
      <c r="E168" s="151">
        <f>INDEX('Analysis of bottom-up tags'!$N$122:$W$153,MATCH(Dashboard!$B168,'Analysis of bottom-up tags'!$B$122:$B$153,0),MATCH(Dashboard!E$21,'Analysis of bottom-up tags'!$N$6:$W$6,0))*E$22</f>
        <v>0</v>
      </c>
      <c r="F168" s="151">
        <f>INDEX('Analysis of bottom-up tags'!$N$122:$W$153,MATCH(Dashboard!$B168,'Analysis of bottom-up tags'!$B$122:$B$153,0),MATCH(Dashboard!F$21,'Analysis of bottom-up tags'!$N$6:$W$6,0))*F$22</f>
        <v>0</v>
      </c>
      <c r="G168" s="151">
        <f>INDEX('Analysis of bottom-up tags'!$N$122:$W$153,MATCH(Dashboard!$B168,'Analysis of bottom-up tags'!$B$122:$B$153,0),MATCH(Dashboard!G$21,'Analysis of bottom-up tags'!$N$6:$W$6,0))*G$22</f>
        <v>0</v>
      </c>
      <c r="H168" s="151">
        <f>INDEX('Analysis of bottom-up tags'!$N$122:$W$153,MATCH(Dashboard!$B168,'Analysis of bottom-up tags'!$B$122:$B$153,0),MATCH(Dashboard!H$21,'Analysis of bottom-up tags'!$N$6:$W$6,0))*H$22</f>
        <v>6.3964736803830052E-2</v>
      </c>
      <c r="I168" s="151">
        <f>INDEX('Analysis of bottom-up tags'!$N$122:$W$153,MATCH(Dashboard!$B168,'Analysis of bottom-up tags'!$B$122:$B$153,0),MATCH(Dashboard!I$21,'Analysis of bottom-up tags'!$N$6:$W$6,0))*I$22</f>
        <v>0</v>
      </c>
      <c r="J168" s="151">
        <f>INDEX('Analysis of bottom-up tags'!$N$122:$W$153,MATCH(Dashboard!$B168,'Analysis of bottom-up tags'!$B$122:$B$153,0),MATCH(Dashboard!J$21,'Analysis of bottom-up tags'!$N$6:$W$6,0))*J$22</f>
        <v>0</v>
      </c>
      <c r="K168" s="151">
        <f>INDEX('Analysis of bottom-up tags'!$N$122:$W$153,MATCH(Dashboard!$B168,'Analysis of bottom-up tags'!$B$122:$B$153,0),MATCH(Dashboard!K$21,'Analysis of bottom-up tags'!$N$6:$W$6,0))*K$22</f>
        <v>0</v>
      </c>
      <c r="L168" s="151">
        <f>INDEX('Analysis of bottom-up tags'!$N$122:$W$153,MATCH(Dashboard!$B168,'Analysis of bottom-up tags'!$B$122:$B$153,0),MATCH(Dashboard!L$21,'Analysis of bottom-up tags'!$N$6:$W$6,0))*L$22</f>
        <v>0</v>
      </c>
      <c r="M168" s="151">
        <f t="shared" si="15"/>
        <v>6.3964736803830052E-2</v>
      </c>
      <c r="N168" s="101"/>
    </row>
    <row r="169" spans="2:16">
      <c r="B169" s="22"/>
      <c r="N169" s="101"/>
    </row>
    <row r="170" spans="2:16">
      <c r="B170" s="22"/>
      <c r="N170" s="101"/>
    </row>
    <row r="171" spans="2:16">
      <c r="B171" s="22"/>
      <c r="N171" s="101"/>
    </row>
    <row r="172" spans="2:16">
      <c r="B172" s="22"/>
      <c r="N172" s="101"/>
    </row>
    <row r="173" spans="2:16">
      <c r="B173" s="166" t="s">
        <v>11042</v>
      </c>
      <c r="C173" s="166">
        <f>SUM(C141:C172)</f>
        <v>1062.1143934849285</v>
      </c>
      <c r="D173" s="166">
        <f t="shared" ref="D173" si="16">SUM(D141:D172)</f>
        <v>1165.0851658894628</v>
      </c>
      <c r="E173" s="166">
        <f t="shared" ref="E173" si="17">SUM(E141:E172)</f>
        <v>1080.5398716825559</v>
      </c>
      <c r="F173" s="166">
        <f t="shared" ref="F173" si="18">SUM(F141:F172)</f>
        <v>998.168762766383</v>
      </c>
      <c r="G173" s="166">
        <f t="shared" ref="G173" si="19">SUM(G141:G172)</f>
        <v>1351.3990768355743</v>
      </c>
      <c r="H173" s="166">
        <f t="shared" ref="H173" si="20">SUM(H141:H172)</f>
        <v>1460.0301951394747</v>
      </c>
      <c r="I173" s="166">
        <f t="shared" ref="I173" si="21">SUM(I141:I172)</f>
        <v>1339.3257754127421</v>
      </c>
      <c r="J173" s="166">
        <f t="shared" ref="J173" si="22">SUM(J141:J172)</f>
        <v>1493.4200137430405</v>
      </c>
      <c r="K173" s="166">
        <f t="shared" ref="K173" si="23">SUM(K141:K172)</f>
        <v>1728.1321199540894</v>
      </c>
      <c r="L173" s="166">
        <f>SUM(L141:L172)</f>
        <v>1644.2903436718927</v>
      </c>
      <c r="M173" s="166">
        <f t="shared" si="15"/>
        <v>13322.505718580143</v>
      </c>
    </row>
    <row r="174" spans="2:16">
      <c r="B174" s="176"/>
      <c r="C174" s="176"/>
      <c r="D174" s="176"/>
      <c r="E174" s="176"/>
      <c r="F174" s="176"/>
      <c r="G174" s="176"/>
      <c r="H174" s="176"/>
      <c r="I174" s="176"/>
      <c r="J174" s="176"/>
      <c r="K174" s="176"/>
      <c r="L174" s="176"/>
      <c r="M174" s="176"/>
    </row>
    <row r="175" spans="2:16">
      <c r="B175" s="163" t="s">
        <v>11127</v>
      </c>
      <c r="C175" s="163"/>
      <c r="D175" s="163"/>
      <c r="E175" s="163"/>
      <c r="F175" s="163"/>
      <c r="G175" s="163"/>
      <c r="H175" s="163"/>
      <c r="I175" s="163"/>
      <c r="J175" s="163"/>
      <c r="K175" s="163"/>
      <c r="L175" s="163"/>
      <c r="M175" s="163"/>
    </row>
    <row r="176" spans="2:16">
      <c r="B176" s="22" t="s">
        <v>11083</v>
      </c>
      <c r="C176" s="151">
        <f>INDEX('Analysis of bottom-up tags'!$N$157:$W$159,MATCH(Dashboard!$B176,'Analysis of bottom-up tags'!$B$157:$B$159,0),MATCH(Dashboard!C$21,'Analysis of bottom-up tags'!$N$6:$W$6,0))*C$22</f>
        <v>0</v>
      </c>
      <c r="D176" s="151">
        <f>INDEX('Analysis of bottom-up tags'!$N$157:$W$159,MATCH(Dashboard!$B176,'Analysis of bottom-up tags'!$B$157:$B$159,0),MATCH(Dashboard!D$21,'Analysis of bottom-up tags'!$N$6:$W$6,0))*D$22</f>
        <v>0</v>
      </c>
      <c r="E176" s="151">
        <f>INDEX('Analysis of bottom-up tags'!$N$157:$W$159,MATCH(Dashboard!$B176,'Analysis of bottom-up tags'!$B$157:$B$159,0),MATCH(Dashboard!E$21,'Analysis of bottom-up tags'!$N$6:$W$6,0))*E$22</f>
        <v>0</v>
      </c>
      <c r="F176" s="151">
        <f>INDEX('Analysis of bottom-up tags'!$N$157:$W$159,MATCH(Dashboard!$B176,'Analysis of bottom-up tags'!$B$157:$B$159,0),MATCH(Dashboard!F$21,'Analysis of bottom-up tags'!$N$6:$W$6,0))*F$22</f>
        <v>0</v>
      </c>
      <c r="G176" s="151">
        <f>INDEX('Analysis of bottom-up tags'!$N$157:$W$159,MATCH(Dashboard!$B176,'Analysis of bottom-up tags'!$B$157:$B$159,0),MATCH(Dashboard!G$21,'Analysis of bottom-up tags'!$N$6:$W$6,0))*G$22</f>
        <v>0</v>
      </c>
      <c r="H176" s="151">
        <f>INDEX('Analysis of bottom-up tags'!$N$157:$W$159,MATCH(Dashboard!$B176,'Analysis of bottom-up tags'!$B$157:$B$159,0),MATCH(Dashboard!H$21,'Analysis of bottom-up tags'!$N$6:$W$6,0))*H$22</f>
        <v>0</v>
      </c>
      <c r="I176" s="151">
        <f>INDEX('Analysis of bottom-up tags'!$N$157:$W$159,MATCH(Dashboard!$B176,'Analysis of bottom-up tags'!$B$157:$B$159,0),MATCH(Dashboard!I$21,'Analysis of bottom-up tags'!$N$6:$W$6,0))*I$22</f>
        <v>4.3374285787495337</v>
      </c>
      <c r="J176" s="151">
        <f>INDEX('Analysis of bottom-up tags'!$N$157:$W$159,MATCH(Dashboard!$B176,'Analysis of bottom-up tags'!$B$157:$B$159,0),MATCH(Dashboard!J$21,'Analysis of bottom-up tags'!$N$6:$W$6,0))*J$22</f>
        <v>32.883697175990385</v>
      </c>
      <c r="K176" s="151">
        <f>INDEX('Analysis of bottom-up tags'!$N$157:$W$159,MATCH(Dashboard!$B176,'Analysis of bottom-up tags'!$B$157:$B$159,0),MATCH(Dashboard!K$21,'Analysis of bottom-up tags'!$N$6:$W$6,0))*K$22</f>
        <v>2.110689899928178</v>
      </c>
      <c r="L176" s="151">
        <f>INDEX('Analysis of bottom-up tags'!$N$157:$W$159,MATCH(Dashboard!$B176,'Analysis of bottom-up tags'!$B$157:$B$159,0),MATCH(Dashboard!L$21,'Analysis of bottom-up tags'!$N$6:$W$6,0))*L$22</f>
        <v>16.017136834503447</v>
      </c>
      <c r="M176" s="187"/>
      <c r="P176" s="101"/>
    </row>
    <row r="177" spans="1:13">
      <c r="B177" s="22" t="s">
        <v>11084</v>
      </c>
      <c r="C177" s="151">
        <f>INDEX('Analysis of bottom-up tags'!$N$157:$W$159,MATCH(Dashboard!$B177,'Analysis of bottom-up tags'!$B$157:$B$159,0),MATCH(Dashboard!C$21,'Analysis of bottom-up tags'!$N$6:$W$6,0))*C$22</f>
        <v>403.00091420880432</v>
      </c>
      <c r="D177" s="151">
        <f>INDEX('Analysis of bottom-up tags'!$N$157:$W$159,MATCH(Dashboard!$B177,'Analysis of bottom-up tags'!$B$157:$B$159,0),MATCH(Dashboard!D$21,'Analysis of bottom-up tags'!$N$6:$W$6,0))*D$22</f>
        <v>1125.9688608021818</v>
      </c>
      <c r="E177" s="151">
        <f>INDEX('Analysis of bottom-up tags'!$N$157:$W$159,MATCH(Dashboard!$B177,'Analysis of bottom-up tags'!$B$157:$B$159,0),MATCH(Dashboard!E$21,'Analysis of bottom-up tags'!$N$6:$W$6,0))*E$22</f>
        <v>472.15969548457088</v>
      </c>
      <c r="F177" s="151">
        <f>INDEX('Analysis of bottom-up tags'!$N$157:$W$159,MATCH(Dashboard!$B177,'Analysis of bottom-up tags'!$B$157:$B$159,0),MATCH(Dashboard!F$21,'Analysis of bottom-up tags'!$N$6:$W$6,0))*F$22</f>
        <v>821.2419901167757</v>
      </c>
      <c r="G177" s="151">
        <f>INDEX('Analysis of bottom-up tags'!$N$157:$W$159,MATCH(Dashboard!$B177,'Analysis of bottom-up tags'!$B$157:$B$159,0),MATCH(Dashboard!G$21,'Analysis of bottom-up tags'!$N$6:$W$6,0))*G$22</f>
        <v>1042.1222614399653</v>
      </c>
      <c r="H177" s="151">
        <f>INDEX('Analysis of bottom-up tags'!$N$157:$W$159,MATCH(Dashboard!$B177,'Analysis of bottom-up tags'!$B$157:$B$159,0),MATCH(Dashboard!H$21,'Analysis of bottom-up tags'!$N$6:$W$6,0))*H$22</f>
        <v>743.85843203873412</v>
      </c>
      <c r="I177" s="151">
        <f>INDEX('Analysis of bottom-up tags'!$N$157:$W$159,MATCH(Dashboard!$B177,'Analysis of bottom-up tags'!$B$157:$B$159,0),MATCH(Dashboard!I$21,'Analysis of bottom-up tags'!$N$6:$W$6,0))*I$22</f>
        <v>1241.6431284648131</v>
      </c>
      <c r="J177" s="151">
        <f>INDEX('Analysis of bottom-up tags'!$N$157:$W$159,MATCH(Dashboard!$B177,'Analysis of bottom-up tags'!$B$157:$B$159,0),MATCH(Dashboard!J$21,'Analysis of bottom-up tags'!$N$6:$W$6,0))*J$22</f>
        <v>632.40680401971542</v>
      </c>
      <c r="K177" s="151">
        <f>INDEX('Analysis of bottom-up tags'!$N$157:$W$159,MATCH(Dashboard!$B177,'Analysis of bottom-up tags'!$B$157:$B$159,0),MATCH(Dashboard!K$21,'Analysis of bottom-up tags'!$N$6:$W$6,0))*K$22</f>
        <v>1598.5025864956297</v>
      </c>
      <c r="L177" s="151">
        <f>INDEX('Analysis of bottom-up tags'!$N$157:$W$159,MATCH(Dashboard!$B177,'Analysis of bottom-up tags'!$B$157:$B$159,0),MATCH(Dashboard!L$21,'Analysis of bottom-up tags'!$N$6:$W$6,0))*L$22</f>
        <v>1187.341674113004</v>
      </c>
      <c r="M177" s="187"/>
    </row>
    <row r="178" spans="1:13">
      <c r="B178" s="22" t="s">
        <v>11085</v>
      </c>
      <c r="C178" s="151">
        <f>INDEX('Analysis of bottom-up tags'!$N$157:$W$159,MATCH(Dashboard!$B178,'Analysis of bottom-up tags'!$B$157:$B$159,0),MATCH(Dashboard!C$21,'Analysis of bottom-up tags'!$N$6:$W$6,0))*C$22</f>
        <v>0</v>
      </c>
      <c r="D178" s="151">
        <f>INDEX('Analysis of bottom-up tags'!$N$157:$W$159,MATCH(Dashboard!$B178,'Analysis of bottom-up tags'!$B$157:$B$159,0),MATCH(Dashboard!D$21,'Analysis of bottom-up tags'!$N$6:$W$6,0))*D$22</f>
        <v>0</v>
      </c>
      <c r="E178" s="151">
        <f>INDEX('Analysis of bottom-up tags'!$N$157:$W$159,MATCH(Dashboard!$B178,'Analysis of bottom-up tags'!$B$157:$B$159,0),MATCH(Dashboard!E$21,'Analysis of bottom-up tags'!$N$6:$W$6,0))*E$22</f>
        <v>0</v>
      </c>
      <c r="F178" s="151">
        <f>INDEX('Analysis of bottom-up tags'!$N$157:$W$159,MATCH(Dashboard!$B178,'Analysis of bottom-up tags'!$B$157:$B$159,0),MATCH(Dashboard!F$21,'Analysis of bottom-up tags'!$N$6:$W$6,0))*F$22</f>
        <v>0</v>
      </c>
      <c r="G178" s="151">
        <f>INDEX('Analysis of bottom-up tags'!$N$157:$W$159,MATCH(Dashboard!$B178,'Analysis of bottom-up tags'!$B$157:$B$159,0),MATCH(Dashboard!G$21,'Analysis of bottom-up tags'!$N$6:$W$6,0))*G$22</f>
        <v>0</v>
      </c>
      <c r="H178" s="151">
        <f>INDEX('Analysis of bottom-up tags'!$N$157:$W$159,MATCH(Dashboard!$B178,'Analysis of bottom-up tags'!$B$157:$B$159,0),MATCH(Dashboard!H$21,'Analysis of bottom-up tags'!$N$6:$W$6,0))*H$22</f>
        <v>0</v>
      </c>
      <c r="I178" s="151">
        <f>INDEX('Analysis of bottom-up tags'!$N$157:$W$159,MATCH(Dashboard!$B178,'Analysis of bottom-up tags'!$B$157:$B$159,0),MATCH(Dashboard!I$21,'Analysis of bottom-up tags'!$N$6:$W$6,0))*I$22</f>
        <v>4.5771221975941279</v>
      </c>
      <c r="J178" s="151">
        <f>INDEX('Analysis of bottom-up tags'!$N$157:$W$159,MATCH(Dashboard!$B178,'Analysis of bottom-up tags'!$B$157:$B$159,0),MATCH(Dashboard!J$21,'Analysis of bottom-up tags'!$N$6:$W$6,0))*J$22</f>
        <v>72.89408011270568</v>
      </c>
      <c r="K178" s="151">
        <f>INDEX('Analysis of bottom-up tags'!$N$157:$W$159,MATCH(Dashboard!$B178,'Analysis of bottom-up tags'!$B$157:$B$159,0),MATCH(Dashboard!K$21,'Analysis of bottom-up tags'!$N$6:$W$6,0))*K$22</f>
        <v>2.110689899928178</v>
      </c>
      <c r="L178" s="151">
        <f>INDEX('Analysis of bottom-up tags'!$N$157:$W$159,MATCH(Dashboard!$B178,'Analysis of bottom-up tags'!$B$157:$B$159,0),MATCH(Dashboard!L$21,'Analysis of bottom-up tags'!$N$6:$W$6,0))*L$22</f>
        <v>16.017136834503447</v>
      </c>
      <c r="M178" s="187"/>
    </row>
    <row r="179" spans="1:13">
      <c r="B179" s="22"/>
    </row>
    <row r="180" spans="1:13">
      <c r="B180" s="22"/>
    </row>
    <row r="181" spans="1:13">
      <c r="B181" s="98" t="s">
        <v>11128</v>
      </c>
      <c r="C181" s="163" t="s">
        <v>11097</v>
      </c>
      <c r="D181" s="163"/>
      <c r="E181" s="163"/>
      <c r="F181" s="163"/>
      <c r="G181" s="163"/>
      <c r="H181" s="163"/>
      <c r="I181" s="163"/>
      <c r="J181" s="163"/>
      <c r="K181" s="163"/>
      <c r="L181" s="163"/>
      <c r="M181" s="163"/>
    </row>
    <row r="182" spans="1:13">
      <c r="B182" s="151" t="s">
        <v>11108</v>
      </c>
      <c r="C182" s="151">
        <f>INDEX('Analysis of bottom-up tags'!$N$163:$W$168,MATCH(Dashboard!$B182,'Analysis of bottom-up tags'!$B$163:$B$168,0),MATCH(Dashboard!C$21,'Analysis of bottom-up tags'!$N$6:$W$6,0))*C$22</f>
        <v>0</v>
      </c>
      <c r="D182" s="151">
        <f>INDEX('Analysis of bottom-up tags'!$N$163:$W$168,MATCH(Dashboard!$B182,'Analysis of bottom-up tags'!$B$163:$B$168,0),MATCH(Dashboard!D$21,'Analysis of bottom-up tags'!$N$6:$W$6,0))*D$22</f>
        <v>0</v>
      </c>
      <c r="E182" s="151">
        <f>INDEX('Analysis of bottom-up tags'!$N$163:$W$168,MATCH(Dashboard!$B182,'Analysis of bottom-up tags'!$B$163:$B$168,0),MATCH(Dashboard!E$21,'Analysis of bottom-up tags'!$N$6:$W$6,0))*E$22</f>
        <v>0</v>
      </c>
      <c r="F182" s="151">
        <f>INDEX('Analysis of bottom-up tags'!$N$163:$W$168,MATCH(Dashboard!$B182,'Analysis of bottom-up tags'!$B$163:$B$168,0),MATCH(Dashboard!F$21,'Analysis of bottom-up tags'!$N$6:$W$6,0))*F$22</f>
        <v>0</v>
      </c>
      <c r="G182" s="151">
        <f>INDEX('Analysis of bottom-up tags'!$N$163:$W$168,MATCH(Dashboard!$B182,'Analysis of bottom-up tags'!$B$163:$B$168,0),MATCH(Dashboard!G$21,'Analysis of bottom-up tags'!$N$6:$W$6,0))*G$22</f>
        <v>0</v>
      </c>
      <c r="H182" s="151">
        <f>INDEX('Analysis of bottom-up tags'!$N$163:$W$168,MATCH(Dashboard!$B182,'Analysis of bottom-up tags'!$B$163:$B$168,0),MATCH(Dashboard!H$21,'Analysis of bottom-up tags'!$N$6:$W$6,0))*H$22</f>
        <v>0</v>
      </c>
      <c r="I182" s="151">
        <f>INDEX('Analysis of bottom-up tags'!$N$163:$W$168,MATCH(Dashboard!$B182,'Analysis of bottom-up tags'!$B$163:$B$168,0),MATCH(Dashboard!I$21,'Analysis of bottom-up tags'!$N$6:$W$6,0))*I$22</f>
        <v>4.3374285787495337</v>
      </c>
      <c r="J182" s="151">
        <f>INDEX('Analysis of bottom-up tags'!$N$163:$W$168,MATCH(Dashboard!$B182,'Analysis of bottom-up tags'!$B$163:$B$168,0),MATCH(Dashboard!J$21,'Analysis of bottom-up tags'!$N$6:$W$6,0))*J$22</f>
        <v>32.883697175990385</v>
      </c>
      <c r="K182" s="151">
        <f>INDEX('Analysis of bottom-up tags'!$N$163:$W$168,MATCH(Dashboard!$B182,'Analysis of bottom-up tags'!$B$163:$B$168,0),MATCH(Dashboard!K$21,'Analysis of bottom-up tags'!$N$6:$W$6,0))*K$22</f>
        <v>2.110689899928178</v>
      </c>
      <c r="L182" s="151">
        <f>INDEX('Analysis of bottom-up tags'!$N$163:$W$168,MATCH(Dashboard!$B182,'Analysis of bottom-up tags'!$B$163:$B$168,0),MATCH(Dashboard!L$21,'Analysis of bottom-up tags'!$N$6:$W$6,0))*L$22</f>
        <v>16.017136834503447</v>
      </c>
      <c r="M182" s="151">
        <f>SUM(C182:L182)</f>
        <v>55.348952489171538</v>
      </c>
    </row>
    <row r="183" spans="1:13">
      <c r="B183" s="151" t="s">
        <v>11110</v>
      </c>
      <c r="C183" s="151">
        <f>INDEX('Analysis of bottom-up tags'!$N$163:$W$168,MATCH(Dashboard!$B183,'Analysis of bottom-up tags'!$B$163:$B$168,0),MATCH(Dashboard!C$21,'Analysis of bottom-up tags'!$N$6:$W$6,0))*C$22</f>
        <v>0</v>
      </c>
      <c r="D183" s="151">
        <f>INDEX('Analysis of bottom-up tags'!$N$163:$W$168,MATCH(Dashboard!$B183,'Analysis of bottom-up tags'!$B$163:$B$168,0),MATCH(Dashboard!D$21,'Analysis of bottom-up tags'!$N$6:$W$6,0))*D$22</f>
        <v>0</v>
      </c>
      <c r="E183" s="151">
        <f>INDEX('Analysis of bottom-up tags'!$N$163:$W$168,MATCH(Dashboard!$B183,'Analysis of bottom-up tags'!$B$163:$B$168,0),MATCH(Dashboard!E$21,'Analysis of bottom-up tags'!$N$6:$W$6,0))*E$22</f>
        <v>0</v>
      </c>
      <c r="F183" s="151">
        <f>INDEX('Analysis of bottom-up tags'!$N$163:$W$168,MATCH(Dashboard!$B183,'Analysis of bottom-up tags'!$B$163:$B$168,0),MATCH(Dashboard!F$21,'Analysis of bottom-up tags'!$N$6:$W$6,0))*F$22</f>
        <v>0</v>
      </c>
      <c r="G183" s="151">
        <f>INDEX('Analysis of bottom-up tags'!$N$163:$W$168,MATCH(Dashboard!$B183,'Analysis of bottom-up tags'!$B$163:$B$168,0),MATCH(Dashboard!G$21,'Analysis of bottom-up tags'!$N$6:$W$6,0))*G$22</f>
        <v>0</v>
      </c>
      <c r="H183" s="151">
        <f>INDEX('Analysis of bottom-up tags'!$N$163:$W$168,MATCH(Dashboard!$B183,'Analysis of bottom-up tags'!$B$163:$B$168,0),MATCH(Dashboard!H$21,'Analysis of bottom-up tags'!$N$6:$W$6,0))*H$22</f>
        <v>0</v>
      </c>
      <c r="I183" s="151">
        <f>INDEX('Analysis of bottom-up tags'!$N$163:$W$168,MATCH(Dashboard!$B183,'Analysis of bottom-up tags'!$B$163:$B$168,0),MATCH(Dashboard!I$21,'Analysis of bottom-up tags'!$N$6:$W$6,0))*I$22</f>
        <v>0</v>
      </c>
      <c r="J183" s="151">
        <f>INDEX('Analysis of bottom-up tags'!$N$163:$W$168,MATCH(Dashboard!$B183,'Analysis of bottom-up tags'!$B$163:$B$168,0),MATCH(Dashboard!J$21,'Analysis of bottom-up tags'!$N$6:$W$6,0))*J$22</f>
        <v>0</v>
      </c>
      <c r="K183" s="151">
        <f>INDEX('Analysis of bottom-up tags'!$N$163:$W$168,MATCH(Dashboard!$B183,'Analysis of bottom-up tags'!$B$163:$B$168,0),MATCH(Dashboard!K$21,'Analysis of bottom-up tags'!$N$6:$W$6,0))*K$22</f>
        <v>0</v>
      </c>
      <c r="L183" s="151">
        <f>INDEX('Analysis of bottom-up tags'!$N$163:$W$168,MATCH(Dashboard!$B183,'Analysis of bottom-up tags'!$B$163:$B$168,0),MATCH(Dashboard!L$21,'Analysis of bottom-up tags'!$N$6:$W$6,0))*L$22</f>
        <v>0</v>
      </c>
      <c r="M183" s="151">
        <f t="shared" ref="M183:M187" si="24">SUM(C183:L183)</f>
        <v>0</v>
      </c>
    </row>
    <row r="184" spans="1:13">
      <c r="B184" s="151" t="s">
        <v>11109</v>
      </c>
      <c r="C184" s="151">
        <f>INDEX('Analysis of bottom-up tags'!$N$163:$W$168,MATCH(Dashboard!$B184,'Analysis of bottom-up tags'!$B$163:$B$168,0),MATCH(Dashboard!C$21,'Analysis of bottom-up tags'!$N$6:$W$6,0))*C$22</f>
        <v>0</v>
      </c>
      <c r="D184" s="151">
        <f>INDEX('Analysis of bottom-up tags'!$N$163:$W$168,MATCH(Dashboard!$B184,'Analysis of bottom-up tags'!$B$163:$B$168,0),MATCH(Dashboard!D$21,'Analysis of bottom-up tags'!$N$6:$W$6,0))*D$22</f>
        <v>0</v>
      </c>
      <c r="E184" s="151">
        <f>INDEX('Analysis of bottom-up tags'!$N$163:$W$168,MATCH(Dashboard!$B184,'Analysis of bottom-up tags'!$B$163:$B$168,0),MATCH(Dashboard!E$21,'Analysis of bottom-up tags'!$N$6:$W$6,0))*E$22</f>
        <v>0</v>
      </c>
      <c r="F184" s="151">
        <f>INDEX('Analysis of bottom-up tags'!$N$163:$W$168,MATCH(Dashboard!$B184,'Analysis of bottom-up tags'!$B$163:$B$168,0),MATCH(Dashboard!F$21,'Analysis of bottom-up tags'!$N$6:$W$6,0))*F$22</f>
        <v>0</v>
      </c>
      <c r="G184" s="151">
        <f>INDEX('Analysis of bottom-up tags'!$N$163:$W$168,MATCH(Dashboard!$B184,'Analysis of bottom-up tags'!$B$163:$B$168,0),MATCH(Dashboard!G$21,'Analysis of bottom-up tags'!$N$6:$W$6,0))*G$22</f>
        <v>0</v>
      </c>
      <c r="H184" s="151">
        <f>INDEX('Analysis of bottom-up tags'!$N$163:$W$168,MATCH(Dashboard!$B184,'Analysis of bottom-up tags'!$B$163:$B$168,0),MATCH(Dashboard!H$21,'Analysis of bottom-up tags'!$N$6:$W$6,0))*H$22</f>
        <v>0</v>
      </c>
      <c r="I184" s="151">
        <f>INDEX('Analysis of bottom-up tags'!$N$163:$W$168,MATCH(Dashboard!$B184,'Analysis of bottom-up tags'!$B$163:$B$168,0),MATCH(Dashboard!I$21,'Analysis of bottom-up tags'!$N$6:$W$6,0))*I$22</f>
        <v>0</v>
      </c>
      <c r="J184" s="151">
        <f>INDEX('Analysis of bottom-up tags'!$N$163:$W$168,MATCH(Dashboard!$B184,'Analysis of bottom-up tags'!$B$163:$B$168,0),MATCH(Dashboard!J$21,'Analysis of bottom-up tags'!$N$6:$W$6,0))*J$22</f>
        <v>0</v>
      </c>
      <c r="K184" s="151">
        <f>INDEX('Analysis of bottom-up tags'!$N$163:$W$168,MATCH(Dashboard!$B184,'Analysis of bottom-up tags'!$B$163:$B$168,0),MATCH(Dashboard!K$21,'Analysis of bottom-up tags'!$N$6:$W$6,0))*K$22</f>
        <v>0</v>
      </c>
      <c r="L184" s="151">
        <f>INDEX('Analysis of bottom-up tags'!$N$163:$W$168,MATCH(Dashboard!$B184,'Analysis of bottom-up tags'!$B$163:$B$168,0),MATCH(Dashboard!L$21,'Analysis of bottom-up tags'!$N$6:$W$6,0))*L$22</f>
        <v>0</v>
      </c>
      <c r="M184" s="151">
        <f t="shared" si="24"/>
        <v>0</v>
      </c>
    </row>
    <row r="185" spans="1:13">
      <c r="B185" s="151" t="s">
        <v>11111</v>
      </c>
      <c r="C185" s="151">
        <f>INDEX('Analysis of bottom-up tags'!$N$163:$W$168,MATCH(Dashboard!$B185,'Analysis of bottom-up tags'!$B$163:$B$168,0),MATCH(Dashboard!C$21,'Analysis of bottom-up tags'!$N$6:$W$6,0))*C$22</f>
        <v>0</v>
      </c>
      <c r="D185" s="151">
        <f>INDEX('Analysis of bottom-up tags'!$N$163:$W$168,MATCH(Dashboard!$B185,'Analysis of bottom-up tags'!$B$163:$B$168,0),MATCH(Dashboard!D$21,'Analysis of bottom-up tags'!$N$6:$W$6,0))*D$22</f>
        <v>0</v>
      </c>
      <c r="E185" s="151">
        <f>INDEX('Analysis of bottom-up tags'!$N$163:$W$168,MATCH(Dashboard!$B185,'Analysis of bottom-up tags'!$B$163:$B$168,0),MATCH(Dashboard!E$21,'Analysis of bottom-up tags'!$N$6:$W$6,0))*E$22</f>
        <v>0</v>
      </c>
      <c r="F185" s="151">
        <f>INDEX('Analysis of bottom-up tags'!$N$163:$W$168,MATCH(Dashboard!$B185,'Analysis of bottom-up tags'!$B$163:$B$168,0),MATCH(Dashboard!F$21,'Analysis of bottom-up tags'!$N$6:$W$6,0))*F$22</f>
        <v>0</v>
      </c>
      <c r="G185" s="151">
        <f>INDEX('Analysis of bottom-up tags'!$N$163:$W$168,MATCH(Dashboard!$B185,'Analysis of bottom-up tags'!$B$163:$B$168,0),MATCH(Dashboard!G$21,'Analysis of bottom-up tags'!$N$6:$W$6,0))*G$22</f>
        <v>0</v>
      </c>
      <c r="H185" s="151">
        <f>INDEX('Analysis of bottom-up tags'!$N$163:$W$168,MATCH(Dashboard!$B185,'Analysis of bottom-up tags'!$B$163:$B$168,0),MATCH(Dashboard!H$21,'Analysis of bottom-up tags'!$N$6:$W$6,0))*H$22</f>
        <v>0</v>
      </c>
      <c r="I185" s="151">
        <f>INDEX('Analysis of bottom-up tags'!$N$163:$W$168,MATCH(Dashboard!$B185,'Analysis of bottom-up tags'!$B$163:$B$168,0),MATCH(Dashboard!I$21,'Analysis of bottom-up tags'!$N$6:$W$6,0))*I$22</f>
        <v>0</v>
      </c>
      <c r="J185" s="151">
        <f>INDEX('Analysis of bottom-up tags'!$N$163:$W$168,MATCH(Dashboard!$B185,'Analysis of bottom-up tags'!$B$163:$B$168,0),MATCH(Dashboard!J$21,'Analysis of bottom-up tags'!$N$6:$W$6,0))*J$22</f>
        <v>0</v>
      </c>
      <c r="K185" s="151">
        <f>INDEX('Analysis of bottom-up tags'!$N$163:$W$168,MATCH(Dashboard!$B185,'Analysis of bottom-up tags'!$B$163:$B$168,0),MATCH(Dashboard!K$21,'Analysis of bottom-up tags'!$N$6:$W$6,0))*K$22</f>
        <v>0</v>
      </c>
      <c r="L185" s="151">
        <f>INDEX('Analysis of bottom-up tags'!$N$163:$W$168,MATCH(Dashboard!$B185,'Analysis of bottom-up tags'!$B$163:$B$168,0),MATCH(Dashboard!L$21,'Analysis of bottom-up tags'!$N$6:$W$6,0))*L$22</f>
        <v>0</v>
      </c>
      <c r="M185" s="151">
        <f t="shared" si="24"/>
        <v>0</v>
      </c>
    </row>
    <row r="186" spans="1:13">
      <c r="B186" s="151" t="s">
        <v>10621</v>
      </c>
      <c r="C186" s="151">
        <f>INDEX('Analysis of bottom-up tags'!$N$163:$W$168,MATCH(Dashboard!$B186,'Analysis of bottom-up tags'!$B$163:$B$168,0),MATCH(Dashboard!C$21,'Analysis of bottom-up tags'!$N$6:$W$6,0))*C$22</f>
        <v>0</v>
      </c>
      <c r="D186" s="151">
        <f>INDEX('Analysis of bottom-up tags'!$N$163:$W$168,MATCH(Dashboard!$B186,'Analysis of bottom-up tags'!$B$163:$B$168,0),MATCH(Dashboard!D$21,'Analysis of bottom-up tags'!$N$6:$W$6,0))*D$22</f>
        <v>0</v>
      </c>
      <c r="E186" s="151">
        <f>INDEX('Analysis of bottom-up tags'!$N$163:$W$168,MATCH(Dashboard!$B186,'Analysis of bottom-up tags'!$B$163:$B$168,0),MATCH(Dashboard!E$21,'Analysis of bottom-up tags'!$N$6:$W$6,0))*E$22</f>
        <v>0</v>
      </c>
      <c r="F186" s="151">
        <f>INDEX('Analysis of bottom-up tags'!$N$163:$W$168,MATCH(Dashboard!$B186,'Analysis of bottom-up tags'!$B$163:$B$168,0),MATCH(Dashboard!F$21,'Analysis of bottom-up tags'!$N$6:$W$6,0))*F$22</f>
        <v>0</v>
      </c>
      <c r="G186" s="151">
        <f>INDEX('Analysis of bottom-up tags'!$N$163:$W$168,MATCH(Dashboard!$B186,'Analysis of bottom-up tags'!$B$163:$B$168,0),MATCH(Dashboard!G$21,'Analysis of bottom-up tags'!$N$6:$W$6,0))*G$22</f>
        <v>0</v>
      </c>
      <c r="H186" s="151">
        <f>INDEX('Analysis of bottom-up tags'!$N$163:$W$168,MATCH(Dashboard!$B186,'Analysis of bottom-up tags'!$B$163:$B$168,0),MATCH(Dashboard!H$21,'Analysis of bottom-up tags'!$N$6:$W$6,0))*H$22</f>
        <v>0</v>
      </c>
      <c r="I186" s="151">
        <f>INDEX('Analysis of bottom-up tags'!$N$163:$W$168,MATCH(Dashboard!$B186,'Analysis of bottom-up tags'!$B$163:$B$168,0),MATCH(Dashboard!I$21,'Analysis of bottom-up tags'!$N$6:$W$6,0))*I$22</f>
        <v>0</v>
      </c>
      <c r="J186" s="151">
        <f>INDEX('Analysis of bottom-up tags'!$N$163:$W$168,MATCH(Dashboard!$B186,'Analysis of bottom-up tags'!$B$163:$B$168,0),MATCH(Dashboard!J$21,'Analysis of bottom-up tags'!$N$6:$W$6,0))*J$22</f>
        <v>0</v>
      </c>
      <c r="K186" s="151">
        <f>INDEX('Analysis of bottom-up tags'!$N$163:$W$168,MATCH(Dashboard!$B186,'Analysis of bottom-up tags'!$B$163:$B$168,0),MATCH(Dashboard!K$21,'Analysis of bottom-up tags'!$N$6:$W$6,0))*K$22</f>
        <v>0</v>
      </c>
      <c r="L186" s="151">
        <f>INDEX('Analysis of bottom-up tags'!$N$163:$W$168,MATCH(Dashboard!$B186,'Analysis of bottom-up tags'!$B$163:$B$168,0),MATCH(Dashboard!L$21,'Analysis of bottom-up tags'!$N$6:$W$6,0))*L$22</f>
        <v>0</v>
      </c>
      <c r="M186" s="151">
        <f t="shared" si="24"/>
        <v>0</v>
      </c>
    </row>
    <row r="187" spans="1:13">
      <c r="B187" s="151" t="s">
        <v>10558</v>
      </c>
      <c r="C187" s="151">
        <f>INDEX('Analysis of bottom-up tags'!$N$163:$W$168,MATCH(Dashboard!$B187,'Analysis of bottom-up tags'!$B$163:$B$168,0),MATCH(Dashboard!C$21,'Analysis of bottom-up tags'!$N$6:$W$6,0))*C$22</f>
        <v>0</v>
      </c>
      <c r="D187" s="151">
        <f>INDEX('Analysis of bottom-up tags'!$N$163:$W$168,MATCH(Dashboard!$B187,'Analysis of bottom-up tags'!$B$163:$B$168,0),MATCH(Dashboard!D$21,'Analysis of bottom-up tags'!$N$6:$W$6,0))*D$22</f>
        <v>0</v>
      </c>
      <c r="E187" s="151">
        <f>INDEX('Analysis of bottom-up tags'!$N$163:$W$168,MATCH(Dashboard!$B187,'Analysis of bottom-up tags'!$B$163:$B$168,0),MATCH(Dashboard!E$21,'Analysis of bottom-up tags'!$N$6:$W$6,0))*E$22</f>
        <v>0</v>
      </c>
      <c r="F187" s="151">
        <f>INDEX('Analysis of bottom-up tags'!$N$163:$W$168,MATCH(Dashboard!$B187,'Analysis of bottom-up tags'!$B$163:$B$168,0),MATCH(Dashboard!F$21,'Analysis of bottom-up tags'!$N$6:$W$6,0))*F$22</f>
        <v>0</v>
      </c>
      <c r="G187" s="151">
        <f>INDEX('Analysis of bottom-up tags'!$N$163:$W$168,MATCH(Dashboard!$B187,'Analysis of bottom-up tags'!$B$163:$B$168,0),MATCH(Dashboard!G$21,'Analysis of bottom-up tags'!$N$6:$W$6,0))*G$22</f>
        <v>0</v>
      </c>
      <c r="H187" s="151">
        <f>INDEX('Analysis of bottom-up tags'!$N$163:$W$168,MATCH(Dashboard!$B187,'Analysis of bottom-up tags'!$B$163:$B$168,0),MATCH(Dashboard!H$21,'Analysis of bottom-up tags'!$N$6:$W$6,0))*H$22</f>
        <v>0</v>
      </c>
      <c r="I187" s="151">
        <f>INDEX('Analysis of bottom-up tags'!$N$163:$W$168,MATCH(Dashboard!$B187,'Analysis of bottom-up tags'!$B$163:$B$168,0),MATCH(Dashboard!I$21,'Analysis of bottom-up tags'!$N$6:$W$6,0))*I$22</f>
        <v>0</v>
      </c>
      <c r="J187" s="151">
        <f>INDEX('Analysis of bottom-up tags'!$N$163:$W$168,MATCH(Dashboard!$B187,'Analysis of bottom-up tags'!$B$163:$B$168,0),MATCH(Dashboard!J$21,'Analysis of bottom-up tags'!$N$6:$W$6,0))*J$22</f>
        <v>0</v>
      </c>
      <c r="K187" s="151">
        <f>INDEX('Analysis of bottom-up tags'!$N$163:$W$168,MATCH(Dashboard!$B187,'Analysis of bottom-up tags'!$B$163:$B$168,0),MATCH(Dashboard!K$21,'Analysis of bottom-up tags'!$N$6:$W$6,0))*K$22</f>
        <v>0</v>
      </c>
      <c r="L187" s="151">
        <f>INDEX('Analysis of bottom-up tags'!$N$163:$W$168,MATCH(Dashboard!$B187,'Analysis of bottom-up tags'!$B$163:$B$168,0),MATCH(Dashboard!L$21,'Analysis of bottom-up tags'!$N$6:$W$6,0))*L$22</f>
        <v>0</v>
      </c>
      <c r="M187" s="151">
        <f t="shared" si="24"/>
        <v>0</v>
      </c>
    </row>
    <row r="188" spans="1:13">
      <c r="B188" s="22"/>
    </row>
    <row r="189" spans="1:13">
      <c r="B189" s="98" t="s">
        <v>11129</v>
      </c>
      <c r="C189" s="163"/>
      <c r="D189" s="163"/>
      <c r="E189" s="163"/>
      <c r="F189" s="163"/>
      <c r="G189" s="163"/>
      <c r="H189" s="163"/>
      <c r="I189" s="163"/>
      <c r="J189" s="163"/>
      <c r="K189" s="163"/>
      <c r="L189" s="163"/>
      <c r="M189" s="163"/>
    </row>
    <row r="190" spans="1:13">
      <c r="A190" s="64"/>
      <c r="B190" s="151" t="s">
        <v>11108</v>
      </c>
      <c r="C190" s="151">
        <f>INDEX('Analysis of bottom-up tags'!$N$173:$W$178,MATCH(Dashboard!$B190,'Analysis of bottom-up tags'!$B$173:$B$178,0),MATCH(Dashboard!C$21,'Analysis of bottom-up tags'!$N$6:$W$6,0))*C$22</f>
        <v>403.00091420880432</v>
      </c>
      <c r="D190" s="151">
        <f>INDEX('Analysis of bottom-up tags'!$N$173:$W$178,MATCH(Dashboard!$B190,'Analysis of bottom-up tags'!$B$173:$B$178,0),MATCH(Dashboard!D$21,'Analysis of bottom-up tags'!$N$6:$W$6,0))*D$22</f>
        <v>1125.9688608021818</v>
      </c>
      <c r="E190" s="151">
        <f>INDEX('Analysis of bottom-up tags'!$N$173:$W$178,MATCH(Dashboard!$B190,'Analysis of bottom-up tags'!$B$173:$B$178,0),MATCH(Dashboard!E$21,'Analysis of bottom-up tags'!$N$6:$W$6,0))*E$22</f>
        <v>472.15969548457088</v>
      </c>
      <c r="F190" s="151">
        <f>INDEX('Analysis of bottom-up tags'!$N$173:$W$178,MATCH(Dashboard!$B190,'Analysis of bottom-up tags'!$B$173:$B$178,0),MATCH(Dashboard!F$21,'Analysis of bottom-up tags'!$N$6:$W$6,0))*F$22</f>
        <v>821.2419901167757</v>
      </c>
      <c r="G190" s="151">
        <f>INDEX('Analysis of bottom-up tags'!$N$173:$W$178,MATCH(Dashboard!$B190,'Analysis of bottom-up tags'!$B$173:$B$178,0),MATCH(Dashboard!G$21,'Analysis of bottom-up tags'!$N$6:$W$6,0))*G$22</f>
        <v>965.90948256689967</v>
      </c>
      <c r="H190" s="151">
        <f>INDEX('Analysis of bottom-up tags'!$N$173:$W$178,MATCH(Dashboard!$B190,'Analysis of bottom-up tags'!$B$173:$B$178,0),MATCH(Dashboard!H$21,'Analysis of bottom-up tags'!$N$6:$W$6,0))*H$22</f>
        <v>655.88474484410926</v>
      </c>
      <c r="I190" s="151">
        <f>INDEX('Analysis of bottom-up tags'!$N$173:$W$178,MATCH(Dashboard!$B190,'Analysis of bottom-up tags'!$B$173:$B$178,0),MATCH(Dashboard!I$21,'Analysis of bottom-up tags'!$N$6:$W$6,0))*I$22</f>
        <v>437.45699024028579</v>
      </c>
      <c r="J190" s="151">
        <f>INDEX('Analysis of bottom-up tags'!$N$173:$W$178,MATCH(Dashboard!$B190,'Analysis of bottom-up tags'!$B$173:$B$178,0),MATCH(Dashboard!J$21,'Analysis of bottom-up tags'!$N$6:$W$6,0))*J$22</f>
        <v>484.60904900042323</v>
      </c>
      <c r="K190" s="151">
        <f>INDEX('Analysis of bottom-up tags'!$N$173:$W$178,MATCH(Dashboard!$B190,'Analysis of bottom-up tags'!$B$173:$B$178,0),MATCH(Dashboard!K$21,'Analysis of bottom-up tags'!$N$6:$W$6,0))*K$22</f>
        <v>164.51851128109357</v>
      </c>
      <c r="L190" s="151">
        <f>INDEX('Analysis of bottom-up tags'!$N$173:$W$178,MATCH(Dashboard!$B190,'Analysis of bottom-up tags'!$B$173:$B$178,0),MATCH(Dashboard!L$21,'Analysis of bottom-up tags'!$N$6:$W$6,0))*L$22</f>
        <v>1007.4455127170967</v>
      </c>
      <c r="M190" s="151">
        <f>SUM(C190:L190)</f>
        <v>6538.1957512622403</v>
      </c>
    </row>
    <row r="191" spans="1:13">
      <c r="A191" s="64"/>
      <c r="B191" s="151" t="s">
        <v>11110</v>
      </c>
      <c r="C191" s="151">
        <f>INDEX('Analysis of bottom-up tags'!$N$173:$W$178,MATCH(Dashboard!$B191,'Analysis of bottom-up tags'!$B$173:$B$178,0),MATCH(Dashboard!C$21,'Analysis of bottom-up tags'!$N$6:$W$6,0))*C$22</f>
        <v>0</v>
      </c>
      <c r="D191" s="151">
        <f>INDEX('Analysis of bottom-up tags'!$N$173:$W$178,MATCH(Dashboard!$B191,'Analysis of bottom-up tags'!$B$173:$B$178,0),MATCH(Dashboard!D$21,'Analysis of bottom-up tags'!$N$6:$W$6,0))*D$22</f>
        <v>0</v>
      </c>
      <c r="E191" s="151">
        <f>INDEX('Analysis of bottom-up tags'!$N$173:$W$178,MATCH(Dashboard!$B191,'Analysis of bottom-up tags'!$B$173:$B$178,0),MATCH(Dashboard!E$21,'Analysis of bottom-up tags'!$N$6:$W$6,0))*E$22</f>
        <v>0</v>
      </c>
      <c r="F191" s="151">
        <f>INDEX('Analysis of bottom-up tags'!$N$173:$W$178,MATCH(Dashboard!$B191,'Analysis of bottom-up tags'!$B$173:$B$178,0),MATCH(Dashboard!F$21,'Analysis of bottom-up tags'!$N$6:$W$6,0))*F$22</f>
        <v>0</v>
      </c>
      <c r="G191" s="151">
        <f>INDEX('Analysis of bottom-up tags'!$N$173:$W$178,MATCH(Dashboard!$B191,'Analysis of bottom-up tags'!$B$173:$B$178,0),MATCH(Dashboard!G$21,'Analysis of bottom-up tags'!$N$6:$W$6,0))*G$22</f>
        <v>0</v>
      </c>
      <c r="H191" s="151">
        <f>INDEX('Analysis of bottom-up tags'!$N$173:$W$178,MATCH(Dashboard!$B191,'Analysis of bottom-up tags'!$B$173:$B$178,0),MATCH(Dashboard!H$21,'Analysis of bottom-up tags'!$N$6:$W$6,0))*H$22</f>
        <v>77.413127708863811</v>
      </c>
      <c r="I191" s="151">
        <f>INDEX('Analysis of bottom-up tags'!$N$173:$W$178,MATCH(Dashboard!$B191,'Analysis of bottom-up tags'!$B$173:$B$178,0),MATCH(Dashboard!I$21,'Analysis of bottom-up tags'!$N$6:$W$6,0))*I$22</f>
        <v>8.9243228175651517</v>
      </c>
      <c r="J191" s="151">
        <f>INDEX('Analysis of bottom-up tags'!$N$173:$W$178,MATCH(Dashboard!$B191,'Analysis of bottom-up tags'!$B$173:$B$178,0),MATCH(Dashboard!J$21,'Analysis of bottom-up tags'!$N$6:$W$6,0))*J$22</f>
        <v>67.355672719722918</v>
      </c>
      <c r="K191" s="151">
        <f>INDEX('Analysis of bottom-up tags'!$N$173:$W$178,MATCH(Dashboard!$B191,'Analysis of bottom-up tags'!$B$173:$B$178,0),MATCH(Dashboard!K$21,'Analysis of bottom-up tags'!$N$6:$W$6,0))*K$22</f>
        <v>60.844203351501207</v>
      </c>
      <c r="L191" s="151">
        <f>INDEX('Analysis of bottom-up tags'!$N$173:$W$178,MATCH(Dashboard!$B191,'Analysis of bottom-up tags'!$B$173:$B$178,0),MATCH(Dashboard!L$21,'Analysis of bottom-up tags'!$N$6:$W$6,0))*L$22</f>
        <v>145.85496327369776</v>
      </c>
      <c r="M191" s="151">
        <f>SUM(C191:L191)</f>
        <v>360.39228987135084</v>
      </c>
    </row>
    <row r="192" spans="1:13">
      <c r="A192" s="64"/>
      <c r="B192" s="151" t="s">
        <v>11109</v>
      </c>
      <c r="C192" s="151">
        <f>INDEX('Analysis of bottom-up tags'!$N$173:$W$178,MATCH(Dashboard!$B192,'Analysis of bottom-up tags'!$B$173:$B$178,0),MATCH(Dashboard!C$21,'Analysis of bottom-up tags'!$N$6:$W$6,0))*C$22</f>
        <v>0</v>
      </c>
      <c r="D192" s="151">
        <f>INDEX('Analysis of bottom-up tags'!$N$173:$W$178,MATCH(Dashboard!$B192,'Analysis of bottom-up tags'!$B$173:$B$178,0),MATCH(Dashboard!D$21,'Analysis of bottom-up tags'!$N$6:$W$6,0))*D$22</f>
        <v>0</v>
      </c>
      <c r="E192" s="151">
        <f>INDEX('Analysis of bottom-up tags'!$N$173:$W$178,MATCH(Dashboard!$B192,'Analysis of bottom-up tags'!$B$173:$B$178,0),MATCH(Dashboard!E$21,'Analysis of bottom-up tags'!$N$6:$W$6,0))*E$22</f>
        <v>0</v>
      </c>
      <c r="F192" s="151">
        <f>INDEX('Analysis of bottom-up tags'!$N$173:$W$178,MATCH(Dashboard!$B192,'Analysis of bottom-up tags'!$B$173:$B$178,0),MATCH(Dashboard!F$21,'Analysis of bottom-up tags'!$N$6:$W$6,0))*F$22</f>
        <v>0</v>
      </c>
      <c r="G192" s="151">
        <f>INDEX('Analysis of bottom-up tags'!$N$173:$W$178,MATCH(Dashboard!$B192,'Analysis of bottom-up tags'!$B$173:$B$178,0),MATCH(Dashboard!G$21,'Analysis of bottom-up tags'!$N$6:$W$6,0))*G$22</f>
        <v>0</v>
      </c>
      <c r="H192" s="151">
        <f>INDEX('Analysis of bottom-up tags'!$N$173:$W$178,MATCH(Dashboard!$B192,'Analysis of bottom-up tags'!$B$173:$B$178,0),MATCH(Dashboard!H$21,'Analysis of bottom-up tags'!$N$6:$W$6,0))*H$22</f>
        <v>5.5618946625007686</v>
      </c>
      <c r="I192" s="151">
        <f>INDEX('Analysis of bottom-up tags'!$N$173:$W$178,MATCH(Dashboard!$B192,'Analysis of bottom-up tags'!$B$173:$B$178,0),MATCH(Dashboard!I$21,'Analysis of bottom-up tags'!$N$6:$W$6,0))*I$22</f>
        <v>63.68810685080981</v>
      </c>
      <c r="J192" s="151">
        <f>INDEX('Analysis of bottom-up tags'!$N$173:$W$178,MATCH(Dashboard!$B192,'Analysis of bottom-up tags'!$B$173:$B$178,0),MATCH(Dashboard!J$21,'Analysis of bottom-up tags'!$N$6:$W$6,0))*J$22</f>
        <v>60.428104312543887</v>
      </c>
      <c r="K192" s="151">
        <f>INDEX('Analysis of bottom-up tags'!$N$173:$W$178,MATCH(Dashboard!$B192,'Analysis of bottom-up tags'!$B$173:$B$178,0),MATCH(Dashboard!K$21,'Analysis of bottom-up tags'!$N$6:$W$6,0))*K$22</f>
        <v>39.846708903765744</v>
      </c>
      <c r="L192" s="151">
        <f>INDEX('Analysis of bottom-up tags'!$N$173:$W$178,MATCH(Dashboard!$B192,'Analysis of bottom-up tags'!$B$173:$B$178,0),MATCH(Dashboard!L$21,'Analysis of bottom-up tags'!$N$6:$W$6,0))*L$22</f>
        <v>0</v>
      </c>
      <c r="M192" s="151">
        <f t="shared" ref="M192" si="25">SUM(C192:L192)</f>
        <v>169.5248147296202</v>
      </c>
    </row>
    <row r="193" spans="1:13">
      <c r="A193" s="64"/>
      <c r="B193" s="151" t="s">
        <v>11111</v>
      </c>
      <c r="C193" s="151">
        <f>INDEX('Analysis of bottom-up tags'!$N$173:$W$178,MATCH(Dashboard!$B193,'Analysis of bottom-up tags'!$B$173:$B$178,0),MATCH(Dashboard!C$21,'Analysis of bottom-up tags'!$N$6:$W$6,0))*C$22</f>
        <v>0</v>
      </c>
      <c r="D193" s="151">
        <f>INDEX('Analysis of bottom-up tags'!$N$173:$W$178,MATCH(Dashboard!$B193,'Analysis of bottom-up tags'!$B$173:$B$178,0),MATCH(Dashboard!D$21,'Analysis of bottom-up tags'!$N$6:$W$6,0))*D$22</f>
        <v>0</v>
      </c>
      <c r="E193" s="151">
        <f>INDEX('Analysis of bottom-up tags'!$N$173:$W$178,MATCH(Dashboard!$B193,'Analysis of bottom-up tags'!$B$173:$B$178,0),MATCH(Dashboard!E$21,'Analysis of bottom-up tags'!$N$6:$W$6,0))*E$22</f>
        <v>0</v>
      </c>
      <c r="F193" s="151">
        <f>INDEX('Analysis of bottom-up tags'!$N$173:$W$178,MATCH(Dashboard!$B193,'Analysis of bottom-up tags'!$B$173:$B$178,0),MATCH(Dashboard!F$21,'Analysis of bottom-up tags'!$N$6:$W$6,0))*F$22</f>
        <v>0</v>
      </c>
      <c r="G193" s="151">
        <f>INDEX('Analysis of bottom-up tags'!$N$173:$W$178,MATCH(Dashboard!$B193,'Analysis of bottom-up tags'!$B$173:$B$178,0),MATCH(Dashboard!G$21,'Analysis of bottom-up tags'!$N$6:$W$6,0))*G$22</f>
        <v>0</v>
      </c>
      <c r="H193" s="151">
        <f>INDEX('Analysis of bottom-up tags'!$N$173:$W$178,MATCH(Dashboard!$B193,'Analysis of bottom-up tags'!$B$173:$B$178,0),MATCH(Dashboard!H$21,'Analysis of bottom-up tags'!$N$6:$W$6,0))*H$22</f>
        <v>0</v>
      </c>
      <c r="I193" s="151">
        <f>INDEX('Analysis of bottom-up tags'!$N$173:$W$178,MATCH(Dashboard!$B193,'Analysis of bottom-up tags'!$B$173:$B$178,0),MATCH(Dashboard!I$21,'Analysis of bottom-up tags'!$N$6:$W$6,0))*I$22</f>
        <v>0</v>
      </c>
      <c r="J193" s="151">
        <f>INDEX('Analysis of bottom-up tags'!$N$173:$W$178,MATCH(Dashboard!$B193,'Analysis of bottom-up tags'!$B$173:$B$178,0),MATCH(Dashboard!J$21,'Analysis of bottom-up tags'!$N$6:$W$6,0))*J$22</f>
        <v>0</v>
      </c>
      <c r="K193" s="151">
        <f>INDEX('Analysis of bottom-up tags'!$N$173:$W$178,MATCH(Dashboard!$B193,'Analysis of bottom-up tags'!$B$173:$B$178,0),MATCH(Dashboard!K$21,'Analysis of bottom-up tags'!$N$6:$W$6,0))*K$22</f>
        <v>0</v>
      </c>
      <c r="L193" s="151">
        <f>INDEX('Analysis of bottom-up tags'!$N$173:$W$178,MATCH(Dashboard!$B193,'Analysis of bottom-up tags'!$B$173:$B$178,0),MATCH(Dashboard!L$21,'Analysis of bottom-up tags'!$N$6:$W$6,0))*L$22</f>
        <v>0</v>
      </c>
      <c r="M193" s="151">
        <f>SUM(C193:L193)</f>
        <v>0</v>
      </c>
    </row>
    <row r="194" spans="1:13">
      <c r="A194" s="64"/>
      <c r="B194" s="151" t="s">
        <v>10621</v>
      </c>
      <c r="C194" s="151">
        <f>INDEX('Analysis of bottom-up tags'!$N$173:$W$178,MATCH(Dashboard!$B194,'Analysis of bottom-up tags'!$B$173:$B$178,0),MATCH(Dashboard!C$21,'Analysis of bottom-up tags'!$N$6:$W$6,0))*C$22</f>
        <v>0</v>
      </c>
      <c r="D194" s="151">
        <f>INDEX('Analysis of bottom-up tags'!$N$173:$W$178,MATCH(Dashboard!$B194,'Analysis of bottom-up tags'!$B$173:$B$178,0),MATCH(Dashboard!D$21,'Analysis of bottom-up tags'!$N$6:$W$6,0))*D$22</f>
        <v>0</v>
      </c>
      <c r="E194" s="151">
        <f>INDEX('Analysis of bottom-up tags'!$N$173:$W$178,MATCH(Dashboard!$B194,'Analysis of bottom-up tags'!$B$173:$B$178,0),MATCH(Dashboard!E$21,'Analysis of bottom-up tags'!$N$6:$W$6,0))*E$22</f>
        <v>0</v>
      </c>
      <c r="F194" s="151">
        <f>INDEX('Analysis of bottom-up tags'!$N$173:$W$178,MATCH(Dashboard!$B194,'Analysis of bottom-up tags'!$B$173:$B$178,0),MATCH(Dashboard!F$21,'Analysis of bottom-up tags'!$N$6:$W$6,0))*F$22</f>
        <v>0</v>
      </c>
      <c r="G194" s="151">
        <f>INDEX('Analysis of bottom-up tags'!$N$173:$W$178,MATCH(Dashboard!$B194,'Analysis of bottom-up tags'!$B$173:$B$178,0),MATCH(Dashboard!G$21,'Analysis of bottom-up tags'!$N$6:$W$6,0))*G$22</f>
        <v>76.212778873065616</v>
      </c>
      <c r="H194" s="151">
        <f>INDEX('Analysis of bottom-up tags'!$N$173:$W$178,MATCH(Dashboard!$B194,'Analysis of bottom-up tags'!$B$173:$B$178,0),MATCH(Dashboard!H$21,'Analysis of bottom-up tags'!$N$6:$W$6,0))*H$22</f>
        <v>4.9986648232601851</v>
      </c>
      <c r="I194" s="151">
        <f>INDEX('Analysis of bottom-up tags'!$N$173:$W$178,MATCH(Dashboard!$B194,'Analysis of bottom-up tags'!$B$173:$B$178,0),MATCH(Dashboard!I$21,'Analysis of bottom-up tags'!$N$6:$W$6,0))*I$22</f>
        <v>731.57370855615295</v>
      </c>
      <c r="J194" s="151">
        <f>INDEX('Analysis of bottom-up tags'!$N$173:$W$178,MATCH(Dashboard!$B194,'Analysis of bottom-up tags'!$B$173:$B$178,0),MATCH(Dashboard!J$21,'Analysis of bottom-up tags'!$N$6:$W$6,0))*J$22</f>
        <v>20.013977987025569</v>
      </c>
      <c r="K194" s="151">
        <f>INDEX('Analysis of bottom-up tags'!$N$173:$W$178,MATCH(Dashboard!$B194,'Analysis of bottom-up tags'!$B$173:$B$178,0),MATCH(Dashboard!K$21,'Analysis of bottom-up tags'!$N$6:$W$6,0))*K$22</f>
        <v>1333.2931629592695</v>
      </c>
      <c r="L194" s="151">
        <f>INDEX('Analysis of bottom-up tags'!$N$173:$W$178,MATCH(Dashboard!$B194,'Analysis of bottom-up tags'!$B$173:$B$178,0),MATCH(Dashboard!L$21,'Analysis of bottom-up tags'!$N$6:$W$6,0))*L$22</f>
        <v>34.0411981222096</v>
      </c>
      <c r="M194" s="151">
        <f>SUM(C194:L194)</f>
        <v>2200.1334913209835</v>
      </c>
    </row>
    <row r="195" spans="1:13">
      <c r="A195" s="64"/>
      <c r="B195" s="151" t="s">
        <v>10558</v>
      </c>
      <c r="C195" s="151">
        <f>INDEX('Analysis of bottom-up tags'!$N$173:$W$178,MATCH(Dashboard!$B195,'Analysis of bottom-up tags'!$B$173:$B$178,0),MATCH(Dashboard!C$21,'Analysis of bottom-up tags'!$N$6:$W$6,0))*C$22</f>
        <v>0</v>
      </c>
      <c r="D195" s="151">
        <f>INDEX('Analysis of bottom-up tags'!$N$173:$W$178,MATCH(Dashboard!$B195,'Analysis of bottom-up tags'!$B$173:$B$178,0),MATCH(Dashboard!D$21,'Analysis of bottom-up tags'!$N$6:$W$6,0))*D$22</f>
        <v>0</v>
      </c>
      <c r="E195" s="151">
        <f>INDEX('Analysis of bottom-up tags'!$N$173:$W$178,MATCH(Dashboard!$B195,'Analysis of bottom-up tags'!$B$173:$B$178,0),MATCH(Dashboard!E$21,'Analysis of bottom-up tags'!$N$6:$W$6,0))*E$22</f>
        <v>0</v>
      </c>
      <c r="F195" s="151">
        <f>INDEX('Analysis of bottom-up tags'!$N$173:$W$178,MATCH(Dashboard!$B195,'Analysis of bottom-up tags'!$B$173:$B$178,0),MATCH(Dashboard!F$21,'Analysis of bottom-up tags'!$N$6:$W$6,0))*F$22</f>
        <v>0</v>
      </c>
      <c r="G195" s="151">
        <f>INDEX('Analysis of bottom-up tags'!$N$173:$W$178,MATCH(Dashboard!$B195,'Analysis of bottom-up tags'!$B$173:$B$178,0),MATCH(Dashboard!G$21,'Analysis of bottom-up tags'!$N$6:$W$6,0))*G$22</f>
        <v>0</v>
      </c>
      <c r="H195" s="151">
        <f>INDEX('Analysis of bottom-up tags'!$N$173:$W$178,MATCH(Dashboard!$B195,'Analysis of bottom-up tags'!$B$173:$B$178,0),MATCH(Dashboard!H$21,'Analysis of bottom-up tags'!$N$6:$W$6,0))*H$22</f>
        <v>0</v>
      </c>
      <c r="I195" s="151">
        <f>INDEX('Analysis of bottom-up tags'!$N$173:$W$178,MATCH(Dashboard!$B195,'Analysis of bottom-up tags'!$B$173:$B$178,0),MATCH(Dashboard!I$21,'Analysis of bottom-up tags'!$N$6:$W$6,0))*I$22</f>
        <v>0</v>
      </c>
      <c r="J195" s="151">
        <f>INDEX('Analysis of bottom-up tags'!$N$173:$W$178,MATCH(Dashboard!$B195,'Analysis of bottom-up tags'!$B$173:$B$178,0),MATCH(Dashboard!J$21,'Analysis of bottom-up tags'!$N$6:$W$6,0))*J$22</f>
        <v>0</v>
      </c>
      <c r="K195" s="151">
        <f>INDEX('Analysis of bottom-up tags'!$N$173:$W$178,MATCH(Dashboard!$B195,'Analysis of bottom-up tags'!$B$173:$B$178,0),MATCH(Dashboard!K$21,'Analysis of bottom-up tags'!$N$6:$W$6,0))*K$22</f>
        <v>0</v>
      </c>
      <c r="L195" s="151">
        <f>INDEX('Analysis of bottom-up tags'!$N$173:$W$178,MATCH(Dashboard!$B195,'Analysis of bottom-up tags'!$B$173:$B$178,0),MATCH(Dashboard!L$21,'Analysis of bottom-up tags'!$N$6:$W$6,0))*L$22</f>
        <v>0</v>
      </c>
      <c r="M195" s="151">
        <f>SUM(C195:L195)</f>
        <v>0</v>
      </c>
    </row>
    <row r="197" spans="1:13">
      <c r="B197" s="22"/>
    </row>
    <row r="198" spans="1:13">
      <c r="B198" s="22"/>
    </row>
    <row r="199" spans="1:13">
      <c r="B199" s="98" t="s">
        <v>11130</v>
      </c>
      <c r="C199" s="163"/>
      <c r="D199" s="163"/>
      <c r="E199" s="163"/>
      <c r="F199" s="163"/>
      <c r="G199" s="163"/>
      <c r="H199" s="163"/>
      <c r="I199" s="163"/>
      <c r="J199" s="163"/>
      <c r="K199" s="163"/>
      <c r="L199" s="163"/>
      <c r="M199" s="163"/>
    </row>
    <row r="200" spans="1:13">
      <c r="B200" s="151" t="s">
        <v>11108</v>
      </c>
      <c r="C200" s="151">
        <f>INDEX('Analysis of bottom-up tags'!$N$183:$W$188,MATCH(Dashboard!$B200,'Analysis of bottom-up tags'!$B$183:$B$188,0),MATCH(Dashboard!C$21,'Analysis of bottom-up tags'!$N$6:$W$6,0))*C$22</f>
        <v>0</v>
      </c>
      <c r="D200" s="151">
        <f>INDEX('Analysis of bottom-up tags'!$N$183:$W$188,MATCH(Dashboard!$B200,'Analysis of bottom-up tags'!$B$183:$B$188,0),MATCH(Dashboard!D$21,'Analysis of bottom-up tags'!$N$6:$W$6,0))*D$22</f>
        <v>0</v>
      </c>
      <c r="E200" s="151">
        <f>INDEX('Analysis of bottom-up tags'!$N$183:$W$188,MATCH(Dashboard!$B200,'Analysis of bottom-up tags'!$B$183:$B$188,0),MATCH(Dashboard!E$21,'Analysis of bottom-up tags'!$N$6:$W$6,0))*E$22</f>
        <v>0</v>
      </c>
      <c r="F200" s="151">
        <f>INDEX('Analysis of bottom-up tags'!$N$183:$W$188,MATCH(Dashboard!$B200,'Analysis of bottom-up tags'!$B$183:$B$188,0),MATCH(Dashboard!F$21,'Analysis of bottom-up tags'!$N$6:$W$6,0))*F$22</f>
        <v>0</v>
      </c>
      <c r="G200" s="151">
        <f>INDEX('Analysis of bottom-up tags'!$N$183:$W$188,MATCH(Dashboard!$B200,'Analysis of bottom-up tags'!$B$183:$B$188,0),MATCH(Dashboard!G$21,'Analysis of bottom-up tags'!$N$6:$W$6,0))*G$22</f>
        <v>0</v>
      </c>
      <c r="H200" s="151">
        <f>INDEX('Analysis of bottom-up tags'!$N$183:$W$188,MATCH(Dashboard!$B200,'Analysis of bottom-up tags'!$B$183:$B$188,0),MATCH(Dashboard!H$21,'Analysis of bottom-up tags'!$N$6:$W$6,0))*H$22</f>
        <v>0</v>
      </c>
      <c r="I200" s="151">
        <f>INDEX('Analysis of bottom-up tags'!$N$183:$W$188,MATCH(Dashboard!$B200,'Analysis of bottom-up tags'!$B$183:$B$188,0),MATCH(Dashboard!I$21,'Analysis of bottom-up tags'!$N$6:$W$6,0))*I$22</f>
        <v>4.5771221975941279</v>
      </c>
      <c r="J200" s="151">
        <f>INDEX('Analysis of bottom-up tags'!$N$183:$W$188,MATCH(Dashboard!$B200,'Analysis of bottom-up tags'!$B$183:$B$188,0),MATCH(Dashboard!J$21,'Analysis of bottom-up tags'!$N$6:$W$6,0))*J$22</f>
        <v>72.89408011270568</v>
      </c>
      <c r="K200" s="151">
        <f>INDEX('Analysis of bottom-up tags'!$N$183:$W$188,MATCH(Dashboard!$B200,'Analysis of bottom-up tags'!$B$183:$B$188,0),MATCH(Dashboard!K$21,'Analysis of bottom-up tags'!$N$6:$W$6,0))*K$22</f>
        <v>2.110689899928178</v>
      </c>
      <c r="L200" s="151">
        <f>INDEX('Analysis of bottom-up tags'!$N$183:$W$188,MATCH(Dashboard!$B200,'Analysis of bottom-up tags'!$B$183:$B$188,0),MATCH(Dashboard!L$21,'Analysis of bottom-up tags'!$N$6:$W$6,0))*L$22</f>
        <v>16.017136834503447</v>
      </c>
      <c r="M200" s="151">
        <f>SUM(C200:L200)</f>
        <v>95.599029044731424</v>
      </c>
    </row>
    <row r="201" spans="1:13">
      <c r="B201" s="151" t="s">
        <v>11110</v>
      </c>
      <c r="C201" s="151">
        <f>INDEX('Analysis of bottom-up tags'!$N$183:$W$188,MATCH(Dashboard!$B201,'Analysis of bottom-up tags'!$B$183:$B$188,0),MATCH(Dashboard!C$21,'Analysis of bottom-up tags'!$N$6:$W$6,0))*C$22</f>
        <v>0</v>
      </c>
      <c r="D201" s="151">
        <f>INDEX('Analysis of bottom-up tags'!$N$183:$W$188,MATCH(Dashboard!$B201,'Analysis of bottom-up tags'!$B$183:$B$188,0),MATCH(Dashboard!D$21,'Analysis of bottom-up tags'!$N$6:$W$6,0))*D$22</f>
        <v>0</v>
      </c>
      <c r="E201" s="151">
        <f>INDEX('Analysis of bottom-up tags'!$N$183:$W$188,MATCH(Dashboard!$B201,'Analysis of bottom-up tags'!$B$183:$B$188,0),MATCH(Dashboard!E$21,'Analysis of bottom-up tags'!$N$6:$W$6,0))*E$22</f>
        <v>0</v>
      </c>
      <c r="F201" s="151">
        <f>INDEX('Analysis of bottom-up tags'!$N$183:$W$188,MATCH(Dashboard!$B201,'Analysis of bottom-up tags'!$B$183:$B$188,0),MATCH(Dashboard!F$21,'Analysis of bottom-up tags'!$N$6:$W$6,0))*F$22</f>
        <v>0</v>
      </c>
      <c r="G201" s="151">
        <f>INDEX('Analysis of bottom-up tags'!$N$183:$W$188,MATCH(Dashboard!$B201,'Analysis of bottom-up tags'!$B$183:$B$188,0),MATCH(Dashboard!G$21,'Analysis of bottom-up tags'!$N$6:$W$6,0))*G$22</f>
        <v>0</v>
      </c>
      <c r="H201" s="151">
        <f>INDEX('Analysis of bottom-up tags'!$N$183:$W$188,MATCH(Dashboard!$B201,'Analysis of bottom-up tags'!$B$183:$B$188,0),MATCH(Dashboard!H$21,'Analysis of bottom-up tags'!$N$6:$W$6,0))*H$22</f>
        <v>0</v>
      </c>
      <c r="I201" s="151">
        <f>INDEX('Analysis of bottom-up tags'!$N$183:$W$188,MATCH(Dashboard!$B201,'Analysis of bottom-up tags'!$B$183:$B$188,0),MATCH(Dashboard!I$21,'Analysis of bottom-up tags'!$N$6:$W$6,0))*I$22</f>
        <v>0</v>
      </c>
      <c r="J201" s="151">
        <f>INDEX('Analysis of bottom-up tags'!$N$183:$W$188,MATCH(Dashboard!$B201,'Analysis of bottom-up tags'!$B$183:$B$188,0),MATCH(Dashboard!J$21,'Analysis of bottom-up tags'!$N$6:$W$6,0))*J$22</f>
        <v>0</v>
      </c>
      <c r="K201" s="151">
        <f>INDEX('Analysis of bottom-up tags'!$N$183:$W$188,MATCH(Dashboard!$B201,'Analysis of bottom-up tags'!$B$183:$B$188,0),MATCH(Dashboard!K$21,'Analysis of bottom-up tags'!$N$6:$W$6,0))*K$22</f>
        <v>0</v>
      </c>
      <c r="L201" s="151">
        <f>INDEX('Analysis of bottom-up tags'!$N$183:$W$188,MATCH(Dashboard!$B201,'Analysis of bottom-up tags'!$B$183:$B$188,0),MATCH(Dashboard!L$21,'Analysis of bottom-up tags'!$N$6:$W$6,0))*L$22</f>
        <v>0</v>
      </c>
      <c r="M201" s="151">
        <f t="shared" ref="M201:M205" si="26">SUM(C201:L201)</f>
        <v>0</v>
      </c>
    </row>
    <row r="202" spans="1:13">
      <c r="B202" s="151" t="s">
        <v>11109</v>
      </c>
      <c r="C202" s="151">
        <f>INDEX('Analysis of bottom-up tags'!$N$183:$W$188,MATCH(Dashboard!$B202,'Analysis of bottom-up tags'!$B$183:$B$188,0),MATCH(Dashboard!C$21,'Analysis of bottom-up tags'!$N$6:$W$6,0))*C$22</f>
        <v>0</v>
      </c>
      <c r="D202" s="151">
        <f>INDEX('Analysis of bottom-up tags'!$N$183:$W$188,MATCH(Dashboard!$B202,'Analysis of bottom-up tags'!$B$183:$B$188,0),MATCH(Dashboard!D$21,'Analysis of bottom-up tags'!$N$6:$W$6,0))*D$22</f>
        <v>0</v>
      </c>
      <c r="E202" s="151">
        <f>INDEX('Analysis of bottom-up tags'!$N$183:$W$188,MATCH(Dashboard!$B202,'Analysis of bottom-up tags'!$B$183:$B$188,0),MATCH(Dashboard!E$21,'Analysis of bottom-up tags'!$N$6:$W$6,0))*E$22</f>
        <v>0</v>
      </c>
      <c r="F202" s="151">
        <f>INDEX('Analysis of bottom-up tags'!$N$183:$W$188,MATCH(Dashboard!$B202,'Analysis of bottom-up tags'!$B$183:$B$188,0),MATCH(Dashboard!F$21,'Analysis of bottom-up tags'!$N$6:$W$6,0))*F$22</f>
        <v>0</v>
      </c>
      <c r="G202" s="151">
        <f>INDEX('Analysis of bottom-up tags'!$N$183:$W$188,MATCH(Dashboard!$B202,'Analysis of bottom-up tags'!$B$183:$B$188,0),MATCH(Dashboard!G$21,'Analysis of bottom-up tags'!$N$6:$W$6,0))*G$22</f>
        <v>0</v>
      </c>
      <c r="H202" s="151">
        <f>INDEX('Analysis of bottom-up tags'!$N$183:$W$188,MATCH(Dashboard!$B202,'Analysis of bottom-up tags'!$B$183:$B$188,0),MATCH(Dashboard!H$21,'Analysis of bottom-up tags'!$N$6:$W$6,0))*H$22</f>
        <v>0</v>
      </c>
      <c r="I202" s="151">
        <f>INDEX('Analysis of bottom-up tags'!$N$183:$W$188,MATCH(Dashboard!$B202,'Analysis of bottom-up tags'!$B$183:$B$188,0),MATCH(Dashboard!I$21,'Analysis of bottom-up tags'!$N$6:$W$6,0))*I$22</f>
        <v>0</v>
      </c>
      <c r="J202" s="151">
        <f>INDEX('Analysis of bottom-up tags'!$N$183:$W$188,MATCH(Dashboard!$B202,'Analysis of bottom-up tags'!$B$183:$B$188,0),MATCH(Dashboard!J$21,'Analysis of bottom-up tags'!$N$6:$W$6,0))*J$22</f>
        <v>0</v>
      </c>
      <c r="K202" s="151">
        <f>INDEX('Analysis of bottom-up tags'!$N$183:$W$188,MATCH(Dashboard!$B202,'Analysis of bottom-up tags'!$B$183:$B$188,0),MATCH(Dashboard!K$21,'Analysis of bottom-up tags'!$N$6:$W$6,0))*K$22</f>
        <v>0</v>
      </c>
      <c r="L202" s="151">
        <f>INDEX('Analysis of bottom-up tags'!$N$183:$W$188,MATCH(Dashboard!$B202,'Analysis of bottom-up tags'!$B$183:$B$188,0),MATCH(Dashboard!L$21,'Analysis of bottom-up tags'!$N$6:$W$6,0))*L$22</f>
        <v>0</v>
      </c>
      <c r="M202" s="151">
        <f t="shared" si="26"/>
        <v>0</v>
      </c>
    </row>
    <row r="203" spans="1:13">
      <c r="B203" s="151" t="s">
        <v>11111</v>
      </c>
      <c r="C203" s="151">
        <f>INDEX('Analysis of bottom-up tags'!$N$183:$W$188,MATCH(Dashboard!$B203,'Analysis of bottom-up tags'!$B$183:$B$188,0),MATCH(Dashboard!C$21,'Analysis of bottom-up tags'!$N$6:$W$6,0))*C$22</f>
        <v>0</v>
      </c>
      <c r="D203" s="151">
        <f>INDEX('Analysis of bottom-up tags'!$N$183:$W$188,MATCH(Dashboard!$B203,'Analysis of bottom-up tags'!$B$183:$B$188,0),MATCH(Dashboard!D$21,'Analysis of bottom-up tags'!$N$6:$W$6,0))*D$22</f>
        <v>0</v>
      </c>
      <c r="E203" s="151">
        <f>INDEX('Analysis of bottom-up tags'!$N$183:$W$188,MATCH(Dashboard!$B203,'Analysis of bottom-up tags'!$B$183:$B$188,0),MATCH(Dashboard!E$21,'Analysis of bottom-up tags'!$N$6:$W$6,0))*E$22</f>
        <v>0</v>
      </c>
      <c r="F203" s="151">
        <f>INDEX('Analysis of bottom-up tags'!$N$183:$W$188,MATCH(Dashboard!$B203,'Analysis of bottom-up tags'!$B$183:$B$188,0),MATCH(Dashboard!F$21,'Analysis of bottom-up tags'!$N$6:$W$6,0))*F$22</f>
        <v>0</v>
      </c>
      <c r="G203" s="151">
        <f>INDEX('Analysis of bottom-up tags'!$N$183:$W$188,MATCH(Dashboard!$B203,'Analysis of bottom-up tags'!$B$183:$B$188,0),MATCH(Dashboard!G$21,'Analysis of bottom-up tags'!$N$6:$W$6,0))*G$22</f>
        <v>0</v>
      </c>
      <c r="H203" s="151">
        <f>INDEX('Analysis of bottom-up tags'!$N$183:$W$188,MATCH(Dashboard!$B203,'Analysis of bottom-up tags'!$B$183:$B$188,0),MATCH(Dashboard!H$21,'Analysis of bottom-up tags'!$N$6:$W$6,0))*H$22</f>
        <v>0</v>
      </c>
      <c r="I203" s="151">
        <f>INDEX('Analysis of bottom-up tags'!$N$183:$W$188,MATCH(Dashboard!$B203,'Analysis of bottom-up tags'!$B$183:$B$188,0),MATCH(Dashboard!I$21,'Analysis of bottom-up tags'!$N$6:$W$6,0))*I$22</f>
        <v>0</v>
      </c>
      <c r="J203" s="151">
        <f>INDEX('Analysis of bottom-up tags'!$N$183:$W$188,MATCH(Dashboard!$B203,'Analysis of bottom-up tags'!$B$183:$B$188,0),MATCH(Dashboard!J$21,'Analysis of bottom-up tags'!$N$6:$W$6,0))*J$22</f>
        <v>0</v>
      </c>
      <c r="K203" s="151">
        <f>INDEX('Analysis of bottom-up tags'!$N$183:$W$188,MATCH(Dashboard!$B203,'Analysis of bottom-up tags'!$B$183:$B$188,0),MATCH(Dashboard!K$21,'Analysis of bottom-up tags'!$N$6:$W$6,0))*K$22</f>
        <v>0</v>
      </c>
      <c r="L203" s="151">
        <f>INDEX('Analysis of bottom-up tags'!$N$183:$W$188,MATCH(Dashboard!$B203,'Analysis of bottom-up tags'!$B$183:$B$188,0),MATCH(Dashboard!L$21,'Analysis of bottom-up tags'!$N$6:$W$6,0))*L$22</f>
        <v>0</v>
      </c>
      <c r="M203" s="151">
        <f t="shared" si="26"/>
        <v>0</v>
      </c>
    </row>
    <row r="204" spans="1:13">
      <c r="B204" s="151" t="s">
        <v>10621</v>
      </c>
      <c r="C204" s="151">
        <f>INDEX('Analysis of bottom-up tags'!$N$183:$W$188,MATCH(Dashboard!$B204,'Analysis of bottom-up tags'!$B$183:$B$188,0),MATCH(Dashboard!C$21,'Analysis of bottom-up tags'!$N$6:$W$6,0))*C$22</f>
        <v>0</v>
      </c>
      <c r="D204" s="151">
        <f>INDEX('Analysis of bottom-up tags'!$N$183:$W$188,MATCH(Dashboard!$B204,'Analysis of bottom-up tags'!$B$183:$B$188,0),MATCH(Dashboard!D$21,'Analysis of bottom-up tags'!$N$6:$W$6,0))*D$22</f>
        <v>0</v>
      </c>
      <c r="E204" s="151">
        <f>INDEX('Analysis of bottom-up tags'!$N$183:$W$188,MATCH(Dashboard!$B204,'Analysis of bottom-up tags'!$B$183:$B$188,0),MATCH(Dashboard!E$21,'Analysis of bottom-up tags'!$N$6:$W$6,0))*E$22</f>
        <v>0</v>
      </c>
      <c r="F204" s="151">
        <f>INDEX('Analysis of bottom-up tags'!$N$183:$W$188,MATCH(Dashboard!$B204,'Analysis of bottom-up tags'!$B$183:$B$188,0),MATCH(Dashboard!F$21,'Analysis of bottom-up tags'!$N$6:$W$6,0))*F$22</f>
        <v>0</v>
      </c>
      <c r="G204" s="151">
        <f>INDEX('Analysis of bottom-up tags'!$N$183:$W$188,MATCH(Dashboard!$B204,'Analysis of bottom-up tags'!$B$183:$B$188,0),MATCH(Dashboard!G$21,'Analysis of bottom-up tags'!$N$6:$W$6,0))*G$22</f>
        <v>0</v>
      </c>
      <c r="H204" s="151">
        <f>INDEX('Analysis of bottom-up tags'!$N$183:$W$188,MATCH(Dashboard!$B204,'Analysis of bottom-up tags'!$B$183:$B$188,0),MATCH(Dashboard!H$21,'Analysis of bottom-up tags'!$N$6:$W$6,0))*H$22</f>
        <v>0</v>
      </c>
      <c r="I204" s="151">
        <f>INDEX('Analysis of bottom-up tags'!$N$183:$W$188,MATCH(Dashboard!$B204,'Analysis of bottom-up tags'!$B$183:$B$188,0),MATCH(Dashboard!I$21,'Analysis of bottom-up tags'!$N$6:$W$6,0))*I$22</f>
        <v>0</v>
      </c>
      <c r="J204" s="151">
        <f>INDEX('Analysis of bottom-up tags'!$N$183:$W$188,MATCH(Dashboard!$B204,'Analysis of bottom-up tags'!$B$183:$B$188,0),MATCH(Dashboard!J$21,'Analysis of bottom-up tags'!$N$6:$W$6,0))*J$22</f>
        <v>0</v>
      </c>
      <c r="K204" s="151">
        <f>INDEX('Analysis of bottom-up tags'!$N$183:$W$188,MATCH(Dashboard!$B204,'Analysis of bottom-up tags'!$B$183:$B$188,0),MATCH(Dashboard!K$21,'Analysis of bottom-up tags'!$N$6:$W$6,0))*K$22</f>
        <v>0</v>
      </c>
      <c r="L204" s="151">
        <f>INDEX('Analysis of bottom-up tags'!$N$183:$W$188,MATCH(Dashboard!$B204,'Analysis of bottom-up tags'!$B$183:$B$188,0),MATCH(Dashboard!L$21,'Analysis of bottom-up tags'!$N$6:$W$6,0))*L$22</f>
        <v>0</v>
      </c>
      <c r="M204" s="151">
        <f t="shared" si="26"/>
        <v>0</v>
      </c>
    </row>
    <row r="205" spans="1:13">
      <c r="B205" s="151" t="s">
        <v>10558</v>
      </c>
      <c r="C205" s="151">
        <f>INDEX('Analysis of bottom-up tags'!$N$183:$W$188,MATCH(Dashboard!$B205,'Analysis of bottom-up tags'!$B$183:$B$188,0),MATCH(Dashboard!C$21,'Analysis of bottom-up tags'!$N$6:$W$6,0))*C$22</f>
        <v>0</v>
      </c>
      <c r="D205" s="151">
        <f>INDEX('Analysis of bottom-up tags'!$N$183:$W$188,MATCH(Dashboard!$B205,'Analysis of bottom-up tags'!$B$183:$B$188,0),MATCH(Dashboard!D$21,'Analysis of bottom-up tags'!$N$6:$W$6,0))*D$22</f>
        <v>0</v>
      </c>
      <c r="E205" s="151">
        <f>INDEX('Analysis of bottom-up tags'!$N$183:$W$188,MATCH(Dashboard!$B205,'Analysis of bottom-up tags'!$B$183:$B$188,0),MATCH(Dashboard!E$21,'Analysis of bottom-up tags'!$N$6:$W$6,0))*E$22</f>
        <v>0</v>
      </c>
      <c r="F205" s="151">
        <f>INDEX('Analysis of bottom-up tags'!$N$183:$W$188,MATCH(Dashboard!$B205,'Analysis of bottom-up tags'!$B$183:$B$188,0),MATCH(Dashboard!F$21,'Analysis of bottom-up tags'!$N$6:$W$6,0))*F$22</f>
        <v>0</v>
      </c>
      <c r="G205" s="151">
        <f>INDEX('Analysis of bottom-up tags'!$N$183:$W$188,MATCH(Dashboard!$B205,'Analysis of bottom-up tags'!$B$183:$B$188,0),MATCH(Dashboard!G$21,'Analysis of bottom-up tags'!$N$6:$W$6,0))*G$22</f>
        <v>0</v>
      </c>
      <c r="H205" s="151">
        <f>INDEX('Analysis of bottom-up tags'!$N$183:$W$188,MATCH(Dashboard!$B205,'Analysis of bottom-up tags'!$B$183:$B$188,0),MATCH(Dashboard!H$21,'Analysis of bottom-up tags'!$N$6:$W$6,0))*H$22</f>
        <v>0</v>
      </c>
      <c r="I205" s="151">
        <f>INDEX('Analysis of bottom-up tags'!$N$183:$W$188,MATCH(Dashboard!$B205,'Analysis of bottom-up tags'!$B$183:$B$188,0),MATCH(Dashboard!I$21,'Analysis of bottom-up tags'!$N$6:$W$6,0))*I$22</f>
        <v>0</v>
      </c>
      <c r="J205" s="151">
        <f>INDEX('Analysis of bottom-up tags'!$N$183:$W$188,MATCH(Dashboard!$B205,'Analysis of bottom-up tags'!$B$183:$B$188,0),MATCH(Dashboard!J$21,'Analysis of bottom-up tags'!$N$6:$W$6,0))*J$22</f>
        <v>0</v>
      </c>
      <c r="K205" s="151">
        <f>INDEX('Analysis of bottom-up tags'!$N$183:$W$188,MATCH(Dashboard!$B205,'Analysis of bottom-up tags'!$B$183:$B$188,0),MATCH(Dashboard!K$21,'Analysis of bottom-up tags'!$N$6:$W$6,0))*K$22</f>
        <v>0</v>
      </c>
      <c r="L205" s="151">
        <f>INDEX('Analysis of bottom-up tags'!$N$183:$W$188,MATCH(Dashboard!$B205,'Analysis of bottom-up tags'!$B$183:$B$188,0),MATCH(Dashboard!L$21,'Analysis of bottom-up tags'!$N$6:$W$6,0))*L$22</f>
        <v>0</v>
      </c>
      <c r="M205" s="151">
        <f t="shared" si="26"/>
        <v>0</v>
      </c>
    </row>
    <row r="208" spans="1:13">
      <c r="B208" s="98" t="s">
        <v>11136</v>
      </c>
      <c r="C208" s="163" t="s">
        <v>11131</v>
      </c>
      <c r="D208" s="163"/>
      <c r="E208" s="163"/>
      <c r="F208" s="163"/>
      <c r="G208" s="163"/>
      <c r="H208" s="163"/>
      <c r="I208" s="163"/>
      <c r="J208" s="163"/>
      <c r="K208" s="163"/>
      <c r="L208" s="163"/>
      <c r="M208" s="163" t="s">
        <v>11042</v>
      </c>
    </row>
    <row r="209" spans="2:13">
      <c r="B209" s="151" t="s">
        <v>10973</v>
      </c>
      <c r="C209" s="151">
        <f>INDEX('Analysis of bottom-up tags'!$N$193:$W$196,MATCH(Dashboard!$B209,'Analysis of bottom-up tags'!$B$193:$B$196,0),MATCH(Dashboard!C$21,'Analysis of bottom-up tags'!$N$6:$W$6,0))*C$22</f>
        <v>0</v>
      </c>
      <c r="D209" s="151">
        <f>INDEX('Analysis of bottom-up tags'!$N$193:$W$196,MATCH(Dashboard!$B209,'Analysis of bottom-up tags'!$B$193:$B$196,0),MATCH(Dashboard!D$21,'Analysis of bottom-up tags'!$N$6:$W$6,0))*D$22</f>
        <v>0</v>
      </c>
      <c r="E209" s="151">
        <f>INDEX('Analysis of bottom-up tags'!$N$193:$W$196,MATCH(Dashboard!$B209,'Analysis of bottom-up tags'!$B$193:$B$196,0),MATCH(Dashboard!E$21,'Analysis of bottom-up tags'!$N$6:$W$6,0))*E$22</f>
        <v>0</v>
      </c>
      <c r="F209" s="151">
        <f>INDEX('Analysis of bottom-up tags'!$N$193:$W$196,MATCH(Dashboard!$B209,'Analysis of bottom-up tags'!$B$193:$B$196,0),MATCH(Dashboard!F$21,'Analysis of bottom-up tags'!$N$6:$W$6,0))*F$22</f>
        <v>0</v>
      </c>
      <c r="G209" s="151">
        <f>INDEX('Analysis of bottom-up tags'!$N$193:$W$196,MATCH(Dashboard!$B209,'Analysis of bottom-up tags'!$B$193:$B$196,0),MATCH(Dashboard!G$21,'Analysis of bottom-up tags'!$N$6:$W$6,0))*G$22</f>
        <v>0</v>
      </c>
      <c r="H209" s="151">
        <f>INDEX('Analysis of bottom-up tags'!$N$193:$W$196,MATCH(Dashboard!$B209,'Analysis of bottom-up tags'!$B$193:$B$196,0),MATCH(Dashboard!H$21,'Analysis of bottom-up tags'!$N$6:$W$6,0))*H$22</f>
        <v>0</v>
      </c>
      <c r="I209" s="151">
        <f>INDEX('Analysis of bottom-up tags'!$N$193:$W$196,MATCH(Dashboard!$B209,'Analysis of bottom-up tags'!$B$193:$B$196,0),MATCH(Dashboard!I$21,'Analysis of bottom-up tags'!$N$6:$W$6,0))*I$22</f>
        <v>0</v>
      </c>
      <c r="J209" s="151">
        <f>INDEX('Analysis of bottom-up tags'!$N$193:$W$196,MATCH(Dashboard!$B209,'Analysis of bottom-up tags'!$B$193:$B$196,0),MATCH(Dashboard!J$21,'Analysis of bottom-up tags'!$N$6:$W$6,0))*J$22</f>
        <v>0</v>
      </c>
      <c r="K209" s="151">
        <f>INDEX('Analysis of bottom-up tags'!$N$193:$W$196,MATCH(Dashboard!$B209,'Analysis of bottom-up tags'!$B$193:$B$196,0),MATCH(Dashboard!K$21,'Analysis of bottom-up tags'!$N$6:$W$6,0))*K$22</f>
        <v>0</v>
      </c>
      <c r="L209" s="151">
        <f>INDEX('Analysis of bottom-up tags'!$N$193:$W$196,MATCH(Dashboard!$B209,'Analysis of bottom-up tags'!$B$193:$B$196,0),MATCH(Dashboard!L$21,'Analysis of bottom-up tags'!$N$6:$W$6,0))*L$22</f>
        <v>0</v>
      </c>
      <c r="M209" s="151">
        <f>SUM(C209:L209)</f>
        <v>0</v>
      </c>
    </row>
    <row r="210" spans="2:13">
      <c r="B210" s="151" t="s">
        <v>10977</v>
      </c>
      <c r="C210" s="151">
        <f>INDEX('Analysis of bottom-up tags'!$N$193:$W$196,MATCH(Dashboard!$B210,'Analysis of bottom-up tags'!$B$193:$B$196,0),MATCH(Dashboard!C$21,'Analysis of bottom-up tags'!$N$6:$W$6,0))*C$22</f>
        <v>0</v>
      </c>
      <c r="D210" s="151">
        <f>INDEX('Analysis of bottom-up tags'!$N$193:$W$196,MATCH(Dashboard!$B210,'Analysis of bottom-up tags'!$B$193:$B$196,0),MATCH(Dashboard!D$21,'Analysis of bottom-up tags'!$N$6:$W$6,0))*D$22</f>
        <v>0</v>
      </c>
      <c r="E210" s="151">
        <f>INDEX('Analysis of bottom-up tags'!$N$193:$W$196,MATCH(Dashboard!$B210,'Analysis of bottom-up tags'!$B$193:$B$196,0),MATCH(Dashboard!E$21,'Analysis of bottom-up tags'!$N$6:$W$6,0))*E$22</f>
        <v>0</v>
      </c>
      <c r="F210" s="151">
        <f>INDEX('Analysis of bottom-up tags'!$N$193:$W$196,MATCH(Dashboard!$B210,'Analysis of bottom-up tags'!$B$193:$B$196,0),MATCH(Dashboard!F$21,'Analysis of bottom-up tags'!$N$6:$W$6,0))*F$22</f>
        <v>0</v>
      </c>
      <c r="G210" s="151">
        <f>INDEX('Analysis of bottom-up tags'!$N$193:$W$196,MATCH(Dashboard!$B210,'Analysis of bottom-up tags'!$B$193:$B$196,0),MATCH(Dashboard!G$21,'Analysis of bottom-up tags'!$N$6:$W$6,0))*G$22</f>
        <v>0</v>
      </c>
      <c r="H210" s="151">
        <f>INDEX('Analysis of bottom-up tags'!$N$193:$W$196,MATCH(Dashboard!$B210,'Analysis of bottom-up tags'!$B$193:$B$196,0),MATCH(Dashboard!H$21,'Analysis of bottom-up tags'!$N$6:$W$6,0))*H$22</f>
        <v>0</v>
      </c>
      <c r="I210" s="151">
        <f>INDEX('Analysis of bottom-up tags'!$N$193:$W$196,MATCH(Dashboard!$B210,'Analysis of bottom-up tags'!$B$193:$B$196,0),MATCH(Dashboard!I$21,'Analysis of bottom-up tags'!$N$6:$W$6,0))*I$22</f>
        <v>0</v>
      </c>
      <c r="J210" s="151">
        <f>INDEX('Analysis of bottom-up tags'!$N$193:$W$196,MATCH(Dashboard!$B210,'Analysis of bottom-up tags'!$B$193:$B$196,0),MATCH(Dashboard!J$21,'Analysis of bottom-up tags'!$N$6:$W$6,0))*J$22</f>
        <v>0</v>
      </c>
      <c r="K210" s="151">
        <f>INDEX('Analysis of bottom-up tags'!$N$193:$W$196,MATCH(Dashboard!$B210,'Analysis of bottom-up tags'!$B$193:$B$196,0),MATCH(Dashboard!K$21,'Analysis of bottom-up tags'!$N$6:$W$6,0))*K$22</f>
        <v>0</v>
      </c>
      <c r="L210" s="151">
        <f>INDEX('Analysis of bottom-up tags'!$N$193:$W$196,MATCH(Dashboard!$B210,'Analysis of bottom-up tags'!$B$193:$B$196,0),MATCH(Dashboard!L$21,'Analysis of bottom-up tags'!$N$6:$W$6,0))*L$22</f>
        <v>0</v>
      </c>
      <c r="M210" s="151">
        <f t="shared" ref="M210:M212" si="27">SUM(C210:L210)</f>
        <v>0</v>
      </c>
    </row>
    <row r="211" spans="2:13">
      <c r="B211" s="151" t="s">
        <v>10558</v>
      </c>
      <c r="C211" s="151">
        <f>INDEX('Analysis of bottom-up tags'!$N$193:$W$196,MATCH(Dashboard!$B211,'Analysis of bottom-up tags'!$B$193:$B$196,0),MATCH(Dashboard!C$21,'Analysis of bottom-up tags'!$N$6:$W$6,0))*C$22</f>
        <v>0</v>
      </c>
      <c r="D211" s="151">
        <f>INDEX('Analysis of bottom-up tags'!$N$193:$W$196,MATCH(Dashboard!$B211,'Analysis of bottom-up tags'!$B$193:$B$196,0),MATCH(Dashboard!D$21,'Analysis of bottom-up tags'!$N$6:$W$6,0))*D$22</f>
        <v>0</v>
      </c>
      <c r="E211" s="151">
        <f>INDEX('Analysis of bottom-up tags'!$N$193:$W$196,MATCH(Dashboard!$B211,'Analysis of bottom-up tags'!$B$193:$B$196,0),MATCH(Dashboard!E$21,'Analysis of bottom-up tags'!$N$6:$W$6,0))*E$22</f>
        <v>0</v>
      </c>
      <c r="F211" s="151">
        <f>INDEX('Analysis of bottom-up tags'!$N$193:$W$196,MATCH(Dashboard!$B211,'Analysis of bottom-up tags'!$B$193:$B$196,0),MATCH(Dashboard!F$21,'Analysis of bottom-up tags'!$N$6:$W$6,0))*F$22</f>
        <v>0</v>
      </c>
      <c r="G211" s="151">
        <f>INDEX('Analysis of bottom-up tags'!$N$193:$W$196,MATCH(Dashboard!$B211,'Analysis of bottom-up tags'!$B$193:$B$196,0),MATCH(Dashboard!G$21,'Analysis of bottom-up tags'!$N$6:$W$6,0))*G$22</f>
        <v>0</v>
      </c>
      <c r="H211" s="151">
        <f>INDEX('Analysis of bottom-up tags'!$N$193:$W$196,MATCH(Dashboard!$B211,'Analysis of bottom-up tags'!$B$193:$B$196,0),MATCH(Dashboard!H$21,'Analysis of bottom-up tags'!$N$6:$W$6,0))*H$22</f>
        <v>0</v>
      </c>
      <c r="I211" s="151">
        <f>INDEX('Analysis of bottom-up tags'!$N$193:$W$196,MATCH(Dashboard!$B211,'Analysis of bottom-up tags'!$B$193:$B$196,0),MATCH(Dashboard!I$21,'Analysis of bottom-up tags'!$N$6:$W$6,0))*I$22</f>
        <v>0</v>
      </c>
      <c r="J211" s="151">
        <f>INDEX('Analysis of bottom-up tags'!$N$193:$W$196,MATCH(Dashboard!$B211,'Analysis of bottom-up tags'!$B$193:$B$196,0),MATCH(Dashboard!J$21,'Analysis of bottom-up tags'!$N$6:$W$6,0))*J$22</f>
        <v>0</v>
      </c>
      <c r="K211" s="151">
        <f>INDEX('Analysis of bottom-up tags'!$N$193:$W$196,MATCH(Dashboard!$B211,'Analysis of bottom-up tags'!$B$193:$B$196,0),MATCH(Dashboard!K$21,'Analysis of bottom-up tags'!$N$6:$W$6,0))*K$22</f>
        <v>0</v>
      </c>
      <c r="L211" s="151">
        <f>INDEX('Analysis of bottom-up tags'!$N$193:$W$196,MATCH(Dashboard!$B211,'Analysis of bottom-up tags'!$B$193:$B$196,0),MATCH(Dashboard!L$21,'Analysis of bottom-up tags'!$N$6:$W$6,0))*L$22</f>
        <v>0</v>
      </c>
      <c r="M211" s="151">
        <f t="shared" si="27"/>
        <v>0</v>
      </c>
    </row>
    <row r="212" spans="2:13">
      <c r="B212" s="151" t="s">
        <v>10981</v>
      </c>
      <c r="C212" s="151">
        <f>INDEX('Analysis of bottom-up tags'!$N$193:$W$196,MATCH(Dashboard!$B212,'Analysis of bottom-up tags'!$B$193:$B$196,0),MATCH(Dashboard!C$21,'Analysis of bottom-up tags'!$N$6:$W$6,0))*C$22</f>
        <v>0</v>
      </c>
      <c r="D212" s="151">
        <f>INDEX('Analysis of bottom-up tags'!$N$193:$W$196,MATCH(Dashboard!$B212,'Analysis of bottom-up tags'!$B$193:$B$196,0),MATCH(Dashboard!D$21,'Analysis of bottom-up tags'!$N$6:$W$6,0))*D$22</f>
        <v>0</v>
      </c>
      <c r="E212" s="151">
        <f>INDEX('Analysis of bottom-up tags'!$N$193:$W$196,MATCH(Dashboard!$B212,'Analysis of bottom-up tags'!$B$193:$B$196,0),MATCH(Dashboard!E$21,'Analysis of bottom-up tags'!$N$6:$W$6,0))*E$22</f>
        <v>0</v>
      </c>
      <c r="F212" s="151">
        <f>INDEX('Analysis of bottom-up tags'!$N$193:$W$196,MATCH(Dashboard!$B212,'Analysis of bottom-up tags'!$B$193:$B$196,0),MATCH(Dashboard!F$21,'Analysis of bottom-up tags'!$N$6:$W$6,0))*F$22</f>
        <v>0</v>
      </c>
      <c r="G212" s="151">
        <f>INDEX('Analysis of bottom-up tags'!$N$193:$W$196,MATCH(Dashboard!$B212,'Analysis of bottom-up tags'!$B$193:$B$196,0),MATCH(Dashboard!G$21,'Analysis of bottom-up tags'!$N$6:$W$6,0))*G$22</f>
        <v>0</v>
      </c>
      <c r="H212" s="151">
        <f>INDEX('Analysis of bottom-up tags'!$N$193:$W$196,MATCH(Dashboard!$B212,'Analysis of bottom-up tags'!$B$193:$B$196,0),MATCH(Dashboard!H$21,'Analysis of bottom-up tags'!$N$6:$W$6,0))*H$22</f>
        <v>0</v>
      </c>
      <c r="I212" s="151">
        <f>INDEX('Analysis of bottom-up tags'!$N$193:$W$196,MATCH(Dashboard!$B212,'Analysis of bottom-up tags'!$B$193:$B$196,0),MATCH(Dashboard!I$21,'Analysis of bottom-up tags'!$N$6:$W$6,0))*I$22</f>
        <v>4.3374285787495337</v>
      </c>
      <c r="J212" s="151">
        <f>INDEX('Analysis of bottom-up tags'!$N$193:$W$196,MATCH(Dashboard!$B212,'Analysis of bottom-up tags'!$B$193:$B$196,0),MATCH(Dashboard!J$21,'Analysis of bottom-up tags'!$N$6:$W$6,0))*J$22</f>
        <v>32.883697175990385</v>
      </c>
      <c r="K212" s="151">
        <f>INDEX('Analysis of bottom-up tags'!$N$193:$W$196,MATCH(Dashboard!$B212,'Analysis of bottom-up tags'!$B$193:$B$196,0),MATCH(Dashboard!K$21,'Analysis of bottom-up tags'!$N$6:$W$6,0))*K$22</f>
        <v>2.110689899928178</v>
      </c>
      <c r="L212" s="151">
        <f>INDEX('Analysis of bottom-up tags'!$N$193:$W$196,MATCH(Dashboard!$B212,'Analysis of bottom-up tags'!$B$193:$B$196,0),MATCH(Dashboard!L$21,'Analysis of bottom-up tags'!$N$6:$W$6,0))*L$22</f>
        <v>16.017136834503447</v>
      </c>
      <c r="M212" s="151">
        <f t="shared" si="27"/>
        <v>55.348952489171538</v>
      </c>
    </row>
    <row r="213" spans="2:13">
      <c r="B213" s="176"/>
      <c r="C213" s="176"/>
      <c r="D213" s="176"/>
      <c r="E213" s="176"/>
      <c r="F213" s="176"/>
      <c r="G213" s="176"/>
      <c r="H213" s="176"/>
      <c r="I213" s="176"/>
      <c r="J213" s="176"/>
      <c r="K213" s="176"/>
      <c r="L213" s="176"/>
      <c r="M213" s="176"/>
    </row>
    <row r="214" spans="2:13">
      <c r="B214" s="176"/>
      <c r="C214" s="176"/>
      <c r="D214" s="176"/>
      <c r="E214" s="176"/>
      <c r="F214" s="176"/>
      <c r="G214" s="176"/>
      <c r="H214" s="176"/>
      <c r="I214" s="176"/>
      <c r="J214" s="176"/>
      <c r="K214" s="176"/>
      <c r="L214" s="176"/>
      <c r="M214" s="176"/>
    </row>
    <row r="215" spans="2:13">
      <c r="B215" s="98" t="s">
        <v>11137</v>
      </c>
      <c r="C215" s="163" t="s">
        <v>11131</v>
      </c>
      <c r="D215" s="163"/>
      <c r="E215" s="163"/>
      <c r="F215" s="163"/>
      <c r="G215" s="163"/>
      <c r="H215" s="163"/>
      <c r="I215" s="163"/>
      <c r="J215" s="163"/>
      <c r="K215" s="163"/>
      <c r="L215" s="163"/>
      <c r="M215" s="163" t="s">
        <v>11042</v>
      </c>
    </row>
    <row r="216" spans="2:13">
      <c r="B216" s="151" t="s">
        <v>10973</v>
      </c>
      <c r="C216" s="151">
        <f>INDEX('Analysis of bottom-up tags'!$N$200:$W$203,MATCH(Dashboard!$B216,'Analysis of bottom-up tags'!$B$200:$B$203,0),MATCH(Dashboard!C$21,'Analysis of bottom-up tags'!$N$6:$W$6,0))*C$22</f>
        <v>52.550267307424868</v>
      </c>
      <c r="D216" s="151">
        <f>INDEX('Analysis of bottom-up tags'!$N$200:$W$203,MATCH(Dashboard!$B216,'Analysis of bottom-up tags'!$B$200:$B$203,0),MATCH(Dashboard!D$21,'Analysis of bottom-up tags'!$N$6:$W$6,0))*D$22</f>
        <v>381.76355325772056</v>
      </c>
      <c r="E216" s="151">
        <f>INDEX('Analysis of bottom-up tags'!$N$200:$W$203,MATCH(Dashboard!$B216,'Analysis of bottom-up tags'!$B$200:$B$203,0),MATCH(Dashboard!E$21,'Analysis of bottom-up tags'!$N$6:$W$6,0))*E$22</f>
        <v>222.49076451745552</v>
      </c>
      <c r="F216" s="151">
        <f>INDEX('Analysis of bottom-up tags'!$N$200:$W$203,MATCH(Dashboard!$B216,'Analysis of bottom-up tags'!$B$200:$B$203,0),MATCH(Dashboard!F$21,'Analysis of bottom-up tags'!$N$6:$W$6,0))*F$22</f>
        <v>247.92430372622184</v>
      </c>
      <c r="G216" s="151">
        <f>INDEX('Analysis of bottom-up tags'!$N$200:$W$203,MATCH(Dashboard!$B216,'Analysis of bottom-up tags'!$B$200:$B$203,0),MATCH(Dashboard!G$21,'Analysis of bottom-up tags'!$N$6:$W$6,0))*G$22</f>
        <v>1022.5523396407458</v>
      </c>
      <c r="H216" s="151">
        <f>INDEX('Analysis of bottom-up tags'!$N$200:$W$203,MATCH(Dashboard!$B216,'Analysis of bottom-up tags'!$B$200:$B$203,0),MATCH(Dashboard!H$21,'Analysis of bottom-up tags'!$N$6:$W$6,0))*H$22</f>
        <v>735.40404774118167</v>
      </c>
      <c r="I216" s="151">
        <f>INDEX('Analysis of bottom-up tags'!$N$200:$W$203,MATCH(Dashboard!$B216,'Analysis of bottom-up tags'!$B$200:$B$203,0),MATCH(Dashboard!I$21,'Analysis of bottom-up tags'!$N$6:$W$6,0))*I$22</f>
        <v>1232.4757448591818</v>
      </c>
      <c r="J216" s="151">
        <f>INDEX('Analysis of bottom-up tags'!$N$200:$W$203,MATCH(Dashboard!$B216,'Analysis of bottom-up tags'!$B$200:$B$203,0),MATCH(Dashboard!J$21,'Analysis of bottom-up tags'!$N$6:$W$6,0))*J$22</f>
        <v>499.22718796597331</v>
      </c>
      <c r="K216" s="151">
        <f>INDEX('Analysis of bottom-up tags'!$N$200:$W$203,MATCH(Dashboard!$B216,'Analysis of bottom-up tags'!$B$200:$B$203,0),MATCH(Dashboard!K$21,'Analysis of bottom-up tags'!$N$6:$W$6,0))*K$22</f>
        <v>1587.4412527160837</v>
      </c>
      <c r="L216" s="151">
        <f>INDEX('Analysis of bottom-up tags'!$N$200:$W$203,MATCH(Dashboard!$B216,'Analysis of bottom-up tags'!$B$200:$B$203,0),MATCH(Dashboard!L$21,'Analysis of bottom-up tags'!$N$6:$W$6,0))*L$22</f>
        <v>990.33694682804355</v>
      </c>
      <c r="M216" s="151">
        <f>SUM(C216:L216)</f>
        <v>6972.1664085600323</v>
      </c>
    </row>
    <row r="217" spans="2:13">
      <c r="B217" s="151" t="s">
        <v>10977</v>
      </c>
      <c r="C217" s="151">
        <f>INDEX('Analysis of bottom-up tags'!$N$200:$W$203,MATCH(Dashboard!$B217,'Analysis of bottom-up tags'!$B$200:$B$203,0),MATCH(Dashboard!C$21,'Analysis of bottom-up tags'!$N$6:$W$6,0))*C$22</f>
        <v>350.45064690137946</v>
      </c>
      <c r="D217" s="151">
        <f>INDEX('Analysis of bottom-up tags'!$N$200:$W$203,MATCH(Dashboard!$B217,'Analysis of bottom-up tags'!$B$200:$B$203,0),MATCH(Dashboard!D$21,'Analysis of bottom-up tags'!$N$6:$W$6,0))*D$22</f>
        <v>744.20530754446122</v>
      </c>
      <c r="E217" s="151">
        <f>INDEX('Analysis of bottom-up tags'!$N$200:$W$203,MATCH(Dashboard!$B217,'Analysis of bottom-up tags'!$B$200:$B$203,0),MATCH(Dashboard!E$21,'Analysis of bottom-up tags'!$N$6:$W$6,0))*E$22</f>
        <v>249.66893096711533</v>
      </c>
      <c r="F217" s="151">
        <f>INDEX('Analysis of bottom-up tags'!$N$200:$W$203,MATCH(Dashboard!$B217,'Analysis of bottom-up tags'!$B$200:$B$203,0),MATCH(Dashboard!F$21,'Analysis of bottom-up tags'!$N$6:$W$6,0))*F$22</f>
        <v>573.31768639055383</v>
      </c>
      <c r="G217" s="151">
        <f>INDEX('Analysis of bottom-up tags'!$N$200:$W$203,MATCH(Dashboard!$B217,'Analysis of bottom-up tags'!$B$200:$B$203,0),MATCH(Dashboard!G$21,'Analysis of bottom-up tags'!$N$6:$W$6,0))*G$22</f>
        <v>19.569921799219404</v>
      </c>
      <c r="H217" s="151">
        <f>INDEX('Analysis of bottom-up tags'!$N$200:$W$203,MATCH(Dashboard!$B217,'Analysis of bottom-up tags'!$B$200:$B$203,0),MATCH(Dashboard!H$21,'Analysis of bottom-up tags'!$N$6:$W$6,0))*H$22</f>
        <v>8.454384297552469</v>
      </c>
      <c r="I217" s="151">
        <f>INDEX('Analysis of bottom-up tags'!$N$200:$W$203,MATCH(Dashboard!$B217,'Analysis of bottom-up tags'!$B$200:$B$203,0),MATCH(Dashboard!I$21,'Analysis of bottom-up tags'!$N$6:$W$6,0))*I$22</f>
        <v>4.5882865616357948</v>
      </c>
      <c r="J217" s="151">
        <f>INDEX('Analysis of bottom-up tags'!$N$200:$W$203,MATCH(Dashboard!$B217,'Analysis of bottom-up tags'!$B$200:$B$203,0),MATCH(Dashboard!J$21,'Analysis of bottom-up tags'!$N$6:$W$6,0))*J$22</f>
        <v>95.695842634309003</v>
      </c>
      <c r="K217" s="151">
        <f>INDEX('Analysis of bottom-up tags'!$N$200:$W$203,MATCH(Dashboard!$B217,'Analysis of bottom-up tags'!$B$200:$B$203,0),MATCH(Dashboard!K$21,'Analysis of bottom-up tags'!$N$6:$W$6,0))*K$22</f>
        <v>6.1346099118997284</v>
      </c>
      <c r="L217" s="151">
        <f>INDEX('Analysis of bottom-up tags'!$N$200:$W$203,MATCH(Dashboard!$B217,'Analysis of bottom-up tags'!$B$200:$B$203,0),MATCH(Dashboard!L$21,'Analysis of bottom-up tags'!$N$6:$W$6,0))*L$22</f>
        <v>172.93546796450795</v>
      </c>
      <c r="M217" s="151">
        <f t="shared" ref="M217:M219" si="28">SUM(C217:L217)</f>
        <v>2225.0210849726341</v>
      </c>
    </row>
    <row r="218" spans="2:13">
      <c r="B218" s="151" t="s">
        <v>10558</v>
      </c>
      <c r="C218" s="151">
        <f>INDEX('Analysis of bottom-up tags'!$N$200:$W$203,MATCH(Dashboard!$B218,'Analysis of bottom-up tags'!$B$200:$B$203,0),MATCH(Dashboard!C$21,'Analysis of bottom-up tags'!$N$6:$W$6,0))*C$22</f>
        <v>0</v>
      </c>
      <c r="D218" s="151">
        <f>INDEX('Analysis of bottom-up tags'!$N$200:$W$203,MATCH(Dashboard!$B218,'Analysis of bottom-up tags'!$B$200:$B$203,0),MATCH(Dashboard!D$21,'Analysis of bottom-up tags'!$N$6:$W$6,0))*D$22</f>
        <v>0</v>
      </c>
      <c r="E218" s="151">
        <f>INDEX('Analysis of bottom-up tags'!$N$200:$W$203,MATCH(Dashboard!$B218,'Analysis of bottom-up tags'!$B$200:$B$203,0),MATCH(Dashboard!E$21,'Analysis of bottom-up tags'!$N$6:$W$6,0))*E$22</f>
        <v>0</v>
      </c>
      <c r="F218" s="151">
        <f>INDEX('Analysis of bottom-up tags'!$N$200:$W$203,MATCH(Dashboard!$B218,'Analysis of bottom-up tags'!$B$200:$B$203,0),MATCH(Dashboard!F$21,'Analysis of bottom-up tags'!$N$6:$W$6,0))*F$22</f>
        <v>0</v>
      </c>
      <c r="G218" s="151">
        <f>INDEX('Analysis of bottom-up tags'!$N$200:$W$203,MATCH(Dashboard!$B218,'Analysis of bottom-up tags'!$B$200:$B$203,0),MATCH(Dashboard!G$21,'Analysis of bottom-up tags'!$N$6:$W$6,0))*G$22</f>
        <v>0</v>
      </c>
      <c r="H218" s="151">
        <f>INDEX('Analysis of bottom-up tags'!$N$200:$W$203,MATCH(Dashboard!$B218,'Analysis of bottom-up tags'!$B$200:$B$203,0),MATCH(Dashboard!H$21,'Analysis of bottom-up tags'!$N$6:$W$6,0))*H$22</f>
        <v>0</v>
      </c>
      <c r="I218" s="151">
        <f>INDEX('Analysis of bottom-up tags'!$N$200:$W$203,MATCH(Dashboard!$B218,'Analysis of bottom-up tags'!$B$200:$B$203,0),MATCH(Dashboard!I$21,'Analysis of bottom-up tags'!$N$6:$W$6,0))*I$22</f>
        <v>0</v>
      </c>
      <c r="J218" s="151">
        <f>INDEX('Analysis of bottom-up tags'!$N$200:$W$203,MATCH(Dashboard!$B218,'Analysis of bottom-up tags'!$B$200:$B$203,0),MATCH(Dashboard!J$21,'Analysis of bottom-up tags'!$N$6:$W$6,0))*J$22</f>
        <v>0</v>
      </c>
      <c r="K218" s="151">
        <f>INDEX('Analysis of bottom-up tags'!$N$200:$W$203,MATCH(Dashboard!$B218,'Analysis of bottom-up tags'!$B$200:$B$203,0),MATCH(Dashboard!K$21,'Analysis of bottom-up tags'!$N$6:$W$6,0))*K$22</f>
        <v>0</v>
      </c>
      <c r="L218" s="151">
        <f>INDEX('Analysis of bottom-up tags'!$N$200:$W$203,MATCH(Dashboard!$B218,'Analysis of bottom-up tags'!$B$200:$B$203,0),MATCH(Dashboard!L$21,'Analysis of bottom-up tags'!$N$6:$W$6,0))*L$22</f>
        <v>0</v>
      </c>
      <c r="M218" s="151">
        <f t="shared" si="28"/>
        <v>0</v>
      </c>
    </row>
    <row r="219" spans="2:13">
      <c r="B219" s="151" t="s">
        <v>10981</v>
      </c>
      <c r="C219" s="151">
        <f>INDEX('Analysis of bottom-up tags'!$N$200:$W$203,MATCH(Dashboard!$B219,'Analysis of bottom-up tags'!$B$200:$B$203,0),MATCH(Dashboard!C$21,'Analysis of bottom-up tags'!$N$6:$W$6,0))*C$22</f>
        <v>0</v>
      </c>
      <c r="D219" s="151">
        <f>INDEX('Analysis of bottom-up tags'!$N$200:$W$203,MATCH(Dashboard!$B219,'Analysis of bottom-up tags'!$B$200:$B$203,0),MATCH(Dashboard!D$21,'Analysis of bottom-up tags'!$N$6:$W$6,0))*D$22</f>
        <v>0</v>
      </c>
      <c r="E219" s="151">
        <f>INDEX('Analysis of bottom-up tags'!$N$200:$W$203,MATCH(Dashboard!$B219,'Analysis of bottom-up tags'!$B$200:$B$203,0),MATCH(Dashboard!E$21,'Analysis of bottom-up tags'!$N$6:$W$6,0))*E$22</f>
        <v>0</v>
      </c>
      <c r="F219" s="151">
        <f>INDEX('Analysis of bottom-up tags'!$N$200:$W$203,MATCH(Dashboard!$B219,'Analysis of bottom-up tags'!$B$200:$B$203,0),MATCH(Dashboard!F$21,'Analysis of bottom-up tags'!$N$6:$W$6,0))*F$22</f>
        <v>0</v>
      </c>
      <c r="G219" s="151">
        <f>INDEX('Analysis of bottom-up tags'!$N$200:$W$203,MATCH(Dashboard!$B219,'Analysis of bottom-up tags'!$B$200:$B$203,0),MATCH(Dashboard!G$21,'Analysis of bottom-up tags'!$N$6:$W$6,0))*G$22</f>
        <v>0</v>
      </c>
      <c r="H219" s="151">
        <f>INDEX('Analysis of bottom-up tags'!$N$200:$W$203,MATCH(Dashboard!$B219,'Analysis of bottom-up tags'!$B$200:$B$203,0),MATCH(Dashboard!H$21,'Analysis of bottom-up tags'!$N$6:$W$6,0))*H$22</f>
        <v>0</v>
      </c>
      <c r="I219" s="151">
        <f>INDEX('Analysis of bottom-up tags'!$N$200:$W$203,MATCH(Dashboard!$B219,'Analysis of bottom-up tags'!$B$200:$B$203,0),MATCH(Dashboard!I$21,'Analysis of bottom-up tags'!$N$6:$W$6,0))*I$22</f>
        <v>4.5790970439957972</v>
      </c>
      <c r="J219" s="151">
        <f>INDEX('Analysis of bottom-up tags'!$N$200:$W$203,MATCH(Dashboard!$B219,'Analysis of bottom-up tags'!$B$200:$B$203,0),MATCH(Dashboard!J$21,'Analysis of bottom-up tags'!$N$6:$W$6,0))*J$22</f>
        <v>37.483773419433163</v>
      </c>
      <c r="K219" s="151">
        <f>INDEX('Analysis of bottom-up tags'!$N$200:$W$203,MATCH(Dashboard!$B219,'Analysis of bottom-up tags'!$B$200:$B$203,0),MATCH(Dashboard!K$21,'Analysis of bottom-up tags'!$N$6:$W$6,0))*K$22</f>
        <v>4.9267238676464427</v>
      </c>
      <c r="L219" s="151">
        <f>INDEX('Analysis of bottom-up tags'!$N$200:$W$203,MATCH(Dashboard!$B219,'Analysis of bottom-up tags'!$B$200:$B$203,0),MATCH(Dashboard!L$21,'Analysis of bottom-up tags'!$N$6:$W$6,0))*L$22</f>
        <v>24.06925932045263</v>
      </c>
      <c r="M219" s="151">
        <f t="shared" si="28"/>
        <v>71.05885365152804</v>
      </c>
    </row>
    <row r="220" spans="2:13">
      <c r="B220" s="176"/>
      <c r="C220" s="176"/>
      <c r="D220" s="176"/>
      <c r="E220" s="176"/>
      <c r="F220" s="176"/>
      <c r="G220" s="176"/>
      <c r="H220" s="176"/>
      <c r="I220" s="176"/>
      <c r="J220" s="176"/>
      <c r="K220" s="176"/>
      <c r="L220" s="176"/>
      <c r="M220" s="176"/>
    </row>
    <row r="221" spans="2:13">
      <c r="B221" s="176"/>
      <c r="C221" s="176"/>
      <c r="D221" s="176"/>
      <c r="E221" s="176"/>
      <c r="F221" s="176"/>
      <c r="G221" s="176"/>
      <c r="H221" s="176"/>
      <c r="I221" s="176"/>
      <c r="J221" s="176"/>
      <c r="K221" s="176"/>
      <c r="L221" s="176"/>
      <c r="M221" s="176"/>
    </row>
    <row r="222" spans="2:13">
      <c r="B222" s="98" t="s">
        <v>11138</v>
      </c>
      <c r="C222" s="163" t="s">
        <v>11131</v>
      </c>
      <c r="D222" s="163"/>
      <c r="E222" s="163"/>
      <c r="F222" s="163"/>
      <c r="G222" s="163"/>
      <c r="H222" s="163"/>
      <c r="I222" s="163"/>
      <c r="J222" s="163"/>
      <c r="K222" s="163"/>
      <c r="L222" s="163"/>
      <c r="M222" s="163" t="s">
        <v>11042</v>
      </c>
    </row>
    <row r="223" spans="2:13">
      <c r="B223" s="151" t="s">
        <v>10973</v>
      </c>
      <c r="C223" s="151">
        <f>INDEX('Analysis of bottom-up tags'!$N$207:$W$210,MATCH(Dashboard!$B223,'Analysis of bottom-up tags'!$B$207:$B$210,0),MATCH(Dashboard!C$21,'Analysis of bottom-up tags'!$N$6:$W$6,0))*C$22</f>
        <v>0</v>
      </c>
      <c r="D223" s="151">
        <f>INDEX('Analysis of bottom-up tags'!$N$207:$W$210,MATCH(Dashboard!$B223,'Analysis of bottom-up tags'!$B$207:$B$210,0),MATCH(Dashboard!D$21,'Analysis of bottom-up tags'!$N$6:$W$6,0))*D$22</f>
        <v>0</v>
      </c>
      <c r="E223" s="151">
        <f>INDEX('Analysis of bottom-up tags'!$N$207:$W$210,MATCH(Dashboard!$B223,'Analysis of bottom-up tags'!$B$207:$B$210,0),MATCH(Dashboard!E$21,'Analysis of bottom-up tags'!$N$6:$W$6,0))*E$22</f>
        <v>0</v>
      </c>
      <c r="F223" s="151">
        <f>INDEX('Analysis of bottom-up tags'!$N$207:$W$210,MATCH(Dashboard!$B223,'Analysis of bottom-up tags'!$B$207:$B$210,0),MATCH(Dashboard!F$21,'Analysis of bottom-up tags'!$N$6:$W$6,0))*F$22</f>
        <v>0</v>
      </c>
      <c r="G223" s="151">
        <f>INDEX('Analysis of bottom-up tags'!$N$207:$W$210,MATCH(Dashboard!$B223,'Analysis of bottom-up tags'!$B$207:$B$210,0),MATCH(Dashboard!G$21,'Analysis of bottom-up tags'!$N$6:$W$6,0))*G$22</f>
        <v>0</v>
      </c>
      <c r="H223" s="151">
        <f>INDEX('Analysis of bottom-up tags'!$N$207:$W$210,MATCH(Dashboard!$B223,'Analysis of bottom-up tags'!$B$207:$B$210,0),MATCH(Dashboard!H$21,'Analysis of bottom-up tags'!$N$6:$W$6,0))*H$22</f>
        <v>0</v>
      </c>
      <c r="I223" s="151">
        <f>INDEX('Analysis of bottom-up tags'!$N$207:$W$210,MATCH(Dashboard!$B223,'Analysis of bottom-up tags'!$B$207:$B$210,0),MATCH(Dashboard!I$21,'Analysis of bottom-up tags'!$N$6:$W$6,0))*I$22</f>
        <v>0</v>
      </c>
      <c r="J223" s="151">
        <f>INDEX('Analysis of bottom-up tags'!$N$207:$W$210,MATCH(Dashboard!$B223,'Analysis of bottom-up tags'!$B$207:$B$210,0),MATCH(Dashboard!J$21,'Analysis of bottom-up tags'!$N$6:$W$6,0))*J$22</f>
        <v>0</v>
      </c>
      <c r="K223" s="151">
        <f>INDEX('Analysis of bottom-up tags'!$N$207:$W$210,MATCH(Dashboard!$B223,'Analysis of bottom-up tags'!$B$207:$B$210,0),MATCH(Dashboard!K$21,'Analysis of bottom-up tags'!$N$6:$W$6,0))*K$22</f>
        <v>0</v>
      </c>
      <c r="L223" s="151">
        <f>INDEX('Analysis of bottom-up tags'!$N$207:$W$210,MATCH(Dashboard!$B223,'Analysis of bottom-up tags'!$B$207:$B$210,0),MATCH(Dashboard!L$21,'Analysis of bottom-up tags'!$N$6:$W$6,0))*L$22</f>
        <v>0</v>
      </c>
      <c r="M223" s="151">
        <f>SUM(C223:L223)</f>
        <v>0</v>
      </c>
    </row>
    <row r="224" spans="2:13">
      <c r="B224" s="151" t="s">
        <v>10977</v>
      </c>
      <c r="C224" s="151">
        <f>INDEX('Analysis of bottom-up tags'!$N$207:$W$210,MATCH(Dashboard!$B224,'Analysis of bottom-up tags'!$B$207:$B$210,0),MATCH(Dashboard!C$21,'Analysis of bottom-up tags'!$N$6:$W$6,0))*C$22</f>
        <v>0</v>
      </c>
      <c r="D224" s="151">
        <f>INDEX('Analysis of bottom-up tags'!$N$207:$W$210,MATCH(Dashboard!$B224,'Analysis of bottom-up tags'!$B$207:$B$210,0),MATCH(Dashboard!D$21,'Analysis of bottom-up tags'!$N$6:$W$6,0))*D$22</f>
        <v>0</v>
      </c>
      <c r="E224" s="151">
        <f>INDEX('Analysis of bottom-up tags'!$N$207:$W$210,MATCH(Dashboard!$B224,'Analysis of bottom-up tags'!$B$207:$B$210,0),MATCH(Dashboard!E$21,'Analysis of bottom-up tags'!$N$6:$W$6,0))*E$22</f>
        <v>0</v>
      </c>
      <c r="F224" s="151">
        <f>INDEX('Analysis of bottom-up tags'!$N$207:$W$210,MATCH(Dashboard!$B224,'Analysis of bottom-up tags'!$B$207:$B$210,0),MATCH(Dashboard!F$21,'Analysis of bottom-up tags'!$N$6:$W$6,0))*F$22</f>
        <v>0</v>
      </c>
      <c r="G224" s="151">
        <f>INDEX('Analysis of bottom-up tags'!$N$207:$W$210,MATCH(Dashboard!$B224,'Analysis of bottom-up tags'!$B$207:$B$210,0),MATCH(Dashboard!G$21,'Analysis of bottom-up tags'!$N$6:$W$6,0))*G$22</f>
        <v>0</v>
      </c>
      <c r="H224" s="151">
        <f>INDEX('Analysis of bottom-up tags'!$N$207:$W$210,MATCH(Dashboard!$B224,'Analysis of bottom-up tags'!$B$207:$B$210,0),MATCH(Dashboard!H$21,'Analysis of bottom-up tags'!$N$6:$W$6,0))*H$22</f>
        <v>0</v>
      </c>
      <c r="I224" s="151">
        <f>INDEX('Analysis of bottom-up tags'!$N$207:$W$210,MATCH(Dashboard!$B224,'Analysis of bottom-up tags'!$B$207:$B$210,0),MATCH(Dashboard!I$21,'Analysis of bottom-up tags'!$N$6:$W$6,0))*I$22</f>
        <v>0.23969361884459409</v>
      </c>
      <c r="J224" s="151">
        <f>INDEX('Analysis of bottom-up tags'!$N$207:$W$210,MATCH(Dashboard!$B224,'Analysis of bottom-up tags'!$B$207:$B$210,0),MATCH(Dashboard!J$21,'Analysis of bottom-up tags'!$N$6:$W$6,0))*J$22</f>
        <v>40.010382936715288</v>
      </c>
      <c r="K224" s="151">
        <f>INDEX('Analysis of bottom-up tags'!$N$207:$W$210,MATCH(Dashboard!$B224,'Analysis of bottom-up tags'!$B$207:$B$210,0),MATCH(Dashboard!K$21,'Analysis of bottom-up tags'!$N$6:$W$6,0))*K$22</f>
        <v>0</v>
      </c>
      <c r="L224" s="151">
        <f>INDEX('Analysis of bottom-up tags'!$N$207:$W$210,MATCH(Dashboard!$B224,'Analysis of bottom-up tags'!$B$207:$B$210,0),MATCH(Dashboard!L$21,'Analysis of bottom-up tags'!$N$6:$W$6,0))*L$22</f>
        <v>0</v>
      </c>
      <c r="M224" s="151">
        <f t="shared" ref="M224:M226" si="29">SUM(C224:L224)</f>
        <v>40.250076555559879</v>
      </c>
    </row>
    <row r="225" spans="2:13">
      <c r="B225" s="151" t="s">
        <v>10558</v>
      </c>
      <c r="C225" s="151">
        <f>INDEX('Analysis of bottom-up tags'!$N$207:$W$210,MATCH(Dashboard!$B225,'Analysis of bottom-up tags'!$B$207:$B$210,0),MATCH(Dashboard!C$21,'Analysis of bottom-up tags'!$N$6:$W$6,0))*C$22</f>
        <v>0</v>
      </c>
      <c r="D225" s="151">
        <f>INDEX('Analysis of bottom-up tags'!$N$207:$W$210,MATCH(Dashboard!$B225,'Analysis of bottom-up tags'!$B$207:$B$210,0),MATCH(Dashboard!D$21,'Analysis of bottom-up tags'!$N$6:$W$6,0))*D$22</f>
        <v>0</v>
      </c>
      <c r="E225" s="151">
        <f>INDEX('Analysis of bottom-up tags'!$N$207:$W$210,MATCH(Dashboard!$B225,'Analysis of bottom-up tags'!$B$207:$B$210,0),MATCH(Dashboard!E$21,'Analysis of bottom-up tags'!$N$6:$W$6,0))*E$22</f>
        <v>0</v>
      </c>
      <c r="F225" s="151">
        <f>INDEX('Analysis of bottom-up tags'!$N$207:$W$210,MATCH(Dashboard!$B225,'Analysis of bottom-up tags'!$B$207:$B$210,0),MATCH(Dashboard!F$21,'Analysis of bottom-up tags'!$N$6:$W$6,0))*F$22</f>
        <v>0</v>
      </c>
      <c r="G225" s="151">
        <f>INDEX('Analysis of bottom-up tags'!$N$207:$W$210,MATCH(Dashboard!$B225,'Analysis of bottom-up tags'!$B$207:$B$210,0),MATCH(Dashboard!G$21,'Analysis of bottom-up tags'!$N$6:$W$6,0))*G$22</f>
        <v>0</v>
      </c>
      <c r="H225" s="151">
        <f>INDEX('Analysis of bottom-up tags'!$N$207:$W$210,MATCH(Dashboard!$B225,'Analysis of bottom-up tags'!$B$207:$B$210,0),MATCH(Dashboard!H$21,'Analysis of bottom-up tags'!$N$6:$W$6,0))*H$22</f>
        <v>0</v>
      </c>
      <c r="I225" s="151">
        <f>INDEX('Analysis of bottom-up tags'!$N$207:$W$210,MATCH(Dashboard!$B225,'Analysis of bottom-up tags'!$B$207:$B$210,0),MATCH(Dashboard!I$21,'Analysis of bottom-up tags'!$N$6:$W$6,0))*I$22</f>
        <v>0</v>
      </c>
      <c r="J225" s="151">
        <f>INDEX('Analysis of bottom-up tags'!$N$207:$W$210,MATCH(Dashboard!$B225,'Analysis of bottom-up tags'!$B$207:$B$210,0),MATCH(Dashboard!J$21,'Analysis of bottom-up tags'!$N$6:$W$6,0))*J$22</f>
        <v>0</v>
      </c>
      <c r="K225" s="151">
        <f>INDEX('Analysis of bottom-up tags'!$N$207:$W$210,MATCH(Dashboard!$B225,'Analysis of bottom-up tags'!$B$207:$B$210,0),MATCH(Dashboard!K$21,'Analysis of bottom-up tags'!$N$6:$W$6,0))*K$22</f>
        <v>0</v>
      </c>
      <c r="L225" s="151">
        <f>INDEX('Analysis of bottom-up tags'!$N$207:$W$210,MATCH(Dashboard!$B225,'Analysis of bottom-up tags'!$B$207:$B$210,0),MATCH(Dashboard!L$21,'Analysis of bottom-up tags'!$N$6:$W$6,0))*L$22</f>
        <v>0</v>
      </c>
      <c r="M225" s="151">
        <f t="shared" si="29"/>
        <v>0</v>
      </c>
    </row>
    <row r="226" spans="2:13">
      <c r="B226" s="151" t="s">
        <v>10981</v>
      </c>
      <c r="C226" s="151">
        <f>INDEX('Analysis of bottom-up tags'!$N$207:$W$210,MATCH(Dashboard!$B226,'Analysis of bottom-up tags'!$B$207:$B$210,0),MATCH(Dashboard!C$21,'Analysis of bottom-up tags'!$N$6:$W$6,0))*C$22</f>
        <v>0</v>
      </c>
      <c r="D226" s="151">
        <f>INDEX('Analysis of bottom-up tags'!$N$207:$W$210,MATCH(Dashboard!$B226,'Analysis of bottom-up tags'!$B$207:$B$210,0),MATCH(Dashboard!D$21,'Analysis of bottom-up tags'!$N$6:$W$6,0))*D$22</f>
        <v>0</v>
      </c>
      <c r="E226" s="151">
        <f>INDEX('Analysis of bottom-up tags'!$N$207:$W$210,MATCH(Dashboard!$B226,'Analysis of bottom-up tags'!$B$207:$B$210,0),MATCH(Dashboard!E$21,'Analysis of bottom-up tags'!$N$6:$W$6,0))*E$22</f>
        <v>0</v>
      </c>
      <c r="F226" s="151">
        <f>INDEX('Analysis of bottom-up tags'!$N$207:$W$210,MATCH(Dashboard!$B226,'Analysis of bottom-up tags'!$B$207:$B$210,0),MATCH(Dashboard!F$21,'Analysis of bottom-up tags'!$N$6:$W$6,0))*F$22</f>
        <v>0</v>
      </c>
      <c r="G226" s="151">
        <f>INDEX('Analysis of bottom-up tags'!$N$207:$W$210,MATCH(Dashboard!$B226,'Analysis of bottom-up tags'!$B$207:$B$210,0),MATCH(Dashboard!G$21,'Analysis of bottom-up tags'!$N$6:$W$6,0))*G$22</f>
        <v>0</v>
      </c>
      <c r="H226" s="151">
        <f>INDEX('Analysis of bottom-up tags'!$N$207:$W$210,MATCH(Dashboard!$B226,'Analysis of bottom-up tags'!$B$207:$B$210,0),MATCH(Dashboard!H$21,'Analysis of bottom-up tags'!$N$6:$W$6,0))*H$22</f>
        <v>0</v>
      </c>
      <c r="I226" s="151">
        <f>INDEX('Analysis of bottom-up tags'!$N$207:$W$210,MATCH(Dashboard!$B226,'Analysis of bottom-up tags'!$B$207:$B$210,0),MATCH(Dashboard!I$21,'Analysis of bottom-up tags'!$N$6:$W$6,0))*I$22</f>
        <v>4.3374285787495337</v>
      </c>
      <c r="J226" s="151">
        <f>INDEX('Analysis of bottom-up tags'!$N$207:$W$210,MATCH(Dashboard!$B226,'Analysis of bottom-up tags'!$B$207:$B$210,0),MATCH(Dashboard!J$21,'Analysis of bottom-up tags'!$N$6:$W$6,0))*J$22</f>
        <v>32.883697175990385</v>
      </c>
      <c r="K226" s="151">
        <f>INDEX('Analysis of bottom-up tags'!$N$207:$W$210,MATCH(Dashboard!$B226,'Analysis of bottom-up tags'!$B$207:$B$210,0),MATCH(Dashboard!K$21,'Analysis of bottom-up tags'!$N$6:$W$6,0))*K$22</f>
        <v>2.110689899928178</v>
      </c>
      <c r="L226" s="151">
        <f>INDEX('Analysis of bottom-up tags'!$N$207:$W$210,MATCH(Dashboard!$B226,'Analysis of bottom-up tags'!$B$207:$B$210,0),MATCH(Dashboard!L$21,'Analysis of bottom-up tags'!$N$6:$W$6,0))*L$22</f>
        <v>16.017136834503447</v>
      </c>
      <c r="M226" s="151">
        <f t="shared" si="29"/>
        <v>55.348952489171538</v>
      </c>
    </row>
    <row r="229" spans="2:13">
      <c r="B229" s="218" t="s">
        <v>10544</v>
      </c>
      <c r="C229" s="151">
        <f>SUM(C75,C77,C80,C79,C81,C83,C85)</f>
        <v>10.207300395185809</v>
      </c>
      <c r="D229" s="151">
        <f t="shared" ref="D229:L229" si="30">SUM(D75,D77,D80,D79,D81,D83,D85)</f>
        <v>81.189979576440436</v>
      </c>
      <c r="E229" s="151">
        <f t="shared" si="30"/>
        <v>249.66893096711533</v>
      </c>
      <c r="F229" s="151">
        <f t="shared" si="30"/>
        <v>480.57226525642591</v>
      </c>
      <c r="G229" s="151">
        <f t="shared" si="30"/>
        <v>19.156559467506696</v>
      </c>
      <c r="H229" s="151">
        <f t="shared" si="30"/>
        <v>5.9614782342998698</v>
      </c>
      <c r="I229" s="151">
        <f t="shared" si="30"/>
        <v>6.9538740567412614</v>
      </c>
      <c r="J229" s="151">
        <f t="shared" si="30"/>
        <v>128.66353226822241</v>
      </c>
      <c r="K229" s="151">
        <f t="shared" si="30"/>
        <v>6.625436671431074</v>
      </c>
      <c r="L229" s="151">
        <f t="shared" si="30"/>
        <v>104.02795121195074</v>
      </c>
    </row>
    <row r="230" spans="2:13">
      <c r="B230" s="218" t="s">
        <v>11180</v>
      </c>
      <c r="C230" s="151">
        <f>SUM(C73,C75,C76,C77,C78,C81,C82,C83,C84,C87)</f>
        <v>669.32077967131011</v>
      </c>
      <c r="D230" s="151">
        <f t="shared" ref="D230:L230" si="31">SUM(D73,D75,D76,D77,D78,D81,D82,D83,D84,D87)</f>
        <v>120.30628466372141</v>
      </c>
      <c r="E230" s="151">
        <f t="shared" si="31"/>
        <v>858.04910716510051</v>
      </c>
      <c r="F230" s="151">
        <f t="shared" si="31"/>
        <v>657.49903790603332</v>
      </c>
      <c r="G230" s="151">
        <f t="shared" si="31"/>
        <v>328.43337486311566</v>
      </c>
      <c r="H230" s="151">
        <f t="shared" si="31"/>
        <v>722.13324133504068</v>
      </c>
      <c r="I230" s="151">
        <f t="shared" si="31"/>
        <v>100.30106727232184</v>
      </c>
      <c r="J230" s="151">
        <f t="shared" si="31"/>
        <v>921.2147532064381</v>
      </c>
      <c r="K230" s="151">
        <f t="shared" si="31"/>
        <v>136.96031419768067</v>
      </c>
      <c r="L230" s="151">
        <f t="shared" si="31"/>
        <v>465.19299404603237</v>
      </c>
    </row>
    <row r="231" spans="2:13">
      <c r="B231" s="218" t="s">
        <v>10523</v>
      </c>
      <c r="C231" s="151">
        <f>SUM(C73:C74,C76,C78,C79,C80,C82,C84,C86)</f>
        <v>1034.7290911573461</v>
      </c>
      <c r="D231" s="151">
        <f t="shared" ref="D231:L231" si="32">SUM(D73:D74,D76,D78,D79,D80,D82,D84,D86)</f>
        <v>702.1316330553019</v>
      </c>
      <c r="E231" s="151">
        <f t="shared" si="32"/>
        <v>716.70002848330876</v>
      </c>
      <c r="F231" s="151">
        <f t="shared" si="32"/>
        <v>269.67219378373522</v>
      </c>
      <c r="G231" s="151">
        <f t="shared" si="32"/>
        <v>309.69017772732167</v>
      </c>
      <c r="H231" s="151">
        <f t="shared" si="32"/>
        <v>755.453703918668</v>
      </c>
      <c r="I231" s="151">
        <f t="shared" si="32"/>
        <v>104.23161022916665</v>
      </c>
      <c r="J231" s="151">
        <f t="shared" si="32"/>
        <v>933.82329737810721</v>
      </c>
      <c r="K231" s="151">
        <f t="shared" si="32"/>
        <v>131.97517208253586</v>
      </c>
      <c r="L231" s="151">
        <f t="shared" si="32"/>
        <v>557.89045998045253</v>
      </c>
    </row>
    <row r="232" spans="2:13">
      <c r="B232" s="218" t="s">
        <v>10563</v>
      </c>
      <c r="C232" s="151">
        <f>SUM(C72)</f>
        <v>17.1780019323968</v>
      </c>
      <c r="D232" s="151">
        <f t="shared" ref="D232:L232" si="33">SUM(D72)</f>
        <v>381.76355325772056</v>
      </c>
      <c r="E232" s="151">
        <f t="shared" si="33"/>
        <v>114.17091223213185</v>
      </c>
      <c r="F232" s="151">
        <f t="shared" si="33"/>
        <v>247.92430372622184</v>
      </c>
      <c r="G232" s="151">
        <f t="shared" si="33"/>
        <v>1022.5523396407458</v>
      </c>
      <c r="H232" s="151">
        <f t="shared" si="33"/>
        <v>698.61501298650705</v>
      </c>
      <c r="I232" s="151">
        <f t="shared" si="33"/>
        <v>1232.4757448591818</v>
      </c>
      <c r="J232" s="151">
        <f t="shared" si="33"/>
        <v>499.22718796597331</v>
      </c>
      <c r="K232" s="151">
        <f t="shared" si="33"/>
        <v>1588.8261671323323</v>
      </c>
      <c r="L232" s="151">
        <f t="shared" si="33"/>
        <v>990.33694682804355</v>
      </c>
    </row>
    <row r="233" spans="2:13">
      <c r="B233" s="218" t="s">
        <v>11181</v>
      </c>
      <c r="C233" s="151">
        <f>SUM(C74,C80,C85,C86,C87)</f>
        <v>375.6156118812217</v>
      </c>
      <c r="D233" s="151">
        <f t="shared" ref="D233:L233" si="34">SUM(D74,D80,D85,D86,D87)</f>
        <v>663.01532796802087</v>
      </c>
      <c r="E233" s="151">
        <f t="shared" si="34"/>
        <v>108.31985228532362</v>
      </c>
      <c r="F233" s="151">
        <f t="shared" si="34"/>
        <v>92.745421134127795</v>
      </c>
      <c r="G233" s="151">
        <f t="shared" si="34"/>
        <v>0.41336233171270759</v>
      </c>
      <c r="H233" s="151">
        <f t="shared" si="34"/>
        <v>39.281940817927236</v>
      </c>
      <c r="I233" s="151">
        <f t="shared" si="34"/>
        <v>6.5509381276398644</v>
      </c>
      <c r="J233" s="151">
        <f t="shared" si="34"/>
        <v>37.567765877356194</v>
      </c>
      <c r="K233" s="151">
        <f t="shared" si="34"/>
        <v>5.1616725917945985</v>
      </c>
      <c r="L233" s="151">
        <f t="shared" si="34"/>
        <v>196.81252528376584</v>
      </c>
    </row>
    <row r="234" spans="2:13">
      <c r="B234" s="218" t="s">
        <v>10558</v>
      </c>
    </row>
    <row r="235" spans="2:13" ht="15" thickBot="1"/>
    <row r="236" spans="2:13" ht="20" thickBot="1">
      <c r="B236" s="248" t="s">
        <v>11035</v>
      </c>
      <c r="C236" s="249"/>
      <c r="D236" s="249"/>
      <c r="E236" s="249"/>
      <c r="F236" s="249"/>
      <c r="G236" s="249"/>
      <c r="H236" s="249"/>
      <c r="I236" s="249"/>
      <c r="J236" s="249"/>
      <c r="K236" s="249"/>
      <c r="L236" s="249"/>
      <c r="M236" s="250"/>
    </row>
    <row r="237" spans="2:13">
      <c r="B237" s="163" t="s">
        <v>10460</v>
      </c>
      <c r="C237" s="163">
        <v>2010</v>
      </c>
      <c r="D237" s="163">
        <f>C237+1</f>
        <v>2011</v>
      </c>
      <c r="E237" s="163">
        <f t="shared" ref="E237:L237" si="35">D237+1</f>
        <v>2012</v>
      </c>
      <c r="F237" s="163">
        <f t="shared" si="35"/>
        <v>2013</v>
      </c>
      <c r="G237" s="163">
        <f t="shared" si="35"/>
        <v>2014</v>
      </c>
      <c r="H237" s="163">
        <f t="shared" si="35"/>
        <v>2015</v>
      </c>
      <c r="I237" s="163">
        <f t="shared" si="35"/>
        <v>2016</v>
      </c>
      <c r="J237" s="163">
        <f t="shared" si="35"/>
        <v>2017</v>
      </c>
      <c r="K237" s="163">
        <f t="shared" si="35"/>
        <v>2018</v>
      </c>
      <c r="L237" s="163">
        <f t="shared" si="35"/>
        <v>2019</v>
      </c>
      <c r="M237" s="163"/>
    </row>
    <row r="238" spans="2:13">
      <c r="B238" s="151" t="s">
        <v>10621</v>
      </c>
      <c r="C238" s="151">
        <f>INDEX('Analysis of bottom-up tags'!$N$10:$W$15,MATCH(Dashboard!$B238,'Analysis of bottom-up tags'!$B$10:$B$15,0),MATCH(Dashboard!C$21,'Analysis of bottom-up tags'!$N$6:$W$6,0))*C$23</f>
        <v>13.753426374609338</v>
      </c>
      <c r="D238" s="151">
        <f>INDEX('Analysis of bottom-up tags'!$N$10:$W$15,MATCH(Dashboard!$B238,'Analysis of bottom-up tags'!$B$10:$B$15,0),MATCH(Dashboard!D$21,'Analysis of bottom-up tags'!$N$6:$W$6,0))*D$23</f>
        <v>0</v>
      </c>
      <c r="E238" s="151">
        <f>INDEX('Analysis of bottom-up tags'!$N$10:$W$15,MATCH(Dashboard!$B238,'Analysis of bottom-up tags'!$B$10:$B$15,0),MATCH(Dashboard!E$21,'Analysis of bottom-up tags'!$N$6:$W$6,0))*E$23</f>
        <v>210.29790528340081</v>
      </c>
      <c r="F238" s="151">
        <f>INDEX('Analysis of bottom-up tags'!$N$10:$W$15,MATCH(Dashboard!$B238,'Analysis of bottom-up tags'!$B$10:$B$15,0),MATCH(Dashboard!F$21,'Analysis of bottom-up tags'!$N$6:$W$6,0))*F$23</f>
        <v>0</v>
      </c>
      <c r="G238" s="151">
        <f>INDEX('Analysis of bottom-up tags'!$N$10:$W$15,MATCH(Dashboard!$B238,'Analysis of bottom-up tags'!$B$10:$B$15,0),MATCH(Dashboard!G$21,'Analysis of bottom-up tags'!$N$6:$W$6,0))*G$23</f>
        <v>94.637846292927634</v>
      </c>
      <c r="H238" s="151">
        <f>INDEX('Analysis of bottom-up tags'!$N$10:$W$15,MATCH(Dashboard!$B238,'Analysis of bottom-up tags'!$B$10:$B$15,0),MATCH(Dashboard!H$21,'Analysis of bottom-up tags'!$N$6:$W$6,0))*H$23</f>
        <v>401.48988221657635</v>
      </c>
      <c r="I238" s="151">
        <f>INDEX('Analysis of bottom-up tags'!$N$10:$W$15,MATCH(Dashboard!$B238,'Analysis of bottom-up tags'!$B$10:$B$15,0),MATCH(Dashboard!I$21,'Analysis of bottom-up tags'!$N$6:$W$6,0))*I$23</f>
        <v>897.44358781051631</v>
      </c>
      <c r="J238" s="151">
        <f>INDEX('Analysis of bottom-up tags'!$N$10:$W$15,MATCH(Dashboard!$B238,'Analysis of bottom-up tags'!$B$10:$B$15,0),MATCH(Dashboard!J$21,'Analysis of bottom-up tags'!$N$6:$W$6,0))*J$23</f>
        <v>24.350339884214442</v>
      </c>
      <c r="K238" s="151">
        <f>INDEX('Analysis of bottom-up tags'!$N$10:$W$15,MATCH(Dashboard!$B238,'Analysis of bottom-up tags'!$B$10:$B$15,0),MATCH(Dashboard!K$21,'Analysis of bottom-up tags'!$N$6:$W$6,0))*K$23</f>
        <v>1578.071470866262</v>
      </c>
      <c r="L238" s="151">
        <f>INDEX('Analysis of bottom-up tags'!$N$10:$W$15,MATCH(Dashboard!$B238,'Analysis of bottom-up tags'!$B$10:$B$15,0),MATCH(Dashboard!L$21,'Analysis of bottom-up tags'!$N$6:$W$6,0))*L$23</f>
        <v>40.143588109140531</v>
      </c>
      <c r="M238" s="151">
        <f>SUM(C238:L238)</f>
        <v>3260.1880468376471</v>
      </c>
    </row>
    <row r="239" spans="2:13">
      <c r="B239" s="151" t="s">
        <v>11108</v>
      </c>
      <c r="C239" s="151">
        <f>INDEX('Analysis of bottom-up tags'!$N$10:$W$15,MATCH(Dashboard!$B239,'Analysis of bottom-up tags'!$B$10:$B$15,0),MATCH(Dashboard!C$21,'Analysis of bottom-up tags'!$N$6:$W$6,0))*C$23</f>
        <v>1274.2404987564355</v>
      </c>
      <c r="D239" s="151">
        <f>INDEX('Analysis of bottom-up tags'!$N$10:$W$15,MATCH(Dashboard!$B239,'Analysis of bottom-up tags'!$B$10:$B$15,0),MATCH(Dashboard!D$21,'Analysis of bottom-up tags'!$N$6:$W$6,0))*D$23</f>
        <v>1399.6150905158663</v>
      </c>
      <c r="E239" s="151">
        <f>INDEX('Analysis of bottom-up tags'!$N$10:$W$15,MATCH(Dashboard!$B239,'Analysis of bottom-up tags'!$B$10:$B$15,0),MATCH(Dashboard!E$21,'Analysis of bottom-up tags'!$N$6:$W$6,0))*E$23</f>
        <v>1099.447393725758</v>
      </c>
      <c r="F239" s="151">
        <f>INDEX('Analysis of bottom-up tags'!$N$10:$W$15,MATCH(Dashboard!$B239,'Analysis of bottom-up tags'!$B$10:$B$15,0),MATCH(Dashboard!F$21,'Analysis of bottom-up tags'!$N$6:$W$6,0))*F$23</f>
        <v>1187.1303244034389</v>
      </c>
      <c r="G239" s="151">
        <f>INDEX('Analysis of bottom-up tags'!$N$10:$W$15,MATCH(Dashboard!$B239,'Analysis of bottom-up tags'!$B$10:$B$15,0),MATCH(Dashboard!G$21,'Analysis of bottom-up tags'!$N$6:$W$6,0))*G$23</f>
        <v>1581.4411307367993</v>
      </c>
      <c r="H239" s="151">
        <f>INDEX('Analysis of bottom-up tags'!$N$10:$W$15,MATCH(Dashboard!$B239,'Analysis of bottom-up tags'!$B$10:$B$15,0),MATCH(Dashboard!H$21,'Analysis of bottom-up tags'!$N$6:$W$6,0))*H$23</f>
        <v>1189.4208279346881</v>
      </c>
      <c r="I239" s="151">
        <f>INDEX('Analysis of bottom-up tags'!$N$10:$W$15,MATCH(Dashboard!$B239,'Analysis of bottom-up tags'!$B$10:$B$15,0),MATCH(Dashboard!I$21,'Analysis of bottom-up tags'!$N$6:$W$6,0))*I$23</f>
        <v>641.08999857040419</v>
      </c>
      <c r="J239" s="151">
        <f>INDEX('Analysis of bottom-up tags'!$N$10:$W$15,MATCH(Dashboard!$B239,'Analysis of bottom-up tags'!$B$10:$B$15,0),MATCH(Dashboard!J$21,'Analysis of bottom-up tags'!$N$6:$W$6,0))*J$23</f>
        <v>1616.9970156229533</v>
      </c>
      <c r="K239" s="151">
        <f>INDEX('Analysis of bottom-up tags'!$N$10:$W$15,MATCH(Dashboard!$B239,'Analysis of bottom-up tags'!$B$10:$B$15,0),MATCH(Dashboard!K$21,'Analysis of bottom-up tags'!$N$6:$W$6,0))*K$23</f>
        <v>310.33354306857331</v>
      </c>
      <c r="L239" s="151">
        <f>INDEX('Analysis of bottom-up tags'!$N$10:$W$15,MATCH(Dashboard!$B239,'Analysis of bottom-up tags'!$B$10:$B$15,0),MATCH(Dashboard!L$21,'Analysis of bottom-up tags'!$N$6:$W$6,0))*L$23</f>
        <v>1660.8240011558994</v>
      </c>
      <c r="M239" s="151">
        <f t="shared" ref="M239:M244" si="36">SUM(C239:L239)</f>
        <v>11960.539824490816</v>
      </c>
    </row>
    <row r="240" spans="2:13">
      <c r="B240" s="151" t="s">
        <v>11109</v>
      </c>
      <c r="C240" s="151">
        <f>INDEX('Analysis of bottom-up tags'!$N$10:$W$15,MATCH(Dashboard!$B240,'Analysis of bottom-up tags'!$B$10:$B$15,0),MATCH(Dashboard!C$21,'Analysis of bottom-up tags'!$N$6:$W$6,0))*C$23</f>
        <v>0</v>
      </c>
      <c r="D240" s="151">
        <f>INDEX('Analysis of bottom-up tags'!$N$10:$W$15,MATCH(Dashboard!$B240,'Analysis of bottom-up tags'!$B$10:$B$15,0),MATCH(Dashboard!D$21,'Analysis of bottom-up tags'!$N$6:$W$6,0))*D$23</f>
        <v>0</v>
      </c>
      <c r="E240" s="151">
        <f>INDEX('Analysis of bottom-up tags'!$N$10:$W$15,MATCH(Dashboard!$B240,'Analysis of bottom-up tags'!$B$10:$B$15,0),MATCH(Dashboard!E$21,'Analysis of bottom-up tags'!$N$6:$W$6,0))*E$23</f>
        <v>0</v>
      </c>
      <c r="F240" s="151">
        <f>INDEX('Analysis of bottom-up tags'!$N$10:$W$15,MATCH(Dashboard!$B240,'Analysis of bottom-up tags'!$B$10:$B$15,0),MATCH(Dashboard!F$21,'Analysis of bottom-up tags'!$N$6:$W$6,0))*F$23</f>
        <v>22.185780566258895</v>
      </c>
      <c r="G240" s="151">
        <f>INDEX('Analysis of bottom-up tags'!$N$10:$W$15,MATCH(Dashboard!$B240,'Analysis of bottom-up tags'!$B$10:$B$15,0),MATCH(Dashboard!G$21,'Analysis of bottom-up tags'!$N$6:$W$6,0))*G$23</f>
        <v>0</v>
      </c>
      <c r="H240" s="151">
        <f>INDEX('Analysis of bottom-up tags'!$N$10:$W$15,MATCH(Dashboard!$B240,'Analysis of bottom-up tags'!$B$10:$B$15,0),MATCH(Dashboard!H$21,'Analysis of bottom-up tags'!$N$6:$W$6,0))*H$23</f>
        <v>14.084612267783923</v>
      </c>
      <c r="I240" s="151">
        <f>INDEX('Analysis of bottom-up tags'!$N$10:$W$15,MATCH(Dashboard!$B240,'Analysis of bottom-up tags'!$B$10:$B$15,0),MATCH(Dashboard!I$21,'Analysis of bottom-up tags'!$N$6:$W$6,0))*I$23</f>
        <v>77.699490357987969</v>
      </c>
      <c r="J240" s="151">
        <f>INDEX('Analysis of bottom-up tags'!$N$10:$W$15,MATCH(Dashboard!$B240,'Analysis of bottom-up tags'!$B$10:$B$15,0),MATCH(Dashboard!J$21,'Analysis of bottom-up tags'!$N$6:$W$6,0))*J$23</f>
        <v>74.138523400310859</v>
      </c>
      <c r="K240" s="151">
        <f>INDEX('Analysis of bottom-up tags'!$N$10:$W$15,MATCH(Dashboard!$B240,'Analysis of bottom-up tags'!$B$10:$B$15,0),MATCH(Dashboard!K$21,'Analysis of bottom-up tags'!$N$6:$W$6,0))*K$23</f>
        <v>61.562259013329701</v>
      </c>
      <c r="L240" s="151">
        <f>INDEX('Analysis of bottom-up tags'!$N$10:$W$15,MATCH(Dashboard!$B240,'Analysis of bottom-up tags'!$B$10:$B$15,0),MATCH(Dashboard!L$21,'Analysis of bottom-up tags'!$N$6:$W$6,0))*L$23</f>
        <v>10.848001092280002</v>
      </c>
      <c r="M240" s="151">
        <f t="shared" si="36"/>
        <v>260.51866669795135</v>
      </c>
    </row>
    <row r="241" spans="2:13">
      <c r="B241" s="151" t="s">
        <v>11110</v>
      </c>
      <c r="C241" s="151">
        <f>INDEX('Analysis of bottom-up tags'!$N$10:$W$15,MATCH(Dashboard!$B241,'Analysis of bottom-up tags'!$B$10:$B$15,0),MATCH(Dashboard!C$21,'Analysis of bottom-up tags'!$N$6:$W$6,0))*C$23</f>
        <v>0</v>
      </c>
      <c r="D241" s="151">
        <f>INDEX('Analysis of bottom-up tags'!$N$10:$W$15,MATCH(Dashboard!$B241,'Analysis of bottom-up tags'!$B$10:$B$15,0),MATCH(Dashboard!D$21,'Analysis of bottom-up tags'!$N$6:$W$6,0))*D$23</f>
        <v>7.0031689952938097</v>
      </c>
      <c r="E241" s="151">
        <f>INDEX('Analysis of bottom-up tags'!$N$10:$W$15,MATCH(Dashboard!$B241,'Analysis of bottom-up tags'!$B$10:$B$15,0),MATCH(Dashboard!E$21,'Analysis of bottom-up tags'!$N$6:$W$6,0))*E$23</f>
        <v>0</v>
      </c>
      <c r="F241" s="151">
        <f>INDEX('Analysis of bottom-up tags'!$N$10:$W$15,MATCH(Dashboard!$B241,'Analysis of bottom-up tags'!$B$10:$B$15,0),MATCH(Dashboard!F$21,'Analysis of bottom-up tags'!$N$6:$W$6,0))*F$23</f>
        <v>38.394848488281177</v>
      </c>
      <c r="G241" s="151">
        <f>INDEX('Analysis of bottom-up tags'!$N$10:$W$15,MATCH(Dashboard!$B241,'Analysis of bottom-up tags'!$B$10:$B$15,0),MATCH(Dashboard!G$21,'Analysis of bottom-up tags'!$N$6:$W$6,0))*G$23</f>
        <v>2.031964535327063</v>
      </c>
      <c r="H241" s="151">
        <f>INDEX('Analysis of bottom-up tags'!$N$10:$W$15,MATCH(Dashboard!$B241,'Analysis of bottom-up tags'!$B$10:$B$15,0),MATCH(Dashboard!H$21,'Analysis of bottom-up tags'!$N$6:$W$6,0))*H$23</f>
        <v>198.57138922383231</v>
      </c>
      <c r="I241" s="151">
        <f>INDEX('Analysis of bottom-up tags'!$N$10:$W$15,MATCH(Dashboard!$B241,'Analysis of bottom-up tags'!$B$10:$B$15,0),MATCH(Dashboard!I$21,'Analysis of bottom-up tags'!$N$6:$W$6,0))*I$23</f>
        <v>17.744369264636962</v>
      </c>
      <c r="J241" s="151">
        <f>INDEX('Analysis of bottom-up tags'!$N$10:$W$15,MATCH(Dashboard!$B241,'Analysis of bottom-up tags'!$B$10:$B$15,0),MATCH(Dashboard!J$21,'Analysis of bottom-up tags'!$N$6:$W$6,0))*J$23</f>
        <v>101.40628032274739</v>
      </c>
      <c r="K241" s="151">
        <f>INDEX('Analysis of bottom-up tags'!$N$10:$W$15,MATCH(Dashboard!$B241,'Analysis of bottom-up tags'!$B$10:$B$15,0),MATCH(Dashboard!K$21,'Analysis of bottom-up tags'!$N$6:$W$6,0))*K$23</f>
        <v>94.424319938698531</v>
      </c>
      <c r="L241" s="151">
        <f>INDEX('Analysis of bottom-up tags'!$N$10:$W$15,MATCH(Dashboard!$B241,'Analysis of bottom-up tags'!$B$10:$B$15,0),MATCH(Dashboard!L$21,'Analysis of bottom-up tags'!$N$6:$W$6,0))*L$23</f>
        <v>227.23820120520358</v>
      </c>
      <c r="M241" s="151">
        <f t="shared" si="36"/>
        <v>686.81454197402093</v>
      </c>
    </row>
    <row r="242" spans="2:13">
      <c r="B242" s="151" t="s">
        <v>10558</v>
      </c>
      <c r="C242" s="151">
        <f>INDEX('Analysis of bottom-up tags'!$N$10:$W$15,MATCH(Dashboard!$B242,'Analysis of bottom-up tags'!$B$10:$B$15,0),MATCH(Dashboard!C$21,'Analysis of bottom-up tags'!$N$6:$W$6,0))*C$23</f>
        <v>0</v>
      </c>
      <c r="D242" s="151">
        <f>INDEX('Analysis of bottom-up tags'!$N$10:$W$15,MATCH(Dashboard!$B242,'Analysis of bottom-up tags'!$B$10:$B$15,0),MATCH(Dashboard!D$21,'Analysis of bottom-up tags'!$N$6:$W$6,0))*D$23</f>
        <v>0</v>
      </c>
      <c r="E242" s="151">
        <f>INDEX('Analysis of bottom-up tags'!$N$10:$W$15,MATCH(Dashboard!$B242,'Analysis of bottom-up tags'!$B$10:$B$15,0),MATCH(Dashboard!E$21,'Analysis of bottom-up tags'!$N$6:$W$6,0))*E$23</f>
        <v>0</v>
      </c>
      <c r="F242" s="151">
        <f>INDEX('Analysis of bottom-up tags'!$N$10:$W$15,MATCH(Dashboard!$B242,'Analysis of bottom-up tags'!$B$10:$B$15,0),MATCH(Dashboard!F$21,'Analysis of bottom-up tags'!$N$6:$W$6,0))*F$23</f>
        <v>0</v>
      </c>
      <c r="G242" s="151">
        <f>INDEX('Analysis of bottom-up tags'!$N$10:$W$15,MATCH(Dashboard!$B242,'Analysis of bottom-up tags'!$B$10:$B$15,0),MATCH(Dashboard!G$21,'Analysis of bottom-up tags'!$N$6:$W$6,0))*G$23</f>
        <v>0</v>
      </c>
      <c r="H242" s="151">
        <f>INDEX('Analysis of bottom-up tags'!$N$10:$W$15,MATCH(Dashboard!$B242,'Analysis of bottom-up tags'!$B$10:$B$15,0),MATCH(Dashboard!H$21,'Analysis of bottom-up tags'!$N$6:$W$6,0))*H$23</f>
        <v>0</v>
      </c>
      <c r="I242" s="151">
        <f>INDEX('Analysis of bottom-up tags'!$N$10:$W$15,MATCH(Dashboard!$B242,'Analysis of bottom-up tags'!$B$10:$B$15,0),MATCH(Dashboard!I$21,'Analysis of bottom-up tags'!$N$6:$W$6,0))*I$23</f>
        <v>0</v>
      </c>
      <c r="J242" s="151">
        <f>INDEX('Analysis of bottom-up tags'!$N$10:$W$15,MATCH(Dashboard!$B242,'Analysis of bottom-up tags'!$B$10:$B$15,0),MATCH(Dashboard!J$21,'Analysis of bottom-up tags'!$N$6:$W$6,0))*J$23</f>
        <v>0</v>
      </c>
      <c r="K242" s="151">
        <f>INDEX('Analysis of bottom-up tags'!$N$10:$W$15,MATCH(Dashboard!$B242,'Analysis of bottom-up tags'!$B$10:$B$15,0),MATCH(Dashboard!K$21,'Analysis of bottom-up tags'!$N$6:$W$6,0))*K$23</f>
        <v>0</v>
      </c>
      <c r="L242" s="151">
        <f>INDEX('Analysis of bottom-up tags'!$N$10:$W$15,MATCH(Dashboard!$B242,'Analysis of bottom-up tags'!$B$10:$B$15,0),MATCH(Dashboard!L$21,'Analysis of bottom-up tags'!$N$6:$W$6,0))*L$23</f>
        <v>0</v>
      </c>
      <c r="M242" s="151">
        <f t="shared" si="36"/>
        <v>0</v>
      </c>
    </row>
    <row r="243" spans="2:13">
      <c r="B243" s="151" t="s">
        <v>11111</v>
      </c>
      <c r="C243" s="151">
        <f>INDEX('Analysis of bottom-up tags'!$N$10:$W$15,MATCH(Dashboard!$B243,'Analysis of bottom-up tags'!$B$10:$B$15,0),MATCH(Dashboard!C$21,'Analysis of bottom-up tags'!$N$6:$W$6,0))*C$23</f>
        <v>0</v>
      </c>
      <c r="D243" s="151">
        <f>INDEX('Analysis of bottom-up tags'!$N$10:$W$15,MATCH(Dashboard!$B243,'Analysis of bottom-up tags'!$B$10:$B$15,0),MATCH(Dashboard!D$21,'Analysis of bottom-up tags'!$N$6:$W$6,0))*D$23</f>
        <v>0</v>
      </c>
      <c r="E243" s="151">
        <f>INDEX('Analysis of bottom-up tags'!$N$10:$W$15,MATCH(Dashboard!$B243,'Analysis of bottom-up tags'!$B$10:$B$15,0),MATCH(Dashboard!E$21,'Analysis of bottom-up tags'!$N$6:$W$6,0))*E$23</f>
        <v>0</v>
      </c>
      <c r="F243" s="151">
        <f>INDEX('Analysis of bottom-up tags'!$N$10:$W$15,MATCH(Dashboard!$B243,'Analysis of bottom-up tags'!$B$10:$B$15,0),MATCH(Dashboard!F$21,'Analysis of bottom-up tags'!$N$6:$W$6,0))*F$23</f>
        <v>0</v>
      </c>
      <c r="G243" s="151">
        <f>INDEX('Analysis of bottom-up tags'!$N$10:$W$15,MATCH(Dashboard!$B243,'Analysis of bottom-up tags'!$B$10:$B$15,0),MATCH(Dashboard!G$21,'Analysis of bottom-up tags'!$N$6:$W$6,0))*G$23</f>
        <v>0</v>
      </c>
      <c r="H243" s="151">
        <f>INDEX('Analysis of bottom-up tags'!$N$10:$W$15,MATCH(Dashboard!$B243,'Analysis of bottom-up tags'!$B$10:$B$15,0),MATCH(Dashboard!H$21,'Analysis of bottom-up tags'!$N$6:$W$6,0))*H$23</f>
        <v>0</v>
      </c>
      <c r="I243" s="151">
        <f>INDEX('Analysis of bottom-up tags'!$N$10:$W$15,MATCH(Dashboard!$B243,'Analysis of bottom-up tags'!$B$10:$B$15,0),MATCH(Dashboard!I$21,'Analysis of bottom-up tags'!$N$6:$W$6,0))*I$23</f>
        <v>0</v>
      </c>
      <c r="J243" s="151">
        <f>INDEX('Analysis of bottom-up tags'!$N$10:$W$15,MATCH(Dashboard!$B243,'Analysis of bottom-up tags'!$B$10:$B$15,0),MATCH(Dashboard!J$21,'Analysis of bottom-up tags'!$N$6:$W$6,0))*J$23</f>
        <v>0.10219082380634428</v>
      </c>
      <c r="K243" s="151">
        <f>INDEX('Analysis of bottom-up tags'!$N$10:$W$15,MATCH(Dashboard!$B243,'Analysis of bottom-up tags'!$B$10:$B$15,0),MATCH(Dashboard!K$21,'Analysis of bottom-up tags'!$N$6:$W$6,0))*K$23</f>
        <v>0</v>
      </c>
      <c r="L243" s="151">
        <f>INDEX('Analysis of bottom-up tags'!$N$10:$W$15,MATCH(Dashboard!$B243,'Analysis of bottom-up tags'!$B$10:$B$15,0),MATCH(Dashboard!L$21,'Analysis of bottom-up tags'!$N$6:$W$6,0))*L$23</f>
        <v>0</v>
      </c>
      <c r="M243" s="151">
        <f t="shared" si="36"/>
        <v>0.10219082380634428</v>
      </c>
    </row>
    <row r="244" spans="2:13">
      <c r="B244" s="166" t="s">
        <v>11042</v>
      </c>
      <c r="C244" s="166">
        <f>SUM(C238:C243)</f>
        <v>1287.9939251310448</v>
      </c>
      <c r="D244" s="166">
        <f t="shared" ref="D244" si="37">SUM(D238:D243)</f>
        <v>1406.6182595111602</v>
      </c>
      <c r="E244" s="166">
        <f t="shared" ref="E244" si="38">SUM(E238:E243)</f>
        <v>1309.7452990091588</v>
      </c>
      <c r="F244" s="166">
        <f t="shared" ref="F244" si="39">SUM(F238:F243)</f>
        <v>1247.710953457979</v>
      </c>
      <c r="G244" s="166">
        <f t="shared" ref="G244" si="40">SUM(G238:G243)</f>
        <v>1678.110941565054</v>
      </c>
      <c r="H244" s="166">
        <f t="shared" ref="H244" si="41">SUM(H238:H243)</f>
        <v>1803.5667116428808</v>
      </c>
      <c r="I244" s="166">
        <f t="shared" ref="I244" si="42">SUM(I238:I243)</f>
        <v>1633.9774460035455</v>
      </c>
      <c r="J244" s="166">
        <f t="shared" ref="J244" si="43">SUM(J238:J243)</f>
        <v>1816.9943500540321</v>
      </c>
      <c r="K244" s="166">
        <f t="shared" ref="K244" si="44">SUM(K238:K243)</f>
        <v>2044.3915928868635</v>
      </c>
      <c r="L244" s="166">
        <f t="shared" ref="L244" si="45">SUM(L238:L243)</f>
        <v>1939.0537915625234</v>
      </c>
      <c r="M244" s="166">
        <f t="shared" si="36"/>
        <v>16168.163270824241</v>
      </c>
    </row>
    <row r="245" spans="2:13">
      <c r="B245" s="163" t="s">
        <v>10461</v>
      </c>
      <c r="C245" s="163"/>
      <c r="D245" s="163"/>
      <c r="E245" s="163"/>
      <c r="F245" s="163"/>
      <c r="G245" s="163"/>
      <c r="H245" s="163"/>
      <c r="I245" s="163"/>
      <c r="J245" s="163"/>
      <c r="K245" s="163"/>
      <c r="L245" s="163"/>
      <c r="M245" s="163"/>
    </row>
    <row r="246" spans="2:13">
      <c r="B246" s="167" t="s">
        <v>10558</v>
      </c>
      <c r="C246" s="151">
        <f>INDEX('Analysis of bottom-up tags'!$N$18:$W$21,MATCH(Dashboard!$B246,'Analysis of bottom-up tags'!$B$18:$B$21,0),MATCH(Dashboard!C$21,'Analysis of bottom-up tags'!$N$6:$W$6,0))*C$23</f>
        <v>41.519531210989399</v>
      </c>
      <c r="D246" s="151">
        <f>INDEX('Analysis of bottom-up tags'!$N$18:$W$21,MATCH(Dashboard!$B246,'Analysis of bottom-up tags'!$B$18:$B$21,0),MATCH(Dashboard!D$21,'Analysis of bottom-up tags'!$N$6:$W$6,0))*D$23</f>
        <v>899.16133326276224</v>
      </c>
      <c r="E246" s="151">
        <f>INDEX('Analysis of bottom-up tags'!$N$18:$W$21,MATCH(Dashboard!$B246,'Analysis of bottom-up tags'!$B$18:$B$21,0),MATCH(Dashboard!E$21,'Analysis of bottom-up tags'!$N$6:$W$6,0))*E$23</f>
        <v>614.33969268779094</v>
      </c>
      <c r="F246" s="151">
        <f>INDEX('Analysis of bottom-up tags'!$N$18:$W$21,MATCH(Dashboard!$B246,'Analysis of bottom-up tags'!$B$18:$B$21,0),MATCH(Dashboard!F$21,'Analysis of bottom-up tags'!$N$6:$W$6,0))*F$23</f>
        <v>720.82612630050608</v>
      </c>
      <c r="G246" s="151">
        <f>INDEX('Analysis of bottom-up tags'!$N$18:$W$21,MATCH(Dashboard!$B246,'Analysis of bottom-up tags'!$B$18:$B$21,0),MATCH(Dashboard!G$21,'Analysis of bottom-up tags'!$N$6:$W$6,0))*G$23</f>
        <v>971.92547574750927</v>
      </c>
      <c r="H246" s="151">
        <f>INDEX('Analysis of bottom-up tags'!$N$18:$W$21,MATCH(Dashboard!$B246,'Analysis of bottom-up tags'!$B$18:$B$21,0),MATCH(Dashboard!H$21,'Analysis of bottom-up tags'!$N$6:$W$6,0))*H$23</f>
        <v>650.68397423512226</v>
      </c>
      <c r="I246" s="151">
        <f>INDEX('Analysis of bottom-up tags'!$N$18:$W$21,MATCH(Dashboard!$B246,'Analysis of bottom-up tags'!$B$18:$B$21,0),MATCH(Dashboard!I$21,'Analysis of bottom-up tags'!$N$6:$W$6,0))*I$23</f>
        <v>1034.9230413625016</v>
      </c>
      <c r="J246" s="151">
        <f>INDEX('Analysis of bottom-up tags'!$N$18:$W$21,MATCH(Dashboard!$B246,'Analysis of bottom-up tags'!$B$18:$B$21,0),MATCH(Dashboard!J$21,'Analysis of bottom-up tags'!$N$6:$W$6,0))*J$23</f>
        <v>636.68104731110884</v>
      </c>
      <c r="K246" s="151">
        <f>INDEX('Analysis of bottom-up tags'!$N$18:$W$21,MATCH(Dashboard!$B246,'Analysis of bottom-up tags'!$B$18:$B$21,0),MATCH(Dashboard!K$21,'Analysis of bottom-up tags'!$N$6:$W$6,0))*K$23</f>
        <v>188.20880884317722</v>
      </c>
      <c r="L246" s="151">
        <f>INDEX('Analysis of bottom-up tags'!$N$18:$W$21,MATCH(Dashboard!$B246,'Analysis of bottom-up tags'!$B$18:$B$21,0),MATCH(Dashboard!L$21,'Analysis of bottom-up tags'!$N$6:$W$6,0))*L$23</f>
        <v>123.57821842911663</v>
      </c>
      <c r="M246" s="151">
        <f>SUM(C246:L246)</f>
        <v>5881.8472493905847</v>
      </c>
    </row>
    <row r="247" spans="2:13">
      <c r="B247" s="167" t="s">
        <v>11074</v>
      </c>
      <c r="C247" s="151">
        <f>INDEX('Analysis of bottom-up tags'!$N$18:$W$21,MATCH(Dashboard!$B247,'Analysis of bottom-up tags'!$B$18:$B$21,0),MATCH(Dashboard!C$21,'Analysis of bottom-up tags'!$N$6:$W$6,0))*C$23</f>
        <v>1217.9459779200099</v>
      </c>
      <c r="D247" s="151">
        <f>INDEX('Analysis of bottom-up tags'!$N$18:$W$21,MATCH(Dashboard!$B247,'Analysis of bottom-up tags'!$B$18:$B$21,0),MATCH(Dashboard!D$21,'Analysis of bottom-up tags'!$N$6:$W$6,0))*D$23</f>
        <v>506.33552332913627</v>
      </c>
      <c r="E247" s="151">
        <f>INDEX('Analysis of bottom-up tags'!$N$18:$W$21,MATCH(Dashboard!$B247,'Analysis of bottom-up tags'!$B$18:$B$21,0),MATCH(Dashboard!E$21,'Analysis of bottom-up tags'!$N$6:$W$6,0))*E$23</f>
        <v>659.00436751999985</v>
      </c>
      <c r="F247" s="151">
        <f>INDEX('Analysis of bottom-up tags'!$N$18:$W$21,MATCH(Dashboard!$B247,'Analysis of bottom-up tags'!$B$18:$B$21,0),MATCH(Dashboard!F$21,'Analysis of bottom-up tags'!$N$6:$W$6,0))*F$23</f>
        <v>487.85079211339809</v>
      </c>
      <c r="G247" s="151">
        <f>INDEX('Analysis of bottom-up tags'!$N$18:$W$21,MATCH(Dashboard!$B247,'Analysis of bottom-up tags'!$B$18:$B$21,0),MATCH(Dashboard!G$21,'Analysis of bottom-up tags'!$N$6:$W$6,0))*G$23</f>
        <v>542.65666681811979</v>
      </c>
      <c r="H247" s="151">
        <f>INDEX('Analysis of bottom-up tags'!$N$18:$W$21,MATCH(Dashboard!$B247,'Analysis of bottom-up tags'!$B$18:$B$21,0),MATCH(Dashboard!H$21,'Analysis of bottom-up tags'!$N$6:$W$6,0))*H$23</f>
        <v>534.94137258364162</v>
      </c>
      <c r="I247" s="151">
        <f>INDEX('Analysis of bottom-up tags'!$N$18:$W$21,MATCH(Dashboard!$B247,'Analysis of bottom-up tags'!$B$18:$B$21,0),MATCH(Dashboard!I$21,'Analysis of bottom-up tags'!$N$6:$W$6,0))*I$23</f>
        <v>539.8669168020599</v>
      </c>
      <c r="J247" s="151">
        <f>INDEX('Analysis of bottom-up tags'!$N$18:$W$21,MATCH(Dashboard!$B247,'Analysis of bottom-up tags'!$B$18:$B$21,0),MATCH(Dashboard!J$21,'Analysis of bottom-up tags'!$N$6:$W$6,0))*J$23</f>
        <v>1105.9628169629409</v>
      </c>
      <c r="K247" s="151">
        <f>INDEX('Analysis of bottom-up tags'!$N$18:$W$21,MATCH(Dashboard!$B247,'Analysis of bottom-up tags'!$B$18:$B$21,0),MATCH(Dashboard!K$21,'Analysis of bottom-up tags'!$N$6:$W$6,0))*K$23</f>
        <v>1740.6473957023429</v>
      </c>
      <c r="L247" s="151">
        <f>INDEX('Analysis of bottom-up tags'!$N$18:$W$21,MATCH(Dashboard!$B247,'Analysis of bottom-up tags'!$B$18:$B$21,0),MATCH(Dashboard!L$21,'Analysis of bottom-up tags'!$N$6:$W$6,0))*L$23</f>
        <v>1585.134825922727</v>
      </c>
      <c r="M247" s="151">
        <f t="shared" ref="M247:M250" si="46">SUM(C247:L247)</f>
        <v>8920.346655674377</v>
      </c>
    </row>
    <row r="248" spans="2:13">
      <c r="B248" s="167" t="s">
        <v>11075</v>
      </c>
      <c r="C248" s="151">
        <f>INDEX('Analysis of bottom-up tags'!$N$18:$W$21,MATCH(Dashboard!$B248,'Analysis of bottom-up tags'!$B$18:$B$21,0),MATCH(Dashboard!C$21,'Analysis of bottom-up tags'!$N$6:$W$6,0))*C$23</f>
        <v>0</v>
      </c>
      <c r="D248" s="151">
        <f>INDEX('Analysis of bottom-up tags'!$N$18:$W$21,MATCH(Dashboard!$B248,'Analysis of bottom-up tags'!$B$18:$B$21,0),MATCH(Dashboard!D$21,'Analysis of bottom-up tags'!$N$6:$W$6,0))*D$23</f>
        <v>0</v>
      </c>
      <c r="E248" s="151">
        <f>INDEX('Analysis of bottom-up tags'!$N$18:$W$21,MATCH(Dashboard!$B248,'Analysis of bottom-up tags'!$B$18:$B$21,0),MATCH(Dashboard!E$21,'Analysis of bottom-up tags'!$N$6:$W$6,0))*E$23</f>
        <v>0</v>
      </c>
      <c r="F248" s="151">
        <f>INDEX('Analysis of bottom-up tags'!$N$18:$W$21,MATCH(Dashboard!$B248,'Analysis of bottom-up tags'!$B$18:$B$21,0),MATCH(Dashboard!F$21,'Analysis of bottom-up tags'!$N$6:$W$6,0))*F$23</f>
        <v>29.39543950796083</v>
      </c>
      <c r="G248" s="151">
        <f>INDEX('Analysis of bottom-up tags'!$N$18:$W$21,MATCH(Dashboard!$B248,'Analysis of bottom-up tags'!$B$18:$B$21,0),MATCH(Dashboard!G$21,'Analysis of bottom-up tags'!$N$6:$W$6,0))*G$23</f>
        <v>153.38292395558398</v>
      </c>
      <c r="H248" s="151">
        <f>INDEX('Analysis of bottom-up tags'!$N$18:$W$21,MATCH(Dashboard!$B248,'Analysis of bottom-up tags'!$B$18:$B$21,0),MATCH(Dashboard!H$21,'Analysis of bottom-up tags'!$N$6:$W$6,0))*H$23</f>
        <v>608.34636500496151</v>
      </c>
      <c r="I248" s="151">
        <f>INDEX('Analysis of bottom-up tags'!$N$18:$W$21,MATCH(Dashboard!$B248,'Analysis of bottom-up tags'!$B$18:$B$21,0),MATCH(Dashboard!I$21,'Analysis of bottom-up tags'!$N$6:$W$6,0))*I$23</f>
        <v>52.295517820284054</v>
      </c>
      <c r="J248" s="151">
        <f>INDEX('Analysis of bottom-up tags'!$N$18:$W$21,MATCH(Dashboard!$B248,'Analysis of bottom-up tags'!$B$18:$B$21,0),MATCH(Dashboard!J$21,'Analysis of bottom-up tags'!$N$6:$W$6,0))*J$23</f>
        <v>9.231034110954969</v>
      </c>
      <c r="K248" s="151">
        <f>INDEX('Analysis of bottom-up tags'!$N$18:$W$21,MATCH(Dashboard!$B248,'Analysis of bottom-up tags'!$B$18:$B$21,0),MATCH(Dashboard!K$21,'Analysis of bottom-up tags'!$N$6:$W$6,0))*K$23</f>
        <v>108.79086077417159</v>
      </c>
      <c r="L248" s="151">
        <f>INDEX('Analysis of bottom-up tags'!$N$18:$W$21,MATCH(Dashboard!$B248,'Analysis of bottom-up tags'!$B$18:$B$21,0),MATCH(Dashboard!L$21,'Analysis of bottom-up tags'!$N$6:$W$6,0))*L$23</f>
        <v>223.51974094529095</v>
      </c>
      <c r="M248" s="151">
        <f t="shared" si="46"/>
        <v>1184.961882119208</v>
      </c>
    </row>
    <row r="249" spans="2:13">
      <c r="B249" s="167" t="s">
        <v>11076</v>
      </c>
      <c r="C249" s="151">
        <f>INDEX('Analysis of bottom-up tags'!$N$18:$W$21,MATCH(Dashboard!$B249,'Analysis of bottom-up tags'!$B$18:$B$21,0),MATCH(Dashboard!C$21,'Analysis of bottom-up tags'!$N$6:$W$6,0))*C$23</f>
        <v>28.528416000045535</v>
      </c>
      <c r="D249" s="151">
        <f>INDEX('Analysis of bottom-up tags'!$N$18:$W$21,MATCH(Dashboard!$B249,'Analysis of bottom-up tags'!$B$18:$B$21,0),MATCH(Dashboard!D$21,'Analysis of bottom-up tags'!$N$6:$W$6,0))*D$23</f>
        <v>1.1214029192613122</v>
      </c>
      <c r="E249" s="151">
        <f>INDEX('Analysis of bottom-up tags'!$N$18:$W$21,MATCH(Dashboard!$B249,'Analysis of bottom-up tags'!$B$18:$B$21,0),MATCH(Dashboard!E$21,'Analysis of bottom-up tags'!$N$6:$W$6,0))*E$23</f>
        <v>36.40123880136823</v>
      </c>
      <c r="F249" s="151">
        <f>INDEX('Analysis of bottom-up tags'!$N$18:$W$21,MATCH(Dashboard!$B249,'Analysis of bottom-up tags'!$B$18:$B$21,0),MATCH(Dashboard!F$21,'Analysis of bottom-up tags'!$N$6:$W$6,0))*F$23</f>
        <v>9.6385955361135647</v>
      </c>
      <c r="G249" s="151">
        <f>INDEX('Analysis of bottom-up tags'!$N$18:$W$21,MATCH(Dashboard!$B249,'Analysis of bottom-up tags'!$B$18:$B$21,0),MATCH(Dashboard!G$21,'Analysis of bottom-up tags'!$N$6:$W$6,0))*G$23</f>
        <v>10.145875043840777</v>
      </c>
      <c r="H249" s="151">
        <f>INDEX('Analysis of bottom-up tags'!$N$18:$W$21,MATCH(Dashboard!$B249,'Analysis of bottom-up tags'!$B$18:$B$21,0),MATCH(Dashboard!H$21,'Analysis of bottom-up tags'!$N$6:$W$6,0))*H$23</f>
        <v>9.5949998191557082</v>
      </c>
      <c r="I249" s="151">
        <f>INDEX('Analysis of bottom-up tags'!$N$18:$W$21,MATCH(Dashboard!$B249,'Analysis of bottom-up tags'!$B$18:$B$21,0),MATCH(Dashboard!I$21,'Analysis of bottom-up tags'!$N$6:$W$6,0))*I$23</f>
        <v>6.8919700187001443</v>
      </c>
      <c r="J249" s="151">
        <f>INDEX('Analysis of bottom-up tags'!$N$18:$W$21,MATCH(Dashboard!$B249,'Analysis of bottom-up tags'!$B$18:$B$21,0),MATCH(Dashboard!J$21,'Analysis of bottom-up tags'!$N$6:$W$6,0))*J$23</f>
        <v>65.11945166902693</v>
      </c>
      <c r="K249" s="151">
        <f>INDEX('Analysis of bottom-up tags'!$N$18:$W$21,MATCH(Dashboard!$B249,'Analysis of bottom-up tags'!$B$18:$B$21,0),MATCH(Dashboard!K$21,'Analysis of bottom-up tags'!$N$6:$W$6,0))*K$23</f>
        <v>6.7445275671724891</v>
      </c>
      <c r="L249" s="151">
        <f>INDEX('Analysis of bottom-up tags'!$N$18:$W$21,MATCH(Dashboard!$B249,'Analysis of bottom-up tags'!$B$18:$B$21,0),MATCH(Dashboard!L$21,'Analysis of bottom-up tags'!$N$6:$W$6,0))*L$23</f>
        <v>6.8210062653892036</v>
      </c>
      <c r="M249" s="151">
        <f t="shared" si="46"/>
        <v>181.0074836400739</v>
      </c>
    </row>
    <row r="250" spans="2:13">
      <c r="B250" s="168" t="s">
        <v>11042</v>
      </c>
      <c r="C250" s="166">
        <f t="shared" ref="C250:L250" si="47">SUM(C246:C249)</f>
        <v>1287.993925131045</v>
      </c>
      <c r="D250" s="166">
        <f t="shared" si="47"/>
        <v>1406.6182595111597</v>
      </c>
      <c r="E250" s="166">
        <f t="shared" si="47"/>
        <v>1309.745299009159</v>
      </c>
      <c r="F250" s="166">
        <f t="shared" si="47"/>
        <v>1247.7109534579786</v>
      </c>
      <c r="G250" s="166">
        <f t="shared" si="47"/>
        <v>1678.1109415650537</v>
      </c>
      <c r="H250" s="166">
        <f t="shared" si="47"/>
        <v>1803.566711642881</v>
      </c>
      <c r="I250" s="166">
        <f t="shared" si="47"/>
        <v>1633.9774460035458</v>
      </c>
      <c r="J250" s="166">
        <f t="shared" si="47"/>
        <v>1816.9943500540317</v>
      </c>
      <c r="K250" s="166">
        <f t="shared" si="47"/>
        <v>2044.3915928868641</v>
      </c>
      <c r="L250" s="166">
        <f t="shared" si="47"/>
        <v>1939.0537915625239</v>
      </c>
      <c r="M250" s="166">
        <f t="shared" si="46"/>
        <v>16168.163270824243</v>
      </c>
    </row>
    <row r="251" spans="2:13">
      <c r="B251" s="163" t="s">
        <v>10462</v>
      </c>
      <c r="C251" s="163"/>
      <c r="D251" s="163"/>
      <c r="E251" s="163"/>
      <c r="F251" s="163"/>
      <c r="G251" s="163"/>
      <c r="H251" s="163"/>
      <c r="I251" s="163"/>
      <c r="J251" s="163"/>
      <c r="K251" s="163"/>
      <c r="L251" s="163"/>
      <c r="M251" s="163"/>
    </row>
    <row r="252" spans="2:13">
      <c r="B252" s="151" t="s">
        <v>11003</v>
      </c>
      <c r="C252" s="151">
        <f>INDEX('Analysis of bottom-up tags'!$N$24:$W$25,MATCH(Dashboard!$B252,'Analysis of bottom-up tags'!$B$24:$B$25,0),MATCH(Dashboard!C$21,'Analysis of bottom-up tags'!$N$6:$W$6,0))*C$23</f>
        <v>1287.9939251310448</v>
      </c>
      <c r="D252" s="151">
        <f>INDEX('Analysis of bottom-up tags'!$N$24:$W$25,MATCH(Dashboard!$B252,'Analysis of bottom-up tags'!$B$24:$B$25,0),MATCH(Dashboard!D$21,'Analysis of bottom-up tags'!$N$6:$W$6,0))*D$23</f>
        <v>1406.61825951116</v>
      </c>
      <c r="E252" s="151">
        <f>INDEX('Analysis of bottom-up tags'!$N$24:$W$25,MATCH(Dashboard!$B252,'Analysis of bottom-up tags'!$B$24:$B$25,0),MATCH(Dashboard!E$21,'Analysis of bottom-up tags'!$N$6:$W$6,0))*E$23</f>
        <v>1309.745299009159</v>
      </c>
      <c r="F252" s="151">
        <f>INDEX('Analysis of bottom-up tags'!$N$24:$W$25,MATCH(Dashboard!$B252,'Analysis of bottom-up tags'!$B$24:$B$25,0),MATCH(Dashboard!F$21,'Analysis of bottom-up tags'!$N$6:$W$6,0))*F$23</f>
        <v>1247.7109534579788</v>
      </c>
      <c r="G252" s="151">
        <f>INDEX('Analysis of bottom-up tags'!$N$24:$W$25,MATCH(Dashboard!$B252,'Analysis of bottom-up tags'!$B$24:$B$25,0),MATCH(Dashboard!G$21,'Analysis of bottom-up tags'!$N$6:$W$6,0))*G$23</f>
        <v>1678.1109415650542</v>
      </c>
      <c r="H252" s="151">
        <f>INDEX('Analysis of bottom-up tags'!$N$24:$W$25,MATCH(Dashboard!$B252,'Analysis of bottom-up tags'!$B$24:$B$25,0),MATCH(Dashboard!H$21,'Analysis of bottom-up tags'!$N$6:$W$6,0))*H$23</f>
        <v>1803.5667116428799</v>
      </c>
      <c r="I252" s="151">
        <f>INDEX('Analysis of bottom-up tags'!$N$24:$W$25,MATCH(Dashboard!$B252,'Analysis of bottom-up tags'!$B$24:$B$25,0),MATCH(Dashboard!I$21,'Analysis of bottom-up tags'!$N$6:$W$6,0))*I$23</f>
        <v>1633.9774460035451</v>
      </c>
      <c r="J252" s="151">
        <f>INDEX('Analysis of bottom-up tags'!$N$24:$W$25,MATCH(Dashboard!$B252,'Analysis of bottom-up tags'!$B$24:$B$25,0),MATCH(Dashboard!J$21,'Analysis of bottom-up tags'!$N$6:$W$6,0))*J$23</f>
        <v>1816.9943500540332</v>
      </c>
      <c r="K252" s="151">
        <f>INDEX('Analysis of bottom-up tags'!$N$24:$W$25,MATCH(Dashboard!$B252,'Analysis of bottom-up tags'!$B$24:$B$25,0),MATCH(Dashboard!K$21,'Analysis of bottom-up tags'!$N$6:$W$6,0))*K$23</f>
        <v>2044.3915928868648</v>
      </c>
      <c r="L252" s="151">
        <f>INDEX('Analysis of bottom-up tags'!$N$24:$W$25,MATCH(Dashboard!$B252,'Analysis of bottom-up tags'!$B$24:$B$25,0),MATCH(Dashboard!L$21,'Analysis of bottom-up tags'!$N$6:$W$6,0))*L$23</f>
        <v>1939.0537915625243</v>
      </c>
      <c r="M252" s="151">
        <f t="shared" ref="M252" si="48">SUM(C252:L252)</f>
        <v>16168.163270824243</v>
      </c>
    </row>
    <row r="254" spans="2:13">
      <c r="B254" s="163" t="s">
        <v>10463</v>
      </c>
      <c r="C254" s="163"/>
      <c r="D254" s="163"/>
      <c r="E254" s="163"/>
      <c r="F254" s="163"/>
      <c r="G254" s="163"/>
      <c r="H254" s="163"/>
      <c r="I254" s="163"/>
      <c r="J254" s="163"/>
      <c r="K254" s="163"/>
      <c r="L254" s="163"/>
      <c r="M254" s="163"/>
    </row>
    <row r="255" spans="2:13">
      <c r="B255" s="151" t="s">
        <v>10466</v>
      </c>
      <c r="C255" s="151">
        <f>INDEX('Analysis of bottom-up tags'!$N$27:$W$29,MATCH(Dashboard!$B255,'Analysis of bottom-up tags'!$B$27:$B$29,0),MATCH(Dashboard!C$21,'Analysis of bottom-up tags'!$N$6:$W$6,0))*C$23</f>
        <v>1274.2404987564355</v>
      </c>
      <c r="D255" s="151">
        <f>INDEX('Analysis of bottom-up tags'!$N$27:$W$29,MATCH(Dashboard!$B255,'Analysis of bottom-up tags'!$B$27:$B$29,0),MATCH(Dashboard!D$21,'Analysis of bottom-up tags'!$N$6:$W$6,0))*D$23</f>
        <v>1406.61825951116</v>
      </c>
      <c r="E255" s="151">
        <f>INDEX('Analysis of bottom-up tags'!$N$27:$W$29,MATCH(Dashboard!$B255,'Analysis of bottom-up tags'!$B$27:$B$29,0),MATCH(Dashboard!E$21,'Analysis of bottom-up tags'!$N$6:$W$6,0))*E$23</f>
        <v>1214.8497471616499</v>
      </c>
      <c r="F255" s="151">
        <f>INDEX('Analysis of bottom-up tags'!$N$27:$W$29,MATCH(Dashboard!$B255,'Analysis of bottom-up tags'!$B$27:$B$29,0),MATCH(Dashboard!F$21,'Analysis of bottom-up tags'!$N$6:$W$6,0))*F$23</f>
        <v>970.88697953280757</v>
      </c>
      <c r="G255" s="151">
        <f>INDEX('Analysis of bottom-up tags'!$N$27:$W$29,MATCH(Dashboard!$B255,'Analysis of bottom-up tags'!$B$27:$B$29,0),MATCH(Dashboard!G$21,'Analysis of bottom-up tags'!$N$6:$W$6,0))*G$23</f>
        <v>1670.8668310924504</v>
      </c>
      <c r="H255" s="151">
        <f>INDEX('Analysis of bottom-up tags'!$N$27:$W$29,MATCH(Dashboard!$B255,'Analysis of bottom-up tags'!$B$27:$B$29,0),MATCH(Dashboard!H$21,'Analysis of bottom-up tags'!$N$6:$W$6,0))*H$23</f>
        <v>1798.3065683553698</v>
      </c>
      <c r="I255" s="151">
        <f>INDEX('Analysis of bottom-up tags'!$N$27:$W$29,MATCH(Dashboard!$B255,'Analysis of bottom-up tags'!$B$27:$B$29,0),MATCH(Dashboard!I$21,'Analysis of bottom-up tags'!$N$6:$W$6,0))*I$23</f>
        <v>1632.1777577760849</v>
      </c>
      <c r="J255" s="151">
        <f>INDEX('Analysis of bottom-up tags'!$N$27:$W$29,MATCH(Dashboard!$B255,'Analysis of bottom-up tags'!$B$27:$B$29,0),MATCH(Dashboard!J$21,'Analysis of bottom-up tags'!$N$6:$W$6,0))*J$23</f>
        <v>1715.2982282385713</v>
      </c>
      <c r="K255" s="151">
        <f>INDEX('Analysis of bottom-up tags'!$N$27:$W$29,MATCH(Dashboard!$B255,'Analysis of bottom-up tags'!$B$27:$B$29,0),MATCH(Dashboard!K$21,'Analysis of bottom-up tags'!$N$6:$W$6,0))*K$23</f>
        <v>2035.7082194720117</v>
      </c>
      <c r="L255" s="151">
        <f>INDEX('Analysis of bottom-up tags'!$N$27:$W$29,MATCH(Dashboard!$B255,'Analysis of bottom-up tags'!$B$27:$B$29,0),MATCH(Dashboard!L$21,'Analysis of bottom-up tags'!$N$6:$W$6,0))*L$23</f>
        <v>1869.7085392461258</v>
      </c>
      <c r="M255" s="151">
        <f t="shared" ref="M255:M257" si="49">SUM(C255:L255)</f>
        <v>15588.661629142665</v>
      </c>
    </row>
    <row r="256" spans="2:13">
      <c r="B256" s="151" t="s">
        <v>10464</v>
      </c>
      <c r="C256" s="151">
        <f>INDEX('Analysis of bottom-up tags'!$N$27:$W$29,MATCH(Dashboard!$B256,'Analysis of bottom-up tags'!$B$27:$B$29,0),MATCH(Dashboard!C$21,'Analysis of bottom-up tags'!$N$6:$W$6,0))*C$23</f>
        <v>0</v>
      </c>
      <c r="D256" s="151">
        <f>INDEX('Analysis of bottom-up tags'!$N$27:$W$29,MATCH(Dashboard!$B256,'Analysis of bottom-up tags'!$B$27:$B$29,0),MATCH(Dashboard!D$21,'Analysis of bottom-up tags'!$N$6:$W$6,0))*D$23</f>
        <v>0</v>
      </c>
      <c r="E256" s="151">
        <f>INDEX('Analysis of bottom-up tags'!$N$27:$W$29,MATCH(Dashboard!$B256,'Analysis of bottom-up tags'!$B$27:$B$29,0),MATCH(Dashboard!E$21,'Analysis of bottom-up tags'!$N$6:$W$6,0))*E$23</f>
        <v>0</v>
      </c>
      <c r="F256" s="151">
        <f>INDEX('Analysis of bottom-up tags'!$N$27:$W$29,MATCH(Dashboard!$B256,'Analysis of bottom-up tags'!$B$27:$B$29,0),MATCH(Dashboard!F$21,'Analysis of bottom-up tags'!$N$6:$W$6,0))*F$23</f>
        <v>276.82397392517089</v>
      </c>
      <c r="G256" s="151">
        <f>INDEX('Analysis of bottom-up tags'!$N$27:$W$29,MATCH(Dashboard!$B256,'Analysis of bottom-up tags'!$B$27:$B$29,0),MATCH(Dashboard!G$21,'Analysis of bottom-up tags'!$N$6:$W$6,0))*G$23</f>
        <v>0</v>
      </c>
      <c r="H256" s="151">
        <f>INDEX('Analysis of bottom-up tags'!$N$27:$W$29,MATCH(Dashboard!$B256,'Analysis of bottom-up tags'!$B$27:$B$29,0),MATCH(Dashboard!H$21,'Analysis of bottom-up tags'!$N$6:$W$6,0))*H$23</f>
        <v>0</v>
      </c>
      <c r="I256" s="151">
        <f>INDEX('Analysis of bottom-up tags'!$N$27:$W$29,MATCH(Dashboard!$B256,'Analysis of bottom-up tags'!$B$27:$B$29,0),MATCH(Dashboard!I$21,'Analysis of bottom-up tags'!$N$6:$W$6,0))*I$23</f>
        <v>0</v>
      </c>
      <c r="J256" s="151">
        <f>INDEX('Analysis of bottom-up tags'!$N$27:$W$29,MATCH(Dashboard!$B256,'Analysis of bottom-up tags'!$B$27:$B$29,0),MATCH(Dashboard!J$21,'Analysis of bottom-up tags'!$N$6:$W$6,0))*J$23</f>
        <v>89.298417394971523</v>
      </c>
      <c r="K256" s="151">
        <f>INDEX('Analysis of bottom-up tags'!$N$27:$W$29,MATCH(Dashboard!$B256,'Analysis of bottom-up tags'!$B$27:$B$29,0),MATCH(Dashboard!K$21,'Analysis of bottom-up tags'!$N$6:$W$6,0))*K$23</f>
        <v>3.5207548054259852</v>
      </c>
      <c r="L256" s="151">
        <f>INDEX('Analysis of bottom-up tags'!$N$27:$W$29,MATCH(Dashboard!$B256,'Analysis of bottom-up tags'!$B$27:$B$29,0),MATCH(Dashboard!L$21,'Analysis of bottom-up tags'!$N$6:$W$6,0))*L$23</f>
        <v>68.421035623288589</v>
      </c>
      <c r="M256" s="151">
        <f t="shared" si="49"/>
        <v>438.06418174885698</v>
      </c>
    </row>
    <row r="257" spans="2:13">
      <c r="B257" s="151" t="s">
        <v>10465</v>
      </c>
      <c r="C257" s="151">
        <f>INDEX('Analysis of bottom-up tags'!$N$27:$W$29,MATCH(Dashboard!$B257,'Analysis of bottom-up tags'!$B$27:$B$29,0),MATCH(Dashboard!C$21,'Analysis of bottom-up tags'!$N$6:$W$6,0))*C$23</f>
        <v>13.753426374609338</v>
      </c>
      <c r="D257" s="151">
        <f>INDEX('Analysis of bottom-up tags'!$N$27:$W$29,MATCH(Dashboard!$B257,'Analysis of bottom-up tags'!$B$27:$B$29,0),MATCH(Dashboard!D$21,'Analysis of bottom-up tags'!$N$6:$W$6,0))*D$23</f>
        <v>0</v>
      </c>
      <c r="E257" s="151">
        <f>INDEX('Analysis of bottom-up tags'!$N$27:$W$29,MATCH(Dashboard!$B257,'Analysis of bottom-up tags'!$B$27:$B$29,0),MATCH(Dashboard!E$21,'Analysis of bottom-up tags'!$N$6:$W$6,0))*E$23</f>
        <v>94.895551847508898</v>
      </c>
      <c r="F257" s="151">
        <f>INDEX('Analysis of bottom-up tags'!$N$27:$W$29,MATCH(Dashboard!$B257,'Analysis of bottom-up tags'!$B$27:$B$29,0),MATCH(Dashboard!F$21,'Analysis of bottom-up tags'!$N$6:$W$6,0))*F$23</f>
        <v>0</v>
      </c>
      <c r="G257" s="151">
        <f>INDEX('Analysis of bottom-up tags'!$N$27:$W$29,MATCH(Dashboard!$B257,'Analysis of bottom-up tags'!$B$27:$B$29,0),MATCH(Dashboard!G$21,'Analysis of bottom-up tags'!$N$6:$W$6,0))*G$23</f>
        <v>7.244110472604179</v>
      </c>
      <c r="H257" s="151">
        <f>INDEX('Analysis of bottom-up tags'!$N$27:$W$29,MATCH(Dashboard!$B257,'Analysis of bottom-up tags'!$B$27:$B$29,0),MATCH(Dashboard!H$21,'Analysis of bottom-up tags'!$N$6:$W$6,0))*H$23</f>
        <v>5.2601432875099601</v>
      </c>
      <c r="I257" s="151">
        <f>INDEX('Analysis of bottom-up tags'!$N$27:$W$29,MATCH(Dashboard!$B257,'Analysis of bottom-up tags'!$B$27:$B$29,0),MATCH(Dashboard!I$21,'Analysis of bottom-up tags'!$N$6:$W$6,0))*I$23</f>
        <v>1.7996882274601218</v>
      </c>
      <c r="J257" s="151">
        <f>INDEX('Analysis of bottom-up tags'!$N$27:$W$29,MATCH(Dashboard!$B257,'Analysis of bottom-up tags'!$B$27:$B$29,0),MATCH(Dashboard!J$21,'Analysis of bottom-up tags'!$N$6:$W$6,0))*J$23</f>
        <v>12.397704420490697</v>
      </c>
      <c r="K257" s="151">
        <f>INDEX('Analysis of bottom-up tags'!$N$27:$W$29,MATCH(Dashboard!$B257,'Analysis of bottom-up tags'!$B$27:$B$29,0),MATCH(Dashboard!K$21,'Analysis of bottom-up tags'!$N$6:$W$6,0))*K$23</f>
        <v>5.162618609427013</v>
      </c>
      <c r="L257" s="151">
        <f>INDEX('Analysis of bottom-up tags'!$N$27:$W$29,MATCH(Dashboard!$B257,'Analysis of bottom-up tags'!$B$27:$B$29,0),MATCH(Dashboard!L$21,'Analysis of bottom-up tags'!$N$6:$W$6,0))*L$23</f>
        <v>0.92421669310922638</v>
      </c>
      <c r="M257" s="151">
        <f t="shared" si="49"/>
        <v>141.43745993271941</v>
      </c>
    </row>
    <row r="258" spans="2:13">
      <c r="B258" s="166" t="s">
        <v>11042</v>
      </c>
      <c r="C258" s="166">
        <f>SUM(C255:C257)</f>
        <v>1287.9939251310448</v>
      </c>
      <c r="D258" s="166">
        <f t="shared" ref="D258" si="50">SUM(D255:D257)</f>
        <v>1406.61825951116</v>
      </c>
      <c r="E258" s="166">
        <f t="shared" ref="E258" si="51">SUM(E255:E257)</f>
        <v>1309.7452990091588</v>
      </c>
      <c r="F258" s="166">
        <f t="shared" ref="F258" si="52">SUM(F255:F257)</f>
        <v>1247.7109534579786</v>
      </c>
      <c r="G258" s="166">
        <f t="shared" ref="G258" si="53">SUM(G255:G257)</f>
        <v>1678.1109415650546</v>
      </c>
      <c r="H258" s="166">
        <f t="shared" ref="H258" si="54">SUM(H255:H257)</f>
        <v>1803.5667116428797</v>
      </c>
      <c r="I258" s="166">
        <f t="shared" ref="I258" si="55">SUM(I255:I257)</f>
        <v>1633.9774460035451</v>
      </c>
      <c r="J258" s="166">
        <f t="shared" ref="J258" si="56">SUM(J255:J257)</f>
        <v>1816.9943500540335</v>
      </c>
      <c r="K258" s="166">
        <f t="shared" ref="K258" si="57">SUM(K255:K257)</f>
        <v>2044.3915928868646</v>
      </c>
      <c r="L258" s="166">
        <f t="shared" ref="L258" si="58">SUM(L255:L257)</f>
        <v>1939.0537915625237</v>
      </c>
      <c r="M258" s="166">
        <f t="shared" ref="M258" si="59">SUM(M255:M257)</f>
        <v>16168.163270824243</v>
      </c>
    </row>
    <row r="259" spans="2:13">
      <c r="B259" s="163" t="s">
        <v>10467</v>
      </c>
      <c r="C259" s="163"/>
      <c r="D259" s="163"/>
      <c r="E259" s="163"/>
      <c r="F259" s="163"/>
      <c r="G259" s="163"/>
      <c r="H259" s="163"/>
      <c r="I259" s="163"/>
      <c r="J259" s="163"/>
      <c r="K259" s="163"/>
      <c r="L259" s="163"/>
      <c r="M259" s="163"/>
    </row>
    <row r="260" spans="2:13">
      <c r="B260" s="151" t="s">
        <v>10970</v>
      </c>
      <c r="C260" s="151">
        <f>INDEX('Analysis of bottom-up tags'!$N$32:$W$33,MATCH(Dashboard!$B260,'Analysis of bottom-up tags'!$B$32:$B$33,0),MATCH(Dashboard!C$21,'Analysis of bottom-up tags'!$N$6:$W$6,0))*C$23</f>
        <v>1287.9939251310448</v>
      </c>
      <c r="D260" s="151">
        <f>INDEX('Analysis of bottom-up tags'!$N$32:$W$33,MATCH(Dashboard!$B260,'Analysis of bottom-up tags'!$B$32:$B$33,0),MATCH(Dashboard!D$21,'Analysis of bottom-up tags'!$N$6:$W$6,0))*D$23</f>
        <v>1406.61825951116</v>
      </c>
      <c r="E260" s="151">
        <f>INDEX('Analysis of bottom-up tags'!$N$32:$W$33,MATCH(Dashboard!$B260,'Analysis of bottom-up tags'!$B$32:$B$33,0),MATCH(Dashboard!E$21,'Analysis of bottom-up tags'!$N$6:$W$6,0))*E$23</f>
        <v>1309.745299009159</v>
      </c>
      <c r="F260" s="151">
        <f>INDEX('Analysis of bottom-up tags'!$N$32:$W$33,MATCH(Dashboard!$B260,'Analysis of bottom-up tags'!$B$32:$B$33,0),MATCH(Dashboard!F$21,'Analysis of bottom-up tags'!$N$6:$W$6,0))*F$23</f>
        <v>1247.7109534579788</v>
      </c>
      <c r="G260" s="151">
        <f>INDEX('Analysis of bottom-up tags'!$N$32:$W$33,MATCH(Dashboard!$B260,'Analysis of bottom-up tags'!$B$32:$B$33,0),MATCH(Dashboard!G$21,'Analysis of bottom-up tags'!$N$6:$W$6,0))*G$23</f>
        <v>1678.1109415650542</v>
      </c>
      <c r="H260" s="151">
        <f>INDEX('Analysis of bottom-up tags'!$N$32:$W$33,MATCH(Dashboard!$B260,'Analysis of bottom-up tags'!$B$32:$B$33,0),MATCH(Dashboard!H$21,'Analysis of bottom-up tags'!$N$6:$W$6,0))*H$23</f>
        <v>1803.5667116428799</v>
      </c>
      <c r="I260" s="151">
        <f>INDEX('Analysis of bottom-up tags'!$N$32:$W$33,MATCH(Dashboard!$B260,'Analysis of bottom-up tags'!$B$32:$B$33,0),MATCH(Dashboard!I$21,'Analysis of bottom-up tags'!$N$6:$W$6,0))*I$23</f>
        <v>1633.9774460035451</v>
      </c>
      <c r="J260" s="151">
        <f>INDEX('Analysis of bottom-up tags'!$N$32:$W$33,MATCH(Dashboard!$B260,'Analysis of bottom-up tags'!$B$32:$B$33,0),MATCH(Dashboard!J$21,'Analysis of bottom-up tags'!$N$6:$W$6,0))*J$23</f>
        <v>1816.9943500540332</v>
      </c>
      <c r="K260" s="151">
        <f>INDEX('Analysis of bottom-up tags'!$N$32:$W$33,MATCH(Dashboard!$B260,'Analysis of bottom-up tags'!$B$32:$B$33,0),MATCH(Dashboard!K$21,'Analysis of bottom-up tags'!$N$6:$W$6,0))*K$23</f>
        <v>2044.3915928868648</v>
      </c>
      <c r="L260" s="151">
        <f>INDEX('Analysis of bottom-up tags'!$N$32:$W$33,MATCH(Dashboard!$B260,'Analysis of bottom-up tags'!$B$32:$B$33,0),MATCH(Dashboard!L$21,'Analysis of bottom-up tags'!$N$6:$W$6,0))*L$23</f>
        <v>1939.0537915625243</v>
      </c>
      <c r="M260" s="151">
        <f t="shared" ref="M260" si="60">SUM(C260:L260)</f>
        <v>16168.163270824243</v>
      </c>
    </row>
    <row r="263" spans="2:13">
      <c r="B263" s="163" t="s">
        <v>10468</v>
      </c>
      <c r="C263" s="163"/>
      <c r="D263" s="163"/>
      <c r="E263" s="163"/>
      <c r="F263" s="163"/>
      <c r="G263" s="163"/>
      <c r="H263" s="163"/>
      <c r="I263" s="163"/>
      <c r="J263" s="163"/>
      <c r="K263" s="163"/>
      <c r="L263" s="163"/>
      <c r="M263" s="163"/>
    </row>
    <row r="264" spans="2:13">
      <c r="B264" s="151" t="s">
        <v>10973</v>
      </c>
      <c r="C264" s="151">
        <f>INDEX('Analysis of bottom-up tags'!$N$36:$W$39,MATCH(Dashboard!$B264,'Analysis of bottom-up tags'!$B$36:$B$39,0),MATCH(Dashboard!C$21,'Analysis of bottom-up tags'!$N$6:$W$6,0))*C$23</f>
        <v>95.692888604511751</v>
      </c>
      <c r="D264" s="151">
        <f>INDEX('Analysis of bottom-up tags'!$N$36:$W$39,MATCH(Dashboard!$B264,'Analysis of bottom-up tags'!$B$36:$B$39,0),MATCH(Dashboard!D$21,'Analysis of bottom-up tags'!$N$6:$W$6,0))*D$23</f>
        <v>484.47336141899177</v>
      </c>
      <c r="E264" s="151">
        <f>INDEX('Analysis of bottom-up tags'!$N$36:$W$39,MATCH(Dashboard!$B264,'Analysis of bottom-up tags'!$B$36:$B$39,0),MATCH(Dashboard!E$21,'Analysis of bottom-up tags'!$N$6:$W$6,0))*E$23</f>
        <v>1000.5990634522777</v>
      </c>
      <c r="F264" s="151">
        <f>INDEX('Analysis of bottom-up tags'!$N$36:$W$39,MATCH(Dashboard!$B264,'Analysis of bottom-up tags'!$B$36:$B$39,0),MATCH(Dashboard!F$21,'Analysis of bottom-up tags'!$N$6:$W$6,0))*F$23</f>
        <v>410.49183487160354</v>
      </c>
      <c r="G264" s="151">
        <f>INDEX('Analysis of bottom-up tags'!$N$36:$W$39,MATCH(Dashboard!$B264,'Analysis of bottom-up tags'!$B$36:$B$39,0),MATCH(Dashboard!G$21,'Analysis of bottom-up tags'!$N$6:$W$6,0))*G$23</f>
        <v>1424.8136871694444</v>
      </c>
      <c r="H264" s="151">
        <f>INDEX('Analysis of bottom-up tags'!$N$36:$W$39,MATCH(Dashboard!$B264,'Analysis of bottom-up tags'!$B$36:$B$39,0),MATCH(Dashboard!H$21,'Analysis of bottom-up tags'!$N$6:$W$6,0))*H$23</f>
        <v>1600.8626926821064</v>
      </c>
      <c r="I264" s="151">
        <f>INDEX('Analysis of bottom-up tags'!$N$36:$W$39,MATCH(Dashboard!$B264,'Analysis of bottom-up tags'!$B$36:$B$39,0),MATCH(Dashboard!I$21,'Analysis of bottom-up tags'!$N$6:$W$6,0))*I$23</f>
        <v>1560.823980277675</v>
      </c>
      <c r="J264" s="151">
        <f>INDEX('Analysis of bottom-up tags'!$N$36:$W$39,MATCH(Dashboard!$B264,'Analysis of bottom-up tags'!$B$36:$B$39,0),MATCH(Dashboard!J$21,'Analysis of bottom-up tags'!$N$6:$W$6,0))*J$23</f>
        <v>1355.8475048712207</v>
      </c>
      <c r="K264" s="151">
        <f>INDEX('Analysis of bottom-up tags'!$N$36:$W$39,MATCH(Dashboard!$B264,'Analysis of bottom-up tags'!$B$36:$B$39,0),MATCH(Dashboard!K$21,'Analysis of bottom-up tags'!$N$6:$W$6,0))*K$23</f>
        <v>1948.0571981977021</v>
      </c>
      <c r="L264" s="151">
        <f>INDEX('Analysis of bottom-up tags'!$N$36:$W$39,MATCH(Dashboard!$B264,'Analysis of bottom-up tags'!$B$36:$B$39,0),MATCH(Dashboard!L$21,'Analysis of bottom-up tags'!$N$6:$W$6,0))*L$23</f>
        <v>1381.5435868584254</v>
      </c>
      <c r="M264" s="151">
        <f>SUM(C264:L264)</f>
        <v>11263.20579840396</v>
      </c>
    </row>
    <row r="265" spans="2:13">
      <c r="B265" s="151" t="s">
        <v>10977</v>
      </c>
      <c r="C265" s="151">
        <f>INDEX('Analysis of bottom-up tags'!$N$36:$W$39,MATCH(Dashboard!$B265,'Analysis of bottom-up tags'!$B$36:$B$39,0),MATCH(Dashboard!C$21,'Analysis of bottom-up tags'!$N$6:$W$6,0))*C$23</f>
        <v>1192.3010365265329</v>
      </c>
      <c r="D265" s="151">
        <f>INDEX('Analysis of bottom-up tags'!$N$36:$W$39,MATCH(Dashboard!$B265,'Analysis of bottom-up tags'!$B$36:$B$39,0),MATCH(Dashboard!D$21,'Analysis of bottom-up tags'!$N$6:$W$6,0))*D$23</f>
        <v>898.48605498121481</v>
      </c>
      <c r="E265" s="151">
        <f>INDEX('Analysis of bottom-up tags'!$N$36:$W$39,MATCH(Dashboard!$B265,'Analysis of bottom-up tags'!$B$36:$B$39,0),MATCH(Dashboard!E$21,'Analysis of bottom-up tags'!$N$6:$W$6,0))*E$23</f>
        <v>309.14623555688115</v>
      </c>
      <c r="F265" s="151">
        <f>INDEX('Analysis of bottom-up tags'!$N$36:$W$39,MATCH(Dashboard!$B265,'Analysis of bottom-up tags'!$B$36:$B$39,0),MATCH(Dashboard!F$21,'Analysis of bottom-up tags'!$N$6:$W$6,0))*F$23</f>
        <v>821.02375345106191</v>
      </c>
      <c r="G265" s="151">
        <f>INDEX('Analysis of bottom-up tags'!$N$36:$W$39,MATCH(Dashboard!$B265,'Analysis of bottom-up tags'!$B$36:$B$39,0),MATCH(Dashboard!G$21,'Analysis of bottom-up tags'!$N$6:$W$6,0))*G$23</f>
        <v>83.137509771126886</v>
      </c>
      <c r="H265" s="151">
        <f>INDEX('Analysis of bottom-up tags'!$N$36:$W$39,MATCH(Dashboard!$B265,'Analysis of bottom-up tags'!$B$36:$B$39,0),MATCH(Dashboard!H$21,'Analysis of bottom-up tags'!$N$6:$W$6,0))*H$23</f>
        <v>152.02485555931628</v>
      </c>
      <c r="I265" s="151">
        <f>INDEX('Analysis of bottom-up tags'!$N$36:$W$39,MATCH(Dashboard!$B265,'Analysis of bottom-up tags'!$B$36:$B$39,0),MATCH(Dashboard!I$21,'Analysis of bottom-up tags'!$N$6:$W$6,0))*I$23</f>
        <v>5.8765549241512511</v>
      </c>
      <c r="J265" s="151">
        <f>INDEX('Analysis of bottom-up tags'!$N$36:$W$39,MATCH(Dashboard!$B265,'Analysis of bottom-up tags'!$B$36:$B$39,0),MATCH(Dashboard!J$21,'Analysis of bottom-up tags'!$N$6:$W$6,0))*J$23</f>
        <v>193.61223468875517</v>
      </c>
      <c r="K265" s="151">
        <f>INDEX('Analysis of bottom-up tags'!$N$36:$W$39,MATCH(Dashboard!$B265,'Analysis of bottom-up tags'!$B$36:$B$39,0),MATCH(Dashboard!K$21,'Analysis of bottom-up tags'!$N$6:$W$6,0))*K$23</f>
        <v>37.742410939825703</v>
      </c>
      <c r="L265" s="151">
        <f>INDEX('Analysis of bottom-up tags'!$N$36:$W$39,MATCH(Dashboard!$B265,'Analysis of bottom-up tags'!$B$36:$B$39,0),MATCH(Dashboard!L$21,'Analysis of bottom-up tags'!$N$6:$W$6,0))*L$23</f>
        <v>303.99906821186283</v>
      </c>
      <c r="M265" s="151">
        <f t="shared" ref="M265:M268" si="61">SUM(C265:L265)</f>
        <v>3997.3497146107288</v>
      </c>
    </row>
    <row r="266" spans="2:13">
      <c r="B266" s="151" t="s">
        <v>10558</v>
      </c>
      <c r="C266" s="151">
        <f>INDEX('Analysis of bottom-up tags'!$N$36:$W$39,MATCH(Dashboard!$B266,'Analysis of bottom-up tags'!$B$36:$B$39,0),MATCH(Dashboard!C$21,'Analysis of bottom-up tags'!$N$6:$W$6,0))*C$23</f>
        <v>0</v>
      </c>
      <c r="D266" s="151">
        <f>INDEX('Analysis of bottom-up tags'!$N$36:$W$39,MATCH(Dashboard!$B266,'Analysis of bottom-up tags'!$B$36:$B$39,0),MATCH(Dashboard!D$21,'Analysis of bottom-up tags'!$N$6:$W$6,0))*D$23</f>
        <v>0</v>
      </c>
      <c r="E266" s="151">
        <f>INDEX('Analysis of bottom-up tags'!$N$36:$W$39,MATCH(Dashboard!$B266,'Analysis of bottom-up tags'!$B$36:$B$39,0),MATCH(Dashboard!E$21,'Analysis of bottom-up tags'!$N$6:$W$6,0))*E$23</f>
        <v>0</v>
      </c>
      <c r="F266" s="151">
        <f>INDEX('Analysis of bottom-up tags'!$N$36:$W$39,MATCH(Dashboard!$B266,'Analysis of bottom-up tags'!$B$36:$B$39,0),MATCH(Dashboard!F$21,'Analysis of bottom-up tags'!$N$6:$W$6,0))*F$23</f>
        <v>0</v>
      </c>
      <c r="G266" s="151">
        <f>INDEX('Analysis of bottom-up tags'!$N$36:$W$39,MATCH(Dashboard!$B266,'Analysis of bottom-up tags'!$B$36:$B$39,0),MATCH(Dashboard!G$21,'Analysis of bottom-up tags'!$N$6:$W$6,0))*G$23</f>
        <v>0</v>
      </c>
      <c r="H266" s="151">
        <f>INDEX('Analysis of bottom-up tags'!$N$36:$W$39,MATCH(Dashboard!$B266,'Analysis of bottom-up tags'!$B$36:$B$39,0),MATCH(Dashboard!H$21,'Analysis of bottom-up tags'!$N$6:$W$6,0))*H$23</f>
        <v>0</v>
      </c>
      <c r="I266" s="151">
        <f>INDEX('Analysis of bottom-up tags'!$N$36:$W$39,MATCH(Dashboard!$B266,'Analysis of bottom-up tags'!$B$36:$B$39,0),MATCH(Dashboard!I$21,'Analysis of bottom-up tags'!$N$6:$W$6,0))*I$23</f>
        <v>0</v>
      </c>
      <c r="J266" s="151">
        <f>INDEX('Analysis of bottom-up tags'!$N$36:$W$39,MATCH(Dashboard!$B266,'Analysis of bottom-up tags'!$B$36:$B$39,0),MATCH(Dashboard!J$21,'Analysis of bottom-up tags'!$N$6:$W$6,0))*J$23</f>
        <v>0</v>
      </c>
      <c r="K266" s="151">
        <f>INDEX('Analysis of bottom-up tags'!$N$36:$W$39,MATCH(Dashboard!$B266,'Analysis of bottom-up tags'!$B$36:$B$39,0),MATCH(Dashboard!K$21,'Analysis of bottom-up tags'!$N$6:$W$6,0))*K$23</f>
        <v>0</v>
      </c>
      <c r="L266" s="151">
        <f>INDEX('Analysis of bottom-up tags'!$N$36:$W$39,MATCH(Dashboard!$B266,'Analysis of bottom-up tags'!$B$36:$B$39,0),MATCH(Dashboard!L$21,'Analysis of bottom-up tags'!$N$6:$W$6,0))*L$23</f>
        <v>0</v>
      </c>
      <c r="M266" s="151">
        <f t="shared" si="61"/>
        <v>0</v>
      </c>
    </row>
    <row r="267" spans="2:13">
      <c r="B267" s="151" t="s">
        <v>10981</v>
      </c>
      <c r="C267" s="151">
        <f>INDEX('Analysis of bottom-up tags'!$N$36:$W$39,MATCH(Dashboard!$B267,'Analysis of bottom-up tags'!$B$36:$B$39,0),MATCH(Dashboard!C$21,'Analysis of bottom-up tags'!$N$6:$W$6,0))*C$23</f>
        <v>0</v>
      </c>
      <c r="D267" s="151">
        <f>INDEX('Analysis of bottom-up tags'!$N$36:$W$39,MATCH(Dashboard!$B267,'Analysis of bottom-up tags'!$B$36:$B$39,0),MATCH(Dashboard!D$21,'Analysis of bottom-up tags'!$N$6:$W$6,0))*D$23</f>
        <v>23.658843110953395</v>
      </c>
      <c r="E267" s="151">
        <f>INDEX('Analysis of bottom-up tags'!$N$36:$W$39,MATCH(Dashboard!$B267,'Analysis of bottom-up tags'!$B$36:$B$39,0),MATCH(Dashboard!E$21,'Analysis of bottom-up tags'!$N$6:$W$6,0))*E$23</f>
        <v>0</v>
      </c>
      <c r="F267" s="151">
        <f>INDEX('Analysis of bottom-up tags'!$N$36:$W$39,MATCH(Dashboard!$B267,'Analysis of bottom-up tags'!$B$36:$B$39,0),MATCH(Dashboard!F$21,'Analysis of bottom-up tags'!$N$6:$W$6,0))*F$23</f>
        <v>16.195365135312983</v>
      </c>
      <c r="G267" s="151">
        <f>INDEX('Analysis of bottom-up tags'!$N$36:$W$39,MATCH(Dashboard!$B267,'Analysis of bottom-up tags'!$B$36:$B$39,0),MATCH(Dashboard!G$21,'Analysis of bottom-up tags'!$N$6:$W$6,0))*G$23</f>
        <v>170.1597446244825</v>
      </c>
      <c r="H267" s="151">
        <f>INDEX('Analysis of bottom-up tags'!$N$36:$W$39,MATCH(Dashboard!$B267,'Analysis of bottom-up tags'!$B$36:$B$39,0),MATCH(Dashboard!H$21,'Analysis of bottom-up tags'!$N$6:$W$6,0))*H$23</f>
        <v>50.6791634014577</v>
      </c>
      <c r="I267" s="151">
        <f>INDEX('Analysis of bottom-up tags'!$N$36:$W$39,MATCH(Dashboard!$B267,'Analysis of bottom-up tags'!$B$36:$B$39,0),MATCH(Dashboard!I$21,'Analysis of bottom-up tags'!$N$6:$W$6,0))*I$23</f>
        <v>67.276910801718799</v>
      </c>
      <c r="J267" s="151">
        <f>INDEX('Analysis of bottom-up tags'!$N$36:$W$39,MATCH(Dashboard!$B267,'Analysis of bottom-up tags'!$B$36:$B$39,0),MATCH(Dashboard!J$21,'Analysis of bottom-up tags'!$N$6:$W$6,0))*J$23</f>
        <v>267.53461049405701</v>
      </c>
      <c r="K267" s="151">
        <f>INDEX('Analysis of bottom-up tags'!$N$36:$W$39,MATCH(Dashboard!$B267,'Analysis of bottom-up tags'!$B$36:$B$39,0),MATCH(Dashboard!K$21,'Analysis of bottom-up tags'!$N$6:$W$6,0))*K$23</f>
        <v>58.591983749335938</v>
      </c>
      <c r="L267" s="151">
        <f>INDEX('Analysis of bottom-up tags'!$N$36:$W$39,MATCH(Dashboard!$B267,'Analysis of bottom-up tags'!$B$36:$B$39,0),MATCH(Dashboard!L$21,'Analysis of bottom-up tags'!$N$6:$W$6,0))*L$23</f>
        <v>253.51113649223529</v>
      </c>
      <c r="M267" s="151">
        <f t="shared" si="61"/>
        <v>907.60775780955362</v>
      </c>
    </row>
    <row r="268" spans="2:13">
      <c r="B268" s="166" t="s">
        <v>11042</v>
      </c>
      <c r="C268" s="166">
        <f>SUM(C264:C267)</f>
        <v>1287.9939251310448</v>
      </c>
      <c r="D268" s="166">
        <f t="shared" ref="D268" si="62">SUM(D264:D267)</f>
        <v>1406.6182595111597</v>
      </c>
      <c r="E268" s="166">
        <f t="shared" ref="E268" si="63">SUM(E264:E267)</f>
        <v>1309.7452990091588</v>
      </c>
      <c r="F268" s="166">
        <f t="shared" ref="F268" si="64">SUM(F264:F267)</f>
        <v>1247.7109534579786</v>
      </c>
      <c r="G268" s="166">
        <f t="shared" ref="G268" si="65">SUM(G264:G267)</f>
        <v>1678.1109415650537</v>
      </c>
      <c r="H268" s="166">
        <f t="shared" ref="H268" si="66">SUM(H264:H267)</f>
        <v>1803.5667116428806</v>
      </c>
      <c r="I268" s="166">
        <f t="shared" ref="I268" si="67">SUM(I264:I267)</f>
        <v>1633.9774460035449</v>
      </c>
      <c r="J268" s="166">
        <f t="shared" ref="J268" si="68">SUM(J264:J267)</f>
        <v>1816.9943500540328</v>
      </c>
      <c r="K268" s="166">
        <f t="shared" ref="K268" si="69">SUM(K264:K267)</f>
        <v>2044.3915928868637</v>
      </c>
      <c r="L268" s="166">
        <f t="shared" ref="L268" si="70">SUM(L264:L267)</f>
        <v>1939.0537915625234</v>
      </c>
      <c r="M268" s="166">
        <f t="shared" si="61"/>
        <v>16168.163270824238</v>
      </c>
    </row>
    <row r="269" spans="2:13">
      <c r="B269" s="163" t="s">
        <v>10469</v>
      </c>
      <c r="C269" s="163"/>
      <c r="D269" s="163"/>
      <c r="E269" s="163"/>
      <c r="F269" s="163"/>
      <c r="G269" s="163"/>
      <c r="H269" s="163"/>
      <c r="I269" s="163"/>
      <c r="J269" s="163"/>
      <c r="K269" s="163"/>
      <c r="L269" s="163"/>
      <c r="M269" s="163"/>
    </row>
    <row r="270" spans="2:13">
      <c r="B270" s="151" t="s">
        <v>10957</v>
      </c>
      <c r="C270" s="151">
        <f>INDEX('Analysis of bottom-up tags'!$N$42:$W$45,MATCH(Dashboard!$B270,'Analysis of bottom-up tags'!$B$42:$B$45,0),MATCH(Dashboard!C$21,'Analysis of bottom-up tags'!$N$6:$W$6,0))*C$23</f>
        <v>29.569866705410078</v>
      </c>
      <c r="D270" s="151">
        <f>INDEX('Analysis of bottom-up tags'!$N$42:$W$45,MATCH(Dashboard!$B270,'Analysis of bottom-up tags'!$B$42:$B$45,0),MATCH(Dashboard!D$21,'Analysis of bottom-up tags'!$N$6:$W$6,0))*D$23</f>
        <v>99.818105818615976</v>
      </c>
      <c r="E270" s="151">
        <f>INDEX('Analysis of bottom-up tags'!$N$42:$W$45,MATCH(Dashboard!$B270,'Analysis of bottom-up tags'!$B$42:$B$45,0),MATCH(Dashboard!E$21,'Analysis of bottom-up tags'!$N$6:$W$6,0))*E$23</f>
        <v>6.5172283240140683</v>
      </c>
      <c r="F270" s="151">
        <f>INDEX('Analysis of bottom-up tags'!$N$42:$W$45,MATCH(Dashboard!$B270,'Analysis of bottom-up tags'!$B$42:$B$45,0),MATCH(Dashboard!F$21,'Analysis of bottom-up tags'!$N$6:$W$6,0))*F$23</f>
        <v>334.67379039648137</v>
      </c>
      <c r="G270" s="151">
        <f>INDEX('Analysis of bottom-up tags'!$N$42:$W$45,MATCH(Dashboard!$B270,'Analysis of bottom-up tags'!$B$42:$B$45,0),MATCH(Dashboard!G$21,'Analysis of bottom-up tags'!$N$6:$W$6,0))*G$23</f>
        <v>979.07040894912791</v>
      </c>
      <c r="H270" s="151">
        <f>INDEX('Analysis of bottom-up tags'!$N$42:$W$45,MATCH(Dashboard!$B270,'Analysis of bottom-up tags'!$B$42:$B$45,0),MATCH(Dashboard!H$21,'Analysis of bottom-up tags'!$N$6:$W$6,0))*H$23</f>
        <v>429.8479421129677</v>
      </c>
      <c r="I270" s="151">
        <f>INDEX('Analysis of bottom-up tags'!$N$42:$W$45,MATCH(Dashboard!$B270,'Analysis of bottom-up tags'!$B$42:$B$45,0),MATCH(Dashboard!I$21,'Analysis of bottom-up tags'!$N$6:$W$6,0))*I$23</f>
        <v>971.45777676408204</v>
      </c>
      <c r="J270" s="151">
        <f>INDEX('Analysis of bottom-up tags'!$N$42:$W$45,MATCH(Dashboard!$B270,'Analysis of bottom-up tags'!$B$42:$B$45,0),MATCH(Dashboard!J$21,'Analysis of bottom-up tags'!$N$6:$W$6,0))*J$23</f>
        <v>563.10973196342673</v>
      </c>
      <c r="K270" s="151">
        <f>INDEX('Analysis of bottom-up tags'!$N$42:$W$45,MATCH(Dashboard!$B270,'Analysis of bottom-up tags'!$B$42:$B$45,0),MATCH(Dashboard!K$21,'Analysis of bottom-up tags'!$N$6:$W$6,0))*K$23</f>
        <v>1884.9955082518557</v>
      </c>
      <c r="L270" s="151">
        <f>INDEX('Analysis of bottom-up tags'!$N$42:$W$45,MATCH(Dashboard!$B270,'Analysis of bottom-up tags'!$B$42:$B$45,0),MATCH(Dashboard!L$21,'Analysis of bottom-up tags'!$N$6:$W$6,0))*L$23</f>
        <v>1072.400809966367</v>
      </c>
      <c r="M270" s="151">
        <f t="shared" ref="M270:M274" si="71">SUM(C270:L270)</f>
        <v>6371.4611692523486</v>
      </c>
    </row>
    <row r="271" spans="2:13">
      <c r="B271" s="151" t="s">
        <v>10967</v>
      </c>
      <c r="C271" s="151">
        <f>INDEX('Analysis of bottom-up tags'!$N$42:$W$45,MATCH(Dashboard!$B271,'Analysis of bottom-up tags'!$B$42:$B$45,0),MATCH(Dashboard!C$21,'Analysis of bottom-up tags'!$N$6:$W$6,0))*C$23</f>
        <v>782.70818265033608</v>
      </c>
      <c r="D271" s="151">
        <f>INDEX('Analysis of bottom-up tags'!$N$42:$W$45,MATCH(Dashboard!$B271,'Analysis of bottom-up tags'!$B$42:$B$45,0),MATCH(Dashboard!D$21,'Analysis of bottom-up tags'!$N$6:$W$6,0))*D$23</f>
        <v>800.46463036340765</v>
      </c>
      <c r="E271" s="151">
        <f>INDEX('Analysis of bottom-up tags'!$N$42:$W$45,MATCH(Dashboard!$B271,'Analysis of bottom-up tags'!$B$42:$B$45,0),MATCH(Dashboard!E$21,'Analysis of bottom-up tags'!$N$6:$W$6,0))*E$23</f>
        <v>302.62900723286708</v>
      </c>
      <c r="F271" s="151">
        <f>INDEX('Analysis of bottom-up tags'!$N$42:$W$45,MATCH(Dashboard!$B271,'Analysis of bottom-up tags'!$B$42:$B$45,0),MATCH(Dashboard!F$21,'Analysis of bottom-up tags'!$N$6:$W$6,0))*F$23</f>
        <v>105.6235160062238</v>
      </c>
      <c r="G271" s="151">
        <f>INDEX('Analysis of bottom-up tags'!$N$42:$W$45,MATCH(Dashboard!$B271,'Analysis of bottom-up tags'!$B$42:$B$45,0),MATCH(Dashboard!G$21,'Analysis of bottom-up tags'!$N$6:$W$6,0))*G$23</f>
        <v>10.145875043840777</v>
      </c>
      <c r="H271" s="151">
        <f>INDEX('Analysis of bottom-up tags'!$N$42:$W$45,MATCH(Dashboard!$B271,'Analysis of bottom-up tags'!$B$42:$B$45,0),MATCH(Dashboard!H$21,'Analysis of bottom-up tags'!$N$6:$W$6,0))*H$23</f>
        <v>310.85749198138001</v>
      </c>
      <c r="I271" s="151">
        <f>INDEX('Analysis of bottom-up tags'!$N$42:$W$45,MATCH(Dashboard!$B271,'Analysis of bottom-up tags'!$B$42:$B$45,0),MATCH(Dashboard!I$21,'Analysis of bottom-up tags'!$N$6:$W$6,0))*I$23</f>
        <v>38.512587021815612</v>
      </c>
      <c r="J271" s="151">
        <f>INDEX('Analysis of bottom-up tags'!$N$42:$W$45,MATCH(Dashboard!$B271,'Analysis of bottom-up tags'!$B$42:$B$45,0),MATCH(Dashboard!J$21,'Analysis of bottom-up tags'!$N$6:$W$6,0))*J$23</f>
        <v>61.739607300103351</v>
      </c>
      <c r="K271" s="151">
        <f>INDEX('Analysis of bottom-up tags'!$N$42:$W$45,MATCH(Dashboard!$B271,'Analysis of bottom-up tags'!$B$42:$B$45,0),MATCH(Dashboard!K$21,'Analysis of bottom-up tags'!$N$6:$W$6,0))*K$23</f>
        <v>1.8238867230595563</v>
      </c>
      <c r="L271" s="151">
        <f>INDEX('Analysis of bottom-up tags'!$N$42:$W$45,MATCH(Dashboard!$B271,'Analysis of bottom-up tags'!$B$42:$B$45,0),MATCH(Dashboard!L$21,'Analysis of bottom-up tags'!$N$6:$W$6,0))*L$23</f>
        <v>18.796958675707703</v>
      </c>
      <c r="M271" s="151">
        <f t="shared" si="71"/>
        <v>2433.3017429987412</v>
      </c>
    </row>
    <row r="272" spans="2:13">
      <c r="B272" s="151" t="s">
        <v>10959</v>
      </c>
      <c r="C272" s="151">
        <f>INDEX('Analysis of bottom-up tags'!$N$42:$W$45,MATCH(Dashboard!$B272,'Analysis of bottom-up tags'!$B$42:$B$45,0),MATCH(Dashboard!C$21,'Analysis of bottom-up tags'!$N$6:$W$6,0))*C$23</f>
        <v>14.774989625436197</v>
      </c>
      <c r="D272" s="151">
        <f>INDEX('Analysis of bottom-up tags'!$N$42:$W$45,MATCH(Dashboard!$B272,'Analysis of bottom-up tags'!$B$42:$B$45,0),MATCH(Dashboard!D$21,'Analysis of bottom-up tags'!$N$6:$W$6,0))*D$23</f>
        <v>46.550204104861002</v>
      </c>
      <c r="E272" s="151">
        <f>INDEX('Analysis of bottom-up tags'!$N$42:$W$45,MATCH(Dashboard!$B272,'Analysis of bottom-up tags'!$B$42:$B$45,0),MATCH(Dashboard!E$21,'Analysis of bottom-up tags'!$N$6:$W$6,0))*E$23</f>
        <v>730.91328827960433</v>
      </c>
      <c r="F272" s="151">
        <f>INDEX('Analysis of bottom-up tags'!$N$42:$W$45,MATCH(Dashboard!$B272,'Analysis of bottom-up tags'!$B$42:$B$45,0),MATCH(Dashboard!F$21,'Analysis of bottom-up tags'!$N$6:$W$6,0))*F$23</f>
        <v>175.93578113451363</v>
      </c>
      <c r="G272" s="151">
        <f>INDEX('Analysis of bottom-up tags'!$N$42:$W$45,MATCH(Dashboard!$B272,'Analysis of bottom-up tags'!$B$42:$B$45,0),MATCH(Dashboard!G$21,'Analysis of bottom-up tags'!$N$6:$W$6,0))*G$23</f>
        <v>284.22647286857341</v>
      </c>
      <c r="H272" s="151">
        <f>INDEX('Analysis of bottom-up tags'!$N$42:$W$45,MATCH(Dashboard!$B272,'Analysis of bottom-up tags'!$B$42:$B$45,0),MATCH(Dashboard!H$21,'Analysis of bottom-up tags'!$N$6:$W$6,0))*H$23</f>
        <v>171.90510030157031</v>
      </c>
      <c r="I272" s="151">
        <f>INDEX('Analysis of bottom-up tags'!$N$42:$W$45,MATCH(Dashboard!$B272,'Analysis of bottom-up tags'!$B$42:$B$45,0),MATCH(Dashboard!I$21,'Analysis of bottom-up tags'!$N$6:$W$6,0))*I$23</f>
        <v>119.86490569660099</v>
      </c>
      <c r="J272" s="151">
        <f>INDEX('Analysis of bottom-up tags'!$N$42:$W$45,MATCH(Dashboard!$B272,'Analysis of bottom-up tags'!$B$42:$B$45,0),MATCH(Dashboard!J$21,'Analysis of bottom-up tags'!$N$6:$W$6,0))*J$23</f>
        <v>1155.1099944498876</v>
      </c>
      <c r="K272" s="151">
        <f>INDEX('Analysis of bottom-up tags'!$N$42:$W$45,MATCH(Dashboard!$B272,'Analysis of bottom-up tags'!$B$42:$B$45,0),MATCH(Dashboard!K$21,'Analysis of bottom-up tags'!$N$6:$W$6,0))*K$23</f>
        <v>144.30553326358847</v>
      </c>
      <c r="L272" s="151">
        <f>INDEX('Analysis of bottom-up tags'!$N$42:$W$45,MATCH(Dashboard!$B272,'Analysis of bottom-up tags'!$B$42:$B$45,0),MATCH(Dashboard!L$21,'Analysis of bottom-up tags'!$N$6:$W$6,0))*L$23</f>
        <v>819.28796391871344</v>
      </c>
      <c r="M272" s="151">
        <f t="shared" si="71"/>
        <v>3662.8742336433493</v>
      </c>
    </row>
    <row r="273" spans="2:13">
      <c r="B273" s="151" t="s">
        <v>10558</v>
      </c>
      <c r="C273" s="151">
        <f>INDEX('Analysis of bottom-up tags'!$N$42:$W$45,MATCH(Dashboard!$B273,'Analysis of bottom-up tags'!$B$42:$B$45,0),MATCH(Dashboard!C$21,'Analysis of bottom-up tags'!$N$6:$W$6,0))*C$23</f>
        <v>460.94088614986237</v>
      </c>
      <c r="D273" s="151">
        <f>INDEX('Analysis of bottom-up tags'!$N$42:$W$45,MATCH(Dashboard!$B273,'Analysis of bottom-up tags'!$B$42:$B$45,0),MATCH(Dashboard!D$21,'Analysis of bottom-up tags'!$N$6:$W$6,0))*D$23</f>
        <v>459.78531922427527</v>
      </c>
      <c r="E273" s="151">
        <f>INDEX('Analysis of bottom-up tags'!$N$42:$W$45,MATCH(Dashboard!$B273,'Analysis of bottom-up tags'!$B$42:$B$45,0),MATCH(Dashboard!E$21,'Analysis of bottom-up tags'!$N$6:$W$6,0))*E$23</f>
        <v>269.68577517267335</v>
      </c>
      <c r="F273" s="151">
        <f>INDEX('Analysis of bottom-up tags'!$N$42:$W$45,MATCH(Dashboard!$B273,'Analysis of bottom-up tags'!$B$42:$B$45,0),MATCH(Dashboard!F$21,'Analysis of bottom-up tags'!$N$6:$W$6,0))*F$23</f>
        <v>631.47786592075977</v>
      </c>
      <c r="G273" s="151">
        <f>INDEX('Analysis of bottom-up tags'!$N$42:$W$45,MATCH(Dashboard!$B273,'Analysis of bottom-up tags'!$B$42:$B$45,0),MATCH(Dashboard!G$21,'Analysis of bottom-up tags'!$N$6:$W$6,0))*G$23</f>
        <v>404.66818470351183</v>
      </c>
      <c r="H273" s="151">
        <f>INDEX('Analysis of bottom-up tags'!$N$42:$W$45,MATCH(Dashboard!$B273,'Analysis of bottom-up tags'!$B$42:$B$45,0),MATCH(Dashboard!H$21,'Analysis of bottom-up tags'!$N$6:$W$6,0))*H$23</f>
        <v>890.95617724696274</v>
      </c>
      <c r="I273" s="151">
        <f>INDEX('Analysis of bottom-up tags'!$N$42:$W$45,MATCH(Dashboard!$B273,'Analysis of bottom-up tags'!$B$42:$B$45,0),MATCH(Dashboard!I$21,'Analysis of bottom-up tags'!$N$6:$W$6,0))*I$23</f>
        <v>504.14217652104679</v>
      </c>
      <c r="J273" s="151">
        <f>INDEX('Analysis of bottom-up tags'!$N$42:$W$45,MATCH(Dashboard!$B273,'Analysis of bottom-up tags'!$B$42:$B$45,0),MATCH(Dashboard!J$21,'Analysis of bottom-up tags'!$N$6:$W$6,0))*J$23</f>
        <v>37.035016340614291</v>
      </c>
      <c r="K273" s="151">
        <f>INDEX('Analysis of bottom-up tags'!$N$42:$W$45,MATCH(Dashboard!$B273,'Analysis of bottom-up tags'!$B$42:$B$45,0),MATCH(Dashboard!K$21,'Analysis of bottom-up tags'!$N$6:$W$6,0))*K$23</f>
        <v>13.266664648360464</v>
      </c>
      <c r="L273" s="151">
        <f>INDEX('Analysis of bottom-up tags'!$N$42:$W$45,MATCH(Dashboard!$B273,'Analysis of bottom-up tags'!$B$42:$B$45,0),MATCH(Dashboard!L$21,'Analysis of bottom-up tags'!$N$6:$W$6,0))*L$23</f>
        <v>28.568059001735683</v>
      </c>
      <c r="M273" s="151">
        <f t="shared" si="71"/>
        <v>3700.5261249298023</v>
      </c>
    </row>
    <row r="274" spans="2:13">
      <c r="B274" s="166" t="s">
        <v>11042</v>
      </c>
      <c r="C274" s="166">
        <f>SUM(C270:C273)</f>
        <v>1287.9939251310448</v>
      </c>
      <c r="D274" s="166">
        <f t="shared" ref="D274" si="72">SUM(D270:D273)</f>
        <v>1406.61825951116</v>
      </c>
      <c r="E274" s="166">
        <f t="shared" ref="E274" si="73">SUM(E270:E273)</f>
        <v>1309.7452990091588</v>
      </c>
      <c r="F274" s="166">
        <f t="shared" ref="F274" si="74">SUM(F270:F273)</f>
        <v>1247.7109534579786</v>
      </c>
      <c r="G274" s="166">
        <f t="shared" ref="G274" si="75">SUM(G270:G273)</f>
        <v>1678.1109415650537</v>
      </c>
      <c r="H274" s="166">
        <f t="shared" ref="H274" si="76">SUM(H270:H273)</f>
        <v>1803.5667116428808</v>
      </c>
      <c r="I274" s="166">
        <f t="shared" ref="I274" si="77">SUM(I270:I273)</f>
        <v>1633.9774460035455</v>
      </c>
      <c r="J274" s="166">
        <f t="shared" ref="J274" si="78">SUM(J270:J273)</f>
        <v>1816.9943500540319</v>
      </c>
      <c r="K274" s="166">
        <f t="shared" ref="K274" si="79">SUM(K270:K273)</f>
        <v>2044.3915928868644</v>
      </c>
      <c r="L274" s="166">
        <f>SUM(L270:L273)</f>
        <v>1939.0537915625239</v>
      </c>
      <c r="M274" s="166">
        <f t="shared" si="71"/>
        <v>16168.163270824243</v>
      </c>
    </row>
    <row r="275" spans="2:13">
      <c r="B275" s="163" t="s">
        <v>10470</v>
      </c>
      <c r="C275" s="163"/>
      <c r="D275" s="163"/>
      <c r="E275" s="163"/>
      <c r="F275" s="163"/>
      <c r="G275" s="163"/>
      <c r="H275" s="163"/>
      <c r="I275" s="163"/>
      <c r="J275" s="163"/>
      <c r="K275" s="163"/>
      <c r="L275" s="163"/>
      <c r="M275" s="163"/>
    </row>
    <row r="276" spans="2:13">
      <c r="B276" s="151" t="s">
        <v>10558</v>
      </c>
      <c r="C276" s="151">
        <f>INDEX('Analysis of bottom-up tags'!$N$48:$W$51,MATCH(Dashboard!$B276,'Analysis of bottom-up tags'!$B$48:$B$51,0),MATCH(Dashboard!C$21,'Analysis of bottom-up tags'!$N$6:$W$6,0))*C$23</f>
        <v>1217.1637793018067</v>
      </c>
      <c r="D276" s="151">
        <f>INDEX('Analysis of bottom-up tags'!$N$48:$W$51,MATCH(Dashboard!$B276,'Analysis of bottom-up tags'!$B$48:$B$51,0),MATCH(Dashboard!D$21,'Analysis of bottom-up tags'!$N$6:$W$6,0))*D$23</f>
        <v>1307.4754319740916</v>
      </c>
      <c r="E276" s="151">
        <f>INDEX('Analysis of bottom-up tags'!$N$48:$W$51,MATCH(Dashboard!$B276,'Analysis of bottom-up tags'!$B$48:$B$51,0),MATCH(Dashboard!E$21,'Analysis of bottom-up tags'!$N$6:$W$6,0))*E$23</f>
        <v>968.15060307688077</v>
      </c>
      <c r="F276" s="151">
        <f>INDEX('Analysis of bottom-up tags'!$N$48:$W$51,MATCH(Dashboard!$B276,'Analysis of bottom-up tags'!$B$48:$B$51,0),MATCH(Dashboard!F$21,'Analysis of bottom-up tags'!$N$6:$W$6,0))*F$23</f>
        <v>924.50113643642067</v>
      </c>
      <c r="G276" s="151">
        <f>INDEX('Analysis of bottom-up tags'!$N$48:$W$51,MATCH(Dashboard!$B276,'Analysis of bottom-up tags'!$B$48:$B$51,0),MATCH(Dashboard!G$21,'Analysis of bottom-up tags'!$N$6:$W$6,0))*G$23</f>
        <v>1633.3203005515211</v>
      </c>
      <c r="H276" s="151">
        <f>INDEX('Analysis of bottom-up tags'!$N$48:$W$51,MATCH(Dashboard!$B276,'Analysis of bottom-up tags'!$B$48:$B$51,0),MATCH(Dashboard!H$21,'Analysis of bottom-up tags'!$N$6:$W$6,0))*H$23</f>
        <v>1755.835294038676</v>
      </c>
      <c r="I276" s="151">
        <f>INDEX('Analysis of bottom-up tags'!$N$48:$W$51,MATCH(Dashboard!$B276,'Analysis of bottom-up tags'!$B$48:$B$51,0),MATCH(Dashboard!I$21,'Analysis of bottom-up tags'!$N$6:$W$6,0))*I$23</f>
        <v>1579.3519045730977</v>
      </c>
      <c r="J276" s="151">
        <f>INDEX('Analysis of bottom-up tags'!$N$48:$W$51,MATCH(Dashboard!$B276,'Analysis of bottom-up tags'!$B$48:$B$51,0),MATCH(Dashboard!J$21,'Analysis of bottom-up tags'!$N$6:$W$6,0))*J$23</f>
        <v>1765.9171148590872</v>
      </c>
      <c r="K276" s="151">
        <f>INDEX('Analysis of bottom-up tags'!$N$48:$W$51,MATCH(Dashboard!$B276,'Analysis of bottom-up tags'!$B$48:$B$51,0),MATCH(Dashboard!K$21,'Analysis of bottom-up tags'!$N$6:$W$6,0))*K$23</f>
        <v>2035.4091761637119</v>
      </c>
      <c r="L276" s="151">
        <f>INDEX('Analysis of bottom-up tags'!$N$48:$W$51,MATCH(Dashboard!$B276,'Analysis of bottom-up tags'!$B$48:$B$51,0),MATCH(Dashboard!L$21,'Analysis of bottom-up tags'!$N$6:$W$6,0))*L$23</f>
        <v>1928.3316942698327</v>
      </c>
      <c r="M276" s="151">
        <f t="shared" ref="M276:M280" si="80">SUM(C276:L276)</f>
        <v>15115.456435245125</v>
      </c>
    </row>
    <row r="277" spans="2:13">
      <c r="B277" s="151" t="s">
        <v>10968</v>
      </c>
      <c r="C277" s="151">
        <f>INDEX('Analysis of bottom-up tags'!$N$48:$W$51,MATCH(Dashboard!$B277,'Analysis of bottom-up tags'!$B$48:$B$51,0),MATCH(Dashboard!C$21,'Analysis of bottom-up tags'!$N$6:$W$6,0))*C$23</f>
        <v>29.569866705410078</v>
      </c>
      <c r="D277" s="151">
        <f>INDEX('Analysis of bottom-up tags'!$N$48:$W$51,MATCH(Dashboard!$B277,'Analysis of bottom-up tags'!$B$48:$B$51,0),MATCH(Dashboard!D$21,'Analysis of bottom-up tags'!$N$6:$W$6,0))*D$23</f>
        <v>99.142827537068428</v>
      </c>
      <c r="E277" s="151">
        <f>INDEX('Analysis of bottom-up tags'!$N$48:$W$51,MATCH(Dashboard!$B277,'Analysis of bottom-up tags'!$B$48:$B$51,0),MATCH(Dashboard!E$21,'Analysis of bottom-up tags'!$N$6:$W$6,0))*E$23</f>
        <v>0</v>
      </c>
      <c r="F277" s="151">
        <f>INDEX('Analysis of bottom-up tags'!$N$48:$W$51,MATCH(Dashboard!$B277,'Analysis of bottom-up tags'!$B$48:$B$51,0),MATCH(Dashboard!F$21,'Analysis of bottom-up tags'!$N$6:$W$6,0))*F$23</f>
        <v>46.3858430963869</v>
      </c>
      <c r="G277" s="151">
        <f>INDEX('Analysis of bottom-up tags'!$N$48:$W$51,MATCH(Dashboard!$B277,'Analysis of bottom-up tags'!$B$48:$B$51,0),MATCH(Dashboard!G$21,'Analysis of bottom-up tags'!$N$6:$W$6,0))*G$23</f>
        <v>44.790641013533204</v>
      </c>
      <c r="H277" s="151">
        <f>INDEX('Analysis of bottom-up tags'!$N$48:$W$51,MATCH(Dashboard!$B277,'Analysis of bottom-up tags'!$B$48:$B$51,0),MATCH(Dashboard!H$21,'Analysis of bottom-up tags'!$N$6:$W$6,0))*H$23</f>
        <v>1.8465192191136559</v>
      </c>
      <c r="I277" s="151">
        <f>INDEX('Analysis of bottom-up tags'!$N$48:$W$51,MATCH(Dashboard!$B277,'Analysis of bottom-up tags'!$B$48:$B$51,0),MATCH(Dashboard!I$21,'Analysis of bottom-up tags'!$N$6:$W$6,0))*I$23</f>
        <v>52.61361702507066</v>
      </c>
      <c r="J277" s="151">
        <f>INDEX('Analysis of bottom-up tags'!$N$48:$W$51,MATCH(Dashboard!$B277,'Analysis of bottom-up tags'!$B$48:$B$51,0),MATCH(Dashboard!J$21,'Analysis of bottom-up tags'!$N$6:$W$6,0))*J$23</f>
        <v>50.650590548378325</v>
      </c>
      <c r="K277" s="151">
        <f>INDEX('Analysis of bottom-up tags'!$N$48:$W$51,MATCH(Dashboard!$B277,'Analysis of bottom-up tags'!$B$48:$B$51,0),MATCH(Dashboard!K$21,'Analysis of bottom-up tags'!$N$6:$W$6,0))*K$23</f>
        <v>3.7990536141094564</v>
      </c>
      <c r="L277" s="151">
        <f>INDEX('Analysis of bottom-up tags'!$N$48:$W$51,MATCH(Dashboard!$B277,'Analysis of bottom-up tags'!$B$48:$B$51,0),MATCH(Dashboard!L$21,'Analysis of bottom-up tags'!$N$6:$W$6,0))*L$23</f>
        <v>0.56495494201956109</v>
      </c>
      <c r="M277" s="151">
        <f t="shared" si="80"/>
        <v>329.36391370109027</v>
      </c>
    </row>
    <row r="278" spans="2:13">
      <c r="B278" s="151" t="s">
        <v>11101</v>
      </c>
      <c r="C278" s="151">
        <f>INDEX('Analysis of bottom-up tags'!$N$48:$W$51,MATCH(Dashboard!$B278,'Analysis of bottom-up tags'!$B$48:$B$51,0),MATCH(Dashboard!C$21,'Analysis of bottom-up tags'!$N$6:$W$6,0))*C$23</f>
        <v>27.506852749218677</v>
      </c>
      <c r="D278" s="151">
        <f>INDEX('Analysis of bottom-up tags'!$N$48:$W$51,MATCH(Dashboard!$B278,'Analysis of bottom-up tags'!$B$48:$B$51,0),MATCH(Dashboard!D$21,'Analysis of bottom-up tags'!$N$6:$W$6,0))*D$23</f>
        <v>0</v>
      </c>
      <c r="E278" s="151">
        <f>INDEX('Analysis of bottom-up tags'!$N$48:$W$51,MATCH(Dashboard!$B278,'Analysis of bottom-up tags'!$B$48:$B$51,0),MATCH(Dashboard!E$21,'Analysis of bottom-up tags'!$N$6:$W$6,0))*E$23</f>
        <v>131.29679064887711</v>
      </c>
      <c r="F278" s="151">
        <f>INDEX('Analysis of bottom-up tags'!$N$48:$W$51,MATCH(Dashboard!$B278,'Analysis of bottom-up tags'!$B$48:$B$51,0),MATCH(Dashboard!F$21,'Analysis of bottom-up tags'!$N$6:$W$6,0))*F$23</f>
        <v>276.82397392517089</v>
      </c>
      <c r="G278" s="151">
        <f>INDEX('Analysis of bottom-up tags'!$N$48:$W$51,MATCH(Dashboard!$B278,'Analysis of bottom-up tags'!$B$48:$B$51,0),MATCH(Dashboard!G$21,'Analysis of bottom-up tags'!$N$6:$W$6,0))*G$23</f>
        <v>0</v>
      </c>
      <c r="H278" s="151">
        <f>INDEX('Analysis of bottom-up tags'!$N$48:$W$51,MATCH(Dashboard!$B278,'Analysis of bottom-up tags'!$B$48:$B$51,0),MATCH(Dashboard!H$21,'Analysis of bottom-up tags'!$N$6:$W$6,0))*H$23</f>
        <v>45.88489838509031</v>
      </c>
      <c r="I278" s="151">
        <f>INDEX('Analysis of bottom-up tags'!$N$48:$W$51,MATCH(Dashboard!$B278,'Analysis of bottom-up tags'!$B$48:$B$51,0),MATCH(Dashboard!I$21,'Analysis of bottom-up tags'!$N$6:$W$6,0))*I$23</f>
        <v>0</v>
      </c>
      <c r="J278" s="151">
        <f>INDEX('Analysis of bottom-up tags'!$N$48:$W$51,MATCH(Dashboard!$B278,'Analysis of bottom-up tags'!$B$48:$B$51,0),MATCH(Dashboard!J$21,'Analysis of bottom-up tags'!$N$6:$W$6,0))*J$23</f>
        <v>0.42664464656740053</v>
      </c>
      <c r="K278" s="151">
        <f>INDEX('Analysis of bottom-up tags'!$N$48:$W$51,MATCH(Dashboard!$B278,'Analysis of bottom-up tags'!$B$48:$B$51,0),MATCH(Dashboard!K$21,'Analysis of bottom-up tags'!$N$6:$W$6,0))*K$23</f>
        <v>4.2001677949617982</v>
      </c>
      <c r="L278" s="151">
        <f>INDEX('Analysis of bottom-up tags'!$N$48:$W$51,MATCH(Dashboard!$B278,'Analysis of bottom-up tags'!$B$48:$B$51,0),MATCH(Dashboard!L$21,'Analysis of bottom-up tags'!$N$6:$W$6,0))*L$23</f>
        <v>10.157142350672103</v>
      </c>
      <c r="M278" s="151">
        <f t="shared" si="80"/>
        <v>496.29647050055826</v>
      </c>
    </row>
    <row r="279" spans="2:13">
      <c r="B279" s="151" t="s">
        <v>11102</v>
      </c>
      <c r="C279" s="151">
        <f>INDEX('Analysis of bottom-up tags'!$N$48:$W$51,MATCH(Dashboard!$B279,'Analysis of bottom-up tags'!$B$48:$B$51,0),MATCH(Dashboard!C$21,'Analysis of bottom-up tags'!$N$6:$W$6,0))*C$23</f>
        <v>13.753426374609338</v>
      </c>
      <c r="D279" s="151">
        <f>INDEX('Analysis of bottom-up tags'!$N$48:$W$51,MATCH(Dashboard!$B279,'Analysis of bottom-up tags'!$B$48:$B$51,0),MATCH(Dashboard!D$21,'Analysis of bottom-up tags'!$N$6:$W$6,0))*D$23</f>
        <v>0</v>
      </c>
      <c r="E279" s="151">
        <f>INDEX('Analysis of bottom-up tags'!$N$48:$W$51,MATCH(Dashboard!$B279,'Analysis of bottom-up tags'!$B$48:$B$51,0),MATCH(Dashboard!E$21,'Analysis of bottom-up tags'!$N$6:$W$6,0))*E$23</f>
        <v>210.29790528340081</v>
      </c>
      <c r="F279" s="151">
        <f>INDEX('Analysis of bottom-up tags'!$N$48:$W$51,MATCH(Dashboard!$B279,'Analysis of bottom-up tags'!$B$48:$B$51,0),MATCH(Dashboard!F$21,'Analysis of bottom-up tags'!$N$6:$W$6,0))*F$23</f>
        <v>0</v>
      </c>
      <c r="G279" s="151">
        <f>INDEX('Analysis of bottom-up tags'!$N$48:$W$51,MATCH(Dashboard!$B279,'Analysis of bottom-up tags'!$B$48:$B$51,0),MATCH(Dashboard!G$21,'Analysis of bottom-up tags'!$N$6:$W$6,0))*G$23</f>
        <v>0</v>
      </c>
      <c r="H279" s="151">
        <f>INDEX('Analysis of bottom-up tags'!$N$48:$W$51,MATCH(Dashboard!$B279,'Analysis of bottom-up tags'!$B$48:$B$51,0),MATCH(Dashboard!H$21,'Analysis of bottom-up tags'!$N$6:$W$6,0))*H$23</f>
        <v>0</v>
      </c>
      <c r="I279" s="151">
        <f>INDEX('Analysis of bottom-up tags'!$N$48:$W$51,MATCH(Dashboard!$B279,'Analysis of bottom-up tags'!$B$48:$B$51,0),MATCH(Dashboard!I$21,'Analysis of bottom-up tags'!$N$6:$W$6,0))*I$23</f>
        <v>2.0119244053767362</v>
      </c>
      <c r="J279" s="151">
        <f>INDEX('Analysis of bottom-up tags'!$N$48:$W$51,MATCH(Dashboard!$B279,'Analysis of bottom-up tags'!$B$48:$B$51,0),MATCH(Dashboard!J$21,'Analysis of bottom-up tags'!$N$6:$W$6,0))*J$23</f>
        <v>0</v>
      </c>
      <c r="K279" s="151">
        <f>INDEX('Analysis of bottom-up tags'!$N$48:$W$51,MATCH(Dashboard!$B279,'Analysis of bottom-up tags'!$B$48:$B$51,0),MATCH(Dashboard!K$21,'Analysis of bottom-up tags'!$N$6:$W$6,0))*K$23</f>
        <v>0.98319531408087502</v>
      </c>
      <c r="L279" s="151">
        <f>INDEX('Analysis of bottom-up tags'!$N$48:$W$51,MATCH(Dashboard!$B279,'Analysis of bottom-up tags'!$B$48:$B$51,0),MATCH(Dashboard!L$21,'Analysis of bottom-up tags'!$N$6:$W$6,0))*L$23</f>
        <v>0</v>
      </c>
      <c r="M279" s="151">
        <f t="shared" si="80"/>
        <v>227.04645137746778</v>
      </c>
    </row>
    <row r="280" spans="2:13">
      <c r="B280" s="166" t="s">
        <v>11042</v>
      </c>
      <c r="C280" s="166">
        <f>SUM(C276:C279)</f>
        <v>1287.9939251310448</v>
      </c>
      <c r="D280" s="166">
        <f t="shared" ref="D280" si="81">SUM(D276:D279)</f>
        <v>1406.61825951116</v>
      </c>
      <c r="E280" s="166">
        <f t="shared" ref="E280" si="82">SUM(E276:E279)</f>
        <v>1309.7452990091585</v>
      </c>
      <c r="F280" s="166">
        <f t="shared" ref="F280" si="83">SUM(F276:F279)</f>
        <v>1247.7109534579786</v>
      </c>
      <c r="G280" s="166">
        <f t="shared" ref="G280" si="84">SUM(G276:G279)</f>
        <v>1678.1109415650542</v>
      </c>
      <c r="H280" s="166">
        <f t="shared" ref="H280" si="85">SUM(H276:H279)</f>
        <v>1803.5667116428799</v>
      </c>
      <c r="I280" s="166">
        <f t="shared" ref="I280" si="86">SUM(I276:I279)</f>
        <v>1633.9774460035451</v>
      </c>
      <c r="J280" s="166">
        <f t="shared" ref="J280" si="87">SUM(J276:J279)</f>
        <v>1816.994350054033</v>
      </c>
      <c r="K280" s="166">
        <f t="shared" ref="K280" si="88">SUM(K276:K279)</f>
        <v>2044.3915928868639</v>
      </c>
      <c r="L280" s="166">
        <f t="shared" ref="L280" si="89">SUM(L276:L279)</f>
        <v>1939.0537915625243</v>
      </c>
      <c r="M280" s="166">
        <f t="shared" si="80"/>
        <v>16168.163270824241</v>
      </c>
    </row>
    <row r="281" spans="2:13">
      <c r="B281" s="163" t="s">
        <v>10471</v>
      </c>
      <c r="C281" s="163"/>
      <c r="D281" s="163"/>
      <c r="E281" s="163"/>
      <c r="F281" s="163"/>
      <c r="G281" s="163"/>
      <c r="H281" s="163"/>
      <c r="I281" s="163"/>
      <c r="J281" s="163"/>
      <c r="K281" s="163"/>
      <c r="L281" s="163"/>
      <c r="M281" s="163"/>
    </row>
    <row r="282" spans="2:13">
      <c r="B282" s="22" t="s">
        <v>11163</v>
      </c>
      <c r="C282" s="151">
        <f>INDEX('Analysis of bottom-up tags'!$N$54:$W$69,MATCH(Dashboard!$B282,'Analysis of bottom-up tags'!$B$54:$B$69,0),MATCH(Dashboard!C$21,'Analysis of bottom-up tags'!$N$6:$W$6,0))*C$23</f>
        <v>20.831242162363544</v>
      </c>
      <c r="D282" s="151">
        <f>INDEX('Analysis of bottom-up tags'!$N$54:$W$69,MATCH(Dashboard!$B282,'Analysis of bottom-up tags'!$B$54:$B$69,0),MATCH(Dashboard!D$21,'Analysis of bottom-up tags'!$N$6:$W$6,0))*D$23</f>
        <v>460.90672214353663</v>
      </c>
      <c r="E282" s="151">
        <f>INDEX('Analysis of bottom-up tags'!$N$54:$W$69,MATCH(Dashboard!$B282,'Analysis of bottom-up tags'!$B$54:$B$69,0),MATCH(Dashboard!E$21,'Analysis of bottom-up tags'!$N$6:$W$6,0))*E$23</f>
        <v>138.38898452379618</v>
      </c>
      <c r="F282" s="151">
        <f>INDEX('Analysis of bottom-up tags'!$N$54:$W$69,MATCH(Dashboard!$B282,'Analysis of bottom-up tags'!$B$54:$B$69,0),MATCH(Dashboard!F$21,'Analysis of bottom-up tags'!$N$6:$W$6,0))*F$23</f>
        <v>309.9053796577773</v>
      </c>
      <c r="G282" s="151">
        <f>INDEX('Analysis of bottom-up tags'!$N$54:$W$69,MATCH(Dashboard!$B282,'Analysis of bottom-up tags'!$B$54:$B$69,0),MATCH(Dashboard!G$21,'Analysis of bottom-up tags'!$N$6:$W$6,0))*G$23</f>
        <v>1269.7627953780689</v>
      </c>
      <c r="H282" s="151">
        <f>INDEX('Analysis of bottom-up tags'!$N$54:$W$69,MATCH(Dashboard!$B282,'Analysis of bottom-up tags'!$B$54:$B$69,0),MATCH(Dashboard!H$21,'Analysis of bottom-up tags'!$N$6:$W$6,0))*H$23</f>
        <v>862.99501604215584</v>
      </c>
      <c r="I282" s="151">
        <f>INDEX('Analysis of bottom-up tags'!$N$54:$W$69,MATCH(Dashboard!$B282,'Analysis of bottom-up tags'!$B$54:$B$69,0),MATCH(Dashboard!I$21,'Analysis of bottom-up tags'!$N$6:$W$6,0))*I$23</f>
        <v>1503.6204087282017</v>
      </c>
      <c r="J282" s="151">
        <f>INDEX('Analysis of bottom-up tags'!$N$54:$W$69,MATCH(Dashboard!$B282,'Analysis of bottom-up tags'!$B$54:$B$69,0),MATCH(Dashboard!J$21,'Analysis of bottom-up tags'!$N$6:$W$6,0))*J$23</f>
        <v>607.39307869193419</v>
      </c>
      <c r="K282" s="151">
        <f>INDEX('Analysis of bottom-up tags'!$N$54:$W$69,MATCH(Dashboard!$B282,'Analysis of bottom-up tags'!$B$54:$B$69,0),MATCH(Dashboard!K$21,'Analysis of bottom-up tags'!$N$6:$W$6,0))*K$23</f>
        <v>1879.5917402023017</v>
      </c>
      <c r="L282" s="151">
        <f>INDEX('Analysis of bottom-up tags'!$N$54:$W$69,MATCH(Dashboard!$B282,'Analysis of bottom-up tags'!$B$54:$B$69,0),MATCH(Dashboard!L$21,'Analysis of bottom-up tags'!$N$6:$W$6,0))*L$23</f>
        <v>1167.8695426642716</v>
      </c>
      <c r="M282" s="151">
        <f t="shared" ref="M282:M298" si="90">SUM(C282:L282)</f>
        <v>8221.264910194408</v>
      </c>
    </row>
    <row r="283" spans="2:13">
      <c r="B283" s="22" t="s">
        <v>10989</v>
      </c>
      <c r="C283" s="151">
        <f>INDEX('Analysis of bottom-up tags'!$N$54:$W$69,MATCH(Dashboard!$B283,'Analysis of bottom-up tags'!$B$54:$B$69,0),MATCH(Dashboard!C$21,'Analysis of bottom-up tags'!$N$6:$W$6,0))*C$23</f>
        <v>767.32016155110455</v>
      </c>
      <c r="D283" s="151">
        <f>INDEX('Analysis of bottom-up tags'!$N$54:$W$69,MATCH(Dashboard!$B283,'Analysis of bottom-up tags'!$B$54:$B$69,0),MATCH(Dashboard!D$21,'Analysis of bottom-up tags'!$N$6:$W$6,0))*D$23</f>
        <v>0</v>
      </c>
      <c r="E283" s="151">
        <f>INDEX('Analysis of bottom-up tags'!$N$54:$W$69,MATCH(Dashboard!$B283,'Analysis of bottom-up tags'!$B$54:$B$69,0),MATCH(Dashboard!E$21,'Analysis of bottom-up tags'!$N$6:$W$6,0))*E$23</f>
        <v>0</v>
      </c>
      <c r="F283" s="151">
        <f>INDEX('Analysis of bottom-up tags'!$N$54:$W$69,MATCH(Dashboard!$B283,'Analysis of bottom-up tags'!$B$54:$B$69,0),MATCH(Dashboard!F$21,'Analysis of bottom-up tags'!$N$6:$W$6,0))*F$23</f>
        <v>23.47356569295879</v>
      </c>
      <c r="G283" s="151">
        <f>INDEX('Analysis of bottom-up tags'!$N$54:$W$69,MATCH(Dashboard!$B283,'Analysis of bottom-up tags'!$B$54:$B$69,0),MATCH(Dashboard!G$21,'Analysis of bottom-up tags'!$N$6:$W$6,0))*G$23</f>
        <v>15.958705012685767</v>
      </c>
      <c r="H283" s="151">
        <f>INDEX('Analysis of bottom-up tags'!$N$54:$W$69,MATCH(Dashboard!$B283,'Analysis of bottom-up tags'!$B$54:$B$69,0),MATCH(Dashboard!H$21,'Analysis of bottom-up tags'!$N$6:$W$6,0))*H$23</f>
        <v>506.52238674812503</v>
      </c>
      <c r="I283" s="151">
        <f>INDEX('Analysis of bottom-up tags'!$N$54:$W$69,MATCH(Dashboard!$B283,'Analysis of bottom-up tags'!$B$54:$B$69,0),MATCH(Dashboard!I$21,'Analysis of bottom-up tags'!$N$6:$W$6,0))*I$23</f>
        <v>4.8852688760981717</v>
      </c>
      <c r="J283" s="151">
        <f>INDEX('Analysis of bottom-up tags'!$N$54:$W$69,MATCH(Dashboard!$B283,'Analysis of bottom-up tags'!$B$54:$B$69,0),MATCH(Dashboard!J$21,'Analysis of bottom-up tags'!$N$6:$W$6,0))*J$23</f>
        <v>64.167431433968048</v>
      </c>
      <c r="K283" s="151">
        <f>INDEX('Analysis of bottom-up tags'!$N$54:$W$69,MATCH(Dashboard!$B283,'Analysis of bottom-up tags'!$B$54:$B$69,0),MATCH(Dashboard!K$21,'Analysis of bottom-up tags'!$N$6:$W$6,0))*K$23</f>
        <v>2.0008321875338235</v>
      </c>
      <c r="L283" s="151">
        <f>INDEX('Analysis of bottom-up tags'!$N$54:$W$69,MATCH(Dashboard!$B283,'Analysis of bottom-up tags'!$B$54:$B$69,0),MATCH(Dashboard!L$21,'Analysis of bottom-up tags'!$N$6:$W$6,0))*L$23</f>
        <v>28.496789584328109</v>
      </c>
      <c r="M283" s="151">
        <f t="shared" si="90"/>
        <v>1412.8251410868024</v>
      </c>
    </row>
    <row r="284" spans="2:13">
      <c r="B284" s="22" t="s">
        <v>10994</v>
      </c>
      <c r="C284" s="151">
        <f>INDEX('Analysis of bottom-up tags'!$N$54:$W$69,MATCH(Dashboard!$B284,'Analysis of bottom-up tags'!$B$54:$B$69,0),MATCH(Dashboard!C$21,'Analysis of bottom-up tags'!$N$6:$W$6,0))*C$23</f>
        <v>412.60279123828008</v>
      </c>
      <c r="D284" s="151">
        <f>INDEX('Analysis of bottom-up tags'!$N$54:$W$69,MATCH(Dashboard!$B284,'Analysis of bottom-up tags'!$B$54:$B$69,0),MATCH(Dashboard!D$21,'Analysis of bottom-up tags'!$N$6:$W$6,0))*D$23</f>
        <v>800.46463036340765</v>
      </c>
      <c r="E284" s="151">
        <f>INDEX('Analysis of bottom-up tags'!$N$54:$W$69,MATCH(Dashboard!$B284,'Analysis of bottom-up tags'!$B$54:$B$69,0),MATCH(Dashboard!E$21,'Analysis of bottom-up tags'!$N$6:$W$6,0))*E$23</f>
        <v>0</v>
      </c>
      <c r="F284" s="151">
        <f>INDEX('Analysis of bottom-up tags'!$N$54:$W$69,MATCH(Dashboard!$B284,'Analysis of bottom-up tags'!$B$54:$B$69,0),MATCH(Dashboard!F$21,'Analysis of bottom-up tags'!$N$6:$W$6,0))*F$23</f>
        <v>115.93177641765973</v>
      </c>
      <c r="G284" s="151">
        <f>INDEX('Analysis of bottom-up tags'!$N$54:$W$69,MATCH(Dashboard!$B284,'Analysis of bottom-up tags'!$B$54:$B$69,0),MATCH(Dashboard!G$21,'Analysis of bottom-up tags'!$N$6:$W$6,0))*G$23</f>
        <v>0.5132960822366589</v>
      </c>
      <c r="H284" s="151">
        <f>INDEX('Analysis of bottom-up tags'!$N$54:$W$69,MATCH(Dashboard!$B284,'Analysis of bottom-up tags'!$B$54:$B$69,0),MATCH(Dashboard!H$21,'Analysis of bottom-up tags'!$N$6:$W$6,0))*H$23</f>
        <v>3.0794721957826248</v>
      </c>
      <c r="I284" s="151">
        <f>INDEX('Analysis of bottom-up tags'!$N$54:$W$69,MATCH(Dashboard!$B284,'Analysis of bottom-up tags'!$B$54:$B$69,0),MATCH(Dashboard!I$21,'Analysis of bottom-up tags'!$N$6:$W$6,0))*I$23</f>
        <v>2.4056461220457619</v>
      </c>
      <c r="J284" s="151">
        <f>INDEX('Analysis of bottom-up tags'!$N$54:$W$69,MATCH(Dashboard!$B284,'Analysis of bottom-up tags'!$B$54:$B$69,0),MATCH(Dashboard!J$21,'Analysis of bottom-up tags'!$N$6:$W$6,0))*J$23</f>
        <v>0</v>
      </c>
      <c r="K284" s="151">
        <f>INDEX('Analysis of bottom-up tags'!$N$54:$W$69,MATCH(Dashboard!$B284,'Analysis of bottom-up tags'!$B$54:$B$69,0),MATCH(Dashboard!K$21,'Analysis of bottom-up tags'!$N$6:$W$6,0))*K$23</f>
        <v>0.27794587627984446</v>
      </c>
      <c r="L284" s="151">
        <f>INDEX('Analysis of bottom-up tags'!$N$54:$W$69,MATCH(Dashboard!$B284,'Analysis of bottom-up tags'!$B$54:$B$69,0),MATCH(Dashboard!L$21,'Analysis of bottom-up tags'!$N$6:$W$6,0))*L$23</f>
        <v>151.92935915820169</v>
      </c>
      <c r="M284" s="151">
        <f t="shared" si="90"/>
        <v>1487.2049174538938</v>
      </c>
    </row>
    <row r="285" spans="2:13">
      <c r="B285" s="22" t="s">
        <v>11002</v>
      </c>
      <c r="C285" s="151">
        <f>INDEX('Analysis of bottom-up tags'!$N$54:$W$69,MATCH(Dashboard!$B285,'Analysis of bottom-up tags'!$B$54:$B$69,0),MATCH(Dashboard!C$21,'Analysis of bottom-up tags'!$N$6:$W$6,0))*C$23</f>
        <v>0</v>
      </c>
      <c r="D285" s="151">
        <f>INDEX('Analysis of bottom-up tags'!$N$54:$W$69,MATCH(Dashboard!$B285,'Analysis of bottom-up tags'!$B$54:$B$69,0),MATCH(Dashboard!D$21,'Analysis of bottom-up tags'!$N$6:$W$6,0))*D$23</f>
        <v>0</v>
      </c>
      <c r="E285" s="151">
        <f>INDEX('Analysis of bottom-up tags'!$N$54:$W$69,MATCH(Dashboard!$B285,'Analysis of bottom-up tags'!$B$54:$B$69,0),MATCH(Dashboard!E$21,'Analysis of bottom-up tags'!$N$6:$W$6,0))*E$23</f>
        <v>302.62900723286708</v>
      </c>
      <c r="F285" s="151">
        <f>INDEX('Analysis of bottom-up tags'!$N$54:$W$69,MATCH(Dashboard!$B285,'Analysis of bottom-up tags'!$B$54:$B$69,0),MATCH(Dashboard!F$21,'Analysis of bottom-up tags'!$N$6:$W$6,0))*F$23</f>
        <v>0</v>
      </c>
      <c r="G285" s="151">
        <f>INDEX('Analysis of bottom-up tags'!$N$54:$W$69,MATCH(Dashboard!$B285,'Analysis of bottom-up tags'!$B$54:$B$69,0),MATCH(Dashboard!G$21,'Analysis of bottom-up tags'!$N$6:$W$6,0))*G$23</f>
        <v>5.0529724497260924</v>
      </c>
      <c r="H285" s="151">
        <f>INDEX('Analysis of bottom-up tags'!$N$54:$W$69,MATCH(Dashboard!$B285,'Analysis of bottom-up tags'!$B$54:$B$69,0),MATCH(Dashboard!H$21,'Analysis of bottom-up tags'!$N$6:$W$6,0))*H$23</f>
        <v>0</v>
      </c>
      <c r="I285" s="151">
        <f>INDEX('Analysis of bottom-up tags'!$N$54:$W$69,MATCH(Dashboard!$B285,'Analysis of bottom-up tags'!$B$54:$B$69,0),MATCH(Dashboard!I$21,'Analysis of bottom-up tags'!$N$6:$W$6,0))*I$23</f>
        <v>0</v>
      </c>
      <c r="J285" s="151">
        <f>INDEX('Analysis of bottom-up tags'!$N$54:$W$69,MATCH(Dashboard!$B285,'Analysis of bottom-up tags'!$B$54:$B$69,0),MATCH(Dashboard!J$21,'Analysis of bottom-up tags'!$N$6:$W$6,0))*J$23</f>
        <v>66.811809166456896</v>
      </c>
      <c r="K285" s="151">
        <f>INDEX('Analysis of bottom-up tags'!$N$54:$W$69,MATCH(Dashboard!$B285,'Analysis of bottom-up tags'!$B$54:$B$69,0),MATCH(Dashboard!K$21,'Analysis of bottom-up tags'!$N$6:$W$6,0))*K$23</f>
        <v>0</v>
      </c>
      <c r="L285" s="151">
        <f>INDEX('Analysis of bottom-up tags'!$N$54:$W$69,MATCH(Dashboard!$B285,'Analysis of bottom-up tags'!$B$54:$B$69,0),MATCH(Dashboard!L$21,'Analysis of bottom-up tags'!$N$6:$W$6,0))*L$23</f>
        <v>14.100084404228626</v>
      </c>
      <c r="M285" s="151">
        <f t="shared" si="90"/>
        <v>388.59387325327873</v>
      </c>
    </row>
    <row r="286" spans="2:13">
      <c r="B286" s="22" t="s">
        <v>11164</v>
      </c>
      <c r="C286" s="151">
        <f>INDEX('Analysis of bottom-up tags'!$N$54:$W$69,MATCH(Dashboard!$B286,'Analysis of bottom-up tags'!$B$54:$B$69,0),MATCH(Dashboard!C$21,'Analysis of bottom-up tags'!$N$6:$W$6,0))*C$23</f>
        <v>0</v>
      </c>
      <c r="D286" s="151">
        <f>INDEX('Analysis of bottom-up tags'!$N$54:$W$69,MATCH(Dashboard!$B286,'Analysis of bottom-up tags'!$B$54:$B$69,0),MATCH(Dashboard!D$21,'Analysis of bottom-up tags'!$N$6:$W$6,0))*D$23</f>
        <v>0</v>
      </c>
      <c r="E286" s="151">
        <f>INDEX('Analysis of bottom-up tags'!$N$54:$W$69,MATCH(Dashboard!$B286,'Analysis of bottom-up tags'!$B$54:$B$69,0),MATCH(Dashboard!E$21,'Analysis of bottom-up tags'!$N$6:$W$6,0))*E$23</f>
        <v>6.5172283240140683</v>
      </c>
      <c r="F286" s="151">
        <f>INDEX('Analysis of bottom-up tags'!$N$54:$W$69,MATCH(Dashboard!$B286,'Analysis of bottom-up tags'!$B$54:$B$69,0),MATCH(Dashboard!F$21,'Analysis of bottom-up tags'!$N$6:$W$6,0))*F$23</f>
        <v>0</v>
      </c>
      <c r="G286" s="151">
        <f>INDEX('Analysis of bottom-up tags'!$N$54:$W$69,MATCH(Dashboard!$B286,'Analysis of bottom-up tags'!$B$54:$B$69,0),MATCH(Dashboard!G$21,'Analysis of bottom-up tags'!$N$6:$W$6,0))*G$23</f>
        <v>0</v>
      </c>
      <c r="H286" s="151">
        <f>INDEX('Analysis of bottom-up tags'!$N$54:$W$69,MATCH(Dashboard!$B286,'Analysis of bottom-up tags'!$B$54:$B$69,0),MATCH(Dashboard!H$21,'Analysis of bottom-up tags'!$N$6:$W$6,0))*H$23</f>
        <v>221.27095310190128</v>
      </c>
      <c r="I286" s="151">
        <f>INDEX('Analysis of bottom-up tags'!$N$54:$W$69,MATCH(Dashboard!$B286,'Analysis of bottom-up tags'!$B$54:$B$69,0),MATCH(Dashboard!I$21,'Analysis of bottom-up tags'!$N$6:$W$6,0))*I$23</f>
        <v>2.5770388440254224</v>
      </c>
      <c r="J286" s="151">
        <f>INDEX('Analysis of bottom-up tags'!$N$54:$W$69,MATCH(Dashboard!$B286,'Analysis of bottom-up tags'!$B$54:$B$69,0),MATCH(Dashboard!J$21,'Analysis of bottom-up tags'!$N$6:$W$6,0))*J$23</f>
        <v>320.92357476408785</v>
      </c>
      <c r="K286" s="151">
        <f>INDEX('Analysis of bottom-up tags'!$N$54:$W$69,MATCH(Dashboard!$B286,'Analysis of bottom-up tags'!$B$54:$B$69,0),MATCH(Dashboard!K$21,'Analysis of bottom-up tags'!$N$6:$W$6,0))*K$23</f>
        <v>57.219373983413647</v>
      </c>
      <c r="L286" s="151">
        <f>INDEX('Analysis of bottom-up tags'!$N$54:$W$69,MATCH(Dashboard!$B286,'Analysis of bottom-up tags'!$B$54:$B$69,0),MATCH(Dashboard!L$21,'Analysis of bottom-up tags'!$N$6:$W$6,0))*L$23</f>
        <v>0</v>
      </c>
      <c r="M286" s="151">
        <f t="shared" si="90"/>
        <v>608.50816901744236</v>
      </c>
    </row>
    <row r="287" spans="2:13">
      <c r="B287" s="22" t="s">
        <v>10992</v>
      </c>
      <c r="C287" s="151">
        <f>INDEX('Analysis of bottom-up tags'!$N$54:$W$69,MATCH(Dashboard!$B287,'Analysis of bottom-up tags'!$B$54:$B$69,0),MATCH(Dashboard!C$21,'Analysis of bottom-up tags'!$N$6:$W$6,0))*C$23</f>
        <v>0</v>
      </c>
      <c r="D287" s="151">
        <f>INDEX('Analysis of bottom-up tags'!$N$54:$W$69,MATCH(Dashboard!$B287,'Analysis of bottom-up tags'!$B$54:$B$69,0),MATCH(Dashboard!D$21,'Analysis of bottom-up tags'!$N$6:$W$6,0))*D$23</f>
        <v>0</v>
      </c>
      <c r="E287" s="151">
        <f>INDEX('Analysis of bottom-up tags'!$N$54:$W$69,MATCH(Dashboard!$B287,'Analysis of bottom-up tags'!$B$54:$B$69,0),MATCH(Dashboard!E$21,'Analysis of bottom-up tags'!$N$6:$W$6,0))*E$23</f>
        <v>0</v>
      </c>
      <c r="F287" s="151">
        <f>INDEX('Analysis of bottom-up tags'!$N$54:$W$69,MATCH(Dashboard!$B287,'Analysis of bottom-up tags'!$B$54:$B$69,0),MATCH(Dashboard!F$21,'Analysis of bottom-up tags'!$N$6:$W$6,0))*F$23</f>
        <v>0</v>
      </c>
      <c r="G287" s="151">
        <f>INDEX('Analysis of bottom-up tags'!$N$54:$W$69,MATCH(Dashboard!$B287,'Analysis of bottom-up tags'!$B$54:$B$69,0),MATCH(Dashboard!G$21,'Analysis of bottom-up tags'!$N$6:$W$6,0))*G$23</f>
        <v>0</v>
      </c>
      <c r="H287" s="151">
        <f>INDEX('Analysis of bottom-up tags'!$N$54:$W$69,MATCH(Dashboard!$B287,'Analysis of bottom-up tags'!$B$54:$B$69,0),MATCH(Dashboard!H$21,'Analysis of bottom-up tags'!$N$6:$W$6,0))*H$23</f>
        <v>0</v>
      </c>
      <c r="I287" s="151">
        <f>INDEX('Analysis of bottom-up tags'!$N$54:$W$69,MATCH(Dashboard!$B287,'Analysis of bottom-up tags'!$B$54:$B$69,0),MATCH(Dashboard!I$21,'Analysis of bottom-up tags'!$N$6:$W$6,0))*I$23</f>
        <v>0</v>
      </c>
      <c r="J287" s="151">
        <f>INDEX('Analysis of bottom-up tags'!$N$54:$W$69,MATCH(Dashboard!$B287,'Analysis of bottom-up tags'!$B$54:$B$69,0),MATCH(Dashboard!J$21,'Analysis of bottom-up tags'!$N$6:$W$6,0))*J$23</f>
        <v>0</v>
      </c>
      <c r="K287" s="151">
        <f>INDEX('Analysis of bottom-up tags'!$N$54:$W$69,MATCH(Dashboard!$B287,'Analysis of bottom-up tags'!$B$54:$B$69,0),MATCH(Dashboard!K$21,'Analysis of bottom-up tags'!$N$6:$W$6,0))*K$23</f>
        <v>2.0833158327992285</v>
      </c>
      <c r="L287" s="151">
        <f>INDEX('Analysis of bottom-up tags'!$N$54:$W$69,MATCH(Dashboard!$B287,'Analysis of bottom-up tags'!$B$54:$B$69,0),MATCH(Dashboard!L$21,'Analysis of bottom-up tags'!$N$6:$W$6,0))*L$23</f>
        <v>0</v>
      </c>
      <c r="M287" s="151">
        <f t="shared" si="90"/>
        <v>2.0833158327992285</v>
      </c>
    </row>
    <row r="288" spans="2:13">
      <c r="B288" s="22" t="s">
        <v>10974</v>
      </c>
      <c r="C288" s="151">
        <f>INDEX('Analysis of bottom-up tags'!$N$54:$W$69,MATCH(Dashboard!$B288,'Analysis of bottom-up tags'!$B$54:$B$69,0),MATCH(Dashboard!C$21,'Analysis of bottom-up tags'!$N$6:$W$6,0))*C$23</f>
        <v>31.966772593697868</v>
      </c>
      <c r="D288" s="151">
        <f>INDEX('Analysis of bottom-up tags'!$N$54:$W$69,MATCH(Dashboard!$B288,'Analysis of bottom-up tags'!$B$54:$B$69,0),MATCH(Dashboard!D$21,'Analysis of bottom-up tags'!$N$6:$W$6,0))*D$23</f>
        <v>47.225482386408551</v>
      </c>
      <c r="E288" s="151">
        <f>INDEX('Analysis of bottom-up tags'!$N$54:$W$69,MATCH(Dashboard!$B288,'Analysis of bottom-up tags'!$B$54:$B$69,0),MATCH(Dashboard!E$21,'Analysis of bottom-up tags'!$N$6:$W$6,0))*E$23</f>
        <v>730.91328827960433</v>
      </c>
      <c r="F288" s="151">
        <f>INDEX('Analysis of bottom-up tags'!$N$54:$W$69,MATCH(Dashboard!$B288,'Analysis of bottom-up tags'!$B$54:$B$69,0),MATCH(Dashboard!F$21,'Analysis of bottom-up tags'!$N$6:$W$6,0))*F$23</f>
        <v>137.10427106451041</v>
      </c>
      <c r="G288" s="151">
        <f>INDEX('Analysis of bottom-up tags'!$N$54:$W$69,MATCH(Dashboard!$B288,'Analysis of bottom-up tags'!$B$54:$B$69,0),MATCH(Dashboard!G$21,'Analysis of bottom-up tags'!$N$6:$W$6,0))*G$23</f>
        <v>368.08832948955398</v>
      </c>
      <c r="H288" s="151">
        <f>INDEX('Analysis of bottom-up tags'!$N$54:$W$69,MATCH(Dashboard!$B288,'Analysis of bottom-up tags'!$B$54:$B$69,0),MATCH(Dashboard!H$21,'Analysis of bottom-up tags'!$N$6:$W$6,0))*H$23</f>
        <v>142.25953678954338</v>
      </c>
      <c r="I288" s="151">
        <f>INDEX('Analysis of bottom-up tags'!$N$54:$W$69,MATCH(Dashboard!$B288,'Analysis of bottom-up tags'!$B$54:$B$69,0),MATCH(Dashboard!I$21,'Analysis of bottom-up tags'!$N$6:$W$6,0))*I$23</f>
        <v>110.36936857938082</v>
      </c>
      <c r="J288" s="151">
        <f>INDEX('Analysis of bottom-up tags'!$N$54:$W$69,MATCH(Dashboard!$B288,'Analysis of bottom-up tags'!$B$54:$B$69,0),MATCH(Dashboard!J$21,'Analysis of bottom-up tags'!$N$6:$W$6,0))*J$23</f>
        <v>581.87055212354926</v>
      </c>
      <c r="K288" s="151">
        <f>INDEX('Analysis of bottom-up tags'!$N$54:$W$69,MATCH(Dashboard!$B288,'Analysis of bottom-up tags'!$B$54:$B$69,0),MATCH(Dashboard!K$21,'Analysis of bottom-up tags'!$N$6:$W$6,0))*K$23</f>
        <v>68.754252403254441</v>
      </c>
      <c r="L288" s="151">
        <f>INDEX('Analysis of bottom-up tags'!$N$54:$W$69,MATCH(Dashboard!$B288,'Analysis of bottom-up tags'!$B$54:$B$69,0),MATCH(Dashboard!L$21,'Analysis of bottom-up tags'!$N$6:$W$6,0))*L$23</f>
        <v>445.10482399896989</v>
      </c>
      <c r="M288" s="151">
        <f t="shared" si="90"/>
        <v>2663.6566777084731</v>
      </c>
    </row>
    <row r="289" spans="2:13">
      <c r="B289" s="22" t="s">
        <v>11165</v>
      </c>
      <c r="C289" s="151">
        <f>INDEX('Analysis of bottom-up tags'!$N$54:$W$69,MATCH(Dashboard!$B289,'Analysis of bottom-up tags'!$B$54:$B$69,0),MATCH(Dashboard!C$21,'Analysis of bottom-up tags'!$N$6:$W$6,0))*C$23</f>
        <v>0</v>
      </c>
      <c r="D289" s="151">
        <f>INDEX('Analysis of bottom-up tags'!$N$54:$W$69,MATCH(Dashboard!$B289,'Analysis of bottom-up tags'!$B$54:$B$69,0),MATCH(Dashboard!D$21,'Analysis of bottom-up tags'!$N$6:$W$6,0))*D$23</f>
        <v>0</v>
      </c>
      <c r="E289" s="151">
        <f>INDEX('Analysis of bottom-up tags'!$N$54:$W$69,MATCH(Dashboard!$B289,'Analysis of bottom-up tags'!$B$54:$B$69,0),MATCH(Dashboard!E$21,'Analysis of bottom-up tags'!$N$6:$W$6,0))*E$23</f>
        <v>0</v>
      </c>
      <c r="F289" s="151">
        <f>INDEX('Analysis of bottom-up tags'!$N$54:$W$69,MATCH(Dashboard!$B289,'Analysis of bottom-up tags'!$B$54:$B$69,0),MATCH(Dashboard!F$21,'Analysis of bottom-up tags'!$N$6:$W$6,0))*F$23</f>
        <v>0</v>
      </c>
      <c r="G289" s="151">
        <f>INDEX('Analysis of bottom-up tags'!$N$54:$W$69,MATCH(Dashboard!$B289,'Analysis of bottom-up tags'!$B$54:$B$69,0),MATCH(Dashboard!G$21,'Analysis of bottom-up tags'!$N$6:$W$6,0))*G$23</f>
        <v>0</v>
      </c>
      <c r="H289" s="151">
        <f>INDEX('Analysis of bottom-up tags'!$N$54:$W$69,MATCH(Dashboard!$B289,'Analysis of bottom-up tags'!$B$54:$B$69,0),MATCH(Dashboard!H$21,'Analysis of bottom-up tags'!$N$6:$W$6,0))*H$23</f>
        <v>0</v>
      </c>
      <c r="I289" s="151">
        <f>INDEX('Analysis of bottom-up tags'!$N$54:$W$69,MATCH(Dashboard!$B289,'Analysis of bottom-up tags'!$B$54:$B$69,0),MATCH(Dashboard!I$21,'Analysis of bottom-up tags'!$N$6:$W$6,0))*I$23</f>
        <v>0.29242621499040478</v>
      </c>
      <c r="J289" s="151">
        <f>INDEX('Analysis of bottom-up tags'!$N$54:$W$69,MATCH(Dashboard!$B289,'Analysis of bottom-up tags'!$B$54:$B$69,0),MATCH(Dashboard!J$21,'Analysis of bottom-up tags'!$N$6:$W$6,0))*J$23</f>
        <v>48.679299239670264</v>
      </c>
      <c r="K289" s="151">
        <f>INDEX('Analysis of bottom-up tags'!$N$54:$W$69,MATCH(Dashboard!$B289,'Analysis of bottom-up tags'!$B$54:$B$69,0),MATCH(Dashboard!K$21,'Analysis of bottom-up tags'!$N$6:$W$6,0))*K$23</f>
        <v>0</v>
      </c>
      <c r="L289" s="151">
        <f>INDEX('Analysis of bottom-up tags'!$N$54:$W$69,MATCH(Dashboard!$B289,'Analysis of bottom-up tags'!$B$54:$B$69,0),MATCH(Dashboard!L$21,'Analysis of bottom-up tags'!$N$6:$W$6,0))*L$23</f>
        <v>0</v>
      </c>
      <c r="M289" s="151">
        <f t="shared" si="90"/>
        <v>48.971725454660671</v>
      </c>
    </row>
    <row r="290" spans="2:13">
      <c r="B290" s="22" t="s">
        <v>10978</v>
      </c>
      <c r="C290" s="151">
        <f>INDEX('Analysis of bottom-up tags'!$N$54:$W$69,MATCH(Dashboard!$B290,'Analysis of bottom-up tags'!$B$54:$B$69,0),MATCH(Dashboard!C$21,'Analysis of bottom-up tags'!$N$6:$W$6,0))*C$23</f>
        <v>0</v>
      </c>
      <c r="D290" s="151">
        <f>INDEX('Analysis of bottom-up tags'!$N$54:$W$69,MATCH(Dashboard!$B290,'Analysis of bottom-up tags'!$B$54:$B$69,0),MATCH(Dashboard!D$21,'Analysis of bottom-up tags'!$N$6:$W$6,0))*D$23</f>
        <v>0</v>
      </c>
      <c r="E290" s="151">
        <f>INDEX('Analysis of bottom-up tags'!$N$54:$W$69,MATCH(Dashboard!$B290,'Analysis of bottom-up tags'!$B$54:$B$69,0),MATCH(Dashboard!E$21,'Analysis of bottom-up tags'!$N$6:$W$6,0))*E$23</f>
        <v>0</v>
      </c>
      <c r="F290" s="151">
        <f>INDEX('Analysis of bottom-up tags'!$N$54:$W$69,MATCH(Dashboard!$B290,'Analysis of bottom-up tags'!$B$54:$B$69,0),MATCH(Dashboard!F$21,'Analysis of bottom-up tags'!$N$6:$W$6,0))*F$23</f>
        <v>0</v>
      </c>
      <c r="G290" s="151">
        <f>INDEX('Analysis of bottom-up tags'!$N$54:$W$69,MATCH(Dashboard!$B290,'Analysis of bottom-up tags'!$B$54:$B$69,0),MATCH(Dashboard!G$21,'Analysis of bottom-up tags'!$N$6:$W$6,0))*G$23</f>
        <v>0</v>
      </c>
      <c r="H290" s="151">
        <f>INDEX('Analysis of bottom-up tags'!$N$54:$W$69,MATCH(Dashboard!$B290,'Analysis of bottom-up tags'!$B$54:$B$69,0),MATCH(Dashboard!H$21,'Analysis of bottom-up tags'!$N$6:$W$6,0))*H$23</f>
        <v>0</v>
      </c>
      <c r="I290" s="151">
        <f>INDEX('Analysis of bottom-up tags'!$N$54:$W$69,MATCH(Dashboard!$B290,'Analysis of bottom-up tags'!$B$54:$B$69,0),MATCH(Dashboard!I$21,'Analysis of bottom-up tags'!$N$6:$W$6,0))*I$23</f>
        <v>5.2916628660744314</v>
      </c>
      <c r="J290" s="151">
        <f>INDEX('Analysis of bottom-up tags'!$N$54:$W$69,MATCH(Dashboard!$B290,'Analysis of bottom-up tags'!$B$54:$B$69,0),MATCH(Dashboard!J$21,'Analysis of bottom-up tags'!$N$6:$W$6,0))*J$23</f>
        <v>40.008498230788305</v>
      </c>
      <c r="K290" s="151">
        <f>INDEX('Analysis of bottom-up tags'!$N$54:$W$69,MATCH(Dashboard!$B290,'Analysis of bottom-up tags'!$B$54:$B$69,0),MATCH(Dashboard!K$21,'Analysis of bottom-up tags'!$N$6:$W$6,0))*K$23</f>
        <v>2.4969599469738575</v>
      </c>
      <c r="L290" s="151">
        <f>INDEX('Analysis of bottom-up tags'!$N$54:$W$69,MATCH(Dashboard!$B290,'Analysis of bottom-up tags'!$B$54:$B$69,0),MATCH(Dashboard!L$21,'Analysis of bottom-up tags'!$N$6:$W$6,0))*L$23</f>
        <v>18.888446330934062</v>
      </c>
      <c r="M290" s="151">
        <f t="shared" si="90"/>
        <v>66.685567374770656</v>
      </c>
    </row>
    <row r="291" spans="2:13">
      <c r="B291" s="22" t="s">
        <v>11167</v>
      </c>
      <c r="C291" s="151">
        <f>INDEX('Analysis of bottom-up tags'!$N$54:$W$69,MATCH(Dashboard!$B291,'Analysis of bottom-up tags'!$B$54:$B$69,0),MATCH(Dashboard!C$21,'Analysis of bottom-up tags'!$N$6:$W$6,0))*C$23</f>
        <v>12.378083737148405</v>
      </c>
      <c r="D291" s="151">
        <f>INDEX('Analysis of bottom-up tags'!$N$54:$W$69,MATCH(Dashboard!$B291,'Analysis of bottom-up tags'!$B$54:$B$69,0),MATCH(Dashboard!D$21,'Analysis of bottom-up tags'!$N$6:$W$6,0))*D$23</f>
        <v>98.021424617807114</v>
      </c>
      <c r="E291" s="151">
        <f>INDEX('Analysis of bottom-up tags'!$N$54:$W$69,MATCH(Dashboard!$B291,'Analysis of bottom-up tags'!$B$54:$B$69,0),MATCH(Dashboard!E$21,'Analysis of bottom-up tags'!$N$6:$W$6,0))*E$23</f>
        <v>0</v>
      </c>
      <c r="F291" s="151">
        <f>INDEX('Analysis of bottom-up tags'!$N$54:$W$69,MATCH(Dashboard!$B291,'Analysis of bottom-up tags'!$B$54:$B$69,0),MATCH(Dashboard!F$21,'Analysis of bottom-up tags'!$N$6:$W$6,0))*F$23</f>
        <v>323.8913576453615</v>
      </c>
      <c r="G291" s="151">
        <f>INDEX('Analysis of bottom-up tags'!$N$54:$W$69,MATCH(Dashboard!$B291,'Analysis of bottom-up tags'!$B$54:$B$69,0),MATCH(Dashboard!G$21,'Analysis of bottom-up tags'!$N$6:$W$6,0))*G$23</f>
        <v>16.010482914431037</v>
      </c>
      <c r="H291" s="151">
        <f>INDEX('Analysis of bottom-up tags'!$N$54:$W$69,MATCH(Dashboard!$B291,'Analysis of bottom-up tags'!$B$54:$B$69,0),MATCH(Dashboard!H$21,'Analysis of bottom-up tags'!$N$6:$W$6,0))*H$23</f>
        <v>7.3641789953116037</v>
      </c>
      <c r="I291" s="151">
        <f>INDEX('Analysis of bottom-up tags'!$N$54:$W$69,MATCH(Dashboard!$B291,'Analysis of bottom-up tags'!$B$54:$B$69,0),MATCH(Dashboard!I$21,'Analysis of bottom-up tags'!$N$6:$W$6,0))*I$23</f>
        <v>2.8996372681595024</v>
      </c>
      <c r="J291" s="151">
        <f>INDEX('Analysis of bottom-up tags'!$N$54:$W$69,MATCH(Dashboard!$B291,'Analysis of bottom-up tags'!$B$54:$B$69,0),MATCH(Dashboard!J$21,'Analysis of bottom-up tags'!$N$6:$W$6,0))*J$23</f>
        <v>0.9388334656154691</v>
      </c>
      <c r="K291" s="151">
        <f>INDEX('Analysis of bottom-up tags'!$N$54:$W$69,MATCH(Dashboard!$B291,'Analysis of bottom-up tags'!$B$54:$B$69,0),MATCH(Dashboard!K$21,'Analysis of bottom-up tags'!$N$6:$W$6,0))*K$23</f>
        <v>3.2576591060375302</v>
      </c>
      <c r="L291" s="151">
        <f>INDEX('Analysis of bottom-up tags'!$N$54:$W$69,MATCH(Dashboard!$B291,'Analysis of bottom-up tags'!$B$54:$B$69,0),MATCH(Dashboard!L$21,'Analysis of bottom-up tags'!$N$6:$W$6,0))*L$23</f>
        <v>37.907273661964958</v>
      </c>
      <c r="M291" s="151">
        <f t="shared" si="90"/>
        <v>502.66893141183704</v>
      </c>
    </row>
    <row r="292" spans="2:13">
      <c r="B292" s="22" t="s">
        <v>10999</v>
      </c>
      <c r="C292" s="151">
        <f>INDEX('Analysis of bottom-up tags'!$N$54:$W$69,MATCH(Dashboard!$B292,'Analysis of bottom-up tags'!$B$54:$B$69,0),MATCH(Dashboard!C$21,'Analysis of bottom-up tags'!$N$6:$W$6,0))*C$23</f>
        <v>0</v>
      </c>
      <c r="D292" s="151">
        <f>INDEX('Analysis of bottom-up tags'!$N$54:$W$69,MATCH(Dashboard!$B292,'Analysis of bottom-up tags'!$B$54:$B$69,0),MATCH(Dashboard!D$21,'Analysis of bottom-up tags'!$N$6:$W$6,0))*D$23</f>
        <v>0</v>
      </c>
      <c r="E292" s="151">
        <f>INDEX('Analysis of bottom-up tags'!$N$54:$W$69,MATCH(Dashboard!$B292,'Analysis of bottom-up tags'!$B$54:$B$69,0),MATCH(Dashboard!E$21,'Analysis of bottom-up tags'!$N$6:$W$6,0))*E$23</f>
        <v>0</v>
      </c>
      <c r="F292" s="151">
        <f>INDEX('Analysis of bottom-up tags'!$N$54:$W$69,MATCH(Dashboard!$B292,'Analysis of bottom-up tags'!$B$54:$B$69,0),MATCH(Dashboard!F$21,'Analysis of bottom-up tags'!$N$6:$W$6,0))*F$23</f>
        <v>60.580629054540076</v>
      </c>
      <c r="G292" s="151">
        <f>INDEX('Analysis of bottom-up tags'!$N$54:$W$69,MATCH(Dashboard!$B292,'Analysis of bottom-up tags'!$B$54:$B$69,0),MATCH(Dashboard!G$21,'Analysis of bottom-up tags'!$N$6:$W$6,0))*G$23</f>
        <v>0</v>
      </c>
      <c r="H292" s="151">
        <f>INDEX('Analysis of bottom-up tags'!$N$54:$W$69,MATCH(Dashboard!$B292,'Analysis of bottom-up tags'!$B$54:$B$69,0),MATCH(Dashboard!H$21,'Analysis of bottom-up tags'!$N$6:$W$6,0))*H$23</f>
        <v>14.629889543698292</v>
      </c>
      <c r="I292" s="151">
        <f>INDEX('Analysis of bottom-up tags'!$N$54:$W$69,MATCH(Dashboard!$B292,'Analysis of bottom-up tags'!$B$54:$B$69,0),MATCH(Dashboard!I$21,'Analysis of bottom-up tags'!$N$6:$W$6,0))*I$23</f>
        <v>0.1465639223245481</v>
      </c>
      <c r="J292" s="151">
        <f>INDEX('Analysis of bottom-up tags'!$N$54:$W$69,MATCH(Dashboard!$B292,'Analysis of bottom-up tags'!$B$54:$B$69,0),MATCH(Dashboard!J$21,'Analysis of bottom-up tags'!$N$6:$W$6,0))*J$23</f>
        <v>12.912670559238091</v>
      </c>
      <c r="K292" s="151">
        <f>INDEX('Analysis of bottom-up tags'!$N$54:$W$69,MATCH(Dashboard!$B292,'Analysis of bottom-up tags'!$B$54:$B$69,0),MATCH(Dashboard!K$21,'Analysis of bottom-up tags'!$N$6:$W$6,0))*K$23</f>
        <v>24.889852830985397</v>
      </c>
      <c r="L292" s="151">
        <f>INDEX('Analysis of bottom-up tags'!$N$54:$W$69,MATCH(Dashboard!$B292,'Analysis of bottom-up tags'!$B$54:$B$69,0),MATCH(Dashboard!L$21,'Analysis of bottom-up tags'!$N$6:$W$6,0))*L$23</f>
        <v>3.3240434578524005</v>
      </c>
      <c r="M292" s="151">
        <f t="shared" si="90"/>
        <v>116.48364936863881</v>
      </c>
    </row>
    <row r="293" spans="2:13">
      <c r="B293" s="22" t="s">
        <v>11112</v>
      </c>
      <c r="C293" s="151">
        <f>INDEX('Analysis of bottom-up tags'!$N$54:$W$69,MATCH(Dashboard!$B293,'Analysis of bottom-up tags'!$B$54:$B$69,0),MATCH(Dashboard!C$21,'Analysis of bottom-up tags'!$N$6:$W$6,0))*C$23</f>
        <v>0</v>
      </c>
      <c r="D293" s="151">
        <f>INDEX('Analysis of bottom-up tags'!$N$54:$W$69,MATCH(Dashboard!$B293,'Analysis of bottom-up tags'!$B$54:$B$69,0),MATCH(Dashboard!D$21,'Analysis of bottom-up tags'!$N$6:$W$6,0))*D$23</f>
        <v>0</v>
      </c>
      <c r="E293" s="151">
        <f>INDEX('Analysis of bottom-up tags'!$N$54:$W$69,MATCH(Dashboard!$B293,'Analysis of bottom-up tags'!$B$54:$B$69,0),MATCH(Dashboard!E$21,'Analysis of bottom-up tags'!$N$6:$W$6,0))*E$23</f>
        <v>0</v>
      </c>
      <c r="F293" s="151">
        <f>INDEX('Analysis of bottom-up tags'!$N$54:$W$69,MATCH(Dashboard!$B293,'Analysis of bottom-up tags'!$B$54:$B$69,0),MATCH(Dashboard!F$21,'Analysis of bottom-up tags'!$N$6:$W$6,0))*F$23</f>
        <v>276.82397392517089</v>
      </c>
      <c r="G293" s="151">
        <f>INDEX('Analysis of bottom-up tags'!$N$54:$W$69,MATCH(Dashboard!$B293,'Analysis of bottom-up tags'!$B$54:$B$69,0),MATCH(Dashboard!G$21,'Analysis of bottom-up tags'!$N$6:$W$6,0))*G$23</f>
        <v>2.7243602383511885</v>
      </c>
      <c r="H293" s="151">
        <f>INDEX('Analysis of bottom-up tags'!$N$54:$W$69,MATCH(Dashboard!$B293,'Analysis of bottom-up tags'!$B$54:$B$69,0),MATCH(Dashboard!H$21,'Analysis of bottom-up tags'!$N$6:$W$6,0))*H$23</f>
        <v>0</v>
      </c>
      <c r="I293" s="151">
        <f>INDEX('Analysis of bottom-up tags'!$N$54:$W$69,MATCH(Dashboard!$B293,'Analysis of bottom-up tags'!$B$54:$B$69,0),MATCH(Dashboard!I$21,'Analysis of bottom-up tags'!$N$6:$W$6,0))*I$23</f>
        <v>0</v>
      </c>
      <c r="J293" s="151">
        <f>INDEX('Analysis of bottom-up tags'!$N$54:$W$69,MATCH(Dashboard!$B293,'Analysis of bottom-up tags'!$B$54:$B$69,0),MATCH(Dashboard!J$21,'Analysis of bottom-up tags'!$N$6:$W$6,0))*J$23</f>
        <v>0</v>
      </c>
      <c r="K293" s="151">
        <f>INDEX('Analysis of bottom-up tags'!$N$54:$W$69,MATCH(Dashboard!$B293,'Analysis of bottom-up tags'!$B$54:$B$69,0),MATCH(Dashboard!K$21,'Analysis of bottom-up tags'!$N$6:$W$6,0))*K$23</f>
        <v>0</v>
      </c>
      <c r="L293" s="151">
        <f>INDEX('Analysis of bottom-up tags'!$N$54:$W$69,MATCH(Dashboard!$B293,'Analysis of bottom-up tags'!$B$54:$B$69,0),MATCH(Dashboard!L$21,'Analysis of bottom-up tags'!$N$6:$W$6,0))*L$23</f>
        <v>0</v>
      </c>
      <c r="M293" s="151">
        <f t="shared" si="90"/>
        <v>279.5483341635221</v>
      </c>
    </row>
    <row r="294" spans="2:13">
      <c r="B294" s="22" t="s">
        <v>11087</v>
      </c>
      <c r="C294" s="151">
        <f>INDEX('Analysis of bottom-up tags'!$N$54:$W$69,MATCH(Dashboard!$B294,'Analysis of bottom-up tags'!$B$54:$B$69,0),MATCH(Dashboard!C$21,'Analysis of bottom-up tags'!$N$6:$W$6,0))*C$23</f>
        <v>0</v>
      </c>
      <c r="D294" s="151">
        <f>INDEX('Analysis of bottom-up tags'!$N$54:$W$69,MATCH(Dashboard!$B294,'Analysis of bottom-up tags'!$B$54:$B$69,0),MATCH(Dashboard!D$21,'Analysis of bottom-up tags'!$N$6:$W$6,0))*D$23</f>
        <v>0</v>
      </c>
      <c r="E294" s="151">
        <f>INDEX('Analysis of bottom-up tags'!$N$54:$W$69,MATCH(Dashboard!$B294,'Analysis of bottom-up tags'!$B$54:$B$69,0),MATCH(Dashboard!E$21,'Analysis of bottom-up tags'!$N$6:$W$6,0))*E$23</f>
        <v>0</v>
      </c>
      <c r="F294" s="151">
        <f>INDEX('Analysis of bottom-up tags'!$N$54:$W$69,MATCH(Dashboard!$B294,'Analysis of bottom-up tags'!$B$54:$B$69,0),MATCH(Dashboard!F$21,'Analysis of bottom-up tags'!$N$6:$W$6,0))*F$23</f>
        <v>0</v>
      </c>
      <c r="G294" s="151">
        <f>INDEX('Analysis of bottom-up tags'!$N$54:$W$69,MATCH(Dashboard!$B294,'Analysis of bottom-up tags'!$B$54:$B$69,0),MATCH(Dashboard!G$21,'Analysis of bottom-up tags'!$N$6:$W$6,0))*G$23</f>
        <v>0</v>
      </c>
      <c r="H294" s="151">
        <f>INDEX('Analysis of bottom-up tags'!$N$54:$W$69,MATCH(Dashboard!$B294,'Analysis of bottom-up tags'!$B$54:$B$69,0),MATCH(Dashboard!H$21,'Analysis of bottom-up tags'!$N$6:$W$6,0))*H$23</f>
        <v>0</v>
      </c>
      <c r="I294" s="151">
        <f>INDEX('Analysis of bottom-up tags'!$N$54:$W$69,MATCH(Dashboard!$B294,'Analysis of bottom-up tags'!$B$54:$B$69,0),MATCH(Dashboard!I$21,'Analysis of bottom-up tags'!$N$6:$W$6,0))*I$23</f>
        <v>1.1945890546437565</v>
      </c>
      <c r="J294" s="151">
        <f>INDEX('Analysis of bottom-up tags'!$N$54:$W$69,MATCH(Dashboard!$B294,'Analysis of bottom-up tags'!$B$54:$B$69,0),MATCH(Dashboard!J$21,'Analysis of bottom-up tags'!$N$6:$W$6,0))*J$23</f>
        <v>67.589652125395432</v>
      </c>
      <c r="K294" s="151">
        <f>INDEX('Analysis of bottom-up tags'!$N$54:$W$69,MATCH(Dashboard!$B294,'Analysis of bottom-up tags'!$B$54:$B$69,0),MATCH(Dashboard!K$21,'Analysis of bottom-up tags'!$N$6:$W$6,0))*K$23</f>
        <v>0.48827392802296221</v>
      </c>
      <c r="L294" s="151">
        <f>INDEX('Analysis of bottom-up tags'!$N$54:$W$69,MATCH(Dashboard!$B294,'Analysis of bottom-up tags'!$B$54:$B$69,0),MATCH(Dashboard!L$21,'Analysis of bottom-up tags'!$N$6:$W$6,0))*L$23</f>
        <v>10.157142350672103</v>
      </c>
      <c r="M294" s="151">
        <f t="shared" si="90"/>
        <v>79.429657458734255</v>
      </c>
    </row>
    <row r="295" spans="2:13">
      <c r="B295" s="22" t="s">
        <v>11116</v>
      </c>
      <c r="C295" s="151">
        <f>INDEX('Analysis of bottom-up tags'!$N$54:$W$69,MATCH(Dashboard!$B295,'Analysis of bottom-up tags'!$B$54:$B$69,0),MATCH(Dashboard!C$21,'Analysis of bottom-up tags'!$N$6:$W$6,0))*C$23</f>
        <v>0</v>
      </c>
      <c r="D295" s="151">
        <f>INDEX('Analysis of bottom-up tags'!$N$54:$W$69,MATCH(Dashboard!$B295,'Analysis of bottom-up tags'!$B$54:$B$69,0),MATCH(Dashboard!D$21,'Analysis of bottom-up tags'!$N$6:$W$6,0))*D$23</f>
        <v>0</v>
      </c>
      <c r="E295" s="151">
        <f>INDEX('Analysis of bottom-up tags'!$N$54:$W$69,MATCH(Dashboard!$B295,'Analysis of bottom-up tags'!$B$54:$B$69,0),MATCH(Dashboard!E$21,'Analysis of bottom-up tags'!$N$6:$W$6,0))*E$23</f>
        <v>0</v>
      </c>
      <c r="F295" s="151">
        <f>INDEX('Analysis of bottom-up tags'!$N$54:$W$69,MATCH(Dashboard!$B295,'Analysis of bottom-up tags'!$B$54:$B$69,0),MATCH(Dashboard!F$21,'Analysis of bottom-up tags'!$N$6:$W$6,0))*F$23</f>
        <v>0</v>
      </c>
      <c r="G295" s="151">
        <f>INDEX('Analysis of bottom-up tags'!$N$54:$W$69,MATCH(Dashboard!$B295,'Analysis of bottom-up tags'!$B$54:$B$69,0),MATCH(Dashboard!G$21,'Analysis of bottom-up tags'!$N$6:$W$6,0))*G$23</f>
        <v>0</v>
      </c>
      <c r="H295" s="151">
        <f>INDEX('Analysis of bottom-up tags'!$N$54:$W$69,MATCH(Dashboard!$B295,'Analysis of bottom-up tags'!$B$54:$B$69,0),MATCH(Dashboard!H$21,'Analysis of bottom-up tags'!$N$6:$W$6,0))*H$23</f>
        <v>0</v>
      </c>
      <c r="I295" s="151">
        <f>INDEX('Analysis of bottom-up tags'!$N$54:$W$69,MATCH(Dashboard!$B295,'Analysis of bottom-up tags'!$B$54:$B$69,0),MATCH(Dashboard!I$21,'Analysis of bottom-up tags'!$N$6:$W$6,0))*I$23</f>
        <v>0</v>
      </c>
      <c r="J295" s="151">
        <f>INDEX('Analysis of bottom-up tags'!$N$54:$W$69,MATCH(Dashboard!$B295,'Analysis of bottom-up tags'!$B$54:$B$69,0),MATCH(Dashboard!J$21,'Analysis of bottom-up tags'!$N$6:$W$6,0))*J$23</f>
        <v>0.10219082380634428</v>
      </c>
      <c r="K295" s="151">
        <f>INDEX('Analysis of bottom-up tags'!$N$54:$W$69,MATCH(Dashboard!$B295,'Analysis of bottom-up tags'!$B$54:$B$69,0),MATCH(Dashboard!K$21,'Analysis of bottom-up tags'!$N$6:$W$6,0))*K$23</f>
        <v>0</v>
      </c>
      <c r="L295" s="151">
        <f>INDEX('Analysis of bottom-up tags'!$N$54:$W$69,MATCH(Dashboard!$B295,'Analysis of bottom-up tags'!$B$54:$B$69,0),MATCH(Dashboard!L$21,'Analysis of bottom-up tags'!$N$6:$W$6,0))*L$23</f>
        <v>51.780701003712551</v>
      </c>
      <c r="M295" s="151">
        <f t="shared" si="90"/>
        <v>51.882891827518897</v>
      </c>
    </row>
    <row r="296" spans="2:13">
      <c r="B296" s="22" t="s">
        <v>11166</v>
      </c>
      <c r="C296" s="151">
        <f>INDEX('Analysis of bottom-up tags'!$N$54:$W$69,MATCH(Dashboard!$B296,'Analysis of bottom-up tags'!$B$54:$B$69,0),MATCH(Dashboard!C$21,'Analysis of bottom-up tags'!$N$6:$W$6,0))*C$23</f>
        <v>42.894873848450338</v>
      </c>
      <c r="D296" s="151">
        <f>INDEX('Analysis of bottom-up tags'!$N$54:$W$69,MATCH(Dashboard!$B296,'Analysis of bottom-up tags'!$B$54:$B$69,0),MATCH(Dashboard!D$21,'Analysis of bottom-up tags'!$N$6:$W$6,0))*D$23</f>
        <v>0</v>
      </c>
      <c r="E296" s="151">
        <f>INDEX('Analysis of bottom-up tags'!$N$54:$W$69,MATCH(Dashboard!$B296,'Analysis of bottom-up tags'!$B$54:$B$69,0),MATCH(Dashboard!E$21,'Analysis of bottom-up tags'!$N$6:$W$6,0))*E$23</f>
        <v>131.29679064887711</v>
      </c>
      <c r="F296" s="151">
        <f>INDEX('Analysis of bottom-up tags'!$N$54:$W$69,MATCH(Dashboard!$B296,'Analysis of bottom-up tags'!$B$54:$B$69,0),MATCH(Dashboard!F$21,'Analysis of bottom-up tags'!$N$6:$W$6,0))*F$23</f>
        <v>0</v>
      </c>
      <c r="G296" s="151">
        <f>INDEX('Analysis of bottom-up tags'!$N$54:$W$69,MATCH(Dashboard!$B296,'Analysis of bottom-up tags'!$B$54:$B$69,0),MATCH(Dashboard!G$21,'Analysis of bottom-up tags'!$N$6:$W$6,0))*G$23</f>
        <v>0</v>
      </c>
      <c r="H296" s="151">
        <f>INDEX('Analysis of bottom-up tags'!$N$54:$W$69,MATCH(Dashboard!$B296,'Analysis of bottom-up tags'!$B$54:$B$69,0),MATCH(Dashboard!H$21,'Analysis of bottom-up tags'!$N$6:$W$6,0))*H$23</f>
        <v>45.445278226362774</v>
      </c>
      <c r="I296" s="151">
        <f>INDEX('Analysis of bottom-up tags'!$N$54:$W$69,MATCH(Dashboard!$B296,'Analysis of bottom-up tags'!$B$54:$B$69,0),MATCH(Dashboard!I$21,'Analysis of bottom-up tags'!$N$6:$W$6,0))*I$23</f>
        <v>0</v>
      </c>
      <c r="J296" s="151">
        <f>INDEX('Analysis of bottom-up tags'!$N$54:$W$69,MATCH(Dashboard!$B296,'Analysis of bottom-up tags'!$B$54:$B$69,0),MATCH(Dashboard!J$21,'Analysis of bottom-up tags'!$N$6:$W$6,0))*J$23</f>
        <v>0</v>
      </c>
      <c r="K296" s="151">
        <f>INDEX('Analysis of bottom-up tags'!$N$54:$W$69,MATCH(Dashboard!$B296,'Analysis of bottom-up tags'!$B$54:$B$69,0),MATCH(Dashboard!K$21,'Analysis of bottom-up tags'!$N$6:$W$6,0))*K$23</f>
        <v>0</v>
      </c>
      <c r="L296" s="151">
        <f>INDEX('Analysis of bottom-up tags'!$N$54:$W$69,MATCH(Dashboard!$B296,'Analysis of bottom-up tags'!$B$54:$B$69,0),MATCH(Dashboard!L$21,'Analysis of bottom-up tags'!$N$6:$W$6,0))*L$23</f>
        <v>0</v>
      </c>
      <c r="M296" s="151">
        <f t="shared" si="90"/>
        <v>219.63694272369023</v>
      </c>
    </row>
    <row r="297" spans="2:13">
      <c r="B297" s="22" t="s">
        <v>10997</v>
      </c>
      <c r="C297" s="151">
        <f>INDEX('Analysis of bottom-up tags'!$N$54:$W$69,MATCH(Dashboard!$B297,'Analysis of bottom-up tags'!$B$54:$B$69,0),MATCH(Dashboard!C$21,'Analysis of bottom-up tags'!$N$6:$W$6,0))*C$23</f>
        <v>0</v>
      </c>
      <c r="D297" s="151">
        <f>INDEX('Analysis of bottom-up tags'!$N$54:$W$69,MATCH(Dashboard!$B297,'Analysis of bottom-up tags'!$B$54:$B$69,0),MATCH(Dashboard!D$21,'Analysis of bottom-up tags'!$N$6:$W$6,0))*D$23</f>
        <v>0</v>
      </c>
      <c r="E297" s="151">
        <f>INDEX('Analysis of bottom-up tags'!$N$54:$W$69,MATCH(Dashboard!$B297,'Analysis of bottom-up tags'!$B$54:$B$69,0),MATCH(Dashboard!E$21,'Analysis of bottom-up tags'!$N$6:$W$6,0))*E$23</f>
        <v>0</v>
      </c>
      <c r="F297" s="151">
        <f>INDEX('Analysis of bottom-up tags'!$N$54:$W$69,MATCH(Dashboard!$B297,'Analysis of bottom-up tags'!$B$54:$B$69,0),MATCH(Dashboard!F$21,'Analysis of bottom-up tags'!$N$6:$W$6,0))*F$23</f>
        <v>0</v>
      </c>
      <c r="G297" s="151">
        <f>INDEX('Analysis of bottom-up tags'!$N$54:$W$69,MATCH(Dashboard!$B297,'Analysis of bottom-up tags'!$B$54:$B$69,0),MATCH(Dashboard!G$21,'Analysis of bottom-up tags'!$N$6:$W$6,0))*G$23</f>
        <v>0</v>
      </c>
      <c r="H297" s="151">
        <f>INDEX('Analysis of bottom-up tags'!$N$54:$W$69,MATCH(Dashboard!$B297,'Analysis of bottom-up tags'!$B$54:$B$69,0),MATCH(Dashboard!H$21,'Analysis of bottom-up tags'!$N$6:$W$6,0))*H$23</f>
        <v>0</v>
      </c>
      <c r="I297" s="151">
        <f>INDEX('Analysis of bottom-up tags'!$N$54:$W$69,MATCH(Dashboard!$B297,'Analysis of bottom-up tags'!$B$54:$B$69,0),MATCH(Dashboard!I$21,'Analysis of bottom-up tags'!$N$6:$W$6,0))*I$23</f>
        <v>0.29483552760044157</v>
      </c>
      <c r="J297" s="151">
        <f>INDEX('Analysis of bottom-up tags'!$N$54:$W$69,MATCH(Dashboard!$B297,'Analysis of bottom-up tags'!$B$54:$B$69,0),MATCH(Dashboard!J$21,'Analysis of bottom-up tags'!$N$6:$W$6,0))*J$23</f>
        <v>5.5967594295220522</v>
      </c>
      <c r="K297" s="151">
        <f>INDEX('Analysis of bottom-up tags'!$N$54:$W$69,MATCH(Dashboard!$B297,'Analysis of bottom-up tags'!$B$54:$B$69,0),MATCH(Dashboard!K$21,'Analysis of bottom-up tags'!$N$6:$W$6,0))*K$23</f>
        <v>3.3313865892614758</v>
      </c>
      <c r="L297" s="151">
        <f>INDEX('Analysis of bottom-up tags'!$N$54:$W$69,MATCH(Dashboard!$B297,'Analysis of bottom-up tags'!$B$54:$B$69,0),MATCH(Dashboard!L$21,'Analysis of bottom-up tags'!$N$6:$W$6,0))*L$23</f>
        <v>9.4955849473876057</v>
      </c>
      <c r="M297" s="151">
        <f t="shared" si="90"/>
        <v>18.718566493771576</v>
      </c>
    </row>
    <row r="298" spans="2:13">
      <c r="B298" s="166" t="s">
        <v>11042</v>
      </c>
      <c r="C298" s="166">
        <f>SUM(C282:C296)</f>
        <v>1287.9939251310448</v>
      </c>
      <c r="D298" s="166">
        <f t="shared" ref="D298" si="91">SUM(D282:D296)</f>
        <v>1406.61825951116</v>
      </c>
      <c r="E298" s="166">
        <f t="shared" ref="E298" si="92">SUM(E282:E296)</f>
        <v>1309.7452990091588</v>
      </c>
      <c r="F298" s="166">
        <f t="shared" ref="F298" si="93">SUM(F282:F296)</f>
        <v>1247.7109534579786</v>
      </c>
      <c r="G298" s="166">
        <f t="shared" ref="G298" si="94">SUM(G282:G296)</f>
        <v>1678.1109415650537</v>
      </c>
      <c r="H298" s="166">
        <f t="shared" ref="H298" si="95">SUM(H282:H296)</f>
        <v>1803.5667116428808</v>
      </c>
      <c r="I298" s="166">
        <f t="shared" ref="I298" si="96">SUM(I282:I296)</f>
        <v>1633.6826104759443</v>
      </c>
      <c r="J298" s="166">
        <f t="shared" ref="J298" si="97">SUM(J282:J296)</f>
        <v>1811.3975906245098</v>
      </c>
      <c r="K298" s="166">
        <f t="shared" ref="K298" si="98">SUM(K282:K296)</f>
        <v>2041.0602062976022</v>
      </c>
      <c r="L298" s="166">
        <f t="shared" ref="L298" si="99">SUM(L282:L296)</f>
        <v>1929.5582066151362</v>
      </c>
      <c r="M298" s="166">
        <f t="shared" si="90"/>
        <v>16149.444704330468</v>
      </c>
    </row>
    <row r="299" spans="2:13">
      <c r="B299" s="163" t="s">
        <v>10473</v>
      </c>
      <c r="C299" s="163"/>
      <c r="D299" s="163"/>
      <c r="E299" s="163"/>
      <c r="F299" s="163"/>
      <c r="G299" s="163"/>
      <c r="H299" s="163"/>
      <c r="I299" s="163"/>
      <c r="J299" s="163"/>
      <c r="K299" s="163"/>
      <c r="L299" s="163"/>
      <c r="M299" s="163"/>
    </row>
    <row r="300" spans="2:13">
      <c r="B300" s="151" t="s">
        <v>10972</v>
      </c>
      <c r="C300" s="151">
        <f>INDEX('Analysis of bottom-up tags'!$N$71:$W$74,MATCH(Dashboard!$B300,'Analysis of bottom-up tags'!$B$71:$B$74,0),MATCH(Dashboard!C$21,'Analysis of bottom-up tags'!$N$6:$W$6,0))*C$23</f>
        <v>52.798014756061406</v>
      </c>
      <c r="D300" s="151">
        <f>INDEX('Analysis of bottom-up tags'!$N$71:$W$74,MATCH(Dashboard!$B300,'Analysis of bottom-up tags'!$B$71:$B$74,0),MATCH(Dashboard!D$21,'Analysis of bottom-up tags'!$N$6:$W$6,0))*D$23</f>
        <v>483.35195849973047</v>
      </c>
      <c r="E300" s="151">
        <f>INDEX('Analysis of bottom-up tags'!$N$71:$W$74,MATCH(Dashboard!$B300,'Analysis of bottom-up tags'!$B$71:$B$74,0),MATCH(Dashboard!E$21,'Analysis of bottom-up tags'!$N$6:$W$6,0))*E$23</f>
        <v>730.91328827960433</v>
      </c>
      <c r="F300" s="151">
        <f>INDEX('Analysis of bottom-up tags'!$N$71:$W$74,MATCH(Dashboard!$B300,'Analysis of bottom-up tags'!$B$71:$B$74,0),MATCH(Dashboard!F$21,'Analysis of bottom-up tags'!$N$6:$W$6,0))*F$23</f>
        <v>410.49183487160354</v>
      </c>
      <c r="G300" s="151">
        <f>INDEX('Analysis of bottom-up tags'!$N$71:$W$74,MATCH(Dashboard!$B300,'Analysis of bottom-up tags'!$B$71:$B$74,0),MATCH(Dashboard!G$21,'Analysis of bottom-up tags'!$N$6:$W$6,0))*G$23</f>
        <v>1399.6908379042648</v>
      </c>
      <c r="H300" s="151">
        <f>INDEX('Analysis of bottom-up tags'!$N$71:$W$74,MATCH(Dashboard!$B300,'Analysis of bottom-up tags'!$B$71:$B$74,0),MATCH(Dashboard!H$21,'Analysis of bottom-up tags'!$N$6:$W$6,0))*H$23</f>
        <v>1254.1886330482052</v>
      </c>
      <c r="I300" s="151">
        <f>INDEX('Analysis of bottom-up tags'!$N$71:$W$74,MATCH(Dashboard!$B300,'Analysis of bottom-up tags'!$B$71:$B$74,0),MATCH(Dashboard!I$21,'Analysis of bottom-up tags'!$N$6:$W$6,0))*I$23</f>
        <v>1422.6003812982954</v>
      </c>
      <c r="J300" s="151">
        <f>INDEX('Analysis of bottom-up tags'!$N$71:$W$74,MATCH(Dashboard!$B300,'Analysis of bottom-up tags'!$B$71:$B$74,0),MATCH(Dashboard!J$21,'Analysis of bottom-up tags'!$N$6:$W$6,0))*J$23</f>
        <v>768.81142516177192</v>
      </c>
      <c r="K300" s="151">
        <f>INDEX('Analysis of bottom-up tags'!$N$71:$W$74,MATCH(Dashboard!$B300,'Analysis of bottom-up tags'!$B$71:$B$74,0),MATCH(Dashboard!K$21,'Analysis of bottom-up tags'!$N$6:$W$6,0))*K$23</f>
        <v>1889.948433942423</v>
      </c>
      <c r="L300" s="151">
        <f>INDEX('Analysis of bottom-up tags'!$N$71:$W$74,MATCH(Dashboard!$B300,'Analysis of bottom-up tags'!$B$71:$B$74,0),MATCH(Dashboard!L$21,'Analysis of bottom-up tags'!$N$6:$W$6,0))*L$23</f>
        <v>1315.5605912236265</v>
      </c>
      <c r="M300" s="151">
        <f t="shared" ref="M300:M304" si="100">SUM(C300:L300)</f>
        <v>9728.3553989855845</v>
      </c>
    </row>
    <row r="301" spans="2:13">
      <c r="B301" s="151" t="s">
        <v>10982</v>
      </c>
      <c r="C301" s="151">
        <f>INDEX('Analysis of bottom-up tags'!$N$71:$W$74,MATCH(Dashboard!$B301,'Analysis of bottom-up tags'!$B$71:$B$74,0),MATCH(Dashboard!C$21,'Analysis of bottom-up tags'!$N$6:$W$6,0))*C$23</f>
        <v>1235.1959103749832</v>
      </c>
      <c r="D301" s="151">
        <f>INDEX('Analysis of bottom-up tags'!$N$71:$W$74,MATCH(Dashboard!$B301,'Analysis of bottom-up tags'!$B$71:$B$74,0),MATCH(Dashboard!D$21,'Analysis of bottom-up tags'!$N$6:$W$6,0))*D$23</f>
        <v>922.14489809216809</v>
      </c>
      <c r="E301" s="151">
        <f>INDEX('Analysis of bottom-up tags'!$N$71:$W$74,MATCH(Dashboard!$B301,'Analysis of bottom-up tags'!$B$71:$B$74,0),MATCH(Dashboard!E$21,'Analysis of bottom-up tags'!$N$6:$W$6,0))*E$23</f>
        <v>137.81401897289118</v>
      </c>
      <c r="F301" s="151">
        <f>INDEX('Analysis of bottom-up tags'!$N$71:$W$74,MATCH(Dashboard!$B301,'Analysis of bottom-up tags'!$B$71:$B$74,0),MATCH(Dashboard!F$21,'Analysis of bottom-up tags'!$N$6:$W$6,0))*F$23</f>
        <v>499.81451560666414</v>
      </c>
      <c r="G301" s="151">
        <f>INDEX('Analysis of bottom-up tags'!$N$71:$W$74,MATCH(Dashboard!$B301,'Analysis of bottom-up tags'!$B$71:$B$74,0),MATCH(Dashboard!G$21,'Analysis of bottom-up tags'!$N$6:$W$6,0))*G$23</f>
        <v>239.34390994425621</v>
      </c>
      <c r="H301" s="151">
        <f>INDEX('Analysis of bottom-up tags'!$N$71:$W$74,MATCH(Dashboard!$B301,'Analysis of bottom-up tags'!$B$71:$B$74,0),MATCH(Dashboard!H$21,'Analysis of bottom-up tags'!$N$6:$W$6,0))*H$23</f>
        <v>451.27368079808036</v>
      </c>
      <c r="I301" s="151">
        <f>INDEX('Analysis of bottom-up tags'!$N$71:$W$74,MATCH(Dashboard!$B301,'Analysis of bottom-up tags'!$B$71:$B$74,0),MATCH(Dashboard!I$21,'Analysis of bottom-up tags'!$N$6:$W$6,0))*I$23</f>
        <v>192.60251139904219</v>
      </c>
      <c r="J301" s="151">
        <f>INDEX('Analysis of bottom-up tags'!$N$71:$W$74,MATCH(Dashboard!$B301,'Analysis of bottom-up tags'!$B$71:$B$74,0),MATCH(Dashboard!J$21,'Analysis of bottom-up tags'!$N$6:$W$6,0))*J$23</f>
        <v>808.98017717030723</v>
      </c>
      <c r="K301" s="151">
        <f>INDEX('Analysis of bottom-up tags'!$N$71:$W$74,MATCH(Dashboard!$B301,'Analysis of bottom-up tags'!$B$71:$B$74,0),MATCH(Dashboard!K$21,'Analysis of bottom-up tags'!$N$6:$W$6,0))*K$23</f>
        <v>120.54674299302383</v>
      </c>
      <c r="L301" s="151">
        <f>INDEX('Analysis of bottom-up tags'!$N$71:$W$74,MATCH(Dashboard!$B301,'Analysis of bottom-up tags'!$B$71:$B$74,0),MATCH(Dashboard!L$21,'Analysis of bottom-up tags'!$N$6:$W$6,0))*L$23</f>
        <v>520.91487484973413</v>
      </c>
      <c r="M301" s="151">
        <f t="shared" si="100"/>
        <v>5128.6312402011517</v>
      </c>
    </row>
    <row r="302" spans="2:13">
      <c r="B302" s="151" t="s">
        <v>10980</v>
      </c>
      <c r="C302" s="151">
        <f>INDEX('Analysis of bottom-up tags'!$N$71:$W$74,MATCH(Dashboard!$B302,'Analysis of bottom-up tags'!$B$71:$B$74,0),MATCH(Dashboard!C$21,'Analysis of bottom-up tags'!$N$6:$W$6,0))*C$23</f>
        <v>0</v>
      </c>
      <c r="D302" s="151">
        <f>INDEX('Analysis of bottom-up tags'!$N$71:$W$74,MATCH(Dashboard!$B302,'Analysis of bottom-up tags'!$B$71:$B$74,0),MATCH(Dashboard!D$21,'Analysis of bottom-up tags'!$N$6:$W$6,0))*D$23</f>
        <v>0</v>
      </c>
      <c r="E302" s="151">
        <f>INDEX('Analysis of bottom-up tags'!$N$71:$W$74,MATCH(Dashboard!$B302,'Analysis of bottom-up tags'!$B$71:$B$74,0),MATCH(Dashboard!E$21,'Analysis of bottom-up tags'!$N$6:$W$6,0))*E$23</f>
        <v>302.62900723286708</v>
      </c>
      <c r="F302" s="151">
        <f>INDEX('Analysis of bottom-up tags'!$N$71:$W$74,MATCH(Dashboard!$B302,'Analysis of bottom-up tags'!$B$71:$B$74,0),MATCH(Dashboard!F$21,'Analysis of bottom-up tags'!$N$6:$W$6,0))*F$23</f>
        <v>337.40460297971094</v>
      </c>
      <c r="G302" s="151">
        <f>INDEX('Analysis of bottom-up tags'!$N$71:$W$74,MATCH(Dashboard!$B302,'Analysis of bottom-up tags'!$B$71:$B$74,0),MATCH(Dashboard!G$21,'Analysis of bottom-up tags'!$N$6:$W$6,0))*G$23</f>
        <v>13.953344451353225</v>
      </c>
      <c r="H302" s="151">
        <f>INDEX('Analysis of bottom-up tags'!$N$71:$W$74,MATCH(Dashboard!$B302,'Analysis of bottom-up tags'!$B$71:$B$74,0),MATCH(Dashboard!H$21,'Analysis of bottom-up tags'!$N$6:$W$6,0))*H$23</f>
        <v>93.692901736561026</v>
      </c>
      <c r="I302" s="151">
        <f>INDEX('Analysis of bottom-up tags'!$N$71:$W$74,MATCH(Dashboard!$B302,'Analysis of bottom-up tags'!$B$71:$B$74,0),MATCH(Dashboard!I$21,'Analysis of bottom-up tags'!$N$6:$W$6,0))*I$23</f>
        <v>5.7934329938247568</v>
      </c>
      <c r="J302" s="151">
        <f>INDEX('Analysis of bottom-up tags'!$N$71:$W$74,MATCH(Dashboard!$B302,'Analysis of bottom-up tags'!$B$71:$B$74,0),MATCH(Dashboard!J$21,'Analysis of bottom-up tags'!$N$6:$W$6,0))*J$23</f>
        <v>120.19251934259984</v>
      </c>
      <c r="K302" s="151">
        <f>INDEX('Analysis of bottom-up tags'!$N$71:$W$74,MATCH(Dashboard!$B302,'Analysis of bottom-up tags'!$B$71:$B$74,0),MATCH(Dashboard!K$21,'Analysis of bottom-up tags'!$N$6:$W$6,0))*K$23</f>
        <v>29.470128610758483</v>
      </c>
      <c r="L302" s="151">
        <f>INDEX('Analysis of bottom-up tags'!$N$71:$W$74,MATCH(Dashboard!$B302,'Analysis of bottom-up tags'!$B$71:$B$74,0),MATCH(Dashboard!L$21,'Analysis of bottom-up tags'!$N$6:$W$6,0))*L$23</f>
        <v>36.312574193015095</v>
      </c>
      <c r="M302" s="151">
        <f t="shared" si="100"/>
        <v>939.44851154069045</v>
      </c>
    </row>
    <row r="303" spans="2:13">
      <c r="B303" s="151" t="s">
        <v>10985</v>
      </c>
      <c r="C303" s="151">
        <f>INDEX('Analysis of bottom-up tags'!$N$71:$W$74,MATCH(Dashboard!$B303,'Analysis of bottom-up tags'!$B$71:$B$74,0),MATCH(Dashboard!C$21,'Analysis of bottom-up tags'!$N$6:$W$6,0))*C$23</f>
        <v>0</v>
      </c>
      <c r="D303" s="151">
        <f>INDEX('Analysis of bottom-up tags'!$N$71:$W$74,MATCH(Dashboard!$B303,'Analysis of bottom-up tags'!$B$71:$B$74,0),MATCH(Dashboard!D$21,'Analysis of bottom-up tags'!$N$6:$W$6,0))*D$23</f>
        <v>1.1214029192613122</v>
      </c>
      <c r="E303" s="151">
        <f>INDEX('Analysis of bottom-up tags'!$N$71:$W$74,MATCH(Dashboard!$B303,'Analysis of bottom-up tags'!$B$71:$B$74,0),MATCH(Dashboard!E$21,'Analysis of bottom-up tags'!$N$6:$W$6,0))*E$23</f>
        <v>138.38898452379618</v>
      </c>
      <c r="F303" s="151">
        <f>INDEX('Analysis of bottom-up tags'!$N$71:$W$74,MATCH(Dashboard!$B303,'Analysis of bottom-up tags'!$B$71:$B$74,0),MATCH(Dashboard!F$21,'Analysis of bottom-up tags'!$N$6:$W$6,0))*F$23</f>
        <v>0</v>
      </c>
      <c r="G303" s="151">
        <f>INDEX('Analysis of bottom-up tags'!$N$71:$W$74,MATCH(Dashboard!$B303,'Analysis of bottom-up tags'!$B$71:$B$74,0),MATCH(Dashboard!G$21,'Analysis of bottom-up tags'!$N$6:$W$6,0))*G$23</f>
        <v>25.122849265179457</v>
      </c>
      <c r="H303" s="151">
        <f>INDEX('Analysis of bottom-up tags'!$N$71:$W$74,MATCH(Dashboard!$B303,'Analysis of bottom-up tags'!$B$71:$B$74,0),MATCH(Dashboard!H$21,'Analysis of bottom-up tags'!$N$6:$W$6,0))*H$23</f>
        <v>4.4114960600336168</v>
      </c>
      <c r="I303" s="151">
        <f>INDEX('Analysis of bottom-up tags'!$N$71:$W$74,MATCH(Dashboard!$B303,'Analysis of bottom-up tags'!$B$71:$B$74,0),MATCH(Dashboard!I$21,'Analysis of bottom-up tags'!$N$6:$W$6,0))*I$23</f>
        <v>12.981120312382853</v>
      </c>
      <c r="J303" s="151">
        <f>INDEX('Analysis of bottom-up tags'!$N$71:$W$74,MATCH(Dashboard!$B303,'Analysis of bottom-up tags'!$B$71:$B$74,0),MATCH(Dashboard!J$21,'Analysis of bottom-up tags'!$N$6:$W$6,0))*J$23</f>
        <v>119.01022837935291</v>
      </c>
      <c r="K303" s="151">
        <f>INDEX('Analysis of bottom-up tags'!$N$71:$W$74,MATCH(Dashboard!$B303,'Analysis of bottom-up tags'!$B$71:$B$74,0),MATCH(Dashboard!K$21,'Analysis of bottom-up tags'!$N$6:$W$6,0))*K$23</f>
        <v>4.4262873406589298</v>
      </c>
      <c r="L303" s="151">
        <f>INDEX('Analysis of bottom-up tags'!$N$71:$W$74,MATCH(Dashboard!$B303,'Analysis of bottom-up tags'!$B$71:$B$74,0),MATCH(Dashboard!L$21,'Analysis of bottom-up tags'!$N$6:$W$6,0))*L$23</f>
        <v>66.265751296147812</v>
      </c>
      <c r="M303" s="151">
        <f t="shared" si="100"/>
        <v>371.72812009681303</v>
      </c>
    </row>
    <row r="304" spans="2:13">
      <c r="B304" s="166" t="s">
        <v>11042</v>
      </c>
      <c r="C304" s="166">
        <f>SUM(C300:C303)</f>
        <v>1287.9939251310445</v>
      </c>
      <c r="D304" s="166">
        <f t="shared" ref="D304" si="101">SUM(D300:D303)</f>
        <v>1406.6182595111597</v>
      </c>
      <c r="E304" s="166">
        <f t="shared" ref="E304" si="102">SUM(E300:E303)</f>
        <v>1309.7452990091588</v>
      </c>
      <c r="F304" s="166">
        <f t="shared" ref="F304" si="103">SUM(F300:F303)</f>
        <v>1247.7109534579786</v>
      </c>
      <c r="G304" s="166">
        <f t="shared" ref="G304" si="104">SUM(G300:G303)</f>
        <v>1678.1109415650535</v>
      </c>
      <c r="H304" s="166">
        <f t="shared" ref="H304" si="105">SUM(H300:H303)</f>
        <v>1803.5667116428804</v>
      </c>
      <c r="I304" s="166">
        <f t="shared" ref="I304" si="106">SUM(I300:I303)</f>
        <v>1633.9774460035453</v>
      </c>
      <c r="J304" s="166">
        <f t="shared" ref="J304" si="107">SUM(J300:J303)</f>
        <v>1816.9943500540317</v>
      </c>
      <c r="K304" s="166">
        <f t="shared" ref="K304" si="108">SUM(K300:K303)</f>
        <v>2044.3915928868644</v>
      </c>
      <c r="L304" s="166">
        <f t="shared" ref="L304" si="109">SUM(L300:L303)</f>
        <v>1939.0537915625234</v>
      </c>
      <c r="M304" s="166">
        <f t="shared" si="100"/>
        <v>16168.163270824241</v>
      </c>
    </row>
    <row r="305" spans="2:15">
      <c r="B305" s="163" t="s">
        <v>10468</v>
      </c>
      <c r="C305" s="163"/>
      <c r="D305" s="163"/>
      <c r="E305" s="163"/>
      <c r="F305" s="163"/>
      <c r="G305" s="163"/>
      <c r="H305" s="163"/>
      <c r="I305" s="163"/>
      <c r="J305" s="163"/>
      <c r="K305" s="163"/>
      <c r="L305" s="163"/>
      <c r="M305" s="163"/>
      <c r="N305" s="208" t="s">
        <v>11159</v>
      </c>
    </row>
    <row r="306" spans="2:15">
      <c r="B306" s="151" t="s">
        <v>10821</v>
      </c>
      <c r="C306" s="151">
        <f>INDEX('Analysis of bottom-up tags'!$N$77:$W$118,MATCH(Dashboard!$B306,'Analysis of bottom-up tags'!$B$77:$B$118,0),MATCH(Dashboard!C$21,'Analysis of bottom-up tags'!$N$6:$W$6,0))*C$23</f>
        <v>20.831242162363544</v>
      </c>
      <c r="D306" s="151">
        <f>INDEX('Analysis of bottom-up tags'!$N$77:$W$118,MATCH(Dashboard!$B306,'Analysis of bottom-up tags'!$B$77:$B$118,0),MATCH(Dashboard!D$21,'Analysis of bottom-up tags'!$N$6:$W$6,0))*D$23</f>
        <v>459.78531922427527</v>
      </c>
      <c r="E306" s="151">
        <f>INDEX('Analysis of bottom-up tags'!$N$77:$W$118,MATCH(Dashboard!$B306,'Analysis of bottom-up tags'!$B$77:$B$118,0),MATCH(Dashboard!E$21,'Analysis of bottom-up tags'!$N$6:$W$6,0))*E$23</f>
        <v>0</v>
      </c>
      <c r="F306" s="151">
        <f>INDEX('Analysis of bottom-up tags'!$N$77:$W$118,MATCH(Dashboard!$B306,'Analysis of bottom-up tags'!$B$77:$B$118,0),MATCH(Dashboard!F$21,'Analysis of bottom-up tags'!$N$6:$W$6,0))*F$23</f>
        <v>309.9053796577773</v>
      </c>
      <c r="G306" s="151">
        <f>INDEX('Analysis of bottom-up tags'!$N$77:$W$118,MATCH(Dashboard!$B306,'Analysis of bottom-up tags'!$B$77:$B$118,0),MATCH(Dashboard!G$21,'Analysis of bottom-up tags'!$N$6:$W$6,0))*G$23</f>
        <v>1244.6399461128897</v>
      </c>
      <c r="H306" s="151">
        <f>INDEX('Analysis of bottom-up tags'!$N$77:$W$118,MATCH(Dashboard!$B306,'Analysis of bottom-up tags'!$B$77:$B$118,0),MATCH(Dashboard!H$21,'Analysis of bottom-up tags'!$N$6:$W$6,0))*H$23</f>
        <v>1174.8355687535729</v>
      </c>
      <c r="I306" s="151">
        <f>INDEX('Analysis of bottom-up tags'!$N$77:$W$118,MATCH(Dashboard!$B306,'Analysis of bottom-up tags'!$B$77:$B$118,0),MATCH(Dashboard!I$21,'Analysis of bottom-up tags'!$N$6:$W$6,0))*I$23</f>
        <v>1369.1684376474914</v>
      </c>
      <c r="J306" s="151">
        <f>INDEX('Analysis of bottom-up tags'!$N$77:$W$118,MATCH(Dashboard!$B306,'Analysis of bottom-up tags'!$B$77:$B$118,0),MATCH(Dashboard!J$21,'Analysis of bottom-up tags'!$N$6:$W$6,0))*J$23</f>
        <v>408.87022587196958</v>
      </c>
      <c r="K306" s="151">
        <f>INDEX('Analysis of bottom-up tags'!$N$77:$W$118,MATCH(Dashboard!$B306,'Analysis of bottom-up tags'!$B$77:$B$118,0),MATCH(Dashboard!K$21,'Analysis of bottom-up tags'!$N$6:$W$6,0))*K$23</f>
        <v>1872.2876214240896</v>
      </c>
      <c r="L306" s="151">
        <f>INDEX('Analysis of bottom-up tags'!$N$77:$W$118,MATCH(Dashboard!$B306,'Analysis of bottom-up tags'!$B$77:$B$118,0),MATCH(Dashboard!L$21,'Analysis of bottom-up tags'!$N$6:$W$6,0))*L$23</f>
        <v>1112.0436893801448</v>
      </c>
      <c r="M306" s="151">
        <f t="shared" ref="M306:M348" si="110">SUM(C306:L306)</f>
        <v>7972.3674302345735</v>
      </c>
      <c r="N306" s="151" t="str" cm="1">
        <f t="array" ref="N306">INDEX(Framework!$C$3:$C$119,MATCH(Dashboard!$B306,Framework!$D$3:$D$119,),)</f>
        <v xml:space="preserve">Post-production </v>
      </c>
      <c r="O306" s="101">
        <f>M306/SUM($M$306:$M$347)</f>
        <v>0.49309048261659155</v>
      </c>
    </row>
    <row r="307" spans="2:15">
      <c r="B307" s="151" t="s">
        <v>10993</v>
      </c>
      <c r="C307" s="151">
        <f>INDEX('Analysis of bottom-up tags'!$N$77:$W$118,MATCH(Dashboard!$B307,'Analysis of bottom-up tags'!$B$77:$B$118,0),MATCH(Dashboard!C$21,'Analysis of bottom-up tags'!$N$6:$W$6,0))*C$23</f>
        <v>1179.9229527893847</v>
      </c>
      <c r="D307" s="151">
        <f>INDEX('Analysis of bottom-up tags'!$N$77:$W$118,MATCH(Dashboard!$B307,'Analysis of bottom-up tags'!$B$77:$B$118,0),MATCH(Dashboard!D$21,'Analysis of bottom-up tags'!$N$6:$W$6,0))*D$23</f>
        <v>800.46463036340765</v>
      </c>
      <c r="E307" s="151">
        <f>INDEX('Analysis of bottom-up tags'!$N$77:$W$118,MATCH(Dashboard!$B307,'Analysis of bottom-up tags'!$B$77:$B$118,0),MATCH(Dashboard!E$21,'Analysis of bottom-up tags'!$N$6:$W$6,0))*E$23</f>
        <v>0</v>
      </c>
      <c r="F307" s="151">
        <f>INDEX('Analysis of bottom-up tags'!$N$77:$W$118,MATCH(Dashboard!$B307,'Analysis of bottom-up tags'!$B$77:$B$118,0),MATCH(Dashboard!F$21,'Analysis of bottom-up tags'!$N$6:$W$6,0))*F$23</f>
        <v>115.93177641765973</v>
      </c>
      <c r="G307" s="151">
        <f>INDEX('Analysis of bottom-up tags'!$N$77:$W$118,MATCH(Dashboard!$B307,'Analysis of bottom-up tags'!$B$77:$B$118,0),MATCH(Dashboard!G$21,'Analysis of bottom-up tags'!$N$6:$W$6,0))*G$23</f>
        <v>0.5132960822366589</v>
      </c>
      <c r="H307" s="151">
        <f>INDEX('Analysis of bottom-up tags'!$N$77:$W$118,MATCH(Dashboard!$B307,'Analysis of bottom-up tags'!$B$77:$B$118,0),MATCH(Dashboard!H$21,'Analysis of bottom-up tags'!$N$6:$W$6,0))*H$23</f>
        <v>3.0794721957826248</v>
      </c>
      <c r="I307" s="151">
        <f>INDEX('Analysis of bottom-up tags'!$N$77:$W$118,MATCH(Dashboard!$B307,'Analysis of bottom-up tags'!$B$77:$B$118,0),MATCH(Dashboard!I$21,'Analysis of bottom-up tags'!$N$6:$W$6,0))*I$23</f>
        <v>2.4056461220457619</v>
      </c>
      <c r="J307" s="151">
        <f>INDEX('Analysis of bottom-up tags'!$N$77:$W$118,MATCH(Dashboard!$B307,'Analysis of bottom-up tags'!$B$77:$B$118,0),MATCH(Dashboard!J$21,'Analysis of bottom-up tags'!$N$6:$W$6,0))*J$23</f>
        <v>0</v>
      </c>
      <c r="K307" s="151">
        <f>INDEX('Analysis of bottom-up tags'!$N$77:$W$118,MATCH(Dashboard!$B307,'Analysis of bottom-up tags'!$B$77:$B$118,0),MATCH(Dashboard!K$21,'Analysis of bottom-up tags'!$N$6:$W$6,0))*K$23</f>
        <v>0.27794587627984446</v>
      </c>
      <c r="L307" s="151">
        <f>INDEX('Analysis of bottom-up tags'!$N$77:$W$118,MATCH(Dashboard!$B307,'Analysis of bottom-up tags'!$B$77:$B$118,0),MATCH(Dashboard!L$21,'Analysis of bottom-up tags'!$N$6:$W$6,0))*L$23</f>
        <v>151.92935915820169</v>
      </c>
      <c r="M307" s="151">
        <f t="shared" si="110"/>
        <v>2254.5250790049986</v>
      </c>
      <c r="N307" s="151" t="str" cm="1">
        <f t="array" ref="N307">INDEX(Framework!$C$3:$C$119,MATCH(Dashboard!$B307,Framework!$D$3:$D$119,),)</f>
        <v>Inputs</v>
      </c>
      <c r="O307" s="101">
        <f t="shared" ref="O307:O347" si="111">M307/SUM($M$306:$M$347)</f>
        <v>0.13944225087541837</v>
      </c>
    </row>
    <row r="308" spans="2:15">
      <c r="B308" s="151" t="s">
        <v>10720</v>
      </c>
      <c r="C308" s="151">
        <f>INDEX('Analysis of bottom-up tags'!$N$77:$W$118,MATCH(Dashboard!$B308,'Analysis of bottom-up tags'!$B$77:$B$118,0),MATCH(Dashboard!C$21,'Analysis of bottom-up tags'!$N$6:$W$6,0))*C$23</f>
        <v>0</v>
      </c>
      <c r="D308" s="151">
        <f>INDEX('Analysis of bottom-up tags'!$N$77:$W$118,MATCH(Dashboard!$B308,'Analysis of bottom-up tags'!$B$77:$B$118,0),MATCH(Dashboard!D$21,'Analysis of bottom-up tags'!$N$6:$W$6,0))*D$23</f>
        <v>0</v>
      </c>
      <c r="E308" s="151">
        <f>INDEX('Analysis of bottom-up tags'!$N$77:$W$118,MATCH(Dashboard!$B308,'Analysis of bottom-up tags'!$B$77:$B$118,0),MATCH(Dashboard!E$21,'Analysis of bottom-up tags'!$N$6:$W$6,0))*E$23</f>
        <v>0</v>
      </c>
      <c r="F308" s="151">
        <f>INDEX('Analysis of bottom-up tags'!$N$77:$W$118,MATCH(Dashboard!$B308,'Analysis of bottom-up tags'!$B$77:$B$118,0),MATCH(Dashboard!F$21,'Analysis of bottom-up tags'!$N$6:$W$6,0))*F$23</f>
        <v>0</v>
      </c>
      <c r="G308" s="151">
        <f>INDEX('Analysis of bottom-up tags'!$N$77:$W$118,MATCH(Dashboard!$B308,'Analysis of bottom-up tags'!$B$77:$B$118,0),MATCH(Dashboard!G$21,'Analysis of bottom-up tags'!$N$6:$W$6,0))*G$23</f>
        <v>0</v>
      </c>
      <c r="H308" s="151">
        <f>INDEX('Analysis of bottom-up tags'!$N$77:$W$118,MATCH(Dashboard!$B308,'Analysis of bottom-up tags'!$B$77:$B$118,0),MATCH(Dashboard!H$21,'Analysis of bottom-up tags'!$N$6:$W$6,0))*H$23</f>
        <v>0</v>
      </c>
      <c r="I308" s="151">
        <f>INDEX('Analysis of bottom-up tags'!$N$77:$W$118,MATCH(Dashboard!$B308,'Analysis of bottom-up tags'!$B$77:$B$118,0),MATCH(Dashboard!I$21,'Analysis of bottom-up tags'!$N$6:$W$6,0))*I$23</f>
        <v>0</v>
      </c>
      <c r="J308" s="151">
        <f>INDEX('Analysis of bottom-up tags'!$N$77:$W$118,MATCH(Dashboard!$B308,'Analysis of bottom-up tags'!$B$77:$B$118,0),MATCH(Dashboard!J$21,'Analysis of bottom-up tags'!$N$6:$W$6,0))*J$23</f>
        <v>66.232095217975242</v>
      </c>
      <c r="K308" s="151">
        <f>INDEX('Analysis of bottom-up tags'!$N$77:$W$118,MATCH(Dashboard!$B308,'Analysis of bottom-up tags'!$B$77:$B$118,0),MATCH(Dashboard!K$21,'Analysis of bottom-up tags'!$N$6:$W$6,0))*K$23</f>
        <v>0</v>
      </c>
      <c r="L308" s="151">
        <f>INDEX('Analysis of bottom-up tags'!$N$77:$W$118,MATCH(Dashboard!$B308,'Analysis of bottom-up tags'!$B$77:$B$118,0),MATCH(Dashboard!L$21,'Analysis of bottom-up tags'!$N$6:$W$6,0))*L$23</f>
        <v>9.0833431724501779</v>
      </c>
      <c r="M308" s="151">
        <f t="shared" si="110"/>
        <v>75.315438390425413</v>
      </c>
      <c r="N308" s="151" t="str" cm="1">
        <f t="array" ref="N308">INDEX(Framework!$C$3:$C$119,MATCH(Dashboard!$B308,Framework!$D$3:$D$119,),)</f>
        <v>Inputs</v>
      </c>
      <c r="O308" s="101">
        <f t="shared" si="111"/>
        <v>4.658255679934502E-3</v>
      </c>
    </row>
    <row r="309" spans="2:15">
      <c r="B309" s="151" t="s">
        <v>10718</v>
      </c>
      <c r="C309" s="151">
        <f>INDEX('Analysis of bottom-up tags'!$N$77:$W$118,MATCH(Dashboard!$B309,'Analysis of bottom-up tags'!$B$77:$B$118,0),MATCH(Dashboard!C$21,'Analysis of bottom-up tags'!$N$6:$W$6,0))*C$23</f>
        <v>0</v>
      </c>
      <c r="D309" s="151">
        <f>INDEX('Analysis of bottom-up tags'!$N$77:$W$118,MATCH(Dashboard!$B309,'Analysis of bottom-up tags'!$B$77:$B$118,0),MATCH(Dashboard!D$21,'Analysis of bottom-up tags'!$N$6:$W$6,0))*D$23</f>
        <v>0</v>
      </c>
      <c r="E309" s="151">
        <f>INDEX('Analysis of bottom-up tags'!$N$77:$W$118,MATCH(Dashboard!$B309,'Analysis of bottom-up tags'!$B$77:$B$118,0),MATCH(Dashboard!E$21,'Analysis of bottom-up tags'!$N$6:$W$6,0))*E$23</f>
        <v>0</v>
      </c>
      <c r="F309" s="151">
        <f>INDEX('Analysis of bottom-up tags'!$N$77:$W$118,MATCH(Dashboard!$B309,'Analysis of bottom-up tags'!$B$77:$B$118,0),MATCH(Dashboard!F$21,'Analysis of bottom-up tags'!$N$6:$W$6,0))*F$23</f>
        <v>0</v>
      </c>
      <c r="G309" s="151">
        <f>INDEX('Analysis of bottom-up tags'!$N$77:$W$118,MATCH(Dashboard!$B309,'Analysis of bottom-up tags'!$B$77:$B$118,0),MATCH(Dashboard!G$21,'Analysis of bottom-up tags'!$N$6:$W$6,0))*G$23</f>
        <v>0</v>
      </c>
      <c r="H309" s="151">
        <f>INDEX('Analysis of bottom-up tags'!$N$77:$W$118,MATCH(Dashboard!$B309,'Analysis of bottom-up tags'!$B$77:$B$118,0),MATCH(Dashboard!H$21,'Analysis of bottom-up tags'!$N$6:$W$6,0))*H$23</f>
        <v>217.75427315464182</v>
      </c>
      <c r="I309" s="151">
        <f>INDEX('Analysis of bottom-up tags'!$N$77:$W$118,MATCH(Dashboard!$B309,'Analysis of bottom-up tags'!$B$77:$B$118,0),MATCH(Dashboard!I$21,'Analysis of bottom-up tags'!$N$6:$W$6,0))*I$23</f>
        <v>2.5770388440254224</v>
      </c>
      <c r="J309" s="151">
        <f>INDEX('Analysis of bottom-up tags'!$N$77:$W$118,MATCH(Dashboard!$B309,'Analysis of bottom-up tags'!$B$77:$B$118,0),MATCH(Dashboard!J$21,'Analysis of bottom-up tags'!$N$6:$W$6,0))*J$23</f>
        <v>320.92357476408785</v>
      </c>
      <c r="K309" s="151">
        <f>INDEX('Analysis of bottom-up tags'!$N$77:$W$118,MATCH(Dashboard!$B309,'Analysis of bottom-up tags'!$B$77:$B$118,0),MATCH(Dashboard!K$21,'Analysis of bottom-up tags'!$N$6:$W$6,0))*K$23</f>
        <v>51.954734355194866</v>
      </c>
      <c r="L309" s="151">
        <f>INDEX('Analysis of bottom-up tags'!$N$77:$W$118,MATCH(Dashboard!$B309,'Analysis of bottom-up tags'!$B$77:$B$118,0),MATCH(Dashboard!L$21,'Analysis of bottom-up tags'!$N$6:$W$6,0))*L$23</f>
        <v>0</v>
      </c>
      <c r="M309" s="151">
        <f t="shared" si="110"/>
        <v>593.20962111794995</v>
      </c>
      <c r="N309" s="151" t="str" cm="1">
        <f t="array" ref="N309">INDEX(Framework!$C$3:$C$119,MATCH(Dashboard!$B309,Framework!$D$3:$D$119,),)</f>
        <v>Inputs</v>
      </c>
      <c r="O309" s="101">
        <f t="shared" si="111"/>
        <v>3.6689982107516693E-2</v>
      </c>
    </row>
    <row r="310" spans="2:15">
      <c r="B310" s="151" t="s">
        <v>10712</v>
      </c>
      <c r="C310" s="151">
        <f>INDEX('Analysis of bottom-up tags'!$N$77:$W$118,MATCH(Dashboard!$B310,'Analysis of bottom-up tags'!$B$77:$B$118,0),MATCH(Dashboard!C$21,'Analysis of bottom-up tags'!$N$6:$W$6,0))*C$23</f>
        <v>0</v>
      </c>
      <c r="D310" s="151">
        <f>INDEX('Analysis of bottom-up tags'!$N$77:$W$118,MATCH(Dashboard!$B310,'Analysis of bottom-up tags'!$B$77:$B$118,0),MATCH(Dashboard!D$21,'Analysis of bottom-up tags'!$N$6:$W$6,0))*D$23</f>
        <v>0</v>
      </c>
      <c r="E310" s="151">
        <f>INDEX('Analysis of bottom-up tags'!$N$77:$W$118,MATCH(Dashboard!$B310,'Analysis of bottom-up tags'!$B$77:$B$118,0),MATCH(Dashboard!E$21,'Analysis of bottom-up tags'!$N$6:$W$6,0))*E$23</f>
        <v>0</v>
      </c>
      <c r="F310" s="151">
        <f>INDEX('Analysis of bottom-up tags'!$N$77:$W$118,MATCH(Dashboard!$B310,'Analysis of bottom-up tags'!$B$77:$B$118,0),MATCH(Dashboard!F$21,'Analysis of bottom-up tags'!$N$6:$W$6,0))*F$23</f>
        <v>0</v>
      </c>
      <c r="G310" s="151">
        <f>INDEX('Analysis of bottom-up tags'!$N$77:$W$118,MATCH(Dashboard!$B310,'Analysis of bottom-up tags'!$B$77:$B$118,0),MATCH(Dashboard!G$21,'Analysis of bottom-up tags'!$N$6:$W$6,0))*G$23</f>
        <v>0</v>
      </c>
      <c r="H310" s="151">
        <f>INDEX('Analysis of bottom-up tags'!$N$77:$W$118,MATCH(Dashboard!$B310,'Analysis of bottom-up tags'!$B$77:$B$118,0),MATCH(Dashboard!H$21,'Analysis of bottom-up tags'!$N$6:$W$6,0))*H$23</f>
        <v>0</v>
      </c>
      <c r="I310" s="151">
        <f>INDEX('Analysis of bottom-up tags'!$N$77:$W$118,MATCH(Dashboard!$B310,'Analysis of bottom-up tags'!$B$77:$B$118,0),MATCH(Dashboard!I$21,'Analysis of bottom-up tags'!$N$6:$W$6,0))*I$23</f>
        <v>0</v>
      </c>
      <c r="J310" s="151">
        <f>INDEX('Analysis of bottom-up tags'!$N$77:$W$118,MATCH(Dashboard!$B310,'Analysis of bottom-up tags'!$B$77:$B$118,0),MATCH(Dashboard!J$21,'Analysis of bottom-up tags'!$N$6:$W$6,0))*J$23</f>
        <v>0</v>
      </c>
      <c r="K310" s="151">
        <f>INDEX('Analysis of bottom-up tags'!$N$77:$W$118,MATCH(Dashboard!$B310,'Analysis of bottom-up tags'!$B$77:$B$118,0),MATCH(Dashboard!K$21,'Analysis of bottom-up tags'!$N$6:$W$6,0))*K$23</f>
        <v>2.0833158327992285</v>
      </c>
      <c r="L310" s="151">
        <f>INDEX('Analysis of bottom-up tags'!$N$77:$W$118,MATCH(Dashboard!$B310,'Analysis of bottom-up tags'!$B$77:$B$118,0),MATCH(Dashboard!L$21,'Analysis of bottom-up tags'!$N$6:$W$6,0))*L$23</f>
        <v>0</v>
      </c>
      <c r="M310" s="151">
        <f t="shared" si="110"/>
        <v>2.0833158327992285</v>
      </c>
      <c r="N310" s="151" t="str" cm="1">
        <f t="array" ref="N310">INDEX(Framework!$C$3:$C$119,MATCH(Dashboard!$B310,Framework!$D$3:$D$119,),)</f>
        <v>Inputs</v>
      </c>
      <c r="O310" s="101">
        <f t="shared" si="111"/>
        <v>1.2885296850994891E-4</v>
      </c>
    </row>
    <row r="311" spans="2:15">
      <c r="B311" s="151" t="s">
        <v>10766</v>
      </c>
      <c r="C311" s="151">
        <f>INDEX('Analysis of bottom-up tags'!$N$77:$W$118,MATCH(Dashboard!$B311,'Analysis of bottom-up tags'!$B$77:$B$118,0),MATCH(Dashboard!C$21,'Analysis of bottom-up tags'!$N$6:$W$6,0))*C$23</f>
        <v>0</v>
      </c>
      <c r="D311" s="151">
        <f>INDEX('Analysis of bottom-up tags'!$N$77:$W$118,MATCH(Dashboard!$B311,'Analysis of bottom-up tags'!$B$77:$B$118,0),MATCH(Dashboard!D$21,'Analysis of bottom-up tags'!$N$6:$W$6,0))*D$23</f>
        <v>0</v>
      </c>
      <c r="E311" s="151">
        <f>INDEX('Analysis of bottom-up tags'!$N$77:$W$118,MATCH(Dashboard!$B311,'Analysis of bottom-up tags'!$B$77:$B$118,0),MATCH(Dashboard!E$21,'Analysis of bottom-up tags'!$N$6:$W$6,0))*E$23</f>
        <v>0</v>
      </c>
      <c r="F311" s="151">
        <f>INDEX('Analysis of bottom-up tags'!$N$77:$W$118,MATCH(Dashboard!$B311,'Analysis of bottom-up tags'!$B$77:$B$118,0),MATCH(Dashboard!F$21,'Analysis of bottom-up tags'!$N$6:$W$6,0))*F$23</f>
        <v>14.504413572988469</v>
      </c>
      <c r="G311" s="151">
        <f>INDEX('Analysis of bottom-up tags'!$N$77:$W$118,MATCH(Dashboard!$B311,'Analysis of bottom-up tags'!$B$77:$B$118,0),MATCH(Dashboard!G$21,'Analysis of bottom-up tags'!$N$6:$W$6,0))*G$23</f>
        <v>9.7826932494098227</v>
      </c>
      <c r="H311" s="151">
        <f>INDEX('Analysis of bottom-up tags'!$N$77:$W$118,MATCH(Dashboard!$B311,'Analysis of bottom-up tags'!$B$77:$B$118,0),MATCH(Dashboard!H$21,'Analysis of bottom-up tags'!$N$6:$W$6,0))*H$23</f>
        <v>2.1597738428453082</v>
      </c>
      <c r="I311" s="151">
        <f>INDEX('Analysis of bottom-up tags'!$N$77:$W$118,MATCH(Dashboard!$B311,'Analysis of bottom-up tags'!$B$77:$B$118,0),MATCH(Dashboard!I$21,'Analysis of bottom-up tags'!$N$6:$W$6,0))*I$23</f>
        <v>4.7529874794671381</v>
      </c>
      <c r="J311" s="151">
        <f>INDEX('Analysis of bottom-up tags'!$N$77:$W$118,MATCH(Dashboard!$B311,'Analysis of bottom-up tags'!$B$77:$B$118,0),MATCH(Dashboard!J$21,'Analysis of bottom-up tags'!$N$6:$W$6,0))*J$23</f>
        <v>0</v>
      </c>
      <c r="K311" s="151">
        <f>INDEX('Analysis of bottom-up tags'!$N$77:$W$118,MATCH(Dashboard!$B311,'Analysis of bottom-up tags'!$B$77:$B$118,0),MATCH(Dashboard!K$21,'Analysis of bottom-up tags'!$N$6:$W$6,0))*K$23</f>
        <v>2.0008321875338235</v>
      </c>
      <c r="L311" s="151">
        <f>INDEX('Analysis of bottom-up tags'!$N$77:$W$118,MATCH(Dashboard!$B311,'Analysis of bottom-up tags'!$B$77:$B$118,0),MATCH(Dashboard!L$21,'Analysis of bottom-up tags'!$N$6:$W$6,0))*L$23</f>
        <v>2.7308759683272332</v>
      </c>
      <c r="M311" s="151">
        <f t="shared" si="110"/>
        <v>35.931576300571791</v>
      </c>
      <c r="N311" s="151" t="str" cm="1">
        <f t="array" ref="N311">INDEX(Framework!$C$3:$C$119,MATCH(Dashboard!$B311,Framework!$D$3:$D$119,),)</f>
        <v>Production</v>
      </c>
      <c r="O311" s="101">
        <f t="shared" si="111"/>
        <v>2.2223659978379243E-3</v>
      </c>
    </row>
    <row r="312" spans="2:15">
      <c r="B312" s="151" t="s">
        <v>10842</v>
      </c>
      <c r="C312" s="151">
        <f>INDEX('Analysis of bottom-up tags'!$N$77:$W$118,MATCH(Dashboard!$B312,'Analysis of bottom-up tags'!$B$77:$B$118,0),MATCH(Dashboard!C$21,'Analysis of bottom-up tags'!$N$6:$W$6,0))*C$23</f>
        <v>31.966772593697868</v>
      </c>
      <c r="D312" s="151">
        <f>INDEX('Analysis of bottom-up tags'!$N$77:$W$118,MATCH(Dashboard!$B312,'Analysis of bottom-up tags'!$B$77:$B$118,0),MATCH(Dashboard!D$21,'Analysis of bottom-up tags'!$N$6:$W$6,0))*D$23</f>
        <v>23.566639275455156</v>
      </c>
      <c r="E312" s="151">
        <f>INDEX('Analysis of bottom-up tags'!$N$77:$W$118,MATCH(Dashboard!$B312,'Analysis of bottom-up tags'!$B$77:$B$118,0),MATCH(Dashboard!E$21,'Analysis of bottom-up tags'!$N$6:$W$6,0))*E$23</f>
        <v>730.91328827960433</v>
      </c>
      <c r="F312" s="151">
        <f>INDEX('Analysis of bottom-up tags'!$N$77:$W$118,MATCH(Dashboard!$B312,'Analysis of bottom-up tags'!$B$77:$B$118,0),MATCH(Dashboard!F$21,'Analysis of bottom-up tags'!$N$6:$W$6,0))*F$23</f>
        <v>100.58645521382628</v>
      </c>
      <c r="G312" s="151">
        <f>INDEX('Analysis of bottom-up tags'!$N$77:$W$118,MATCH(Dashboard!$B312,'Analysis of bottom-up tags'!$B$77:$B$118,0),MATCH(Dashboard!G$21,'Analysis of bottom-up tags'!$N$6:$W$6,0))*G$23</f>
        <v>155.05089179137531</v>
      </c>
      <c r="H312" s="151">
        <f>INDEX('Analysis of bottom-up tags'!$N$77:$W$118,MATCH(Dashboard!$B312,'Analysis of bottom-up tags'!$B$77:$B$118,0),MATCH(Dashboard!H$21,'Analysis of bottom-up tags'!$N$6:$W$6,0))*H$23</f>
        <v>79.353064294632631</v>
      </c>
      <c r="I312" s="151">
        <f>INDEX('Analysis of bottom-up tags'!$N$77:$W$118,MATCH(Dashboard!$B312,'Analysis of bottom-up tags'!$B$77:$B$118,0),MATCH(Dashboard!I$21,'Analysis of bottom-up tags'!$N$6:$W$6,0))*I$23</f>
        <v>53.431943650804058</v>
      </c>
      <c r="J312" s="151">
        <f>INDEX('Analysis of bottom-up tags'!$N$77:$W$118,MATCH(Dashboard!$B312,'Analysis of bottom-up tags'!$B$77:$B$118,0),MATCH(Dashboard!J$21,'Analysis of bottom-up tags'!$N$6:$W$6,0))*J$23</f>
        <v>359.94119928980251</v>
      </c>
      <c r="K312" s="151">
        <f>INDEX('Analysis of bottom-up tags'!$N$77:$W$118,MATCH(Dashboard!$B312,'Analysis of bottom-up tags'!$B$77:$B$118,0),MATCH(Dashboard!K$21,'Analysis of bottom-up tags'!$N$6:$W$6,0))*K$23</f>
        <v>17.660812518333113</v>
      </c>
      <c r="L312" s="151">
        <f>INDEX('Analysis of bottom-up tags'!$N$77:$W$118,MATCH(Dashboard!$B312,'Analysis of bottom-up tags'!$B$77:$B$118,0),MATCH(Dashboard!L$21,'Analysis of bottom-up tags'!$N$6:$W$6,0))*L$23</f>
        <v>203.51690184348203</v>
      </c>
      <c r="M312" s="151">
        <f t="shared" si="110"/>
        <v>1755.9879687510133</v>
      </c>
      <c r="N312" s="151" t="str" cm="1">
        <f t="array" ref="N312">INDEX(Framework!$C$3:$C$119,MATCH(Dashboard!$B312,Framework!$D$3:$D$119,),)</f>
        <v>Cross-cutting</v>
      </c>
      <c r="O312" s="101">
        <f t="shared" si="111"/>
        <v>0.10860775830484884</v>
      </c>
    </row>
    <row r="313" spans="2:15">
      <c r="B313" s="151" t="s">
        <v>10846</v>
      </c>
      <c r="C313" s="151">
        <f>INDEX('Analysis of bottom-up tags'!$N$77:$W$118,MATCH(Dashboard!$B313,'Analysis of bottom-up tags'!$B$77:$B$118,0),MATCH(Dashboard!C$21,'Analysis of bottom-up tags'!$N$6:$W$6,0))*C$23</f>
        <v>0</v>
      </c>
      <c r="D313" s="151">
        <f>INDEX('Analysis of bottom-up tags'!$N$77:$W$118,MATCH(Dashboard!$B313,'Analysis of bottom-up tags'!$B$77:$B$118,0),MATCH(Dashboard!D$21,'Analysis of bottom-up tags'!$N$6:$W$6,0))*D$23</f>
        <v>16.655674115659583</v>
      </c>
      <c r="E313" s="151">
        <f>INDEX('Analysis of bottom-up tags'!$N$77:$W$118,MATCH(Dashboard!$B313,'Analysis of bottom-up tags'!$B$77:$B$118,0),MATCH(Dashboard!E$21,'Analysis of bottom-up tags'!$N$6:$W$6,0))*E$23</f>
        <v>0</v>
      </c>
      <c r="F313" s="151">
        <f>INDEX('Analysis of bottom-up tags'!$N$77:$W$118,MATCH(Dashboard!$B313,'Analysis of bottom-up tags'!$B$77:$B$118,0),MATCH(Dashboard!F$21,'Analysis of bottom-up tags'!$N$6:$W$6,0))*F$23</f>
        <v>1.6909515623245137</v>
      </c>
      <c r="G313" s="151">
        <f>INDEX('Analysis of bottom-up tags'!$N$77:$W$118,MATCH(Dashboard!$B313,'Analysis of bottom-up tags'!$B$77:$B$118,0),MATCH(Dashboard!G$21,'Analysis of bottom-up tags'!$N$6:$W$6,0))*G$23</f>
        <v>160.37705137507268</v>
      </c>
      <c r="H313" s="151">
        <f>INDEX('Analysis of bottom-up tags'!$N$77:$W$118,MATCH(Dashboard!$B313,'Analysis of bottom-up tags'!$B$77:$B$118,0),MATCH(Dashboard!H$21,'Analysis of bottom-up tags'!$N$6:$W$6,0))*H$23</f>
        <v>7.4225959915668005</v>
      </c>
      <c r="I313" s="151">
        <f>INDEX('Analysis of bottom-up tags'!$N$77:$W$118,MATCH(Dashboard!$B313,'Analysis of bottom-up tags'!$B$77:$B$118,0),MATCH(Dashboard!I$21,'Analysis of bottom-up tags'!$N$6:$W$6,0))*I$23</f>
        <v>49.95656079541947</v>
      </c>
      <c r="J313" s="151">
        <f>INDEX('Analysis of bottom-up tags'!$N$77:$W$118,MATCH(Dashboard!$B313,'Analysis of bottom-up tags'!$B$77:$B$118,0),MATCH(Dashboard!J$21,'Analysis of bottom-up tags'!$N$6:$W$6,0))*J$23</f>
        <v>197.22057785973485</v>
      </c>
      <c r="K313" s="151">
        <f>INDEX('Analysis of bottom-up tags'!$N$77:$W$118,MATCH(Dashboard!$B313,'Analysis of bottom-up tags'!$B$77:$B$118,0),MATCH(Dashboard!K$21,'Analysis of bottom-up tags'!$N$6:$W$6,0))*K$23</f>
        <v>46.102922116260928</v>
      </c>
      <c r="L313" s="151">
        <f>INDEX('Analysis of bottom-up tags'!$N$77:$W$118,MATCH(Dashboard!$B313,'Analysis of bottom-up tags'!$B$77:$B$118,0),MATCH(Dashboard!L$21,'Analysis of bottom-up tags'!$N$6:$W$6,0))*L$23</f>
        <v>206.12687443390183</v>
      </c>
      <c r="M313" s="151">
        <f t="shared" si="110"/>
        <v>685.55320824994067</v>
      </c>
      <c r="N313" s="151" t="str" cm="1">
        <f t="array" ref="N313">INDEX(Framework!$C$3:$C$119,MATCH(Dashboard!$B313,Framework!$D$3:$D$119,),)</f>
        <v>Cross-cutting</v>
      </c>
      <c r="O313" s="101">
        <f t="shared" si="111"/>
        <v>4.2401427841035878E-2</v>
      </c>
    </row>
    <row r="314" spans="2:15">
      <c r="B314" s="151" t="s">
        <v>10776</v>
      </c>
      <c r="C314" s="151">
        <f>INDEX('Analysis of bottom-up tags'!$N$77:$W$118,MATCH(Dashboard!$B314,'Analysis of bottom-up tags'!$B$77:$B$118,0),MATCH(Dashboard!C$21,'Analysis of bottom-up tags'!$N$6:$W$6,0))*C$23</f>
        <v>0</v>
      </c>
      <c r="D314" s="151">
        <f>INDEX('Analysis of bottom-up tags'!$N$77:$W$118,MATCH(Dashboard!$B314,'Analysis of bottom-up tags'!$B$77:$B$118,0),MATCH(Dashboard!D$21,'Analysis of bottom-up tags'!$N$6:$W$6,0))*D$23</f>
        <v>0</v>
      </c>
      <c r="E314" s="151">
        <f>INDEX('Analysis of bottom-up tags'!$N$77:$W$118,MATCH(Dashboard!$B314,'Analysis of bottom-up tags'!$B$77:$B$118,0),MATCH(Dashboard!E$21,'Analysis of bottom-up tags'!$N$6:$W$6,0))*E$23</f>
        <v>0</v>
      </c>
      <c r="F314" s="151">
        <f>INDEX('Analysis of bottom-up tags'!$N$77:$W$118,MATCH(Dashboard!$B314,'Analysis of bottom-up tags'!$B$77:$B$118,0),MATCH(Dashboard!F$21,'Analysis of bottom-up tags'!$N$6:$W$6,0))*F$23</f>
        <v>0</v>
      </c>
      <c r="G314" s="151">
        <f>INDEX('Analysis of bottom-up tags'!$N$77:$W$118,MATCH(Dashboard!$B314,'Analysis of bottom-up tags'!$B$77:$B$118,0),MATCH(Dashboard!G$21,'Analysis of bottom-up tags'!$N$6:$W$6,0))*G$23</f>
        <v>0</v>
      </c>
      <c r="H314" s="151">
        <f>INDEX('Analysis of bottom-up tags'!$N$77:$W$118,MATCH(Dashboard!$B314,'Analysis of bottom-up tags'!$B$77:$B$118,0),MATCH(Dashboard!H$21,'Analysis of bottom-up tags'!$N$6:$W$6,0))*H$23</f>
        <v>0</v>
      </c>
      <c r="I314" s="151">
        <f>INDEX('Analysis of bottom-up tags'!$N$77:$W$118,MATCH(Dashboard!$B314,'Analysis of bottom-up tags'!$B$77:$B$118,0),MATCH(Dashboard!I$21,'Analysis of bottom-up tags'!$N$6:$W$6,0))*I$23</f>
        <v>0</v>
      </c>
      <c r="J314" s="151">
        <f>INDEX('Analysis of bottom-up tags'!$N$77:$W$118,MATCH(Dashboard!$B314,'Analysis of bottom-up tags'!$B$77:$B$118,0),MATCH(Dashboard!J$21,'Analysis of bottom-up tags'!$N$6:$W$6,0))*J$23</f>
        <v>48.679299239670264</v>
      </c>
      <c r="K314" s="151">
        <f>INDEX('Analysis of bottom-up tags'!$N$77:$W$118,MATCH(Dashboard!$B314,'Analysis of bottom-up tags'!$B$77:$B$118,0),MATCH(Dashboard!K$21,'Analysis of bottom-up tags'!$N$6:$W$6,0))*K$23</f>
        <v>0</v>
      </c>
      <c r="L314" s="151">
        <f>INDEX('Analysis of bottom-up tags'!$N$77:$W$118,MATCH(Dashboard!$B314,'Analysis of bottom-up tags'!$B$77:$B$118,0),MATCH(Dashboard!L$21,'Analysis of bottom-up tags'!$N$6:$W$6,0))*L$23</f>
        <v>0</v>
      </c>
      <c r="M314" s="151">
        <f t="shared" si="110"/>
        <v>48.679299239670264</v>
      </c>
      <c r="N314" s="151" t="str" cm="1">
        <f t="array" ref="N314">INDEX(Framework!$C$3:$C$119,MATCH(Dashboard!$B314,Framework!$D$3:$D$119,),)</f>
        <v>Production</v>
      </c>
      <c r="O314" s="101">
        <f t="shared" si="111"/>
        <v>3.0108119533597852E-3</v>
      </c>
    </row>
    <row r="315" spans="2:15">
      <c r="B315" s="151" t="s">
        <v>10517</v>
      </c>
      <c r="C315" s="151">
        <f>INDEX('Analysis of bottom-up tags'!$N$77:$W$118,MATCH(Dashboard!$B315,'Analysis of bottom-up tags'!$B$77:$B$118,0),MATCH(Dashboard!C$21,'Analysis of bottom-up tags'!$N$6:$W$6,0))*C$23</f>
        <v>0</v>
      </c>
      <c r="D315" s="151">
        <f>INDEX('Analysis of bottom-up tags'!$N$77:$W$118,MATCH(Dashboard!$B315,'Analysis of bottom-up tags'!$B$77:$B$118,0),MATCH(Dashboard!D$21,'Analysis of bottom-up tags'!$N$6:$W$6,0))*D$23</f>
        <v>0</v>
      </c>
      <c r="E315" s="151">
        <f>INDEX('Analysis of bottom-up tags'!$N$77:$W$118,MATCH(Dashboard!$B315,'Analysis of bottom-up tags'!$B$77:$B$118,0),MATCH(Dashboard!E$21,'Analysis of bottom-up tags'!$N$6:$W$6,0))*E$23</f>
        <v>0</v>
      </c>
      <c r="F315" s="151">
        <f>INDEX('Analysis of bottom-up tags'!$N$77:$W$118,MATCH(Dashboard!$B315,'Analysis of bottom-up tags'!$B$77:$B$118,0),MATCH(Dashboard!F$21,'Analysis of bottom-up tags'!$N$6:$W$6,0))*F$23</f>
        <v>0</v>
      </c>
      <c r="G315" s="151">
        <f>INDEX('Analysis of bottom-up tags'!$N$77:$W$118,MATCH(Dashboard!$B315,'Analysis of bottom-up tags'!$B$77:$B$118,0),MATCH(Dashboard!G$21,'Analysis of bottom-up tags'!$N$6:$W$6,0))*G$23</f>
        <v>0</v>
      </c>
      <c r="H315" s="151">
        <f>INDEX('Analysis of bottom-up tags'!$N$77:$W$118,MATCH(Dashboard!$B315,'Analysis of bottom-up tags'!$B$77:$B$118,0),MATCH(Dashboard!H$21,'Analysis of bottom-up tags'!$N$6:$W$6,0))*H$23</f>
        <v>79.063012192862743</v>
      </c>
      <c r="I315" s="151">
        <f>INDEX('Analysis of bottom-up tags'!$N$77:$W$118,MATCH(Dashboard!$B315,'Analysis of bottom-up tags'!$B$77:$B$118,0),MATCH(Dashboard!I$21,'Analysis of bottom-up tags'!$N$6:$W$6,0))*I$23</f>
        <v>119.93614957228414</v>
      </c>
      <c r="J315" s="151">
        <f>INDEX('Analysis of bottom-up tags'!$N$77:$W$118,MATCH(Dashboard!$B315,'Analysis of bottom-up tags'!$B$77:$B$118,0),MATCH(Dashboard!J$21,'Analysis of bottom-up tags'!$N$6:$W$6,0))*J$23</f>
        <v>24.394494614359761</v>
      </c>
      <c r="K315" s="151">
        <f>INDEX('Analysis of bottom-up tags'!$N$77:$W$118,MATCH(Dashboard!$B315,'Analysis of bottom-up tags'!$B$77:$B$118,0),MATCH(Dashboard!K$21,'Analysis of bottom-up tags'!$N$6:$W$6,0))*K$23</f>
        <v>0.57598015997350782</v>
      </c>
      <c r="L315" s="151">
        <f>INDEX('Analysis of bottom-up tags'!$N$77:$W$118,MATCH(Dashboard!$B315,'Analysis of bottom-up tags'!$B$77:$B$118,0),MATCH(Dashboard!L$21,'Analysis of bottom-up tags'!$N$6:$W$6,0))*L$23</f>
        <v>11.483839357072721</v>
      </c>
      <c r="M315" s="151">
        <f t="shared" si="110"/>
        <v>235.45347589655287</v>
      </c>
      <c r="N315" s="207" t="s">
        <v>10517</v>
      </c>
      <c r="O315" s="101">
        <f t="shared" si="111"/>
        <v>1.4562784402445588E-2</v>
      </c>
    </row>
    <row r="316" spans="2:15">
      <c r="B316" s="151" t="s">
        <v>10759</v>
      </c>
      <c r="C316" s="151">
        <f>INDEX('Analysis of bottom-up tags'!$N$77:$W$118,MATCH(Dashboard!$B316,'Analysis of bottom-up tags'!$B$77:$B$118,0),MATCH(Dashboard!C$21,'Analysis of bottom-up tags'!$N$6:$W$6,0))*C$23</f>
        <v>0</v>
      </c>
      <c r="D316" s="151">
        <f>INDEX('Analysis of bottom-up tags'!$N$77:$W$118,MATCH(Dashboard!$B316,'Analysis of bottom-up tags'!$B$77:$B$118,0),MATCH(Dashboard!D$21,'Analysis of bottom-up tags'!$N$6:$W$6,0))*D$23</f>
        <v>0</v>
      </c>
      <c r="E316" s="151">
        <f>INDEX('Analysis of bottom-up tags'!$N$77:$W$118,MATCH(Dashboard!$B316,'Analysis of bottom-up tags'!$B$77:$B$118,0),MATCH(Dashboard!E$21,'Analysis of bottom-up tags'!$N$6:$W$6,0))*E$23</f>
        <v>0</v>
      </c>
      <c r="F316" s="151">
        <f>INDEX('Analysis of bottom-up tags'!$N$77:$W$118,MATCH(Dashboard!$B316,'Analysis of bottom-up tags'!$B$77:$B$118,0),MATCH(Dashboard!F$21,'Analysis of bottom-up tags'!$N$6:$W$6,0))*F$23</f>
        <v>0</v>
      </c>
      <c r="G316" s="151">
        <f>INDEX('Analysis of bottom-up tags'!$N$77:$W$118,MATCH(Dashboard!$B316,'Analysis of bottom-up tags'!$B$77:$B$118,0),MATCH(Dashboard!G$21,'Analysis of bottom-up tags'!$N$6:$W$6,0))*G$23</f>
        <v>0</v>
      </c>
      <c r="H316" s="151">
        <f>INDEX('Analysis of bottom-up tags'!$N$77:$W$118,MATCH(Dashboard!$B316,'Analysis of bottom-up tags'!$B$77:$B$118,0),MATCH(Dashboard!H$21,'Analysis of bottom-up tags'!$N$6:$W$6,0))*H$23</f>
        <v>0</v>
      </c>
      <c r="I316" s="151">
        <f>INDEX('Analysis of bottom-up tags'!$N$77:$W$118,MATCH(Dashboard!$B316,'Analysis of bottom-up tags'!$B$77:$B$118,0),MATCH(Dashboard!I$21,'Analysis of bottom-up tags'!$N$6:$W$6,0))*I$23</f>
        <v>5.2916628660744314</v>
      </c>
      <c r="J316" s="151">
        <f>INDEX('Analysis of bottom-up tags'!$N$77:$W$118,MATCH(Dashboard!$B316,'Analysis of bottom-up tags'!$B$77:$B$118,0),MATCH(Dashboard!J$21,'Analysis of bottom-up tags'!$N$6:$W$6,0))*J$23</f>
        <v>40.008498230788305</v>
      </c>
      <c r="K316" s="151">
        <f>INDEX('Analysis of bottom-up tags'!$N$77:$W$118,MATCH(Dashboard!$B316,'Analysis of bottom-up tags'!$B$77:$B$118,0),MATCH(Dashboard!K$21,'Analysis of bottom-up tags'!$N$6:$W$6,0))*K$23</f>
        <v>2.4969599469738575</v>
      </c>
      <c r="L316" s="151">
        <f>INDEX('Analysis of bottom-up tags'!$N$77:$W$118,MATCH(Dashboard!$B316,'Analysis of bottom-up tags'!$B$77:$B$118,0),MATCH(Dashboard!L$21,'Analysis of bottom-up tags'!$N$6:$W$6,0))*L$23</f>
        <v>18.888446330934062</v>
      </c>
      <c r="M316" s="151">
        <f t="shared" si="110"/>
        <v>66.685567374770656</v>
      </c>
      <c r="N316" s="151" t="str" cm="1">
        <f t="array" ref="N316">INDEX(Framework!$C$3:$C$119,MATCH(Dashboard!$B316,Framework!$D$3:$D$119,),)</f>
        <v>Production</v>
      </c>
      <c r="O316" s="101">
        <f t="shared" si="111"/>
        <v>4.1244986370904627E-3</v>
      </c>
    </row>
    <row r="317" spans="2:15">
      <c r="B317" s="151" t="s">
        <v>10852</v>
      </c>
      <c r="C317" s="151">
        <f>INDEX('Analysis of bottom-up tags'!$N$77:$W$118,MATCH(Dashboard!$B317,'Analysis of bottom-up tags'!$B$77:$B$118,0),MATCH(Dashboard!C$21,'Analysis of bottom-up tags'!$N$6:$W$6,0))*C$23</f>
        <v>0</v>
      </c>
      <c r="D317" s="151">
        <f>INDEX('Analysis of bottom-up tags'!$N$77:$W$118,MATCH(Dashboard!$B317,'Analysis of bottom-up tags'!$B$77:$B$118,0),MATCH(Dashboard!D$21,'Analysis of bottom-up tags'!$N$6:$W$6,0))*D$23</f>
        <v>0</v>
      </c>
      <c r="E317" s="151">
        <f>INDEX('Analysis of bottom-up tags'!$N$77:$W$118,MATCH(Dashboard!$B317,'Analysis of bottom-up tags'!$B$77:$B$118,0),MATCH(Dashboard!E$21,'Analysis of bottom-up tags'!$N$6:$W$6,0))*E$23</f>
        <v>0</v>
      </c>
      <c r="F317" s="151">
        <f>INDEX('Analysis of bottom-up tags'!$N$77:$W$118,MATCH(Dashboard!$B317,'Analysis of bottom-up tags'!$B$77:$B$118,0),MATCH(Dashboard!F$21,'Analysis of bottom-up tags'!$N$6:$W$6,0))*F$23</f>
        <v>0</v>
      </c>
      <c r="G317" s="151">
        <f>INDEX('Analysis of bottom-up tags'!$N$77:$W$118,MATCH(Dashboard!$B317,'Analysis of bottom-up tags'!$B$77:$B$118,0),MATCH(Dashboard!G$21,'Analysis of bottom-up tags'!$N$6:$W$6,0))*G$23</f>
        <v>0</v>
      </c>
      <c r="H317" s="151">
        <f>INDEX('Analysis of bottom-up tags'!$N$77:$W$118,MATCH(Dashboard!$B317,'Analysis of bottom-up tags'!$B$77:$B$118,0),MATCH(Dashboard!H$21,'Analysis of bottom-up tags'!$N$6:$W$6,0))*H$23</f>
        <v>0</v>
      </c>
      <c r="I317" s="151">
        <f>INDEX('Analysis of bottom-up tags'!$N$77:$W$118,MATCH(Dashboard!$B317,'Analysis of bottom-up tags'!$B$77:$B$118,0),MATCH(Dashboard!I$21,'Analysis of bottom-up tags'!$N$6:$W$6,0))*I$23</f>
        <v>1.5347011960435537</v>
      </c>
      <c r="J317" s="151">
        <f>INDEX('Analysis of bottom-up tags'!$N$77:$W$118,MATCH(Dashboard!$B317,'Analysis of bottom-up tags'!$B$77:$B$118,0),MATCH(Dashboard!J$21,'Analysis of bottom-up tags'!$N$6:$W$6,0))*J$23</f>
        <v>103.89961988972874</v>
      </c>
      <c r="K317" s="151">
        <f>INDEX('Analysis of bottom-up tags'!$N$77:$W$118,MATCH(Dashboard!$B317,'Analysis of bottom-up tags'!$B$77:$B$118,0),MATCH(Dashboard!K$21,'Analysis of bottom-up tags'!$N$6:$W$6,0))*K$23</f>
        <v>2.3018512775797242</v>
      </c>
      <c r="L317" s="151">
        <f>INDEX('Analysis of bottom-up tags'!$N$77:$W$118,MATCH(Dashboard!$B317,'Analysis of bottom-up tags'!$B$77:$B$118,0),MATCH(Dashboard!L$21,'Analysis of bottom-up tags'!$N$6:$W$6,0))*L$23</f>
        <v>29.856963634619046</v>
      </c>
      <c r="M317" s="151">
        <f t="shared" si="110"/>
        <v>137.59313599797107</v>
      </c>
      <c r="N317" s="151" t="str" cm="1">
        <f t="array" ref="N317">INDEX(Framework!$C$3:$C$119,MATCH(Dashboard!$B317,Framework!$D$3:$D$119,),)</f>
        <v>Cross-cutting</v>
      </c>
      <c r="O317" s="101">
        <f t="shared" si="111"/>
        <v>8.5101278168226158E-3</v>
      </c>
    </row>
    <row r="318" spans="2:15">
      <c r="B318" s="151" t="s">
        <v>10768</v>
      </c>
      <c r="C318" s="151">
        <f>INDEX('Analysis of bottom-up tags'!$N$77:$W$118,MATCH(Dashboard!$B318,'Analysis of bottom-up tags'!$B$77:$B$118,0),MATCH(Dashboard!C$21,'Analysis of bottom-up tags'!$N$6:$W$6,0))*C$23</f>
        <v>12.378083737148405</v>
      </c>
      <c r="D318" s="151">
        <f>INDEX('Analysis of bottom-up tags'!$N$77:$W$118,MATCH(Dashboard!$B318,'Analysis of bottom-up tags'!$B$77:$B$118,0),MATCH(Dashboard!D$21,'Analysis of bottom-up tags'!$N$6:$W$6,0))*D$23</f>
        <v>98.021424617807114</v>
      </c>
      <c r="E318" s="151">
        <f>INDEX('Analysis of bottom-up tags'!$N$77:$W$118,MATCH(Dashboard!$B318,'Analysis of bottom-up tags'!$B$77:$B$118,0),MATCH(Dashboard!E$21,'Analysis of bottom-up tags'!$N$6:$W$6,0))*E$23</f>
        <v>0</v>
      </c>
      <c r="F318" s="151">
        <f>INDEX('Analysis of bottom-up tags'!$N$77:$W$118,MATCH(Dashboard!$B318,'Analysis of bottom-up tags'!$B$77:$B$118,0),MATCH(Dashboard!F$21,'Analysis of bottom-up tags'!$N$6:$W$6,0))*F$23</f>
        <v>323.8913576453615</v>
      </c>
      <c r="G318" s="151">
        <f>INDEX('Analysis of bottom-up tags'!$N$77:$W$118,MATCH(Dashboard!$B318,'Analysis of bottom-up tags'!$B$77:$B$118,0),MATCH(Dashboard!G$21,'Analysis of bottom-up tags'!$N$6:$W$6,0))*G$23</f>
        <v>16.010482914431037</v>
      </c>
      <c r="H318" s="151">
        <f>INDEX('Analysis of bottom-up tags'!$N$77:$W$118,MATCH(Dashboard!$B318,'Analysis of bottom-up tags'!$B$77:$B$118,0),MATCH(Dashboard!H$21,'Analysis of bottom-up tags'!$N$6:$W$6,0))*H$23</f>
        <v>7.3641789953116037</v>
      </c>
      <c r="I318" s="151">
        <f>INDEX('Analysis of bottom-up tags'!$N$77:$W$118,MATCH(Dashboard!$B318,'Analysis of bottom-up tags'!$B$77:$B$118,0),MATCH(Dashboard!I$21,'Analysis of bottom-up tags'!$N$6:$W$6,0))*I$23</f>
        <v>2.8996372681595024</v>
      </c>
      <c r="J318" s="151">
        <f>INDEX('Analysis of bottom-up tags'!$N$77:$W$118,MATCH(Dashboard!$B318,'Analysis of bottom-up tags'!$B$77:$B$118,0),MATCH(Dashboard!J$21,'Analysis of bottom-up tags'!$N$6:$W$6,0))*J$23</f>
        <v>0.73674467433494928</v>
      </c>
      <c r="K318" s="151">
        <f>INDEX('Analysis of bottom-up tags'!$N$77:$W$118,MATCH(Dashboard!$B318,'Analysis of bottom-up tags'!$B$77:$B$118,0),MATCH(Dashboard!K$21,'Analysis of bottom-up tags'!$N$6:$W$6,0))*K$23</f>
        <v>3.2576591060375302</v>
      </c>
      <c r="L318" s="151">
        <f>INDEX('Analysis of bottom-up tags'!$N$77:$W$118,MATCH(Dashboard!$B318,'Analysis of bottom-up tags'!$B$77:$B$118,0),MATCH(Dashboard!L$21,'Analysis of bottom-up tags'!$N$6:$W$6,0))*L$23</f>
        <v>37.485625740952585</v>
      </c>
      <c r="M318" s="151">
        <f t="shared" si="110"/>
        <v>502.04519469954414</v>
      </c>
      <c r="N318" s="151" t="str" cm="1">
        <f t="array" ref="N318">INDEX(Framework!$C$3:$C$119,MATCH(Dashboard!$B318,Framework!$D$3:$D$119,),)</f>
        <v>Production</v>
      </c>
      <c r="O318" s="101">
        <f t="shared" si="111"/>
        <v>3.1051467398618759E-2</v>
      </c>
    </row>
    <row r="319" spans="2:15">
      <c r="B319" s="151" t="s">
        <v>10870</v>
      </c>
      <c r="C319" s="151">
        <f>INDEX('Analysis of bottom-up tags'!$N$77:$W$118,MATCH(Dashboard!$B319,'Analysis of bottom-up tags'!$B$77:$B$118,0),MATCH(Dashboard!C$21,'Analysis of bottom-up tags'!$N$6:$W$6,0))*C$23</f>
        <v>0</v>
      </c>
      <c r="D319" s="151">
        <f>INDEX('Analysis of bottom-up tags'!$N$77:$W$118,MATCH(Dashboard!$B319,'Analysis of bottom-up tags'!$B$77:$B$118,0),MATCH(Dashboard!D$21,'Analysis of bottom-up tags'!$N$6:$W$6,0))*D$23</f>
        <v>0</v>
      </c>
      <c r="E319" s="151">
        <f>INDEX('Analysis of bottom-up tags'!$N$77:$W$118,MATCH(Dashboard!$B319,'Analysis of bottom-up tags'!$B$77:$B$118,0),MATCH(Dashboard!E$21,'Analysis of bottom-up tags'!$N$6:$W$6,0))*E$23</f>
        <v>0</v>
      </c>
      <c r="F319" s="151">
        <f>INDEX('Analysis of bottom-up tags'!$N$77:$W$118,MATCH(Dashboard!$B319,'Analysis of bottom-up tags'!$B$77:$B$118,0),MATCH(Dashboard!F$21,'Analysis of bottom-up tags'!$N$6:$W$6,0))*F$23</f>
        <v>60.580629054540076</v>
      </c>
      <c r="G319" s="151">
        <f>INDEX('Analysis of bottom-up tags'!$N$77:$W$118,MATCH(Dashboard!$B319,'Analysis of bottom-up tags'!$B$77:$B$118,0),MATCH(Dashboard!G$21,'Analysis of bottom-up tags'!$N$6:$W$6,0))*G$23</f>
        <v>0</v>
      </c>
      <c r="H319" s="151">
        <f>INDEX('Analysis of bottom-up tags'!$N$77:$W$118,MATCH(Dashboard!$B319,'Analysis of bottom-up tags'!$B$77:$B$118,0),MATCH(Dashboard!H$21,'Analysis of bottom-up tags'!$N$6:$W$6,0))*H$23</f>
        <v>14.629889543698292</v>
      </c>
      <c r="I319" s="151">
        <f>INDEX('Analysis of bottom-up tags'!$N$77:$W$118,MATCH(Dashboard!$B319,'Analysis of bottom-up tags'!$B$77:$B$118,0),MATCH(Dashboard!I$21,'Analysis of bottom-up tags'!$N$6:$W$6,0))*I$23</f>
        <v>0</v>
      </c>
      <c r="J319" s="151">
        <f>INDEX('Analysis of bottom-up tags'!$N$77:$W$118,MATCH(Dashboard!$B319,'Analysis of bottom-up tags'!$B$77:$B$118,0),MATCH(Dashboard!J$21,'Analysis of bottom-up tags'!$N$6:$W$6,0))*J$23</f>
        <v>12.25226695674964</v>
      </c>
      <c r="K319" s="151">
        <f>INDEX('Analysis of bottom-up tags'!$N$77:$W$118,MATCH(Dashboard!$B319,'Analysis of bottom-up tags'!$B$77:$B$118,0),MATCH(Dashboard!K$21,'Analysis of bottom-up tags'!$N$6:$W$6,0))*K$23</f>
        <v>24.745943748056366</v>
      </c>
      <c r="L319" s="151">
        <f>INDEX('Analysis of bottom-up tags'!$N$77:$W$118,MATCH(Dashboard!$B319,'Analysis of bottom-up tags'!$B$77:$B$118,0),MATCH(Dashboard!L$21,'Analysis of bottom-up tags'!$N$6:$W$6,0))*L$23</f>
        <v>3.3240434578524005</v>
      </c>
      <c r="M319" s="151">
        <f t="shared" si="110"/>
        <v>115.53277276089676</v>
      </c>
      <c r="N319" s="151" t="str" cm="1">
        <f t="array" ref="N319">INDEX(Framework!$C$3:$C$119,MATCH(Dashboard!$B319,Framework!$D$3:$D$119,),)</f>
        <v>Biodiversity management</v>
      </c>
      <c r="O319" s="101">
        <f t="shared" si="111"/>
        <v>7.1456955762797042E-3</v>
      </c>
    </row>
    <row r="320" spans="2:15">
      <c r="B320" s="151" t="s">
        <v>10765</v>
      </c>
      <c r="C320" s="151">
        <f>INDEX('Analysis of bottom-up tags'!$N$77:$W$118,MATCH(Dashboard!$B320,'Analysis of bottom-up tags'!$B$77:$B$118,0),MATCH(Dashboard!C$21,'Analysis of bottom-up tags'!$N$6:$W$6,0))*C$23</f>
        <v>0</v>
      </c>
      <c r="D320" s="151">
        <f>INDEX('Analysis of bottom-up tags'!$N$77:$W$118,MATCH(Dashboard!$B320,'Analysis of bottom-up tags'!$B$77:$B$118,0),MATCH(Dashboard!D$21,'Analysis of bottom-up tags'!$N$6:$W$6,0))*D$23</f>
        <v>0</v>
      </c>
      <c r="E320" s="151">
        <f>INDEX('Analysis of bottom-up tags'!$N$77:$W$118,MATCH(Dashboard!$B320,'Analysis of bottom-up tags'!$B$77:$B$118,0),MATCH(Dashboard!E$21,'Analysis of bottom-up tags'!$N$6:$W$6,0))*E$23</f>
        <v>0</v>
      </c>
      <c r="F320" s="151">
        <f>INDEX('Analysis of bottom-up tags'!$N$77:$W$118,MATCH(Dashboard!$B320,'Analysis of bottom-up tags'!$B$77:$B$118,0),MATCH(Dashboard!F$21,'Analysis of bottom-up tags'!$N$6:$W$6,0))*F$23</f>
        <v>8.969152119970321</v>
      </c>
      <c r="G320" s="151">
        <f>INDEX('Analysis of bottom-up tags'!$N$77:$W$118,MATCH(Dashboard!$B320,'Analysis of bottom-up tags'!$B$77:$B$118,0),MATCH(Dashboard!G$21,'Analysis of bottom-up tags'!$N$6:$W$6,0))*G$23</f>
        <v>0</v>
      </c>
      <c r="H320" s="151">
        <f>INDEX('Analysis of bottom-up tags'!$N$77:$W$118,MATCH(Dashboard!$B320,'Analysis of bottom-up tags'!$B$77:$B$118,0),MATCH(Dashboard!H$21,'Analysis of bottom-up tags'!$N$6:$W$6,0))*H$23</f>
        <v>29.984539748103209</v>
      </c>
      <c r="I320" s="151">
        <f>INDEX('Analysis of bottom-up tags'!$N$77:$W$118,MATCH(Dashboard!$B320,'Analysis of bottom-up tags'!$B$77:$B$118,0),MATCH(Dashboard!I$21,'Analysis of bottom-up tags'!$N$6:$W$6,0))*I$23</f>
        <v>6.9501406195660587E-2</v>
      </c>
      <c r="J320" s="151">
        <f>INDEX('Analysis of bottom-up tags'!$N$77:$W$118,MATCH(Dashboard!$B320,'Analysis of bottom-up tags'!$B$77:$B$118,0),MATCH(Dashboard!J$21,'Analysis of bottom-up tags'!$N$6:$W$6,0))*J$23</f>
        <v>63.707890047851507</v>
      </c>
      <c r="K320" s="151">
        <f>INDEX('Analysis of bottom-up tags'!$N$77:$W$118,MATCH(Dashboard!$B320,'Analysis of bottom-up tags'!$B$77:$B$118,0),MATCH(Dashboard!K$21,'Analysis of bottom-up tags'!$N$6:$W$6,0))*K$23</f>
        <v>0</v>
      </c>
      <c r="L320" s="151">
        <f>INDEX('Analysis of bottom-up tags'!$N$77:$W$118,MATCH(Dashboard!$B320,'Analysis of bottom-up tags'!$B$77:$B$118,0),MATCH(Dashboard!L$21,'Analysis of bottom-up tags'!$N$6:$W$6,0))*L$23</f>
        <v>13.677711182388112</v>
      </c>
      <c r="M320" s="151">
        <f t="shared" si="110"/>
        <v>116.4087945045088</v>
      </c>
      <c r="N320" s="151" t="str" cm="1">
        <f t="array" ref="N320">INDEX(Framework!$C$3:$C$119,MATCH(Dashboard!$B320,Framework!$D$3:$D$119,),)</f>
        <v>Production</v>
      </c>
      <c r="O320" s="101">
        <f t="shared" si="111"/>
        <v>7.1998774724504853E-3</v>
      </c>
    </row>
    <row r="321" spans="2:15">
      <c r="B321" s="151" t="s">
        <v>10735</v>
      </c>
      <c r="C321" s="151">
        <f>INDEX('Analysis of bottom-up tags'!$N$77:$W$118,MATCH(Dashboard!$B321,'Analysis of bottom-up tags'!$B$77:$B$118,0),MATCH(Dashboard!C$21,'Analysis of bottom-up tags'!$N$6:$W$6,0))*C$23</f>
        <v>0</v>
      </c>
      <c r="D321" s="151">
        <f>INDEX('Analysis of bottom-up tags'!$N$77:$W$118,MATCH(Dashboard!$B321,'Analysis of bottom-up tags'!$B$77:$B$118,0),MATCH(Dashboard!D$21,'Analysis of bottom-up tags'!$N$6:$W$6,0))*D$23</f>
        <v>0</v>
      </c>
      <c r="E321" s="151">
        <f>INDEX('Analysis of bottom-up tags'!$N$77:$W$118,MATCH(Dashboard!$B321,'Analysis of bottom-up tags'!$B$77:$B$118,0),MATCH(Dashboard!E$21,'Analysis of bottom-up tags'!$N$6:$W$6,0))*E$23</f>
        <v>0</v>
      </c>
      <c r="F321" s="151">
        <f>INDEX('Analysis of bottom-up tags'!$N$77:$W$118,MATCH(Dashboard!$B321,'Analysis of bottom-up tags'!$B$77:$B$118,0),MATCH(Dashboard!F$21,'Analysis of bottom-up tags'!$N$6:$W$6,0))*F$23</f>
        <v>0</v>
      </c>
      <c r="G321" s="151">
        <f>INDEX('Analysis of bottom-up tags'!$N$77:$W$118,MATCH(Dashboard!$B321,'Analysis of bottom-up tags'!$B$77:$B$118,0),MATCH(Dashboard!G$21,'Analysis of bottom-up tags'!$N$6:$W$6,0))*G$23</f>
        <v>6.1760117632759428</v>
      </c>
      <c r="H321" s="151">
        <f>INDEX('Analysis of bottom-up tags'!$N$77:$W$118,MATCH(Dashboard!$B321,'Analysis of bottom-up tags'!$B$77:$B$118,0),MATCH(Dashboard!H$21,'Analysis of bottom-up tags'!$N$6:$W$6,0))*H$23</f>
        <v>79.063012192862743</v>
      </c>
      <c r="I321" s="151">
        <f>INDEX('Analysis of bottom-up tags'!$N$77:$W$118,MATCH(Dashboard!$B321,'Analysis of bottom-up tags'!$B$77:$B$118,0),MATCH(Dashboard!I$21,'Analysis of bottom-up tags'!$N$6:$W$6,0))*I$23</f>
        <v>6.2779990435372676E-2</v>
      </c>
      <c r="J321" s="151">
        <f>INDEX('Analysis of bottom-up tags'!$N$77:$W$118,MATCH(Dashboard!$B321,'Analysis of bottom-up tags'!$B$77:$B$118,0),MATCH(Dashboard!J$21,'Analysis of bottom-up tags'!$N$6:$W$6,0))*J$23</f>
        <v>0.45954138611655032</v>
      </c>
      <c r="K321" s="151">
        <f>INDEX('Analysis of bottom-up tags'!$N$77:$W$118,MATCH(Dashboard!$B321,'Analysis of bottom-up tags'!$B$77:$B$118,0),MATCH(Dashboard!K$21,'Analysis of bottom-up tags'!$N$6:$W$6,0))*K$23</f>
        <v>0</v>
      </c>
      <c r="L321" s="151">
        <f>INDEX('Analysis of bottom-up tags'!$N$77:$W$118,MATCH(Dashboard!$B321,'Analysis of bottom-up tags'!$B$77:$B$118,0),MATCH(Dashboard!L$21,'Analysis of bottom-up tags'!$N$6:$W$6,0))*L$23</f>
        <v>0</v>
      </c>
      <c r="M321" s="151">
        <f t="shared" si="110"/>
        <v>85.76134533269061</v>
      </c>
      <c r="N321" s="151" t="str" cm="1">
        <f t="array" ref="N321">INDEX(Framework!$C$3:$C$119,MATCH(Dashboard!$B321,Framework!$D$3:$D$119,),)</f>
        <v>Inputs</v>
      </c>
      <c r="O321" s="101">
        <f t="shared" si="111"/>
        <v>5.3043344439407409E-3</v>
      </c>
    </row>
    <row r="322" spans="2:15">
      <c r="B322" s="151" t="s">
        <v>10709</v>
      </c>
      <c r="C322" s="151">
        <f>INDEX('Analysis of bottom-up tags'!$N$77:$W$118,MATCH(Dashboard!$B322,'Analysis of bottom-up tags'!$B$77:$B$118,0),MATCH(Dashboard!C$21,'Analysis of bottom-up tags'!$N$6:$W$6,0))*C$23</f>
        <v>0</v>
      </c>
      <c r="D322" s="151">
        <f>INDEX('Analysis of bottom-up tags'!$N$77:$W$118,MATCH(Dashboard!$B322,'Analysis of bottom-up tags'!$B$77:$B$118,0),MATCH(Dashboard!D$21,'Analysis of bottom-up tags'!$N$6:$W$6,0))*D$23</f>
        <v>0</v>
      </c>
      <c r="E322" s="151">
        <f>INDEX('Analysis of bottom-up tags'!$N$77:$W$118,MATCH(Dashboard!$B322,'Analysis of bottom-up tags'!$B$77:$B$118,0),MATCH(Dashboard!E$21,'Analysis of bottom-up tags'!$N$6:$W$6,0))*E$23</f>
        <v>0</v>
      </c>
      <c r="F322" s="151">
        <f>INDEX('Analysis of bottom-up tags'!$N$77:$W$118,MATCH(Dashboard!$B322,'Analysis of bottom-up tags'!$B$77:$B$118,0),MATCH(Dashboard!F$21,'Analysis of bottom-up tags'!$N$6:$W$6,0))*F$23</f>
        <v>276.82397392517089</v>
      </c>
      <c r="G322" s="151">
        <f>INDEX('Analysis of bottom-up tags'!$N$77:$W$118,MATCH(Dashboard!$B322,'Analysis of bottom-up tags'!$B$77:$B$118,0),MATCH(Dashboard!G$21,'Analysis of bottom-up tags'!$N$6:$W$6,0))*G$23</f>
        <v>2.7243602383511885</v>
      </c>
      <c r="H322" s="151">
        <f>INDEX('Analysis of bottom-up tags'!$N$77:$W$118,MATCH(Dashboard!$B322,'Analysis of bottom-up tags'!$B$77:$B$118,0),MATCH(Dashboard!H$21,'Analysis of bottom-up tags'!$N$6:$W$6,0))*H$23</f>
        <v>0</v>
      </c>
      <c r="I322" s="151">
        <f>INDEX('Analysis of bottom-up tags'!$N$77:$W$118,MATCH(Dashboard!$B322,'Analysis of bottom-up tags'!$B$77:$B$118,0),MATCH(Dashboard!I$21,'Analysis of bottom-up tags'!$N$6:$W$6,0))*I$23</f>
        <v>0</v>
      </c>
      <c r="J322" s="151">
        <f>INDEX('Analysis of bottom-up tags'!$N$77:$W$118,MATCH(Dashboard!$B322,'Analysis of bottom-up tags'!$B$77:$B$118,0),MATCH(Dashboard!J$21,'Analysis of bottom-up tags'!$N$6:$W$6,0))*J$23</f>
        <v>0</v>
      </c>
      <c r="K322" s="151">
        <f>INDEX('Analysis of bottom-up tags'!$N$77:$W$118,MATCH(Dashboard!$B322,'Analysis of bottom-up tags'!$B$77:$B$118,0),MATCH(Dashboard!K$21,'Analysis of bottom-up tags'!$N$6:$W$6,0))*K$23</f>
        <v>0</v>
      </c>
      <c r="L322" s="151">
        <f>INDEX('Analysis of bottom-up tags'!$N$77:$W$118,MATCH(Dashboard!$B322,'Analysis of bottom-up tags'!$B$77:$B$118,0),MATCH(Dashboard!L$21,'Analysis of bottom-up tags'!$N$6:$W$6,0))*L$23</f>
        <v>0</v>
      </c>
      <c r="M322" s="151">
        <f t="shared" si="110"/>
        <v>279.5483341635221</v>
      </c>
      <c r="N322" s="151" t="str" cm="1">
        <f t="array" ref="N322">INDEX(Framework!$C$3:$C$119,MATCH(Dashboard!$B322,Framework!$D$3:$D$119,),)</f>
        <v>Inputs</v>
      </c>
      <c r="O322" s="101">
        <f t="shared" si="111"/>
        <v>1.7290048936354597E-2</v>
      </c>
    </row>
    <row r="323" spans="2:15">
      <c r="B323" s="151" t="s">
        <v>10774</v>
      </c>
      <c r="C323" s="151">
        <f>INDEX('Analysis of bottom-up tags'!$N$77:$W$118,MATCH(Dashboard!$B323,'Analysis of bottom-up tags'!$B$77:$B$118,0),MATCH(Dashboard!C$21,'Analysis of bottom-up tags'!$N$6:$W$6,0))*C$23</f>
        <v>0</v>
      </c>
      <c r="D323" s="151">
        <f>INDEX('Analysis of bottom-up tags'!$N$77:$W$118,MATCH(Dashboard!$B323,'Analysis of bottom-up tags'!$B$77:$B$118,0),MATCH(Dashboard!D$21,'Analysis of bottom-up tags'!$N$6:$W$6,0))*D$23</f>
        <v>0</v>
      </c>
      <c r="E323" s="151">
        <f>INDEX('Analysis of bottom-up tags'!$N$77:$W$118,MATCH(Dashboard!$B323,'Analysis of bottom-up tags'!$B$77:$B$118,0),MATCH(Dashboard!E$21,'Analysis of bottom-up tags'!$N$6:$W$6,0))*E$23</f>
        <v>0</v>
      </c>
      <c r="F323" s="151">
        <f>INDEX('Analysis of bottom-up tags'!$N$77:$W$118,MATCH(Dashboard!$B323,'Analysis of bottom-up tags'!$B$77:$B$118,0),MATCH(Dashboard!F$21,'Analysis of bottom-up tags'!$N$6:$W$6,0))*F$23</f>
        <v>0</v>
      </c>
      <c r="G323" s="151">
        <f>INDEX('Analysis of bottom-up tags'!$N$77:$W$118,MATCH(Dashboard!$B323,'Analysis of bottom-up tags'!$B$77:$B$118,0),MATCH(Dashboard!G$21,'Analysis of bottom-up tags'!$N$6:$W$6,0))*G$23</f>
        <v>0</v>
      </c>
      <c r="H323" s="151">
        <f>INDEX('Analysis of bottom-up tags'!$N$77:$W$118,MATCH(Dashboard!$B323,'Analysis of bottom-up tags'!$B$77:$B$118,0),MATCH(Dashboard!H$21,'Analysis of bottom-up tags'!$N$6:$W$6,0))*H$23</f>
        <v>0</v>
      </c>
      <c r="I323" s="151">
        <f>INDEX('Analysis of bottom-up tags'!$N$77:$W$118,MATCH(Dashboard!$B323,'Analysis of bottom-up tags'!$B$77:$B$118,0),MATCH(Dashboard!I$21,'Analysis of bottom-up tags'!$N$6:$W$6,0))*I$23</f>
        <v>1.1945890546437565</v>
      </c>
      <c r="J323" s="151">
        <f>INDEX('Analysis of bottom-up tags'!$N$77:$W$118,MATCH(Dashboard!$B323,'Analysis of bottom-up tags'!$B$77:$B$118,0),MATCH(Dashboard!J$21,'Analysis of bottom-up tags'!$N$6:$W$6,0))*J$23</f>
        <v>67.589652125395432</v>
      </c>
      <c r="K323" s="151">
        <f>INDEX('Analysis of bottom-up tags'!$N$77:$W$118,MATCH(Dashboard!$B323,'Analysis of bottom-up tags'!$B$77:$B$118,0),MATCH(Dashboard!K$21,'Analysis of bottom-up tags'!$N$6:$W$6,0))*K$23</f>
        <v>0.48827392802296221</v>
      </c>
      <c r="L323" s="151">
        <f>INDEX('Analysis of bottom-up tags'!$N$77:$W$118,MATCH(Dashboard!$B323,'Analysis of bottom-up tags'!$B$77:$B$118,0),MATCH(Dashboard!L$21,'Analysis of bottom-up tags'!$N$6:$W$6,0))*L$23</f>
        <v>10.157142350672103</v>
      </c>
      <c r="M323" s="151">
        <f t="shared" si="110"/>
        <v>79.429657458734255</v>
      </c>
      <c r="N323" s="151" t="str" cm="1">
        <f t="array" ref="N323">INDEX(Framework!$C$3:$C$119,MATCH(Dashboard!$B323,Framework!$D$3:$D$119,),)</f>
        <v>Production</v>
      </c>
      <c r="O323" s="101">
        <f t="shared" si="111"/>
        <v>4.9127199007240729E-3</v>
      </c>
    </row>
    <row r="324" spans="2:15">
      <c r="B324" s="151" t="s">
        <v>10748</v>
      </c>
      <c r="C324" s="151">
        <f>INDEX('Analysis of bottom-up tags'!$N$77:$W$118,MATCH(Dashboard!$B324,'Analysis of bottom-up tags'!$B$77:$B$118,0),MATCH(Dashboard!C$21,'Analysis of bottom-up tags'!$N$6:$W$6,0))*C$23</f>
        <v>0</v>
      </c>
      <c r="D324" s="151">
        <f>INDEX('Analysis of bottom-up tags'!$N$77:$W$118,MATCH(Dashboard!$B324,'Analysis of bottom-up tags'!$B$77:$B$118,0),MATCH(Dashboard!D$21,'Analysis of bottom-up tags'!$N$6:$W$6,0))*D$23</f>
        <v>0</v>
      </c>
      <c r="E324" s="151">
        <f>INDEX('Analysis of bottom-up tags'!$N$77:$W$118,MATCH(Dashboard!$B324,'Analysis of bottom-up tags'!$B$77:$B$118,0),MATCH(Dashboard!E$21,'Analysis of bottom-up tags'!$N$6:$W$6,0))*E$23</f>
        <v>0</v>
      </c>
      <c r="F324" s="151">
        <f>INDEX('Analysis of bottom-up tags'!$N$77:$W$118,MATCH(Dashboard!$B324,'Analysis of bottom-up tags'!$B$77:$B$118,0),MATCH(Dashboard!F$21,'Analysis of bottom-up tags'!$N$6:$W$6,0))*F$23</f>
        <v>0</v>
      </c>
      <c r="G324" s="151">
        <f>INDEX('Analysis of bottom-up tags'!$N$77:$W$118,MATCH(Dashboard!$B324,'Analysis of bottom-up tags'!$B$77:$B$118,0),MATCH(Dashboard!G$21,'Analysis of bottom-up tags'!$N$6:$W$6,0))*G$23</f>
        <v>0</v>
      </c>
      <c r="H324" s="151">
        <f>INDEX('Analysis of bottom-up tags'!$N$77:$W$118,MATCH(Dashboard!$B324,'Analysis of bottom-up tags'!$B$77:$B$118,0),MATCH(Dashboard!H$21,'Analysis of bottom-up tags'!$N$6:$W$6,0))*H$23</f>
        <v>0</v>
      </c>
      <c r="I324" s="151">
        <f>INDEX('Analysis of bottom-up tags'!$N$77:$W$118,MATCH(Dashboard!$B324,'Analysis of bottom-up tags'!$B$77:$B$118,0),MATCH(Dashboard!I$21,'Analysis of bottom-up tags'!$N$6:$W$6,0))*I$23</f>
        <v>0</v>
      </c>
      <c r="J324" s="151">
        <f>INDEX('Analysis of bottom-up tags'!$N$77:$W$118,MATCH(Dashboard!$B324,'Analysis of bottom-up tags'!$B$77:$B$118,0),MATCH(Dashboard!J$21,'Analysis of bottom-up tags'!$N$6:$W$6,0))*J$23</f>
        <v>0</v>
      </c>
      <c r="K324" s="151">
        <f>INDEX('Analysis of bottom-up tags'!$N$77:$W$118,MATCH(Dashboard!$B324,'Analysis of bottom-up tags'!$B$77:$B$118,0),MATCH(Dashboard!K$21,'Analysis of bottom-up tags'!$N$6:$W$6,0))*K$23</f>
        <v>0</v>
      </c>
      <c r="L324" s="151">
        <f>INDEX('Analysis of bottom-up tags'!$N$77:$W$118,MATCH(Dashboard!$B324,'Analysis of bottom-up tags'!$B$77:$B$118,0),MATCH(Dashboard!L$21,'Analysis of bottom-up tags'!$N$6:$W$6,0))*L$23</f>
        <v>51.780701003712551</v>
      </c>
      <c r="M324" s="151">
        <f t="shared" si="110"/>
        <v>51.780701003712551</v>
      </c>
      <c r="N324" s="151" t="str" cm="1">
        <f t="array" ref="N324">INDEX(Framework!$C$3:$C$119,MATCH(Dashboard!$B324,Framework!$D$3:$D$119,),)</f>
        <v xml:space="preserve">Novel foods </v>
      </c>
      <c r="O324" s="101">
        <f t="shared" si="111"/>
        <v>3.2026334801524311E-3</v>
      </c>
    </row>
    <row r="325" spans="2:15">
      <c r="B325" s="151" t="s">
        <v>10819</v>
      </c>
      <c r="C325" s="151">
        <f>INDEX('Analysis of bottom-up tags'!$N$77:$W$118,MATCH(Dashboard!$B325,'Analysis of bottom-up tags'!$B$77:$B$118,0),MATCH(Dashboard!C$21,'Analysis of bottom-up tags'!$N$6:$W$6,0))*C$23</f>
        <v>0</v>
      </c>
      <c r="D325" s="151">
        <f>INDEX('Analysis of bottom-up tags'!$N$77:$W$118,MATCH(Dashboard!$B325,'Analysis of bottom-up tags'!$B$77:$B$118,0),MATCH(Dashboard!D$21,'Analysis of bottom-up tags'!$N$6:$W$6,0))*D$23</f>
        <v>1.1214029192613122</v>
      </c>
      <c r="E325" s="151">
        <f>INDEX('Analysis of bottom-up tags'!$N$77:$W$118,MATCH(Dashboard!$B325,'Analysis of bottom-up tags'!$B$77:$B$118,0),MATCH(Dashboard!E$21,'Analysis of bottom-up tags'!$N$6:$W$6,0))*E$23</f>
        <v>138.38898452379618</v>
      </c>
      <c r="F325" s="151">
        <f>INDEX('Analysis of bottom-up tags'!$N$77:$W$118,MATCH(Dashboard!$B325,'Analysis of bottom-up tags'!$B$77:$B$118,0),MATCH(Dashboard!F$21,'Analysis of bottom-up tags'!$N$6:$W$6,0))*F$23</f>
        <v>0</v>
      </c>
      <c r="G325" s="151">
        <f>INDEX('Analysis of bottom-up tags'!$N$77:$W$118,MATCH(Dashboard!$B325,'Analysis of bottom-up tags'!$B$77:$B$118,0),MATCH(Dashboard!G$21,'Analysis of bottom-up tags'!$N$6:$W$6,0))*G$23</f>
        <v>25.122849265179457</v>
      </c>
      <c r="H325" s="151">
        <f>INDEX('Analysis of bottom-up tags'!$N$77:$W$118,MATCH(Dashboard!$B325,'Analysis of bottom-up tags'!$B$77:$B$118,0),MATCH(Dashboard!H$21,'Analysis of bottom-up tags'!$N$6:$W$6,0))*H$23</f>
        <v>4.4114960600336168</v>
      </c>
      <c r="I325" s="151">
        <f>INDEX('Analysis of bottom-up tags'!$N$77:$W$118,MATCH(Dashboard!$B325,'Analysis of bottom-up tags'!$B$77:$B$118,0),MATCH(Dashboard!I$21,'Analysis of bottom-up tags'!$N$6:$W$6,0))*I$23</f>
        <v>12.981120312382853</v>
      </c>
      <c r="J325" s="151">
        <f>INDEX('Analysis of bottom-up tags'!$N$77:$W$118,MATCH(Dashboard!$B325,'Analysis of bottom-up tags'!$B$77:$B$118,0),MATCH(Dashboard!J$21,'Analysis of bottom-up tags'!$N$6:$W$6,0))*J$23</f>
        <v>70.228738315876299</v>
      </c>
      <c r="K325" s="151">
        <f>INDEX('Analysis of bottom-up tags'!$N$77:$W$118,MATCH(Dashboard!$B325,'Analysis of bottom-up tags'!$B$77:$B$118,0),MATCH(Dashboard!K$21,'Analysis of bottom-up tags'!$N$6:$W$6,0))*K$23</f>
        <v>2.7879245345085359</v>
      </c>
      <c r="L325" s="151">
        <f>INDEX('Analysis of bottom-up tags'!$N$77:$W$118,MATCH(Dashboard!$B325,'Analysis of bottom-up tags'!$B$77:$B$118,0),MATCH(Dashboard!L$21,'Analysis of bottom-up tags'!$N$6:$W$6,0))*L$23</f>
        <v>14.485050292435268</v>
      </c>
      <c r="M325" s="151">
        <f t="shared" si="110"/>
        <v>269.52756622347351</v>
      </c>
      <c r="N325" s="151" t="str" cm="1">
        <f t="array" ref="N325">INDEX(Framework!$C$3:$C$119,MATCH(Dashboard!$B325,Framework!$D$3:$D$119,),)</f>
        <v xml:space="preserve">Post-production </v>
      </c>
      <c r="O325" s="101">
        <f t="shared" si="111"/>
        <v>1.6670264996014802E-2</v>
      </c>
    </row>
    <row r="326" spans="2:15">
      <c r="B326" s="151" t="s">
        <v>10706</v>
      </c>
      <c r="C326" s="151">
        <f>INDEX('Analysis of bottom-up tags'!$N$77:$W$118,MATCH(Dashboard!$B326,'Analysis of bottom-up tags'!$B$77:$B$118,0),MATCH(Dashboard!C$21,'Analysis of bottom-up tags'!$N$6:$W$6,0))*C$23</f>
        <v>42.894873848450338</v>
      </c>
      <c r="D326" s="151">
        <f>INDEX('Analysis of bottom-up tags'!$N$77:$W$118,MATCH(Dashboard!$B326,'Analysis of bottom-up tags'!$B$77:$B$118,0),MATCH(Dashboard!D$21,'Analysis of bottom-up tags'!$N$6:$W$6,0))*D$23</f>
        <v>0</v>
      </c>
      <c r="E326" s="151">
        <f>INDEX('Analysis of bottom-up tags'!$N$77:$W$118,MATCH(Dashboard!$B326,'Analysis of bottom-up tags'!$B$77:$B$118,0),MATCH(Dashboard!E$21,'Analysis of bottom-up tags'!$N$6:$W$6,0))*E$23</f>
        <v>131.29679064887711</v>
      </c>
      <c r="F326" s="151">
        <f>INDEX('Analysis of bottom-up tags'!$N$77:$W$118,MATCH(Dashboard!$B326,'Analysis of bottom-up tags'!$B$77:$B$118,0),MATCH(Dashboard!F$21,'Analysis of bottom-up tags'!$N$6:$W$6,0))*F$23</f>
        <v>0</v>
      </c>
      <c r="G326" s="151">
        <f>INDEX('Analysis of bottom-up tags'!$N$77:$W$118,MATCH(Dashboard!$B326,'Analysis of bottom-up tags'!$B$77:$B$118,0),MATCH(Dashboard!G$21,'Analysis of bottom-up tags'!$N$6:$W$6,0))*G$23</f>
        <v>0</v>
      </c>
      <c r="H326" s="151">
        <f>INDEX('Analysis of bottom-up tags'!$N$77:$W$118,MATCH(Dashboard!$B326,'Analysis of bottom-up tags'!$B$77:$B$118,0),MATCH(Dashboard!H$21,'Analysis of bottom-up tags'!$N$6:$W$6,0))*H$23</f>
        <v>45.445278226362774</v>
      </c>
      <c r="I326" s="151">
        <f>INDEX('Analysis of bottom-up tags'!$N$77:$W$118,MATCH(Dashboard!$B326,'Analysis of bottom-up tags'!$B$77:$B$118,0),MATCH(Dashboard!I$21,'Analysis of bottom-up tags'!$N$6:$W$6,0))*I$23</f>
        <v>0</v>
      </c>
      <c r="J326" s="151">
        <f>INDEX('Analysis of bottom-up tags'!$N$77:$W$118,MATCH(Dashboard!$B326,'Analysis of bottom-up tags'!$B$77:$B$118,0),MATCH(Dashboard!J$21,'Analysis of bottom-up tags'!$N$6:$W$6,0))*J$23</f>
        <v>0</v>
      </c>
      <c r="K326" s="151">
        <f>INDEX('Analysis of bottom-up tags'!$N$77:$W$118,MATCH(Dashboard!$B326,'Analysis of bottom-up tags'!$B$77:$B$118,0),MATCH(Dashboard!K$21,'Analysis of bottom-up tags'!$N$6:$W$6,0))*K$23</f>
        <v>0</v>
      </c>
      <c r="L326" s="151">
        <f>INDEX('Analysis of bottom-up tags'!$N$77:$W$118,MATCH(Dashboard!$B326,'Analysis of bottom-up tags'!$B$77:$B$118,0),MATCH(Dashboard!L$21,'Analysis of bottom-up tags'!$N$6:$W$6,0))*L$23</f>
        <v>0</v>
      </c>
      <c r="M326" s="151">
        <f t="shared" si="110"/>
        <v>219.63694272369023</v>
      </c>
      <c r="N326" s="151" t="str" cm="1">
        <f t="array" ref="N326">INDEX(Framework!$C$3:$C$119,MATCH(Dashboard!$B326,Framework!$D$3:$D$119,),)</f>
        <v>Inputs</v>
      </c>
      <c r="O326" s="101">
        <f t="shared" si="111"/>
        <v>1.3584532704468003E-2</v>
      </c>
    </row>
    <row r="327" spans="2:15">
      <c r="B327" s="151" t="s">
        <v>10784</v>
      </c>
      <c r="C327" s="151">
        <f>INDEX('Analysis of bottom-up tags'!$N$77:$W$118,MATCH(Dashboard!$B327,'Analysis of bottom-up tags'!$B$77:$B$118,0),MATCH(Dashboard!C$21,'Analysis of bottom-up tags'!$N$6:$W$6,0))*C$23</f>
        <v>0</v>
      </c>
      <c r="D327" s="151">
        <f>INDEX('Analysis of bottom-up tags'!$N$77:$W$118,MATCH(Dashboard!$B327,'Analysis of bottom-up tags'!$B$77:$B$118,0),MATCH(Dashboard!D$21,'Analysis of bottom-up tags'!$N$6:$W$6,0))*D$23</f>
        <v>7.0031689952938097</v>
      </c>
      <c r="E327" s="151">
        <f>INDEX('Analysis of bottom-up tags'!$N$77:$W$118,MATCH(Dashboard!$B327,'Analysis of bottom-up tags'!$B$77:$B$118,0),MATCH(Dashboard!E$21,'Analysis of bottom-up tags'!$N$6:$W$6,0))*E$23</f>
        <v>0</v>
      </c>
      <c r="F327" s="151">
        <f>INDEX('Analysis of bottom-up tags'!$N$77:$W$118,MATCH(Dashboard!$B327,'Analysis of bottom-up tags'!$B$77:$B$118,0),MATCH(Dashboard!F$21,'Analysis of bottom-up tags'!$N$6:$W$6,0))*F$23</f>
        <v>0</v>
      </c>
      <c r="G327" s="151">
        <f>INDEX('Analysis of bottom-up tags'!$N$77:$W$118,MATCH(Dashboard!$B327,'Analysis of bottom-up tags'!$B$77:$B$118,0),MATCH(Dashboard!G$21,'Analysis of bottom-up tags'!$N$6:$W$6,0))*G$23</f>
        <v>0</v>
      </c>
      <c r="H327" s="151">
        <f>INDEX('Analysis of bottom-up tags'!$N$77:$W$118,MATCH(Dashboard!$B327,'Analysis of bottom-up tags'!$B$77:$B$118,0),MATCH(Dashboard!H$21,'Analysis of bottom-up tags'!$N$6:$W$6,0))*H$23</f>
        <v>36.368985608716862</v>
      </c>
      <c r="I327" s="151">
        <f>INDEX('Analysis of bottom-up tags'!$N$77:$W$118,MATCH(Dashboard!$B327,'Analysis of bottom-up tags'!$B$77:$B$118,0),MATCH(Dashboard!I$21,'Analysis of bottom-up tags'!$N$6:$W$6,0))*I$23</f>
        <v>6.4390445210478706</v>
      </c>
      <c r="J327" s="151">
        <f>INDEX('Analysis of bottom-up tags'!$N$77:$W$118,MATCH(Dashboard!$B327,'Analysis of bottom-up tags'!$B$77:$B$118,0),MATCH(Dashboard!J$21,'Analysis of bottom-up tags'!$N$6:$W$6,0))*J$23</f>
        <v>3.4031937355237405</v>
      </c>
      <c r="K327" s="151">
        <f>INDEX('Analysis of bottom-up tags'!$N$77:$W$118,MATCH(Dashboard!$B327,'Analysis of bottom-up tags'!$B$77:$B$118,0),MATCH(Dashboard!K$21,'Analysis of bottom-up tags'!$N$6:$W$6,0))*K$23</f>
        <v>4.4620927505783579</v>
      </c>
      <c r="L327" s="151">
        <f>INDEX('Analysis of bottom-up tags'!$N$77:$W$118,MATCH(Dashboard!$B327,'Analysis of bottom-up tags'!$B$77:$B$118,0),MATCH(Dashboard!L$21,'Analysis of bottom-up tags'!$N$6:$W$6,0))*L$23</f>
        <v>0.13182659205314876</v>
      </c>
      <c r="M327" s="151">
        <f t="shared" si="110"/>
        <v>57.808312203213795</v>
      </c>
      <c r="N327" s="151" t="str" cm="1">
        <f t="array" ref="N327">INDEX(Framework!$C$3:$C$119,MATCH(Dashboard!$B327,Framework!$D$3:$D$119,),)</f>
        <v>Production</v>
      </c>
      <c r="O327" s="101">
        <f t="shared" si="111"/>
        <v>3.5754408979485012E-3</v>
      </c>
    </row>
    <row r="328" spans="2:15">
      <c r="B328" s="151" t="s">
        <v>10793</v>
      </c>
      <c r="C328" s="151">
        <f>INDEX('Analysis of bottom-up tags'!$N$77:$W$118,MATCH(Dashboard!$B328,'Analysis of bottom-up tags'!$B$77:$B$118,0),MATCH(Dashboard!C$21,'Analysis of bottom-up tags'!$N$6:$W$6,0))*C$23</f>
        <v>0</v>
      </c>
      <c r="D328" s="151">
        <f>INDEX('Analysis of bottom-up tags'!$N$77:$W$118,MATCH(Dashboard!$B328,'Analysis of bottom-up tags'!$B$77:$B$118,0),MATCH(Dashboard!D$21,'Analysis of bottom-up tags'!$N$6:$W$6,0))*D$23</f>
        <v>0</v>
      </c>
      <c r="E328" s="151">
        <f>INDEX('Analysis of bottom-up tags'!$N$77:$W$118,MATCH(Dashboard!$B328,'Analysis of bottom-up tags'!$B$77:$B$118,0),MATCH(Dashboard!E$21,'Analysis of bottom-up tags'!$N$6:$W$6,0))*E$23</f>
        <v>0</v>
      </c>
      <c r="F328" s="151">
        <f>INDEX('Analysis of bottom-up tags'!$N$77:$W$118,MATCH(Dashboard!$B328,'Analysis of bottom-up tags'!$B$77:$B$118,0),MATCH(Dashboard!F$21,'Analysis of bottom-up tags'!$N$6:$W$6,0))*F$23</f>
        <v>0</v>
      </c>
      <c r="G328" s="151">
        <f>INDEX('Analysis of bottom-up tags'!$N$77:$W$118,MATCH(Dashboard!$B328,'Analysis of bottom-up tags'!$B$77:$B$118,0),MATCH(Dashboard!G$21,'Analysis of bottom-up tags'!$N$6:$W$6,0))*G$23</f>
        <v>0</v>
      </c>
      <c r="H328" s="151">
        <f>INDEX('Analysis of bottom-up tags'!$N$77:$W$118,MATCH(Dashboard!$B328,'Analysis of bottom-up tags'!$B$77:$B$118,0),MATCH(Dashboard!H$21,'Analysis of bottom-up tags'!$N$6:$W$6,0))*H$23</f>
        <v>3.5166799472594628</v>
      </c>
      <c r="I328" s="151">
        <f>INDEX('Analysis of bottom-up tags'!$N$77:$W$118,MATCH(Dashboard!$B328,'Analysis of bottom-up tags'!$B$77:$B$118,0),MATCH(Dashboard!I$21,'Analysis of bottom-up tags'!$N$6:$W$6,0))*I$23</f>
        <v>0</v>
      </c>
      <c r="J328" s="151">
        <f>INDEX('Analysis of bottom-up tags'!$N$77:$W$118,MATCH(Dashboard!$B328,'Analysis of bottom-up tags'!$B$77:$B$118,0),MATCH(Dashboard!J$21,'Analysis of bottom-up tags'!$N$6:$W$6,0))*J$23</f>
        <v>0</v>
      </c>
      <c r="K328" s="151">
        <f>INDEX('Analysis of bottom-up tags'!$N$77:$W$118,MATCH(Dashboard!$B328,'Analysis of bottom-up tags'!$B$77:$B$118,0),MATCH(Dashboard!K$21,'Analysis of bottom-up tags'!$N$6:$W$6,0))*K$23</f>
        <v>5.26463962821878</v>
      </c>
      <c r="L328" s="151">
        <f>INDEX('Analysis of bottom-up tags'!$N$77:$W$118,MATCH(Dashboard!$B328,'Analysis of bottom-up tags'!$B$77:$B$118,0),MATCH(Dashboard!L$21,'Analysis of bottom-up tags'!$N$6:$W$6,0))*L$23</f>
        <v>0</v>
      </c>
      <c r="M328" s="151">
        <f t="shared" si="110"/>
        <v>8.7813195754782427</v>
      </c>
      <c r="N328" s="151" t="str" cm="1">
        <f t="array" ref="N328">INDEX(Framework!$C$3:$C$119,MATCH(Dashboard!$B328,Framework!$D$3:$D$119,),)</f>
        <v>Production</v>
      </c>
      <c r="O328" s="101">
        <f t="shared" si="111"/>
        <v>5.4312412785466498E-4</v>
      </c>
    </row>
    <row r="329" spans="2:15">
      <c r="B329" s="151" t="s">
        <v>10715</v>
      </c>
      <c r="C329" s="151">
        <f>INDEX('Analysis of bottom-up tags'!$N$77:$W$118,MATCH(Dashboard!$B329,'Analysis of bottom-up tags'!$B$77:$B$118,0),MATCH(Dashboard!C$21,'Analysis of bottom-up tags'!$N$6:$W$6,0))*C$23</f>
        <v>0</v>
      </c>
      <c r="D329" s="151">
        <f>INDEX('Analysis of bottom-up tags'!$N$77:$W$118,MATCH(Dashboard!$B329,'Analysis of bottom-up tags'!$B$77:$B$118,0),MATCH(Dashboard!D$21,'Analysis of bottom-up tags'!$N$6:$W$6,0))*D$23</f>
        <v>0</v>
      </c>
      <c r="E329" s="151">
        <f>INDEX('Analysis of bottom-up tags'!$N$77:$W$118,MATCH(Dashboard!$B329,'Analysis of bottom-up tags'!$B$77:$B$118,0),MATCH(Dashboard!E$21,'Analysis of bottom-up tags'!$N$6:$W$6,0))*E$23</f>
        <v>0</v>
      </c>
      <c r="F329" s="151">
        <f>INDEX('Analysis of bottom-up tags'!$N$77:$W$118,MATCH(Dashboard!$B329,'Analysis of bottom-up tags'!$B$77:$B$118,0),MATCH(Dashboard!F$21,'Analysis of bottom-up tags'!$N$6:$W$6,0))*F$23</f>
        <v>34.826864288359644</v>
      </c>
      <c r="G329" s="151">
        <f>INDEX('Analysis of bottom-up tags'!$N$77:$W$118,MATCH(Dashboard!$B329,'Analysis of bottom-up tags'!$B$77:$B$118,0),MATCH(Dashboard!G$21,'Analysis of bottom-up tags'!$N$6:$W$6,0))*G$23</f>
        <v>52.660386323105989</v>
      </c>
      <c r="H329" s="151">
        <f>INDEX('Analysis of bottom-up tags'!$N$77:$W$118,MATCH(Dashboard!$B329,'Analysis of bottom-up tags'!$B$77:$B$118,0),MATCH(Dashboard!H$21,'Analysis of bottom-up tags'!$N$6:$W$6,0))*H$23</f>
        <v>14.38708293629834</v>
      </c>
      <c r="I329" s="151">
        <f>INDEX('Analysis of bottom-up tags'!$N$77:$W$118,MATCH(Dashboard!$B329,'Analysis of bottom-up tags'!$B$77:$B$118,0),MATCH(Dashboard!I$21,'Analysis of bottom-up tags'!$N$6:$W$6,0))*I$23</f>
        <v>0</v>
      </c>
      <c r="J329" s="151">
        <f>INDEX('Analysis of bottom-up tags'!$N$77:$W$118,MATCH(Dashboard!$B329,'Analysis of bottom-up tags'!$B$77:$B$118,0),MATCH(Dashboard!J$21,'Analysis of bottom-up tags'!$N$6:$W$6,0))*J$23</f>
        <v>0</v>
      </c>
      <c r="K329" s="151">
        <f>INDEX('Analysis of bottom-up tags'!$N$77:$W$118,MATCH(Dashboard!$B329,'Analysis of bottom-up tags'!$B$77:$B$118,0),MATCH(Dashboard!K$21,'Analysis of bottom-up tags'!$N$6:$W$6,0))*K$23</f>
        <v>0.33063485935452319</v>
      </c>
      <c r="L329" s="151">
        <f>INDEX('Analysis of bottom-up tags'!$N$77:$W$118,MATCH(Dashboard!$B329,'Analysis of bottom-up tags'!$B$77:$B$118,0),MATCH(Dashboard!L$21,'Analysis of bottom-up tags'!$N$6:$W$6,0))*L$23</f>
        <v>19.191692909901672</v>
      </c>
      <c r="M329" s="151">
        <f t="shared" si="110"/>
        <v>121.39666131702018</v>
      </c>
      <c r="N329" s="151" t="str" cm="1">
        <f t="array" ref="N329">INDEX(Framework!$C$3:$C$119,MATCH(Dashboard!$B329,Framework!$D$3:$D$119,),)</f>
        <v>Inputs</v>
      </c>
      <c r="O329" s="101">
        <f t="shared" si="111"/>
        <v>7.5083767576792585E-3</v>
      </c>
    </row>
    <row r="330" spans="2:15">
      <c r="B330" s="151" t="s">
        <v>10963</v>
      </c>
      <c r="C330" s="151">
        <f>INDEX('Analysis of bottom-up tags'!$N$77:$W$118,MATCH(Dashboard!$B330,'Analysis of bottom-up tags'!$B$77:$B$118,0),MATCH(Dashboard!C$21,'Analysis of bottom-up tags'!$N$6:$W$6,0))*C$23</f>
        <v>0</v>
      </c>
      <c r="D330" s="151">
        <f>INDEX('Analysis of bottom-up tags'!$N$77:$W$118,MATCH(Dashboard!$B330,'Analysis of bottom-up tags'!$B$77:$B$118,0),MATCH(Dashboard!D$21,'Analysis of bottom-up tags'!$N$6:$W$6,0))*D$23</f>
        <v>0</v>
      </c>
      <c r="E330" s="151">
        <f>INDEX('Analysis of bottom-up tags'!$N$77:$W$118,MATCH(Dashboard!$B330,'Analysis of bottom-up tags'!$B$77:$B$118,0),MATCH(Dashboard!E$21,'Analysis of bottom-up tags'!$N$6:$W$6,0))*E$23</f>
        <v>0</v>
      </c>
      <c r="F330" s="151">
        <f>INDEX('Analysis of bottom-up tags'!$N$77:$W$118,MATCH(Dashboard!$B330,'Analysis of bottom-up tags'!$B$77:$B$118,0),MATCH(Dashboard!F$21,'Analysis of bottom-up tags'!$N$6:$W$6,0))*F$23</f>
        <v>0</v>
      </c>
      <c r="G330" s="151">
        <f>INDEX('Analysis of bottom-up tags'!$N$77:$W$118,MATCH(Dashboard!$B330,'Analysis of bottom-up tags'!$B$77:$B$118,0),MATCH(Dashboard!G$21,'Analysis of bottom-up tags'!$N$6:$W$6,0))*G$23</f>
        <v>0</v>
      </c>
      <c r="H330" s="151">
        <f>INDEX('Analysis of bottom-up tags'!$N$77:$W$118,MATCH(Dashboard!$B330,'Analysis of bottom-up tags'!$B$77:$B$118,0),MATCH(Dashboard!H$21,'Analysis of bottom-up tags'!$N$6:$W$6,0))*H$23</f>
        <v>0</v>
      </c>
      <c r="I330" s="151">
        <f>INDEX('Analysis of bottom-up tags'!$N$77:$W$118,MATCH(Dashboard!$B330,'Analysis of bottom-up tags'!$B$77:$B$118,0),MATCH(Dashboard!I$21,'Analysis of bottom-up tags'!$N$6:$W$6,0))*I$23</f>
        <v>0</v>
      </c>
      <c r="J330" s="151">
        <f>INDEX('Analysis of bottom-up tags'!$N$77:$W$118,MATCH(Dashboard!$B330,'Analysis of bottom-up tags'!$B$77:$B$118,0),MATCH(Dashboard!J$21,'Analysis of bottom-up tags'!$N$6:$W$6,0))*J$23</f>
        <v>0.10219082380634428</v>
      </c>
      <c r="K330" s="151">
        <f>INDEX('Analysis of bottom-up tags'!$N$77:$W$118,MATCH(Dashboard!$B330,'Analysis of bottom-up tags'!$B$77:$B$118,0),MATCH(Dashboard!K$21,'Analysis of bottom-up tags'!$N$6:$W$6,0))*K$23</f>
        <v>0</v>
      </c>
      <c r="L330" s="151">
        <f>INDEX('Analysis of bottom-up tags'!$N$77:$W$118,MATCH(Dashboard!$B330,'Analysis of bottom-up tags'!$B$77:$B$118,0),MATCH(Dashboard!L$21,'Analysis of bottom-up tags'!$N$6:$W$6,0))*L$23</f>
        <v>0</v>
      </c>
      <c r="M330" s="151">
        <f t="shared" si="110"/>
        <v>0.10219082380634428</v>
      </c>
      <c r="N330" s="151" t="str" cm="1">
        <f t="array" ref="N330">INDEX(Framework!$C$3:$C$119,MATCH(Dashboard!$B330,Framework!$D$3:$D$119,),)</f>
        <v xml:space="preserve">Novel foods </v>
      </c>
      <c r="O330" s="101">
        <f t="shared" si="111"/>
        <v>6.3204967747171119E-6</v>
      </c>
    </row>
    <row r="331" spans="2:15">
      <c r="B331" s="151" t="s">
        <v>10770</v>
      </c>
      <c r="C331" s="151">
        <f>INDEX('Analysis of bottom-up tags'!$N$77:$W$118,MATCH(Dashboard!$B331,'Analysis of bottom-up tags'!$B$77:$B$118,0),MATCH(Dashboard!C$21,'Analysis of bottom-up tags'!$N$6:$W$6,0))*C$23</f>
        <v>0</v>
      </c>
      <c r="D331" s="151">
        <f>INDEX('Analysis of bottom-up tags'!$N$77:$W$118,MATCH(Dashboard!$B331,'Analysis of bottom-up tags'!$B$77:$B$118,0),MATCH(Dashboard!D$21,'Analysis of bottom-up tags'!$N$6:$W$6,0))*D$23</f>
        <v>0</v>
      </c>
      <c r="E331" s="151">
        <f>INDEX('Analysis of bottom-up tags'!$N$77:$W$118,MATCH(Dashboard!$B331,'Analysis of bottom-up tags'!$B$77:$B$118,0),MATCH(Dashboard!E$21,'Analysis of bottom-up tags'!$N$6:$W$6,0))*E$23</f>
        <v>0</v>
      </c>
      <c r="F331" s="151">
        <f>INDEX('Analysis of bottom-up tags'!$N$77:$W$118,MATCH(Dashboard!$B331,'Analysis of bottom-up tags'!$B$77:$B$118,0),MATCH(Dashboard!F$21,'Analysis of bottom-up tags'!$N$6:$W$6,0))*F$23</f>
        <v>0</v>
      </c>
      <c r="G331" s="151">
        <f>INDEX('Analysis of bottom-up tags'!$N$77:$W$118,MATCH(Dashboard!$B331,'Analysis of bottom-up tags'!$B$77:$B$118,0),MATCH(Dashboard!G$21,'Analysis of bottom-up tags'!$N$6:$W$6,0))*G$23</f>
        <v>0</v>
      </c>
      <c r="H331" s="151">
        <f>INDEX('Analysis of bottom-up tags'!$N$77:$W$118,MATCH(Dashboard!$B331,'Analysis of bottom-up tags'!$B$77:$B$118,0),MATCH(Dashboard!H$21,'Analysis of bottom-up tags'!$N$6:$W$6,0))*H$23</f>
        <v>4.7278079583287367</v>
      </c>
      <c r="I331" s="151">
        <f>INDEX('Analysis of bottom-up tags'!$N$77:$W$118,MATCH(Dashboard!$B331,'Analysis of bottom-up tags'!$B$77:$B$118,0),MATCH(Dashboard!I$21,'Analysis of bottom-up tags'!$N$6:$W$6,0))*I$23</f>
        <v>0.54181961210944407</v>
      </c>
      <c r="J331" s="151">
        <f>INDEX('Analysis of bottom-up tags'!$N$77:$W$118,MATCH(Dashboard!$B331,'Analysis of bottom-up tags'!$B$77:$B$118,0),MATCH(Dashboard!J$21,'Analysis of bottom-up tags'!$N$6:$W$6,0))*J$23</f>
        <v>21.305581238488042</v>
      </c>
      <c r="K331" s="151">
        <f>INDEX('Analysis of bottom-up tags'!$N$77:$W$118,MATCH(Dashboard!$B331,'Analysis of bottom-up tags'!$B$77:$B$118,0),MATCH(Dashboard!K$21,'Analysis of bottom-up tags'!$N$6:$W$6,0))*K$23</f>
        <v>0.19779015872749539</v>
      </c>
      <c r="L331" s="151">
        <f>INDEX('Analysis of bottom-up tags'!$N$77:$W$118,MATCH(Dashboard!$B331,'Analysis of bottom-up tags'!$B$77:$B$118,0),MATCH(Dashboard!L$21,'Analysis of bottom-up tags'!$N$6:$W$6,0))*L$23</f>
        <v>16.137528219631449</v>
      </c>
      <c r="M331" s="151">
        <f t="shared" si="110"/>
        <v>42.910527187285169</v>
      </c>
      <c r="N331" s="151" t="str" cm="1">
        <f t="array" ref="N331">INDEX(Framework!$C$3:$C$119,MATCH(Dashboard!$B331,Framework!$D$3:$D$119,),)</f>
        <v>Production</v>
      </c>
      <c r="O331" s="101">
        <f t="shared" si="111"/>
        <v>2.6540137224317891E-3</v>
      </c>
    </row>
    <row r="332" spans="2:15">
      <c r="B332" s="151" t="s">
        <v>10965</v>
      </c>
      <c r="C332" s="151">
        <f>INDEX('Analysis of bottom-up tags'!$N$77:$W$118,MATCH(Dashboard!$B332,'Analysis of bottom-up tags'!$B$77:$B$118,0),MATCH(Dashboard!C$21,'Analysis of bottom-up tags'!$N$6:$W$6,0))*C$23</f>
        <v>0</v>
      </c>
      <c r="D332" s="151">
        <f>INDEX('Analysis of bottom-up tags'!$N$77:$W$118,MATCH(Dashboard!$B332,'Analysis of bottom-up tags'!$B$77:$B$118,0),MATCH(Dashboard!D$21,'Analysis of bottom-up tags'!$N$6:$W$6,0))*D$23</f>
        <v>0</v>
      </c>
      <c r="E332" s="151">
        <f>INDEX('Analysis of bottom-up tags'!$N$77:$W$118,MATCH(Dashboard!$B332,'Analysis of bottom-up tags'!$B$77:$B$118,0),MATCH(Dashboard!E$21,'Analysis of bottom-up tags'!$N$6:$W$6,0))*E$23</f>
        <v>0</v>
      </c>
      <c r="F332" s="151">
        <f>INDEX('Analysis of bottom-up tags'!$N$77:$W$118,MATCH(Dashboard!$B332,'Analysis of bottom-up tags'!$B$77:$B$118,0),MATCH(Dashboard!F$21,'Analysis of bottom-up tags'!$N$6:$W$6,0))*F$23</f>
        <v>0</v>
      </c>
      <c r="G332" s="151">
        <f>INDEX('Analysis of bottom-up tags'!$N$77:$W$118,MATCH(Dashboard!$B332,'Analysis of bottom-up tags'!$B$77:$B$118,0),MATCH(Dashboard!G$21,'Analysis of bottom-up tags'!$N$6:$W$6,0))*G$23</f>
        <v>0</v>
      </c>
      <c r="H332" s="151">
        <f>INDEX('Analysis of bottom-up tags'!$N$77:$W$118,MATCH(Dashboard!$B332,'Analysis of bottom-up tags'!$B$77:$B$118,0),MATCH(Dashboard!H$21,'Analysis of bottom-up tags'!$N$6:$W$6,0))*H$23</f>
        <v>0</v>
      </c>
      <c r="I332" s="151">
        <f>INDEX('Analysis of bottom-up tags'!$N$77:$W$118,MATCH(Dashboard!$B332,'Analysis of bottom-up tags'!$B$77:$B$118,0),MATCH(Dashboard!I$21,'Analysis of bottom-up tags'!$N$6:$W$6,0))*I$23</f>
        <v>0.29483552760044157</v>
      </c>
      <c r="J332" s="151">
        <f>INDEX('Analysis of bottom-up tags'!$N$77:$W$118,MATCH(Dashboard!$B332,'Analysis of bottom-up tags'!$B$77:$B$118,0),MATCH(Dashboard!J$21,'Analysis of bottom-up tags'!$N$6:$W$6,0))*J$23</f>
        <v>5.5967594295220522</v>
      </c>
      <c r="K332" s="151">
        <f>INDEX('Analysis of bottom-up tags'!$N$77:$W$118,MATCH(Dashboard!$B332,'Analysis of bottom-up tags'!$B$77:$B$118,0),MATCH(Dashboard!K$21,'Analysis of bottom-up tags'!$N$6:$W$6,0))*K$23</f>
        <v>3.3313865892614758</v>
      </c>
      <c r="L332" s="151">
        <f>INDEX('Analysis of bottom-up tags'!$N$77:$W$118,MATCH(Dashboard!$B332,'Analysis of bottom-up tags'!$B$77:$B$118,0),MATCH(Dashboard!L$21,'Analysis of bottom-up tags'!$N$6:$W$6,0))*L$23</f>
        <v>9.4955849473876057</v>
      </c>
      <c r="M332" s="151">
        <f t="shared" si="110"/>
        <v>18.718566493771576</v>
      </c>
      <c r="N332" s="151" t="str" cm="1">
        <f t="array" ref="N332">INDEX(Framework!$C$3:$C$119,MATCH(Dashboard!$B332,Framework!$D$3:$D$119,),)</f>
        <v xml:space="preserve">Post-production </v>
      </c>
      <c r="O332" s="101">
        <f t="shared" si="111"/>
        <v>1.1577422976393112E-3</v>
      </c>
    </row>
    <row r="333" spans="2:15">
      <c r="B333" s="151" t="s">
        <v>10813</v>
      </c>
      <c r="C333" s="151">
        <f>INDEX('Analysis of bottom-up tags'!$N$77:$W$118,MATCH(Dashboard!$B333,'Analysis of bottom-up tags'!$B$77:$B$118,0),MATCH(Dashboard!C$21,'Analysis of bottom-up tags'!$N$6:$W$6,0))*C$23</f>
        <v>0</v>
      </c>
      <c r="D333" s="151">
        <f>INDEX('Analysis of bottom-up tags'!$N$77:$W$118,MATCH(Dashboard!$B333,'Analysis of bottom-up tags'!$B$77:$B$118,0),MATCH(Dashboard!D$21,'Analysis of bottom-up tags'!$N$6:$W$6,0))*D$23</f>
        <v>0</v>
      </c>
      <c r="E333" s="151">
        <f>INDEX('Analysis of bottom-up tags'!$N$77:$W$118,MATCH(Dashboard!$B333,'Analysis of bottom-up tags'!$B$77:$B$118,0),MATCH(Dashboard!E$21,'Analysis of bottom-up tags'!$N$6:$W$6,0))*E$23</f>
        <v>302.62900723286708</v>
      </c>
      <c r="F333" s="151">
        <f>INDEX('Analysis of bottom-up tags'!$N$77:$W$118,MATCH(Dashboard!$B333,'Analysis of bottom-up tags'!$B$77:$B$118,0),MATCH(Dashboard!F$21,'Analysis of bottom-up tags'!$N$6:$W$6,0))*F$23</f>
        <v>0</v>
      </c>
      <c r="G333" s="151">
        <f>INDEX('Analysis of bottom-up tags'!$N$77:$W$118,MATCH(Dashboard!$B333,'Analysis of bottom-up tags'!$B$77:$B$118,0),MATCH(Dashboard!G$21,'Analysis of bottom-up tags'!$N$6:$W$6,0))*G$23</f>
        <v>5.0529724497260924</v>
      </c>
      <c r="H333" s="151">
        <f>INDEX('Analysis of bottom-up tags'!$N$77:$W$118,MATCH(Dashboard!$B333,'Analysis of bottom-up tags'!$B$77:$B$118,0),MATCH(Dashboard!H$21,'Analysis of bottom-up tags'!$N$6:$W$6,0))*H$23</f>
        <v>0</v>
      </c>
      <c r="I333" s="151">
        <f>INDEX('Analysis of bottom-up tags'!$N$77:$W$118,MATCH(Dashboard!$B333,'Analysis of bottom-up tags'!$B$77:$B$118,0),MATCH(Dashboard!I$21,'Analysis of bottom-up tags'!$N$6:$W$6,0))*I$23</f>
        <v>0</v>
      </c>
      <c r="J333" s="151">
        <f>INDEX('Analysis of bottom-up tags'!$N$77:$W$118,MATCH(Dashboard!$B333,'Analysis of bottom-up tags'!$B$77:$B$118,0),MATCH(Dashboard!J$21,'Analysis of bottom-up tags'!$N$6:$W$6,0))*J$23</f>
        <v>0.57971394848166202</v>
      </c>
      <c r="K333" s="151">
        <f>INDEX('Analysis of bottom-up tags'!$N$77:$W$118,MATCH(Dashboard!$B333,'Analysis of bottom-up tags'!$B$77:$B$118,0),MATCH(Dashboard!K$21,'Analysis of bottom-up tags'!$N$6:$W$6,0))*K$23</f>
        <v>0</v>
      </c>
      <c r="L333" s="151">
        <f>INDEX('Analysis of bottom-up tags'!$N$77:$W$118,MATCH(Dashboard!$B333,'Analysis of bottom-up tags'!$B$77:$B$118,0),MATCH(Dashboard!L$21,'Analysis of bottom-up tags'!$N$6:$W$6,0))*L$23</f>
        <v>0</v>
      </c>
      <c r="M333" s="151">
        <f t="shared" si="110"/>
        <v>308.26169363107482</v>
      </c>
      <c r="N333" s="151" t="str" cm="1">
        <f t="array" ref="N333">INDEX(Framework!$C$3:$C$119,MATCH(Dashboard!$B333,Framework!$D$3:$D$119,),)</f>
        <v xml:space="preserve">Post-production </v>
      </c>
      <c r="O333" s="101">
        <f t="shared" si="111"/>
        <v>1.9065968624113225E-2</v>
      </c>
    </row>
    <row r="334" spans="2:15">
      <c r="B334" s="151" t="s">
        <v>10961</v>
      </c>
      <c r="C334" s="151">
        <f>INDEX('Analysis of bottom-up tags'!$N$77:$W$118,MATCH(Dashboard!$B334,'Analysis of bottom-up tags'!$B$77:$B$118,0),MATCH(Dashboard!C$21,'Analysis of bottom-up tags'!$N$6:$W$6,0))*C$23</f>
        <v>0</v>
      </c>
      <c r="D334" s="151">
        <f>INDEX('Analysis of bottom-up tags'!$N$77:$W$118,MATCH(Dashboard!$B334,'Analysis of bottom-up tags'!$B$77:$B$118,0),MATCH(Dashboard!D$21,'Analysis of bottom-up tags'!$N$6:$W$6,0))*D$23</f>
        <v>0</v>
      </c>
      <c r="E334" s="151">
        <f>INDEX('Analysis of bottom-up tags'!$N$77:$W$118,MATCH(Dashboard!$B334,'Analysis of bottom-up tags'!$B$77:$B$118,0),MATCH(Dashboard!E$21,'Analysis of bottom-up tags'!$N$6:$W$6,0))*E$23</f>
        <v>0</v>
      </c>
      <c r="F334" s="151">
        <f>INDEX('Analysis of bottom-up tags'!$N$77:$W$118,MATCH(Dashboard!$B334,'Analysis of bottom-up tags'!$B$77:$B$118,0),MATCH(Dashboard!F$21,'Analysis of bottom-up tags'!$N$6:$W$6,0))*F$23</f>
        <v>0</v>
      </c>
      <c r="G334" s="151">
        <f>INDEX('Analysis of bottom-up tags'!$N$77:$W$118,MATCH(Dashboard!$B334,'Analysis of bottom-up tags'!$B$77:$B$118,0),MATCH(Dashboard!G$21,'Analysis of bottom-up tags'!$N$6:$W$6,0))*G$23</f>
        <v>0</v>
      </c>
      <c r="H334" s="151">
        <f>INDEX('Analysis of bottom-up tags'!$N$77:$W$118,MATCH(Dashboard!$B334,'Analysis of bottom-up tags'!$B$77:$B$118,0),MATCH(Dashboard!H$21,'Analysis of bottom-up tags'!$N$6:$W$6,0))*H$23</f>
        <v>0</v>
      </c>
      <c r="I334" s="151">
        <f>INDEX('Analysis of bottom-up tags'!$N$77:$W$118,MATCH(Dashboard!$B334,'Analysis of bottom-up tags'!$B$77:$B$118,0),MATCH(Dashboard!I$21,'Analysis of bottom-up tags'!$N$6:$W$6,0))*I$23</f>
        <v>0</v>
      </c>
      <c r="J334" s="151">
        <f>INDEX('Analysis of bottom-up tags'!$N$77:$W$118,MATCH(Dashboard!$B334,'Analysis of bottom-up tags'!$B$77:$B$118,0),MATCH(Dashboard!J$21,'Analysis of bottom-up tags'!$N$6:$W$6,0))*J$23</f>
        <v>0</v>
      </c>
      <c r="K334" s="151">
        <f>INDEX('Analysis of bottom-up tags'!$N$77:$W$118,MATCH(Dashboard!$B334,'Analysis of bottom-up tags'!$B$77:$B$118,0),MATCH(Dashboard!K$21,'Analysis of bottom-up tags'!$N$6:$W$6,0))*K$23</f>
        <v>0</v>
      </c>
      <c r="L334" s="151">
        <f>INDEX('Analysis of bottom-up tags'!$N$77:$W$118,MATCH(Dashboard!$B334,'Analysis of bottom-up tags'!$B$77:$B$118,0),MATCH(Dashboard!L$21,'Analysis of bottom-up tags'!$N$6:$W$6,0))*L$23</f>
        <v>12.088202433612764</v>
      </c>
      <c r="M334" s="151">
        <f t="shared" si="110"/>
        <v>12.088202433612764</v>
      </c>
      <c r="N334" s="151" t="str" cm="1">
        <f t="array" ref="N334">INDEX(Framework!$C$3:$C$119,MATCH(Dashboard!$B334,Framework!$D$3:$D$119,),)</f>
        <v>Production</v>
      </c>
      <c r="O334" s="101">
        <f t="shared" si="111"/>
        <v>7.476546489004201E-4</v>
      </c>
    </row>
    <row r="335" spans="2:15">
      <c r="B335" s="151" t="s">
        <v>10848</v>
      </c>
      <c r="C335" s="151">
        <f>INDEX('Analysis of bottom-up tags'!$N$77:$W$118,MATCH(Dashboard!$B335,'Analysis of bottom-up tags'!$B$77:$B$118,0),MATCH(Dashboard!C$21,'Analysis of bottom-up tags'!$N$6:$W$6,0))*C$23</f>
        <v>0</v>
      </c>
      <c r="D335" s="151">
        <f>INDEX('Analysis of bottom-up tags'!$N$77:$W$118,MATCH(Dashboard!$B335,'Analysis of bottom-up tags'!$B$77:$B$118,0),MATCH(Dashboard!D$21,'Analysis of bottom-up tags'!$N$6:$W$6,0))*D$23</f>
        <v>0</v>
      </c>
      <c r="E335" s="151">
        <f>INDEX('Analysis of bottom-up tags'!$N$77:$W$118,MATCH(Dashboard!$B335,'Analysis of bottom-up tags'!$B$77:$B$118,0),MATCH(Dashboard!E$21,'Analysis of bottom-up tags'!$N$6:$W$6,0))*E$23</f>
        <v>0</v>
      </c>
      <c r="F335" s="151">
        <f>INDEX('Analysis of bottom-up tags'!$N$77:$W$118,MATCH(Dashboard!$B335,'Analysis of bottom-up tags'!$B$77:$B$118,0),MATCH(Dashboard!F$21,'Analysis of bottom-up tags'!$N$6:$W$6,0))*F$23</f>
        <v>0</v>
      </c>
      <c r="G335" s="151">
        <f>INDEX('Analysis of bottom-up tags'!$N$77:$W$118,MATCH(Dashboard!$B335,'Analysis of bottom-up tags'!$B$77:$B$118,0),MATCH(Dashboard!G$21,'Analysis of bottom-up tags'!$N$6:$W$6,0))*G$23</f>
        <v>0</v>
      </c>
      <c r="H335" s="151">
        <f>INDEX('Analysis of bottom-up tags'!$N$77:$W$118,MATCH(Dashboard!$B335,'Analysis of bottom-up tags'!$B$77:$B$118,0),MATCH(Dashboard!H$21,'Analysis of bottom-up tags'!$N$6:$W$6,0))*H$23</f>
        <v>0</v>
      </c>
      <c r="I335" s="151">
        <f>INDEX('Analysis of bottom-up tags'!$N$77:$W$118,MATCH(Dashboard!$B335,'Analysis of bottom-up tags'!$B$77:$B$118,0),MATCH(Dashboard!I$21,'Analysis of bottom-up tags'!$N$6:$W$6,0))*I$23</f>
        <v>0</v>
      </c>
      <c r="J335" s="151">
        <f>INDEX('Analysis of bottom-up tags'!$N$77:$W$118,MATCH(Dashboard!$B335,'Analysis of bottom-up tags'!$B$77:$B$118,0),MATCH(Dashboard!J$21,'Analysis of bottom-up tags'!$N$6:$W$6,0))*J$23</f>
        <v>0</v>
      </c>
      <c r="K335" s="151">
        <f>INDEX('Analysis of bottom-up tags'!$N$77:$W$118,MATCH(Dashboard!$B335,'Analysis of bottom-up tags'!$B$77:$B$118,0),MATCH(Dashboard!K$21,'Analysis of bottom-up tags'!$N$6:$W$6,0))*K$23</f>
        <v>1.638362806150395</v>
      </c>
      <c r="L335" s="151">
        <f>INDEX('Analysis of bottom-up tags'!$N$77:$W$118,MATCH(Dashboard!$B335,'Analysis of bottom-up tags'!$B$77:$B$118,0),MATCH(Dashboard!L$21,'Analysis of bottom-up tags'!$N$6:$W$6,0))*L$23</f>
        <v>0</v>
      </c>
      <c r="M335" s="151">
        <f t="shared" si="110"/>
        <v>1.638362806150395</v>
      </c>
      <c r="N335" s="151" t="str" cm="1">
        <f t="array" ref="N335">INDEX(Framework!$C$3:$C$119,MATCH(Dashboard!$B335,Framework!$D$3:$D$119,),)</f>
        <v>Cross-cutting</v>
      </c>
      <c r="O335" s="101">
        <f t="shared" si="111"/>
        <v>1.013326485332352E-4</v>
      </c>
    </row>
    <row r="336" spans="2:15">
      <c r="B336" s="151" t="s">
        <v>10728</v>
      </c>
      <c r="C336" s="151">
        <f>INDEX('Analysis of bottom-up tags'!$N$77:$W$118,MATCH(Dashboard!$B336,'Analysis of bottom-up tags'!$B$77:$B$118,0),MATCH(Dashboard!C$21,'Analysis of bottom-up tags'!$N$6:$W$6,0))*C$23</f>
        <v>0</v>
      </c>
      <c r="D336" s="151">
        <f>INDEX('Analysis of bottom-up tags'!$N$77:$W$118,MATCH(Dashboard!$B336,'Analysis of bottom-up tags'!$B$77:$B$118,0),MATCH(Dashboard!D$21,'Analysis of bottom-up tags'!$N$6:$W$6,0))*D$23</f>
        <v>0</v>
      </c>
      <c r="E336" s="151">
        <f>INDEX('Analysis of bottom-up tags'!$N$77:$W$118,MATCH(Dashboard!$B336,'Analysis of bottom-up tags'!$B$77:$B$118,0),MATCH(Dashboard!E$21,'Analysis of bottom-up tags'!$N$6:$W$6,0))*E$23</f>
        <v>0</v>
      </c>
      <c r="F336" s="151">
        <f>INDEX('Analysis of bottom-up tags'!$N$77:$W$118,MATCH(Dashboard!$B336,'Analysis of bottom-up tags'!$B$77:$B$118,0),MATCH(Dashboard!F$21,'Analysis of bottom-up tags'!$N$6:$W$6,0))*F$23</f>
        <v>0</v>
      </c>
      <c r="G336" s="151">
        <f>INDEX('Analysis of bottom-up tags'!$N$77:$W$118,MATCH(Dashboard!$B336,'Analysis of bottom-up tags'!$B$77:$B$118,0),MATCH(Dashboard!G$21,'Analysis of bottom-up tags'!$N$6:$W$6,0))*G$23</f>
        <v>0</v>
      </c>
      <c r="H336" s="151">
        <f>INDEX('Analysis of bottom-up tags'!$N$77:$W$118,MATCH(Dashboard!$B336,'Analysis of bottom-up tags'!$B$77:$B$118,0),MATCH(Dashboard!H$21,'Analysis of bottom-up tags'!$N$6:$W$6,0))*H$23</f>
        <v>0</v>
      </c>
      <c r="I336" s="151">
        <f>INDEX('Analysis of bottom-up tags'!$N$77:$W$118,MATCH(Dashboard!$B336,'Analysis of bottom-up tags'!$B$77:$B$118,0),MATCH(Dashboard!I$21,'Analysis of bottom-up tags'!$N$6:$W$6,0))*I$23</f>
        <v>0</v>
      </c>
      <c r="J336" s="151">
        <f>INDEX('Analysis of bottom-up tags'!$N$77:$W$118,MATCH(Dashboard!$B336,'Analysis of bottom-up tags'!$B$77:$B$118,0),MATCH(Dashboard!J$21,'Analysis of bottom-up tags'!$N$6:$W$6,0))*J$23</f>
        <v>0</v>
      </c>
      <c r="K336" s="151">
        <f>INDEX('Analysis of bottom-up tags'!$N$77:$W$118,MATCH(Dashboard!$B336,'Analysis of bottom-up tags'!$B$77:$B$118,0),MATCH(Dashboard!K$21,'Analysis of bottom-up tags'!$N$6:$W$6,0))*K$23</f>
        <v>0</v>
      </c>
      <c r="L336" s="151">
        <f>INDEX('Analysis of bottom-up tags'!$N$77:$W$118,MATCH(Dashboard!$B336,'Analysis of bottom-up tags'!$B$77:$B$118,0),MATCH(Dashboard!L$21,'Analysis of bottom-up tags'!$N$6:$W$6,0))*L$23</f>
        <v>5.0167412317784486</v>
      </c>
      <c r="M336" s="151">
        <f t="shared" si="110"/>
        <v>5.0167412317784486</v>
      </c>
      <c r="N336" s="151" t="str" cm="1">
        <f t="array" ref="N336">INDEX(Framework!$C$3:$C$119,MATCH(Dashboard!$B336,Framework!$D$3:$D$119,),)</f>
        <v>Inputs</v>
      </c>
      <c r="O336" s="101">
        <f t="shared" si="111"/>
        <v>3.102851664561833E-4</v>
      </c>
    </row>
    <row r="337" spans="1:15">
      <c r="B337" s="151" t="s">
        <v>10861</v>
      </c>
      <c r="C337" s="151">
        <f>INDEX('Analysis of bottom-up tags'!$N$77:$W$118,MATCH(Dashboard!$B337,'Analysis of bottom-up tags'!$B$77:$B$118,0),MATCH(Dashboard!C$21,'Analysis of bottom-up tags'!$N$6:$W$6,0))*C$23</f>
        <v>0</v>
      </c>
      <c r="D337" s="151">
        <f>INDEX('Analysis of bottom-up tags'!$N$77:$W$118,MATCH(Dashboard!$B337,'Analysis of bottom-up tags'!$B$77:$B$118,0),MATCH(Dashboard!D$21,'Analysis of bottom-up tags'!$N$6:$W$6,0))*D$23</f>
        <v>0</v>
      </c>
      <c r="E337" s="151">
        <f>INDEX('Analysis of bottom-up tags'!$N$77:$W$118,MATCH(Dashboard!$B337,'Analysis of bottom-up tags'!$B$77:$B$118,0),MATCH(Dashboard!E$21,'Analysis of bottom-up tags'!$N$6:$W$6,0))*E$23</f>
        <v>0</v>
      </c>
      <c r="F337" s="151">
        <f>INDEX('Analysis of bottom-up tags'!$N$77:$W$118,MATCH(Dashboard!$B337,'Analysis of bottom-up tags'!$B$77:$B$118,0),MATCH(Dashboard!F$21,'Analysis of bottom-up tags'!$N$6:$W$6,0))*F$23</f>
        <v>0</v>
      </c>
      <c r="G337" s="151">
        <f>INDEX('Analysis of bottom-up tags'!$N$77:$W$118,MATCH(Dashboard!$B337,'Analysis of bottom-up tags'!$B$77:$B$118,0),MATCH(Dashboard!G$21,'Analysis of bottom-up tags'!$N$6:$W$6,0))*G$23</f>
        <v>0</v>
      </c>
      <c r="H337" s="151">
        <f>INDEX('Analysis of bottom-up tags'!$N$77:$W$118,MATCH(Dashboard!$B337,'Analysis of bottom-up tags'!$B$77:$B$118,0),MATCH(Dashboard!H$21,'Analysis of bottom-up tags'!$N$6:$W$6,0))*H$23</f>
        <v>0</v>
      </c>
      <c r="I337" s="151">
        <f>INDEX('Analysis of bottom-up tags'!$N$77:$W$118,MATCH(Dashboard!$B337,'Analysis of bottom-up tags'!$B$77:$B$118,0),MATCH(Dashboard!I$21,'Analysis of bottom-up tags'!$N$6:$W$6,0))*I$23</f>
        <v>0</v>
      </c>
      <c r="J337" s="151">
        <f>INDEX('Analysis of bottom-up tags'!$N$77:$W$118,MATCH(Dashboard!$B337,'Analysis of bottom-up tags'!$B$77:$B$118,0),MATCH(Dashboard!J$21,'Analysis of bottom-up tags'!$N$6:$W$6,0))*J$23</f>
        <v>0</v>
      </c>
      <c r="K337" s="151">
        <f>INDEX('Analysis of bottom-up tags'!$N$77:$W$118,MATCH(Dashboard!$B337,'Analysis of bottom-up tags'!$B$77:$B$118,0),MATCH(Dashboard!K$21,'Analysis of bottom-up tags'!$N$6:$W$6,0))*K$23</f>
        <v>0</v>
      </c>
      <c r="L337" s="151">
        <f>INDEX('Analysis of bottom-up tags'!$N$77:$W$118,MATCH(Dashboard!$B337,'Analysis of bottom-up tags'!$B$77:$B$118,0),MATCH(Dashboard!L$21,'Analysis of bottom-up tags'!$N$6:$W$6,0))*L$23</f>
        <v>0</v>
      </c>
      <c r="M337" s="151">
        <f t="shared" si="110"/>
        <v>0</v>
      </c>
      <c r="N337" s="151" t="str" cm="1">
        <f t="array" ref="N337">INDEX(Framework!$C$3:$C$119,MATCH(Dashboard!$B337,Framework!$D$3:$D$119,),)</f>
        <v>Soil &amp; water health management</v>
      </c>
      <c r="O337" s="101">
        <f t="shared" si="111"/>
        <v>0</v>
      </c>
    </row>
    <row r="338" spans="1:15">
      <c r="B338" s="151" t="s">
        <v>10780</v>
      </c>
      <c r="C338" s="151">
        <f>INDEX('Analysis of bottom-up tags'!$N$77:$W$118,MATCH(Dashboard!$B338,'Analysis of bottom-up tags'!$B$77:$B$118,0),MATCH(Dashboard!C$21,'Analysis of bottom-up tags'!$N$6:$W$6,0))*C$23</f>
        <v>0</v>
      </c>
      <c r="D338" s="151">
        <f>INDEX('Analysis of bottom-up tags'!$N$77:$W$118,MATCH(Dashboard!$B338,'Analysis of bottom-up tags'!$B$77:$B$118,0),MATCH(Dashboard!D$21,'Analysis of bottom-up tags'!$N$6:$W$6,0))*D$23</f>
        <v>0</v>
      </c>
      <c r="E338" s="151">
        <f>INDEX('Analysis of bottom-up tags'!$N$77:$W$118,MATCH(Dashboard!$B338,'Analysis of bottom-up tags'!$B$77:$B$118,0),MATCH(Dashboard!E$21,'Analysis of bottom-up tags'!$N$6:$W$6,0))*E$23</f>
        <v>0</v>
      </c>
      <c r="F338" s="151">
        <f>INDEX('Analysis of bottom-up tags'!$N$77:$W$118,MATCH(Dashboard!$B338,'Analysis of bottom-up tags'!$B$77:$B$118,0),MATCH(Dashboard!F$21,'Analysis of bottom-up tags'!$N$6:$W$6,0))*F$23</f>
        <v>0</v>
      </c>
      <c r="G338" s="151">
        <f>INDEX('Analysis of bottom-up tags'!$N$77:$W$118,MATCH(Dashboard!$B338,'Analysis of bottom-up tags'!$B$77:$B$118,0),MATCH(Dashboard!G$21,'Analysis of bottom-up tags'!$N$6:$W$6,0))*G$23</f>
        <v>0</v>
      </c>
      <c r="H338" s="151">
        <f>INDEX('Analysis of bottom-up tags'!$N$77:$W$118,MATCH(Dashboard!$B338,'Analysis of bottom-up tags'!$B$77:$B$118,0),MATCH(Dashboard!H$21,'Analysis of bottom-up tags'!$N$6:$W$6,0))*H$23</f>
        <v>0</v>
      </c>
      <c r="I338" s="151">
        <f>INDEX('Analysis of bottom-up tags'!$N$77:$W$118,MATCH(Dashboard!$B338,'Analysis of bottom-up tags'!$B$77:$B$118,0),MATCH(Dashboard!I$21,'Analysis of bottom-up tags'!$N$6:$W$6,0))*I$23</f>
        <v>0.1465639223245481</v>
      </c>
      <c r="J338" s="151">
        <f>INDEX('Analysis of bottom-up tags'!$N$77:$W$118,MATCH(Dashboard!$B338,'Analysis of bottom-up tags'!$B$77:$B$118,0),MATCH(Dashboard!J$21,'Analysis of bottom-up tags'!$N$6:$W$6,0))*J$23</f>
        <v>0.66040360248844843</v>
      </c>
      <c r="K338" s="151">
        <f>INDEX('Analysis of bottom-up tags'!$N$77:$W$118,MATCH(Dashboard!$B338,'Analysis of bottom-up tags'!$B$77:$B$118,0),MATCH(Dashboard!K$21,'Analysis of bottom-up tags'!$N$6:$W$6,0))*K$23</f>
        <v>0.14390908292902779</v>
      </c>
      <c r="L338" s="151">
        <f>INDEX('Analysis of bottom-up tags'!$N$77:$W$118,MATCH(Dashboard!$B338,'Analysis of bottom-up tags'!$B$77:$B$118,0),MATCH(Dashboard!L$21,'Analysis of bottom-up tags'!$N$6:$W$6,0))*L$23</f>
        <v>0</v>
      </c>
      <c r="M338" s="151">
        <f t="shared" si="110"/>
        <v>0.95087660774202432</v>
      </c>
      <c r="N338" s="151" t="str" cm="1">
        <f t="array" ref="N338">INDEX(Framework!$C$3:$C$119,MATCH(Dashboard!$B338,Framework!$D$3:$D$119,),)</f>
        <v>Production</v>
      </c>
      <c r="O338" s="101">
        <f t="shared" si="111"/>
        <v>5.8811665358297026E-5</v>
      </c>
    </row>
    <row r="339" spans="1:15">
      <c r="B339" s="151" t="s">
        <v>10857</v>
      </c>
      <c r="C339" s="151">
        <f>INDEX('Analysis of bottom-up tags'!$N$77:$W$118,MATCH(Dashboard!$B339,'Analysis of bottom-up tags'!$B$77:$B$118,0),MATCH(Dashboard!C$21,'Analysis of bottom-up tags'!$N$6:$W$6,0))*C$23</f>
        <v>0</v>
      </c>
      <c r="D339" s="151">
        <f>INDEX('Analysis of bottom-up tags'!$N$77:$W$118,MATCH(Dashboard!$B339,'Analysis of bottom-up tags'!$B$77:$B$118,0),MATCH(Dashboard!D$21,'Analysis of bottom-up tags'!$N$6:$W$6,0))*D$23</f>
        <v>0</v>
      </c>
      <c r="E339" s="151">
        <f>INDEX('Analysis of bottom-up tags'!$N$77:$W$118,MATCH(Dashboard!$B339,'Analysis of bottom-up tags'!$B$77:$B$118,0),MATCH(Dashboard!E$21,'Analysis of bottom-up tags'!$N$6:$W$6,0))*E$23</f>
        <v>0</v>
      </c>
      <c r="F339" s="151">
        <f>INDEX('Analysis of bottom-up tags'!$N$77:$W$118,MATCH(Dashboard!$B339,'Analysis of bottom-up tags'!$B$77:$B$118,0),MATCH(Dashboard!F$21,'Analysis of bottom-up tags'!$N$6:$W$6,0))*F$23</f>
        <v>0</v>
      </c>
      <c r="G339" s="151">
        <f>INDEX('Analysis of bottom-up tags'!$N$77:$W$118,MATCH(Dashboard!$B339,'Analysis of bottom-up tags'!$B$77:$B$118,0),MATCH(Dashboard!G$21,'Analysis of bottom-up tags'!$N$6:$W$6,0))*G$23</f>
        <v>0</v>
      </c>
      <c r="H339" s="151">
        <f>INDEX('Analysis of bottom-up tags'!$N$77:$W$118,MATCH(Dashboard!$B339,'Analysis of bottom-up tags'!$B$77:$B$118,0),MATCH(Dashboard!H$21,'Analysis of bottom-up tags'!$N$6:$W$6,0))*H$23</f>
        <v>0</v>
      </c>
      <c r="I339" s="151">
        <f>INDEX('Analysis of bottom-up tags'!$N$77:$W$118,MATCH(Dashboard!$B339,'Analysis of bottom-up tags'!$B$77:$B$118,0),MATCH(Dashboard!I$21,'Analysis of bottom-up tags'!$N$6:$W$6,0))*I$23</f>
        <v>0.29242621499040478</v>
      </c>
      <c r="J339" s="151">
        <f>INDEX('Analysis of bottom-up tags'!$N$77:$W$118,MATCH(Dashboard!$B339,'Analysis of bottom-up tags'!$B$77:$B$118,0),MATCH(Dashboard!J$21,'Analysis of bottom-up tags'!$N$6:$W$6,0))*J$23</f>
        <v>0</v>
      </c>
      <c r="K339" s="151">
        <f>INDEX('Analysis of bottom-up tags'!$N$77:$W$118,MATCH(Dashboard!$B339,'Analysis of bottom-up tags'!$B$77:$B$118,0),MATCH(Dashboard!K$21,'Analysis of bottom-up tags'!$N$6:$W$6,0))*K$23</f>
        <v>0</v>
      </c>
      <c r="L339" s="151">
        <f>INDEX('Analysis of bottom-up tags'!$N$77:$W$118,MATCH(Dashboard!$B339,'Analysis of bottom-up tags'!$B$77:$B$118,0),MATCH(Dashboard!L$21,'Analysis of bottom-up tags'!$N$6:$W$6,0))*L$23</f>
        <v>0</v>
      </c>
      <c r="M339" s="151">
        <f t="shared" si="110"/>
        <v>0.29242621499040478</v>
      </c>
      <c r="N339" s="151" t="str" cm="1">
        <f t="array" ref="N339">INDEX(Framework!$C$3:$C$119,MATCH(Dashboard!$B339,Framework!$D$3:$D$119,),)</f>
        <v>Soil &amp; water health management</v>
      </c>
      <c r="O339" s="101">
        <f t="shared" si="111"/>
        <v>1.8086545150004358E-5</v>
      </c>
    </row>
    <row r="340" spans="1:15">
      <c r="B340" s="151" t="s">
        <v>10966</v>
      </c>
      <c r="C340" s="151">
        <f>INDEX('Analysis of bottom-up tags'!$N$77:$W$118,MATCH(Dashboard!$B340,'Analysis of bottom-up tags'!$B$77:$B$118,0),MATCH(Dashboard!C$21,'Analysis of bottom-up tags'!$N$6:$W$6,0))*C$23</f>
        <v>0</v>
      </c>
      <c r="D340" s="151">
        <f>INDEX('Analysis of bottom-up tags'!$N$77:$W$118,MATCH(Dashboard!$B340,'Analysis of bottom-up tags'!$B$77:$B$118,0),MATCH(Dashboard!D$21,'Analysis of bottom-up tags'!$N$6:$W$6,0))*D$23</f>
        <v>0</v>
      </c>
      <c r="E340" s="151">
        <f>INDEX('Analysis of bottom-up tags'!$N$77:$W$118,MATCH(Dashboard!$B340,'Analysis of bottom-up tags'!$B$77:$B$118,0),MATCH(Dashboard!E$21,'Analysis of bottom-up tags'!$N$6:$W$6,0))*E$23</f>
        <v>0</v>
      </c>
      <c r="F340" s="151">
        <f>INDEX('Analysis of bottom-up tags'!$N$77:$W$118,MATCH(Dashboard!$B340,'Analysis of bottom-up tags'!$B$77:$B$118,0),MATCH(Dashboard!F$21,'Analysis of bottom-up tags'!$N$6:$W$6,0))*F$23</f>
        <v>0</v>
      </c>
      <c r="G340" s="151">
        <f>INDEX('Analysis of bottom-up tags'!$N$77:$W$118,MATCH(Dashboard!$B340,'Analysis of bottom-up tags'!$B$77:$B$118,0),MATCH(Dashboard!G$21,'Analysis of bottom-up tags'!$N$6:$W$6,0))*G$23</f>
        <v>0</v>
      </c>
      <c r="H340" s="151">
        <f>INDEX('Analysis of bottom-up tags'!$N$77:$W$118,MATCH(Dashboard!$B340,'Analysis of bottom-up tags'!$B$77:$B$118,0),MATCH(Dashboard!H$21,'Analysis of bottom-up tags'!$N$6:$W$6,0))*H$23</f>
        <v>0</v>
      </c>
      <c r="I340" s="151">
        <f>INDEX('Analysis of bottom-up tags'!$N$77:$W$118,MATCH(Dashboard!$B340,'Analysis of bottom-up tags'!$B$77:$B$118,0),MATCH(Dashboard!I$21,'Analysis of bottom-up tags'!$N$6:$W$6,0))*I$23</f>
        <v>0</v>
      </c>
      <c r="J340" s="151">
        <f>INDEX('Analysis of bottom-up tags'!$N$77:$W$118,MATCH(Dashboard!$B340,'Analysis of bottom-up tags'!$B$77:$B$118,0),MATCH(Dashboard!J$21,'Analysis of bottom-up tags'!$N$6:$W$6,0))*J$23</f>
        <v>0.20208879128051979</v>
      </c>
      <c r="K340" s="151">
        <f>INDEX('Analysis of bottom-up tags'!$N$77:$W$118,MATCH(Dashboard!$B340,'Analysis of bottom-up tags'!$B$77:$B$118,0),MATCH(Dashboard!K$21,'Analysis of bottom-up tags'!$N$6:$W$6,0))*K$23</f>
        <v>0</v>
      </c>
      <c r="L340" s="151">
        <f>INDEX('Analysis of bottom-up tags'!$N$77:$W$118,MATCH(Dashboard!$B340,'Analysis of bottom-up tags'!$B$77:$B$118,0),MATCH(Dashboard!L$21,'Analysis of bottom-up tags'!$N$6:$W$6,0))*L$23</f>
        <v>0.42164792101237136</v>
      </c>
      <c r="M340" s="151">
        <f t="shared" si="110"/>
        <v>0.62373671229289118</v>
      </c>
      <c r="N340" s="151" t="str" cm="1">
        <f t="array" ref="N340">INDEX(Framework!$C$3:$C$119,MATCH(Dashboard!$B340,Framework!$D$3:$D$119,),)</f>
        <v xml:space="preserve">Post-production </v>
      </c>
      <c r="O340" s="101">
        <f t="shared" si="111"/>
        <v>3.8578081000606669E-5</v>
      </c>
    </row>
    <row r="341" spans="1:15">
      <c r="B341" s="151" t="s">
        <v>10850</v>
      </c>
      <c r="C341" s="151">
        <f>INDEX('Analysis of bottom-up tags'!$N$77:$W$118,MATCH(Dashboard!$B341,'Analysis of bottom-up tags'!$B$77:$B$118,0),MATCH(Dashboard!C$21,'Analysis of bottom-up tags'!$N$6:$W$6,0))*C$23</f>
        <v>0</v>
      </c>
      <c r="D341" s="151">
        <f>INDEX('Analysis of bottom-up tags'!$N$77:$W$118,MATCH(Dashboard!$B341,'Analysis of bottom-up tags'!$B$77:$B$118,0),MATCH(Dashboard!D$21,'Analysis of bottom-up tags'!$N$6:$W$6,0))*D$23</f>
        <v>0</v>
      </c>
      <c r="E341" s="151">
        <f>INDEX('Analysis of bottom-up tags'!$N$77:$W$118,MATCH(Dashboard!$B341,'Analysis of bottom-up tags'!$B$77:$B$118,0),MATCH(Dashboard!E$21,'Analysis of bottom-up tags'!$N$6:$W$6,0))*E$23</f>
        <v>6.5172283240140683</v>
      </c>
      <c r="F341" s="151">
        <f>INDEX('Analysis of bottom-up tags'!$N$77:$W$118,MATCH(Dashboard!$B341,'Analysis of bottom-up tags'!$B$77:$B$118,0),MATCH(Dashboard!F$21,'Analysis of bottom-up tags'!$N$6:$W$6,0))*F$23</f>
        <v>0</v>
      </c>
      <c r="G341" s="151">
        <f>INDEX('Analysis of bottom-up tags'!$N$77:$W$118,MATCH(Dashboard!$B341,'Analysis of bottom-up tags'!$B$77:$B$118,0),MATCH(Dashboard!G$21,'Analysis of bottom-up tags'!$N$6:$W$6,0))*G$23</f>
        <v>0</v>
      </c>
      <c r="H341" s="151">
        <f>INDEX('Analysis of bottom-up tags'!$N$77:$W$118,MATCH(Dashboard!$B341,'Analysis of bottom-up tags'!$B$77:$B$118,0),MATCH(Dashboard!H$21,'Analysis of bottom-up tags'!$N$6:$W$6,0))*H$23</f>
        <v>0</v>
      </c>
      <c r="I341" s="151">
        <f>INDEX('Analysis of bottom-up tags'!$N$77:$W$118,MATCH(Dashboard!$B341,'Analysis of bottom-up tags'!$B$77:$B$118,0),MATCH(Dashboard!I$21,'Analysis of bottom-up tags'!$N$6:$W$6,0))*I$23</f>
        <v>0</v>
      </c>
      <c r="J341" s="151">
        <f>INDEX('Analysis of bottom-up tags'!$N$77:$W$118,MATCH(Dashboard!$B341,'Analysis of bottom-up tags'!$B$77:$B$118,0),MATCH(Dashboard!J$21,'Analysis of bottom-up tags'!$N$6:$W$6,0))*J$23</f>
        <v>0</v>
      </c>
      <c r="K341" s="151">
        <f>INDEX('Analysis of bottom-up tags'!$N$77:$W$118,MATCH(Dashboard!$B341,'Analysis of bottom-up tags'!$B$77:$B$118,0),MATCH(Dashboard!K$21,'Analysis of bottom-up tags'!$N$6:$W$6,0))*K$23</f>
        <v>0</v>
      </c>
      <c r="L341" s="151">
        <f>INDEX('Analysis of bottom-up tags'!$N$77:$W$118,MATCH(Dashboard!$B341,'Analysis of bottom-up tags'!$B$77:$B$118,0),MATCH(Dashboard!L$21,'Analysis of bottom-up tags'!$N$6:$W$6,0))*L$23</f>
        <v>0</v>
      </c>
      <c r="M341" s="151">
        <f t="shared" si="110"/>
        <v>6.5172283240140683</v>
      </c>
      <c r="N341" s="151" t="str" cm="1">
        <f t="array" ref="N341">INDEX(Framework!$C$3:$C$119,MATCH(Dashboard!$B341,Framework!$D$3:$D$119,),)</f>
        <v>Cross-cutting</v>
      </c>
      <c r="O341" s="101">
        <f t="shared" si="111"/>
        <v>4.0309020974414153E-4</v>
      </c>
    </row>
    <row r="342" spans="1:15">
      <c r="B342" s="151" t="s">
        <v>10737</v>
      </c>
      <c r="C342" s="151">
        <f>INDEX('Analysis of bottom-up tags'!$N$77:$W$118,MATCH(Dashboard!$B342,'Analysis of bottom-up tags'!$B$77:$B$118,0),MATCH(Dashboard!C$21,'Analysis of bottom-up tags'!$N$6:$W$6,0))*C$23</f>
        <v>0</v>
      </c>
      <c r="D342" s="151">
        <f>INDEX('Analysis of bottom-up tags'!$N$77:$W$118,MATCH(Dashboard!$B342,'Analysis of bottom-up tags'!$B$77:$B$118,0),MATCH(Dashboard!D$21,'Analysis of bottom-up tags'!$N$6:$W$6,0))*D$23</f>
        <v>0</v>
      </c>
      <c r="E342" s="151">
        <f>INDEX('Analysis of bottom-up tags'!$N$77:$W$118,MATCH(Dashboard!$B342,'Analysis of bottom-up tags'!$B$77:$B$118,0),MATCH(Dashboard!E$21,'Analysis of bottom-up tags'!$N$6:$W$6,0))*E$23</f>
        <v>0</v>
      </c>
      <c r="F342" s="151">
        <f>INDEX('Analysis of bottom-up tags'!$N$77:$W$118,MATCH(Dashboard!$B342,'Analysis of bottom-up tags'!$B$77:$B$118,0),MATCH(Dashboard!F$21,'Analysis of bottom-up tags'!$N$6:$W$6,0))*F$23</f>
        <v>0</v>
      </c>
      <c r="G342" s="151">
        <f>INDEX('Analysis of bottom-up tags'!$N$77:$W$118,MATCH(Dashboard!$B342,'Analysis of bottom-up tags'!$B$77:$B$118,0),MATCH(Dashboard!G$21,'Analysis of bottom-up tags'!$N$6:$W$6,0))*G$23</f>
        <v>0</v>
      </c>
      <c r="H342" s="151">
        <f>INDEX('Analysis of bottom-up tags'!$N$77:$W$118,MATCH(Dashboard!$B342,'Analysis of bottom-up tags'!$B$77:$B$118,0),MATCH(Dashboard!H$21,'Analysis of bottom-up tags'!$N$6:$W$6,0))*H$23</f>
        <v>0</v>
      </c>
      <c r="I342" s="151">
        <f>INDEX('Analysis of bottom-up tags'!$N$77:$W$118,MATCH(Dashboard!$B342,'Analysis of bottom-up tags'!$B$77:$B$118,0),MATCH(Dashboard!I$21,'Analysis of bottom-up tags'!$N$6:$W$6,0))*I$23</f>
        <v>0</v>
      </c>
      <c r="J342" s="151">
        <f>INDEX('Analysis of bottom-up tags'!$N$77:$W$118,MATCH(Dashboard!$B342,'Analysis of bottom-up tags'!$B$77:$B$118,0),MATCH(Dashboard!J$21,'Analysis of bottom-up tags'!$N$6:$W$6,0))*J$23</f>
        <v>0</v>
      </c>
      <c r="K342" s="151">
        <f>INDEX('Analysis of bottom-up tags'!$N$77:$W$118,MATCH(Dashboard!$B342,'Analysis of bottom-up tags'!$B$77:$B$118,0),MATCH(Dashboard!K$21,'Analysis of bottom-up tags'!$N$6:$W$6,0))*K$23</f>
        <v>0</v>
      </c>
      <c r="L342" s="151">
        <f>INDEX('Analysis of bottom-up tags'!$N$77:$W$118,MATCH(Dashboard!$B342,'Analysis of bottom-up tags'!$B$77:$B$118,0),MATCH(Dashboard!L$21,'Analysis of bottom-up tags'!$N$6:$W$6,0))*L$23</f>
        <v>0</v>
      </c>
      <c r="M342" s="151">
        <f t="shared" si="110"/>
        <v>0</v>
      </c>
      <c r="N342" s="151" t="str" cm="1">
        <f t="array" ref="N342">INDEX(Framework!$C$3:$C$119,MATCH(Dashboard!$B342,Framework!$D$3:$D$119,),)</f>
        <v>Inputs</v>
      </c>
      <c r="O342" s="101">
        <f t="shared" si="111"/>
        <v>0</v>
      </c>
    </row>
    <row r="343" spans="1:15">
      <c r="B343" s="151" t="s">
        <v>10733</v>
      </c>
      <c r="C343" s="151">
        <f>INDEX('Analysis of bottom-up tags'!$N$77:$W$118,MATCH(Dashboard!$B343,'Analysis of bottom-up tags'!$B$77:$B$118,0),MATCH(Dashboard!C$21,'Analysis of bottom-up tags'!$N$6:$W$6,0))*C$23</f>
        <v>0</v>
      </c>
      <c r="D343" s="151">
        <f>INDEX('Analysis of bottom-up tags'!$N$77:$W$118,MATCH(Dashboard!$B343,'Analysis of bottom-up tags'!$B$77:$B$118,0),MATCH(Dashboard!D$21,'Analysis of bottom-up tags'!$N$6:$W$6,0))*D$23</f>
        <v>0</v>
      </c>
      <c r="E343" s="151">
        <f>INDEX('Analysis of bottom-up tags'!$N$77:$W$118,MATCH(Dashboard!$B343,'Analysis of bottom-up tags'!$B$77:$B$118,0),MATCH(Dashboard!E$21,'Analysis of bottom-up tags'!$N$6:$W$6,0))*E$23</f>
        <v>0</v>
      </c>
      <c r="F343" s="151">
        <f>INDEX('Analysis of bottom-up tags'!$N$77:$W$118,MATCH(Dashboard!$B343,'Analysis of bottom-up tags'!$B$77:$B$118,0),MATCH(Dashboard!F$21,'Analysis of bottom-up tags'!$N$6:$W$6,0))*F$23</f>
        <v>0</v>
      </c>
      <c r="G343" s="151">
        <f>INDEX('Analysis of bottom-up tags'!$N$77:$W$118,MATCH(Dashboard!$B343,'Analysis of bottom-up tags'!$B$77:$B$118,0),MATCH(Dashboard!G$21,'Analysis of bottom-up tags'!$N$6:$W$6,0))*G$23</f>
        <v>0</v>
      </c>
      <c r="H343" s="151">
        <f>INDEX('Analysis of bottom-up tags'!$N$77:$W$118,MATCH(Dashboard!$B343,'Analysis of bottom-up tags'!$B$77:$B$118,0),MATCH(Dashboard!H$21,'Analysis of bottom-up tags'!$N$6:$W$6,0))*H$23</f>
        <v>0</v>
      </c>
      <c r="I343" s="151">
        <f>INDEX('Analysis of bottom-up tags'!$N$77:$W$118,MATCH(Dashboard!$B343,'Analysis of bottom-up tags'!$B$77:$B$118,0),MATCH(Dashboard!I$21,'Analysis of bottom-up tags'!$N$6:$W$6,0))*I$23</f>
        <v>0</v>
      </c>
      <c r="J343" s="151">
        <f>INDEX('Analysis of bottom-up tags'!$N$77:$W$118,MATCH(Dashboard!$B343,'Analysis of bottom-up tags'!$B$77:$B$118,0),MATCH(Dashboard!J$21,'Analysis of bottom-up tags'!$N$6:$W$6,0))*J$23</f>
        <v>0</v>
      </c>
      <c r="K343" s="151">
        <f>INDEX('Analysis of bottom-up tags'!$N$77:$W$118,MATCH(Dashboard!$B343,'Analysis of bottom-up tags'!$B$77:$B$118,0),MATCH(Dashboard!K$21,'Analysis of bottom-up tags'!$N$6:$W$6,0))*K$23</f>
        <v>0</v>
      </c>
      <c r="L343" s="151">
        <f>INDEX('Analysis of bottom-up tags'!$N$77:$W$118,MATCH(Dashboard!$B343,'Analysis of bottom-up tags'!$B$77:$B$118,0),MATCH(Dashboard!L$21,'Analysis of bottom-up tags'!$N$6:$W$6,0))*L$23</f>
        <v>0</v>
      </c>
      <c r="M343" s="151">
        <f t="shared" si="110"/>
        <v>0</v>
      </c>
      <c r="N343" s="151" t="str" cm="1">
        <f t="array" ref="N343">INDEX(Framework!$C$3:$C$119,MATCH(Dashboard!$B343,Framework!$D$3:$D$119,),)</f>
        <v>Inputs</v>
      </c>
      <c r="O343" s="101">
        <f t="shared" si="111"/>
        <v>0</v>
      </c>
    </row>
    <row r="344" spans="1:15">
      <c r="B344" s="151" t="s">
        <v>10763</v>
      </c>
      <c r="C344" s="151">
        <f>INDEX('Analysis of bottom-up tags'!$N$77:$W$118,MATCH(Dashboard!$B344,'Analysis of bottom-up tags'!$B$77:$B$118,0),MATCH(Dashboard!C$21,'Analysis of bottom-up tags'!$N$6:$W$6,0))*C$23</f>
        <v>0</v>
      </c>
      <c r="D344" s="151">
        <f>INDEX('Analysis of bottom-up tags'!$N$77:$W$118,MATCH(Dashboard!$B344,'Analysis of bottom-up tags'!$B$77:$B$118,0),MATCH(Dashboard!D$21,'Analysis of bottom-up tags'!$N$6:$W$6,0))*D$23</f>
        <v>0</v>
      </c>
      <c r="E344" s="151">
        <f>INDEX('Analysis of bottom-up tags'!$N$77:$W$118,MATCH(Dashboard!$B344,'Analysis of bottom-up tags'!$B$77:$B$118,0),MATCH(Dashboard!E$21,'Analysis of bottom-up tags'!$N$6:$W$6,0))*E$23</f>
        <v>0</v>
      </c>
      <c r="F344" s="151">
        <f>INDEX('Analysis of bottom-up tags'!$N$77:$W$118,MATCH(Dashboard!$B344,'Analysis of bottom-up tags'!$B$77:$B$118,0),MATCH(Dashboard!F$21,'Analysis of bottom-up tags'!$N$6:$W$6,0))*F$23</f>
        <v>0</v>
      </c>
      <c r="G344" s="151">
        <f>INDEX('Analysis of bottom-up tags'!$N$77:$W$118,MATCH(Dashboard!$B344,'Analysis of bottom-up tags'!$B$77:$B$118,0),MATCH(Dashboard!G$21,'Analysis of bottom-up tags'!$N$6:$W$6,0))*G$23</f>
        <v>0</v>
      </c>
      <c r="H344" s="151">
        <f>INDEX('Analysis of bottom-up tags'!$N$77:$W$118,MATCH(Dashboard!$B344,'Analysis of bottom-up tags'!$B$77:$B$118,0),MATCH(Dashboard!H$21,'Analysis of bottom-up tags'!$N$6:$W$6,0))*H$23</f>
        <v>0</v>
      </c>
      <c r="I344" s="151">
        <f>INDEX('Analysis of bottom-up tags'!$N$77:$W$118,MATCH(Dashboard!$B344,'Analysis of bottom-up tags'!$B$77:$B$118,0),MATCH(Dashboard!I$21,'Analysis of bottom-up tags'!$N$6:$W$6,0))*I$23</f>
        <v>0</v>
      </c>
      <c r="J344" s="151">
        <f>INDEX('Analysis of bottom-up tags'!$N$77:$W$118,MATCH(Dashboard!$B344,'Analysis of bottom-up tags'!$B$77:$B$118,0),MATCH(Dashboard!J$21,'Analysis of bottom-up tags'!$N$6:$W$6,0))*J$23</f>
        <v>0</v>
      </c>
      <c r="K344" s="151">
        <f>INDEX('Analysis of bottom-up tags'!$N$77:$W$118,MATCH(Dashboard!$B344,'Analysis of bottom-up tags'!$B$77:$B$118,0),MATCH(Dashboard!K$21,'Analysis of bottom-up tags'!$N$6:$W$6,0))*K$23</f>
        <v>0</v>
      </c>
      <c r="L344" s="151">
        <f>INDEX('Analysis of bottom-up tags'!$N$77:$W$118,MATCH(Dashboard!$B344,'Analysis of bottom-up tags'!$B$77:$B$118,0),MATCH(Dashboard!L$21,'Analysis of bottom-up tags'!$N$6:$W$6,0))*L$23</f>
        <v>0</v>
      </c>
      <c r="M344" s="151">
        <f t="shared" si="110"/>
        <v>0</v>
      </c>
      <c r="N344" s="151" t="str" cm="1">
        <f t="array" ref="N344">INDEX(Framework!$C$3:$C$119,MATCH(Dashboard!$B344,Framework!$D$3:$D$119,),)</f>
        <v>Production</v>
      </c>
      <c r="O344" s="101">
        <f t="shared" si="111"/>
        <v>0</v>
      </c>
    </row>
    <row r="345" spans="1:15">
      <c r="B345" s="151" t="s">
        <v>10722</v>
      </c>
      <c r="C345" s="151">
        <f>INDEX('Analysis of bottom-up tags'!$N$77:$W$118,MATCH(Dashboard!$B345,'Analysis of bottom-up tags'!$B$77:$B$118,0),MATCH(Dashboard!C$21,'Analysis of bottom-up tags'!$N$6:$W$6,0))*C$23</f>
        <v>0</v>
      </c>
      <c r="D345" s="151">
        <f>INDEX('Analysis of bottom-up tags'!$N$77:$W$118,MATCH(Dashboard!$B345,'Analysis of bottom-up tags'!$B$77:$B$118,0),MATCH(Dashboard!D$21,'Analysis of bottom-up tags'!$N$6:$W$6,0))*D$23</f>
        <v>0</v>
      </c>
      <c r="E345" s="151">
        <f>INDEX('Analysis of bottom-up tags'!$N$77:$W$118,MATCH(Dashboard!$B345,'Analysis of bottom-up tags'!$B$77:$B$118,0),MATCH(Dashboard!E$21,'Analysis of bottom-up tags'!$N$6:$W$6,0))*E$23</f>
        <v>0</v>
      </c>
      <c r="F345" s="151">
        <f>INDEX('Analysis of bottom-up tags'!$N$77:$W$118,MATCH(Dashboard!$B345,'Analysis of bottom-up tags'!$B$77:$B$118,0),MATCH(Dashboard!F$21,'Analysis of bottom-up tags'!$N$6:$W$6,0))*F$23</f>
        <v>0</v>
      </c>
      <c r="G345" s="151">
        <f>INDEX('Analysis of bottom-up tags'!$N$77:$W$118,MATCH(Dashboard!$B345,'Analysis of bottom-up tags'!$B$77:$B$118,0),MATCH(Dashboard!G$21,'Analysis of bottom-up tags'!$N$6:$W$6,0))*G$23</f>
        <v>0</v>
      </c>
      <c r="H345" s="151">
        <f>INDEX('Analysis of bottom-up tags'!$N$77:$W$118,MATCH(Dashboard!$B345,'Analysis of bottom-up tags'!$B$77:$B$118,0),MATCH(Dashboard!H$21,'Analysis of bottom-up tags'!$N$6:$W$6,0))*H$23</f>
        <v>0</v>
      </c>
      <c r="I345" s="151">
        <f>INDEX('Analysis of bottom-up tags'!$N$77:$W$118,MATCH(Dashboard!$B345,'Analysis of bottom-up tags'!$B$77:$B$118,0),MATCH(Dashboard!I$21,'Analysis of bottom-up tags'!$N$6:$W$6,0))*I$23</f>
        <v>0</v>
      </c>
      <c r="J345" s="151">
        <f>INDEX('Analysis of bottom-up tags'!$N$77:$W$118,MATCH(Dashboard!$B345,'Analysis of bottom-up tags'!$B$77:$B$118,0),MATCH(Dashboard!J$21,'Analysis of bottom-up tags'!$N$6:$W$6,0))*J$23</f>
        <v>0</v>
      </c>
      <c r="K345" s="151">
        <f>INDEX('Analysis of bottom-up tags'!$N$77:$W$118,MATCH(Dashboard!$B345,'Analysis of bottom-up tags'!$B$77:$B$118,0),MATCH(Dashboard!K$21,'Analysis of bottom-up tags'!$N$6:$W$6,0))*K$23</f>
        <v>0</v>
      </c>
      <c r="L345" s="151">
        <f>INDEX('Analysis of bottom-up tags'!$N$77:$W$118,MATCH(Dashboard!$B345,'Analysis of bottom-up tags'!$B$77:$B$118,0),MATCH(Dashboard!L$21,'Analysis of bottom-up tags'!$N$6:$W$6,0))*L$23</f>
        <v>0</v>
      </c>
      <c r="M345" s="151">
        <f t="shared" si="110"/>
        <v>0</v>
      </c>
      <c r="N345" s="151" t="str" cm="1">
        <f t="array" ref="N345">INDEX(Framework!$C$3:$C$119,MATCH(Dashboard!$B345,Framework!$D$3:$D$119,),)</f>
        <v>Inputs</v>
      </c>
      <c r="O345" s="101">
        <f t="shared" si="111"/>
        <v>0</v>
      </c>
    </row>
    <row r="346" spans="1:15">
      <c r="B346" s="151" t="s">
        <v>10731</v>
      </c>
      <c r="C346" s="151">
        <f>INDEX('Analysis of bottom-up tags'!$N$77:$W$118,MATCH(Dashboard!$B346,'Analysis of bottom-up tags'!$B$77:$B$118,0),MATCH(Dashboard!C$21,'Analysis of bottom-up tags'!$N$6:$W$6,0))*C$23</f>
        <v>0</v>
      </c>
      <c r="D346" s="151">
        <f>INDEX('Analysis of bottom-up tags'!$N$77:$W$118,MATCH(Dashboard!$B346,'Analysis of bottom-up tags'!$B$77:$B$118,0),MATCH(Dashboard!D$21,'Analysis of bottom-up tags'!$N$6:$W$6,0))*D$23</f>
        <v>0</v>
      </c>
      <c r="E346" s="151">
        <f>INDEX('Analysis of bottom-up tags'!$N$77:$W$118,MATCH(Dashboard!$B346,'Analysis of bottom-up tags'!$B$77:$B$118,0),MATCH(Dashboard!E$21,'Analysis of bottom-up tags'!$N$6:$W$6,0))*E$23</f>
        <v>0</v>
      </c>
      <c r="F346" s="151">
        <f>INDEX('Analysis of bottom-up tags'!$N$77:$W$118,MATCH(Dashboard!$B346,'Analysis of bottom-up tags'!$B$77:$B$118,0),MATCH(Dashboard!F$21,'Analysis of bottom-up tags'!$N$6:$W$6,0))*F$23</f>
        <v>0</v>
      </c>
      <c r="G346" s="151">
        <f>INDEX('Analysis of bottom-up tags'!$N$77:$W$118,MATCH(Dashboard!$B346,'Analysis of bottom-up tags'!$B$77:$B$118,0),MATCH(Dashboard!G$21,'Analysis of bottom-up tags'!$N$6:$W$6,0))*G$23</f>
        <v>0</v>
      </c>
      <c r="H346" s="151">
        <f>INDEX('Analysis of bottom-up tags'!$N$77:$W$118,MATCH(Dashboard!$B346,'Analysis of bottom-up tags'!$B$77:$B$118,0),MATCH(Dashboard!H$21,'Analysis of bottom-up tags'!$N$6:$W$6,0))*H$23</f>
        <v>0</v>
      </c>
      <c r="I346" s="151">
        <f>INDEX('Analysis of bottom-up tags'!$N$77:$W$118,MATCH(Dashboard!$B346,'Analysis of bottom-up tags'!$B$77:$B$118,0),MATCH(Dashboard!I$21,'Analysis of bottom-up tags'!$N$6:$W$6,0))*I$23</f>
        <v>0</v>
      </c>
      <c r="J346" s="151">
        <f>INDEX('Analysis of bottom-up tags'!$N$77:$W$118,MATCH(Dashboard!$B346,'Analysis of bottom-up tags'!$B$77:$B$118,0),MATCH(Dashboard!J$21,'Analysis of bottom-up tags'!$N$6:$W$6,0))*J$23</f>
        <v>0</v>
      </c>
      <c r="K346" s="151">
        <f>INDEX('Analysis of bottom-up tags'!$N$77:$W$118,MATCH(Dashboard!$B346,'Analysis of bottom-up tags'!$B$77:$B$118,0),MATCH(Dashboard!K$21,'Analysis of bottom-up tags'!$N$6:$W$6,0))*K$23</f>
        <v>0</v>
      </c>
      <c r="L346" s="151">
        <f>INDEX('Analysis of bottom-up tags'!$N$77:$W$118,MATCH(Dashboard!$B346,'Analysis of bottom-up tags'!$B$77:$B$118,0),MATCH(Dashboard!L$21,'Analysis of bottom-up tags'!$N$6:$W$6,0))*L$23</f>
        <v>0</v>
      </c>
      <c r="M346" s="151">
        <f t="shared" si="110"/>
        <v>0</v>
      </c>
      <c r="N346" s="151" t="str" cm="1">
        <f t="array" ref="N346">INDEX(Framework!$C$3:$C$119,MATCH(Dashboard!$B346,Framework!$D$3:$D$119,),)</f>
        <v>Inputs</v>
      </c>
      <c r="O346" s="101">
        <f t="shared" si="111"/>
        <v>0</v>
      </c>
    </row>
    <row r="347" spans="1:15">
      <c r="B347" s="151" t="s">
        <v>10645</v>
      </c>
      <c r="C347" s="151">
        <f>INDEX('Analysis of bottom-up tags'!$N$77:$W$118,MATCH(Dashboard!$B347,'Analysis of bottom-up tags'!$B$77:$B$118,0),MATCH(Dashboard!C$21,'Analysis of bottom-up tags'!$N$6:$W$6,0))*C$23</f>
        <v>0</v>
      </c>
      <c r="D347" s="151">
        <f>INDEX('Analysis of bottom-up tags'!$N$77:$W$118,MATCH(Dashboard!$B347,'Analysis of bottom-up tags'!$B$77:$B$118,0),MATCH(Dashboard!D$21,'Analysis of bottom-up tags'!$N$6:$W$6,0))*D$23</f>
        <v>0</v>
      </c>
      <c r="E347" s="151">
        <f>INDEX('Analysis of bottom-up tags'!$N$77:$W$118,MATCH(Dashboard!$B347,'Analysis of bottom-up tags'!$B$77:$B$118,0),MATCH(Dashboard!E$21,'Analysis of bottom-up tags'!$N$6:$W$6,0))*E$23</f>
        <v>0</v>
      </c>
      <c r="F347" s="151">
        <f>INDEX('Analysis of bottom-up tags'!$N$77:$W$118,MATCH(Dashboard!$B347,'Analysis of bottom-up tags'!$B$77:$B$118,0),MATCH(Dashboard!F$21,'Analysis of bottom-up tags'!$N$6:$W$6,0))*F$23</f>
        <v>0</v>
      </c>
      <c r="G347" s="151">
        <f>INDEX('Analysis of bottom-up tags'!$N$77:$W$118,MATCH(Dashboard!$B347,'Analysis of bottom-up tags'!$B$77:$B$118,0),MATCH(Dashboard!G$21,'Analysis of bottom-up tags'!$N$6:$W$6,0))*G$23</f>
        <v>0</v>
      </c>
      <c r="H347" s="151">
        <f>INDEX('Analysis of bottom-up tags'!$N$77:$W$118,MATCH(Dashboard!$B347,'Analysis of bottom-up tags'!$B$77:$B$118,0),MATCH(Dashboard!H$21,'Analysis of bottom-up tags'!$N$6:$W$6,0))*H$23</f>
        <v>0</v>
      </c>
      <c r="I347" s="151">
        <f>INDEX('Analysis of bottom-up tags'!$N$77:$W$118,MATCH(Dashboard!$B347,'Analysis of bottom-up tags'!$B$77:$B$118,0),MATCH(Dashboard!I$21,'Analysis of bottom-up tags'!$N$6:$W$6,0))*I$23</f>
        <v>0</v>
      </c>
      <c r="J347" s="151">
        <f>INDEX('Analysis of bottom-up tags'!$N$77:$W$118,MATCH(Dashboard!$B347,'Analysis of bottom-up tags'!$B$77:$B$118,0),MATCH(Dashboard!J$21,'Analysis of bottom-up tags'!$N$6:$W$6,0))*J$23</f>
        <v>0</v>
      </c>
      <c r="K347" s="151">
        <f>INDEX('Analysis of bottom-up tags'!$N$77:$W$118,MATCH(Dashboard!$B347,'Analysis of bottom-up tags'!$B$77:$B$118,0),MATCH(Dashboard!K$21,'Analysis of bottom-up tags'!$N$6:$W$6,0))*K$23</f>
        <v>0</v>
      </c>
      <c r="L347" s="151">
        <f>INDEX('Analysis of bottom-up tags'!$N$77:$W$118,MATCH(Dashboard!$B347,'Analysis of bottom-up tags'!$B$77:$B$118,0),MATCH(Dashboard!L$21,'Analysis of bottom-up tags'!$N$6:$W$6,0))*L$23</f>
        <v>0</v>
      </c>
      <c r="M347" s="151">
        <f t="shared" si="110"/>
        <v>0</v>
      </c>
      <c r="N347" s="151" t="str" cm="1">
        <f t="array" ref="N347">INDEX(Framework!$C$3:$C$119,MATCH(Dashboard!$B347,Framework!$D$3:$D$119,),)</f>
        <v xml:space="preserve">Agriculture financing systems </v>
      </c>
      <c r="O347" s="101">
        <f t="shared" si="111"/>
        <v>0</v>
      </c>
    </row>
    <row r="348" spans="1:15">
      <c r="B348" s="166" t="s">
        <v>11042</v>
      </c>
      <c r="C348" s="166">
        <f t="shared" ref="C348:L348" si="112">SUM(C306:C347)</f>
        <v>1287.993925131045</v>
      </c>
      <c r="D348" s="166">
        <f t="shared" si="112"/>
        <v>1406.61825951116</v>
      </c>
      <c r="E348" s="166">
        <f t="shared" si="112"/>
        <v>1309.7452990091585</v>
      </c>
      <c r="F348" s="166">
        <f t="shared" si="112"/>
        <v>1247.7109534579788</v>
      </c>
      <c r="G348" s="166">
        <f t="shared" si="112"/>
        <v>1678.1109415650537</v>
      </c>
      <c r="H348" s="166">
        <f t="shared" si="112"/>
        <v>1803.5667116428806</v>
      </c>
      <c r="I348" s="166">
        <f t="shared" si="112"/>
        <v>1633.9774460035449</v>
      </c>
      <c r="J348" s="166">
        <f t="shared" si="112"/>
        <v>1816.9943500540323</v>
      </c>
      <c r="K348" s="166">
        <f t="shared" si="112"/>
        <v>2044.3915928868641</v>
      </c>
      <c r="L348" s="166">
        <f t="shared" si="112"/>
        <v>1939.0537915625237</v>
      </c>
      <c r="M348" s="166">
        <f t="shared" si="110"/>
        <v>16168.16327082424</v>
      </c>
    </row>
    <row r="349" spans="1:15">
      <c r="B349" s="176"/>
      <c r="C349" s="176"/>
      <c r="D349" s="176"/>
      <c r="E349" s="176"/>
      <c r="F349" s="176"/>
      <c r="G349" s="176"/>
      <c r="H349" s="176"/>
      <c r="I349" s="176"/>
      <c r="J349" s="176"/>
      <c r="K349" s="176"/>
      <c r="L349" s="176"/>
      <c r="M349" s="176"/>
    </row>
    <row r="350" spans="1:15">
      <c r="A350" s="151" t="s">
        <v>11126</v>
      </c>
      <c r="B350" s="163" t="s">
        <v>2</v>
      </c>
      <c r="C350" s="163"/>
      <c r="D350" s="163"/>
      <c r="E350" s="163"/>
      <c r="F350" s="163"/>
      <c r="G350" s="163"/>
      <c r="H350" s="163"/>
      <c r="I350" s="163"/>
      <c r="J350" s="163"/>
      <c r="K350" s="163"/>
      <c r="L350" s="163"/>
      <c r="M350" s="163"/>
    </row>
    <row r="351" spans="1:15">
      <c r="B351" s="22" t="s">
        <v>2057</v>
      </c>
      <c r="C351" s="151">
        <f>INDEX('Analysis of bottom-up tags'!$N$122:$W$153,MATCH(Dashboard!$B351,'Analysis of bottom-up tags'!$B$122:$B$153,0),MATCH(Dashboard!C$21,'Analysis of bottom-up tags'!$N$6:$W$6,0))*C$23</f>
        <v>20.831242162363544</v>
      </c>
      <c r="D351" s="151">
        <f>INDEX('Analysis of bottom-up tags'!$N$122:$W$153,MATCH(Dashboard!$B351,'Analysis of bottom-up tags'!$B$122:$B$153,0),MATCH(Dashboard!D$21,'Analysis of bottom-up tags'!$N$6:$W$6,0))*D$23</f>
        <v>459.78531922427527</v>
      </c>
      <c r="E351" s="151">
        <f>INDEX('Analysis of bottom-up tags'!$N$122:$W$153,MATCH(Dashboard!$B351,'Analysis of bottom-up tags'!$B$122:$B$153,0),MATCH(Dashboard!E$21,'Analysis of bottom-up tags'!$N$6:$W$6,0))*E$23</f>
        <v>302.62900723286708</v>
      </c>
      <c r="F351" s="151">
        <f>INDEX('Analysis of bottom-up tags'!$N$122:$W$153,MATCH(Dashboard!$B351,'Analysis of bottom-up tags'!$B$122:$B$153,0),MATCH(Dashboard!F$21,'Analysis of bottom-up tags'!$N$6:$W$6,0))*F$23</f>
        <v>305.32261413424084</v>
      </c>
      <c r="G351" s="151">
        <f>INDEX('Analysis of bottom-up tags'!$N$122:$W$153,MATCH(Dashboard!$B351,'Analysis of bottom-up tags'!$B$122:$B$153,0),MATCH(Dashboard!G$21,'Analysis of bottom-up tags'!$N$6:$W$6,0))*G$23</f>
        <v>1178.277307662328</v>
      </c>
      <c r="H351" s="151">
        <f>INDEX('Analysis of bottom-up tags'!$N$122:$W$153,MATCH(Dashboard!$B351,'Analysis of bottom-up tags'!$B$122:$B$153,0),MATCH(Dashboard!H$21,'Analysis of bottom-up tags'!$N$6:$W$6,0))*H$23</f>
        <v>1585.614481127752</v>
      </c>
      <c r="I351" s="151">
        <f>INDEX('Analysis of bottom-up tags'!$N$122:$W$153,MATCH(Dashboard!$B351,'Analysis of bottom-up tags'!$B$122:$B$153,0),MATCH(Dashboard!I$21,'Analysis of bottom-up tags'!$N$6:$W$6,0))*I$23</f>
        <v>1489.8732727022834</v>
      </c>
      <c r="J351" s="151">
        <f>INDEX('Analysis of bottom-up tags'!$N$122:$W$153,MATCH(Dashboard!$B351,'Analysis of bottom-up tags'!$B$122:$B$153,0),MATCH(Dashboard!J$21,'Analysis of bottom-up tags'!$N$6:$W$6,0))*J$23</f>
        <v>869.80516619031516</v>
      </c>
      <c r="K351" s="151">
        <f>INDEX('Analysis of bottom-up tags'!$N$122:$W$153,MATCH(Dashboard!$B351,'Analysis of bottom-up tags'!$B$122:$B$153,0),MATCH(Dashboard!K$21,'Analysis of bottom-up tags'!$N$6:$W$6,0))*K$23</f>
        <v>1793.6872640624426</v>
      </c>
      <c r="L351" s="151">
        <f>INDEX('Analysis of bottom-up tags'!$N$122:$W$153,MATCH(Dashboard!$B351,'Analysis of bottom-up tags'!$B$122:$B$153,0),MATCH(Dashboard!L$21,'Analysis of bottom-up tags'!$N$6:$W$6,0))*L$23</f>
        <v>126.57031318488742</v>
      </c>
      <c r="M351" s="151">
        <f t="shared" ref="M351:M383" si="113">SUM(C351:L351)</f>
        <v>8132.3959876837553</v>
      </c>
      <c r="N351" s="101">
        <f>M351/SUM($M$351:$M$378)</f>
        <v>0.50298824000366338</v>
      </c>
    </row>
    <row r="352" spans="1:15">
      <c r="B352" s="22" t="s">
        <v>3994</v>
      </c>
      <c r="C352" s="151">
        <f>INDEX('Analysis of bottom-up tags'!$N$122:$W$153,MATCH(Dashboard!$B352,'Analysis of bottom-up tags'!$B$122:$B$153,0),MATCH(Dashboard!C$21,'Analysis of bottom-up tags'!$N$6:$W$6,0))*C$23</f>
        <v>1236.2174736258103</v>
      </c>
      <c r="D352" s="151">
        <f>INDEX('Analysis of bottom-up tags'!$N$122:$W$153,MATCH(Dashboard!$B352,'Analysis of bottom-up tags'!$B$122:$B$153,0),MATCH(Dashboard!D$21,'Analysis of bottom-up tags'!$N$6:$W$6,0))*D$23</f>
        <v>946.15766200533722</v>
      </c>
      <c r="E352" s="151">
        <f>INDEX('Analysis of bottom-up tags'!$N$122:$W$153,MATCH(Dashboard!$B352,'Analysis of bottom-up tags'!$B$122:$B$153,0),MATCH(Dashboard!E$21,'Analysis of bottom-up tags'!$N$6:$W$6,0))*E$23</f>
        <v>790.3011581688769</v>
      </c>
      <c r="F352" s="151">
        <f>INDEX('Analysis of bottom-up tags'!$N$122:$W$153,MATCH(Dashboard!$B352,'Analysis of bottom-up tags'!$B$122:$B$153,0),MATCH(Dashboard!F$21,'Analysis of bottom-up tags'!$N$6:$W$6,0))*F$23</f>
        <v>931.60590657261787</v>
      </c>
      <c r="G352" s="151">
        <f>INDEX('Analysis of bottom-up tags'!$N$122:$W$153,MATCH(Dashboard!$B352,'Analysis of bottom-up tags'!$B$122:$B$153,0),MATCH(Dashboard!G$21,'Analysis of bottom-up tags'!$N$6:$W$6,0))*G$23</f>
        <v>395.84430031019696</v>
      </c>
      <c r="H352" s="151">
        <f>INDEX('Analysis of bottom-up tags'!$N$122:$W$153,MATCH(Dashboard!$B352,'Analysis of bottom-up tags'!$B$122:$B$153,0),MATCH(Dashboard!H$21,'Analysis of bottom-up tags'!$N$6:$W$6,0))*H$23</f>
        <v>206.45688771073097</v>
      </c>
      <c r="I352" s="151">
        <f>INDEX('Analysis of bottom-up tags'!$N$122:$W$153,MATCH(Dashboard!$B352,'Analysis of bottom-up tags'!$B$122:$B$153,0),MATCH(Dashboard!I$21,'Analysis of bottom-up tags'!$N$6:$W$6,0))*I$23</f>
        <v>89.660340004232594</v>
      </c>
      <c r="J352" s="151">
        <f>INDEX('Analysis of bottom-up tags'!$N$122:$W$153,MATCH(Dashboard!$B352,'Analysis of bottom-up tags'!$B$122:$B$153,0),MATCH(Dashboard!J$21,'Analysis of bottom-up tags'!$N$6:$W$6,0))*J$23</f>
        <v>548.73290284286554</v>
      </c>
      <c r="K352" s="151">
        <f>INDEX('Analysis of bottom-up tags'!$N$122:$W$153,MATCH(Dashboard!$B352,'Analysis of bottom-up tags'!$B$122:$B$153,0),MATCH(Dashboard!K$21,'Analysis of bottom-up tags'!$N$6:$W$6,0))*K$23</f>
        <v>186.67486795607246</v>
      </c>
      <c r="L352" s="151">
        <f>INDEX('Analysis of bottom-up tags'!$N$122:$W$153,MATCH(Dashboard!$B352,'Analysis of bottom-up tags'!$B$122:$B$153,0),MATCH(Dashboard!L$21,'Analysis of bottom-up tags'!$N$6:$W$6,0))*L$23</f>
        <v>1478.065646614072</v>
      </c>
      <c r="M352" s="151">
        <f t="shared" si="113"/>
        <v>6809.7171458108123</v>
      </c>
      <c r="N352" s="101">
        <f t="shared" ref="N352:N378" si="114">M352/SUM($M$351:$M$378)</f>
        <v>0.42118062712163967</v>
      </c>
    </row>
    <row r="353" spans="2:14">
      <c r="B353" s="22" t="s">
        <v>5333</v>
      </c>
      <c r="C353" s="151">
        <f>INDEX('Analysis of bottom-up tags'!$N$122:$W$153,MATCH(Dashboard!$B353,'Analysis of bottom-up tags'!$B$122:$B$153,0),MATCH(Dashboard!C$21,'Analysis of bottom-up tags'!$N$6:$W$6,0))*C$23</f>
        <v>0</v>
      </c>
      <c r="D353" s="151">
        <f>INDEX('Analysis of bottom-up tags'!$N$122:$W$153,MATCH(Dashboard!$B353,'Analysis of bottom-up tags'!$B$122:$B$153,0),MATCH(Dashboard!D$21,'Analysis of bottom-up tags'!$N$6:$W$6,0))*D$23</f>
        <v>0</v>
      </c>
      <c r="E353" s="151">
        <f>INDEX('Analysis of bottom-up tags'!$N$122:$W$153,MATCH(Dashboard!$B353,'Analysis of bottom-up tags'!$B$122:$B$153,0),MATCH(Dashboard!E$21,'Analysis of bottom-up tags'!$N$6:$W$6,0))*E$23</f>
        <v>0</v>
      </c>
      <c r="F353" s="151">
        <f>INDEX('Analysis of bottom-up tags'!$N$122:$W$153,MATCH(Dashboard!$B353,'Analysis of bottom-up tags'!$B$122:$B$153,0),MATCH(Dashboard!F$21,'Analysis of bottom-up tags'!$N$6:$W$6,0))*F$23</f>
        <v>0</v>
      </c>
      <c r="G353" s="151">
        <f>INDEX('Analysis of bottom-up tags'!$N$122:$W$153,MATCH(Dashboard!$B353,'Analysis of bottom-up tags'!$B$122:$B$153,0),MATCH(Dashboard!G$21,'Analysis of bottom-up tags'!$N$6:$W$6,0))*G$23</f>
        <v>0</v>
      </c>
      <c r="H353" s="151">
        <f>INDEX('Analysis of bottom-up tags'!$N$122:$W$153,MATCH(Dashboard!$B353,'Analysis of bottom-up tags'!$B$122:$B$153,0),MATCH(Dashboard!H$21,'Analysis of bottom-up tags'!$N$6:$W$6,0))*H$23</f>
        <v>3.7941146673640938</v>
      </c>
      <c r="I353" s="151">
        <f>INDEX('Analysis of bottom-up tags'!$N$122:$W$153,MATCH(Dashboard!$B353,'Analysis of bottom-up tags'!$B$122:$B$153,0),MATCH(Dashboard!I$21,'Analysis of bottom-up tags'!$N$6:$W$6,0))*I$23</f>
        <v>1.1871402177949184</v>
      </c>
      <c r="J353" s="151">
        <f>INDEX('Analysis of bottom-up tags'!$N$122:$W$153,MATCH(Dashboard!$B353,'Analysis of bottom-up tags'!$B$122:$B$153,0),MATCH(Dashboard!J$21,'Analysis of bottom-up tags'!$N$6:$W$6,0))*J$23</f>
        <v>66.320404678265888</v>
      </c>
      <c r="K353" s="151">
        <f>INDEX('Analysis of bottom-up tags'!$N$122:$W$153,MATCH(Dashboard!$B353,'Analysis of bottom-up tags'!$B$122:$B$153,0),MATCH(Dashboard!K$21,'Analysis of bottom-up tags'!$N$6:$W$6,0))*K$23</f>
        <v>1.7480010530756709</v>
      </c>
      <c r="L353" s="151">
        <f>INDEX('Analysis of bottom-up tags'!$N$122:$W$153,MATCH(Dashboard!$B353,'Analysis of bottom-up tags'!$B$122:$B$153,0),MATCH(Dashboard!L$21,'Analysis of bottom-up tags'!$N$6:$W$6,0))*L$23</f>
        <v>9.0833431724501779</v>
      </c>
      <c r="M353" s="151">
        <f t="shared" si="113"/>
        <v>82.133003788950759</v>
      </c>
      <c r="N353" s="101">
        <f t="shared" si="114"/>
        <v>5.0799217210504895E-3</v>
      </c>
    </row>
    <row r="354" spans="2:14">
      <c r="B354" s="22" t="s">
        <v>5208</v>
      </c>
      <c r="C354" s="151">
        <f>INDEX('Analysis of bottom-up tags'!$N$122:$W$153,MATCH(Dashboard!$B354,'Analysis of bottom-up tags'!$B$122:$B$153,0),MATCH(Dashboard!C$21,'Analysis of bottom-up tags'!$N$6:$W$6,0))*C$23</f>
        <v>0</v>
      </c>
      <c r="D354" s="151">
        <f>INDEX('Analysis of bottom-up tags'!$N$122:$W$153,MATCH(Dashboard!$B354,'Analysis of bottom-up tags'!$B$122:$B$153,0),MATCH(Dashboard!D$21,'Analysis of bottom-up tags'!$N$6:$W$6,0))*D$23</f>
        <v>0</v>
      </c>
      <c r="E354" s="151">
        <f>INDEX('Analysis of bottom-up tags'!$N$122:$W$153,MATCH(Dashboard!$B354,'Analysis of bottom-up tags'!$B$122:$B$153,0),MATCH(Dashboard!E$21,'Analysis of bottom-up tags'!$N$6:$W$6,0))*E$23</f>
        <v>0</v>
      </c>
      <c r="F354" s="151">
        <f>INDEX('Analysis of bottom-up tags'!$N$122:$W$153,MATCH(Dashboard!$B354,'Analysis of bottom-up tags'!$B$122:$B$153,0),MATCH(Dashboard!F$21,'Analysis of bottom-up tags'!$N$6:$W$6,0))*F$23</f>
        <v>0</v>
      </c>
      <c r="G354" s="151">
        <f>INDEX('Analysis of bottom-up tags'!$N$122:$W$153,MATCH(Dashboard!$B354,'Analysis of bottom-up tags'!$B$122:$B$153,0),MATCH(Dashboard!G$21,'Analysis of bottom-up tags'!$N$6:$W$6,0))*G$23</f>
        <v>55.7021766295994</v>
      </c>
      <c r="H354" s="151">
        <f>INDEX('Analysis of bottom-up tags'!$N$122:$W$153,MATCH(Dashboard!$B354,'Analysis of bottom-up tags'!$B$122:$B$153,0),MATCH(Dashboard!H$21,'Analysis of bottom-up tags'!$N$6:$W$6,0))*H$23</f>
        <v>0.30946990069522873</v>
      </c>
      <c r="I354" s="151">
        <f>INDEX('Analysis of bottom-up tags'!$N$122:$W$153,MATCH(Dashboard!$B354,'Analysis of bottom-up tags'!$B$122:$B$153,0),MATCH(Dashboard!I$21,'Analysis of bottom-up tags'!$N$6:$W$6,0))*I$23</f>
        <v>6.8515778744269209</v>
      </c>
      <c r="J354" s="151">
        <f>INDEX('Analysis of bottom-up tags'!$N$122:$W$153,MATCH(Dashboard!$B354,'Analysis of bottom-up tags'!$B$122:$B$153,0),MATCH(Dashboard!J$21,'Analysis of bottom-up tags'!$N$6:$W$6,0))*J$23</f>
        <v>6.9948203862946725</v>
      </c>
      <c r="K354" s="151">
        <f>INDEX('Analysis of bottom-up tags'!$N$122:$W$153,MATCH(Dashboard!$B354,'Analysis of bottom-up tags'!$B$122:$B$153,0),MATCH(Dashboard!K$21,'Analysis of bottom-up tags'!$N$6:$W$6,0))*K$23</f>
        <v>9.3229299424467218</v>
      </c>
      <c r="L354" s="151">
        <f>INDEX('Analysis of bottom-up tags'!$N$122:$W$153,MATCH(Dashboard!$B354,'Analysis of bottom-up tags'!$B$122:$B$153,0),MATCH(Dashboard!L$21,'Analysis of bottom-up tags'!$N$6:$W$6,0))*L$23</f>
        <v>27.791411188578731</v>
      </c>
      <c r="M354" s="151">
        <f t="shared" si="113"/>
        <v>106.97238592204168</v>
      </c>
      <c r="N354" s="101">
        <f t="shared" si="114"/>
        <v>6.6162361259101974E-3</v>
      </c>
    </row>
    <row r="355" spans="2:14">
      <c r="B355" s="22" t="s">
        <v>11148</v>
      </c>
      <c r="C355" s="151">
        <f>INDEX('Analysis of bottom-up tags'!$N$122:$W$153,MATCH(Dashboard!$B355,'Analysis of bottom-up tags'!$B$122:$B$153,0),MATCH(Dashboard!C$21,'Analysis of bottom-up tags'!$N$6:$W$6,0))*C$23</f>
        <v>0</v>
      </c>
      <c r="D355" s="151">
        <f>INDEX('Analysis of bottom-up tags'!$N$122:$W$153,MATCH(Dashboard!$B355,'Analysis of bottom-up tags'!$B$122:$B$153,0),MATCH(Dashboard!D$21,'Analysis of bottom-up tags'!$N$6:$W$6,0))*D$23</f>
        <v>0</v>
      </c>
      <c r="E355" s="151">
        <f>INDEX('Analysis of bottom-up tags'!$N$122:$W$153,MATCH(Dashboard!$B355,'Analysis of bottom-up tags'!$B$122:$B$153,0),MATCH(Dashboard!E$21,'Analysis of bottom-up tags'!$N$6:$W$6,0))*E$23</f>
        <v>0</v>
      </c>
      <c r="F355" s="151">
        <f>INDEX('Analysis of bottom-up tags'!$N$122:$W$153,MATCH(Dashboard!$B355,'Analysis of bottom-up tags'!$B$122:$B$153,0),MATCH(Dashboard!F$21,'Analysis of bottom-up tags'!$N$6:$W$6,0))*F$23</f>
        <v>0</v>
      </c>
      <c r="G355" s="151">
        <f>INDEX('Analysis of bottom-up tags'!$N$122:$W$153,MATCH(Dashboard!$B355,'Analysis of bottom-up tags'!$B$122:$B$153,0),MATCH(Dashboard!G$21,'Analysis of bottom-up tags'!$N$6:$W$6,0))*G$23</f>
        <v>0</v>
      </c>
      <c r="H355" s="151">
        <f>INDEX('Analysis of bottom-up tags'!$N$122:$W$153,MATCH(Dashboard!$B355,'Analysis of bottom-up tags'!$B$122:$B$153,0),MATCH(Dashboard!H$21,'Analysis of bottom-up tags'!$N$6:$W$6,0))*H$23</f>
        <v>0</v>
      </c>
      <c r="I355" s="151">
        <f>INDEX('Analysis of bottom-up tags'!$N$122:$W$153,MATCH(Dashboard!$B355,'Analysis of bottom-up tags'!$B$122:$B$153,0),MATCH(Dashboard!I$21,'Analysis of bottom-up tags'!$N$6:$W$6,0))*I$23</f>
        <v>5.6628424761063831</v>
      </c>
      <c r="J355" s="151">
        <f>INDEX('Analysis of bottom-up tags'!$N$122:$W$153,MATCH(Dashboard!$B355,'Analysis of bottom-up tags'!$B$122:$B$153,0),MATCH(Dashboard!J$21,'Analysis of bottom-up tags'!$N$6:$W$6,0))*J$23</f>
        <v>40.013784771764001</v>
      </c>
      <c r="K355" s="151">
        <f>INDEX('Analysis of bottom-up tags'!$N$122:$W$153,MATCH(Dashboard!$B355,'Analysis of bottom-up tags'!$B$122:$B$153,0),MATCH(Dashboard!K$21,'Analysis of bottom-up tags'!$N$6:$W$6,0))*K$23</f>
        <v>22.203798829752934</v>
      </c>
      <c r="L355" s="151">
        <f>INDEX('Analysis of bottom-up tags'!$N$122:$W$153,MATCH(Dashboard!$B355,'Analysis of bottom-up tags'!$B$122:$B$153,0),MATCH(Dashboard!L$21,'Analysis of bottom-up tags'!$N$6:$W$6,0))*L$23</f>
        <v>0</v>
      </c>
      <c r="M355" s="151">
        <f t="shared" si="113"/>
        <v>67.880426077623326</v>
      </c>
      <c r="N355" s="101">
        <f t="shared" si="114"/>
        <v>4.1984005814757492E-3</v>
      </c>
    </row>
    <row r="356" spans="2:14">
      <c r="B356" s="22" t="s">
        <v>5391</v>
      </c>
      <c r="C356" s="151">
        <f>INDEX('Analysis of bottom-up tags'!$N$122:$W$153,MATCH(Dashboard!$B356,'Analysis of bottom-up tags'!$B$122:$B$153,0),MATCH(Dashboard!C$21,'Analysis of bottom-up tags'!$N$6:$W$6,0))*C$23</f>
        <v>13.753426374609338</v>
      </c>
      <c r="D356" s="151">
        <f>INDEX('Analysis of bottom-up tags'!$N$122:$W$153,MATCH(Dashboard!$B356,'Analysis of bottom-up tags'!$B$122:$B$153,0),MATCH(Dashboard!D$21,'Analysis of bottom-up tags'!$N$6:$W$6,0))*D$23</f>
        <v>0</v>
      </c>
      <c r="E356" s="151">
        <f>INDEX('Analysis of bottom-up tags'!$N$122:$W$153,MATCH(Dashboard!$B356,'Analysis of bottom-up tags'!$B$122:$B$153,0),MATCH(Dashboard!E$21,'Analysis of bottom-up tags'!$N$6:$W$6,0))*E$23</f>
        <v>210.29790528340081</v>
      </c>
      <c r="F356" s="151">
        <f>INDEX('Analysis of bottom-up tags'!$N$122:$W$153,MATCH(Dashboard!$B356,'Analysis of bottom-up tags'!$B$122:$B$153,0),MATCH(Dashboard!F$21,'Analysis of bottom-up tags'!$N$6:$W$6,0))*F$23</f>
        <v>6.3609901465890362</v>
      </c>
      <c r="G356" s="151">
        <f>INDEX('Analysis of bottom-up tags'!$N$122:$W$153,MATCH(Dashboard!$B356,'Analysis of bottom-up tags'!$B$122:$B$153,0),MATCH(Dashboard!G$21,'Analysis of bottom-up tags'!$N$6:$W$6,0))*G$23</f>
        <v>2.7243602383511885</v>
      </c>
      <c r="H356" s="151">
        <f>INDEX('Analysis of bottom-up tags'!$N$122:$W$153,MATCH(Dashboard!$B356,'Analysis of bottom-up tags'!$B$122:$B$153,0),MATCH(Dashboard!H$21,'Analysis of bottom-up tags'!$N$6:$W$6,0))*H$23</f>
        <v>1.4889040497896586</v>
      </c>
      <c r="I356" s="151">
        <f>INDEX('Analysis of bottom-up tags'!$N$122:$W$153,MATCH(Dashboard!$B356,'Analysis of bottom-up tags'!$B$122:$B$153,0),MATCH(Dashboard!I$21,'Analysis of bottom-up tags'!$N$6:$W$6,0))*I$23</f>
        <v>1.5430722934765186</v>
      </c>
      <c r="J356" s="151">
        <f>INDEX('Analysis of bottom-up tags'!$N$122:$W$153,MATCH(Dashboard!$B356,'Analysis of bottom-up tags'!$B$122:$B$153,0),MATCH(Dashboard!J$21,'Analysis of bottom-up tags'!$N$6:$W$6,0))*J$23</f>
        <v>110.0746887675827</v>
      </c>
      <c r="K356" s="151">
        <f>INDEX('Analysis of bottom-up tags'!$N$122:$W$153,MATCH(Dashboard!$B356,'Analysis of bottom-up tags'!$B$122:$B$153,0),MATCH(Dashboard!K$21,'Analysis of bottom-up tags'!$N$6:$W$6,0))*K$23</f>
        <v>12.591663103874735</v>
      </c>
      <c r="L356" s="151">
        <f>INDEX('Analysis of bottom-up tags'!$N$122:$W$153,MATCH(Dashboard!$B356,'Analysis of bottom-up tags'!$B$122:$B$153,0),MATCH(Dashboard!L$21,'Analysis of bottom-up tags'!$N$6:$W$6,0))*L$23</f>
        <v>144.07477881863392</v>
      </c>
      <c r="M356" s="151">
        <f t="shared" si="113"/>
        <v>502.9097890763079</v>
      </c>
      <c r="N356" s="101">
        <f t="shared" si="114"/>
        <v>3.1104942512784884E-2</v>
      </c>
    </row>
    <row r="357" spans="2:14">
      <c r="B357" s="22" t="s">
        <v>7086</v>
      </c>
      <c r="C357" s="151">
        <f>INDEX('Analysis of bottom-up tags'!$N$122:$W$153,MATCH(Dashboard!$B357,'Analysis of bottom-up tags'!$B$122:$B$153,0),MATCH(Dashboard!C$21,'Analysis of bottom-up tags'!$N$6:$W$6,0))*C$23</f>
        <v>0</v>
      </c>
      <c r="D357" s="151">
        <f>INDEX('Analysis of bottom-up tags'!$N$122:$W$153,MATCH(Dashboard!$B357,'Analysis of bottom-up tags'!$B$122:$B$153,0),MATCH(Dashboard!D$21,'Analysis of bottom-up tags'!$N$6:$W$6,0))*D$23</f>
        <v>0</v>
      </c>
      <c r="E357" s="151">
        <f>INDEX('Analysis of bottom-up tags'!$N$122:$W$153,MATCH(Dashboard!$B357,'Analysis of bottom-up tags'!$B$122:$B$153,0),MATCH(Dashboard!E$21,'Analysis of bottom-up tags'!$N$6:$W$6,0))*E$23</f>
        <v>0</v>
      </c>
      <c r="F357" s="151">
        <f>INDEX('Analysis of bottom-up tags'!$N$122:$W$153,MATCH(Dashboard!$B357,'Analysis of bottom-up tags'!$B$122:$B$153,0),MATCH(Dashboard!F$21,'Analysis of bottom-up tags'!$N$6:$W$6,0))*F$23</f>
        <v>0</v>
      </c>
      <c r="G357" s="151">
        <f>INDEX('Analysis of bottom-up tags'!$N$122:$W$153,MATCH(Dashboard!$B357,'Analysis of bottom-up tags'!$B$122:$B$153,0),MATCH(Dashboard!G$21,'Analysis of bottom-up tags'!$N$6:$W$6,0))*G$23</f>
        <v>0</v>
      </c>
      <c r="H357" s="151">
        <f>INDEX('Analysis of bottom-up tags'!$N$122:$W$153,MATCH(Dashboard!$B357,'Analysis of bottom-up tags'!$B$122:$B$153,0),MATCH(Dashboard!H$21,'Analysis of bottom-up tags'!$N$6:$W$6,0))*H$23</f>
        <v>0</v>
      </c>
      <c r="I357" s="151">
        <f>INDEX('Analysis of bottom-up tags'!$N$122:$W$153,MATCH(Dashboard!$B357,'Analysis of bottom-up tags'!$B$122:$B$153,0),MATCH(Dashboard!I$21,'Analysis of bottom-up tags'!$N$6:$W$6,0))*I$23</f>
        <v>5.2832917686414662</v>
      </c>
      <c r="J357" s="151">
        <f>INDEX('Analysis of bottom-up tags'!$N$122:$W$153,MATCH(Dashboard!$B357,'Analysis of bottom-up tags'!$B$122:$B$153,0),MATCH(Dashboard!J$21,'Analysis of bottom-up tags'!$N$6:$W$6,0))*J$23</f>
        <v>40.008498230788305</v>
      </c>
      <c r="K357" s="151">
        <f>INDEX('Analysis of bottom-up tags'!$N$122:$W$153,MATCH(Dashboard!$B357,'Analysis of bottom-up tags'!$B$122:$B$153,0),MATCH(Dashboard!K$21,'Analysis of bottom-up tags'!$N$6:$W$6,0))*K$23</f>
        <v>0</v>
      </c>
      <c r="L357" s="151">
        <f>INDEX('Analysis of bottom-up tags'!$N$122:$W$153,MATCH(Dashboard!$B357,'Analysis of bottom-up tags'!$B$122:$B$153,0),MATCH(Dashboard!L$21,'Analysis of bottom-up tags'!$N$6:$W$6,0))*L$23</f>
        <v>12.052134267088229</v>
      </c>
      <c r="M357" s="151">
        <f t="shared" si="113"/>
        <v>57.343924266518002</v>
      </c>
      <c r="N357" s="101">
        <f t="shared" si="114"/>
        <v>3.5467185298651842E-3</v>
      </c>
    </row>
    <row r="358" spans="2:14">
      <c r="B358" s="22" t="s">
        <v>6213</v>
      </c>
      <c r="C358" s="151">
        <f>INDEX('Analysis of bottom-up tags'!$N$122:$W$153,MATCH(Dashboard!$B358,'Analysis of bottom-up tags'!$B$122:$B$153,0),MATCH(Dashboard!C$21,'Analysis of bottom-up tags'!$N$6:$W$6,0))*C$23</f>
        <v>0</v>
      </c>
      <c r="D358" s="151">
        <f>INDEX('Analysis of bottom-up tags'!$N$122:$W$153,MATCH(Dashboard!$B358,'Analysis of bottom-up tags'!$B$122:$B$153,0),MATCH(Dashboard!D$21,'Analysis of bottom-up tags'!$N$6:$W$6,0))*D$23</f>
        <v>0</v>
      </c>
      <c r="E358" s="151">
        <f>INDEX('Analysis of bottom-up tags'!$N$122:$W$153,MATCH(Dashboard!$B358,'Analysis of bottom-up tags'!$B$122:$B$153,0),MATCH(Dashboard!E$21,'Analysis of bottom-up tags'!$N$6:$W$6,0))*E$23</f>
        <v>0</v>
      </c>
      <c r="F358" s="151">
        <f>INDEX('Analysis of bottom-up tags'!$N$122:$W$153,MATCH(Dashboard!$B358,'Analysis of bottom-up tags'!$B$122:$B$153,0),MATCH(Dashboard!F$21,'Analysis of bottom-up tags'!$N$6:$W$6,0))*F$23</f>
        <v>0</v>
      </c>
      <c r="G358" s="151">
        <f>INDEX('Analysis of bottom-up tags'!$N$122:$W$153,MATCH(Dashboard!$B358,'Analysis of bottom-up tags'!$B$122:$B$153,0),MATCH(Dashboard!G$21,'Analysis of bottom-up tags'!$N$6:$W$6,0))*G$23</f>
        <v>2.487785698925927</v>
      </c>
      <c r="H358" s="151">
        <f>INDEX('Analysis of bottom-up tags'!$N$122:$W$153,MATCH(Dashboard!$B358,'Analysis of bottom-up tags'!$B$122:$B$153,0),MATCH(Dashboard!H$21,'Analysis of bottom-up tags'!$N$6:$W$6,0))*H$23</f>
        <v>0</v>
      </c>
      <c r="I358" s="151">
        <f>INDEX('Analysis of bottom-up tags'!$N$122:$W$153,MATCH(Dashboard!$B358,'Analysis of bottom-up tags'!$B$122:$B$153,0),MATCH(Dashboard!I$21,'Analysis of bottom-up tags'!$N$6:$W$6,0))*I$23</f>
        <v>28.258945275613453</v>
      </c>
      <c r="J358" s="151">
        <f>INDEX('Analysis of bottom-up tags'!$N$122:$W$153,MATCH(Dashboard!$B358,'Analysis of bottom-up tags'!$B$122:$B$153,0),MATCH(Dashboard!J$21,'Analysis of bottom-up tags'!$N$6:$W$6,0))*J$23</f>
        <v>113.18478544230062</v>
      </c>
      <c r="K358" s="151">
        <f>INDEX('Analysis of bottom-up tags'!$N$122:$W$153,MATCH(Dashboard!$B358,'Analysis of bottom-up tags'!$B$122:$B$153,0),MATCH(Dashboard!K$21,'Analysis of bottom-up tags'!$N$6:$W$6,0))*K$23</f>
        <v>0.33267078688205681</v>
      </c>
      <c r="L358" s="151">
        <f>INDEX('Analysis of bottom-up tags'!$N$122:$W$153,MATCH(Dashboard!$B358,'Analysis of bottom-up tags'!$B$122:$B$153,0),MATCH(Dashboard!L$21,'Analysis of bottom-up tags'!$N$6:$W$6,0))*L$23</f>
        <v>5.9423455523489777</v>
      </c>
      <c r="M358" s="151">
        <f t="shared" si="113"/>
        <v>150.20653275607103</v>
      </c>
      <c r="N358" s="101">
        <f t="shared" si="114"/>
        <v>9.2902657055128606E-3</v>
      </c>
    </row>
    <row r="359" spans="2:14">
      <c r="B359" s="22" t="s">
        <v>5277</v>
      </c>
      <c r="C359" s="151">
        <f>INDEX('Analysis of bottom-up tags'!$N$122:$W$153,MATCH(Dashboard!$B359,'Analysis of bottom-up tags'!$B$122:$B$153,0),MATCH(Dashboard!C$21,'Analysis of bottom-up tags'!$N$6:$W$6,0))*C$23</f>
        <v>0</v>
      </c>
      <c r="D359" s="151">
        <f>INDEX('Analysis of bottom-up tags'!$N$122:$W$153,MATCH(Dashboard!$B359,'Analysis of bottom-up tags'!$B$122:$B$153,0),MATCH(Dashboard!D$21,'Analysis of bottom-up tags'!$N$6:$W$6,0))*D$23</f>
        <v>0</v>
      </c>
      <c r="E359" s="151">
        <f>INDEX('Analysis of bottom-up tags'!$N$122:$W$153,MATCH(Dashboard!$B359,'Analysis of bottom-up tags'!$B$122:$B$153,0),MATCH(Dashboard!E$21,'Analysis of bottom-up tags'!$N$6:$W$6,0))*E$23</f>
        <v>0</v>
      </c>
      <c r="F359" s="151">
        <f>INDEX('Analysis of bottom-up tags'!$N$122:$W$153,MATCH(Dashboard!$B359,'Analysis of bottom-up tags'!$B$122:$B$153,0),MATCH(Dashboard!F$21,'Analysis of bottom-up tags'!$N$6:$W$6,0))*F$23</f>
        <v>4.4214426045308359</v>
      </c>
      <c r="G359" s="151">
        <f>INDEX('Analysis of bottom-up tags'!$N$122:$W$153,MATCH(Dashboard!$B359,'Analysis of bottom-up tags'!$B$122:$B$153,0),MATCH(Dashboard!G$21,'Analysis of bottom-up tags'!$N$6:$W$6,0))*G$23</f>
        <v>0</v>
      </c>
      <c r="H359" s="151">
        <f>INDEX('Analysis of bottom-up tags'!$N$122:$W$153,MATCH(Dashboard!$B359,'Analysis of bottom-up tags'!$B$122:$B$153,0),MATCH(Dashboard!H$21,'Analysis of bottom-up tags'!$N$6:$W$6,0))*H$23</f>
        <v>3.5166799472594628</v>
      </c>
      <c r="I359" s="151">
        <f>INDEX('Analysis of bottom-up tags'!$N$122:$W$153,MATCH(Dashboard!$B359,'Analysis of bottom-up tags'!$B$122:$B$153,0),MATCH(Dashboard!I$21,'Analysis of bottom-up tags'!$N$6:$W$6,0))*I$23</f>
        <v>0.6621077814938332</v>
      </c>
      <c r="J359" s="151">
        <f>INDEX('Analysis of bottom-up tags'!$N$122:$W$153,MATCH(Dashboard!$B359,'Analysis of bottom-up tags'!$B$122:$B$153,0),MATCH(Dashboard!J$21,'Analysis of bottom-up tags'!$N$6:$W$6,0))*J$23</f>
        <v>0</v>
      </c>
      <c r="K359" s="151">
        <f>INDEX('Analysis of bottom-up tags'!$N$122:$W$153,MATCH(Dashboard!$B359,'Analysis of bottom-up tags'!$B$122:$B$153,0),MATCH(Dashboard!K$21,'Analysis of bottom-up tags'!$N$6:$W$6,0))*K$23</f>
        <v>5.26463962821878</v>
      </c>
      <c r="L359" s="151">
        <f>INDEX('Analysis of bottom-up tags'!$N$122:$W$153,MATCH(Dashboard!$B359,'Analysis of bottom-up tags'!$B$122:$B$153,0),MATCH(Dashboard!L$21,'Analysis of bottom-up tags'!$N$6:$W$6,0))*L$23</f>
        <v>54.514147628831061</v>
      </c>
      <c r="M359" s="151">
        <f t="shared" si="113"/>
        <v>68.379017590333973</v>
      </c>
      <c r="N359" s="101">
        <f t="shared" si="114"/>
        <v>4.2292384388352405E-3</v>
      </c>
    </row>
    <row r="360" spans="2:14">
      <c r="B360" s="22" t="s">
        <v>7133</v>
      </c>
      <c r="C360" s="151">
        <f>INDEX('Analysis of bottom-up tags'!$N$122:$W$153,MATCH(Dashboard!$B360,'Analysis of bottom-up tags'!$B$122:$B$153,0),MATCH(Dashboard!C$21,'Analysis of bottom-up tags'!$N$6:$W$6,0))*C$23</f>
        <v>0</v>
      </c>
      <c r="D360" s="151">
        <f>INDEX('Analysis of bottom-up tags'!$N$122:$W$153,MATCH(Dashboard!$B360,'Analysis of bottom-up tags'!$B$122:$B$153,0),MATCH(Dashboard!D$21,'Analysis of bottom-up tags'!$N$6:$W$6,0))*D$23</f>
        <v>0</v>
      </c>
      <c r="E360" s="151">
        <f>INDEX('Analysis of bottom-up tags'!$N$122:$W$153,MATCH(Dashboard!$B360,'Analysis of bottom-up tags'!$B$122:$B$153,0),MATCH(Dashboard!E$21,'Analysis of bottom-up tags'!$N$6:$W$6,0))*E$23</f>
        <v>0</v>
      </c>
      <c r="F360" s="151">
        <f>INDEX('Analysis of bottom-up tags'!$N$122:$W$153,MATCH(Dashboard!$B360,'Analysis of bottom-up tags'!$B$122:$B$153,0),MATCH(Dashboard!F$21,'Analysis of bottom-up tags'!$N$6:$W$6,0))*F$23</f>
        <v>0</v>
      </c>
      <c r="G360" s="151">
        <f>INDEX('Analysis of bottom-up tags'!$N$122:$W$153,MATCH(Dashboard!$B360,'Analysis of bottom-up tags'!$B$122:$B$153,0),MATCH(Dashboard!G$21,'Analysis of bottom-up tags'!$N$6:$W$6,0))*G$23</f>
        <v>0</v>
      </c>
      <c r="H360" s="151">
        <f>INDEX('Analysis of bottom-up tags'!$N$122:$W$153,MATCH(Dashboard!$B360,'Analysis of bottom-up tags'!$B$122:$B$153,0),MATCH(Dashboard!H$21,'Analysis of bottom-up tags'!$N$6:$W$6,0))*H$23</f>
        <v>0</v>
      </c>
      <c r="I360" s="151">
        <f>INDEX('Analysis of bottom-up tags'!$N$122:$W$153,MATCH(Dashboard!$B360,'Analysis of bottom-up tags'!$B$122:$B$153,0),MATCH(Dashboard!I$21,'Analysis of bottom-up tags'!$N$6:$W$6,0))*I$23</f>
        <v>0</v>
      </c>
      <c r="J360" s="151">
        <f>INDEX('Analysis of bottom-up tags'!$N$122:$W$153,MATCH(Dashboard!$B360,'Analysis of bottom-up tags'!$B$122:$B$153,0),MATCH(Dashboard!J$21,'Analysis of bottom-up tags'!$N$6:$W$6,0))*J$23</f>
        <v>0</v>
      </c>
      <c r="K360" s="151">
        <f>INDEX('Analysis of bottom-up tags'!$N$122:$W$153,MATCH(Dashboard!$B360,'Analysis of bottom-up tags'!$B$122:$B$153,0),MATCH(Dashboard!K$21,'Analysis of bottom-up tags'!$N$6:$W$6,0))*K$23</f>
        <v>4.5878049323262156</v>
      </c>
      <c r="L360" s="151">
        <f>INDEX('Analysis of bottom-up tags'!$N$122:$W$153,MATCH(Dashboard!$B360,'Analysis of bottom-up tags'!$B$122:$B$153,0),MATCH(Dashboard!L$21,'Analysis of bottom-up tags'!$N$6:$W$6,0))*L$23</f>
        <v>0</v>
      </c>
      <c r="M360" s="151">
        <f t="shared" si="113"/>
        <v>4.5878049323262156</v>
      </c>
      <c r="N360" s="101">
        <f t="shared" si="114"/>
        <v>2.8375548016669266E-4</v>
      </c>
    </row>
    <row r="361" spans="2:14">
      <c r="B361" s="22" t="s">
        <v>5416</v>
      </c>
      <c r="C361" s="151">
        <f>INDEX('Analysis of bottom-up tags'!$N$122:$W$153,MATCH(Dashboard!$B361,'Analysis of bottom-up tags'!$B$122:$B$153,0),MATCH(Dashboard!C$21,'Analysis of bottom-up tags'!$N$6:$W$6,0))*C$23</f>
        <v>0</v>
      </c>
      <c r="D361" s="151">
        <f>INDEX('Analysis of bottom-up tags'!$N$122:$W$153,MATCH(Dashboard!$B361,'Analysis of bottom-up tags'!$B$122:$B$153,0),MATCH(Dashboard!D$21,'Analysis of bottom-up tags'!$N$6:$W$6,0))*D$23</f>
        <v>0</v>
      </c>
      <c r="E361" s="151">
        <f>INDEX('Analysis of bottom-up tags'!$N$122:$W$153,MATCH(Dashboard!$B361,'Analysis of bottom-up tags'!$B$122:$B$153,0),MATCH(Dashboard!E$21,'Analysis of bottom-up tags'!$N$6:$W$6,0))*E$23</f>
        <v>0</v>
      </c>
      <c r="F361" s="151">
        <f>INDEX('Analysis of bottom-up tags'!$N$122:$W$153,MATCH(Dashboard!$B361,'Analysis of bottom-up tags'!$B$122:$B$153,0),MATCH(Dashboard!F$21,'Analysis of bottom-up tags'!$N$6:$W$6,0))*F$23</f>
        <v>0</v>
      </c>
      <c r="G361" s="151">
        <f>INDEX('Analysis of bottom-up tags'!$N$122:$W$153,MATCH(Dashboard!$B361,'Analysis of bottom-up tags'!$B$122:$B$153,0),MATCH(Dashboard!G$21,'Analysis of bottom-up tags'!$N$6:$W$6,0))*G$23</f>
        <v>0</v>
      </c>
      <c r="H361" s="151">
        <f>INDEX('Analysis of bottom-up tags'!$N$122:$W$153,MATCH(Dashboard!$B361,'Analysis of bottom-up tags'!$B$122:$B$153,0),MATCH(Dashboard!H$21,'Analysis of bottom-up tags'!$N$6:$W$6,0))*H$23</f>
        <v>0</v>
      </c>
      <c r="I361" s="151">
        <f>INDEX('Analysis of bottom-up tags'!$N$122:$W$153,MATCH(Dashboard!$B361,'Analysis of bottom-up tags'!$B$122:$B$153,0),MATCH(Dashboard!I$21,'Analysis of bottom-up tags'!$N$6:$W$6,0))*I$23</f>
        <v>0</v>
      </c>
      <c r="J361" s="151">
        <f>INDEX('Analysis of bottom-up tags'!$N$122:$W$153,MATCH(Dashboard!$B361,'Analysis of bottom-up tags'!$B$122:$B$153,0),MATCH(Dashboard!J$21,'Analysis of bottom-up tags'!$N$6:$W$6,0))*J$23</f>
        <v>0</v>
      </c>
      <c r="K361" s="151">
        <f>INDEX('Analysis of bottom-up tags'!$N$122:$W$153,MATCH(Dashboard!$B361,'Analysis of bottom-up tags'!$B$122:$B$153,0),MATCH(Dashboard!K$21,'Analysis of bottom-up tags'!$N$6:$W$6,0))*K$23</f>
        <v>0.43792196579047282</v>
      </c>
      <c r="L361" s="151">
        <f>INDEX('Analysis of bottom-up tags'!$N$122:$W$153,MATCH(Dashboard!$B361,'Analysis of bottom-up tags'!$B$122:$B$153,0),MATCH(Dashboard!L$21,'Analysis of bottom-up tags'!$N$6:$W$6,0))*L$23</f>
        <v>51.780701003712551</v>
      </c>
      <c r="M361" s="151">
        <f t="shared" si="113"/>
        <v>52.218622969503024</v>
      </c>
      <c r="N361" s="101">
        <f t="shared" si="114"/>
        <v>3.2297189294057007E-3</v>
      </c>
    </row>
    <row r="362" spans="2:14">
      <c r="B362" s="22" t="s">
        <v>6297</v>
      </c>
      <c r="C362" s="151">
        <f>INDEX('Analysis of bottom-up tags'!$N$122:$W$153,MATCH(Dashboard!$B362,'Analysis of bottom-up tags'!$B$122:$B$153,0),MATCH(Dashboard!C$21,'Analysis of bottom-up tags'!$N$6:$W$6,0))*C$23</f>
        <v>0</v>
      </c>
      <c r="D362" s="151">
        <f>INDEX('Analysis of bottom-up tags'!$N$122:$W$153,MATCH(Dashboard!$B362,'Analysis of bottom-up tags'!$B$122:$B$153,0),MATCH(Dashboard!D$21,'Analysis of bottom-up tags'!$N$6:$W$6,0))*D$23</f>
        <v>0</v>
      </c>
      <c r="E362" s="151">
        <f>INDEX('Analysis of bottom-up tags'!$N$122:$W$153,MATCH(Dashboard!$B362,'Analysis of bottom-up tags'!$B$122:$B$153,0),MATCH(Dashboard!E$21,'Analysis of bottom-up tags'!$N$6:$W$6,0))*E$23</f>
        <v>0</v>
      </c>
      <c r="F362" s="151">
        <f>INDEX('Analysis of bottom-up tags'!$N$122:$W$153,MATCH(Dashboard!$B362,'Analysis of bottom-up tags'!$B$122:$B$153,0),MATCH(Dashboard!F$21,'Analysis of bottom-up tags'!$N$6:$W$6,0))*F$23</f>
        <v>0</v>
      </c>
      <c r="G362" s="151">
        <f>INDEX('Analysis of bottom-up tags'!$N$122:$W$153,MATCH(Dashboard!$B362,'Analysis of bottom-up tags'!$B$122:$B$153,0),MATCH(Dashboard!G$21,'Analysis of bottom-up tags'!$N$6:$W$6,0))*G$23</f>
        <v>0</v>
      </c>
      <c r="H362" s="151">
        <f>INDEX('Analysis of bottom-up tags'!$N$122:$W$153,MATCH(Dashboard!$B362,'Analysis of bottom-up tags'!$B$122:$B$153,0),MATCH(Dashboard!H$21,'Analysis of bottom-up tags'!$N$6:$W$6,0))*H$23</f>
        <v>0</v>
      </c>
      <c r="I362" s="151">
        <f>INDEX('Analysis of bottom-up tags'!$N$122:$W$153,MATCH(Dashboard!$B362,'Analysis of bottom-up tags'!$B$122:$B$153,0),MATCH(Dashboard!I$21,'Analysis of bottom-up tags'!$N$6:$W$6,0))*I$23</f>
        <v>0</v>
      </c>
      <c r="J362" s="151">
        <f>INDEX('Analysis of bottom-up tags'!$N$122:$W$153,MATCH(Dashboard!$B362,'Analysis of bottom-up tags'!$B$122:$B$153,0),MATCH(Dashboard!J$21,'Analysis of bottom-up tags'!$N$6:$W$6,0))*J$23</f>
        <v>3.7868214797034918</v>
      </c>
      <c r="K362" s="151">
        <f>INDEX('Analysis of bottom-up tags'!$N$122:$W$153,MATCH(Dashboard!$B362,'Analysis of bottom-up tags'!$B$122:$B$153,0),MATCH(Dashboard!K$21,'Analysis of bottom-up tags'!$N$6:$W$6,0))*K$23</f>
        <v>2.4171914657394162</v>
      </c>
      <c r="L362" s="151">
        <f>INDEX('Analysis of bottom-up tags'!$N$122:$W$153,MATCH(Dashboard!$B362,'Analysis of bottom-up tags'!$B$122:$B$153,0),MATCH(Dashboard!L$21,'Analysis of bottom-up tags'!$N$6:$W$6,0))*L$23</f>
        <v>9.609185182396164</v>
      </c>
      <c r="M362" s="151">
        <f t="shared" si="113"/>
        <v>15.813198127839073</v>
      </c>
      <c r="N362" s="101">
        <f t="shared" si="114"/>
        <v>9.7804542562817233E-4</v>
      </c>
    </row>
    <row r="363" spans="2:14">
      <c r="B363" s="22" t="s">
        <v>6632</v>
      </c>
      <c r="C363" s="151">
        <f>INDEX('Analysis of bottom-up tags'!$N$122:$W$153,MATCH(Dashboard!$B363,'Analysis of bottom-up tags'!$B$122:$B$153,0),MATCH(Dashboard!C$21,'Analysis of bottom-up tags'!$N$6:$W$6,0))*C$23</f>
        <v>0</v>
      </c>
      <c r="D363" s="151">
        <f>INDEX('Analysis of bottom-up tags'!$N$122:$W$153,MATCH(Dashboard!$B363,'Analysis of bottom-up tags'!$B$122:$B$153,0),MATCH(Dashboard!D$21,'Analysis of bottom-up tags'!$N$6:$W$6,0))*D$23</f>
        <v>0</v>
      </c>
      <c r="E363" s="151">
        <f>INDEX('Analysis of bottom-up tags'!$N$122:$W$153,MATCH(Dashboard!$B363,'Analysis of bottom-up tags'!$B$122:$B$153,0),MATCH(Dashboard!E$21,'Analysis of bottom-up tags'!$N$6:$W$6,0))*E$23</f>
        <v>0</v>
      </c>
      <c r="F363" s="151">
        <f>INDEX('Analysis of bottom-up tags'!$N$122:$W$153,MATCH(Dashboard!$B363,'Analysis of bottom-up tags'!$B$122:$B$153,0),MATCH(Dashboard!F$21,'Analysis of bottom-up tags'!$N$6:$W$6,0))*F$23</f>
        <v>0</v>
      </c>
      <c r="G363" s="151">
        <f>INDEX('Analysis of bottom-up tags'!$N$122:$W$153,MATCH(Dashboard!$B363,'Analysis of bottom-up tags'!$B$122:$B$153,0),MATCH(Dashboard!G$21,'Analysis of bottom-up tags'!$N$6:$W$6,0))*G$23</f>
        <v>14.361326426703878</v>
      </c>
      <c r="H363" s="151">
        <f>INDEX('Analysis of bottom-up tags'!$N$122:$W$153,MATCH(Dashboard!$B363,'Analysis of bottom-up tags'!$B$122:$B$153,0),MATCH(Dashboard!H$21,'Analysis of bottom-up tags'!$N$6:$W$6,0))*H$23</f>
        <v>0</v>
      </c>
      <c r="I363" s="151">
        <f>INDEX('Analysis of bottom-up tags'!$N$122:$W$153,MATCH(Dashboard!$B363,'Analysis of bottom-up tags'!$B$122:$B$153,0),MATCH(Dashboard!I$21,'Analysis of bottom-up tags'!$N$6:$W$6,0))*I$23</f>
        <v>0.11904964448271285</v>
      </c>
      <c r="J363" s="151">
        <f>INDEX('Analysis of bottom-up tags'!$N$122:$W$153,MATCH(Dashboard!$B363,'Analysis of bottom-up tags'!$B$122:$B$153,0),MATCH(Dashboard!J$21,'Analysis of bottom-up tags'!$N$6:$W$6,0))*J$23</f>
        <v>16.561332515965901</v>
      </c>
      <c r="K363" s="151">
        <f>INDEX('Analysis of bottom-up tags'!$N$122:$W$153,MATCH(Dashboard!$B363,'Analysis of bottom-up tags'!$B$122:$B$153,0),MATCH(Dashboard!K$21,'Analysis of bottom-up tags'!$N$6:$W$6,0))*K$23</f>
        <v>0</v>
      </c>
      <c r="L363" s="151">
        <f>INDEX('Analysis of bottom-up tags'!$N$122:$W$153,MATCH(Dashboard!$B363,'Analysis of bottom-up tags'!$B$122:$B$153,0),MATCH(Dashboard!L$21,'Analysis of bottom-up tags'!$N$6:$W$6,0))*L$23</f>
        <v>0</v>
      </c>
      <c r="M363" s="151">
        <f t="shared" si="113"/>
        <v>31.041708587152492</v>
      </c>
      <c r="N363" s="101">
        <f t="shared" si="114"/>
        <v>1.9199279514431832E-3</v>
      </c>
    </row>
    <row r="364" spans="2:14">
      <c r="B364" s="22" t="s">
        <v>3468</v>
      </c>
      <c r="C364" s="151">
        <f>INDEX('Analysis of bottom-up tags'!$N$122:$W$153,MATCH(Dashboard!$B364,'Analysis of bottom-up tags'!$B$122:$B$153,0),MATCH(Dashboard!C$21,'Analysis of bottom-up tags'!$N$6:$W$6,0))*C$23</f>
        <v>0</v>
      </c>
      <c r="D364" s="151">
        <f>INDEX('Analysis of bottom-up tags'!$N$122:$W$153,MATCH(Dashboard!$B364,'Analysis of bottom-up tags'!$B$122:$B$153,0),MATCH(Dashboard!D$21,'Analysis of bottom-up tags'!$N$6:$W$6,0))*D$23</f>
        <v>0</v>
      </c>
      <c r="E364" s="151">
        <f>INDEX('Analysis of bottom-up tags'!$N$122:$W$153,MATCH(Dashboard!$B364,'Analysis of bottom-up tags'!$B$122:$B$153,0),MATCH(Dashboard!E$21,'Analysis of bottom-up tags'!$N$6:$W$6,0))*E$23</f>
        <v>0</v>
      </c>
      <c r="F364" s="151">
        <f>INDEX('Analysis of bottom-up tags'!$N$122:$W$153,MATCH(Dashboard!$B364,'Analysis of bottom-up tags'!$B$122:$B$153,0),MATCH(Dashboard!F$21,'Analysis of bottom-up tags'!$N$6:$W$6,0))*F$23</f>
        <v>0</v>
      </c>
      <c r="G364" s="151">
        <f>INDEX('Analysis of bottom-up tags'!$N$122:$W$153,MATCH(Dashboard!$B364,'Analysis of bottom-up tags'!$B$122:$B$153,0),MATCH(Dashboard!G$21,'Analysis of bottom-up tags'!$N$6:$W$6,0))*G$23</f>
        <v>0</v>
      </c>
      <c r="H364" s="151">
        <f>INDEX('Analysis of bottom-up tags'!$N$122:$W$153,MATCH(Dashboard!$B364,'Analysis of bottom-up tags'!$B$122:$B$153,0),MATCH(Dashboard!H$21,'Analysis of bottom-up tags'!$N$6:$W$6,0))*H$23</f>
        <v>0</v>
      </c>
      <c r="I364" s="151">
        <f>INDEX('Analysis of bottom-up tags'!$N$122:$W$153,MATCH(Dashboard!$B364,'Analysis of bottom-up tags'!$B$122:$B$153,0),MATCH(Dashboard!I$21,'Analysis of bottom-up tags'!$N$6:$W$6,0))*I$23</f>
        <v>0.1465639223245481</v>
      </c>
      <c r="J364" s="151">
        <f>INDEX('Analysis of bottom-up tags'!$N$122:$W$153,MATCH(Dashboard!$B364,'Analysis of bottom-up tags'!$B$122:$B$153,0),MATCH(Dashboard!J$21,'Analysis of bottom-up tags'!$N$6:$W$6,0))*J$23</f>
        <v>0.66040360248844843</v>
      </c>
      <c r="K364" s="151">
        <f>INDEX('Analysis of bottom-up tags'!$N$122:$W$153,MATCH(Dashboard!$B364,'Analysis of bottom-up tags'!$B$122:$B$153,0),MATCH(Dashboard!K$21,'Analysis of bottom-up tags'!$N$6:$W$6,0))*K$23</f>
        <v>2.1393555036437037</v>
      </c>
      <c r="L364" s="151">
        <f>INDEX('Analysis of bottom-up tags'!$N$122:$W$153,MATCH(Dashboard!$B364,'Analysis of bottom-up tags'!$B$122:$B$153,0),MATCH(Dashboard!L$21,'Analysis of bottom-up tags'!$N$6:$W$6,0))*L$23</f>
        <v>0</v>
      </c>
      <c r="M364" s="151">
        <f t="shared" si="113"/>
        <v>2.9463230284567001</v>
      </c>
      <c r="N364" s="101">
        <f t="shared" si="114"/>
        <v>1.8222991561282642E-4</v>
      </c>
    </row>
    <row r="365" spans="2:14">
      <c r="B365" s="22" t="s">
        <v>1028</v>
      </c>
      <c r="C365" s="151">
        <f>INDEX('Analysis of bottom-up tags'!$N$122:$W$153,MATCH(Dashboard!$B365,'Analysis of bottom-up tags'!$B$122:$B$153,0),MATCH(Dashboard!C$21,'Analysis of bottom-up tags'!$N$6:$W$6,0))*C$23</f>
        <v>0</v>
      </c>
      <c r="D365" s="151">
        <f>INDEX('Analysis of bottom-up tags'!$N$122:$W$153,MATCH(Dashboard!$B365,'Analysis of bottom-up tags'!$B$122:$B$153,0),MATCH(Dashboard!D$21,'Analysis of bottom-up tags'!$N$6:$W$6,0))*D$23</f>
        <v>0</v>
      </c>
      <c r="E365" s="151">
        <f>INDEX('Analysis of bottom-up tags'!$N$122:$W$153,MATCH(Dashboard!$B365,'Analysis of bottom-up tags'!$B$122:$B$153,0),MATCH(Dashboard!E$21,'Analysis of bottom-up tags'!$N$6:$W$6,0))*E$23</f>
        <v>0</v>
      </c>
      <c r="F365" s="151">
        <f>INDEX('Analysis of bottom-up tags'!$N$122:$W$153,MATCH(Dashboard!$B365,'Analysis of bottom-up tags'!$B$122:$B$153,0),MATCH(Dashboard!F$21,'Analysis of bottom-up tags'!$N$6:$W$6,0))*F$23</f>
        <v>0</v>
      </c>
      <c r="G365" s="151">
        <f>INDEX('Analysis of bottom-up tags'!$N$122:$W$153,MATCH(Dashboard!$B365,'Analysis of bottom-up tags'!$B$122:$B$153,0),MATCH(Dashboard!G$21,'Analysis of bottom-up tags'!$N$6:$W$6,0))*G$23</f>
        <v>0</v>
      </c>
      <c r="H365" s="151">
        <f>INDEX('Analysis of bottom-up tags'!$N$122:$W$153,MATCH(Dashboard!$B365,'Analysis of bottom-up tags'!$B$122:$B$153,0),MATCH(Dashboard!H$21,'Analysis of bottom-up tags'!$N$6:$W$6,0))*H$23</f>
        <v>0</v>
      </c>
      <c r="I365" s="151">
        <f>INDEX('Analysis of bottom-up tags'!$N$122:$W$153,MATCH(Dashboard!$B365,'Analysis of bottom-up tags'!$B$122:$B$153,0),MATCH(Dashboard!I$21,'Analysis of bottom-up tags'!$N$6:$W$6,0))*I$23</f>
        <v>0</v>
      </c>
      <c r="J365" s="151">
        <f>INDEX('Analysis of bottom-up tags'!$N$122:$W$153,MATCH(Dashboard!$B365,'Analysis of bottom-up tags'!$B$122:$B$153,0),MATCH(Dashboard!J$21,'Analysis of bottom-up tags'!$N$6:$W$6,0))*J$23</f>
        <v>0</v>
      </c>
      <c r="K365" s="151">
        <f>INDEX('Analysis of bottom-up tags'!$N$122:$W$153,MATCH(Dashboard!$B365,'Analysis of bottom-up tags'!$B$122:$B$153,0),MATCH(Dashboard!K$21,'Analysis of bottom-up tags'!$N$6:$W$6,0))*K$23</f>
        <v>0.16710689118015046</v>
      </c>
      <c r="L365" s="151">
        <f>INDEX('Analysis of bottom-up tags'!$N$122:$W$153,MATCH(Dashboard!$B365,'Analysis of bottom-up tags'!$B$122:$B$153,0),MATCH(Dashboard!L$21,'Analysis of bottom-up tags'!$N$6:$W$6,0))*L$23</f>
        <v>12.724423614329227</v>
      </c>
      <c r="M365" s="151">
        <f t="shared" si="113"/>
        <v>12.891530505509378</v>
      </c>
      <c r="N365" s="101">
        <f t="shared" si="114"/>
        <v>7.9734044551445086E-4</v>
      </c>
    </row>
    <row r="366" spans="2:14">
      <c r="B366" s="22" t="s">
        <v>5524</v>
      </c>
      <c r="C366" s="151">
        <f>INDEX('Analysis of bottom-up tags'!$N$122:$W$153,MATCH(Dashboard!$B366,'Analysis of bottom-up tags'!$B$122:$B$153,0),MATCH(Dashboard!C$21,'Analysis of bottom-up tags'!$N$6:$W$6,0))*C$23</f>
        <v>17.191782968261673</v>
      </c>
      <c r="D366" s="151">
        <f>INDEX('Analysis of bottom-up tags'!$N$122:$W$153,MATCH(Dashboard!$B366,'Analysis of bottom-up tags'!$B$122:$B$153,0),MATCH(Dashboard!D$21,'Analysis of bottom-up tags'!$N$6:$W$6,0))*D$23</f>
        <v>0</v>
      </c>
      <c r="E366" s="151">
        <f>INDEX('Analysis of bottom-up tags'!$N$122:$W$153,MATCH(Dashboard!$B366,'Analysis of bottom-up tags'!$B$122:$B$153,0),MATCH(Dashboard!E$21,'Analysis of bottom-up tags'!$N$6:$W$6,0))*E$23</f>
        <v>0</v>
      </c>
      <c r="F366" s="151">
        <f>INDEX('Analysis of bottom-up tags'!$N$122:$W$153,MATCH(Dashboard!$B366,'Analysis of bottom-up tags'!$B$122:$B$153,0),MATCH(Dashboard!F$21,'Analysis of bottom-up tags'!$N$6:$W$6,0))*F$23</f>
        <v>0</v>
      </c>
      <c r="G366" s="151">
        <f>INDEX('Analysis of bottom-up tags'!$N$122:$W$153,MATCH(Dashboard!$B366,'Analysis of bottom-up tags'!$B$122:$B$153,0),MATCH(Dashboard!G$21,'Analysis of bottom-up tags'!$N$6:$W$6,0))*G$23</f>
        <v>25.21716864955221</v>
      </c>
      <c r="H366" s="151">
        <f>INDEX('Analysis of bottom-up tags'!$N$122:$W$153,MATCH(Dashboard!$B366,'Analysis of bottom-up tags'!$B$122:$B$153,0),MATCH(Dashboard!H$21,'Analysis of bottom-up tags'!$N$6:$W$6,0))*H$23</f>
        <v>0</v>
      </c>
      <c r="I366" s="151">
        <f>INDEX('Analysis of bottom-up tags'!$N$122:$W$153,MATCH(Dashboard!$B366,'Analysis of bottom-up tags'!$B$122:$B$153,0),MATCH(Dashboard!I$21,'Analysis of bottom-up tags'!$N$6:$W$6,0))*I$23</f>
        <v>1.3452525379857196</v>
      </c>
      <c r="J366" s="151">
        <f>INDEX('Analysis of bottom-up tags'!$N$122:$W$153,MATCH(Dashboard!$B366,'Analysis of bottom-up tags'!$B$122:$B$153,0),MATCH(Dashboard!J$21,'Analysis of bottom-up tags'!$N$6:$W$6,0))*J$23</f>
        <v>0.34437273933019541</v>
      </c>
      <c r="K366" s="151">
        <f>INDEX('Analysis of bottom-up tags'!$N$122:$W$153,MATCH(Dashboard!$B366,'Analysis of bottom-up tags'!$B$122:$B$153,0),MATCH(Dashboard!K$21,'Analysis of bottom-up tags'!$N$6:$W$6,0))*K$23</f>
        <v>1.0466987298371286</v>
      </c>
      <c r="L366" s="151">
        <f>INDEX('Analysis of bottom-up tags'!$N$122:$W$153,MATCH(Dashboard!$B366,'Analysis of bottom-up tags'!$B$122:$B$153,0),MATCH(Dashboard!L$21,'Analysis of bottom-up tags'!$N$6:$W$6,0))*L$23</f>
        <v>0</v>
      </c>
      <c r="M366" s="151">
        <f t="shared" si="113"/>
        <v>45.145275624966928</v>
      </c>
      <c r="N366" s="101">
        <f t="shared" si="114"/>
        <v>2.7922327891401525E-3</v>
      </c>
    </row>
    <row r="367" spans="2:14">
      <c r="B367" s="22" t="s">
        <v>5844</v>
      </c>
      <c r="C367" s="151">
        <f>INDEX('Analysis of bottom-up tags'!$N$122:$W$153,MATCH(Dashboard!$B367,'Analysis of bottom-up tags'!$B$122:$B$153,0),MATCH(Dashboard!C$21,'Analysis of bottom-up tags'!$N$6:$W$6,0))*C$23</f>
        <v>0</v>
      </c>
      <c r="D367" s="151">
        <f>INDEX('Analysis of bottom-up tags'!$N$122:$W$153,MATCH(Dashboard!$B367,'Analysis of bottom-up tags'!$B$122:$B$153,0),MATCH(Dashboard!D$21,'Analysis of bottom-up tags'!$N$6:$W$6,0))*D$23</f>
        <v>0</v>
      </c>
      <c r="E367" s="151">
        <f>INDEX('Analysis of bottom-up tags'!$N$122:$W$153,MATCH(Dashboard!$B367,'Analysis of bottom-up tags'!$B$122:$B$153,0),MATCH(Dashboard!E$21,'Analysis of bottom-up tags'!$N$6:$W$6,0))*E$23</f>
        <v>0</v>
      </c>
      <c r="F367" s="151">
        <f>INDEX('Analysis of bottom-up tags'!$N$122:$W$153,MATCH(Dashboard!$B367,'Analysis of bottom-up tags'!$B$122:$B$153,0),MATCH(Dashboard!F$21,'Analysis of bottom-up tags'!$N$6:$W$6,0))*F$23</f>
        <v>0</v>
      </c>
      <c r="G367" s="151">
        <f>INDEX('Analysis of bottom-up tags'!$N$122:$W$153,MATCH(Dashboard!$B367,'Analysis of bottom-up tags'!$B$122:$B$153,0),MATCH(Dashboard!G$21,'Analysis of bottom-up tags'!$N$6:$W$6,0))*G$23</f>
        <v>0</v>
      </c>
      <c r="H367" s="151">
        <f>INDEX('Analysis of bottom-up tags'!$N$122:$W$153,MATCH(Dashboard!$B367,'Analysis of bottom-up tags'!$B$122:$B$153,0),MATCH(Dashboard!H$21,'Analysis of bottom-up tags'!$N$6:$W$6,0))*H$23</f>
        <v>9.2854673976636284E-2</v>
      </c>
      <c r="I367" s="151">
        <f>INDEX('Analysis of bottom-up tags'!$N$122:$W$153,MATCH(Dashboard!$B367,'Analysis of bottom-up tags'!$B$122:$B$153,0),MATCH(Dashboard!I$21,'Analysis of bottom-up tags'!$N$6:$W$6,0))*I$23</f>
        <v>3.0276931621656882</v>
      </c>
      <c r="J367" s="151">
        <f>INDEX('Analysis of bottom-up tags'!$N$122:$W$153,MATCH(Dashboard!$B367,'Analysis of bottom-up tags'!$B$122:$B$153,0),MATCH(Dashboard!J$21,'Analysis of bottom-up tags'!$N$6:$W$6,0))*J$23</f>
        <v>0.10219082380634428</v>
      </c>
      <c r="K367" s="151">
        <f>INDEX('Analysis of bottom-up tags'!$N$122:$W$153,MATCH(Dashboard!$B367,'Analysis of bottom-up tags'!$B$122:$B$153,0),MATCH(Dashboard!K$21,'Analysis of bottom-up tags'!$N$6:$W$6,0))*K$23</f>
        <v>0</v>
      </c>
      <c r="L367" s="151">
        <f>INDEX('Analysis of bottom-up tags'!$N$122:$W$153,MATCH(Dashboard!$B367,'Analysis of bottom-up tags'!$B$122:$B$153,0),MATCH(Dashboard!L$21,'Analysis of bottom-up tags'!$N$6:$W$6,0))*L$23</f>
        <v>5.0167412317784486</v>
      </c>
      <c r="M367" s="151">
        <f t="shared" si="113"/>
        <v>8.2394798917271181</v>
      </c>
      <c r="N367" s="101">
        <f t="shared" si="114"/>
        <v>5.0961137351918128E-4</v>
      </c>
    </row>
    <row r="368" spans="2:14">
      <c r="B368" s="22" t="s">
        <v>1258</v>
      </c>
      <c r="C368" s="151">
        <f>INDEX('Analysis of bottom-up tags'!$N$122:$W$153,MATCH(Dashboard!$B368,'Analysis of bottom-up tags'!$B$122:$B$153,0),MATCH(Dashboard!C$21,'Analysis of bottom-up tags'!$N$6:$W$6,0))*C$23</f>
        <v>0</v>
      </c>
      <c r="D368" s="151">
        <f>INDEX('Analysis of bottom-up tags'!$N$122:$W$153,MATCH(Dashboard!$B368,'Analysis of bottom-up tags'!$B$122:$B$153,0),MATCH(Dashboard!D$21,'Analysis of bottom-up tags'!$N$6:$W$6,0))*D$23</f>
        <v>0.67527828154755076</v>
      </c>
      <c r="E368" s="151">
        <f>INDEX('Analysis of bottom-up tags'!$N$122:$W$153,MATCH(Dashboard!$B368,'Analysis of bottom-up tags'!$B$122:$B$153,0),MATCH(Dashboard!E$21,'Analysis of bottom-up tags'!$N$6:$W$6,0))*E$23</f>
        <v>6.5172283240140683</v>
      </c>
      <c r="F368" s="151">
        <f>INDEX('Analysis of bottom-up tags'!$N$122:$W$153,MATCH(Dashboard!$B368,'Analysis of bottom-up tags'!$B$122:$B$153,0),MATCH(Dashboard!F$21,'Analysis of bottom-up tags'!$N$6:$W$6,0))*F$23</f>
        <v>0</v>
      </c>
      <c r="G368" s="151">
        <f>INDEX('Analysis of bottom-up tags'!$N$122:$W$153,MATCH(Dashboard!$B368,'Analysis of bottom-up tags'!$B$122:$B$153,0),MATCH(Dashboard!G$21,'Analysis of bottom-up tags'!$N$6:$W$6,0))*G$23</f>
        <v>1.4645514140693781</v>
      </c>
      <c r="H368" s="151">
        <f>INDEX('Analysis of bottom-up tags'!$N$122:$W$153,MATCH(Dashboard!$B368,'Analysis of bottom-up tags'!$B$122:$B$153,0),MATCH(Dashboard!H$21,'Analysis of bottom-up tags'!$N$6:$W$6,0))*H$23</f>
        <v>0.25197436115866162</v>
      </c>
      <c r="I368" s="151">
        <f>INDEX('Analysis of bottom-up tags'!$N$122:$W$153,MATCH(Dashboard!$B368,'Analysis of bottom-up tags'!$B$122:$B$153,0),MATCH(Dashboard!I$21,'Analysis of bottom-up tags'!$N$6:$W$6,0))*I$23</f>
        <v>0.27108698383505914</v>
      </c>
      <c r="J368" s="151">
        <f>INDEX('Analysis of bottom-up tags'!$N$122:$W$153,MATCH(Dashboard!$B368,'Analysis of bottom-up tags'!$B$122:$B$153,0),MATCH(Dashboard!J$21,'Analysis of bottom-up tags'!$N$6:$W$6,0))*J$23</f>
        <v>0.40417758256103958</v>
      </c>
      <c r="K368" s="151">
        <f>INDEX('Analysis of bottom-up tags'!$N$122:$W$153,MATCH(Dashboard!$B368,'Analysis of bottom-up tags'!$B$122:$B$153,0),MATCH(Dashboard!K$21,'Analysis of bottom-up tags'!$N$6:$W$6,0))*K$23</f>
        <v>0.42432433456820634</v>
      </c>
      <c r="L368" s="151">
        <f>INDEX('Analysis of bottom-up tags'!$N$122:$W$153,MATCH(Dashboard!$B368,'Analysis of bottom-up tags'!$B$122:$B$153,0),MATCH(Dashboard!L$21,'Analysis of bottom-up tags'!$N$6:$W$6,0))*L$23</f>
        <v>0.94870782227783534</v>
      </c>
      <c r="M368" s="151">
        <f t="shared" si="113"/>
        <v>10.957329104031801</v>
      </c>
      <c r="N368" s="101">
        <f t="shared" si="114"/>
        <v>6.7771019629697302E-4</v>
      </c>
    </row>
    <row r="369" spans="2:14">
      <c r="B369" s="22" t="s">
        <v>5818</v>
      </c>
      <c r="C369" s="151">
        <f>INDEX('Analysis of bottom-up tags'!$N$122:$W$153,MATCH(Dashboard!$B369,'Analysis of bottom-up tags'!$B$122:$B$153,0),MATCH(Dashboard!C$21,'Analysis of bottom-up tags'!$N$6:$W$6,0))*C$23</f>
        <v>0</v>
      </c>
      <c r="D369" s="151">
        <f>INDEX('Analysis of bottom-up tags'!$N$122:$W$153,MATCH(Dashboard!$B369,'Analysis of bottom-up tags'!$B$122:$B$153,0),MATCH(Dashboard!D$21,'Analysis of bottom-up tags'!$N$6:$W$6,0))*D$23</f>
        <v>0</v>
      </c>
      <c r="E369" s="151">
        <f>INDEX('Analysis of bottom-up tags'!$N$122:$W$153,MATCH(Dashboard!$B369,'Analysis of bottom-up tags'!$B$122:$B$153,0),MATCH(Dashboard!E$21,'Analysis of bottom-up tags'!$N$6:$W$6,0))*E$23</f>
        <v>0</v>
      </c>
      <c r="F369" s="151">
        <f>INDEX('Analysis of bottom-up tags'!$N$122:$W$153,MATCH(Dashboard!$B369,'Analysis of bottom-up tags'!$B$122:$B$153,0),MATCH(Dashboard!F$21,'Analysis of bottom-up tags'!$N$6:$W$6,0))*F$23</f>
        <v>0</v>
      </c>
      <c r="G369" s="151">
        <f>INDEX('Analysis of bottom-up tags'!$N$122:$W$153,MATCH(Dashboard!$B369,'Analysis of bottom-up tags'!$B$122:$B$153,0),MATCH(Dashboard!G$21,'Analysis of bottom-up tags'!$N$6:$W$6,0))*G$23</f>
        <v>0</v>
      </c>
      <c r="H369" s="151">
        <f>INDEX('Analysis of bottom-up tags'!$N$122:$W$153,MATCH(Dashboard!$B369,'Analysis of bottom-up tags'!$B$122:$B$153,0),MATCH(Dashboard!H$21,'Analysis of bottom-up tags'!$N$6:$W$6,0))*H$23</f>
        <v>0</v>
      </c>
      <c r="I369" s="151">
        <f>INDEX('Analysis of bottom-up tags'!$N$122:$W$153,MATCH(Dashboard!$B369,'Analysis of bottom-up tags'!$B$122:$B$153,0),MATCH(Dashboard!I$21,'Analysis of bottom-up tags'!$N$6:$W$6,0))*I$23</f>
        <v>0</v>
      </c>
      <c r="J369" s="151">
        <f>INDEX('Analysis of bottom-up tags'!$N$122:$W$153,MATCH(Dashboard!$B369,'Analysis of bottom-up tags'!$B$122:$B$153,0),MATCH(Dashboard!J$21,'Analysis of bottom-up tags'!$N$6:$W$6,0))*J$23</f>
        <v>0</v>
      </c>
      <c r="K369" s="151">
        <f>INDEX('Analysis of bottom-up tags'!$N$122:$W$153,MATCH(Dashboard!$B369,'Analysis of bottom-up tags'!$B$122:$B$153,0),MATCH(Dashboard!K$21,'Analysis of bottom-up tags'!$N$6:$W$6,0))*K$23</f>
        <v>1.1493592653461322</v>
      </c>
      <c r="L369" s="151">
        <f>INDEX('Analysis of bottom-up tags'!$N$122:$W$153,MATCH(Dashboard!$B369,'Analysis of bottom-up tags'!$B$122:$B$153,0),MATCH(Dashboard!L$21,'Analysis of bottom-up tags'!$N$6:$W$6,0))*L$23</f>
        <v>0</v>
      </c>
      <c r="M369" s="151">
        <f t="shared" si="113"/>
        <v>1.1493592653461322</v>
      </c>
      <c r="N369" s="101">
        <f t="shared" si="114"/>
        <v>7.108780670344747E-5</v>
      </c>
    </row>
    <row r="370" spans="2:14">
      <c r="B370" s="22" t="s">
        <v>1740</v>
      </c>
      <c r="C370" s="151">
        <f>INDEX('Analysis of bottom-up tags'!$N$122:$W$153,MATCH(Dashboard!$B370,'Analysis of bottom-up tags'!$B$122:$B$153,0),MATCH(Dashboard!C$21,'Analysis of bottom-up tags'!$N$6:$W$6,0))*C$23</f>
        <v>0</v>
      </c>
      <c r="D370" s="151">
        <f>INDEX('Analysis of bottom-up tags'!$N$122:$W$153,MATCH(Dashboard!$B370,'Analysis of bottom-up tags'!$B$122:$B$153,0),MATCH(Dashboard!D$21,'Analysis of bottom-up tags'!$N$6:$W$6,0))*D$23</f>
        <v>0</v>
      </c>
      <c r="E370" s="151">
        <f>INDEX('Analysis of bottom-up tags'!$N$122:$W$153,MATCH(Dashboard!$B370,'Analysis of bottom-up tags'!$B$122:$B$153,0),MATCH(Dashboard!E$21,'Analysis of bottom-up tags'!$N$6:$W$6,0))*E$23</f>
        <v>0</v>
      </c>
      <c r="F370" s="151">
        <f>INDEX('Analysis of bottom-up tags'!$N$122:$W$153,MATCH(Dashboard!$B370,'Analysis of bottom-up tags'!$B$122:$B$153,0),MATCH(Dashboard!F$21,'Analysis of bottom-up tags'!$N$6:$W$6,0))*F$23</f>
        <v>0</v>
      </c>
      <c r="G370" s="151">
        <f>INDEX('Analysis of bottom-up tags'!$N$122:$W$153,MATCH(Dashboard!$B370,'Analysis of bottom-up tags'!$B$122:$B$153,0),MATCH(Dashboard!G$21,'Analysis of bottom-up tags'!$N$6:$W$6,0))*G$23</f>
        <v>0</v>
      </c>
      <c r="H370" s="151">
        <f>INDEX('Analysis of bottom-up tags'!$N$122:$W$153,MATCH(Dashboard!$B370,'Analysis of bottom-up tags'!$B$122:$B$153,0),MATCH(Dashboard!H$21,'Analysis of bottom-up tags'!$N$6:$W$6,0))*H$23</f>
        <v>0</v>
      </c>
      <c r="I370" s="151">
        <f>INDEX('Analysis of bottom-up tags'!$N$122:$W$153,MATCH(Dashboard!$B370,'Analysis of bottom-up tags'!$B$122:$B$153,0),MATCH(Dashboard!I$21,'Analysis of bottom-up tags'!$N$6:$W$6,0))*I$23</f>
        <v>0</v>
      </c>
      <c r="J370" s="151">
        <f>INDEX('Analysis of bottom-up tags'!$N$122:$W$153,MATCH(Dashboard!$B370,'Analysis of bottom-up tags'!$B$122:$B$153,0),MATCH(Dashboard!J$21,'Analysis of bottom-up tags'!$N$6:$W$6,0))*J$23</f>
        <v>0</v>
      </c>
      <c r="K370" s="151">
        <f>INDEX('Analysis of bottom-up tags'!$N$122:$W$153,MATCH(Dashboard!$B370,'Analysis of bottom-up tags'!$B$122:$B$153,0),MATCH(Dashboard!K$21,'Analysis of bottom-up tags'!$N$6:$W$6,0))*K$23</f>
        <v>1.9842634608685603E-2</v>
      </c>
      <c r="L370" s="151">
        <f>INDEX('Analysis of bottom-up tags'!$N$122:$W$153,MATCH(Dashboard!$B370,'Analysis of bottom-up tags'!$B$122:$B$153,0),MATCH(Dashboard!L$21,'Analysis of bottom-up tags'!$N$6:$W$6,0))*L$23</f>
        <v>0</v>
      </c>
      <c r="M370" s="151">
        <f t="shared" si="113"/>
        <v>1.9842634608685603E-2</v>
      </c>
      <c r="N370" s="101">
        <f t="shared" si="114"/>
        <v>1.2272658480937054E-6</v>
      </c>
    </row>
    <row r="371" spans="2:14">
      <c r="B371" s="22" t="s">
        <v>9288</v>
      </c>
      <c r="C371" s="151">
        <f>INDEX('Analysis of bottom-up tags'!$N$122:$W$153,MATCH(Dashboard!$B371,'Analysis of bottom-up tags'!$B$122:$B$153,0),MATCH(Dashboard!C$21,'Analysis of bottom-up tags'!$N$6:$W$6,0))*C$23</f>
        <v>0</v>
      </c>
      <c r="D371" s="151">
        <f>INDEX('Analysis of bottom-up tags'!$N$122:$W$153,MATCH(Dashboard!$B371,'Analysis of bottom-up tags'!$B$122:$B$153,0),MATCH(Dashboard!D$21,'Analysis of bottom-up tags'!$N$6:$W$6,0))*D$23</f>
        <v>0</v>
      </c>
      <c r="E371" s="151">
        <f>INDEX('Analysis of bottom-up tags'!$N$122:$W$153,MATCH(Dashboard!$B371,'Analysis of bottom-up tags'!$B$122:$B$153,0),MATCH(Dashboard!E$21,'Analysis of bottom-up tags'!$N$6:$W$6,0))*E$23</f>
        <v>0</v>
      </c>
      <c r="F371" s="151">
        <f>INDEX('Analysis of bottom-up tags'!$N$122:$W$153,MATCH(Dashboard!$B371,'Analysis of bottom-up tags'!$B$122:$B$153,0),MATCH(Dashboard!F$21,'Analysis of bottom-up tags'!$N$6:$W$6,0))*F$23</f>
        <v>0</v>
      </c>
      <c r="G371" s="151">
        <f>INDEX('Analysis of bottom-up tags'!$N$122:$W$153,MATCH(Dashboard!$B371,'Analysis of bottom-up tags'!$B$122:$B$153,0),MATCH(Dashboard!G$21,'Analysis of bottom-up tags'!$N$6:$W$6,0))*G$23</f>
        <v>0</v>
      </c>
      <c r="H371" s="151">
        <f>INDEX('Analysis of bottom-up tags'!$N$122:$W$153,MATCH(Dashboard!$B371,'Analysis of bottom-up tags'!$B$122:$B$153,0),MATCH(Dashboard!H$21,'Analysis of bottom-up tags'!$N$6:$W$6,0))*H$23</f>
        <v>1.2231889902595934</v>
      </c>
      <c r="I371" s="151">
        <f>INDEX('Analysis of bottom-up tags'!$N$122:$W$153,MATCH(Dashboard!$B371,'Analysis of bottom-up tags'!$B$122:$B$153,0),MATCH(Dashboard!I$21,'Analysis of bottom-up tags'!$N$6:$W$6,0))*I$23</f>
        <v>8.5209358681636288E-2</v>
      </c>
      <c r="J371" s="151">
        <f>INDEX('Analysis of bottom-up tags'!$N$122:$W$153,MATCH(Dashboard!$B371,'Analysis of bottom-up tags'!$B$122:$B$153,0),MATCH(Dashboard!J$21,'Analysis of bottom-up tags'!$N$6:$W$6,0))*J$23</f>
        <v>0</v>
      </c>
      <c r="K371" s="151">
        <f>INDEX('Analysis of bottom-up tags'!$N$122:$W$153,MATCH(Dashboard!$B371,'Analysis of bottom-up tags'!$B$122:$B$153,0),MATCH(Dashboard!K$21,'Analysis of bottom-up tags'!$N$6:$W$6,0))*K$23</f>
        <v>0</v>
      </c>
      <c r="L371" s="151">
        <f>INDEX('Analysis of bottom-up tags'!$N$122:$W$153,MATCH(Dashboard!$B371,'Analysis of bottom-up tags'!$B$122:$B$153,0),MATCH(Dashboard!L$21,'Analysis of bottom-up tags'!$N$6:$W$6,0))*L$23</f>
        <v>0</v>
      </c>
      <c r="M371" s="151">
        <f t="shared" si="113"/>
        <v>1.3083983489412296</v>
      </c>
      <c r="N371" s="101">
        <f t="shared" si="114"/>
        <v>8.092436518761905E-5</v>
      </c>
    </row>
    <row r="372" spans="2:14">
      <c r="B372" s="22" t="s">
        <v>7148</v>
      </c>
      <c r="C372" s="151">
        <f>INDEX('Analysis of bottom-up tags'!$N$122:$W$153,MATCH(Dashboard!$B372,'Analysis of bottom-up tags'!$B$122:$B$153,0),MATCH(Dashboard!C$21,'Analysis of bottom-up tags'!$N$6:$W$6,0))*C$23</f>
        <v>0</v>
      </c>
      <c r="D372" s="151">
        <f>INDEX('Analysis of bottom-up tags'!$N$122:$W$153,MATCH(Dashboard!$B372,'Analysis of bottom-up tags'!$B$122:$B$153,0),MATCH(Dashboard!D$21,'Analysis of bottom-up tags'!$N$6:$W$6,0))*D$23</f>
        <v>0</v>
      </c>
      <c r="E372" s="151">
        <f>INDEX('Analysis of bottom-up tags'!$N$122:$W$153,MATCH(Dashboard!$B372,'Analysis of bottom-up tags'!$B$122:$B$153,0),MATCH(Dashboard!E$21,'Analysis of bottom-up tags'!$N$6:$W$6,0))*E$23</f>
        <v>0</v>
      </c>
      <c r="F372" s="151">
        <f>INDEX('Analysis of bottom-up tags'!$N$122:$W$153,MATCH(Dashboard!$B372,'Analysis of bottom-up tags'!$B$122:$B$153,0),MATCH(Dashboard!F$21,'Analysis of bottom-up tags'!$N$6:$W$6,0))*F$23</f>
        <v>0</v>
      </c>
      <c r="G372" s="151">
        <f>INDEX('Analysis of bottom-up tags'!$N$122:$W$153,MATCH(Dashboard!$B372,'Analysis of bottom-up tags'!$B$122:$B$153,0),MATCH(Dashboard!G$21,'Analysis of bottom-up tags'!$N$6:$W$6,0))*G$23</f>
        <v>0</v>
      </c>
      <c r="H372" s="151">
        <f>INDEX('Analysis of bottom-up tags'!$N$122:$W$153,MATCH(Dashboard!$B372,'Analysis of bottom-up tags'!$B$122:$B$153,0),MATCH(Dashboard!H$21,'Analysis of bottom-up tags'!$N$6:$W$6,0))*H$23</f>
        <v>0</v>
      </c>
      <c r="I372" s="151">
        <f>INDEX('Analysis of bottom-up tags'!$N$122:$W$153,MATCH(Dashboard!$B372,'Analysis of bottom-up tags'!$B$122:$B$153,0),MATCH(Dashboard!I$21,'Analysis of bottom-up tags'!$N$6:$W$6,0))*I$23</f>
        <v>0</v>
      </c>
      <c r="J372" s="151">
        <f>INDEX('Analysis of bottom-up tags'!$N$122:$W$153,MATCH(Dashboard!$B372,'Analysis of bottom-up tags'!$B$122:$B$153,0),MATCH(Dashboard!J$21,'Analysis of bottom-up tags'!$N$6:$W$6,0))*J$23</f>
        <v>0</v>
      </c>
      <c r="K372" s="151">
        <f>INDEX('Analysis of bottom-up tags'!$N$122:$W$153,MATCH(Dashboard!$B372,'Analysis of bottom-up tags'!$B$122:$B$153,0),MATCH(Dashboard!K$21,'Analysis of bottom-up tags'!$N$6:$W$6,0))*K$23</f>
        <v>0</v>
      </c>
      <c r="L372" s="151">
        <f>INDEX('Analysis of bottom-up tags'!$N$122:$W$153,MATCH(Dashboard!$B372,'Analysis of bottom-up tags'!$B$122:$B$153,0),MATCH(Dashboard!L$21,'Analysis of bottom-up tags'!$N$6:$W$6,0))*L$23</f>
        <v>0.65221180395620648</v>
      </c>
      <c r="M372" s="151">
        <f t="shared" si="113"/>
        <v>0.65221180395620648</v>
      </c>
      <c r="N372" s="101">
        <f t="shared" si="114"/>
        <v>4.0339263837911345E-5</v>
      </c>
    </row>
    <row r="373" spans="2:14">
      <c r="B373" s="22" t="s">
        <v>6393</v>
      </c>
      <c r="C373" s="151">
        <f>INDEX('Analysis of bottom-up tags'!$N$122:$W$153,MATCH(Dashboard!$B373,'Analysis of bottom-up tags'!$B$122:$B$153,0),MATCH(Dashboard!C$21,'Analysis of bottom-up tags'!$N$6:$W$6,0))*C$23</f>
        <v>0</v>
      </c>
      <c r="D373" s="151">
        <f>INDEX('Analysis of bottom-up tags'!$N$122:$W$153,MATCH(Dashboard!$B373,'Analysis of bottom-up tags'!$B$122:$B$153,0),MATCH(Dashboard!D$21,'Analysis of bottom-up tags'!$N$6:$W$6,0))*D$23</f>
        <v>0</v>
      </c>
      <c r="E373" s="151">
        <f>INDEX('Analysis of bottom-up tags'!$N$122:$W$153,MATCH(Dashboard!$B373,'Analysis of bottom-up tags'!$B$122:$B$153,0),MATCH(Dashboard!E$21,'Analysis of bottom-up tags'!$N$6:$W$6,0))*E$23</f>
        <v>0</v>
      </c>
      <c r="F373" s="151">
        <f>INDEX('Analysis of bottom-up tags'!$N$122:$W$153,MATCH(Dashboard!$B373,'Analysis of bottom-up tags'!$B$122:$B$153,0),MATCH(Dashboard!F$21,'Analysis of bottom-up tags'!$N$6:$W$6,0))*F$23</f>
        <v>0</v>
      </c>
      <c r="G373" s="151">
        <f>INDEX('Analysis of bottom-up tags'!$N$122:$W$153,MATCH(Dashboard!$B373,'Analysis of bottom-up tags'!$B$122:$B$153,0),MATCH(Dashboard!G$21,'Analysis of bottom-up tags'!$N$6:$W$6,0))*G$23</f>
        <v>0</v>
      </c>
      <c r="H373" s="151">
        <f>INDEX('Analysis of bottom-up tags'!$N$122:$W$153,MATCH(Dashboard!$B373,'Analysis of bottom-up tags'!$B$122:$B$153,0),MATCH(Dashboard!H$21,'Analysis of bottom-up tags'!$N$6:$W$6,0))*H$23</f>
        <v>0</v>
      </c>
      <c r="I373" s="151">
        <f>INDEX('Analysis of bottom-up tags'!$N$122:$W$153,MATCH(Dashboard!$B373,'Analysis of bottom-up tags'!$B$122:$B$153,0),MATCH(Dashboard!I$21,'Analysis of bottom-up tags'!$N$6:$W$6,0))*I$23</f>
        <v>0</v>
      </c>
      <c r="J373" s="151">
        <f>INDEX('Analysis of bottom-up tags'!$N$122:$W$153,MATCH(Dashboard!$B373,'Analysis of bottom-up tags'!$B$122:$B$153,0),MATCH(Dashboard!J$21,'Analysis of bottom-up tags'!$N$6:$W$6,0))*J$23</f>
        <v>0</v>
      </c>
      <c r="K373" s="151">
        <f>INDEX('Analysis of bottom-up tags'!$N$122:$W$153,MATCH(Dashboard!$B373,'Analysis of bottom-up tags'!$B$122:$B$153,0),MATCH(Dashboard!K$21,'Analysis of bottom-up tags'!$N$6:$W$6,0))*K$23</f>
        <v>0.17615180105790459</v>
      </c>
      <c r="L373" s="151">
        <f>INDEX('Analysis of bottom-up tags'!$N$122:$W$153,MATCH(Dashboard!$B373,'Analysis of bottom-up tags'!$B$122:$B$153,0),MATCH(Dashboard!L$21,'Analysis of bottom-up tags'!$N$6:$W$6,0))*L$23</f>
        <v>0</v>
      </c>
      <c r="M373" s="151">
        <f t="shared" si="113"/>
        <v>0.17615180105790459</v>
      </c>
      <c r="N373" s="101">
        <f t="shared" si="114"/>
        <v>1.0894979108466447E-5</v>
      </c>
    </row>
    <row r="374" spans="2:14">
      <c r="B374" s="22" t="s">
        <v>9462</v>
      </c>
      <c r="C374" s="151">
        <f>INDEX('Analysis of bottom-up tags'!$N$122:$W$153,MATCH(Dashboard!$B374,'Analysis of bottom-up tags'!$B$122:$B$153,0),MATCH(Dashboard!C$21,'Analysis of bottom-up tags'!$N$6:$W$6,0))*C$23</f>
        <v>0</v>
      </c>
      <c r="D374" s="151">
        <f>INDEX('Analysis of bottom-up tags'!$N$122:$W$153,MATCH(Dashboard!$B374,'Analysis of bottom-up tags'!$B$122:$B$153,0),MATCH(Dashboard!D$21,'Analysis of bottom-up tags'!$N$6:$W$6,0))*D$23</f>
        <v>0</v>
      </c>
      <c r="E374" s="151">
        <f>INDEX('Analysis of bottom-up tags'!$N$122:$W$153,MATCH(Dashboard!$B374,'Analysis of bottom-up tags'!$B$122:$B$153,0),MATCH(Dashboard!E$21,'Analysis of bottom-up tags'!$N$6:$W$6,0))*E$23</f>
        <v>0</v>
      </c>
      <c r="F374" s="151">
        <f>INDEX('Analysis of bottom-up tags'!$N$122:$W$153,MATCH(Dashboard!$B374,'Analysis of bottom-up tags'!$B$122:$B$153,0),MATCH(Dashboard!F$21,'Analysis of bottom-up tags'!$N$6:$W$6,0))*F$23</f>
        <v>0</v>
      </c>
      <c r="G374" s="151">
        <f>INDEX('Analysis of bottom-up tags'!$N$122:$W$153,MATCH(Dashboard!$B374,'Analysis of bottom-up tags'!$B$122:$B$153,0),MATCH(Dashboard!G$21,'Analysis of bottom-up tags'!$N$6:$W$6,0))*G$23</f>
        <v>0</v>
      </c>
      <c r="H374" s="151">
        <f>INDEX('Analysis of bottom-up tags'!$N$122:$W$153,MATCH(Dashboard!$B374,'Analysis of bottom-up tags'!$B$122:$B$153,0),MATCH(Dashboard!H$21,'Analysis of bottom-up tags'!$N$6:$W$6,0))*H$23</f>
        <v>0.73914095078334952</v>
      </c>
      <c r="I374" s="151">
        <f>INDEX('Analysis of bottom-up tags'!$N$122:$W$153,MATCH(Dashboard!$B374,'Analysis of bottom-up tags'!$B$122:$B$153,0),MATCH(Dashboard!I$21,'Analysis of bottom-up tags'!$N$6:$W$6,0))*I$23</f>
        <v>0</v>
      </c>
      <c r="J374" s="151">
        <f>INDEX('Analysis of bottom-up tags'!$N$122:$W$153,MATCH(Dashboard!$B374,'Analysis of bottom-up tags'!$B$122:$B$153,0),MATCH(Dashboard!J$21,'Analysis of bottom-up tags'!$N$6:$W$6,0))*J$23</f>
        <v>0</v>
      </c>
      <c r="K374" s="151">
        <f>INDEX('Analysis of bottom-up tags'!$N$122:$W$153,MATCH(Dashboard!$B374,'Analysis of bottom-up tags'!$B$122:$B$153,0),MATCH(Dashboard!K$21,'Analysis of bottom-up tags'!$N$6:$W$6,0))*K$23</f>
        <v>0</v>
      </c>
      <c r="L374" s="151">
        <f>INDEX('Analysis of bottom-up tags'!$N$122:$W$153,MATCH(Dashboard!$B374,'Analysis of bottom-up tags'!$B$122:$B$153,0),MATCH(Dashboard!L$21,'Analysis of bottom-up tags'!$N$6:$W$6,0))*L$23</f>
        <v>0</v>
      </c>
      <c r="M374" s="151">
        <f t="shared" si="113"/>
        <v>0.73914095078334952</v>
      </c>
      <c r="N374" s="101">
        <f t="shared" si="114"/>
        <v>4.5715826739401112E-5</v>
      </c>
    </row>
    <row r="375" spans="2:14">
      <c r="B375" s="22" t="s">
        <v>6313</v>
      </c>
      <c r="C375" s="151">
        <f>INDEX('Analysis of bottom-up tags'!$N$122:$W$153,MATCH(Dashboard!$B375,'Analysis of bottom-up tags'!$B$122:$B$153,0),MATCH(Dashboard!C$21,'Analysis of bottom-up tags'!$N$6:$W$6,0))*C$23</f>
        <v>0</v>
      </c>
      <c r="D375" s="151">
        <f>INDEX('Analysis of bottom-up tags'!$N$122:$W$153,MATCH(Dashboard!$B375,'Analysis of bottom-up tags'!$B$122:$B$153,0),MATCH(Dashboard!D$21,'Analysis of bottom-up tags'!$N$6:$W$6,0))*D$23</f>
        <v>0</v>
      </c>
      <c r="E375" s="151">
        <f>INDEX('Analysis of bottom-up tags'!$N$122:$W$153,MATCH(Dashboard!$B375,'Analysis of bottom-up tags'!$B$122:$B$153,0),MATCH(Dashboard!E$21,'Analysis of bottom-up tags'!$N$6:$W$6,0))*E$23</f>
        <v>0</v>
      </c>
      <c r="F375" s="151">
        <f>INDEX('Analysis of bottom-up tags'!$N$122:$W$153,MATCH(Dashboard!$B375,'Analysis of bottom-up tags'!$B$122:$B$153,0),MATCH(Dashboard!F$21,'Analysis of bottom-up tags'!$N$6:$W$6,0))*F$23</f>
        <v>0</v>
      </c>
      <c r="G375" s="151">
        <f>INDEX('Analysis of bottom-up tags'!$N$122:$W$153,MATCH(Dashboard!$B375,'Analysis of bottom-up tags'!$B$122:$B$153,0),MATCH(Dashboard!G$21,'Analysis of bottom-up tags'!$N$6:$W$6,0))*G$23</f>
        <v>0</v>
      </c>
      <c r="H375" s="151">
        <f>INDEX('Analysis of bottom-up tags'!$N$122:$W$153,MATCH(Dashboard!$B375,'Analysis of bottom-up tags'!$B$122:$B$153,0),MATCH(Dashboard!H$21,'Analysis of bottom-up tags'!$N$6:$W$6,0))*H$23</f>
        <v>0</v>
      </c>
      <c r="I375" s="151">
        <f>INDEX('Analysis of bottom-up tags'!$N$122:$W$153,MATCH(Dashboard!$B375,'Analysis of bottom-up tags'!$B$122:$B$153,0),MATCH(Dashboard!I$21,'Analysis of bottom-up tags'!$N$6:$W$6,0))*I$23</f>
        <v>0</v>
      </c>
      <c r="J375" s="151">
        <f>INDEX('Analysis of bottom-up tags'!$N$122:$W$153,MATCH(Dashboard!$B375,'Analysis of bottom-up tags'!$B$122:$B$153,0),MATCH(Dashboard!J$21,'Analysis of bottom-up tags'!$N$6:$W$6,0))*J$23</f>
        <v>0</v>
      </c>
      <c r="K375" s="151">
        <f>INDEX('Analysis of bottom-up tags'!$N$122:$W$153,MATCH(Dashboard!$B375,'Analysis of bottom-up tags'!$B$122:$B$153,0),MATCH(Dashboard!K$21,'Analysis of bottom-up tags'!$N$6:$W$6,0))*K$23</f>
        <v>0</v>
      </c>
      <c r="L375" s="151">
        <f>INDEX('Analysis of bottom-up tags'!$N$122:$W$153,MATCH(Dashboard!$B375,'Analysis of bottom-up tags'!$B$122:$B$153,0),MATCH(Dashboard!L$21,'Analysis of bottom-up tags'!$N$6:$W$6,0))*L$23</f>
        <v>0</v>
      </c>
      <c r="M375" s="151">
        <f t="shared" si="113"/>
        <v>0</v>
      </c>
      <c r="N375" s="101">
        <f t="shared" si="114"/>
        <v>0</v>
      </c>
    </row>
    <row r="376" spans="2:14">
      <c r="B376" s="22" t="s">
        <v>9855</v>
      </c>
      <c r="C376" s="151">
        <f>INDEX('Analysis of bottom-up tags'!$N$122:$W$153,MATCH(Dashboard!$B376,'Analysis of bottom-up tags'!$B$122:$B$153,0),MATCH(Dashboard!C$21,'Analysis of bottom-up tags'!$N$6:$W$6,0))*C$23</f>
        <v>0</v>
      </c>
      <c r="D376" s="151">
        <f>INDEX('Analysis of bottom-up tags'!$N$122:$W$153,MATCH(Dashboard!$B376,'Analysis of bottom-up tags'!$B$122:$B$153,0),MATCH(Dashboard!D$21,'Analysis of bottom-up tags'!$N$6:$W$6,0))*D$23</f>
        <v>0</v>
      </c>
      <c r="E376" s="151">
        <f>INDEX('Analysis of bottom-up tags'!$N$122:$W$153,MATCH(Dashboard!$B376,'Analysis of bottom-up tags'!$B$122:$B$153,0),MATCH(Dashboard!E$21,'Analysis of bottom-up tags'!$N$6:$W$6,0))*E$23</f>
        <v>0</v>
      </c>
      <c r="F376" s="151">
        <f>INDEX('Analysis of bottom-up tags'!$N$122:$W$153,MATCH(Dashboard!$B376,'Analysis of bottom-up tags'!$B$122:$B$153,0),MATCH(Dashboard!F$21,'Analysis of bottom-up tags'!$N$6:$W$6,0))*F$23</f>
        <v>0</v>
      </c>
      <c r="G376" s="151">
        <f>INDEX('Analysis of bottom-up tags'!$N$122:$W$153,MATCH(Dashboard!$B376,'Analysis of bottom-up tags'!$B$122:$B$153,0),MATCH(Dashboard!G$21,'Analysis of bottom-up tags'!$N$6:$W$6,0))*G$23</f>
        <v>2.031964535327063</v>
      </c>
      <c r="H376" s="151">
        <f>INDEX('Analysis of bottom-up tags'!$N$122:$W$153,MATCH(Dashboard!$B376,'Analysis of bottom-up tags'!$B$122:$B$153,0),MATCH(Dashboard!H$21,'Analysis of bottom-up tags'!$N$6:$W$6,0))*H$23</f>
        <v>0</v>
      </c>
      <c r="I376" s="151">
        <f>INDEX('Analysis of bottom-up tags'!$N$122:$W$153,MATCH(Dashboard!$B376,'Analysis of bottom-up tags'!$B$122:$B$153,0),MATCH(Dashboard!I$21,'Analysis of bottom-up tags'!$N$6:$W$6,0))*I$23</f>
        <v>0</v>
      </c>
      <c r="J376" s="151">
        <f>INDEX('Analysis of bottom-up tags'!$N$122:$W$153,MATCH(Dashboard!$B376,'Analysis of bottom-up tags'!$B$122:$B$153,0),MATCH(Dashboard!J$21,'Analysis of bottom-up tags'!$N$6:$W$6,0))*J$23</f>
        <v>0</v>
      </c>
      <c r="K376" s="151">
        <f>INDEX('Analysis of bottom-up tags'!$N$122:$W$153,MATCH(Dashboard!$B376,'Analysis of bottom-up tags'!$B$122:$B$153,0),MATCH(Dashboard!K$21,'Analysis of bottom-up tags'!$N$6:$W$6,0))*K$23</f>
        <v>0</v>
      </c>
      <c r="L376" s="151">
        <f>INDEX('Analysis of bottom-up tags'!$N$122:$W$153,MATCH(Dashboard!$B376,'Analysis of bottom-up tags'!$B$122:$B$153,0),MATCH(Dashboard!L$21,'Analysis of bottom-up tags'!$N$6:$W$6,0))*L$23</f>
        <v>0</v>
      </c>
      <c r="M376" s="151">
        <f t="shared" si="113"/>
        <v>2.031964535327063</v>
      </c>
      <c r="N376" s="101">
        <f t="shared" si="114"/>
        <v>1.2567689361436512E-4</v>
      </c>
    </row>
    <row r="377" spans="2:14">
      <c r="B377" s="22" t="s">
        <v>6281</v>
      </c>
      <c r="C377" s="151">
        <f>INDEX('Analysis of bottom-up tags'!$N$122:$W$153,MATCH(Dashboard!$B377,'Analysis of bottom-up tags'!$B$122:$B$153,0),MATCH(Dashboard!C$21,'Analysis of bottom-up tags'!$N$6:$W$6,0))*C$23</f>
        <v>0</v>
      </c>
      <c r="D377" s="151">
        <f>INDEX('Analysis of bottom-up tags'!$N$122:$W$153,MATCH(Dashboard!$B377,'Analysis of bottom-up tags'!$B$122:$B$153,0),MATCH(Dashboard!D$21,'Analysis of bottom-up tags'!$N$6:$W$6,0))*D$23</f>
        <v>0</v>
      </c>
      <c r="E377" s="151">
        <f>INDEX('Analysis of bottom-up tags'!$N$122:$W$153,MATCH(Dashboard!$B377,'Analysis of bottom-up tags'!$B$122:$B$153,0),MATCH(Dashboard!E$21,'Analysis of bottom-up tags'!$N$6:$W$6,0))*E$23</f>
        <v>0</v>
      </c>
      <c r="F377" s="151">
        <f>INDEX('Analysis of bottom-up tags'!$N$122:$W$153,MATCH(Dashboard!$B377,'Analysis of bottom-up tags'!$B$122:$B$153,0),MATCH(Dashboard!F$21,'Analysis of bottom-up tags'!$N$6:$W$6,0))*F$23</f>
        <v>0</v>
      </c>
      <c r="G377" s="151">
        <f>INDEX('Analysis of bottom-up tags'!$N$122:$W$153,MATCH(Dashboard!$B377,'Analysis of bottom-up tags'!$B$122:$B$153,0),MATCH(Dashboard!G$21,'Analysis of bottom-up tags'!$N$6:$W$6,0))*G$23</f>
        <v>0</v>
      </c>
      <c r="H377" s="151">
        <f>INDEX('Analysis of bottom-up tags'!$N$122:$W$153,MATCH(Dashboard!$B377,'Analysis of bottom-up tags'!$B$122:$B$153,0),MATCH(Dashboard!H$21,'Analysis of bottom-up tags'!$N$6:$W$6,0))*H$23</f>
        <v>0</v>
      </c>
      <c r="I377" s="151">
        <f>INDEX('Analysis of bottom-up tags'!$N$122:$W$153,MATCH(Dashboard!$B377,'Analysis of bottom-up tags'!$B$122:$B$153,0),MATCH(Dashboard!I$21,'Analysis of bottom-up tags'!$N$6:$W$6,0))*I$23</f>
        <v>0</v>
      </c>
      <c r="J377" s="151">
        <f>INDEX('Analysis of bottom-up tags'!$N$122:$W$153,MATCH(Dashboard!$B377,'Analysis of bottom-up tags'!$B$122:$B$153,0),MATCH(Dashboard!J$21,'Analysis of bottom-up tags'!$N$6:$W$6,0))*J$23</f>
        <v>0</v>
      </c>
      <c r="K377" s="151">
        <f>INDEX('Analysis of bottom-up tags'!$N$122:$W$153,MATCH(Dashboard!$B377,'Analysis of bottom-up tags'!$B$122:$B$153,0),MATCH(Dashboard!K$21,'Analysis of bottom-up tags'!$N$6:$W$6,0))*K$23</f>
        <v>0</v>
      </c>
      <c r="L377" s="151">
        <f>INDEX('Analysis of bottom-up tags'!$N$122:$W$153,MATCH(Dashboard!$B377,'Analysis of bottom-up tags'!$B$122:$B$153,0),MATCH(Dashboard!L$21,'Analysis of bottom-up tags'!$N$6:$W$6,0))*L$23</f>
        <v>0.22770047718271144</v>
      </c>
      <c r="M377" s="151">
        <f t="shared" si="113"/>
        <v>0.22770047718271144</v>
      </c>
      <c r="N377" s="101">
        <f t="shared" si="114"/>
        <v>1.4083261862749826E-5</v>
      </c>
    </row>
    <row r="378" spans="2:14">
      <c r="B378" s="22" t="s">
        <v>10098</v>
      </c>
      <c r="C378" s="151">
        <f>INDEX('Analysis of bottom-up tags'!$N$122:$W$153,MATCH(Dashboard!$B378,'Analysis of bottom-up tags'!$B$122:$B$153,0),MATCH(Dashboard!C$21,'Analysis of bottom-up tags'!$N$6:$W$6,0))*C$23</f>
        <v>0</v>
      </c>
      <c r="D378" s="151">
        <f>INDEX('Analysis of bottom-up tags'!$N$122:$W$153,MATCH(Dashboard!$B378,'Analysis of bottom-up tags'!$B$122:$B$153,0),MATCH(Dashboard!D$21,'Analysis of bottom-up tags'!$N$6:$W$6,0))*D$23</f>
        <v>0</v>
      </c>
      <c r="E378" s="151">
        <f>INDEX('Analysis of bottom-up tags'!$N$122:$W$153,MATCH(Dashboard!$B378,'Analysis of bottom-up tags'!$B$122:$B$153,0),MATCH(Dashboard!E$21,'Analysis of bottom-up tags'!$N$6:$W$6,0))*E$23</f>
        <v>0</v>
      </c>
      <c r="F378" s="151">
        <f>INDEX('Analysis of bottom-up tags'!$N$122:$W$153,MATCH(Dashboard!$B378,'Analysis of bottom-up tags'!$B$122:$B$153,0),MATCH(Dashboard!F$21,'Analysis of bottom-up tags'!$N$6:$W$6,0))*F$23</f>
        <v>0</v>
      </c>
      <c r="G378" s="151">
        <f>INDEX('Analysis of bottom-up tags'!$N$122:$W$153,MATCH(Dashboard!$B378,'Analysis of bottom-up tags'!$B$122:$B$153,0),MATCH(Dashboard!G$21,'Analysis of bottom-up tags'!$N$6:$W$6,0))*G$23</f>
        <v>0</v>
      </c>
      <c r="H378" s="151">
        <f>INDEX('Analysis of bottom-up tags'!$N$122:$W$153,MATCH(Dashboard!$B378,'Analysis of bottom-up tags'!$B$122:$B$153,0),MATCH(Dashboard!H$21,'Analysis of bottom-up tags'!$N$6:$W$6,0))*H$23</f>
        <v>7.901526311061359E-2</v>
      </c>
      <c r="I378" s="151">
        <f>INDEX('Analysis of bottom-up tags'!$N$122:$W$153,MATCH(Dashboard!$B378,'Analysis of bottom-up tags'!$B$122:$B$153,0),MATCH(Dashboard!I$21,'Analysis of bottom-up tags'!$N$6:$W$6,0))*I$23</f>
        <v>0</v>
      </c>
      <c r="J378" s="151">
        <f>INDEX('Analysis of bottom-up tags'!$N$122:$W$153,MATCH(Dashboard!$B378,'Analysis of bottom-up tags'!$B$122:$B$153,0),MATCH(Dashboard!J$21,'Analysis of bottom-up tags'!$N$6:$W$6,0))*J$23</f>
        <v>0</v>
      </c>
      <c r="K378" s="151">
        <f>INDEX('Analysis of bottom-up tags'!$N$122:$W$153,MATCH(Dashboard!$B378,'Analysis of bottom-up tags'!$B$122:$B$153,0),MATCH(Dashboard!K$21,'Analysis of bottom-up tags'!$N$6:$W$6,0))*K$23</f>
        <v>0</v>
      </c>
      <c r="L378" s="151">
        <f>INDEX('Analysis of bottom-up tags'!$N$122:$W$153,MATCH(Dashboard!$B378,'Analysis of bottom-up tags'!$B$122:$B$153,0),MATCH(Dashboard!L$21,'Analysis of bottom-up tags'!$N$6:$W$6,0))*L$23</f>
        <v>0</v>
      </c>
      <c r="M378" s="151">
        <f t="shared" si="113"/>
        <v>7.901526311061359E-2</v>
      </c>
      <c r="N378" s="101">
        <f t="shared" si="114"/>
        <v>4.8870896333164923E-6</v>
      </c>
    </row>
    <row r="379" spans="2:14">
      <c r="B379" s="22"/>
    </row>
    <row r="380" spans="2:14">
      <c r="B380" s="22"/>
    </row>
    <row r="381" spans="2:14">
      <c r="B381" s="22"/>
    </row>
    <row r="382" spans="2:14">
      <c r="B382" s="22"/>
    </row>
    <row r="383" spans="2:14">
      <c r="B383" s="166" t="s">
        <v>11042</v>
      </c>
      <c r="C383" s="166">
        <f>SUM(C351:C382)</f>
        <v>1287.9939251310448</v>
      </c>
      <c r="D383" s="166">
        <f t="shared" ref="D383" si="115">SUM(D351:D382)</f>
        <v>1406.6182595111602</v>
      </c>
      <c r="E383" s="166">
        <f t="shared" ref="E383" si="116">SUM(E351:E382)</f>
        <v>1309.7452990091588</v>
      </c>
      <c r="F383" s="166">
        <f t="shared" ref="F383" si="117">SUM(F351:F382)</f>
        <v>1247.7109534579786</v>
      </c>
      <c r="G383" s="166">
        <f t="shared" ref="G383" si="118">SUM(G351:G382)</f>
        <v>1678.110941565054</v>
      </c>
      <c r="H383" s="166">
        <f t="shared" ref="H383" si="119">SUM(H351:H382)</f>
        <v>1803.5667116428806</v>
      </c>
      <c r="I383" s="166">
        <f t="shared" ref="I383" si="120">SUM(I351:I382)</f>
        <v>1633.9774460035449</v>
      </c>
      <c r="J383" s="166">
        <f t="shared" ref="J383" si="121">SUM(J351:J382)</f>
        <v>1816.9943500540323</v>
      </c>
      <c r="K383" s="166">
        <f t="shared" ref="K383" si="122">SUM(K351:K382)</f>
        <v>2044.3915928868639</v>
      </c>
      <c r="L383" s="166">
        <f>SUM(L351:L382)</f>
        <v>1939.0537915625234</v>
      </c>
      <c r="M383" s="166">
        <f t="shared" si="113"/>
        <v>16168.163270824241</v>
      </c>
    </row>
    <row r="385" spans="2:27">
      <c r="B385" s="163" t="s">
        <v>11127</v>
      </c>
      <c r="C385" s="163"/>
      <c r="D385" s="163"/>
      <c r="E385" s="163"/>
      <c r="F385" s="163"/>
      <c r="G385" s="163"/>
      <c r="H385" s="163"/>
      <c r="I385" s="163"/>
      <c r="J385" s="163"/>
      <c r="K385" s="163"/>
      <c r="L385" s="163"/>
      <c r="M385" s="163"/>
    </row>
    <row r="386" spans="2:27">
      <c r="B386" s="22" t="s">
        <v>11083</v>
      </c>
      <c r="C386" s="151">
        <f>INDEX('Analysis of bottom-up tags'!$N$157:$W$159,MATCH(Dashboard!$B386,'Analysis of bottom-up tags'!$B$157:$B$159,0),MATCH(Dashboard!C$21,'Analysis of bottom-up tags'!$N$6:$W$6,0))*C$23</f>
        <v>0</v>
      </c>
      <c r="D386" s="151">
        <f>INDEX('Analysis of bottom-up tags'!$N$157:$W$159,MATCH(Dashboard!$B386,'Analysis of bottom-up tags'!$B$157:$B$159,0),MATCH(Dashboard!D$21,'Analysis of bottom-up tags'!$N$6:$W$6,0))*D$23</f>
        <v>0</v>
      </c>
      <c r="E386" s="151">
        <f>INDEX('Analysis of bottom-up tags'!$N$157:$W$159,MATCH(Dashboard!$B386,'Analysis of bottom-up tags'!$B$157:$B$159,0),MATCH(Dashboard!E$21,'Analysis of bottom-up tags'!$N$6:$W$6,0))*E$23</f>
        <v>0</v>
      </c>
      <c r="F386" s="151">
        <f>INDEX('Analysis of bottom-up tags'!$N$157:$W$159,MATCH(Dashboard!$B386,'Analysis of bottom-up tags'!$B$157:$B$159,0),MATCH(Dashboard!F$21,'Analysis of bottom-up tags'!$N$6:$W$6,0))*F$23</f>
        <v>0</v>
      </c>
      <c r="G386" s="151">
        <f>INDEX('Analysis of bottom-up tags'!$N$157:$W$159,MATCH(Dashboard!$B386,'Analysis of bottom-up tags'!$B$157:$B$159,0),MATCH(Dashboard!G$21,'Analysis of bottom-up tags'!$N$6:$W$6,0))*G$23</f>
        <v>0</v>
      </c>
      <c r="H386" s="151">
        <f>INDEX('Analysis of bottom-up tags'!$N$157:$W$159,MATCH(Dashboard!$B386,'Analysis of bottom-up tags'!$B$157:$B$159,0),MATCH(Dashboard!H$21,'Analysis of bottom-up tags'!$N$6:$W$6,0))*H$23</f>
        <v>0</v>
      </c>
      <c r="I386" s="151">
        <f>INDEX('Analysis of bottom-up tags'!$N$157:$W$159,MATCH(Dashboard!$B386,'Analysis of bottom-up tags'!$B$157:$B$159,0),MATCH(Dashboard!I$21,'Analysis of bottom-up tags'!$N$6:$W$6,0))*I$23</f>
        <v>5.2916628660744314</v>
      </c>
      <c r="J386" s="151">
        <f>INDEX('Analysis of bottom-up tags'!$N$157:$W$159,MATCH(Dashboard!$B386,'Analysis of bottom-up tags'!$B$157:$B$159,0),MATCH(Dashboard!J$21,'Analysis of bottom-up tags'!$N$6:$W$6,0))*J$23</f>
        <v>40.008498230788305</v>
      </c>
      <c r="K386" s="151">
        <f>INDEX('Analysis of bottom-up tags'!$N$157:$W$159,MATCH(Dashboard!$B386,'Analysis of bottom-up tags'!$B$157:$B$159,0),MATCH(Dashboard!K$21,'Analysis of bottom-up tags'!$N$6:$W$6,0))*K$23</f>
        <v>2.4969599469738575</v>
      </c>
      <c r="L386" s="151">
        <f>INDEX('Analysis of bottom-up tags'!$N$157:$W$159,MATCH(Dashboard!$B386,'Analysis of bottom-up tags'!$B$157:$B$159,0),MATCH(Dashboard!L$21,'Analysis of bottom-up tags'!$N$6:$W$6,0))*L$23</f>
        <v>18.888446330934062</v>
      </c>
      <c r="M386" s="187">
        <f>SUM(C386:L386)</f>
        <v>66.685567374770656</v>
      </c>
    </row>
    <row r="387" spans="2:27">
      <c r="B387" s="22" t="s">
        <v>11084</v>
      </c>
      <c r="C387" s="151">
        <f>INDEX('Analysis of bottom-up tags'!$N$157:$W$159,MATCH(Dashboard!$B387,'Analysis of bottom-up tags'!$B$157:$B$159,0),MATCH(Dashboard!C$21,'Analysis of bottom-up tags'!$N$6:$W$6,0))*C$23</f>
        <v>488.70699098624237</v>
      </c>
      <c r="D387" s="151">
        <f>INDEX('Analysis of bottom-up tags'!$N$157:$W$159,MATCH(Dashboard!$B387,'Analysis of bottom-up tags'!$B$157:$B$159,0),MATCH(Dashboard!D$21,'Analysis of bottom-up tags'!$N$6:$W$6,0))*D$23</f>
        <v>1359.3927771247513</v>
      </c>
      <c r="E387" s="151">
        <f>INDEX('Analysis of bottom-up tags'!$N$157:$W$159,MATCH(Dashboard!$B387,'Analysis of bottom-up tags'!$B$157:$B$159,0),MATCH(Dashboard!E$21,'Analysis of bottom-up tags'!$N$6:$W$6,0))*E$23</f>
        <v>572.31478240554043</v>
      </c>
      <c r="F387" s="151">
        <f>INDEX('Analysis of bottom-up tags'!$N$157:$W$159,MATCH(Dashboard!$B387,'Analysis of bottom-up tags'!$B$157:$B$159,0),MATCH(Dashboard!F$21,'Analysis of bottom-up tags'!$N$6:$W$6,0))*F$23</f>
        <v>1026.5524876459697</v>
      </c>
      <c r="G387" s="151">
        <f>INDEX('Analysis of bottom-up tags'!$N$157:$W$159,MATCH(Dashboard!$B387,'Analysis of bottom-up tags'!$B$157:$B$159,0),MATCH(Dashboard!G$21,'Analysis of bottom-up tags'!$N$6:$W$6,0))*G$23</f>
        <v>1294.063907062814</v>
      </c>
      <c r="H387" s="151">
        <f>INDEX('Analysis of bottom-up tags'!$N$157:$W$159,MATCH(Dashboard!$B387,'Analysis of bottom-up tags'!$B$157:$B$159,0),MATCH(Dashboard!H$21,'Analysis of bottom-up tags'!$N$6:$W$6,0))*H$23</f>
        <v>918.88394545961273</v>
      </c>
      <c r="I387" s="151">
        <f>INDEX('Analysis of bottom-up tags'!$N$157:$W$159,MATCH(Dashboard!$B387,'Analysis of bottom-up tags'!$B$157:$B$159,0),MATCH(Dashboard!I$21,'Analysis of bottom-up tags'!$N$6:$W$6,0))*I$23</f>
        <v>1514.8046167270718</v>
      </c>
      <c r="J387" s="151">
        <f>INDEX('Analysis of bottom-up tags'!$N$157:$W$159,MATCH(Dashboard!$B387,'Analysis of bottom-up tags'!$B$157:$B$159,0),MATCH(Dashboard!J$21,'Analysis of bottom-up tags'!$N$6:$W$6,0))*J$23</f>
        <v>769.42827822398715</v>
      </c>
      <c r="K387" s="151">
        <f>INDEX('Analysis of bottom-up tags'!$N$157:$W$159,MATCH(Dashboard!$B387,'Analysis of bottom-up tags'!$B$157:$B$159,0),MATCH(Dashboard!K$21,'Analysis of bottom-up tags'!$N$6:$W$6,0))*K$23</f>
        <v>1891.0390075536534</v>
      </c>
      <c r="L387" s="151">
        <f>INDEX('Analysis of bottom-up tags'!$N$157:$W$159,MATCH(Dashboard!$B387,'Analysis of bottom-up tags'!$B$157:$B$159,0),MATCH(Dashboard!L$21,'Analysis of bottom-up tags'!$N$6:$W$6,0))*L$23</f>
        <v>1400.1902911669883</v>
      </c>
      <c r="M387" s="187">
        <f>SUM(C387:L387)</f>
        <v>11235.377084356631</v>
      </c>
    </row>
    <row r="388" spans="2:27">
      <c r="B388" s="22" t="s">
        <v>11085</v>
      </c>
      <c r="C388" s="151">
        <f>INDEX('Analysis of bottom-up tags'!$N$157:$W$159,MATCH(Dashboard!$B388,'Analysis of bottom-up tags'!$B$157:$B$159,0),MATCH(Dashboard!C$21,'Analysis of bottom-up tags'!$N$6:$W$6,0))*C$23</f>
        <v>0</v>
      </c>
      <c r="D388" s="151">
        <f>INDEX('Analysis of bottom-up tags'!$N$157:$W$159,MATCH(Dashboard!$B388,'Analysis of bottom-up tags'!$B$157:$B$159,0),MATCH(Dashboard!D$21,'Analysis of bottom-up tags'!$N$6:$W$6,0))*D$23</f>
        <v>0</v>
      </c>
      <c r="E388" s="151">
        <f>INDEX('Analysis of bottom-up tags'!$N$157:$W$159,MATCH(Dashboard!$B388,'Analysis of bottom-up tags'!$B$157:$B$159,0),MATCH(Dashboard!E$21,'Analysis of bottom-up tags'!$N$6:$W$6,0))*E$23</f>
        <v>0</v>
      </c>
      <c r="F388" s="151">
        <f>INDEX('Analysis of bottom-up tags'!$N$157:$W$159,MATCH(Dashboard!$B388,'Analysis of bottom-up tags'!$B$157:$B$159,0),MATCH(Dashboard!F$21,'Analysis of bottom-up tags'!$N$6:$W$6,0))*F$23</f>
        <v>0</v>
      </c>
      <c r="G388" s="151">
        <f>INDEX('Analysis of bottom-up tags'!$N$157:$W$159,MATCH(Dashboard!$B388,'Analysis of bottom-up tags'!$B$157:$B$159,0),MATCH(Dashboard!G$21,'Analysis of bottom-up tags'!$N$6:$W$6,0))*G$23</f>
        <v>0</v>
      </c>
      <c r="H388" s="151">
        <f>INDEX('Analysis of bottom-up tags'!$N$157:$W$159,MATCH(Dashboard!$B388,'Analysis of bottom-up tags'!$B$157:$B$159,0),MATCH(Dashboard!H$21,'Analysis of bottom-up tags'!$N$6:$W$6,0))*H$23</f>
        <v>0</v>
      </c>
      <c r="I388" s="151">
        <f>INDEX('Analysis of bottom-up tags'!$N$157:$W$159,MATCH(Dashboard!$B388,'Analysis of bottom-up tags'!$B$157:$B$159,0),MATCH(Dashboard!I$21,'Analysis of bottom-up tags'!$N$6:$W$6,0))*I$23</f>
        <v>5.5840890810648363</v>
      </c>
      <c r="J388" s="151">
        <f>INDEX('Analysis of bottom-up tags'!$N$157:$W$159,MATCH(Dashboard!$B388,'Analysis of bottom-up tags'!$B$157:$B$159,0),MATCH(Dashboard!J$21,'Analysis of bottom-up tags'!$N$6:$W$6,0))*J$23</f>
        <v>88.687797470458577</v>
      </c>
      <c r="K388" s="151">
        <f>INDEX('Analysis of bottom-up tags'!$N$157:$W$159,MATCH(Dashboard!$B388,'Analysis of bottom-up tags'!$B$157:$B$159,0),MATCH(Dashboard!K$21,'Analysis of bottom-up tags'!$N$6:$W$6,0))*K$23</f>
        <v>2.4969599469738575</v>
      </c>
      <c r="L388" s="151">
        <f>INDEX('Analysis of bottom-up tags'!$N$157:$W$159,MATCH(Dashboard!$B388,'Analysis of bottom-up tags'!$B$157:$B$159,0),MATCH(Dashboard!L$21,'Analysis of bottom-up tags'!$N$6:$W$6,0))*L$23</f>
        <v>18.888446330934062</v>
      </c>
      <c r="M388" s="187">
        <f>SUM(C388:L388)</f>
        <v>115.65729282943133</v>
      </c>
    </row>
    <row r="389" spans="2:27">
      <c r="B389" s="22"/>
    </row>
    <row r="390" spans="2:27">
      <c r="B390" s="98" t="s">
        <v>11135</v>
      </c>
      <c r="C390" s="163" t="s">
        <v>11131</v>
      </c>
      <c r="D390" s="163"/>
      <c r="E390" s="163"/>
      <c r="F390" s="163"/>
      <c r="G390" s="163"/>
      <c r="H390" s="163"/>
      <c r="I390" s="163"/>
      <c r="J390" s="163"/>
      <c r="K390" s="163"/>
      <c r="L390" s="163"/>
      <c r="M390" s="163" t="s">
        <v>11042</v>
      </c>
      <c r="P390" s="98" t="s">
        <v>11128</v>
      </c>
      <c r="Q390" s="163" t="s">
        <v>11132</v>
      </c>
      <c r="R390" s="163"/>
      <c r="S390" s="163"/>
      <c r="T390" s="163"/>
      <c r="U390" s="163"/>
      <c r="V390" s="163"/>
      <c r="W390" s="163"/>
      <c r="X390" s="163"/>
      <c r="Y390" s="163"/>
      <c r="Z390" s="163"/>
      <c r="AA390" s="163"/>
    </row>
    <row r="391" spans="2:27">
      <c r="B391" s="151" t="s">
        <v>11108</v>
      </c>
      <c r="C391" s="151">
        <f>INDEX('Analysis of bottom-up tags'!$N$163:$W$168,MATCH(Dashboard!$B391,'Analysis of bottom-up tags'!$B$163:$B$168,0),MATCH(Dashboard!C$21,'Analysis of bottom-up tags'!$N$6:$W$6,0))*C$23</f>
        <v>0</v>
      </c>
      <c r="D391" s="151">
        <f>INDEX('Analysis of bottom-up tags'!$N$163:$W$168,MATCH(Dashboard!$B391,'Analysis of bottom-up tags'!$B$163:$B$168,0),MATCH(Dashboard!D$21,'Analysis of bottom-up tags'!$N$6:$W$6,0))*D$23</f>
        <v>0</v>
      </c>
      <c r="E391" s="151">
        <f>INDEX('Analysis of bottom-up tags'!$N$163:$W$168,MATCH(Dashboard!$B391,'Analysis of bottom-up tags'!$B$163:$B$168,0),MATCH(Dashboard!E$21,'Analysis of bottom-up tags'!$N$6:$W$6,0))*E$23</f>
        <v>0</v>
      </c>
      <c r="F391" s="151">
        <f>INDEX('Analysis of bottom-up tags'!$N$163:$W$168,MATCH(Dashboard!$B391,'Analysis of bottom-up tags'!$B$163:$B$168,0),MATCH(Dashboard!F$21,'Analysis of bottom-up tags'!$N$6:$W$6,0))*F$23</f>
        <v>0</v>
      </c>
      <c r="G391" s="151">
        <f>INDEX('Analysis of bottom-up tags'!$N$163:$W$168,MATCH(Dashboard!$B391,'Analysis of bottom-up tags'!$B$163:$B$168,0),MATCH(Dashboard!G$21,'Analysis of bottom-up tags'!$N$6:$W$6,0))*G$23</f>
        <v>0</v>
      </c>
      <c r="H391" s="151">
        <f>INDEX('Analysis of bottom-up tags'!$N$163:$W$168,MATCH(Dashboard!$B391,'Analysis of bottom-up tags'!$B$163:$B$168,0),MATCH(Dashboard!H$21,'Analysis of bottom-up tags'!$N$6:$W$6,0))*H$23</f>
        <v>0</v>
      </c>
      <c r="I391" s="151">
        <f>INDEX('Analysis of bottom-up tags'!$N$163:$W$168,MATCH(Dashboard!$B391,'Analysis of bottom-up tags'!$B$163:$B$168,0),MATCH(Dashboard!I$21,'Analysis of bottom-up tags'!$N$6:$W$6,0))*I$23</f>
        <v>5.2916628660744314</v>
      </c>
      <c r="J391" s="151">
        <f>INDEX('Analysis of bottom-up tags'!$N$163:$W$168,MATCH(Dashboard!$B391,'Analysis of bottom-up tags'!$B$163:$B$168,0),MATCH(Dashboard!J$21,'Analysis of bottom-up tags'!$N$6:$W$6,0))*J$23</f>
        <v>40.008498230788305</v>
      </c>
      <c r="K391" s="151">
        <f>INDEX('Analysis of bottom-up tags'!$N$163:$W$168,MATCH(Dashboard!$B391,'Analysis of bottom-up tags'!$B$163:$B$168,0),MATCH(Dashboard!K$21,'Analysis of bottom-up tags'!$N$6:$W$6,0))*K$23</f>
        <v>2.4969599469738575</v>
      </c>
      <c r="L391" s="151">
        <f>INDEX('Analysis of bottom-up tags'!$N$163:$W$168,MATCH(Dashboard!$B391,'Analysis of bottom-up tags'!$B$163:$B$168,0),MATCH(Dashboard!L$21,'Analysis of bottom-up tags'!$N$6:$W$6,0))*L$23</f>
        <v>18.888446330934062</v>
      </c>
      <c r="M391" s="151">
        <f>SUM(C391:L391)</f>
        <v>66.685567374770656</v>
      </c>
      <c r="P391" s="151" t="s">
        <v>10621</v>
      </c>
      <c r="Q391" s="195">
        <f>C391/1000</f>
        <v>0</v>
      </c>
      <c r="R391" s="195">
        <f t="shared" ref="R391:Z391" si="123">D391/1000</f>
        <v>0</v>
      </c>
      <c r="S391" s="195">
        <f t="shared" si="123"/>
        <v>0</v>
      </c>
      <c r="T391" s="195">
        <f t="shared" si="123"/>
        <v>0</v>
      </c>
      <c r="U391" s="195">
        <f t="shared" si="123"/>
        <v>0</v>
      </c>
      <c r="V391" s="195">
        <f t="shared" si="123"/>
        <v>0</v>
      </c>
      <c r="W391" s="195">
        <f t="shared" si="123"/>
        <v>5.2916628660744317E-3</v>
      </c>
      <c r="X391" s="195">
        <f t="shared" si="123"/>
        <v>4.0008498230788309E-2</v>
      </c>
      <c r="Y391" s="195">
        <f t="shared" si="123"/>
        <v>2.4969599469738574E-3</v>
      </c>
      <c r="Z391" s="195">
        <f t="shared" si="123"/>
        <v>1.8888446330934061E-2</v>
      </c>
      <c r="AA391" s="195">
        <f>SUM(Q391:Z391)</f>
        <v>6.668556737477066E-2</v>
      </c>
    </row>
    <row r="392" spans="2:27">
      <c r="B392" s="151" t="s">
        <v>11110</v>
      </c>
      <c r="C392" s="151">
        <f>INDEX('Analysis of bottom-up tags'!$N$163:$W$168,MATCH(Dashboard!$B392,'Analysis of bottom-up tags'!$B$163:$B$168,0),MATCH(Dashboard!C$21,'Analysis of bottom-up tags'!$N$6:$W$6,0))*C$23</f>
        <v>0</v>
      </c>
      <c r="D392" s="151">
        <f>INDEX('Analysis of bottom-up tags'!$N$163:$W$168,MATCH(Dashboard!$B392,'Analysis of bottom-up tags'!$B$163:$B$168,0),MATCH(Dashboard!D$21,'Analysis of bottom-up tags'!$N$6:$W$6,0))*D$23</f>
        <v>0</v>
      </c>
      <c r="E392" s="151">
        <f>INDEX('Analysis of bottom-up tags'!$N$163:$W$168,MATCH(Dashboard!$B392,'Analysis of bottom-up tags'!$B$163:$B$168,0),MATCH(Dashboard!E$21,'Analysis of bottom-up tags'!$N$6:$W$6,0))*E$23</f>
        <v>0</v>
      </c>
      <c r="F392" s="151">
        <f>INDEX('Analysis of bottom-up tags'!$N$163:$W$168,MATCH(Dashboard!$B392,'Analysis of bottom-up tags'!$B$163:$B$168,0),MATCH(Dashboard!F$21,'Analysis of bottom-up tags'!$N$6:$W$6,0))*F$23</f>
        <v>0</v>
      </c>
      <c r="G392" s="151">
        <f>INDEX('Analysis of bottom-up tags'!$N$163:$W$168,MATCH(Dashboard!$B392,'Analysis of bottom-up tags'!$B$163:$B$168,0),MATCH(Dashboard!G$21,'Analysis of bottom-up tags'!$N$6:$W$6,0))*G$23</f>
        <v>0</v>
      </c>
      <c r="H392" s="151">
        <f>INDEX('Analysis of bottom-up tags'!$N$163:$W$168,MATCH(Dashboard!$B392,'Analysis of bottom-up tags'!$B$163:$B$168,0),MATCH(Dashboard!H$21,'Analysis of bottom-up tags'!$N$6:$W$6,0))*H$23</f>
        <v>0</v>
      </c>
      <c r="I392" s="151">
        <f>INDEX('Analysis of bottom-up tags'!$N$163:$W$168,MATCH(Dashboard!$B392,'Analysis of bottom-up tags'!$B$163:$B$168,0),MATCH(Dashboard!I$21,'Analysis of bottom-up tags'!$N$6:$W$6,0))*I$23</f>
        <v>0</v>
      </c>
      <c r="J392" s="151">
        <f>INDEX('Analysis of bottom-up tags'!$N$163:$W$168,MATCH(Dashboard!$B392,'Analysis of bottom-up tags'!$B$163:$B$168,0),MATCH(Dashboard!J$21,'Analysis of bottom-up tags'!$N$6:$W$6,0))*J$23</f>
        <v>0</v>
      </c>
      <c r="K392" s="151">
        <f>INDEX('Analysis of bottom-up tags'!$N$163:$W$168,MATCH(Dashboard!$B392,'Analysis of bottom-up tags'!$B$163:$B$168,0),MATCH(Dashboard!K$21,'Analysis of bottom-up tags'!$N$6:$W$6,0))*K$23</f>
        <v>0</v>
      </c>
      <c r="L392" s="151">
        <f>INDEX('Analysis of bottom-up tags'!$N$163:$W$168,MATCH(Dashboard!$B392,'Analysis of bottom-up tags'!$B$163:$B$168,0),MATCH(Dashboard!L$21,'Analysis of bottom-up tags'!$N$6:$W$6,0))*L$23</f>
        <v>0</v>
      </c>
      <c r="M392" s="151">
        <f t="shared" ref="M392:M396" si="124">SUM(C392:L392)</f>
        <v>0</v>
      </c>
      <c r="P392" s="151" t="s">
        <v>11108</v>
      </c>
      <c r="Q392" s="195">
        <f t="shared" ref="Q392:Q396" si="125">C392/1000</f>
        <v>0</v>
      </c>
      <c r="R392" s="195">
        <f t="shared" ref="R392:R396" si="126">D392/1000</f>
        <v>0</v>
      </c>
      <c r="S392" s="195">
        <f t="shared" ref="S392:S396" si="127">E392/1000</f>
        <v>0</v>
      </c>
      <c r="T392" s="195">
        <f t="shared" ref="T392:T396" si="128">F392/1000</f>
        <v>0</v>
      </c>
      <c r="U392" s="195">
        <f t="shared" ref="U392:U396" si="129">G392/1000</f>
        <v>0</v>
      </c>
      <c r="V392" s="195">
        <f t="shared" ref="V392:V396" si="130">H392/1000</f>
        <v>0</v>
      </c>
      <c r="W392" s="195">
        <f t="shared" ref="W392:W396" si="131">I392/1000</f>
        <v>0</v>
      </c>
      <c r="X392" s="195">
        <f t="shared" ref="X392:X396" si="132">J392/1000</f>
        <v>0</v>
      </c>
      <c r="Y392" s="195">
        <f t="shared" ref="Y392:Y396" si="133">K392/1000</f>
        <v>0</v>
      </c>
      <c r="Z392" s="195">
        <f t="shared" ref="Z392:Z396" si="134">L392/1000</f>
        <v>0</v>
      </c>
      <c r="AA392" s="195">
        <f t="shared" ref="AA392:AA396" si="135">SUM(Q392:Z392)</f>
        <v>0</v>
      </c>
    </row>
    <row r="393" spans="2:27">
      <c r="B393" s="151" t="s">
        <v>11109</v>
      </c>
      <c r="C393" s="151">
        <f>INDEX('Analysis of bottom-up tags'!$N$163:$W$168,MATCH(Dashboard!$B393,'Analysis of bottom-up tags'!$B$163:$B$168,0),MATCH(Dashboard!C$21,'Analysis of bottom-up tags'!$N$6:$W$6,0))*C$23</f>
        <v>0</v>
      </c>
      <c r="D393" s="151">
        <f>INDEX('Analysis of bottom-up tags'!$N$163:$W$168,MATCH(Dashboard!$B393,'Analysis of bottom-up tags'!$B$163:$B$168,0),MATCH(Dashboard!D$21,'Analysis of bottom-up tags'!$N$6:$W$6,0))*D$23</f>
        <v>0</v>
      </c>
      <c r="E393" s="151">
        <f>INDEX('Analysis of bottom-up tags'!$N$163:$W$168,MATCH(Dashboard!$B393,'Analysis of bottom-up tags'!$B$163:$B$168,0),MATCH(Dashboard!E$21,'Analysis of bottom-up tags'!$N$6:$W$6,0))*E$23</f>
        <v>0</v>
      </c>
      <c r="F393" s="151">
        <f>INDEX('Analysis of bottom-up tags'!$N$163:$W$168,MATCH(Dashboard!$B393,'Analysis of bottom-up tags'!$B$163:$B$168,0),MATCH(Dashboard!F$21,'Analysis of bottom-up tags'!$N$6:$W$6,0))*F$23</f>
        <v>0</v>
      </c>
      <c r="G393" s="151">
        <f>INDEX('Analysis of bottom-up tags'!$N$163:$W$168,MATCH(Dashboard!$B393,'Analysis of bottom-up tags'!$B$163:$B$168,0),MATCH(Dashboard!G$21,'Analysis of bottom-up tags'!$N$6:$W$6,0))*G$23</f>
        <v>0</v>
      </c>
      <c r="H393" s="151">
        <f>INDEX('Analysis of bottom-up tags'!$N$163:$W$168,MATCH(Dashboard!$B393,'Analysis of bottom-up tags'!$B$163:$B$168,0),MATCH(Dashboard!H$21,'Analysis of bottom-up tags'!$N$6:$W$6,0))*H$23</f>
        <v>0</v>
      </c>
      <c r="I393" s="151">
        <f>INDEX('Analysis of bottom-up tags'!$N$163:$W$168,MATCH(Dashboard!$B393,'Analysis of bottom-up tags'!$B$163:$B$168,0),MATCH(Dashboard!I$21,'Analysis of bottom-up tags'!$N$6:$W$6,0))*I$23</f>
        <v>0</v>
      </c>
      <c r="J393" s="151">
        <f>INDEX('Analysis of bottom-up tags'!$N$163:$W$168,MATCH(Dashboard!$B393,'Analysis of bottom-up tags'!$B$163:$B$168,0),MATCH(Dashboard!J$21,'Analysis of bottom-up tags'!$N$6:$W$6,0))*J$23</f>
        <v>0</v>
      </c>
      <c r="K393" s="151">
        <f>INDEX('Analysis of bottom-up tags'!$N$163:$W$168,MATCH(Dashboard!$B393,'Analysis of bottom-up tags'!$B$163:$B$168,0),MATCH(Dashboard!K$21,'Analysis of bottom-up tags'!$N$6:$W$6,0))*K$23</f>
        <v>0</v>
      </c>
      <c r="L393" s="151">
        <f>INDEX('Analysis of bottom-up tags'!$N$163:$W$168,MATCH(Dashboard!$B393,'Analysis of bottom-up tags'!$B$163:$B$168,0),MATCH(Dashboard!L$21,'Analysis of bottom-up tags'!$N$6:$W$6,0))*L$23</f>
        <v>0</v>
      </c>
      <c r="M393" s="151">
        <f t="shared" si="124"/>
        <v>0</v>
      </c>
      <c r="P393" s="151" t="s">
        <v>11109</v>
      </c>
      <c r="Q393" s="195">
        <f t="shared" si="125"/>
        <v>0</v>
      </c>
      <c r="R393" s="195">
        <f t="shared" si="126"/>
        <v>0</v>
      </c>
      <c r="S393" s="195">
        <f t="shared" si="127"/>
        <v>0</v>
      </c>
      <c r="T393" s="195">
        <f t="shared" si="128"/>
        <v>0</v>
      </c>
      <c r="U393" s="195">
        <f t="shared" si="129"/>
        <v>0</v>
      </c>
      <c r="V393" s="195">
        <f t="shared" si="130"/>
        <v>0</v>
      </c>
      <c r="W393" s="195">
        <f t="shared" si="131"/>
        <v>0</v>
      </c>
      <c r="X393" s="195">
        <f t="shared" si="132"/>
        <v>0</v>
      </c>
      <c r="Y393" s="195">
        <f t="shared" si="133"/>
        <v>0</v>
      </c>
      <c r="Z393" s="195">
        <f t="shared" si="134"/>
        <v>0</v>
      </c>
      <c r="AA393" s="195">
        <f t="shared" si="135"/>
        <v>0</v>
      </c>
    </row>
    <row r="394" spans="2:27">
      <c r="B394" s="151" t="s">
        <v>11111</v>
      </c>
      <c r="C394" s="151">
        <f>INDEX('Analysis of bottom-up tags'!$N$163:$W$168,MATCH(Dashboard!$B394,'Analysis of bottom-up tags'!$B$163:$B$168,0),MATCH(Dashboard!C$21,'Analysis of bottom-up tags'!$N$6:$W$6,0))*C$23</f>
        <v>0</v>
      </c>
      <c r="D394" s="151">
        <f>INDEX('Analysis of bottom-up tags'!$N$163:$W$168,MATCH(Dashboard!$B394,'Analysis of bottom-up tags'!$B$163:$B$168,0),MATCH(Dashboard!D$21,'Analysis of bottom-up tags'!$N$6:$W$6,0))*D$23</f>
        <v>0</v>
      </c>
      <c r="E394" s="151">
        <f>INDEX('Analysis of bottom-up tags'!$N$163:$W$168,MATCH(Dashboard!$B394,'Analysis of bottom-up tags'!$B$163:$B$168,0),MATCH(Dashboard!E$21,'Analysis of bottom-up tags'!$N$6:$W$6,0))*E$23</f>
        <v>0</v>
      </c>
      <c r="F394" s="151">
        <f>INDEX('Analysis of bottom-up tags'!$N$163:$W$168,MATCH(Dashboard!$B394,'Analysis of bottom-up tags'!$B$163:$B$168,0),MATCH(Dashboard!F$21,'Analysis of bottom-up tags'!$N$6:$W$6,0))*F$23</f>
        <v>0</v>
      </c>
      <c r="G394" s="151">
        <f>INDEX('Analysis of bottom-up tags'!$N$163:$W$168,MATCH(Dashboard!$B394,'Analysis of bottom-up tags'!$B$163:$B$168,0),MATCH(Dashboard!G$21,'Analysis of bottom-up tags'!$N$6:$W$6,0))*G$23</f>
        <v>0</v>
      </c>
      <c r="H394" s="151">
        <f>INDEX('Analysis of bottom-up tags'!$N$163:$W$168,MATCH(Dashboard!$B394,'Analysis of bottom-up tags'!$B$163:$B$168,0),MATCH(Dashboard!H$21,'Analysis of bottom-up tags'!$N$6:$W$6,0))*H$23</f>
        <v>0</v>
      </c>
      <c r="I394" s="151">
        <f>INDEX('Analysis of bottom-up tags'!$N$163:$W$168,MATCH(Dashboard!$B394,'Analysis of bottom-up tags'!$B$163:$B$168,0),MATCH(Dashboard!I$21,'Analysis of bottom-up tags'!$N$6:$W$6,0))*I$23</f>
        <v>0</v>
      </c>
      <c r="J394" s="151">
        <f>INDEX('Analysis of bottom-up tags'!$N$163:$W$168,MATCH(Dashboard!$B394,'Analysis of bottom-up tags'!$B$163:$B$168,0),MATCH(Dashboard!J$21,'Analysis of bottom-up tags'!$N$6:$W$6,0))*J$23</f>
        <v>0</v>
      </c>
      <c r="K394" s="151">
        <f>INDEX('Analysis of bottom-up tags'!$N$163:$W$168,MATCH(Dashboard!$B394,'Analysis of bottom-up tags'!$B$163:$B$168,0),MATCH(Dashboard!K$21,'Analysis of bottom-up tags'!$N$6:$W$6,0))*K$23</f>
        <v>0</v>
      </c>
      <c r="L394" s="151">
        <f>INDEX('Analysis of bottom-up tags'!$N$163:$W$168,MATCH(Dashboard!$B394,'Analysis of bottom-up tags'!$B$163:$B$168,0),MATCH(Dashboard!L$21,'Analysis of bottom-up tags'!$N$6:$W$6,0))*L$23</f>
        <v>0</v>
      </c>
      <c r="M394" s="151">
        <f t="shared" si="124"/>
        <v>0</v>
      </c>
      <c r="P394" s="151" t="s">
        <v>11110</v>
      </c>
      <c r="Q394" s="195">
        <f t="shared" si="125"/>
        <v>0</v>
      </c>
      <c r="R394" s="195">
        <f t="shared" si="126"/>
        <v>0</v>
      </c>
      <c r="S394" s="195">
        <f t="shared" si="127"/>
        <v>0</v>
      </c>
      <c r="T394" s="195">
        <f t="shared" si="128"/>
        <v>0</v>
      </c>
      <c r="U394" s="195">
        <f t="shared" si="129"/>
        <v>0</v>
      </c>
      <c r="V394" s="195">
        <f t="shared" si="130"/>
        <v>0</v>
      </c>
      <c r="W394" s="195">
        <f t="shared" si="131"/>
        <v>0</v>
      </c>
      <c r="X394" s="195">
        <f t="shared" si="132"/>
        <v>0</v>
      </c>
      <c r="Y394" s="195">
        <f t="shared" si="133"/>
        <v>0</v>
      </c>
      <c r="Z394" s="195">
        <f t="shared" si="134"/>
        <v>0</v>
      </c>
      <c r="AA394" s="195">
        <f t="shared" si="135"/>
        <v>0</v>
      </c>
    </row>
    <row r="395" spans="2:27">
      <c r="B395" s="151" t="s">
        <v>10621</v>
      </c>
      <c r="C395" s="151">
        <f>INDEX('Analysis of bottom-up tags'!$N$163:$W$168,MATCH(Dashboard!$B395,'Analysis of bottom-up tags'!$B$163:$B$168,0),MATCH(Dashboard!C$21,'Analysis of bottom-up tags'!$N$6:$W$6,0))*C$23</f>
        <v>0</v>
      </c>
      <c r="D395" s="151">
        <f>INDEX('Analysis of bottom-up tags'!$N$163:$W$168,MATCH(Dashboard!$B395,'Analysis of bottom-up tags'!$B$163:$B$168,0),MATCH(Dashboard!D$21,'Analysis of bottom-up tags'!$N$6:$W$6,0))*D$23</f>
        <v>0</v>
      </c>
      <c r="E395" s="151">
        <f>INDEX('Analysis of bottom-up tags'!$N$163:$W$168,MATCH(Dashboard!$B395,'Analysis of bottom-up tags'!$B$163:$B$168,0),MATCH(Dashboard!E$21,'Analysis of bottom-up tags'!$N$6:$W$6,0))*E$23</f>
        <v>0</v>
      </c>
      <c r="F395" s="151">
        <f>INDEX('Analysis of bottom-up tags'!$N$163:$W$168,MATCH(Dashboard!$B395,'Analysis of bottom-up tags'!$B$163:$B$168,0),MATCH(Dashboard!F$21,'Analysis of bottom-up tags'!$N$6:$W$6,0))*F$23</f>
        <v>0</v>
      </c>
      <c r="G395" s="151">
        <f>INDEX('Analysis of bottom-up tags'!$N$163:$W$168,MATCH(Dashboard!$B395,'Analysis of bottom-up tags'!$B$163:$B$168,0),MATCH(Dashboard!G$21,'Analysis of bottom-up tags'!$N$6:$W$6,0))*G$23</f>
        <v>0</v>
      </c>
      <c r="H395" s="151">
        <f>INDEX('Analysis of bottom-up tags'!$N$163:$W$168,MATCH(Dashboard!$B395,'Analysis of bottom-up tags'!$B$163:$B$168,0),MATCH(Dashboard!H$21,'Analysis of bottom-up tags'!$N$6:$W$6,0))*H$23</f>
        <v>0</v>
      </c>
      <c r="I395" s="151">
        <f>INDEX('Analysis of bottom-up tags'!$N$163:$W$168,MATCH(Dashboard!$B395,'Analysis of bottom-up tags'!$B$163:$B$168,0),MATCH(Dashboard!I$21,'Analysis of bottom-up tags'!$N$6:$W$6,0))*I$23</f>
        <v>0</v>
      </c>
      <c r="J395" s="151">
        <f>INDEX('Analysis of bottom-up tags'!$N$163:$W$168,MATCH(Dashboard!$B395,'Analysis of bottom-up tags'!$B$163:$B$168,0),MATCH(Dashboard!J$21,'Analysis of bottom-up tags'!$N$6:$W$6,0))*J$23</f>
        <v>0</v>
      </c>
      <c r="K395" s="151">
        <f>INDEX('Analysis of bottom-up tags'!$N$163:$W$168,MATCH(Dashboard!$B395,'Analysis of bottom-up tags'!$B$163:$B$168,0),MATCH(Dashboard!K$21,'Analysis of bottom-up tags'!$N$6:$W$6,0))*K$23</f>
        <v>0</v>
      </c>
      <c r="L395" s="151">
        <f>INDEX('Analysis of bottom-up tags'!$N$163:$W$168,MATCH(Dashboard!$B395,'Analysis of bottom-up tags'!$B$163:$B$168,0),MATCH(Dashboard!L$21,'Analysis of bottom-up tags'!$N$6:$W$6,0))*L$23</f>
        <v>0</v>
      </c>
      <c r="M395" s="151">
        <f t="shared" si="124"/>
        <v>0</v>
      </c>
      <c r="P395" s="151" t="s">
        <v>10558</v>
      </c>
      <c r="Q395" s="195">
        <f t="shared" si="125"/>
        <v>0</v>
      </c>
      <c r="R395" s="195">
        <f t="shared" si="126"/>
        <v>0</v>
      </c>
      <c r="S395" s="195">
        <f t="shared" si="127"/>
        <v>0</v>
      </c>
      <c r="T395" s="195">
        <f t="shared" si="128"/>
        <v>0</v>
      </c>
      <c r="U395" s="195">
        <f t="shared" si="129"/>
        <v>0</v>
      </c>
      <c r="V395" s="195">
        <f t="shared" si="130"/>
        <v>0</v>
      </c>
      <c r="W395" s="195">
        <f t="shared" si="131"/>
        <v>0</v>
      </c>
      <c r="X395" s="195">
        <f t="shared" si="132"/>
        <v>0</v>
      </c>
      <c r="Y395" s="195">
        <f t="shared" si="133"/>
        <v>0</v>
      </c>
      <c r="Z395" s="195">
        <f t="shared" si="134"/>
        <v>0</v>
      </c>
      <c r="AA395" s="195">
        <f t="shared" si="135"/>
        <v>0</v>
      </c>
    </row>
    <row r="396" spans="2:27">
      <c r="B396" s="151" t="s">
        <v>10558</v>
      </c>
      <c r="C396" s="151">
        <f>INDEX('Analysis of bottom-up tags'!$N$163:$W$168,MATCH(Dashboard!$B396,'Analysis of bottom-up tags'!$B$163:$B$168,0),MATCH(Dashboard!C$21,'Analysis of bottom-up tags'!$N$6:$W$6,0))*C$23</f>
        <v>0</v>
      </c>
      <c r="D396" s="151">
        <f>INDEX('Analysis of bottom-up tags'!$N$163:$W$168,MATCH(Dashboard!$B396,'Analysis of bottom-up tags'!$B$163:$B$168,0),MATCH(Dashboard!D$21,'Analysis of bottom-up tags'!$N$6:$W$6,0))*D$23</f>
        <v>0</v>
      </c>
      <c r="E396" s="151">
        <f>INDEX('Analysis of bottom-up tags'!$N$163:$W$168,MATCH(Dashboard!$B396,'Analysis of bottom-up tags'!$B$163:$B$168,0),MATCH(Dashboard!E$21,'Analysis of bottom-up tags'!$N$6:$W$6,0))*E$23</f>
        <v>0</v>
      </c>
      <c r="F396" s="151">
        <f>INDEX('Analysis of bottom-up tags'!$N$163:$W$168,MATCH(Dashboard!$B396,'Analysis of bottom-up tags'!$B$163:$B$168,0),MATCH(Dashboard!F$21,'Analysis of bottom-up tags'!$N$6:$W$6,0))*F$23</f>
        <v>0</v>
      </c>
      <c r="G396" s="151">
        <f>INDEX('Analysis of bottom-up tags'!$N$163:$W$168,MATCH(Dashboard!$B396,'Analysis of bottom-up tags'!$B$163:$B$168,0),MATCH(Dashboard!G$21,'Analysis of bottom-up tags'!$N$6:$W$6,0))*G$23</f>
        <v>0</v>
      </c>
      <c r="H396" s="151">
        <f>INDEX('Analysis of bottom-up tags'!$N$163:$W$168,MATCH(Dashboard!$B396,'Analysis of bottom-up tags'!$B$163:$B$168,0),MATCH(Dashboard!H$21,'Analysis of bottom-up tags'!$N$6:$W$6,0))*H$23</f>
        <v>0</v>
      </c>
      <c r="I396" s="151">
        <f>INDEX('Analysis of bottom-up tags'!$N$163:$W$168,MATCH(Dashboard!$B396,'Analysis of bottom-up tags'!$B$163:$B$168,0),MATCH(Dashboard!I$21,'Analysis of bottom-up tags'!$N$6:$W$6,0))*I$23</f>
        <v>0</v>
      </c>
      <c r="J396" s="151">
        <f>INDEX('Analysis of bottom-up tags'!$N$163:$W$168,MATCH(Dashboard!$B396,'Analysis of bottom-up tags'!$B$163:$B$168,0),MATCH(Dashboard!J$21,'Analysis of bottom-up tags'!$N$6:$W$6,0))*J$23</f>
        <v>0</v>
      </c>
      <c r="K396" s="151">
        <f>INDEX('Analysis of bottom-up tags'!$N$163:$W$168,MATCH(Dashboard!$B396,'Analysis of bottom-up tags'!$B$163:$B$168,0),MATCH(Dashboard!K$21,'Analysis of bottom-up tags'!$N$6:$W$6,0))*K$23</f>
        <v>0</v>
      </c>
      <c r="L396" s="151">
        <f>INDEX('Analysis of bottom-up tags'!$N$163:$W$168,MATCH(Dashboard!$B396,'Analysis of bottom-up tags'!$B$163:$B$168,0),MATCH(Dashboard!L$21,'Analysis of bottom-up tags'!$N$6:$W$6,0))*L$23</f>
        <v>0</v>
      </c>
      <c r="M396" s="151">
        <f t="shared" si="124"/>
        <v>0</v>
      </c>
      <c r="P396" s="151" t="s">
        <v>11111</v>
      </c>
      <c r="Q396" s="195">
        <f t="shared" si="125"/>
        <v>0</v>
      </c>
      <c r="R396" s="195">
        <f t="shared" si="126"/>
        <v>0</v>
      </c>
      <c r="S396" s="195">
        <f t="shared" si="127"/>
        <v>0</v>
      </c>
      <c r="T396" s="195">
        <f t="shared" si="128"/>
        <v>0</v>
      </c>
      <c r="U396" s="195">
        <f t="shared" si="129"/>
        <v>0</v>
      </c>
      <c r="V396" s="195">
        <f t="shared" si="130"/>
        <v>0</v>
      </c>
      <c r="W396" s="195">
        <f t="shared" si="131"/>
        <v>0</v>
      </c>
      <c r="X396" s="195">
        <f t="shared" si="132"/>
        <v>0</v>
      </c>
      <c r="Y396" s="195">
        <f t="shared" si="133"/>
        <v>0</v>
      </c>
      <c r="Z396" s="195">
        <f t="shared" si="134"/>
        <v>0</v>
      </c>
      <c r="AA396" s="195">
        <f t="shared" si="135"/>
        <v>0</v>
      </c>
    </row>
    <row r="397" spans="2:27">
      <c r="B397" s="197" t="s">
        <v>11042</v>
      </c>
      <c r="C397" s="197">
        <f>SUM(C391:C396)</f>
        <v>0</v>
      </c>
      <c r="D397" s="197">
        <f t="shared" ref="D397:M397" si="136">SUM(D391:D396)</f>
        <v>0</v>
      </c>
      <c r="E397" s="197">
        <f t="shared" si="136"/>
        <v>0</v>
      </c>
      <c r="F397" s="197">
        <f t="shared" si="136"/>
        <v>0</v>
      </c>
      <c r="G397" s="197">
        <f t="shared" si="136"/>
        <v>0</v>
      </c>
      <c r="H397" s="197">
        <f t="shared" si="136"/>
        <v>0</v>
      </c>
      <c r="I397" s="197">
        <f t="shared" si="136"/>
        <v>5.2916628660744314</v>
      </c>
      <c r="J397" s="197">
        <f t="shared" si="136"/>
        <v>40.008498230788305</v>
      </c>
      <c r="K397" s="197">
        <f t="shared" si="136"/>
        <v>2.4969599469738575</v>
      </c>
      <c r="L397" s="197">
        <f t="shared" si="136"/>
        <v>18.888446330934062</v>
      </c>
      <c r="M397" s="197">
        <f t="shared" si="136"/>
        <v>66.685567374770656</v>
      </c>
      <c r="P397" s="22"/>
      <c r="Q397" s="195"/>
      <c r="R397" s="195"/>
      <c r="S397" s="195"/>
      <c r="T397" s="195"/>
      <c r="U397" s="195"/>
      <c r="V397" s="195"/>
      <c r="W397" s="195"/>
      <c r="X397" s="195"/>
      <c r="Y397" s="195"/>
      <c r="Z397" s="195"/>
      <c r="AA397" s="195"/>
    </row>
    <row r="398" spans="2:27">
      <c r="B398" s="98" t="s">
        <v>11139</v>
      </c>
      <c r="C398" s="163" t="s">
        <v>11097</v>
      </c>
      <c r="D398" s="163"/>
      <c r="E398" s="163"/>
      <c r="F398" s="163"/>
      <c r="G398" s="163"/>
      <c r="H398" s="163"/>
      <c r="I398" s="163"/>
      <c r="J398" s="163"/>
      <c r="K398" s="163"/>
      <c r="L398" s="163"/>
      <c r="M398" s="163" t="s">
        <v>11042</v>
      </c>
      <c r="P398" s="98" t="s">
        <v>11129</v>
      </c>
      <c r="Q398" s="196" t="s">
        <v>11132</v>
      </c>
      <c r="R398" s="196"/>
      <c r="S398" s="196"/>
      <c r="T398" s="196"/>
      <c r="U398" s="196"/>
      <c r="V398" s="196"/>
      <c r="W398" s="196"/>
      <c r="X398" s="196"/>
      <c r="Y398" s="196"/>
      <c r="Z398" s="196"/>
      <c r="AA398" s="196"/>
    </row>
    <row r="399" spans="2:27">
      <c r="B399" s="151" t="s">
        <v>11108</v>
      </c>
      <c r="C399" s="151">
        <f>INDEX('Analysis of bottom-up tags'!$N$173:$W$178,MATCH(Dashboard!$B399,'Analysis of bottom-up tags'!$B$173:$B$178,0),MATCH(Dashboard!C$21,'Analysis of bottom-up tags'!$N$6:$W$6,0))*C$23</f>
        <v>488.70699098624237</v>
      </c>
      <c r="D399" s="151">
        <f>INDEX('Analysis of bottom-up tags'!$N$173:$W$178,MATCH(Dashboard!$B399,'Analysis of bottom-up tags'!$B$173:$B$178,0),MATCH(Dashboard!D$21,'Analysis of bottom-up tags'!$N$6:$W$6,0))*D$23</f>
        <v>1359.3927771247513</v>
      </c>
      <c r="E399" s="151">
        <f>INDEX('Analysis of bottom-up tags'!$N$173:$W$178,MATCH(Dashboard!$B399,'Analysis of bottom-up tags'!$B$173:$B$178,0),MATCH(Dashboard!E$21,'Analysis of bottom-up tags'!$N$6:$W$6,0))*E$23</f>
        <v>572.31478240554043</v>
      </c>
      <c r="F399" s="151">
        <f>INDEX('Analysis of bottom-up tags'!$N$173:$W$178,MATCH(Dashboard!$B399,'Analysis of bottom-up tags'!$B$173:$B$178,0),MATCH(Dashboard!F$21,'Analysis of bottom-up tags'!$N$6:$W$6,0))*F$23</f>
        <v>1026.5524876459697</v>
      </c>
      <c r="G399" s="151">
        <f>INDEX('Analysis of bottom-up tags'!$N$173:$W$178,MATCH(Dashboard!$B399,'Analysis of bottom-up tags'!$B$173:$B$178,0),MATCH(Dashboard!G$21,'Analysis of bottom-up tags'!$N$6:$W$6,0))*G$23</f>
        <v>1199.4260607698864</v>
      </c>
      <c r="H399" s="151">
        <f>INDEX('Analysis of bottom-up tags'!$N$173:$W$178,MATCH(Dashboard!$B399,'Analysis of bottom-up tags'!$B$173:$B$178,0),MATCH(Dashboard!H$21,'Analysis of bottom-up tags'!$N$6:$W$6,0))*H$23</f>
        <v>810.21056716037026</v>
      </c>
      <c r="I399" s="151">
        <f>INDEX('Analysis of bottom-up tags'!$N$173:$W$178,MATCH(Dashboard!$B399,'Analysis of bottom-up tags'!$B$173:$B$178,0),MATCH(Dashboard!I$21,'Analysis of bottom-up tags'!$N$6:$W$6,0))*I$23</f>
        <v>533.69752809314866</v>
      </c>
      <c r="J399" s="151">
        <f>INDEX('Analysis of bottom-up tags'!$N$173:$W$178,MATCH(Dashboard!$B399,'Analysis of bottom-up tags'!$B$173:$B$178,0),MATCH(Dashboard!J$21,'Analysis of bottom-up tags'!$N$6:$W$6,0))*J$23</f>
        <v>589.60767628384826</v>
      </c>
      <c r="K399" s="151">
        <f>INDEX('Analysis of bottom-up tags'!$N$173:$W$178,MATCH(Dashboard!$B399,'Analysis of bottom-up tags'!$B$173:$B$178,0),MATCH(Dashboard!K$21,'Analysis of bottom-up tags'!$N$6:$W$6,0))*K$23</f>
        <v>194.62647412992112</v>
      </c>
      <c r="L399" s="151">
        <f>INDEX('Analysis of bottom-up tags'!$N$173:$W$178,MATCH(Dashboard!$B399,'Analysis of bottom-up tags'!$B$173:$B$178,0),MATCH(Dashboard!L$21,'Analysis of bottom-up tags'!$N$6:$W$6,0))*L$23</f>
        <v>1188.0450729062625</v>
      </c>
      <c r="M399" s="151">
        <f>SUM(C399:L399)</f>
        <v>7962.5804175059402</v>
      </c>
      <c r="P399" s="151" t="s">
        <v>10621</v>
      </c>
      <c r="Q399" s="195">
        <f>C399/1000</f>
        <v>0.48870699098624237</v>
      </c>
      <c r="R399" s="195">
        <f t="shared" ref="R399:Z399" si="137">D399/1000</f>
        <v>1.3593927771247514</v>
      </c>
      <c r="S399" s="195">
        <f t="shared" si="137"/>
        <v>0.57231478240554046</v>
      </c>
      <c r="T399" s="195">
        <f t="shared" si="137"/>
        <v>1.0265524876459697</v>
      </c>
      <c r="U399" s="195">
        <f t="shared" si="137"/>
        <v>1.1994260607698863</v>
      </c>
      <c r="V399" s="195">
        <f t="shared" si="137"/>
        <v>0.81021056716037021</v>
      </c>
      <c r="W399" s="195">
        <f t="shared" si="137"/>
        <v>0.53369752809314863</v>
      </c>
      <c r="X399" s="195">
        <f t="shared" si="137"/>
        <v>0.58960767628384825</v>
      </c>
      <c r="Y399" s="195">
        <f t="shared" si="137"/>
        <v>0.19462647412992112</v>
      </c>
      <c r="Z399" s="195">
        <f t="shared" si="137"/>
        <v>1.1880450729062624</v>
      </c>
      <c r="AA399" s="195">
        <f>SUM(Q399:Z399)</f>
        <v>7.9625804175059418</v>
      </c>
    </row>
    <row r="400" spans="2:27">
      <c r="B400" s="151" t="s">
        <v>11110</v>
      </c>
      <c r="C400" s="151">
        <f>INDEX('Analysis of bottom-up tags'!$N$173:$W$178,MATCH(Dashboard!$B400,'Analysis of bottom-up tags'!$B$173:$B$178,0),MATCH(Dashboard!C$21,'Analysis of bottom-up tags'!$N$6:$W$6,0))*C$23</f>
        <v>0</v>
      </c>
      <c r="D400" s="151">
        <f>INDEX('Analysis of bottom-up tags'!$N$173:$W$178,MATCH(Dashboard!$B400,'Analysis of bottom-up tags'!$B$173:$B$178,0),MATCH(Dashboard!D$21,'Analysis of bottom-up tags'!$N$6:$W$6,0))*D$23</f>
        <v>0</v>
      </c>
      <c r="E400" s="151">
        <f>INDEX('Analysis of bottom-up tags'!$N$173:$W$178,MATCH(Dashboard!$B400,'Analysis of bottom-up tags'!$B$173:$B$178,0),MATCH(Dashboard!E$21,'Analysis of bottom-up tags'!$N$6:$W$6,0))*E$23</f>
        <v>0</v>
      </c>
      <c r="F400" s="151">
        <f>INDEX('Analysis of bottom-up tags'!$N$173:$W$178,MATCH(Dashboard!$B400,'Analysis of bottom-up tags'!$B$173:$B$178,0),MATCH(Dashboard!F$21,'Analysis of bottom-up tags'!$N$6:$W$6,0))*F$23</f>
        <v>0</v>
      </c>
      <c r="G400" s="151">
        <f>INDEX('Analysis of bottom-up tags'!$N$173:$W$178,MATCH(Dashboard!$B400,'Analysis of bottom-up tags'!$B$173:$B$178,0),MATCH(Dashboard!G$21,'Analysis of bottom-up tags'!$N$6:$W$6,0))*G$23</f>
        <v>0</v>
      </c>
      <c r="H400" s="151">
        <f>INDEX('Analysis of bottom-up tags'!$N$173:$W$178,MATCH(Dashboard!$B400,'Analysis of bottom-up tags'!$B$173:$B$178,0),MATCH(Dashboard!H$21,'Analysis of bottom-up tags'!$N$6:$W$6,0))*H$23</f>
        <v>95.627981287419999</v>
      </c>
      <c r="I400" s="151">
        <f>INDEX('Analysis of bottom-up tags'!$N$173:$W$178,MATCH(Dashboard!$B400,'Analysis of bottom-up tags'!$B$173:$B$178,0),MATCH(Dashboard!I$21,'Analysis of bottom-up tags'!$N$6:$W$6,0))*I$23</f>
        <v>10.887673837429485</v>
      </c>
      <c r="J400" s="151">
        <f>INDEX('Analysis of bottom-up tags'!$N$173:$W$178,MATCH(Dashboard!$B400,'Analysis of bottom-up tags'!$B$173:$B$178,0),MATCH(Dashboard!J$21,'Analysis of bottom-up tags'!$N$6:$W$6,0))*J$23</f>
        <v>81.949401808996228</v>
      </c>
      <c r="K400" s="151">
        <f>INDEX('Analysis of bottom-up tags'!$N$173:$W$178,MATCH(Dashboard!$B400,'Analysis of bottom-up tags'!$B$173:$B$178,0),MATCH(Dashboard!K$21,'Analysis of bottom-up tags'!$N$6:$W$6,0))*K$23</f>
        <v>71.979090239357632</v>
      </c>
      <c r="L400" s="151">
        <f>INDEX('Analysis of bottom-up tags'!$N$173:$W$178,MATCH(Dashboard!$B400,'Analysis of bottom-up tags'!$B$173:$B$178,0),MATCH(Dashboard!L$21,'Analysis of bottom-up tags'!$N$6:$W$6,0))*L$23</f>
        <v>172.00163015158549</v>
      </c>
      <c r="M400" s="151">
        <f t="shared" ref="M400:M404" si="138">SUM(C400:L400)</f>
        <v>432.44577732478888</v>
      </c>
      <c r="P400" s="151" t="s">
        <v>11108</v>
      </c>
      <c r="Q400" s="195">
        <f t="shared" ref="Q400:Q404" si="139">C400/1000</f>
        <v>0</v>
      </c>
      <c r="R400" s="195">
        <f t="shared" ref="R400:R404" si="140">D400/1000</f>
        <v>0</v>
      </c>
      <c r="S400" s="195">
        <f t="shared" ref="S400:S404" si="141">E400/1000</f>
        <v>0</v>
      </c>
      <c r="T400" s="195">
        <f t="shared" ref="T400:T404" si="142">F400/1000</f>
        <v>0</v>
      </c>
      <c r="U400" s="195">
        <f t="shared" ref="U400:U404" si="143">G400/1000</f>
        <v>0</v>
      </c>
      <c r="V400" s="195">
        <f t="shared" ref="V400:V404" si="144">H400/1000</f>
        <v>9.5627981287420005E-2</v>
      </c>
      <c r="W400" s="195">
        <f t="shared" ref="W400:W404" si="145">I400/1000</f>
        <v>1.0887673837429486E-2</v>
      </c>
      <c r="X400" s="195">
        <f t="shared" ref="X400:X404" si="146">J400/1000</f>
        <v>8.1949401808996222E-2</v>
      </c>
      <c r="Y400" s="195">
        <f t="shared" ref="Y400:Y404" si="147">K400/1000</f>
        <v>7.1979090239357627E-2</v>
      </c>
      <c r="Z400" s="195">
        <f t="shared" ref="Z400:Z404" si="148">L400/1000</f>
        <v>0.17200163015158548</v>
      </c>
      <c r="AA400" s="195">
        <f t="shared" ref="AA400:AA404" si="149">SUM(Q400:Z400)</f>
        <v>0.43244577732478884</v>
      </c>
    </row>
    <row r="401" spans="1:27">
      <c r="B401" s="151" t="s">
        <v>11109</v>
      </c>
      <c r="C401" s="151">
        <f>INDEX('Analysis of bottom-up tags'!$N$173:$W$178,MATCH(Dashboard!$B401,'Analysis of bottom-up tags'!$B$173:$B$178,0),MATCH(Dashboard!C$21,'Analysis of bottom-up tags'!$N$6:$W$6,0))*C$23</f>
        <v>0</v>
      </c>
      <c r="D401" s="151">
        <f>INDEX('Analysis of bottom-up tags'!$N$173:$W$178,MATCH(Dashboard!$B401,'Analysis of bottom-up tags'!$B$173:$B$178,0),MATCH(Dashboard!D$21,'Analysis of bottom-up tags'!$N$6:$W$6,0))*D$23</f>
        <v>0</v>
      </c>
      <c r="E401" s="151">
        <f>INDEX('Analysis of bottom-up tags'!$N$173:$W$178,MATCH(Dashboard!$B401,'Analysis of bottom-up tags'!$B$173:$B$178,0),MATCH(Dashboard!E$21,'Analysis of bottom-up tags'!$N$6:$W$6,0))*E$23</f>
        <v>0</v>
      </c>
      <c r="F401" s="151">
        <f>INDEX('Analysis of bottom-up tags'!$N$173:$W$178,MATCH(Dashboard!$B401,'Analysis of bottom-up tags'!$B$173:$B$178,0),MATCH(Dashboard!F$21,'Analysis of bottom-up tags'!$N$6:$W$6,0))*F$23</f>
        <v>0</v>
      </c>
      <c r="G401" s="151">
        <f>INDEX('Analysis of bottom-up tags'!$N$173:$W$178,MATCH(Dashboard!$B401,'Analysis of bottom-up tags'!$B$173:$B$178,0),MATCH(Dashboard!G$21,'Analysis of bottom-up tags'!$N$6:$W$6,0))*G$23</f>
        <v>0</v>
      </c>
      <c r="H401" s="151">
        <f>INDEX('Analysis of bottom-up tags'!$N$173:$W$178,MATCH(Dashboard!$B401,'Analysis of bottom-up tags'!$B$173:$B$178,0),MATCH(Dashboard!H$21,'Analysis of bottom-up tags'!$N$6:$W$6,0))*H$23</f>
        <v>6.8705757595597721</v>
      </c>
      <c r="I401" s="151">
        <f>INDEX('Analysis of bottom-up tags'!$N$173:$W$178,MATCH(Dashboard!$B401,'Analysis of bottom-up tags'!$B$173:$B$178,0),MATCH(Dashboard!I$21,'Analysis of bottom-up tags'!$N$6:$W$6,0))*I$23</f>
        <v>77.699490357987969</v>
      </c>
      <c r="J401" s="151">
        <f>INDEX('Analysis of bottom-up tags'!$N$173:$W$178,MATCH(Dashboard!$B401,'Analysis of bottom-up tags'!$B$173:$B$178,0),MATCH(Dashboard!J$21,'Analysis of bottom-up tags'!$N$6:$W$6,0))*J$23</f>
        <v>73.520860246928393</v>
      </c>
      <c r="K401" s="151">
        <f>INDEX('Analysis of bottom-up tags'!$N$173:$W$178,MATCH(Dashboard!$B401,'Analysis of bottom-up tags'!$B$173:$B$178,0),MATCH(Dashboard!K$21,'Analysis of bottom-up tags'!$N$6:$W$6,0))*K$23</f>
        <v>47.138917069160783</v>
      </c>
      <c r="L401" s="151">
        <f>INDEX('Analysis of bottom-up tags'!$N$173:$W$178,MATCH(Dashboard!$B401,'Analysis of bottom-up tags'!$B$173:$B$178,0),MATCH(Dashboard!L$21,'Analysis of bottom-up tags'!$N$6:$W$6,0))*L$23</f>
        <v>0</v>
      </c>
      <c r="M401" s="151">
        <f t="shared" si="138"/>
        <v>205.22984343363692</v>
      </c>
      <c r="P401" s="151" t="s">
        <v>11109</v>
      </c>
      <c r="Q401" s="195">
        <f t="shared" si="139"/>
        <v>0</v>
      </c>
      <c r="R401" s="195">
        <f t="shared" si="140"/>
        <v>0</v>
      </c>
      <c r="S401" s="195">
        <f t="shared" si="141"/>
        <v>0</v>
      </c>
      <c r="T401" s="195">
        <f t="shared" si="142"/>
        <v>0</v>
      </c>
      <c r="U401" s="195">
        <f t="shared" si="143"/>
        <v>0</v>
      </c>
      <c r="V401" s="195">
        <f t="shared" si="144"/>
        <v>6.8705757595597721E-3</v>
      </c>
      <c r="W401" s="195">
        <f t="shared" si="145"/>
        <v>7.7699490357987969E-2</v>
      </c>
      <c r="X401" s="195">
        <f t="shared" si="146"/>
        <v>7.3520860246928388E-2</v>
      </c>
      <c r="Y401" s="195">
        <f t="shared" si="147"/>
        <v>4.7138917069160784E-2</v>
      </c>
      <c r="Z401" s="195">
        <f t="shared" si="148"/>
        <v>0</v>
      </c>
      <c r="AA401" s="195">
        <f t="shared" si="149"/>
        <v>0.20522984343363693</v>
      </c>
    </row>
    <row r="402" spans="1:27">
      <c r="B402" s="151" t="s">
        <v>11111</v>
      </c>
      <c r="C402" s="151">
        <f>INDEX('Analysis of bottom-up tags'!$N$173:$W$178,MATCH(Dashboard!$B402,'Analysis of bottom-up tags'!$B$173:$B$178,0),MATCH(Dashboard!C$21,'Analysis of bottom-up tags'!$N$6:$W$6,0))*C$23</f>
        <v>0</v>
      </c>
      <c r="D402" s="151">
        <f>INDEX('Analysis of bottom-up tags'!$N$173:$W$178,MATCH(Dashboard!$B402,'Analysis of bottom-up tags'!$B$173:$B$178,0),MATCH(Dashboard!D$21,'Analysis of bottom-up tags'!$N$6:$W$6,0))*D$23</f>
        <v>0</v>
      </c>
      <c r="E402" s="151">
        <f>INDEX('Analysis of bottom-up tags'!$N$173:$W$178,MATCH(Dashboard!$B402,'Analysis of bottom-up tags'!$B$173:$B$178,0),MATCH(Dashboard!E$21,'Analysis of bottom-up tags'!$N$6:$W$6,0))*E$23</f>
        <v>0</v>
      </c>
      <c r="F402" s="151">
        <f>INDEX('Analysis of bottom-up tags'!$N$173:$W$178,MATCH(Dashboard!$B402,'Analysis of bottom-up tags'!$B$173:$B$178,0),MATCH(Dashboard!F$21,'Analysis of bottom-up tags'!$N$6:$W$6,0))*F$23</f>
        <v>0</v>
      </c>
      <c r="G402" s="151">
        <f>INDEX('Analysis of bottom-up tags'!$N$173:$W$178,MATCH(Dashboard!$B402,'Analysis of bottom-up tags'!$B$173:$B$178,0),MATCH(Dashboard!G$21,'Analysis of bottom-up tags'!$N$6:$W$6,0))*G$23</f>
        <v>0</v>
      </c>
      <c r="H402" s="151">
        <f>INDEX('Analysis of bottom-up tags'!$N$173:$W$178,MATCH(Dashboard!$B402,'Analysis of bottom-up tags'!$B$173:$B$178,0),MATCH(Dashboard!H$21,'Analysis of bottom-up tags'!$N$6:$W$6,0))*H$23</f>
        <v>0</v>
      </c>
      <c r="I402" s="151">
        <f>INDEX('Analysis of bottom-up tags'!$N$173:$W$178,MATCH(Dashboard!$B402,'Analysis of bottom-up tags'!$B$173:$B$178,0),MATCH(Dashboard!I$21,'Analysis of bottom-up tags'!$N$6:$W$6,0))*I$23</f>
        <v>0</v>
      </c>
      <c r="J402" s="151">
        <f>INDEX('Analysis of bottom-up tags'!$N$173:$W$178,MATCH(Dashboard!$B402,'Analysis of bottom-up tags'!$B$173:$B$178,0),MATCH(Dashboard!J$21,'Analysis of bottom-up tags'!$N$6:$W$6,0))*J$23</f>
        <v>0</v>
      </c>
      <c r="K402" s="151">
        <f>INDEX('Analysis of bottom-up tags'!$N$173:$W$178,MATCH(Dashboard!$B402,'Analysis of bottom-up tags'!$B$173:$B$178,0),MATCH(Dashboard!K$21,'Analysis of bottom-up tags'!$N$6:$W$6,0))*K$23</f>
        <v>0</v>
      </c>
      <c r="L402" s="151">
        <f>INDEX('Analysis of bottom-up tags'!$N$173:$W$178,MATCH(Dashboard!$B402,'Analysis of bottom-up tags'!$B$173:$B$178,0),MATCH(Dashboard!L$21,'Analysis of bottom-up tags'!$N$6:$W$6,0))*L$23</f>
        <v>0</v>
      </c>
      <c r="M402" s="151">
        <f t="shared" si="138"/>
        <v>0</v>
      </c>
      <c r="P402" s="151" t="s">
        <v>11110</v>
      </c>
      <c r="Q402" s="195">
        <f t="shared" si="139"/>
        <v>0</v>
      </c>
      <c r="R402" s="195">
        <f t="shared" si="140"/>
        <v>0</v>
      </c>
      <c r="S402" s="195">
        <f t="shared" si="141"/>
        <v>0</v>
      </c>
      <c r="T402" s="195">
        <f t="shared" si="142"/>
        <v>0</v>
      </c>
      <c r="U402" s="195">
        <f t="shared" si="143"/>
        <v>0</v>
      </c>
      <c r="V402" s="195">
        <f t="shared" si="144"/>
        <v>0</v>
      </c>
      <c r="W402" s="195">
        <f t="shared" si="145"/>
        <v>0</v>
      </c>
      <c r="X402" s="195">
        <f t="shared" si="146"/>
        <v>0</v>
      </c>
      <c r="Y402" s="195">
        <f t="shared" si="147"/>
        <v>0</v>
      </c>
      <c r="Z402" s="195">
        <f t="shared" si="148"/>
        <v>0</v>
      </c>
      <c r="AA402" s="195">
        <f t="shared" si="149"/>
        <v>0</v>
      </c>
    </row>
    <row r="403" spans="1:27">
      <c r="B403" s="151" t="s">
        <v>10621</v>
      </c>
      <c r="C403" s="151">
        <f>INDEX('Analysis of bottom-up tags'!$N$173:$W$178,MATCH(Dashboard!$B403,'Analysis of bottom-up tags'!$B$173:$B$178,0),MATCH(Dashboard!C$21,'Analysis of bottom-up tags'!$N$6:$W$6,0))*C$23</f>
        <v>0</v>
      </c>
      <c r="D403" s="151">
        <f>INDEX('Analysis of bottom-up tags'!$N$173:$W$178,MATCH(Dashboard!$B403,'Analysis of bottom-up tags'!$B$173:$B$178,0),MATCH(Dashboard!D$21,'Analysis of bottom-up tags'!$N$6:$W$6,0))*D$23</f>
        <v>0</v>
      </c>
      <c r="E403" s="151">
        <f>INDEX('Analysis of bottom-up tags'!$N$173:$W$178,MATCH(Dashboard!$B403,'Analysis of bottom-up tags'!$B$173:$B$178,0),MATCH(Dashboard!E$21,'Analysis of bottom-up tags'!$N$6:$W$6,0))*E$23</f>
        <v>0</v>
      </c>
      <c r="F403" s="151">
        <f>INDEX('Analysis of bottom-up tags'!$N$173:$W$178,MATCH(Dashboard!$B403,'Analysis of bottom-up tags'!$B$173:$B$178,0),MATCH(Dashboard!F$21,'Analysis of bottom-up tags'!$N$6:$W$6,0))*F$23</f>
        <v>0</v>
      </c>
      <c r="G403" s="151">
        <f>INDEX('Analysis of bottom-up tags'!$N$173:$W$178,MATCH(Dashboard!$B403,'Analysis of bottom-up tags'!$B$173:$B$178,0),MATCH(Dashboard!G$21,'Analysis of bottom-up tags'!$N$6:$W$6,0))*G$23</f>
        <v>94.637846292927634</v>
      </c>
      <c r="H403" s="151">
        <f>INDEX('Analysis of bottom-up tags'!$N$173:$W$178,MATCH(Dashboard!$B403,'Analysis of bottom-up tags'!$B$173:$B$178,0),MATCH(Dashboard!H$21,'Analysis of bottom-up tags'!$N$6:$W$6,0))*H$23</f>
        <v>6.1748212522625812</v>
      </c>
      <c r="I403" s="151">
        <f>INDEX('Analysis of bottom-up tags'!$N$173:$W$178,MATCH(Dashboard!$B403,'Analysis of bottom-up tags'!$B$173:$B$178,0),MATCH(Dashboard!I$21,'Analysis of bottom-up tags'!$N$6:$W$6,0))*I$23</f>
        <v>892.51992443850656</v>
      </c>
      <c r="J403" s="151">
        <f>INDEX('Analysis of bottom-up tags'!$N$173:$W$178,MATCH(Dashboard!$B403,'Analysis of bottom-up tags'!$B$173:$B$178,0),MATCH(Dashboard!J$21,'Analysis of bottom-up tags'!$N$6:$W$6,0))*J$23</f>
        <v>24.350339884214442</v>
      </c>
      <c r="K403" s="151">
        <f>INDEX('Analysis of bottom-up tags'!$N$173:$W$178,MATCH(Dashboard!$B403,'Analysis of bottom-up tags'!$B$173:$B$178,0),MATCH(Dashboard!K$21,'Analysis of bottom-up tags'!$N$6:$W$6,0))*K$23</f>
        <v>1577.2945261152142</v>
      </c>
      <c r="L403" s="151">
        <f>INDEX('Analysis of bottom-up tags'!$N$173:$W$178,MATCH(Dashboard!$B403,'Analysis of bottom-up tags'!$B$173:$B$178,0),MATCH(Dashboard!L$21,'Analysis of bottom-up tags'!$N$6:$W$6,0))*L$23</f>
        <v>40.143588109140531</v>
      </c>
      <c r="M403" s="151">
        <f t="shared" si="138"/>
        <v>2635.1210460922662</v>
      </c>
      <c r="P403" s="151" t="s">
        <v>10558</v>
      </c>
      <c r="Q403" s="195">
        <f t="shared" si="139"/>
        <v>0</v>
      </c>
      <c r="R403" s="195">
        <f t="shared" si="140"/>
        <v>0</v>
      </c>
      <c r="S403" s="195">
        <f t="shared" si="141"/>
        <v>0</v>
      </c>
      <c r="T403" s="195">
        <f t="shared" si="142"/>
        <v>0</v>
      </c>
      <c r="U403" s="195">
        <f t="shared" si="143"/>
        <v>9.4637846292927638E-2</v>
      </c>
      <c r="V403" s="195">
        <f t="shared" si="144"/>
        <v>6.1748212522625811E-3</v>
      </c>
      <c r="W403" s="195">
        <f t="shared" si="145"/>
        <v>0.89251992443850658</v>
      </c>
      <c r="X403" s="195">
        <f t="shared" si="146"/>
        <v>2.4350339884214443E-2</v>
      </c>
      <c r="Y403" s="195">
        <f t="shared" si="147"/>
        <v>1.5772945261152143</v>
      </c>
      <c r="Z403" s="195">
        <f t="shared" si="148"/>
        <v>4.0143588109140531E-2</v>
      </c>
      <c r="AA403" s="195">
        <f t="shared" si="149"/>
        <v>2.6351210460922658</v>
      </c>
    </row>
    <row r="404" spans="1:27">
      <c r="B404" s="151" t="s">
        <v>10558</v>
      </c>
      <c r="C404" s="151">
        <f>INDEX('Analysis of bottom-up tags'!$N$173:$W$178,MATCH(Dashboard!$B404,'Analysis of bottom-up tags'!$B$173:$B$178,0),MATCH(Dashboard!C$21,'Analysis of bottom-up tags'!$N$6:$W$6,0))*C$23</f>
        <v>0</v>
      </c>
      <c r="D404" s="151">
        <f>INDEX('Analysis of bottom-up tags'!$N$173:$W$178,MATCH(Dashboard!$B404,'Analysis of bottom-up tags'!$B$173:$B$178,0),MATCH(Dashboard!D$21,'Analysis of bottom-up tags'!$N$6:$W$6,0))*D$23</f>
        <v>0</v>
      </c>
      <c r="E404" s="151">
        <f>INDEX('Analysis of bottom-up tags'!$N$173:$W$178,MATCH(Dashboard!$B404,'Analysis of bottom-up tags'!$B$173:$B$178,0),MATCH(Dashboard!E$21,'Analysis of bottom-up tags'!$N$6:$W$6,0))*E$23</f>
        <v>0</v>
      </c>
      <c r="F404" s="151">
        <f>INDEX('Analysis of bottom-up tags'!$N$173:$W$178,MATCH(Dashboard!$B404,'Analysis of bottom-up tags'!$B$173:$B$178,0),MATCH(Dashboard!F$21,'Analysis of bottom-up tags'!$N$6:$W$6,0))*F$23</f>
        <v>0</v>
      </c>
      <c r="G404" s="151">
        <f>INDEX('Analysis of bottom-up tags'!$N$173:$W$178,MATCH(Dashboard!$B404,'Analysis of bottom-up tags'!$B$173:$B$178,0),MATCH(Dashboard!G$21,'Analysis of bottom-up tags'!$N$6:$W$6,0))*G$23</f>
        <v>0</v>
      </c>
      <c r="H404" s="151">
        <f>INDEX('Analysis of bottom-up tags'!$N$173:$W$178,MATCH(Dashboard!$B404,'Analysis of bottom-up tags'!$B$173:$B$178,0),MATCH(Dashboard!H$21,'Analysis of bottom-up tags'!$N$6:$W$6,0))*H$23</f>
        <v>0</v>
      </c>
      <c r="I404" s="151">
        <f>INDEX('Analysis of bottom-up tags'!$N$173:$W$178,MATCH(Dashboard!$B404,'Analysis of bottom-up tags'!$B$173:$B$178,0),MATCH(Dashboard!I$21,'Analysis of bottom-up tags'!$N$6:$W$6,0))*I$23</f>
        <v>0</v>
      </c>
      <c r="J404" s="151">
        <f>INDEX('Analysis of bottom-up tags'!$N$173:$W$178,MATCH(Dashboard!$B404,'Analysis of bottom-up tags'!$B$173:$B$178,0),MATCH(Dashboard!J$21,'Analysis of bottom-up tags'!$N$6:$W$6,0))*J$23</f>
        <v>0</v>
      </c>
      <c r="K404" s="151">
        <f>INDEX('Analysis of bottom-up tags'!$N$173:$W$178,MATCH(Dashboard!$B404,'Analysis of bottom-up tags'!$B$173:$B$178,0),MATCH(Dashboard!K$21,'Analysis of bottom-up tags'!$N$6:$W$6,0))*K$23</f>
        <v>0</v>
      </c>
      <c r="L404" s="151">
        <f>INDEX('Analysis of bottom-up tags'!$N$173:$W$178,MATCH(Dashboard!$B404,'Analysis of bottom-up tags'!$B$173:$B$178,0),MATCH(Dashboard!L$21,'Analysis of bottom-up tags'!$N$6:$W$6,0))*L$23</f>
        <v>0</v>
      </c>
      <c r="M404" s="151">
        <f t="shared" si="138"/>
        <v>0</v>
      </c>
      <c r="P404" s="151" t="s">
        <v>11111</v>
      </c>
      <c r="Q404" s="195">
        <f t="shared" si="139"/>
        <v>0</v>
      </c>
      <c r="R404" s="195">
        <f t="shared" si="140"/>
        <v>0</v>
      </c>
      <c r="S404" s="195">
        <f t="shared" si="141"/>
        <v>0</v>
      </c>
      <c r="T404" s="195">
        <f t="shared" si="142"/>
        <v>0</v>
      </c>
      <c r="U404" s="195">
        <f t="shared" si="143"/>
        <v>0</v>
      </c>
      <c r="V404" s="195">
        <f t="shared" si="144"/>
        <v>0</v>
      </c>
      <c r="W404" s="195">
        <f t="shared" si="145"/>
        <v>0</v>
      </c>
      <c r="X404" s="195">
        <f t="shared" si="146"/>
        <v>0</v>
      </c>
      <c r="Y404" s="195">
        <f t="shared" si="147"/>
        <v>0</v>
      </c>
      <c r="Z404" s="195">
        <f t="shared" si="148"/>
        <v>0</v>
      </c>
      <c r="AA404" s="195">
        <f t="shared" si="149"/>
        <v>0</v>
      </c>
    </row>
    <row r="405" spans="1:27">
      <c r="B405" s="197" t="s">
        <v>11042</v>
      </c>
      <c r="C405" s="197">
        <f>SUM(C399:C404)</f>
        <v>488.70699098624237</v>
      </c>
      <c r="D405" s="197">
        <f t="shared" ref="D405" si="150">SUM(D399:D404)</f>
        <v>1359.3927771247513</v>
      </c>
      <c r="E405" s="197">
        <f t="shared" ref="E405" si="151">SUM(E399:E404)</f>
        <v>572.31478240554043</v>
      </c>
      <c r="F405" s="197">
        <f t="shared" ref="F405" si="152">SUM(F399:F404)</f>
        <v>1026.5524876459697</v>
      </c>
      <c r="G405" s="197">
        <f t="shared" ref="G405" si="153">SUM(G399:G404)</f>
        <v>1294.063907062814</v>
      </c>
      <c r="H405" s="197">
        <f t="shared" ref="H405" si="154">SUM(H399:H404)</f>
        <v>918.88394545961262</v>
      </c>
      <c r="I405" s="197">
        <f t="shared" ref="I405" si="155">SUM(I399:I404)</f>
        <v>1514.8046167270727</v>
      </c>
      <c r="J405" s="197">
        <f t="shared" ref="J405" si="156">SUM(J399:J404)</f>
        <v>769.42827822398726</v>
      </c>
      <c r="K405" s="197">
        <f t="shared" ref="K405" si="157">SUM(K399:K404)</f>
        <v>1891.0390075536538</v>
      </c>
      <c r="L405" s="197">
        <f t="shared" ref="L405" si="158">SUM(L399:L404)</f>
        <v>1400.1902911669886</v>
      </c>
      <c r="M405" s="197">
        <f t="shared" ref="M405" si="159">SUM(M399:M404)</f>
        <v>11235.377084356633</v>
      </c>
      <c r="P405" s="22"/>
      <c r="Q405" s="195"/>
      <c r="R405" s="195"/>
      <c r="S405" s="195"/>
      <c r="T405" s="195"/>
      <c r="U405" s="195"/>
      <c r="V405" s="195"/>
      <c r="W405" s="195"/>
      <c r="X405" s="195"/>
      <c r="Y405" s="195"/>
      <c r="Z405" s="195"/>
      <c r="AA405" s="195"/>
    </row>
    <row r="406" spans="1:27">
      <c r="B406" s="22"/>
      <c r="P406" s="22"/>
      <c r="Q406" s="195"/>
      <c r="R406" s="195"/>
      <c r="S406" s="195"/>
      <c r="T406" s="195"/>
      <c r="U406" s="195"/>
      <c r="V406" s="195"/>
      <c r="W406" s="195"/>
      <c r="X406" s="195"/>
      <c r="Y406" s="195"/>
      <c r="Z406" s="195"/>
      <c r="AA406" s="195"/>
    </row>
    <row r="407" spans="1:27">
      <c r="B407" s="22"/>
      <c r="P407" s="22"/>
      <c r="Q407" s="195"/>
      <c r="R407" s="195"/>
      <c r="S407" s="195"/>
      <c r="T407" s="195"/>
      <c r="U407" s="195"/>
      <c r="V407" s="195"/>
      <c r="W407" s="195"/>
      <c r="X407" s="195"/>
      <c r="Y407" s="195"/>
      <c r="Z407" s="195"/>
      <c r="AA407" s="195"/>
    </row>
    <row r="408" spans="1:27">
      <c r="B408" s="98" t="s">
        <v>11134</v>
      </c>
      <c r="C408" s="163" t="s">
        <v>11097</v>
      </c>
      <c r="D408" s="163"/>
      <c r="E408" s="163"/>
      <c r="F408" s="163"/>
      <c r="G408" s="163"/>
      <c r="H408" s="163"/>
      <c r="I408" s="163"/>
      <c r="J408" s="163"/>
      <c r="K408" s="163"/>
      <c r="L408" s="163"/>
      <c r="M408" s="163"/>
      <c r="P408" s="98" t="s">
        <v>11130</v>
      </c>
      <c r="Q408" s="196" t="s">
        <v>11132</v>
      </c>
      <c r="R408" s="196"/>
      <c r="S408" s="196"/>
      <c r="T408" s="196"/>
      <c r="U408" s="196"/>
      <c r="V408" s="196"/>
      <c r="W408" s="196"/>
      <c r="X408" s="196"/>
      <c r="Y408" s="196"/>
      <c r="Z408" s="196"/>
      <c r="AA408" s="196"/>
    </row>
    <row r="409" spans="1:27">
      <c r="B409" s="151" t="s">
        <v>11108</v>
      </c>
      <c r="C409" s="151">
        <f>INDEX('Analysis of bottom-up tags'!$N$183:$W$188,MATCH(Dashboard!$B409,'Analysis of bottom-up tags'!$B$183:$B$188,0),MATCH(Dashboard!C$21,'Analysis of bottom-up tags'!$N$6:$W$6,0))*C$23</f>
        <v>0</v>
      </c>
      <c r="D409" s="151">
        <f>INDEX('Analysis of bottom-up tags'!$N$183:$W$188,MATCH(Dashboard!$B409,'Analysis of bottom-up tags'!$B$183:$B$188,0),MATCH(Dashboard!D$21,'Analysis of bottom-up tags'!$N$6:$W$6,0))*D$23</f>
        <v>0</v>
      </c>
      <c r="E409" s="151">
        <f>INDEX('Analysis of bottom-up tags'!$N$183:$W$188,MATCH(Dashboard!$B409,'Analysis of bottom-up tags'!$B$183:$B$188,0),MATCH(Dashboard!E$21,'Analysis of bottom-up tags'!$N$6:$W$6,0))*E$23</f>
        <v>0</v>
      </c>
      <c r="F409" s="151">
        <f>INDEX('Analysis of bottom-up tags'!$N$183:$W$188,MATCH(Dashboard!$B409,'Analysis of bottom-up tags'!$B$183:$B$188,0),MATCH(Dashboard!F$21,'Analysis of bottom-up tags'!$N$6:$W$6,0))*F$23</f>
        <v>0</v>
      </c>
      <c r="G409" s="151">
        <f>INDEX('Analysis of bottom-up tags'!$N$183:$W$188,MATCH(Dashboard!$B409,'Analysis of bottom-up tags'!$B$183:$B$188,0),MATCH(Dashboard!G$21,'Analysis of bottom-up tags'!$N$6:$W$6,0))*G$23</f>
        <v>0</v>
      </c>
      <c r="H409" s="151">
        <f>INDEX('Analysis of bottom-up tags'!$N$183:$W$188,MATCH(Dashboard!$B409,'Analysis of bottom-up tags'!$B$183:$B$188,0),MATCH(Dashboard!H$21,'Analysis of bottom-up tags'!$N$6:$W$6,0))*H$23</f>
        <v>0</v>
      </c>
      <c r="I409" s="151">
        <f>INDEX('Analysis of bottom-up tags'!$N$183:$W$188,MATCH(Dashboard!$B409,'Analysis of bottom-up tags'!$B$183:$B$188,0),MATCH(Dashboard!I$21,'Analysis of bottom-up tags'!$N$6:$W$6,0))*I$23</f>
        <v>5.5840890810648363</v>
      </c>
      <c r="J409" s="151">
        <f>INDEX('Analysis of bottom-up tags'!$N$183:$W$188,MATCH(Dashboard!$B409,'Analysis of bottom-up tags'!$B$183:$B$188,0),MATCH(Dashboard!J$21,'Analysis of bottom-up tags'!$N$6:$W$6,0))*J$23</f>
        <v>88.687797470458577</v>
      </c>
      <c r="K409" s="151">
        <f>INDEX('Analysis of bottom-up tags'!$N$183:$W$188,MATCH(Dashboard!$B409,'Analysis of bottom-up tags'!$B$183:$B$188,0),MATCH(Dashboard!K$21,'Analysis of bottom-up tags'!$N$6:$W$6,0))*K$23</f>
        <v>2.4969599469738575</v>
      </c>
      <c r="L409" s="151">
        <f>INDEX('Analysis of bottom-up tags'!$N$183:$W$188,MATCH(Dashboard!$B409,'Analysis of bottom-up tags'!$B$183:$B$188,0),MATCH(Dashboard!L$21,'Analysis of bottom-up tags'!$N$6:$W$6,0))*L$23</f>
        <v>18.888446330934062</v>
      </c>
      <c r="M409" s="151">
        <f>SUM(C409:L409)</f>
        <v>115.65729282943133</v>
      </c>
      <c r="P409" s="151" t="s">
        <v>10621</v>
      </c>
      <c r="Q409" s="195">
        <f>C409/1000</f>
        <v>0</v>
      </c>
      <c r="R409" s="195">
        <f t="shared" ref="R409:Z409" si="160">D409/1000</f>
        <v>0</v>
      </c>
      <c r="S409" s="195">
        <f t="shared" si="160"/>
        <v>0</v>
      </c>
      <c r="T409" s="195">
        <f t="shared" si="160"/>
        <v>0</v>
      </c>
      <c r="U409" s="195">
        <f t="shared" si="160"/>
        <v>0</v>
      </c>
      <c r="V409" s="195">
        <f t="shared" si="160"/>
        <v>0</v>
      </c>
      <c r="W409" s="195">
        <f t="shared" si="160"/>
        <v>5.5840890810648367E-3</v>
      </c>
      <c r="X409" s="195">
        <f t="shared" si="160"/>
        <v>8.8687797470458574E-2</v>
      </c>
      <c r="Y409" s="195">
        <f t="shared" si="160"/>
        <v>2.4969599469738574E-3</v>
      </c>
      <c r="Z409" s="195">
        <f t="shared" si="160"/>
        <v>1.8888446330934061E-2</v>
      </c>
      <c r="AA409" s="195">
        <f>SUM(Q409:Z409)</f>
        <v>0.11565729282943132</v>
      </c>
    </row>
    <row r="410" spans="1:27">
      <c r="B410" s="151" t="s">
        <v>11110</v>
      </c>
      <c r="C410" s="151">
        <f>INDEX('Analysis of bottom-up tags'!$N$183:$W$188,MATCH(Dashboard!$B410,'Analysis of bottom-up tags'!$B$183:$B$188,0),MATCH(Dashboard!C$21,'Analysis of bottom-up tags'!$N$6:$W$6,0))*C$23</f>
        <v>0</v>
      </c>
      <c r="D410" s="151">
        <f>INDEX('Analysis of bottom-up tags'!$N$183:$W$188,MATCH(Dashboard!$B410,'Analysis of bottom-up tags'!$B$183:$B$188,0),MATCH(Dashboard!D$21,'Analysis of bottom-up tags'!$N$6:$W$6,0))*D$23</f>
        <v>0</v>
      </c>
      <c r="E410" s="151">
        <f>INDEX('Analysis of bottom-up tags'!$N$183:$W$188,MATCH(Dashboard!$B410,'Analysis of bottom-up tags'!$B$183:$B$188,0),MATCH(Dashboard!E$21,'Analysis of bottom-up tags'!$N$6:$W$6,0))*E$23</f>
        <v>0</v>
      </c>
      <c r="F410" s="151">
        <f>INDEX('Analysis of bottom-up tags'!$N$183:$W$188,MATCH(Dashboard!$B410,'Analysis of bottom-up tags'!$B$183:$B$188,0),MATCH(Dashboard!F$21,'Analysis of bottom-up tags'!$N$6:$W$6,0))*F$23</f>
        <v>0</v>
      </c>
      <c r="G410" s="151">
        <f>INDEX('Analysis of bottom-up tags'!$N$183:$W$188,MATCH(Dashboard!$B410,'Analysis of bottom-up tags'!$B$183:$B$188,0),MATCH(Dashboard!G$21,'Analysis of bottom-up tags'!$N$6:$W$6,0))*G$23</f>
        <v>0</v>
      </c>
      <c r="H410" s="151">
        <f>INDEX('Analysis of bottom-up tags'!$N$183:$W$188,MATCH(Dashboard!$B410,'Analysis of bottom-up tags'!$B$183:$B$188,0),MATCH(Dashboard!H$21,'Analysis of bottom-up tags'!$N$6:$W$6,0))*H$23</f>
        <v>0</v>
      </c>
      <c r="I410" s="151">
        <f>INDEX('Analysis of bottom-up tags'!$N$183:$W$188,MATCH(Dashboard!$B410,'Analysis of bottom-up tags'!$B$183:$B$188,0),MATCH(Dashboard!I$21,'Analysis of bottom-up tags'!$N$6:$W$6,0))*I$23</f>
        <v>0</v>
      </c>
      <c r="J410" s="151">
        <f>INDEX('Analysis of bottom-up tags'!$N$183:$W$188,MATCH(Dashboard!$B410,'Analysis of bottom-up tags'!$B$183:$B$188,0),MATCH(Dashboard!J$21,'Analysis of bottom-up tags'!$N$6:$W$6,0))*J$23</f>
        <v>0</v>
      </c>
      <c r="K410" s="151">
        <f>INDEX('Analysis of bottom-up tags'!$N$183:$W$188,MATCH(Dashboard!$B410,'Analysis of bottom-up tags'!$B$183:$B$188,0),MATCH(Dashboard!K$21,'Analysis of bottom-up tags'!$N$6:$W$6,0))*K$23</f>
        <v>0</v>
      </c>
      <c r="L410" s="151">
        <f>INDEX('Analysis of bottom-up tags'!$N$183:$W$188,MATCH(Dashboard!$B410,'Analysis of bottom-up tags'!$B$183:$B$188,0),MATCH(Dashboard!L$21,'Analysis of bottom-up tags'!$N$6:$W$6,0))*L$23</f>
        <v>0</v>
      </c>
      <c r="M410" s="151">
        <f t="shared" ref="M410:M414" si="161">SUM(C410:L410)</f>
        <v>0</v>
      </c>
      <c r="P410" s="151" t="s">
        <v>11108</v>
      </c>
      <c r="Q410" s="195">
        <f t="shared" ref="Q410:Q414" si="162">C410/1000</f>
        <v>0</v>
      </c>
      <c r="R410" s="195">
        <f t="shared" ref="R410:R414" si="163">D410/1000</f>
        <v>0</v>
      </c>
      <c r="S410" s="195">
        <f t="shared" ref="S410:S414" si="164">E410/1000</f>
        <v>0</v>
      </c>
      <c r="T410" s="195">
        <f t="shared" ref="T410:T414" si="165">F410/1000</f>
        <v>0</v>
      </c>
      <c r="U410" s="195">
        <f t="shared" ref="U410:U414" si="166">G410/1000</f>
        <v>0</v>
      </c>
      <c r="V410" s="195">
        <f t="shared" ref="V410:V414" si="167">H410/1000</f>
        <v>0</v>
      </c>
      <c r="W410" s="195">
        <f t="shared" ref="W410:W414" si="168">I410/1000</f>
        <v>0</v>
      </c>
      <c r="X410" s="195">
        <f t="shared" ref="X410:X414" si="169">J410/1000</f>
        <v>0</v>
      </c>
      <c r="Y410" s="195">
        <f t="shared" ref="Y410:Y414" si="170">K410/1000</f>
        <v>0</v>
      </c>
      <c r="Z410" s="195">
        <f t="shared" ref="Z410:Z414" si="171">L410/1000</f>
        <v>0</v>
      </c>
      <c r="AA410" s="195">
        <f t="shared" ref="AA410:AA414" si="172">SUM(Q410:Z410)</f>
        <v>0</v>
      </c>
    </row>
    <row r="411" spans="1:27">
      <c r="B411" s="151" t="s">
        <v>11109</v>
      </c>
      <c r="C411" s="151">
        <f>INDEX('Analysis of bottom-up tags'!$N$183:$W$188,MATCH(Dashboard!$B411,'Analysis of bottom-up tags'!$B$183:$B$188,0),MATCH(Dashboard!C$21,'Analysis of bottom-up tags'!$N$6:$W$6,0))*C$23</f>
        <v>0</v>
      </c>
      <c r="D411" s="151">
        <f>INDEX('Analysis of bottom-up tags'!$N$183:$W$188,MATCH(Dashboard!$B411,'Analysis of bottom-up tags'!$B$183:$B$188,0),MATCH(Dashboard!D$21,'Analysis of bottom-up tags'!$N$6:$W$6,0))*D$23</f>
        <v>0</v>
      </c>
      <c r="E411" s="151">
        <f>INDEX('Analysis of bottom-up tags'!$N$183:$W$188,MATCH(Dashboard!$B411,'Analysis of bottom-up tags'!$B$183:$B$188,0),MATCH(Dashboard!E$21,'Analysis of bottom-up tags'!$N$6:$W$6,0))*E$23</f>
        <v>0</v>
      </c>
      <c r="F411" s="151">
        <f>INDEX('Analysis of bottom-up tags'!$N$183:$W$188,MATCH(Dashboard!$B411,'Analysis of bottom-up tags'!$B$183:$B$188,0),MATCH(Dashboard!F$21,'Analysis of bottom-up tags'!$N$6:$W$6,0))*F$23</f>
        <v>0</v>
      </c>
      <c r="G411" s="151">
        <f>INDEX('Analysis of bottom-up tags'!$N$183:$W$188,MATCH(Dashboard!$B411,'Analysis of bottom-up tags'!$B$183:$B$188,0),MATCH(Dashboard!G$21,'Analysis of bottom-up tags'!$N$6:$W$6,0))*G$23</f>
        <v>0</v>
      </c>
      <c r="H411" s="151">
        <f>INDEX('Analysis of bottom-up tags'!$N$183:$W$188,MATCH(Dashboard!$B411,'Analysis of bottom-up tags'!$B$183:$B$188,0),MATCH(Dashboard!H$21,'Analysis of bottom-up tags'!$N$6:$W$6,0))*H$23</f>
        <v>0</v>
      </c>
      <c r="I411" s="151">
        <f>INDEX('Analysis of bottom-up tags'!$N$183:$W$188,MATCH(Dashboard!$B411,'Analysis of bottom-up tags'!$B$183:$B$188,0),MATCH(Dashboard!I$21,'Analysis of bottom-up tags'!$N$6:$W$6,0))*I$23</f>
        <v>0</v>
      </c>
      <c r="J411" s="151">
        <f>INDEX('Analysis of bottom-up tags'!$N$183:$W$188,MATCH(Dashboard!$B411,'Analysis of bottom-up tags'!$B$183:$B$188,0),MATCH(Dashboard!J$21,'Analysis of bottom-up tags'!$N$6:$W$6,0))*J$23</f>
        <v>0</v>
      </c>
      <c r="K411" s="151">
        <f>INDEX('Analysis of bottom-up tags'!$N$183:$W$188,MATCH(Dashboard!$B411,'Analysis of bottom-up tags'!$B$183:$B$188,0),MATCH(Dashboard!K$21,'Analysis of bottom-up tags'!$N$6:$W$6,0))*K$23</f>
        <v>0</v>
      </c>
      <c r="L411" s="151">
        <f>INDEX('Analysis of bottom-up tags'!$N$183:$W$188,MATCH(Dashboard!$B411,'Analysis of bottom-up tags'!$B$183:$B$188,0),MATCH(Dashboard!L$21,'Analysis of bottom-up tags'!$N$6:$W$6,0))*L$23</f>
        <v>0</v>
      </c>
      <c r="M411" s="151">
        <f t="shared" si="161"/>
        <v>0</v>
      </c>
      <c r="P411" s="151" t="s">
        <v>11109</v>
      </c>
      <c r="Q411" s="195">
        <f t="shared" si="162"/>
        <v>0</v>
      </c>
      <c r="R411" s="195">
        <f t="shared" si="163"/>
        <v>0</v>
      </c>
      <c r="S411" s="195">
        <f t="shared" si="164"/>
        <v>0</v>
      </c>
      <c r="T411" s="195">
        <f t="shared" si="165"/>
        <v>0</v>
      </c>
      <c r="U411" s="195">
        <f t="shared" si="166"/>
        <v>0</v>
      </c>
      <c r="V411" s="195">
        <f t="shared" si="167"/>
        <v>0</v>
      </c>
      <c r="W411" s="195">
        <f t="shared" si="168"/>
        <v>0</v>
      </c>
      <c r="X411" s="195">
        <f t="shared" si="169"/>
        <v>0</v>
      </c>
      <c r="Y411" s="195">
        <f t="shared" si="170"/>
        <v>0</v>
      </c>
      <c r="Z411" s="195">
        <f t="shared" si="171"/>
        <v>0</v>
      </c>
      <c r="AA411" s="195">
        <f t="shared" si="172"/>
        <v>0</v>
      </c>
    </row>
    <row r="412" spans="1:27">
      <c r="B412" s="151" t="s">
        <v>11111</v>
      </c>
      <c r="C412" s="151">
        <f>INDEX('Analysis of bottom-up tags'!$N$183:$W$188,MATCH(Dashboard!$B412,'Analysis of bottom-up tags'!$B$183:$B$188,0),MATCH(Dashboard!C$21,'Analysis of bottom-up tags'!$N$6:$W$6,0))*C$23</f>
        <v>0</v>
      </c>
      <c r="D412" s="151">
        <f>INDEX('Analysis of bottom-up tags'!$N$183:$W$188,MATCH(Dashboard!$B412,'Analysis of bottom-up tags'!$B$183:$B$188,0),MATCH(Dashboard!D$21,'Analysis of bottom-up tags'!$N$6:$W$6,0))*D$23</f>
        <v>0</v>
      </c>
      <c r="E412" s="151">
        <f>INDEX('Analysis of bottom-up tags'!$N$183:$W$188,MATCH(Dashboard!$B412,'Analysis of bottom-up tags'!$B$183:$B$188,0),MATCH(Dashboard!E$21,'Analysis of bottom-up tags'!$N$6:$W$6,0))*E$23</f>
        <v>0</v>
      </c>
      <c r="F412" s="151">
        <f>INDEX('Analysis of bottom-up tags'!$N$183:$W$188,MATCH(Dashboard!$B412,'Analysis of bottom-up tags'!$B$183:$B$188,0),MATCH(Dashboard!F$21,'Analysis of bottom-up tags'!$N$6:$W$6,0))*F$23</f>
        <v>0</v>
      </c>
      <c r="G412" s="151">
        <f>INDEX('Analysis of bottom-up tags'!$N$183:$W$188,MATCH(Dashboard!$B412,'Analysis of bottom-up tags'!$B$183:$B$188,0),MATCH(Dashboard!G$21,'Analysis of bottom-up tags'!$N$6:$W$6,0))*G$23</f>
        <v>0</v>
      </c>
      <c r="H412" s="151">
        <f>INDEX('Analysis of bottom-up tags'!$N$183:$W$188,MATCH(Dashboard!$B412,'Analysis of bottom-up tags'!$B$183:$B$188,0),MATCH(Dashboard!H$21,'Analysis of bottom-up tags'!$N$6:$W$6,0))*H$23</f>
        <v>0</v>
      </c>
      <c r="I412" s="151">
        <f>INDEX('Analysis of bottom-up tags'!$N$183:$W$188,MATCH(Dashboard!$B412,'Analysis of bottom-up tags'!$B$183:$B$188,0),MATCH(Dashboard!I$21,'Analysis of bottom-up tags'!$N$6:$W$6,0))*I$23</f>
        <v>0</v>
      </c>
      <c r="J412" s="151">
        <f>INDEX('Analysis of bottom-up tags'!$N$183:$W$188,MATCH(Dashboard!$B412,'Analysis of bottom-up tags'!$B$183:$B$188,0),MATCH(Dashboard!J$21,'Analysis of bottom-up tags'!$N$6:$W$6,0))*J$23</f>
        <v>0</v>
      </c>
      <c r="K412" s="151">
        <f>INDEX('Analysis of bottom-up tags'!$N$183:$W$188,MATCH(Dashboard!$B412,'Analysis of bottom-up tags'!$B$183:$B$188,0),MATCH(Dashboard!K$21,'Analysis of bottom-up tags'!$N$6:$W$6,0))*K$23</f>
        <v>0</v>
      </c>
      <c r="L412" s="151">
        <f>INDEX('Analysis of bottom-up tags'!$N$183:$W$188,MATCH(Dashboard!$B412,'Analysis of bottom-up tags'!$B$183:$B$188,0),MATCH(Dashboard!L$21,'Analysis of bottom-up tags'!$N$6:$W$6,0))*L$23</f>
        <v>0</v>
      </c>
      <c r="M412" s="151">
        <f t="shared" si="161"/>
        <v>0</v>
      </c>
      <c r="P412" s="151" t="s">
        <v>11110</v>
      </c>
      <c r="Q412" s="195">
        <f t="shared" si="162"/>
        <v>0</v>
      </c>
      <c r="R412" s="195">
        <f t="shared" si="163"/>
        <v>0</v>
      </c>
      <c r="S412" s="195">
        <f t="shared" si="164"/>
        <v>0</v>
      </c>
      <c r="T412" s="195">
        <f t="shared" si="165"/>
        <v>0</v>
      </c>
      <c r="U412" s="195">
        <f t="shared" si="166"/>
        <v>0</v>
      </c>
      <c r="V412" s="195">
        <f t="shared" si="167"/>
        <v>0</v>
      </c>
      <c r="W412" s="195">
        <f t="shared" si="168"/>
        <v>0</v>
      </c>
      <c r="X412" s="195">
        <f t="shared" si="169"/>
        <v>0</v>
      </c>
      <c r="Y412" s="195">
        <f t="shared" si="170"/>
        <v>0</v>
      </c>
      <c r="Z412" s="195">
        <f t="shared" si="171"/>
        <v>0</v>
      </c>
      <c r="AA412" s="195">
        <f t="shared" si="172"/>
        <v>0</v>
      </c>
    </row>
    <row r="413" spans="1:27">
      <c r="B413" s="151" t="s">
        <v>10621</v>
      </c>
      <c r="C413" s="151">
        <f>INDEX('Analysis of bottom-up tags'!$N$183:$W$188,MATCH(Dashboard!$B413,'Analysis of bottom-up tags'!$B$183:$B$188,0),MATCH(Dashboard!C$21,'Analysis of bottom-up tags'!$N$6:$W$6,0))*C$23</f>
        <v>0</v>
      </c>
      <c r="D413" s="151">
        <f>INDEX('Analysis of bottom-up tags'!$N$183:$W$188,MATCH(Dashboard!$B413,'Analysis of bottom-up tags'!$B$183:$B$188,0),MATCH(Dashboard!D$21,'Analysis of bottom-up tags'!$N$6:$W$6,0))*D$23</f>
        <v>0</v>
      </c>
      <c r="E413" s="151">
        <f>INDEX('Analysis of bottom-up tags'!$N$183:$W$188,MATCH(Dashboard!$B413,'Analysis of bottom-up tags'!$B$183:$B$188,0),MATCH(Dashboard!E$21,'Analysis of bottom-up tags'!$N$6:$W$6,0))*E$23</f>
        <v>0</v>
      </c>
      <c r="F413" s="151">
        <f>INDEX('Analysis of bottom-up tags'!$N$183:$W$188,MATCH(Dashboard!$B413,'Analysis of bottom-up tags'!$B$183:$B$188,0),MATCH(Dashboard!F$21,'Analysis of bottom-up tags'!$N$6:$W$6,0))*F$23</f>
        <v>0</v>
      </c>
      <c r="G413" s="151">
        <f>INDEX('Analysis of bottom-up tags'!$N$183:$W$188,MATCH(Dashboard!$B413,'Analysis of bottom-up tags'!$B$183:$B$188,0),MATCH(Dashboard!G$21,'Analysis of bottom-up tags'!$N$6:$W$6,0))*G$23</f>
        <v>0</v>
      </c>
      <c r="H413" s="151">
        <f>INDEX('Analysis of bottom-up tags'!$N$183:$W$188,MATCH(Dashboard!$B413,'Analysis of bottom-up tags'!$B$183:$B$188,0),MATCH(Dashboard!H$21,'Analysis of bottom-up tags'!$N$6:$W$6,0))*H$23</f>
        <v>0</v>
      </c>
      <c r="I413" s="151">
        <f>INDEX('Analysis of bottom-up tags'!$N$183:$W$188,MATCH(Dashboard!$B413,'Analysis of bottom-up tags'!$B$183:$B$188,0),MATCH(Dashboard!I$21,'Analysis of bottom-up tags'!$N$6:$W$6,0))*I$23</f>
        <v>0</v>
      </c>
      <c r="J413" s="151">
        <f>INDEX('Analysis of bottom-up tags'!$N$183:$W$188,MATCH(Dashboard!$B413,'Analysis of bottom-up tags'!$B$183:$B$188,0),MATCH(Dashboard!J$21,'Analysis of bottom-up tags'!$N$6:$W$6,0))*J$23</f>
        <v>0</v>
      </c>
      <c r="K413" s="151">
        <f>INDEX('Analysis of bottom-up tags'!$N$183:$W$188,MATCH(Dashboard!$B413,'Analysis of bottom-up tags'!$B$183:$B$188,0),MATCH(Dashboard!K$21,'Analysis of bottom-up tags'!$N$6:$W$6,0))*K$23</f>
        <v>0</v>
      </c>
      <c r="L413" s="151">
        <f>INDEX('Analysis of bottom-up tags'!$N$183:$W$188,MATCH(Dashboard!$B413,'Analysis of bottom-up tags'!$B$183:$B$188,0),MATCH(Dashboard!L$21,'Analysis of bottom-up tags'!$N$6:$W$6,0))*L$23</f>
        <v>0</v>
      </c>
      <c r="M413" s="151">
        <f t="shared" si="161"/>
        <v>0</v>
      </c>
      <c r="P413" s="151" t="s">
        <v>10558</v>
      </c>
      <c r="Q413" s="195">
        <f t="shared" si="162"/>
        <v>0</v>
      </c>
      <c r="R413" s="195">
        <f t="shared" si="163"/>
        <v>0</v>
      </c>
      <c r="S413" s="195">
        <f t="shared" si="164"/>
        <v>0</v>
      </c>
      <c r="T413" s="195">
        <f t="shared" si="165"/>
        <v>0</v>
      </c>
      <c r="U413" s="195">
        <f t="shared" si="166"/>
        <v>0</v>
      </c>
      <c r="V413" s="195">
        <f t="shared" si="167"/>
        <v>0</v>
      </c>
      <c r="W413" s="195">
        <f t="shared" si="168"/>
        <v>0</v>
      </c>
      <c r="X413" s="195">
        <f t="shared" si="169"/>
        <v>0</v>
      </c>
      <c r="Y413" s="195">
        <f t="shared" si="170"/>
        <v>0</v>
      </c>
      <c r="Z413" s="195">
        <f t="shared" si="171"/>
        <v>0</v>
      </c>
      <c r="AA413" s="195">
        <f t="shared" si="172"/>
        <v>0</v>
      </c>
    </row>
    <row r="414" spans="1:27">
      <c r="B414" s="151" t="s">
        <v>10558</v>
      </c>
      <c r="C414" s="151">
        <f>INDEX('Analysis of bottom-up tags'!$N$183:$W$188,MATCH(Dashboard!$B414,'Analysis of bottom-up tags'!$B$183:$B$188,0),MATCH(Dashboard!C$21,'Analysis of bottom-up tags'!$N$6:$W$6,0))*C$23</f>
        <v>0</v>
      </c>
      <c r="D414" s="151">
        <f>INDEX('Analysis of bottom-up tags'!$N$183:$W$188,MATCH(Dashboard!$B414,'Analysis of bottom-up tags'!$B$183:$B$188,0),MATCH(Dashboard!D$21,'Analysis of bottom-up tags'!$N$6:$W$6,0))*D$23</f>
        <v>0</v>
      </c>
      <c r="E414" s="151">
        <f>INDEX('Analysis of bottom-up tags'!$N$183:$W$188,MATCH(Dashboard!$B414,'Analysis of bottom-up tags'!$B$183:$B$188,0),MATCH(Dashboard!E$21,'Analysis of bottom-up tags'!$N$6:$W$6,0))*E$23</f>
        <v>0</v>
      </c>
      <c r="F414" s="151">
        <f>INDEX('Analysis of bottom-up tags'!$N$183:$W$188,MATCH(Dashboard!$B414,'Analysis of bottom-up tags'!$B$183:$B$188,0),MATCH(Dashboard!F$21,'Analysis of bottom-up tags'!$N$6:$W$6,0))*F$23</f>
        <v>0</v>
      </c>
      <c r="G414" s="151">
        <f>INDEX('Analysis of bottom-up tags'!$N$183:$W$188,MATCH(Dashboard!$B414,'Analysis of bottom-up tags'!$B$183:$B$188,0),MATCH(Dashboard!G$21,'Analysis of bottom-up tags'!$N$6:$W$6,0))*G$23</f>
        <v>0</v>
      </c>
      <c r="H414" s="151">
        <f>INDEX('Analysis of bottom-up tags'!$N$183:$W$188,MATCH(Dashboard!$B414,'Analysis of bottom-up tags'!$B$183:$B$188,0),MATCH(Dashboard!H$21,'Analysis of bottom-up tags'!$N$6:$W$6,0))*H$23</f>
        <v>0</v>
      </c>
      <c r="I414" s="151">
        <f>INDEX('Analysis of bottom-up tags'!$N$183:$W$188,MATCH(Dashboard!$B414,'Analysis of bottom-up tags'!$B$183:$B$188,0),MATCH(Dashboard!I$21,'Analysis of bottom-up tags'!$N$6:$W$6,0))*I$23</f>
        <v>0</v>
      </c>
      <c r="J414" s="151">
        <f>INDEX('Analysis of bottom-up tags'!$N$183:$W$188,MATCH(Dashboard!$B414,'Analysis of bottom-up tags'!$B$183:$B$188,0),MATCH(Dashboard!J$21,'Analysis of bottom-up tags'!$N$6:$W$6,0))*J$23</f>
        <v>0</v>
      </c>
      <c r="K414" s="151">
        <f>INDEX('Analysis of bottom-up tags'!$N$183:$W$188,MATCH(Dashboard!$B414,'Analysis of bottom-up tags'!$B$183:$B$188,0),MATCH(Dashboard!K$21,'Analysis of bottom-up tags'!$N$6:$W$6,0))*K$23</f>
        <v>0</v>
      </c>
      <c r="L414" s="151">
        <f>INDEX('Analysis of bottom-up tags'!$N$183:$W$188,MATCH(Dashboard!$B414,'Analysis of bottom-up tags'!$B$183:$B$188,0),MATCH(Dashboard!L$21,'Analysis of bottom-up tags'!$N$6:$W$6,0))*L$23</f>
        <v>0</v>
      </c>
      <c r="M414" s="151">
        <f t="shared" si="161"/>
        <v>0</v>
      </c>
      <c r="P414" s="151" t="s">
        <v>11111</v>
      </c>
      <c r="Q414" s="195">
        <f t="shared" si="162"/>
        <v>0</v>
      </c>
      <c r="R414" s="195">
        <f t="shared" si="163"/>
        <v>0</v>
      </c>
      <c r="S414" s="195">
        <f t="shared" si="164"/>
        <v>0</v>
      </c>
      <c r="T414" s="195">
        <f t="shared" si="165"/>
        <v>0</v>
      </c>
      <c r="U414" s="195">
        <f t="shared" si="166"/>
        <v>0</v>
      </c>
      <c r="V414" s="195">
        <f t="shared" si="167"/>
        <v>0</v>
      </c>
      <c r="W414" s="195">
        <f t="shared" si="168"/>
        <v>0</v>
      </c>
      <c r="X414" s="195">
        <f t="shared" si="169"/>
        <v>0</v>
      </c>
      <c r="Y414" s="195">
        <f t="shared" si="170"/>
        <v>0</v>
      </c>
      <c r="Z414" s="195">
        <f t="shared" si="171"/>
        <v>0</v>
      </c>
      <c r="AA414" s="195">
        <f t="shared" si="172"/>
        <v>0</v>
      </c>
    </row>
    <row r="415" spans="1:27">
      <c r="B415" s="197" t="s">
        <v>11042</v>
      </c>
      <c r="C415" s="197">
        <f>SUM(C409:C414)</f>
        <v>0</v>
      </c>
      <c r="D415" s="197">
        <f t="shared" ref="D415" si="173">SUM(D409:D414)</f>
        <v>0</v>
      </c>
      <c r="E415" s="197">
        <f t="shared" ref="E415" si="174">SUM(E409:E414)</f>
        <v>0</v>
      </c>
      <c r="F415" s="197">
        <f t="shared" ref="F415" si="175">SUM(F409:F414)</f>
        <v>0</v>
      </c>
      <c r="G415" s="197">
        <f t="shared" ref="G415" si="176">SUM(G409:G414)</f>
        <v>0</v>
      </c>
      <c r="H415" s="197">
        <f t="shared" ref="H415" si="177">SUM(H409:H414)</f>
        <v>0</v>
      </c>
      <c r="I415" s="197">
        <f t="shared" ref="I415" si="178">SUM(I409:I414)</f>
        <v>5.5840890810648363</v>
      </c>
      <c r="J415" s="197">
        <f t="shared" ref="J415" si="179">SUM(J409:J414)</f>
        <v>88.687797470458577</v>
      </c>
      <c r="K415" s="197">
        <f t="shared" ref="K415" si="180">SUM(K409:K414)</f>
        <v>2.4969599469738575</v>
      </c>
      <c r="L415" s="197">
        <f t="shared" ref="L415" si="181">SUM(L409:L414)</f>
        <v>18.888446330934062</v>
      </c>
      <c r="M415" s="197">
        <f t="shared" ref="M415" si="182">SUM(M409:M414)</f>
        <v>115.65729282943133</v>
      </c>
    </row>
    <row r="416" spans="1:27">
      <c r="A416" s="176"/>
      <c r="B416" s="176"/>
      <c r="C416" s="176"/>
      <c r="D416" s="176"/>
      <c r="E416" s="176"/>
      <c r="F416" s="176"/>
      <c r="G416" s="176"/>
      <c r="H416" s="176"/>
      <c r="I416" s="176"/>
      <c r="J416" s="176"/>
      <c r="K416" s="176"/>
      <c r="L416" s="176"/>
      <c r="M416" s="176"/>
      <c r="N416" s="176"/>
      <c r="O416" s="176"/>
      <c r="P416" s="176"/>
      <c r="Q416" s="176"/>
      <c r="R416" s="176"/>
    </row>
    <row r="417" spans="1:27">
      <c r="A417" s="176"/>
      <c r="B417" s="98" t="s">
        <v>11136</v>
      </c>
      <c r="C417" s="163" t="s">
        <v>11131</v>
      </c>
      <c r="D417" s="163"/>
      <c r="E417" s="163"/>
      <c r="F417" s="163"/>
      <c r="G417" s="163"/>
      <c r="H417" s="163"/>
      <c r="I417" s="163"/>
      <c r="J417" s="163"/>
      <c r="K417" s="163"/>
      <c r="L417" s="163"/>
      <c r="M417" s="163" t="s">
        <v>11042</v>
      </c>
      <c r="P417" s="98" t="s">
        <v>11128</v>
      </c>
      <c r="Q417" s="163" t="s">
        <v>11132</v>
      </c>
      <c r="R417" s="163"/>
      <c r="S417" s="163"/>
      <c r="T417" s="163"/>
      <c r="U417" s="163"/>
      <c r="V417" s="163"/>
      <c r="W417" s="163"/>
      <c r="X417" s="163"/>
      <c r="Y417" s="163"/>
      <c r="Z417" s="163"/>
      <c r="AA417" s="163"/>
    </row>
    <row r="418" spans="1:27">
      <c r="A418" s="176"/>
      <c r="B418" s="151" t="s">
        <v>10973</v>
      </c>
      <c r="C418" s="151">
        <f>INDEX('Analysis of bottom-up tags'!$N$193:$W$196,MATCH(Dashboard!$B418,'Analysis of bottom-up tags'!$B$193:$B$196,0),MATCH(Dashboard!C$21,'Analysis of bottom-up tags'!$N$6:$W$6,0))*C$23</f>
        <v>0</v>
      </c>
      <c r="D418" s="151">
        <f>INDEX('Analysis of bottom-up tags'!$N$193:$W$196,MATCH(Dashboard!$B418,'Analysis of bottom-up tags'!$B$193:$B$196,0),MATCH(Dashboard!D$21,'Analysis of bottom-up tags'!$N$6:$W$6,0))*D$23</f>
        <v>0</v>
      </c>
      <c r="E418" s="151">
        <f>INDEX('Analysis of bottom-up tags'!$N$193:$W$196,MATCH(Dashboard!$B418,'Analysis of bottom-up tags'!$B$193:$B$196,0),MATCH(Dashboard!E$21,'Analysis of bottom-up tags'!$N$6:$W$6,0))*E$23</f>
        <v>0</v>
      </c>
      <c r="F418" s="151">
        <f>INDEX('Analysis of bottom-up tags'!$N$193:$W$196,MATCH(Dashboard!$B418,'Analysis of bottom-up tags'!$B$193:$B$196,0),MATCH(Dashboard!F$21,'Analysis of bottom-up tags'!$N$6:$W$6,0))*F$23</f>
        <v>0</v>
      </c>
      <c r="G418" s="151">
        <f>INDEX('Analysis of bottom-up tags'!$N$193:$W$196,MATCH(Dashboard!$B418,'Analysis of bottom-up tags'!$B$193:$B$196,0),MATCH(Dashboard!G$21,'Analysis of bottom-up tags'!$N$6:$W$6,0))*G$23</f>
        <v>0</v>
      </c>
      <c r="H418" s="151">
        <f>INDEX('Analysis of bottom-up tags'!$N$193:$W$196,MATCH(Dashboard!$B418,'Analysis of bottom-up tags'!$B$193:$B$196,0),MATCH(Dashboard!H$21,'Analysis of bottom-up tags'!$N$6:$W$6,0))*H$23</f>
        <v>0</v>
      </c>
      <c r="I418" s="151">
        <f>INDEX('Analysis of bottom-up tags'!$N$193:$W$196,MATCH(Dashboard!$B418,'Analysis of bottom-up tags'!$B$193:$B$196,0),MATCH(Dashboard!I$21,'Analysis of bottom-up tags'!$N$6:$W$6,0))*I$23</f>
        <v>0</v>
      </c>
      <c r="J418" s="151">
        <f>INDEX('Analysis of bottom-up tags'!$N$193:$W$196,MATCH(Dashboard!$B418,'Analysis of bottom-up tags'!$B$193:$B$196,0),MATCH(Dashboard!J$21,'Analysis of bottom-up tags'!$N$6:$W$6,0))*J$23</f>
        <v>0</v>
      </c>
      <c r="K418" s="151">
        <f>INDEX('Analysis of bottom-up tags'!$N$193:$W$196,MATCH(Dashboard!$B418,'Analysis of bottom-up tags'!$B$193:$B$196,0),MATCH(Dashboard!K$21,'Analysis of bottom-up tags'!$N$6:$W$6,0))*K$23</f>
        <v>0</v>
      </c>
      <c r="L418" s="151">
        <f>INDEX('Analysis of bottom-up tags'!$N$193:$W$196,MATCH(Dashboard!$B418,'Analysis of bottom-up tags'!$B$193:$B$196,0),MATCH(Dashboard!L$21,'Analysis of bottom-up tags'!$N$6:$W$6,0))*L$23</f>
        <v>0</v>
      </c>
      <c r="M418" s="151">
        <f>SUM(C418:L418)</f>
        <v>0</v>
      </c>
      <c r="N418" s="176"/>
      <c r="O418" s="176"/>
      <c r="P418" s="151" t="s">
        <v>10973</v>
      </c>
      <c r="Q418" s="195">
        <f>C418/1000</f>
        <v>0</v>
      </c>
      <c r="R418" s="195">
        <f t="shared" ref="R418" si="183">D418/1000</f>
        <v>0</v>
      </c>
      <c r="S418" s="195">
        <f t="shared" ref="S418" si="184">E418/1000</f>
        <v>0</v>
      </c>
      <c r="T418" s="195">
        <f t="shared" ref="T418" si="185">F418/1000</f>
        <v>0</v>
      </c>
      <c r="U418" s="195">
        <f t="shared" ref="U418" si="186">G418/1000</f>
        <v>0</v>
      </c>
      <c r="V418" s="195">
        <f t="shared" ref="V418" si="187">H418/1000</f>
        <v>0</v>
      </c>
      <c r="W418" s="195">
        <f t="shared" ref="W418" si="188">I418/1000</f>
        <v>0</v>
      </c>
      <c r="X418" s="195">
        <f t="shared" ref="X418" si="189">J418/1000</f>
        <v>0</v>
      </c>
      <c r="Y418" s="195">
        <f t="shared" ref="Y418" si="190">K418/1000</f>
        <v>0</v>
      </c>
      <c r="Z418" s="195">
        <f t="shared" ref="Z418" si="191">L418/1000</f>
        <v>0</v>
      </c>
      <c r="AA418" s="195">
        <f>SUM(Q418:Z418)</f>
        <v>0</v>
      </c>
    </row>
    <row r="419" spans="1:27">
      <c r="A419" s="176"/>
      <c r="B419" s="151" t="s">
        <v>10977</v>
      </c>
      <c r="C419" s="151">
        <f>INDEX('Analysis of bottom-up tags'!$N$193:$W$196,MATCH(Dashboard!$B419,'Analysis of bottom-up tags'!$B$193:$B$196,0),MATCH(Dashboard!C$21,'Analysis of bottom-up tags'!$N$6:$W$6,0))*C$23</f>
        <v>0</v>
      </c>
      <c r="D419" s="151">
        <f>INDEX('Analysis of bottom-up tags'!$N$193:$W$196,MATCH(Dashboard!$B419,'Analysis of bottom-up tags'!$B$193:$B$196,0),MATCH(Dashboard!D$21,'Analysis of bottom-up tags'!$N$6:$W$6,0))*D$23</f>
        <v>0</v>
      </c>
      <c r="E419" s="151">
        <f>INDEX('Analysis of bottom-up tags'!$N$193:$W$196,MATCH(Dashboard!$B419,'Analysis of bottom-up tags'!$B$193:$B$196,0),MATCH(Dashboard!E$21,'Analysis of bottom-up tags'!$N$6:$W$6,0))*E$23</f>
        <v>0</v>
      </c>
      <c r="F419" s="151">
        <f>INDEX('Analysis of bottom-up tags'!$N$193:$W$196,MATCH(Dashboard!$B419,'Analysis of bottom-up tags'!$B$193:$B$196,0),MATCH(Dashboard!F$21,'Analysis of bottom-up tags'!$N$6:$W$6,0))*F$23</f>
        <v>0</v>
      </c>
      <c r="G419" s="151">
        <f>INDEX('Analysis of bottom-up tags'!$N$193:$W$196,MATCH(Dashboard!$B419,'Analysis of bottom-up tags'!$B$193:$B$196,0),MATCH(Dashboard!G$21,'Analysis of bottom-up tags'!$N$6:$W$6,0))*G$23</f>
        <v>0</v>
      </c>
      <c r="H419" s="151">
        <f>INDEX('Analysis of bottom-up tags'!$N$193:$W$196,MATCH(Dashboard!$B419,'Analysis of bottom-up tags'!$B$193:$B$196,0),MATCH(Dashboard!H$21,'Analysis of bottom-up tags'!$N$6:$W$6,0))*H$23</f>
        <v>0</v>
      </c>
      <c r="I419" s="151">
        <f>INDEX('Analysis of bottom-up tags'!$N$193:$W$196,MATCH(Dashboard!$B419,'Analysis of bottom-up tags'!$B$193:$B$196,0),MATCH(Dashboard!I$21,'Analysis of bottom-up tags'!$N$6:$W$6,0))*I$23</f>
        <v>0</v>
      </c>
      <c r="J419" s="151">
        <f>INDEX('Analysis of bottom-up tags'!$N$193:$W$196,MATCH(Dashboard!$B419,'Analysis of bottom-up tags'!$B$193:$B$196,0),MATCH(Dashboard!J$21,'Analysis of bottom-up tags'!$N$6:$W$6,0))*J$23</f>
        <v>0</v>
      </c>
      <c r="K419" s="151">
        <f>INDEX('Analysis of bottom-up tags'!$N$193:$W$196,MATCH(Dashboard!$B419,'Analysis of bottom-up tags'!$B$193:$B$196,0),MATCH(Dashboard!K$21,'Analysis of bottom-up tags'!$N$6:$W$6,0))*K$23</f>
        <v>0</v>
      </c>
      <c r="L419" s="151">
        <f>INDEX('Analysis of bottom-up tags'!$N$193:$W$196,MATCH(Dashboard!$B419,'Analysis of bottom-up tags'!$B$193:$B$196,0),MATCH(Dashboard!L$21,'Analysis of bottom-up tags'!$N$6:$W$6,0))*L$23</f>
        <v>0</v>
      </c>
      <c r="M419" s="151">
        <f t="shared" ref="M419:M421" si="192">SUM(C419:L419)</f>
        <v>0</v>
      </c>
      <c r="N419" s="176"/>
      <c r="O419" s="176"/>
      <c r="P419" s="151" t="s">
        <v>10977</v>
      </c>
      <c r="Q419" s="195">
        <f t="shared" ref="Q419:Q421" si="193">C419/1000</f>
        <v>0</v>
      </c>
      <c r="R419" s="195">
        <f t="shared" ref="R419:R421" si="194">D419/1000</f>
        <v>0</v>
      </c>
      <c r="S419" s="195">
        <f t="shared" ref="S419:S421" si="195">E419/1000</f>
        <v>0</v>
      </c>
      <c r="T419" s="195">
        <f t="shared" ref="T419:T421" si="196">F419/1000</f>
        <v>0</v>
      </c>
      <c r="U419" s="195">
        <f t="shared" ref="U419:U421" si="197">G419/1000</f>
        <v>0</v>
      </c>
      <c r="V419" s="195">
        <f t="shared" ref="V419:V421" si="198">H419/1000</f>
        <v>0</v>
      </c>
      <c r="W419" s="195">
        <f t="shared" ref="W419:W421" si="199">I419/1000</f>
        <v>0</v>
      </c>
      <c r="X419" s="195">
        <f t="shared" ref="X419:X421" si="200">J419/1000</f>
        <v>0</v>
      </c>
      <c r="Y419" s="195">
        <f t="shared" ref="Y419:Y421" si="201">K419/1000</f>
        <v>0</v>
      </c>
      <c r="Z419" s="195">
        <f t="shared" ref="Z419:Z421" si="202">L419/1000</f>
        <v>0</v>
      </c>
      <c r="AA419" s="195">
        <f t="shared" ref="AA419:AA421" si="203">SUM(Q419:Z419)</f>
        <v>0</v>
      </c>
    </row>
    <row r="420" spans="1:27">
      <c r="A420" s="176"/>
      <c r="B420" s="151" t="s">
        <v>10558</v>
      </c>
      <c r="C420" s="151">
        <f>INDEX('Analysis of bottom-up tags'!$N$193:$W$196,MATCH(Dashboard!$B420,'Analysis of bottom-up tags'!$B$193:$B$196,0),MATCH(Dashboard!C$21,'Analysis of bottom-up tags'!$N$6:$W$6,0))*C$23</f>
        <v>0</v>
      </c>
      <c r="D420" s="151">
        <f>INDEX('Analysis of bottom-up tags'!$N$193:$W$196,MATCH(Dashboard!$B420,'Analysis of bottom-up tags'!$B$193:$B$196,0),MATCH(Dashboard!D$21,'Analysis of bottom-up tags'!$N$6:$W$6,0))*D$23</f>
        <v>0</v>
      </c>
      <c r="E420" s="151">
        <f>INDEX('Analysis of bottom-up tags'!$N$193:$W$196,MATCH(Dashboard!$B420,'Analysis of bottom-up tags'!$B$193:$B$196,0),MATCH(Dashboard!E$21,'Analysis of bottom-up tags'!$N$6:$W$6,0))*E$23</f>
        <v>0</v>
      </c>
      <c r="F420" s="151">
        <f>INDEX('Analysis of bottom-up tags'!$N$193:$W$196,MATCH(Dashboard!$B420,'Analysis of bottom-up tags'!$B$193:$B$196,0),MATCH(Dashboard!F$21,'Analysis of bottom-up tags'!$N$6:$W$6,0))*F$23</f>
        <v>0</v>
      </c>
      <c r="G420" s="151">
        <f>INDEX('Analysis of bottom-up tags'!$N$193:$W$196,MATCH(Dashboard!$B420,'Analysis of bottom-up tags'!$B$193:$B$196,0),MATCH(Dashboard!G$21,'Analysis of bottom-up tags'!$N$6:$W$6,0))*G$23</f>
        <v>0</v>
      </c>
      <c r="H420" s="151">
        <f>INDEX('Analysis of bottom-up tags'!$N$193:$W$196,MATCH(Dashboard!$B420,'Analysis of bottom-up tags'!$B$193:$B$196,0),MATCH(Dashboard!H$21,'Analysis of bottom-up tags'!$N$6:$W$6,0))*H$23</f>
        <v>0</v>
      </c>
      <c r="I420" s="151">
        <f>INDEX('Analysis of bottom-up tags'!$N$193:$W$196,MATCH(Dashboard!$B420,'Analysis of bottom-up tags'!$B$193:$B$196,0),MATCH(Dashboard!I$21,'Analysis of bottom-up tags'!$N$6:$W$6,0))*I$23</f>
        <v>0</v>
      </c>
      <c r="J420" s="151">
        <f>INDEX('Analysis of bottom-up tags'!$N$193:$W$196,MATCH(Dashboard!$B420,'Analysis of bottom-up tags'!$B$193:$B$196,0),MATCH(Dashboard!J$21,'Analysis of bottom-up tags'!$N$6:$W$6,0))*J$23</f>
        <v>0</v>
      </c>
      <c r="K420" s="151">
        <f>INDEX('Analysis of bottom-up tags'!$N$193:$W$196,MATCH(Dashboard!$B420,'Analysis of bottom-up tags'!$B$193:$B$196,0),MATCH(Dashboard!K$21,'Analysis of bottom-up tags'!$N$6:$W$6,0))*K$23</f>
        <v>0</v>
      </c>
      <c r="L420" s="151">
        <f>INDEX('Analysis of bottom-up tags'!$N$193:$W$196,MATCH(Dashboard!$B420,'Analysis of bottom-up tags'!$B$193:$B$196,0),MATCH(Dashboard!L$21,'Analysis of bottom-up tags'!$N$6:$W$6,0))*L$23</f>
        <v>0</v>
      </c>
      <c r="M420" s="151">
        <f t="shared" si="192"/>
        <v>0</v>
      </c>
      <c r="N420" s="176"/>
      <c r="O420" s="176"/>
      <c r="P420" s="151" t="s">
        <v>10558</v>
      </c>
      <c r="Q420" s="195">
        <f t="shared" si="193"/>
        <v>0</v>
      </c>
      <c r="R420" s="195">
        <f t="shared" si="194"/>
        <v>0</v>
      </c>
      <c r="S420" s="195">
        <f t="shared" si="195"/>
        <v>0</v>
      </c>
      <c r="T420" s="195">
        <f t="shared" si="196"/>
        <v>0</v>
      </c>
      <c r="U420" s="195">
        <f t="shared" si="197"/>
        <v>0</v>
      </c>
      <c r="V420" s="195">
        <f t="shared" si="198"/>
        <v>0</v>
      </c>
      <c r="W420" s="195">
        <f t="shared" si="199"/>
        <v>0</v>
      </c>
      <c r="X420" s="195">
        <f t="shared" si="200"/>
        <v>0</v>
      </c>
      <c r="Y420" s="195">
        <f t="shared" si="201"/>
        <v>0</v>
      </c>
      <c r="Z420" s="195">
        <f t="shared" si="202"/>
        <v>0</v>
      </c>
      <c r="AA420" s="195">
        <f t="shared" si="203"/>
        <v>0</v>
      </c>
    </row>
    <row r="421" spans="1:27">
      <c r="A421" s="176"/>
      <c r="B421" s="151" t="s">
        <v>10981</v>
      </c>
      <c r="C421" s="151">
        <f>INDEX('Analysis of bottom-up tags'!$N$193:$W$196,MATCH(Dashboard!$B421,'Analysis of bottom-up tags'!$B$193:$B$196,0),MATCH(Dashboard!C$21,'Analysis of bottom-up tags'!$N$6:$W$6,0))*C$23</f>
        <v>0</v>
      </c>
      <c r="D421" s="151">
        <f>INDEX('Analysis of bottom-up tags'!$N$193:$W$196,MATCH(Dashboard!$B421,'Analysis of bottom-up tags'!$B$193:$B$196,0),MATCH(Dashboard!D$21,'Analysis of bottom-up tags'!$N$6:$W$6,0))*D$23</f>
        <v>0</v>
      </c>
      <c r="E421" s="151">
        <f>INDEX('Analysis of bottom-up tags'!$N$193:$W$196,MATCH(Dashboard!$B421,'Analysis of bottom-up tags'!$B$193:$B$196,0),MATCH(Dashboard!E$21,'Analysis of bottom-up tags'!$N$6:$W$6,0))*E$23</f>
        <v>0</v>
      </c>
      <c r="F421" s="151">
        <f>INDEX('Analysis of bottom-up tags'!$N$193:$W$196,MATCH(Dashboard!$B421,'Analysis of bottom-up tags'!$B$193:$B$196,0),MATCH(Dashboard!F$21,'Analysis of bottom-up tags'!$N$6:$W$6,0))*F$23</f>
        <v>0</v>
      </c>
      <c r="G421" s="151">
        <f>INDEX('Analysis of bottom-up tags'!$N$193:$W$196,MATCH(Dashboard!$B421,'Analysis of bottom-up tags'!$B$193:$B$196,0),MATCH(Dashboard!G$21,'Analysis of bottom-up tags'!$N$6:$W$6,0))*G$23</f>
        <v>0</v>
      </c>
      <c r="H421" s="151">
        <f>INDEX('Analysis of bottom-up tags'!$N$193:$W$196,MATCH(Dashboard!$B421,'Analysis of bottom-up tags'!$B$193:$B$196,0),MATCH(Dashboard!H$21,'Analysis of bottom-up tags'!$N$6:$W$6,0))*H$23</f>
        <v>0</v>
      </c>
      <c r="I421" s="151">
        <f>INDEX('Analysis of bottom-up tags'!$N$193:$W$196,MATCH(Dashboard!$B421,'Analysis of bottom-up tags'!$B$193:$B$196,0),MATCH(Dashboard!I$21,'Analysis of bottom-up tags'!$N$6:$W$6,0))*I$23</f>
        <v>5.2916628660744314</v>
      </c>
      <c r="J421" s="151">
        <f>INDEX('Analysis of bottom-up tags'!$N$193:$W$196,MATCH(Dashboard!$B421,'Analysis of bottom-up tags'!$B$193:$B$196,0),MATCH(Dashboard!J$21,'Analysis of bottom-up tags'!$N$6:$W$6,0))*J$23</f>
        <v>40.008498230788305</v>
      </c>
      <c r="K421" s="151">
        <f>INDEX('Analysis of bottom-up tags'!$N$193:$W$196,MATCH(Dashboard!$B421,'Analysis of bottom-up tags'!$B$193:$B$196,0),MATCH(Dashboard!K$21,'Analysis of bottom-up tags'!$N$6:$W$6,0))*K$23</f>
        <v>2.4969599469738575</v>
      </c>
      <c r="L421" s="151">
        <f>INDEX('Analysis of bottom-up tags'!$N$193:$W$196,MATCH(Dashboard!$B421,'Analysis of bottom-up tags'!$B$193:$B$196,0),MATCH(Dashboard!L$21,'Analysis of bottom-up tags'!$N$6:$W$6,0))*L$23</f>
        <v>18.888446330934062</v>
      </c>
      <c r="M421" s="151">
        <f t="shared" si="192"/>
        <v>66.685567374770656</v>
      </c>
      <c r="N421" s="176"/>
      <c r="O421" s="176"/>
      <c r="P421" s="151" t="s">
        <v>10981</v>
      </c>
      <c r="Q421" s="195">
        <f t="shared" si="193"/>
        <v>0</v>
      </c>
      <c r="R421" s="195">
        <f t="shared" si="194"/>
        <v>0</v>
      </c>
      <c r="S421" s="195">
        <f t="shared" si="195"/>
        <v>0</v>
      </c>
      <c r="T421" s="195">
        <f t="shared" si="196"/>
        <v>0</v>
      </c>
      <c r="U421" s="195">
        <f t="shared" si="197"/>
        <v>0</v>
      </c>
      <c r="V421" s="195">
        <f t="shared" si="198"/>
        <v>0</v>
      </c>
      <c r="W421" s="195">
        <f t="shared" si="199"/>
        <v>5.2916628660744317E-3</v>
      </c>
      <c r="X421" s="195">
        <f t="shared" si="200"/>
        <v>4.0008498230788309E-2</v>
      </c>
      <c r="Y421" s="195">
        <f t="shared" si="201"/>
        <v>2.4969599469738574E-3</v>
      </c>
      <c r="Z421" s="195">
        <f t="shared" si="202"/>
        <v>1.8888446330934061E-2</v>
      </c>
      <c r="AA421" s="195">
        <f t="shared" si="203"/>
        <v>6.668556737477066E-2</v>
      </c>
    </row>
    <row r="422" spans="1:27">
      <c r="A422" s="176"/>
      <c r="B422" s="176"/>
      <c r="C422" s="176"/>
      <c r="D422" s="176"/>
      <c r="E422" s="176"/>
      <c r="F422" s="176"/>
      <c r="G422" s="176"/>
      <c r="H422" s="176"/>
      <c r="I422" s="176"/>
      <c r="J422" s="176"/>
      <c r="K422" s="176"/>
      <c r="L422" s="176"/>
      <c r="M422" s="176"/>
      <c r="N422" s="176"/>
      <c r="O422" s="176"/>
      <c r="P422" s="176"/>
      <c r="Q422" s="176"/>
      <c r="R422" s="176"/>
    </row>
    <row r="423" spans="1:27">
      <c r="A423" s="176"/>
      <c r="B423" s="176"/>
      <c r="C423" s="176"/>
      <c r="D423" s="176"/>
      <c r="E423" s="176"/>
      <c r="F423" s="176"/>
      <c r="G423" s="176"/>
      <c r="H423" s="176"/>
      <c r="I423" s="176"/>
      <c r="J423" s="176"/>
      <c r="K423" s="176"/>
      <c r="L423" s="176"/>
      <c r="M423" s="176"/>
      <c r="N423" s="176"/>
      <c r="O423" s="176"/>
      <c r="P423" s="176"/>
      <c r="Q423" s="176"/>
      <c r="R423" s="176"/>
    </row>
    <row r="424" spans="1:27">
      <c r="A424" s="176"/>
      <c r="B424" s="98" t="s">
        <v>11137</v>
      </c>
      <c r="C424" s="163" t="s">
        <v>11131</v>
      </c>
      <c r="D424" s="163"/>
      <c r="E424" s="163"/>
      <c r="F424" s="163"/>
      <c r="G424" s="163"/>
      <c r="H424" s="163"/>
      <c r="I424" s="163"/>
      <c r="J424" s="163"/>
      <c r="K424" s="163"/>
      <c r="L424" s="163"/>
      <c r="M424" s="163" t="s">
        <v>11042</v>
      </c>
      <c r="P424" s="98" t="s">
        <v>11129</v>
      </c>
      <c r="Q424" s="163" t="s">
        <v>11132</v>
      </c>
      <c r="R424" s="163"/>
      <c r="S424" s="163"/>
      <c r="T424" s="163"/>
      <c r="U424" s="163"/>
      <c r="V424" s="163"/>
      <c r="W424" s="163"/>
      <c r="X424" s="163"/>
      <c r="Y424" s="163"/>
      <c r="Z424" s="163"/>
      <c r="AA424" s="163"/>
    </row>
    <row r="425" spans="1:27">
      <c r="A425" s="176"/>
      <c r="B425" s="151" t="s">
        <v>10973</v>
      </c>
      <c r="C425" s="151">
        <f>INDEX('Analysis of bottom-up tags'!$N$200:$W$203,MATCH(Dashboard!$B425,'Analysis of bottom-up tags'!$B$200:$B$203,0),MATCH(Dashboard!C$21,'Analysis of bottom-up tags'!$N$6:$W$6,0))*C$23</f>
        <v>63.726116010813875</v>
      </c>
      <c r="D425" s="151">
        <f>INDEX('Analysis of bottom-up tags'!$N$200:$W$203,MATCH(Dashboard!$B425,'Analysis of bottom-up tags'!$B$200:$B$203,0),MATCH(Dashboard!D$21,'Analysis of bottom-up tags'!$N$6:$W$6,0))*D$23</f>
        <v>460.90672214353663</v>
      </c>
      <c r="E425" s="151">
        <f>INDEX('Analysis of bottom-up tags'!$N$200:$W$203,MATCH(Dashboard!$B425,'Analysis of bottom-up tags'!$B$200:$B$203,0),MATCH(Dashboard!E$21,'Analysis of bottom-up tags'!$N$6:$W$6,0))*E$23</f>
        <v>269.68577517267335</v>
      </c>
      <c r="F425" s="151">
        <f>INDEX('Analysis of bottom-up tags'!$N$200:$W$203,MATCH(Dashboard!$B425,'Analysis of bottom-up tags'!$B$200:$B$203,0),MATCH(Dashboard!F$21,'Analysis of bottom-up tags'!$N$6:$W$6,0))*F$23</f>
        <v>309.9053796577773</v>
      </c>
      <c r="G425" s="151">
        <f>INDEX('Analysis of bottom-up tags'!$N$200:$W$203,MATCH(Dashboard!$B425,'Analysis of bottom-up tags'!$B$200:$B$203,0),MATCH(Dashboard!G$21,'Analysis of bottom-up tags'!$N$6:$W$6,0))*G$23</f>
        <v>1269.7627953780689</v>
      </c>
      <c r="H425" s="151">
        <f>INDEX('Analysis of bottom-up tags'!$N$200:$W$203,MATCH(Dashboard!$B425,'Analysis of bottom-up tags'!$B$200:$B$203,0),MATCH(Dashboard!H$21,'Analysis of bottom-up tags'!$N$6:$W$6,0))*H$23</f>
        <v>908.44029426851841</v>
      </c>
      <c r="I425" s="151">
        <f>INDEX('Analysis of bottom-up tags'!$N$200:$W$203,MATCH(Dashboard!$B425,'Analysis of bottom-up tags'!$B$200:$B$203,0),MATCH(Dashboard!I$21,'Analysis of bottom-up tags'!$N$6:$W$6,0))*I$23</f>
        <v>1503.6204087282017</v>
      </c>
      <c r="J425" s="151">
        <f>INDEX('Analysis of bottom-up tags'!$N$200:$W$203,MATCH(Dashboard!$B425,'Analysis of bottom-up tags'!$B$200:$B$203,0),MATCH(Dashboard!J$21,'Analysis of bottom-up tags'!$N$6:$W$6,0))*J$23</f>
        <v>607.39307869193419</v>
      </c>
      <c r="K425" s="151">
        <f>INDEX('Analysis of bottom-up tags'!$N$200:$W$203,MATCH(Dashboard!$B425,'Analysis of bottom-up tags'!$B$200:$B$203,0),MATCH(Dashboard!K$21,'Analysis of bottom-up tags'!$N$6:$W$6,0))*K$23</f>
        <v>1877.9533773961512</v>
      </c>
      <c r="L425" s="151">
        <f>INDEX('Analysis of bottom-up tags'!$N$200:$W$203,MATCH(Dashboard!$B425,'Analysis of bottom-up tags'!$B$200:$B$203,0),MATCH(Dashboard!L$21,'Analysis of bottom-up tags'!$N$6:$W$6,0))*L$23</f>
        <v>1167.8695426642716</v>
      </c>
      <c r="M425" s="151">
        <f>SUM(C425:L425)</f>
        <v>8439.2634901119472</v>
      </c>
      <c r="N425" s="176"/>
      <c r="O425" s="176"/>
      <c r="P425" s="151" t="s">
        <v>10973</v>
      </c>
      <c r="Q425" s="195">
        <f>C425/1000</f>
        <v>6.3726116010813877E-2</v>
      </c>
      <c r="R425" s="195">
        <f t="shared" ref="R425:R428" si="204">D425/1000</f>
        <v>0.46090672214353662</v>
      </c>
      <c r="S425" s="195">
        <f t="shared" ref="S425:S428" si="205">E425/1000</f>
        <v>0.26968577517267334</v>
      </c>
      <c r="T425" s="195">
        <f t="shared" ref="T425:T428" si="206">F425/1000</f>
        <v>0.30990537965777731</v>
      </c>
      <c r="U425" s="195">
        <f t="shared" ref="U425:U428" si="207">G425/1000</f>
        <v>1.2697627953780688</v>
      </c>
      <c r="V425" s="195">
        <f t="shared" ref="V425:V428" si="208">H425/1000</f>
        <v>0.90844029426851847</v>
      </c>
      <c r="W425" s="195">
        <f t="shared" ref="W425:W428" si="209">I425/1000</f>
        <v>1.5036204087282017</v>
      </c>
      <c r="X425" s="195">
        <f t="shared" ref="X425:X428" si="210">J425/1000</f>
        <v>0.60739307869193415</v>
      </c>
      <c r="Y425" s="195">
        <f t="shared" ref="Y425:Y428" si="211">K425/1000</f>
        <v>1.8779533773961512</v>
      </c>
      <c r="Z425" s="195">
        <f t="shared" ref="Z425:Z428" si="212">L425/1000</f>
        <v>1.1678695426642716</v>
      </c>
      <c r="AA425" s="195">
        <f>SUM(Q425:Z425)</f>
        <v>8.4392634901119479</v>
      </c>
    </row>
    <row r="426" spans="1:27">
      <c r="A426" s="176"/>
      <c r="B426" s="151" t="s">
        <v>10977</v>
      </c>
      <c r="C426" s="151">
        <f>INDEX('Analysis of bottom-up tags'!$N$200:$W$203,MATCH(Dashboard!$B426,'Analysis of bottom-up tags'!$B$200:$B$203,0),MATCH(Dashboard!C$21,'Analysis of bottom-up tags'!$N$6:$W$6,0))*C$23</f>
        <v>424.98087497542855</v>
      </c>
      <c r="D426" s="151">
        <f>INDEX('Analysis of bottom-up tags'!$N$200:$W$203,MATCH(Dashboard!$B426,'Analysis of bottom-up tags'!$B$200:$B$203,0),MATCH(Dashboard!D$21,'Analysis of bottom-up tags'!$N$6:$W$6,0))*D$23</f>
        <v>898.48605498121481</v>
      </c>
      <c r="E426" s="151">
        <f>INDEX('Analysis of bottom-up tags'!$N$200:$W$203,MATCH(Dashboard!$B426,'Analysis of bottom-up tags'!$B$200:$B$203,0),MATCH(Dashboard!E$21,'Analysis of bottom-up tags'!$N$6:$W$6,0))*E$23</f>
        <v>302.62900723286708</v>
      </c>
      <c r="F426" s="151">
        <f>INDEX('Analysis of bottom-up tags'!$N$200:$W$203,MATCH(Dashboard!$B426,'Analysis of bottom-up tags'!$B$200:$B$203,0),MATCH(Dashboard!F$21,'Analysis of bottom-up tags'!$N$6:$W$6,0))*F$23</f>
        <v>716.64710798819226</v>
      </c>
      <c r="G426" s="151">
        <f>INDEX('Analysis of bottom-up tags'!$N$200:$W$203,MATCH(Dashboard!$B426,'Analysis of bottom-up tags'!$B$200:$B$203,0),MATCH(Dashboard!G$21,'Analysis of bottom-up tags'!$N$6:$W$6,0))*G$23</f>
        <v>24.301111684744974</v>
      </c>
      <c r="H426" s="151">
        <f>INDEX('Analysis of bottom-up tags'!$N$200:$W$203,MATCH(Dashboard!$B426,'Analysis of bottom-up tags'!$B$200:$B$203,0),MATCH(Dashboard!H$21,'Analysis of bottom-up tags'!$N$6:$W$6,0))*H$23</f>
        <v>10.443651191094226</v>
      </c>
      <c r="I426" s="151">
        <f>INDEX('Analysis of bottom-up tags'!$N$200:$W$203,MATCH(Dashboard!$B426,'Analysis of bottom-up tags'!$B$200:$B$203,0),MATCH(Dashboard!I$21,'Analysis of bottom-up tags'!$N$6:$W$6,0))*I$23</f>
        <v>5.5977096051956696</v>
      </c>
      <c r="J426" s="151">
        <f>INDEX('Analysis of bottom-up tags'!$N$200:$W$203,MATCH(Dashboard!$B426,'Analysis of bottom-up tags'!$B$200:$B$203,0),MATCH(Dashboard!J$21,'Analysis of bottom-up tags'!$N$6:$W$6,0))*J$23</f>
        <v>116.42994187174263</v>
      </c>
      <c r="K426" s="151">
        <f>INDEX('Analysis of bottom-up tags'!$N$200:$W$203,MATCH(Dashboard!$B426,'Analysis of bottom-up tags'!$B$200:$B$203,0),MATCH(Dashboard!K$21,'Analysis of bottom-up tags'!$N$6:$W$6,0))*K$23</f>
        <v>7.2572836212669989</v>
      </c>
      <c r="L426" s="151">
        <f>INDEX('Analysis of bottom-up tags'!$N$200:$W$203,MATCH(Dashboard!$B426,'Analysis of bottom-up tags'!$B$200:$B$203,0),MATCH(Dashboard!L$21,'Analysis of bottom-up tags'!$N$6:$W$6,0))*L$23</f>
        <v>203.93671722439527</v>
      </c>
      <c r="M426" s="151">
        <f t="shared" ref="M426:M428" si="213">SUM(C426:L426)</f>
        <v>2710.7094603761429</v>
      </c>
      <c r="N426" s="176"/>
      <c r="O426" s="176"/>
      <c r="P426" s="151" t="s">
        <v>10977</v>
      </c>
      <c r="Q426" s="195">
        <f t="shared" ref="Q426:Q428" si="214">C426/1000</f>
        <v>0.42498087497542852</v>
      </c>
      <c r="R426" s="195">
        <f t="shared" si="204"/>
        <v>0.89848605498121481</v>
      </c>
      <c r="S426" s="195">
        <f t="shared" si="205"/>
        <v>0.30262900723286706</v>
      </c>
      <c r="T426" s="195">
        <f t="shared" si="206"/>
        <v>0.71664710798819231</v>
      </c>
      <c r="U426" s="195">
        <f t="shared" si="207"/>
        <v>2.4301111684744973E-2</v>
      </c>
      <c r="V426" s="195">
        <f t="shared" si="208"/>
        <v>1.0443651191094225E-2</v>
      </c>
      <c r="W426" s="195">
        <f t="shared" si="209"/>
        <v>5.5977096051956698E-3</v>
      </c>
      <c r="X426" s="195">
        <f t="shared" si="210"/>
        <v>0.11642994187174263</v>
      </c>
      <c r="Y426" s="195">
        <f t="shared" si="211"/>
        <v>7.2572836212669986E-3</v>
      </c>
      <c r="Z426" s="195">
        <f t="shared" si="212"/>
        <v>0.20393671722439527</v>
      </c>
      <c r="AA426" s="195">
        <f t="shared" ref="AA426:AA428" si="215">SUM(Q426:Z426)</f>
        <v>2.7107094603761421</v>
      </c>
    </row>
    <row r="427" spans="1:27">
      <c r="A427" s="176"/>
      <c r="B427" s="151" t="s">
        <v>10558</v>
      </c>
      <c r="C427" s="151">
        <f>INDEX('Analysis of bottom-up tags'!$N$200:$W$203,MATCH(Dashboard!$B427,'Analysis of bottom-up tags'!$B$200:$B$203,0),MATCH(Dashboard!C$21,'Analysis of bottom-up tags'!$N$6:$W$6,0))*C$23</f>
        <v>0</v>
      </c>
      <c r="D427" s="151">
        <f>INDEX('Analysis of bottom-up tags'!$N$200:$W$203,MATCH(Dashboard!$B427,'Analysis of bottom-up tags'!$B$200:$B$203,0),MATCH(Dashboard!D$21,'Analysis of bottom-up tags'!$N$6:$W$6,0))*D$23</f>
        <v>0</v>
      </c>
      <c r="E427" s="151">
        <f>INDEX('Analysis of bottom-up tags'!$N$200:$W$203,MATCH(Dashboard!$B427,'Analysis of bottom-up tags'!$B$200:$B$203,0),MATCH(Dashboard!E$21,'Analysis of bottom-up tags'!$N$6:$W$6,0))*E$23</f>
        <v>0</v>
      </c>
      <c r="F427" s="151">
        <f>INDEX('Analysis of bottom-up tags'!$N$200:$W$203,MATCH(Dashboard!$B427,'Analysis of bottom-up tags'!$B$200:$B$203,0),MATCH(Dashboard!F$21,'Analysis of bottom-up tags'!$N$6:$W$6,0))*F$23</f>
        <v>0</v>
      </c>
      <c r="G427" s="151">
        <f>INDEX('Analysis of bottom-up tags'!$N$200:$W$203,MATCH(Dashboard!$B427,'Analysis of bottom-up tags'!$B$200:$B$203,0),MATCH(Dashboard!G$21,'Analysis of bottom-up tags'!$N$6:$W$6,0))*G$23</f>
        <v>0</v>
      </c>
      <c r="H427" s="151">
        <f>INDEX('Analysis of bottom-up tags'!$N$200:$W$203,MATCH(Dashboard!$B427,'Analysis of bottom-up tags'!$B$200:$B$203,0),MATCH(Dashboard!H$21,'Analysis of bottom-up tags'!$N$6:$W$6,0))*H$23</f>
        <v>0</v>
      </c>
      <c r="I427" s="151">
        <f>INDEX('Analysis of bottom-up tags'!$N$200:$W$203,MATCH(Dashboard!$B427,'Analysis of bottom-up tags'!$B$200:$B$203,0),MATCH(Dashboard!I$21,'Analysis of bottom-up tags'!$N$6:$W$6,0))*I$23</f>
        <v>0</v>
      </c>
      <c r="J427" s="151">
        <f>INDEX('Analysis of bottom-up tags'!$N$200:$W$203,MATCH(Dashboard!$B427,'Analysis of bottom-up tags'!$B$200:$B$203,0),MATCH(Dashboard!J$21,'Analysis of bottom-up tags'!$N$6:$W$6,0))*J$23</f>
        <v>0</v>
      </c>
      <c r="K427" s="151">
        <f>INDEX('Analysis of bottom-up tags'!$N$200:$W$203,MATCH(Dashboard!$B427,'Analysis of bottom-up tags'!$B$200:$B$203,0),MATCH(Dashboard!K$21,'Analysis of bottom-up tags'!$N$6:$W$6,0))*K$23</f>
        <v>0</v>
      </c>
      <c r="L427" s="151">
        <f>INDEX('Analysis of bottom-up tags'!$N$200:$W$203,MATCH(Dashboard!$B427,'Analysis of bottom-up tags'!$B$200:$B$203,0),MATCH(Dashboard!L$21,'Analysis of bottom-up tags'!$N$6:$W$6,0))*L$23</f>
        <v>0</v>
      </c>
      <c r="M427" s="151">
        <f t="shared" si="213"/>
        <v>0</v>
      </c>
      <c r="N427" s="176"/>
      <c r="O427" s="176"/>
      <c r="P427" s="151" t="s">
        <v>10558</v>
      </c>
      <c r="Q427" s="195">
        <f t="shared" si="214"/>
        <v>0</v>
      </c>
      <c r="R427" s="195">
        <f t="shared" si="204"/>
        <v>0</v>
      </c>
      <c r="S427" s="195">
        <f t="shared" si="205"/>
        <v>0</v>
      </c>
      <c r="T427" s="195">
        <f t="shared" si="206"/>
        <v>0</v>
      </c>
      <c r="U427" s="195">
        <f t="shared" si="207"/>
        <v>0</v>
      </c>
      <c r="V427" s="195">
        <f t="shared" si="208"/>
        <v>0</v>
      </c>
      <c r="W427" s="195">
        <f t="shared" si="209"/>
        <v>0</v>
      </c>
      <c r="X427" s="195">
        <f t="shared" si="210"/>
        <v>0</v>
      </c>
      <c r="Y427" s="195">
        <f t="shared" si="211"/>
        <v>0</v>
      </c>
      <c r="Z427" s="195">
        <f t="shared" si="212"/>
        <v>0</v>
      </c>
      <c r="AA427" s="195">
        <f t="shared" si="215"/>
        <v>0</v>
      </c>
    </row>
    <row r="428" spans="1:27">
      <c r="A428" s="176"/>
      <c r="B428" s="151" t="s">
        <v>10981</v>
      </c>
      <c r="C428" s="151">
        <f>INDEX('Analysis of bottom-up tags'!$N$200:$W$203,MATCH(Dashboard!$B428,'Analysis of bottom-up tags'!$B$200:$B$203,0),MATCH(Dashboard!C$21,'Analysis of bottom-up tags'!$N$6:$W$6,0))*C$23</f>
        <v>0</v>
      </c>
      <c r="D428" s="151">
        <f>INDEX('Analysis of bottom-up tags'!$N$200:$W$203,MATCH(Dashboard!$B428,'Analysis of bottom-up tags'!$B$200:$B$203,0),MATCH(Dashboard!D$21,'Analysis of bottom-up tags'!$N$6:$W$6,0))*D$23</f>
        <v>0</v>
      </c>
      <c r="E428" s="151">
        <f>INDEX('Analysis of bottom-up tags'!$N$200:$W$203,MATCH(Dashboard!$B428,'Analysis of bottom-up tags'!$B$200:$B$203,0),MATCH(Dashboard!E$21,'Analysis of bottom-up tags'!$N$6:$W$6,0))*E$23</f>
        <v>0</v>
      </c>
      <c r="F428" s="151">
        <f>INDEX('Analysis of bottom-up tags'!$N$200:$W$203,MATCH(Dashboard!$B428,'Analysis of bottom-up tags'!$B$200:$B$203,0),MATCH(Dashboard!F$21,'Analysis of bottom-up tags'!$N$6:$W$6,0))*F$23</f>
        <v>0</v>
      </c>
      <c r="G428" s="151">
        <f>INDEX('Analysis of bottom-up tags'!$N$200:$W$203,MATCH(Dashboard!$B428,'Analysis of bottom-up tags'!$B$200:$B$203,0),MATCH(Dashboard!G$21,'Analysis of bottom-up tags'!$N$6:$W$6,0))*G$23</f>
        <v>0</v>
      </c>
      <c r="H428" s="151">
        <f>INDEX('Analysis of bottom-up tags'!$N$200:$W$203,MATCH(Dashboard!$B428,'Analysis of bottom-up tags'!$B$200:$B$203,0),MATCH(Dashboard!H$21,'Analysis of bottom-up tags'!$N$6:$W$6,0))*H$23</f>
        <v>0</v>
      </c>
      <c r="I428" s="151">
        <f>INDEX('Analysis of bottom-up tags'!$N$200:$W$203,MATCH(Dashboard!$B428,'Analysis of bottom-up tags'!$B$200:$B$203,0),MATCH(Dashboard!I$21,'Analysis of bottom-up tags'!$N$6:$W$6,0))*I$23</f>
        <v>5.586498393674872</v>
      </c>
      <c r="J428" s="151">
        <f>INDEX('Analysis of bottom-up tags'!$N$200:$W$203,MATCH(Dashboard!$B428,'Analysis of bottom-up tags'!$B$200:$B$203,0),MATCH(Dashboard!J$21,'Analysis of bottom-up tags'!$N$6:$W$6,0))*J$23</f>
        <v>45.60525766031035</v>
      </c>
      <c r="K428" s="151">
        <f>INDEX('Analysis of bottom-up tags'!$N$200:$W$203,MATCH(Dashboard!$B428,'Analysis of bottom-up tags'!$B$200:$B$203,0),MATCH(Dashboard!K$21,'Analysis of bottom-up tags'!$N$6:$W$6,0))*K$23</f>
        <v>5.8283465362353342</v>
      </c>
      <c r="L428" s="151">
        <f>INDEX('Analysis of bottom-up tags'!$N$200:$W$203,MATCH(Dashboard!$B428,'Analysis of bottom-up tags'!$B$200:$B$203,0),MATCH(Dashboard!L$21,'Analysis of bottom-up tags'!$N$6:$W$6,0))*L$23</f>
        <v>28.384031278321668</v>
      </c>
      <c r="M428" s="151">
        <f t="shared" si="213"/>
        <v>85.404133868542232</v>
      </c>
      <c r="N428" s="176"/>
      <c r="O428" s="176"/>
      <c r="P428" s="151" t="s">
        <v>10981</v>
      </c>
      <c r="Q428" s="195">
        <f t="shared" si="214"/>
        <v>0</v>
      </c>
      <c r="R428" s="195">
        <f t="shared" si="204"/>
        <v>0</v>
      </c>
      <c r="S428" s="195">
        <f t="shared" si="205"/>
        <v>0</v>
      </c>
      <c r="T428" s="195">
        <f t="shared" si="206"/>
        <v>0</v>
      </c>
      <c r="U428" s="195">
        <f t="shared" si="207"/>
        <v>0</v>
      </c>
      <c r="V428" s="195">
        <f t="shared" si="208"/>
        <v>0</v>
      </c>
      <c r="W428" s="195">
        <f t="shared" si="209"/>
        <v>5.5864983936748719E-3</v>
      </c>
      <c r="X428" s="195">
        <f t="shared" si="210"/>
        <v>4.5605257660310351E-2</v>
      </c>
      <c r="Y428" s="195">
        <f t="shared" si="211"/>
        <v>5.8283465362353338E-3</v>
      </c>
      <c r="Z428" s="195">
        <f t="shared" si="212"/>
        <v>2.8384031278321668E-2</v>
      </c>
      <c r="AA428" s="195">
        <f t="shared" si="215"/>
        <v>8.5404133868542231E-2</v>
      </c>
    </row>
    <row r="429" spans="1:27">
      <c r="A429" s="176"/>
      <c r="B429" s="176"/>
      <c r="C429" s="176"/>
      <c r="D429" s="176"/>
      <c r="E429" s="176"/>
      <c r="F429" s="176"/>
      <c r="G429" s="176"/>
      <c r="H429" s="176"/>
      <c r="I429" s="176"/>
      <c r="J429" s="176"/>
      <c r="K429" s="176"/>
      <c r="L429" s="176"/>
      <c r="M429" s="176"/>
      <c r="N429" s="176"/>
      <c r="O429" s="176"/>
      <c r="P429" s="176"/>
      <c r="Q429" s="176"/>
      <c r="R429" s="176"/>
    </row>
    <row r="430" spans="1:27">
      <c r="A430" s="176"/>
      <c r="B430" s="176"/>
      <c r="C430" s="176"/>
      <c r="D430" s="176"/>
      <c r="E430" s="176"/>
      <c r="F430" s="176"/>
      <c r="G430" s="176"/>
      <c r="H430" s="176"/>
      <c r="I430" s="176"/>
      <c r="J430" s="176"/>
      <c r="K430" s="176"/>
      <c r="L430" s="176"/>
      <c r="M430" s="176"/>
      <c r="N430" s="176"/>
      <c r="O430" s="176"/>
      <c r="P430" s="176"/>
      <c r="Q430" s="176"/>
      <c r="R430" s="176"/>
    </row>
    <row r="431" spans="1:27">
      <c r="A431" s="176"/>
      <c r="B431" s="98" t="s">
        <v>11138</v>
      </c>
      <c r="C431" s="163" t="s">
        <v>11131</v>
      </c>
      <c r="D431" s="163"/>
      <c r="E431" s="163"/>
      <c r="F431" s="163"/>
      <c r="G431" s="163"/>
      <c r="H431" s="163"/>
      <c r="I431" s="163"/>
      <c r="J431" s="163"/>
      <c r="K431" s="163"/>
      <c r="L431" s="163"/>
      <c r="M431" s="163" t="s">
        <v>11042</v>
      </c>
      <c r="P431" s="98" t="s">
        <v>11130</v>
      </c>
      <c r="Q431" s="163" t="s">
        <v>11132</v>
      </c>
      <c r="R431" s="163"/>
      <c r="S431" s="163"/>
      <c r="T431" s="163"/>
      <c r="U431" s="163"/>
      <c r="V431" s="163"/>
      <c r="W431" s="163"/>
      <c r="X431" s="163"/>
      <c r="Y431" s="163"/>
      <c r="Z431" s="163"/>
      <c r="AA431" s="163"/>
    </row>
    <row r="432" spans="1:27">
      <c r="A432" s="176"/>
      <c r="B432" s="151" t="s">
        <v>10973</v>
      </c>
      <c r="C432" s="151">
        <f>INDEX('Analysis of bottom-up tags'!$N$207:$W$210,MATCH(Dashboard!$B432,'Analysis of bottom-up tags'!$B$207:$B$210,0),MATCH(Dashboard!C$21,'Analysis of bottom-up tags'!$N$6:$W$6,0))*C$23</f>
        <v>0</v>
      </c>
      <c r="D432" s="151">
        <f>INDEX('Analysis of bottom-up tags'!$N$207:$W$210,MATCH(Dashboard!$B432,'Analysis of bottom-up tags'!$B$207:$B$210,0),MATCH(Dashboard!D$21,'Analysis of bottom-up tags'!$N$6:$W$6,0))*D$23</f>
        <v>0</v>
      </c>
      <c r="E432" s="151">
        <f>INDEX('Analysis of bottom-up tags'!$N$207:$W$210,MATCH(Dashboard!$B432,'Analysis of bottom-up tags'!$B$207:$B$210,0),MATCH(Dashboard!E$21,'Analysis of bottom-up tags'!$N$6:$W$6,0))*E$23</f>
        <v>0</v>
      </c>
      <c r="F432" s="151">
        <f>INDEX('Analysis of bottom-up tags'!$N$207:$W$210,MATCH(Dashboard!$B432,'Analysis of bottom-up tags'!$B$207:$B$210,0),MATCH(Dashboard!F$21,'Analysis of bottom-up tags'!$N$6:$W$6,0))*F$23</f>
        <v>0</v>
      </c>
      <c r="G432" s="151">
        <f>INDEX('Analysis of bottom-up tags'!$N$207:$W$210,MATCH(Dashboard!$B432,'Analysis of bottom-up tags'!$B$207:$B$210,0),MATCH(Dashboard!G$21,'Analysis of bottom-up tags'!$N$6:$W$6,0))*G$23</f>
        <v>0</v>
      </c>
      <c r="H432" s="151">
        <f>INDEX('Analysis of bottom-up tags'!$N$207:$W$210,MATCH(Dashboard!$B432,'Analysis of bottom-up tags'!$B$207:$B$210,0),MATCH(Dashboard!H$21,'Analysis of bottom-up tags'!$N$6:$W$6,0))*H$23</f>
        <v>0</v>
      </c>
      <c r="I432" s="151">
        <f>INDEX('Analysis of bottom-up tags'!$N$207:$W$210,MATCH(Dashboard!$B432,'Analysis of bottom-up tags'!$B$207:$B$210,0),MATCH(Dashboard!I$21,'Analysis of bottom-up tags'!$N$6:$W$6,0))*I$23</f>
        <v>0</v>
      </c>
      <c r="J432" s="151">
        <f>INDEX('Analysis of bottom-up tags'!$N$207:$W$210,MATCH(Dashboard!$B432,'Analysis of bottom-up tags'!$B$207:$B$210,0),MATCH(Dashboard!J$21,'Analysis of bottom-up tags'!$N$6:$W$6,0))*J$23</f>
        <v>0</v>
      </c>
      <c r="K432" s="151">
        <f>INDEX('Analysis of bottom-up tags'!$N$207:$W$210,MATCH(Dashboard!$B432,'Analysis of bottom-up tags'!$B$207:$B$210,0),MATCH(Dashboard!K$21,'Analysis of bottom-up tags'!$N$6:$W$6,0))*K$23</f>
        <v>0</v>
      </c>
      <c r="L432" s="151">
        <f>INDEX('Analysis of bottom-up tags'!$N$207:$W$210,MATCH(Dashboard!$B432,'Analysis of bottom-up tags'!$B$207:$B$210,0),MATCH(Dashboard!L$21,'Analysis of bottom-up tags'!$N$6:$W$6,0))*L$23</f>
        <v>0</v>
      </c>
      <c r="M432" s="151">
        <f>SUM(C432:L432)</f>
        <v>0</v>
      </c>
      <c r="N432" s="176"/>
      <c r="O432" s="176"/>
      <c r="P432" s="151" t="s">
        <v>10973</v>
      </c>
      <c r="Q432" s="195">
        <f>C432/1000</f>
        <v>0</v>
      </c>
      <c r="R432" s="195">
        <f t="shared" ref="R432:R435" si="216">D432/1000</f>
        <v>0</v>
      </c>
      <c r="S432" s="195">
        <f t="shared" ref="S432:S435" si="217">E432/1000</f>
        <v>0</v>
      </c>
      <c r="T432" s="195">
        <f t="shared" ref="T432:T435" si="218">F432/1000</f>
        <v>0</v>
      </c>
      <c r="U432" s="195">
        <f t="shared" ref="U432:U435" si="219">G432/1000</f>
        <v>0</v>
      </c>
      <c r="V432" s="195">
        <f t="shared" ref="V432:V435" si="220">H432/1000</f>
        <v>0</v>
      </c>
      <c r="W432" s="195">
        <f t="shared" ref="W432:W435" si="221">I432/1000</f>
        <v>0</v>
      </c>
      <c r="X432" s="195">
        <f t="shared" ref="X432:X435" si="222">J432/1000</f>
        <v>0</v>
      </c>
      <c r="Y432" s="195">
        <f t="shared" ref="Y432:Y435" si="223">K432/1000</f>
        <v>0</v>
      </c>
      <c r="Z432" s="195">
        <f t="shared" ref="Z432:Z435" si="224">L432/1000</f>
        <v>0</v>
      </c>
      <c r="AA432" s="195">
        <f>SUM(Q432:Z432)</f>
        <v>0</v>
      </c>
    </row>
    <row r="433" spans="1:27">
      <c r="A433" s="176"/>
      <c r="B433" s="151" t="s">
        <v>10977</v>
      </c>
      <c r="C433" s="151">
        <f>INDEX('Analysis of bottom-up tags'!$N$207:$W$210,MATCH(Dashboard!$B433,'Analysis of bottom-up tags'!$B$207:$B$210,0),MATCH(Dashboard!C$21,'Analysis of bottom-up tags'!$N$6:$W$6,0))*C$23</f>
        <v>0</v>
      </c>
      <c r="D433" s="151">
        <f>INDEX('Analysis of bottom-up tags'!$N$207:$W$210,MATCH(Dashboard!$B433,'Analysis of bottom-up tags'!$B$207:$B$210,0),MATCH(Dashboard!D$21,'Analysis of bottom-up tags'!$N$6:$W$6,0))*D$23</f>
        <v>0</v>
      </c>
      <c r="E433" s="151">
        <f>INDEX('Analysis of bottom-up tags'!$N$207:$W$210,MATCH(Dashboard!$B433,'Analysis of bottom-up tags'!$B$207:$B$210,0),MATCH(Dashboard!E$21,'Analysis of bottom-up tags'!$N$6:$W$6,0))*E$23</f>
        <v>0</v>
      </c>
      <c r="F433" s="151">
        <f>INDEX('Analysis of bottom-up tags'!$N$207:$W$210,MATCH(Dashboard!$B433,'Analysis of bottom-up tags'!$B$207:$B$210,0),MATCH(Dashboard!F$21,'Analysis of bottom-up tags'!$N$6:$W$6,0))*F$23</f>
        <v>0</v>
      </c>
      <c r="G433" s="151">
        <f>INDEX('Analysis of bottom-up tags'!$N$207:$W$210,MATCH(Dashboard!$B433,'Analysis of bottom-up tags'!$B$207:$B$210,0),MATCH(Dashboard!G$21,'Analysis of bottom-up tags'!$N$6:$W$6,0))*G$23</f>
        <v>0</v>
      </c>
      <c r="H433" s="151">
        <f>INDEX('Analysis of bottom-up tags'!$N$207:$W$210,MATCH(Dashboard!$B433,'Analysis of bottom-up tags'!$B$207:$B$210,0),MATCH(Dashboard!H$21,'Analysis of bottom-up tags'!$N$6:$W$6,0))*H$23</f>
        <v>0</v>
      </c>
      <c r="I433" s="151">
        <f>INDEX('Analysis of bottom-up tags'!$N$207:$W$210,MATCH(Dashboard!$B433,'Analysis of bottom-up tags'!$B$207:$B$210,0),MATCH(Dashboard!I$21,'Analysis of bottom-up tags'!$N$6:$W$6,0))*I$23</f>
        <v>0.29242621499040478</v>
      </c>
      <c r="J433" s="151">
        <f>INDEX('Analysis of bottom-up tags'!$N$207:$W$210,MATCH(Dashboard!$B433,'Analysis of bottom-up tags'!$B$207:$B$210,0),MATCH(Dashboard!J$21,'Analysis of bottom-up tags'!$N$6:$W$6,0))*J$23</f>
        <v>48.679299239670264</v>
      </c>
      <c r="K433" s="151">
        <f>INDEX('Analysis of bottom-up tags'!$N$207:$W$210,MATCH(Dashboard!$B433,'Analysis of bottom-up tags'!$B$207:$B$210,0),MATCH(Dashboard!K$21,'Analysis of bottom-up tags'!$N$6:$W$6,0))*K$23</f>
        <v>0</v>
      </c>
      <c r="L433" s="151">
        <f>INDEX('Analysis of bottom-up tags'!$N$207:$W$210,MATCH(Dashboard!$B433,'Analysis of bottom-up tags'!$B$207:$B$210,0),MATCH(Dashboard!L$21,'Analysis of bottom-up tags'!$N$6:$W$6,0))*L$23</f>
        <v>0</v>
      </c>
      <c r="M433" s="151">
        <f t="shared" ref="M433:M435" si="225">SUM(C433:L433)</f>
        <v>48.971725454660671</v>
      </c>
      <c r="N433" s="176"/>
      <c r="O433" s="176"/>
      <c r="P433" s="151" t="s">
        <v>10977</v>
      </c>
      <c r="Q433" s="195">
        <f t="shared" ref="Q433:Q435" si="226">C433/1000</f>
        <v>0</v>
      </c>
      <c r="R433" s="195">
        <f t="shared" si="216"/>
        <v>0</v>
      </c>
      <c r="S433" s="195">
        <f t="shared" si="217"/>
        <v>0</v>
      </c>
      <c r="T433" s="195">
        <f t="shared" si="218"/>
        <v>0</v>
      </c>
      <c r="U433" s="195">
        <f t="shared" si="219"/>
        <v>0</v>
      </c>
      <c r="V433" s="195">
        <f t="shared" si="220"/>
        <v>0</v>
      </c>
      <c r="W433" s="195">
        <f t="shared" si="221"/>
        <v>2.924262149904048E-4</v>
      </c>
      <c r="X433" s="195">
        <f t="shared" si="222"/>
        <v>4.8679299239670265E-2</v>
      </c>
      <c r="Y433" s="195">
        <f t="shared" si="223"/>
        <v>0</v>
      </c>
      <c r="Z433" s="195">
        <f t="shared" si="224"/>
        <v>0</v>
      </c>
      <c r="AA433" s="195">
        <f t="shared" ref="AA433:AA435" si="227">SUM(Q433:Z433)</f>
        <v>4.8971725454660671E-2</v>
      </c>
    </row>
    <row r="434" spans="1:27">
      <c r="A434" s="176"/>
      <c r="B434" s="151" t="s">
        <v>10558</v>
      </c>
      <c r="C434" s="151">
        <f>INDEX('Analysis of bottom-up tags'!$N$207:$W$210,MATCH(Dashboard!$B434,'Analysis of bottom-up tags'!$B$207:$B$210,0),MATCH(Dashboard!C$21,'Analysis of bottom-up tags'!$N$6:$W$6,0))*C$23</f>
        <v>0</v>
      </c>
      <c r="D434" s="151">
        <f>INDEX('Analysis of bottom-up tags'!$N$207:$W$210,MATCH(Dashboard!$B434,'Analysis of bottom-up tags'!$B$207:$B$210,0),MATCH(Dashboard!D$21,'Analysis of bottom-up tags'!$N$6:$W$6,0))*D$23</f>
        <v>0</v>
      </c>
      <c r="E434" s="151">
        <f>INDEX('Analysis of bottom-up tags'!$N$207:$W$210,MATCH(Dashboard!$B434,'Analysis of bottom-up tags'!$B$207:$B$210,0),MATCH(Dashboard!E$21,'Analysis of bottom-up tags'!$N$6:$W$6,0))*E$23</f>
        <v>0</v>
      </c>
      <c r="F434" s="151">
        <f>INDEX('Analysis of bottom-up tags'!$N$207:$W$210,MATCH(Dashboard!$B434,'Analysis of bottom-up tags'!$B$207:$B$210,0),MATCH(Dashboard!F$21,'Analysis of bottom-up tags'!$N$6:$W$6,0))*F$23</f>
        <v>0</v>
      </c>
      <c r="G434" s="151">
        <f>INDEX('Analysis of bottom-up tags'!$N$207:$W$210,MATCH(Dashboard!$B434,'Analysis of bottom-up tags'!$B$207:$B$210,0),MATCH(Dashboard!G$21,'Analysis of bottom-up tags'!$N$6:$W$6,0))*G$23</f>
        <v>0</v>
      </c>
      <c r="H434" s="151">
        <f>INDEX('Analysis of bottom-up tags'!$N$207:$W$210,MATCH(Dashboard!$B434,'Analysis of bottom-up tags'!$B$207:$B$210,0),MATCH(Dashboard!H$21,'Analysis of bottom-up tags'!$N$6:$W$6,0))*H$23</f>
        <v>0</v>
      </c>
      <c r="I434" s="151">
        <f>INDEX('Analysis of bottom-up tags'!$N$207:$W$210,MATCH(Dashboard!$B434,'Analysis of bottom-up tags'!$B$207:$B$210,0),MATCH(Dashboard!I$21,'Analysis of bottom-up tags'!$N$6:$W$6,0))*I$23</f>
        <v>0</v>
      </c>
      <c r="J434" s="151">
        <f>INDEX('Analysis of bottom-up tags'!$N$207:$W$210,MATCH(Dashboard!$B434,'Analysis of bottom-up tags'!$B$207:$B$210,0),MATCH(Dashboard!J$21,'Analysis of bottom-up tags'!$N$6:$W$6,0))*J$23</f>
        <v>0</v>
      </c>
      <c r="K434" s="151">
        <f>INDEX('Analysis of bottom-up tags'!$N$207:$W$210,MATCH(Dashboard!$B434,'Analysis of bottom-up tags'!$B$207:$B$210,0),MATCH(Dashboard!K$21,'Analysis of bottom-up tags'!$N$6:$W$6,0))*K$23</f>
        <v>0</v>
      </c>
      <c r="L434" s="151">
        <f>INDEX('Analysis of bottom-up tags'!$N$207:$W$210,MATCH(Dashboard!$B434,'Analysis of bottom-up tags'!$B$207:$B$210,0),MATCH(Dashboard!L$21,'Analysis of bottom-up tags'!$N$6:$W$6,0))*L$23</f>
        <v>0</v>
      </c>
      <c r="M434" s="151">
        <f t="shared" si="225"/>
        <v>0</v>
      </c>
      <c r="N434" s="176"/>
      <c r="O434" s="176"/>
      <c r="P434" s="151" t="s">
        <v>10558</v>
      </c>
      <c r="Q434" s="195">
        <f t="shared" si="226"/>
        <v>0</v>
      </c>
      <c r="R434" s="195">
        <f t="shared" si="216"/>
        <v>0</v>
      </c>
      <c r="S434" s="195">
        <f t="shared" si="217"/>
        <v>0</v>
      </c>
      <c r="T434" s="195">
        <f t="shared" si="218"/>
        <v>0</v>
      </c>
      <c r="U434" s="195">
        <f t="shared" si="219"/>
        <v>0</v>
      </c>
      <c r="V434" s="195">
        <f t="shared" si="220"/>
        <v>0</v>
      </c>
      <c r="W434" s="195">
        <f t="shared" si="221"/>
        <v>0</v>
      </c>
      <c r="X434" s="195">
        <f t="shared" si="222"/>
        <v>0</v>
      </c>
      <c r="Y434" s="195">
        <f t="shared" si="223"/>
        <v>0</v>
      </c>
      <c r="Z434" s="195">
        <f t="shared" si="224"/>
        <v>0</v>
      </c>
      <c r="AA434" s="195">
        <f t="shared" si="227"/>
        <v>0</v>
      </c>
    </row>
    <row r="435" spans="1:27">
      <c r="A435" s="176"/>
      <c r="B435" s="151" t="s">
        <v>10981</v>
      </c>
      <c r="C435" s="151">
        <f>INDEX('Analysis of bottom-up tags'!$N$207:$W$210,MATCH(Dashboard!$B435,'Analysis of bottom-up tags'!$B$207:$B$210,0),MATCH(Dashboard!C$21,'Analysis of bottom-up tags'!$N$6:$W$6,0))*C$23</f>
        <v>0</v>
      </c>
      <c r="D435" s="151">
        <f>INDEX('Analysis of bottom-up tags'!$N$207:$W$210,MATCH(Dashboard!$B435,'Analysis of bottom-up tags'!$B$207:$B$210,0),MATCH(Dashboard!D$21,'Analysis of bottom-up tags'!$N$6:$W$6,0))*D$23</f>
        <v>0</v>
      </c>
      <c r="E435" s="151">
        <f>INDEX('Analysis of bottom-up tags'!$N$207:$W$210,MATCH(Dashboard!$B435,'Analysis of bottom-up tags'!$B$207:$B$210,0),MATCH(Dashboard!E$21,'Analysis of bottom-up tags'!$N$6:$W$6,0))*E$23</f>
        <v>0</v>
      </c>
      <c r="F435" s="151">
        <f>INDEX('Analysis of bottom-up tags'!$N$207:$W$210,MATCH(Dashboard!$B435,'Analysis of bottom-up tags'!$B$207:$B$210,0),MATCH(Dashboard!F$21,'Analysis of bottom-up tags'!$N$6:$W$6,0))*F$23</f>
        <v>0</v>
      </c>
      <c r="G435" s="151">
        <f>INDEX('Analysis of bottom-up tags'!$N$207:$W$210,MATCH(Dashboard!$B435,'Analysis of bottom-up tags'!$B$207:$B$210,0),MATCH(Dashboard!G$21,'Analysis of bottom-up tags'!$N$6:$W$6,0))*G$23</f>
        <v>0</v>
      </c>
      <c r="H435" s="151">
        <f>INDEX('Analysis of bottom-up tags'!$N$207:$W$210,MATCH(Dashboard!$B435,'Analysis of bottom-up tags'!$B$207:$B$210,0),MATCH(Dashboard!H$21,'Analysis of bottom-up tags'!$N$6:$W$6,0))*H$23</f>
        <v>0</v>
      </c>
      <c r="I435" s="151">
        <f>INDEX('Analysis of bottom-up tags'!$N$207:$W$210,MATCH(Dashboard!$B435,'Analysis of bottom-up tags'!$B$207:$B$210,0),MATCH(Dashboard!I$21,'Analysis of bottom-up tags'!$N$6:$W$6,0))*I$23</f>
        <v>5.2916628660744314</v>
      </c>
      <c r="J435" s="151">
        <f>INDEX('Analysis of bottom-up tags'!$N$207:$W$210,MATCH(Dashboard!$B435,'Analysis of bottom-up tags'!$B$207:$B$210,0),MATCH(Dashboard!J$21,'Analysis of bottom-up tags'!$N$6:$W$6,0))*J$23</f>
        <v>40.008498230788305</v>
      </c>
      <c r="K435" s="151">
        <f>INDEX('Analysis of bottom-up tags'!$N$207:$W$210,MATCH(Dashboard!$B435,'Analysis of bottom-up tags'!$B$207:$B$210,0),MATCH(Dashboard!K$21,'Analysis of bottom-up tags'!$N$6:$W$6,0))*K$23</f>
        <v>2.4969599469738575</v>
      </c>
      <c r="L435" s="151">
        <f>INDEX('Analysis of bottom-up tags'!$N$207:$W$210,MATCH(Dashboard!$B435,'Analysis of bottom-up tags'!$B$207:$B$210,0),MATCH(Dashboard!L$21,'Analysis of bottom-up tags'!$N$6:$W$6,0))*L$23</f>
        <v>18.888446330934062</v>
      </c>
      <c r="M435" s="151">
        <f t="shared" si="225"/>
        <v>66.685567374770656</v>
      </c>
      <c r="N435" s="176"/>
      <c r="O435" s="176"/>
      <c r="P435" s="151" t="s">
        <v>10981</v>
      </c>
      <c r="Q435" s="195">
        <f t="shared" si="226"/>
        <v>0</v>
      </c>
      <c r="R435" s="195">
        <f t="shared" si="216"/>
        <v>0</v>
      </c>
      <c r="S435" s="195">
        <f t="shared" si="217"/>
        <v>0</v>
      </c>
      <c r="T435" s="195">
        <f t="shared" si="218"/>
        <v>0</v>
      </c>
      <c r="U435" s="195">
        <f t="shared" si="219"/>
        <v>0</v>
      </c>
      <c r="V435" s="195">
        <f t="shared" si="220"/>
        <v>0</v>
      </c>
      <c r="W435" s="195">
        <f t="shared" si="221"/>
        <v>5.2916628660744317E-3</v>
      </c>
      <c r="X435" s="195">
        <f t="shared" si="222"/>
        <v>4.0008498230788309E-2</v>
      </c>
      <c r="Y435" s="195">
        <f t="shared" si="223"/>
        <v>2.4969599469738574E-3</v>
      </c>
      <c r="Z435" s="195">
        <f t="shared" si="224"/>
        <v>1.8888446330934061E-2</v>
      </c>
      <c r="AA435" s="195">
        <f t="shared" si="227"/>
        <v>6.668556737477066E-2</v>
      </c>
    </row>
    <row r="436" spans="1:27">
      <c r="A436" s="176"/>
      <c r="B436" s="176"/>
      <c r="C436" s="176"/>
      <c r="D436" s="176"/>
      <c r="E436" s="176"/>
      <c r="F436" s="176"/>
      <c r="G436" s="176"/>
      <c r="H436" s="176"/>
      <c r="I436" s="176"/>
      <c r="J436" s="176"/>
      <c r="K436" s="176"/>
      <c r="L436" s="176"/>
      <c r="M436" s="176"/>
      <c r="N436" s="176"/>
      <c r="O436" s="176"/>
      <c r="P436" s="176"/>
      <c r="Q436" s="176"/>
      <c r="R436" s="176"/>
    </row>
    <row r="437" spans="1:27">
      <c r="A437" s="176"/>
      <c r="B437" s="176"/>
      <c r="C437" s="176"/>
      <c r="D437" s="176"/>
      <c r="E437" s="176"/>
      <c r="F437" s="176"/>
      <c r="G437" s="176"/>
      <c r="H437" s="176"/>
      <c r="I437" s="176"/>
      <c r="J437" s="176"/>
      <c r="K437" s="176"/>
      <c r="L437" s="176"/>
      <c r="M437" s="176"/>
      <c r="N437" s="176"/>
      <c r="O437" s="176"/>
      <c r="P437" s="176"/>
      <c r="Q437" s="176"/>
      <c r="R437" s="176"/>
    </row>
    <row r="438" spans="1:27">
      <c r="A438" s="176"/>
      <c r="B438" s="176"/>
      <c r="N438" s="176"/>
      <c r="O438" s="176"/>
      <c r="P438" s="176"/>
      <c r="Q438" s="176"/>
      <c r="R438" s="176"/>
    </row>
    <row r="439" spans="1:27">
      <c r="A439" s="176"/>
      <c r="B439" s="218" t="s">
        <v>10544</v>
      </c>
      <c r="C439" s="151">
        <f>SUM(C285,C287,C290,C289,C291,C293,C295)</f>
        <v>12.378083737148405</v>
      </c>
      <c r="D439" s="151">
        <f t="shared" ref="D439:L439" si="228">SUM(D285,D287,D290,D289,D291,D293,D295)</f>
        <v>98.021424617807114</v>
      </c>
      <c r="E439" s="151">
        <f t="shared" si="228"/>
        <v>302.62900723286708</v>
      </c>
      <c r="F439" s="151">
        <f t="shared" si="228"/>
        <v>600.71533157053238</v>
      </c>
      <c r="G439" s="151">
        <f t="shared" si="228"/>
        <v>23.787815602508317</v>
      </c>
      <c r="H439" s="151">
        <f t="shared" si="228"/>
        <v>7.3641789953116037</v>
      </c>
      <c r="I439" s="151">
        <f t="shared" si="228"/>
        <v>8.4837263492243391</v>
      </c>
      <c r="J439" s="151">
        <f t="shared" si="228"/>
        <v>156.54063092633729</v>
      </c>
      <c r="K439" s="151">
        <f t="shared" si="228"/>
        <v>7.8379348858106157</v>
      </c>
      <c r="L439" s="151">
        <f t="shared" si="228"/>
        <v>122.6765054008402</v>
      </c>
      <c r="N439" s="176"/>
      <c r="O439" s="176"/>
      <c r="P439" s="176"/>
      <c r="Q439" s="176"/>
      <c r="R439" s="176"/>
    </row>
    <row r="440" spans="1:27">
      <c r="A440" s="176"/>
      <c r="B440" s="218" t="s">
        <v>11180</v>
      </c>
      <c r="C440" s="151">
        <f>SUM(C283,C285,C286,C287,C288,C291,C292,C293,C294,C297)</f>
        <v>811.6650178819508</v>
      </c>
      <c r="D440" s="151">
        <f t="shared" ref="D440:L440" si="229">SUM(D283,D285,D286,D287,D288,D291,D292,D293,D294,D297)</f>
        <v>145.24690700421567</v>
      </c>
      <c r="E440" s="151">
        <f t="shared" si="229"/>
        <v>1040.0595238364854</v>
      </c>
      <c r="F440" s="151">
        <f t="shared" si="229"/>
        <v>821.87379738254162</v>
      </c>
      <c r="G440" s="151">
        <f t="shared" si="229"/>
        <v>407.83485010474806</v>
      </c>
      <c r="H440" s="151">
        <f t="shared" si="229"/>
        <v>892.04694517857956</v>
      </c>
      <c r="I440" s="151">
        <f t="shared" si="229"/>
        <v>122.36730207223266</v>
      </c>
      <c r="J440" s="151">
        <f t="shared" si="229"/>
        <v>1120.8112830678328</v>
      </c>
      <c r="K440" s="151">
        <f t="shared" si="229"/>
        <v>162.02494686130851</v>
      </c>
      <c r="L440" s="151">
        <f t="shared" si="229"/>
        <v>548.58574240540372</v>
      </c>
      <c r="N440" s="176"/>
      <c r="O440" s="176"/>
      <c r="P440" s="176"/>
      <c r="Q440" s="176"/>
      <c r="R440" s="176"/>
    </row>
    <row r="441" spans="1:27">
      <c r="A441" s="176"/>
      <c r="B441" s="218" t="s">
        <v>10523</v>
      </c>
      <c r="C441" s="151">
        <f>SUM(C283:C284,C286,C288,C289,C290,C292,C294,C296)</f>
        <v>1254.7845992315329</v>
      </c>
      <c r="D441" s="151">
        <f t="shared" ref="D441:L441" si="230">SUM(D283:D284,D286,D288,D289,D290,D292,D294,D296)</f>
        <v>847.69011274981619</v>
      </c>
      <c r="E441" s="151">
        <f t="shared" si="230"/>
        <v>868.72730725249539</v>
      </c>
      <c r="F441" s="151">
        <f t="shared" si="230"/>
        <v>337.090242229669</v>
      </c>
      <c r="G441" s="151">
        <f t="shared" si="230"/>
        <v>384.56033058447639</v>
      </c>
      <c r="H441" s="151">
        <f t="shared" si="230"/>
        <v>933.20751660541339</v>
      </c>
      <c r="I441" s="151">
        <f t="shared" si="230"/>
        <v>127.16256447958331</v>
      </c>
      <c r="J441" s="151">
        <f t="shared" si="230"/>
        <v>1136.151678476697</v>
      </c>
      <c r="K441" s="151">
        <f t="shared" si="230"/>
        <v>156.12749115646395</v>
      </c>
      <c r="L441" s="151">
        <f t="shared" si="230"/>
        <v>657.90060488095821</v>
      </c>
      <c r="N441" s="176"/>
      <c r="O441" s="176"/>
      <c r="P441" s="176"/>
      <c r="Q441" s="176"/>
      <c r="R441" s="176"/>
    </row>
    <row r="442" spans="1:27">
      <c r="A442" s="176"/>
      <c r="B442" s="218" t="s">
        <v>10563</v>
      </c>
      <c r="C442" s="151">
        <f>SUM(C282)</f>
        <v>20.831242162363544</v>
      </c>
      <c r="D442" s="151">
        <f t="shared" ref="D442:L442" si="231">SUM(D282)</f>
        <v>460.90672214353663</v>
      </c>
      <c r="E442" s="151">
        <f t="shared" si="231"/>
        <v>138.38898452379618</v>
      </c>
      <c r="F442" s="151">
        <f t="shared" si="231"/>
        <v>309.9053796577773</v>
      </c>
      <c r="G442" s="151">
        <f t="shared" si="231"/>
        <v>1269.7627953780689</v>
      </c>
      <c r="H442" s="151">
        <f t="shared" si="231"/>
        <v>862.99501604215584</v>
      </c>
      <c r="I442" s="151">
        <f t="shared" si="231"/>
        <v>1503.6204087282017</v>
      </c>
      <c r="J442" s="151">
        <f t="shared" si="231"/>
        <v>607.39307869193419</v>
      </c>
      <c r="K442" s="151">
        <f t="shared" si="231"/>
        <v>1879.5917402023017</v>
      </c>
      <c r="L442" s="151">
        <f t="shared" si="231"/>
        <v>1167.8695426642716</v>
      </c>
      <c r="N442" s="176"/>
      <c r="O442" s="176"/>
      <c r="P442" s="176"/>
      <c r="Q442" s="176"/>
      <c r="R442" s="176"/>
    </row>
    <row r="443" spans="1:27">
      <c r="A443" s="176"/>
      <c r="B443" s="218" t="s">
        <v>11181</v>
      </c>
      <c r="C443" s="151">
        <f>SUM(C284,C290,C295,C296,C297)</f>
        <v>455.49766508673042</v>
      </c>
      <c r="D443" s="151">
        <f t="shared" ref="D443:L443" si="232">SUM(D284,D290,D295,D296,D297)</f>
        <v>800.46463036340765</v>
      </c>
      <c r="E443" s="151">
        <f t="shared" si="232"/>
        <v>131.29679064887711</v>
      </c>
      <c r="F443" s="151">
        <f t="shared" si="232"/>
        <v>115.93177641765973</v>
      </c>
      <c r="G443" s="151">
        <f t="shared" si="232"/>
        <v>0.5132960822366589</v>
      </c>
      <c r="H443" s="151">
        <f t="shared" si="232"/>
        <v>48.524750422145402</v>
      </c>
      <c r="I443" s="151">
        <f t="shared" si="232"/>
        <v>7.9921445157206348</v>
      </c>
      <c r="J443" s="151">
        <f t="shared" si="232"/>
        <v>45.707448484116703</v>
      </c>
      <c r="K443" s="151">
        <f t="shared" si="232"/>
        <v>6.1062924125151774</v>
      </c>
      <c r="L443" s="151">
        <f t="shared" si="232"/>
        <v>232.09409144023593</v>
      </c>
      <c r="N443" s="176"/>
      <c r="O443" s="176"/>
      <c r="P443" s="176"/>
      <c r="Q443" s="176"/>
      <c r="R443" s="176"/>
    </row>
    <row r="444" spans="1:27">
      <c r="A444" s="176"/>
      <c r="B444" s="218" t="s">
        <v>10558</v>
      </c>
      <c r="M444" s="176"/>
      <c r="N444" s="176"/>
      <c r="O444" s="176"/>
      <c r="P444" s="176"/>
      <c r="Q444" s="176"/>
      <c r="R444" s="176"/>
    </row>
    <row r="445" spans="1:27" ht="15" thickBot="1"/>
    <row r="446" spans="1:27" ht="20" thickBot="1">
      <c r="B446" s="248" t="s">
        <v>11036</v>
      </c>
      <c r="C446" s="249"/>
      <c r="D446" s="249"/>
      <c r="E446" s="249"/>
      <c r="F446" s="249"/>
      <c r="G446" s="249"/>
      <c r="H446" s="249"/>
      <c r="I446" s="249"/>
      <c r="J446" s="249"/>
      <c r="K446" s="249"/>
      <c r="L446" s="249"/>
      <c r="M446" s="250"/>
    </row>
    <row r="447" spans="1:27">
      <c r="B447" s="163" t="s">
        <v>10460</v>
      </c>
      <c r="C447" s="163"/>
      <c r="D447" s="163"/>
      <c r="E447" s="163"/>
      <c r="F447" s="163"/>
      <c r="G447" s="163"/>
      <c r="H447" s="163"/>
      <c r="I447" s="163"/>
      <c r="J447" s="163"/>
      <c r="K447" s="163"/>
      <c r="L447" s="163"/>
      <c r="M447" s="163"/>
    </row>
    <row r="448" spans="1:27">
      <c r="B448" s="151" t="s">
        <v>10621</v>
      </c>
      <c r="C448" s="151">
        <f>INDEX('Analysis of bottom-up tags'!$N$10:$W$15,MATCH(Dashboard!$B448,'Analysis of bottom-up tags'!$B$10:$B$15,0),MATCH(Dashboard!C$21,'Analysis of bottom-up tags'!$N$6:$W$6,0))*C$24</f>
        <v>16.165407865678887</v>
      </c>
      <c r="D448" s="151">
        <f>INDEX('Analysis of bottom-up tags'!$N$10:$W$15,MATCH(Dashboard!$B448,'Analysis of bottom-up tags'!$B$10:$B$15,0),MATCH(Dashboard!D$21,'Analysis of bottom-up tags'!$N$6:$W$6,0))*D$24</f>
        <v>0</v>
      </c>
      <c r="E448" s="151">
        <f>INDEX('Analysis of bottom-up tags'!$N$10:$W$15,MATCH(Dashboard!$B448,'Analysis of bottom-up tags'!$B$10:$B$15,0),MATCH(Dashboard!E$21,'Analysis of bottom-up tags'!$N$6:$W$6,0))*E$24</f>
        <v>247.10003870799596</v>
      </c>
      <c r="F448" s="151">
        <f>INDEX('Analysis of bottom-up tags'!$N$10:$W$15,MATCH(Dashboard!$B448,'Analysis of bottom-up tags'!$B$10:$B$15,0),MATCH(Dashboard!F$21,'Analysis of bottom-up tags'!$N$6:$W$6,0))*F$24</f>
        <v>0</v>
      </c>
      <c r="G448" s="151">
        <f>INDEX('Analysis of bottom-up tags'!$N$10:$W$15,MATCH(Dashboard!$B448,'Analysis of bottom-up tags'!$B$10:$B$15,0),MATCH(Dashboard!G$21,'Analysis of bottom-up tags'!$N$6:$W$6,0))*G$24</f>
        <v>113.06291371278965</v>
      </c>
      <c r="H448" s="151">
        <f>INDEX('Analysis of bottom-up tags'!$N$10:$W$15,MATCH(Dashboard!$B448,'Analysis of bottom-up tags'!$B$10:$B$15,0),MATCH(Dashboard!H$21,'Analysis of bottom-up tags'!$N$6:$W$6,0))*H$24</f>
        <v>477.96414549592413</v>
      </c>
      <c r="I448" s="151">
        <f>INDEX('Analysis of bottom-up tags'!$N$10:$W$15,MATCH(Dashboard!$B448,'Analysis of bottom-up tags'!$B$10:$B$15,0),MATCH(Dashboard!I$21,'Analysis of bottom-up tags'!$N$6:$W$6,0))*I$24</f>
        <v>1059.2776774156914</v>
      </c>
      <c r="J448" s="151">
        <f>INDEX('Analysis of bottom-up tags'!$N$10:$W$15,MATCH(Dashboard!$B448,'Analysis of bottom-up tags'!$B$10:$B$15,0),MATCH(Dashboard!J$21,'Analysis of bottom-up tags'!$N$6:$W$6,0))*J$24</f>
        <v>28.686701781403315</v>
      </c>
      <c r="K448" s="151">
        <f>INDEX('Analysis of bottom-up tags'!$N$10:$W$15,MATCH(Dashboard!$B448,'Analysis of bottom-up tags'!$B$10:$B$15,0),MATCH(Dashboard!K$21,'Analysis of bottom-up tags'!$N$6:$W$6,0))*K$24</f>
        <v>1822.1930243704351</v>
      </c>
      <c r="L448" s="151">
        <f>INDEX('Analysis of bottom-up tags'!$N$10:$W$15,MATCH(Dashboard!$B448,'Analysis of bottom-up tags'!$B$10:$B$15,0),MATCH(Dashboard!L$21,'Analysis of bottom-up tags'!$N$6:$W$6,0))*L$24</f>
        <v>46.245978096071454</v>
      </c>
      <c r="M448" s="151">
        <f>SUM(C448:L448)</f>
        <v>3810.6958874459901</v>
      </c>
    </row>
    <row r="449" spans="2:13">
      <c r="B449" s="151" t="s">
        <v>11108</v>
      </c>
      <c r="C449" s="151">
        <f>INDEX('Analysis of bottom-up tags'!$N$10:$W$15,MATCH(Dashboard!$B449,'Analysis of bottom-up tags'!$B$10:$B$15,0),MATCH(Dashboard!C$21,'Analysis of bottom-up tags'!$N$6:$W$6,0))*C$24</f>
        <v>1497.7080489114821</v>
      </c>
      <c r="D449" s="151">
        <f>INDEX('Analysis of bottom-up tags'!$N$10:$W$15,MATCH(Dashboard!$B449,'Analysis of bottom-up tags'!$B$10:$B$15,0),MATCH(Dashboard!D$21,'Analysis of bottom-up tags'!$N$6:$W$6,0))*D$24</f>
        <v>1639.9456566848228</v>
      </c>
      <c r="E449" s="151">
        <f>INDEX('Analysis of bottom-up tags'!$N$10:$W$15,MATCH(Dashboard!$B449,'Analysis of bottom-up tags'!$B$10:$B$15,0),MATCH(Dashboard!E$21,'Analysis of bottom-up tags'!$N$6:$W$6,0))*E$24</f>
        <v>1291.8506876277656</v>
      </c>
      <c r="F449" s="151">
        <f>INDEX('Analysis of bottom-up tags'!$N$10:$W$15,MATCH(Dashboard!$B449,'Analysis of bottom-up tags'!$B$10:$B$15,0),MATCH(Dashboard!F$21,'Analysis of bottom-up tags'!$N$6:$W$6,0))*F$24</f>
        <v>1424.5563892841267</v>
      </c>
      <c r="G449" s="151">
        <f>INDEX('Analysis of bottom-up tags'!$N$10:$W$15,MATCH(Dashboard!$B449,'Analysis of bottom-up tags'!$B$10:$B$15,0),MATCH(Dashboard!G$21,'Analysis of bottom-up tags'!$N$6:$W$6,0))*G$24</f>
        <v>1889.3323243315742</v>
      </c>
      <c r="H449" s="151">
        <f>INDEX('Analysis of bottom-up tags'!$N$10:$W$15,MATCH(Dashboard!$B449,'Analysis of bottom-up tags'!$B$10:$B$15,0),MATCH(Dashboard!H$21,'Analysis of bottom-up tags'!$N$6:$W$6,0))*H$24</f>
        <v>1415.9771761127238</v>
      </c>
      <c r="I449" s="151">
        <f>INDEX('Analysis of bottom-up tags'!$N$10:$W$15,MATCH(Dashboard!$B449,'Analysis of bottom-up tags'!$B$10:$B$15,0),MATCH(Dashboard!I$21,'Analysis of bottom-up tags'!$N$6:$W$6,0))*I$24</f>
        <v>756.69639175523116</v>
      </c>
      <c r="J449" s="151">
        <f>INDEX('Analysis of bottom-up tags'!$N$10:$W$15,MATCH(Dashboard!$B449,'Analysis of bottom-up tags'!$B$10:$B$15,0),MATCH(Dashboard!J$21,'Analysis of bottom-up tags'!$N$6:$W$6,0))*J$24</f>
        <v>1904.9553882681366</v>
      </c>
      <c r="K449" s="151">
        <f>INDEX('Analysis of bottom-up tags'!$N$10:$W$15,MATCH(Dashboard!$B449,'Analysis of bottom-up tags'!$B$10:$B$15,0),MATCH(Dashboard!K$21,'Analysis of bottom-up tags'!$N$6:$W$6,0))*K$24</f>
        <v>358.3409419963084</v>
      </c>
      <c r="L449" s="151">
        <f>INDEX('Analysis of bottom-up tags'!$N$10:$W$15,MATCH(Dashboard!$B449,'Analysis of bottom-up tags'!$B$10:$B$15,0),MATCH(Dashboard!L$21,'Analysis of bottom-up tags'!$N$6:$W$6,0))*L$24</f>
        <v>1913.2926077775537</v>
      </c>
      <c r="M449" s="151">
        <f t="shared" ref="M449:M454" si="233">SUM(C449:L449)</f>
        <v>14092.655612749724</v>
      </c>
    </row>
    <row r="450" spans="2:13">
      <c r="B450" s="151" t="s">
        <v>11109</v>
      </c>
      <c r="C450" s="151">
        <f>INDEX('Analysis of bottom-up tags'!$N$10:$W$15,MATCH(Dashboard!$B450,'Analysis of bottom-up tags'!$B$10:$B$15,0),MATCH(Dashboard!C$21,'Analysis of bottom-up tags'!$N$6:$W$6,0))*C$24</f>
        <v>0</v>
      </c>
      <c r="D450" s="151">
        <f>INDEX('Analysis of bottom-up tags'!$N$10:$W$15,MATCH(Dashboard!$B450,'Analysis of bottom-up tags'!$B$10:$B$15,0),MATCH(Dashboard!D$21,'Analysis of bottom-up tags'!$N$6:$W$6,0))*D$24</f>
        <v>0</v>
      </c>
      <c r="E450" s="151">
        <f>INDEX('Analysis of bottom-up tags'!$N$10:$W$15,MATCH(Dashboard!$B450,'Analysis of bottom-up tags'!$B$10:$B$15,0),MATCH(Dashboard!E$21,'Analysis of bottom-up tags'!$N$6:$W$6,0))*E$24</f>
        <v>0</v>
      </c>
      <c r="F450" s="151">
        <f>INDEX('Analysis of bottom-up tags'!$N$10:$W$15,MATCH(Dashboard!$B450,'Analysis of bottom-up tags'!$B$10:$B$15,0),MATCH(Dashboard!F$21,'Analysis of bottom-up tags'!$N$6:$W$6,0))*F$24</f>
        <v>26.622936679510676</v>
      </c>
      <c r="G450" s="151">
        <f>INDEX('Analysis of bottom-up tags'!$N$10:$W$15,MATCH(Dashboard!$B450,'Analysis of bottom-up tags'!$B$10:$B$15,0),MATCH(Dashboard!G$21,'Analysis of bottom-up tags'!$N$6:$W$6,0))*G$24</f>
        <v>0</v>
      </c>
      <c r="H450" s="151">
        <f>INDEX('Analysis of bottom-up tags'!$N$10:$W$15,MATCH(Dashboard!$B450,'Analysis of bottom-up tags'!$B$10:$B$15,0),MATCH(Dashboard!H$21,'Analysis of bottom-up tags'!$N$6:$W$6,0))*H$24</f>
        <v>16.767395556885621</v>
      </c>
      <c r="I450" s="151">
        <f>INDEX('Analysis of bottom-up tags'!$N$10:$W$15,MATCH(Dashboard!$B450,'Analysis of bottom-up tags'!$B$10:$B$15,0),MATCH(Dashboard!I$21,'Analysis of bottom-up tags'!$N$6:$W$6,0))*I$24</f>
        <v>91.710873865166135</v>
      </c>
      <c r="J450" s="151">
        <f>INDEX('Analysis of bottom-up tags'!$N$10:$W$15,MATCH(Dashboard!$B450,'Analysis of bottom-up tags'!$B$10:$B$15,0),MATCH(Dashboard!J$21,'Analysis of bottom-up tags'!$N$6:$W$6,0))*J$24</f>
        <v>87.341274142831963</v>
      </c>
      <c r="K450" s="151">
        <f>INDEX('Analysis of bottom-up tags'!$N$10:$W$15,MATCH(Dashboard!$B450,'Analysis of bottom-up tags'!$B$10:$B$15,0),MATCH(Dashboard!K$21,'Analysis of bottom-up tags'!$N$6:$W$6,0))*K$24</f>
        <v>71.085702396607218</v>
      </c>
      <c r="L450" s="151">
        <f>INDEX('Analysis of bottom-up tags'!$N$10:$W$15,MATCH(Dashboard!$B450,'Analysis of bottom-up tags'!$B$10:$B$15,0),MATCH(Dashboard!L$21,'Analysis of bottom-up tags'!$N$6:$W$6,0))*L$24</f>
        <v>12.497049828625322</v>
      </c>
      <c r="M450" s="151">
        <f t="shared" si="233"/>
        <v>306.02523246962699</v>
      </c>
    </row>
    <row r="451" spans="2:13">
      <c r="B451" s="151" t="s">
        <v>11110</v>
      </c>
      <c r="C451" s="151">
        <f>INDEX('Analysis of bottom-up tags'!$N$10:$W$15,MATCH(Dashboard!$B451,'Analysis of bottom-up tags'!$B$10:$B$15,0),MATCH(Dashboard!C$21,'Analysis of bottom-up tags'!$N$6:$W$6,0))*C$24</f>
        <v>0</v>
      </c>
      <c r="D451" s="151">
        <f>INDEX('Analysis of bottom-up tags'!$N$10:$W$15,MATCH(Dashboard!$B451,'Analysis of bottom-up tags'!$B$10:$B$15,0),MATCH(Dashboard!D$21,'Analysis of bottom-up tags'!$N$6:$W$6,0))*D$24</f>
        <v>8.2056964480347627</v>
      </c>
      <c r="E451" s="151">
        <f>INDEX('Analysis of bottom-up tags'!$N$10:$W$15,MATCH(Dashboard!$B451,'Analysis of bottom-up tags'!$B$10:$B$15,0),MATCH(Dashboard!E$21,'Analysis of bottom-up tags'!$N$6:$W$6,0))*E$24</f>
        <v>0</v>
      </c>
      <c r="F451" s="151">
        <f>INDEX('Analysis of bottom-up tags'!$N$10:$W$15,MATCH(Dashboard!$B451,'Analysis of bottom-up tags'!$B$10:$B$15,0),MATCH(Dashboard!F$21,'Analysis of bottom-up tags'!$N$6:$W$6,0))*F$24</f>
        <v>46.073818185937412</v>
      </c>
      <c r="G451" s="151">
        <f>INDEX('Analysis of bottom-up tags'!$N$10:$W$15,MATCH(Dashboard!$B451,'Analysis of bottom-up tags'!$B$10:$B$15,0),MATCH(Dashboard!G$21,'Analysis of bottom-up tags'!$N$6:$W$6,0))*G$24</f>
        <v>2.4275682501694997</v>
      </c>
      <c r="H451" s="151">
        <f>INDEX('Analysis of bottom-up tags'!$N$10:$W$15,MATCH(Dashboard!$B451,'Analysis of bottom-up tags'!$B$10:$B$15,0),MATCH(Dashboard!H$21,'Analysis of bottom-up tags'!$N$6:$W$6,0))*H$24</f>
        <v>236.39451098075273</v>
      </c>
      <c r="I451" s="151">
        <f>INDEX('Analysis of bottom-up tags'!$N$10:$W$15,MATCH(Dashboard!$B451,'Analysis of bottom-up tags'!$B$10:$B$15,0),MATCH(Dashboard!I$21,'Analysis of bottom-up tags'!$N$6:$W$6,0))*I$24</f>
        <v>20.944173558260022</v>
      </c>
      <c r="J451" s="151">
        <f>INDEX('Analysis of bottom-up tags'!$N$10:$W$15,MATCH(Dashboard!$B451,'Analysis of bottom-up tags'!$B$10:$B$15,0),MATCH(Dashboard!J$21,'Analysis of bottom-up tags'!$N$6:$W$6,0))*J$24</f>
        <v>119.46493298296268</v>
      </c>
      <c r="K451" s="151">
        <f>INDEX('Analysis of bottom-up tags'!$N$10:$W$15,MATCH(Dashboard!$B451,'Analysis of bottom-up tags'!$B$10:$B$15,0),MATCH(Dashboard!K$21,'Analysis of bottom-up tags'!$N$6:$W$6,0))*K$24</f>
        <v>109.03139705628725</v>
      </c>
      <c r="L451" s="151">
        <f>INDEX('Analysis of bottom-up tags'!$N$10:$W$15,MATCH(Dashboard!$B451,'Analysis of bottom-up tags'!$B$10:$B$15,0),MATCH(Dashboard!L$21,'Analysis of bottom-up tags'!$N$6:$W$6,0))*L$24</f>
        <v>261.78160375090391</v>
      </c>
      <c r="M451" s="151">
        <f t="shared" si="233"/>
        <v>804.32370121330837</v>
      </c>
    </row>
    <row r="452" spans="2:13">
      <c r="B452" s="151" t="s">
        <v>10558</v>
      </c>
      <c r="C452" s="151">
        <f>INDEX('Analysis of bottom-up tags'!$N$10:$W$15,MATCH(Dashboard!$B452,'Analysis of bottom-up tags'!$B$10:$B$15,0),MATCH(Dashboard!C$21,'Analysis of bottom-up tags'!$N$6:$W$6,0))*C$24</f>
        <v>0</v>
      </c>
      <c r="D452" s="151">
        <f>INDEX('Analysis of bottom-up tags'!$N$10:$W$15,MATCH(Dashboard!$B452,'Analysis of bottom-up tags'!$B$10:$B$15,0),MATCH(Dashboard!D$21,'Analysis of bottom-up tags'!$N$6:$W$6,0))*D$24</f>
        <v>0</v>
      </c>
      <c r="E452" s="151">
        <f>INDEX('Analysis of bottom-up tags'!$N$10:$W$15,MATCH(Dashboard!$B452,'Analysis of bottom-up tags'!$B$10:$B$15,0),MATCH(Dashboard!E$21,'Analysis of bottom-up tags'!$N$6:$W$6,0))*E$24</f>
        <v>0</v>
      </c>
      <c r="F452" s="151">
        <f>INDEX('Analysis of bottom-up tags'!$N$10:$W$15,MATCH(Dashboard!$B452,'Analysis of bottom-up tags'!$B$10:$B$15,0),MATCH(Dashboard!F$21,'Analysis of bottom-up tags'!$N$6:$W$6,0))*F$24</f>
        <v>0</v>
      </c>
      <c r="G452" s="151">
        <f>INDEX('Analysis of bottom-up tags'!$N$10:$W$15,MATCH(Dashboard!$B452,'Analysis of bottom-up tags'!$B$10:$B$15,0),MATCH(Dashboard!G$21,'Analysis of bottom-up tags'!$N$6:$W$6,0))*G$24</f>
        <v>0</v>
      </c>
      <c r="H452" s="151">
        <f>INDEX('Analysis of bottom-up tags'!$N$10:$W$15,MATCH(Dashboard!$B452,'Analysis of bottom-up tags'!$B$10:$B$15,0),MATCH(Dashboard!H$21,'Analysis of bottom-up tags'!$N$6:$W$6,0))*H$24</f>
        <v>0</v>
      </c>
      <c r="I452" s="151">
        <f>INDEX('Analysis of bottom-up tags'!$N$10:$W$15,MATCH(Dashboard!$B452,'Analysis of bottom-up tags'!$B$10:$B$15,0),MATCH(Dashboard!I$21,'Analysis of bottom-up tags'!$N$6:$W$6,0))*I$24</f>
        <v>0</v>
      </c>
      <c r="J452" s="151">
        <f>INDEX('Analysis of bottom-up tags'!$N$10:$W$15,MATCH(Dashboard!$B452,'Analysis of bottom-up tags'!$B$10:$B$15,0),MATCH(Dashboard!J$21,'Analysis of bottom-up tags'!$N$6:$W$6,0))*J$24</f>
        <v>0</v>
      </c>
      <c r="K452" s="151">
        <f>INDEX('Analysis of bottom-up tags'!$N$10:$W$15,MATCH(Dashboard!$B452,'Analysis of bottom-up tags'!$B$10:$B$15,0),MATCH(Dashboard!K$21,'Analysis of bottom-up tags'!$N$6:$W$6,0))*K$24</f>
        <v>0</v>
      </c>
      <c r="L452" s="151">
        <f>INDEX('Analysis of bottom-up tags'!$N$10:$W$15,MATCH(Dashboard!$B452,'Analysis of bottom-up tags'!$B$10:$B$15,0),MATCH(Dashboard!L$21,'Analysis of bottom-up tags'!$N$6:$W$6,0))*L$24</f>
        <v>0</v>
      </c>
      <c r="M452" s="151">
        <f t="shared" si="233"/>
        <v>0</v>
      </c>
    </row>
    <row r="453" spans="2:13">
      <c r="B453" s="151" t="s">
        <v>11111</v>
      </c>
      <c r="C453" s="151">
        <f>INDEX('Analysis of bottom-up tags'!$N$10:$W$15,MATCH(Dashboard!$B453,'Analysis of bottom-up tags'!$B$10:$B$15,0),MATCH(Dashboard!C$21,'Analysis of bottom-up tags'!$N$6:$W$6,0))*C$24</f>
        <v>0</v>
      </c>
      <c r="D453" s="151">
        <f>INDEX('Analysis of bottom-up tags'!$N$10:$W$15,MATCH(Dashboard!$B453,'Analysis of bottom-up tags'!$B$10:$B$15,0),MATCH(Dashboard!D$21,'Analysis of bottom-up tags'!$N$6:$W$6,0))*D$24</f>
        <v>0</v>
      </c>
      <c r="E453" s="151">
        <f>INDEX('Analysis of bottom-up tags'!$N$10:$W$15,MATCH(Dashboard!$B453,'Analysis of bottom-up tags'!$B$10:$B$15,0),MATCH(Dashboard!E$21,'Analysis of bottom-up tags'!$N$6:$W$6,0))*E$24</f>
        <v>0</v>
      </c>
      <c r="F453" s="151">
        <f>INDEX('Analysis of bottom-up tags'!$N$10:$W$15,MATCH(Dashboard!$B453,'Analysis of bottom-up tags'!$B$10:$B$15,0),MATCH(Dashboard!F$21,'Analysis of bottom-up tags'!$N$6:$W$6,0))*F$24</f>
        <v>0</v>
      </c>
      <c r="G453" s="151">
        <f>INDEX('Analysis of bottom-up tags'!$N$10:$W$15,MATCH(Dashboard!$B453,'Analysis of bottom-up tags'!$B$10:$B$15,0),MATCH(Dashboard!G$21,'Analysis of bottom-up tags'!$N$6:$W$6,0))*G$24</f>
        <v>0</v>
      </c>
      <c r="H453" s="151">
        <f>INDEX('Analysis of bottom-up tags'!$N$10:$W$15,MATCH(Dashboard!$B453,'Analysis of bottom-up tags'!$B$10:$B$15,0),MATCH(Dashboard!H$21,'Analysis of bottom-up tags'!$N$6:$W$6,0))*H$24</f>
        <v>0</v>
      </c>
      <c r="I453" s="151">
        <f>INDEX('Analysis of bottom-up tags'!$N$10:$W$15,MATCH(Dashboard!$B453,'Analysis of bottom-up tags'!$B$10:$B$15,0),MATCH(Dashboard!I$21,'Analysis of bottom-up tags'!$N$6:$W$6,0))*I$24</f>
        <v>0</v>
      </c>
      <c r="J453" s="151">
        <f>INDEX('Analysis of bottom-up tags'!$N$10:$W$15,MATCH(Dashboard!$B453,'Analysis of bottom-up tags'!$B$10:$B$15,0),MATCH(Dashboard!J$21,'Analysis of bottom-up tags'!$N$6:$W$6,0))*J$24</f>
        <v>0.12038918968966586</v>
      </c>
      <c r="K453" s="151">
        <f>INDEX('Analysis of bottom-up tags'!$N$10:$W$15,MATCH(Dashboard!$B453,'Analysis of bottom-up tags'!$B$10:$B$15,0),MATCH(Dashboard!K$21,'Analysis of bottom-up tags'!$N$6:$W$6,0))*K$24</f>
        <v>0</v>
      </c>
      <c r="L453" s="151">
        <f>INDEX('Analysis of bottom-up tags'!$N$10:$W$15,MATCH(Dashboard!$B453,'Analysis of bottom-up tags'!$B$10:$B$15,0),MATCH(Dashboard!L$21,'Analysis of bottom-up tags'!$N$6:$W$6,0))*L$24</f>
        <v>0</v>
      </c>
      <c r="M453" s="151">
        <f t="shared" si="233"/>
        <v>0.12038918968966586</v>
      </c>
    </row>
    <row r="454" spans="2:13">
      <c r="B454" s="166" t="s">
        <v>11042</v>
      </c>
      <c r="C454" s="166">
        <f>SUM(C448:C453)</f>
        <v>1513.873456777161</v>
      </c>
      <c r="D454" s="166">
        <f t="shared" ref="D454" si="234">SUM(D448:D453)</f>
        <v>1648.1513531328576</v>
      </c>
      <c r="E454" s="166">
        <f t="shared" ref="E454" si="235">SUM(E448:E453)</f>
        <v>1538.9507263357616</v>
      </c>
      <c r="F454" s="166">
        <f t="shared" ref="F454" si="236">SUM(F448:F453)</f>
        <v>1497.2531441495748</v>
      </c>
      <c r="G454" s="166">
        <f t="shared" ref="G454" si="237">SUM(G448:G453)</f>
        <v>2004.8228062945334</v>
      </c>
      <c r="H454" s="166">
        <f t="shared" ref="H454" si="238">SUM(H448:H453)</f>
        <v>2147.1032281462863</v>
      </c>
      <c r="I454" s="166">
        <f t="shared" ref="I454" si="239">SUM(I448:I453)</f>
        <v>1928.6291165943487</v>
      </c>
      <c r="J454" s="166">
        <f t="shared" ref="J454" si="240">SUM(J448:J453)</f>
        <v>2140.5686863650244</v>
      </c>
      <c r="K454" s="166">
        <f t="shared" ref="K454" si="241">SUM(K448:K453)</f>
        <v>2360.6510658196385</v>
      </c>
      <c r="L454" s="166">
        <f t="shared" ref="L454" si="242">SUM(L448:L453)</f>
        <v>2233.8172394531543</v>
      </c>
      <c r="M454" s="166">
        <f t="shared" si="233"/>
        <v>19013.820823068341</v>
      </c>
    </row>
    <row r="455" spans="2:13">
      <c r="B455" s="163" t="s">
        <v>10461</v>
      </c>
      <c r="C455" s="163"/>
      <c r="D455" s="163"/>
      <c r="E455" s="163"/>
      <c r="F455" s="163"/>
      <c r="G455" s="163"/>
      <c r="H455" s="163"/>
      <c r="I455" s="163"/>
      <c r="J455" s="163"/>
      <c r="K455" s="163"/>
      <c r="L455" s="163"/>
      <c r="M455" s="163"/>
    </row>
    <row r="456" spans="2:13">
      <c r="B456" s="167" t="s">
        <v>10558</v>
      </c>
      <c r="C456" s="151">
        <f>INDEX('Analysis of bottom-up tags'!$N$18:$W$21,MATCH(Dashboard!$B456,'Analysis of bottom-up tags'!$B$18:$B$21,0),MATCH(Dashboard!C$21,'Analysis of bottom-up tags'!$N$6:$W$6,0))*C$24</f>
        <v>48.800941535304709</v>
      </c>
      <c r="D456" s="151">
        <f>INDEX('Analysis of bottom-up tags'!$N$18:$W$21,MATCH(Dashboard!$B456,'Analysis of bottom-up tags'!$B$18:$B$21,0),MATCH(Dashboard!D$21,'Analysis of bottom-up tags'!$N$6:$W$6,0))*D$24</f>
        <v>1053.5580340161282</v>
      </c>
      <c r="E456" s="151">
        <f>INDEX('Analysis of bottom-up tags'!$N$18:$W$21,MATCH(Dashboard!$B456,'Analysis of bottom-up tags'!$B$18:$B$21,0),MATCH(Dashboard!E$21,'Analysis of bottom-up tags'!$N$6:$W$6,0))*E$24</f>
        <v>721.84913890815437</v>
      </c>
      <c r="F456" s="151">
        <f>INDEX('Analysis of bottom-up tags'!$N$18:$W$21,MATCH(Dashboard!$B456,'Analysis of bottom-up tags'!$B$18:$B$21,0),MATCH(Dashboard!F$21,'Analysis of bottom-up tags'!$N$6:$W$6,0))*F$24</f>
        <v>864.99135156060731</v>
      </c>
      <c r="G456" s="151">
        <f>INDEX('Analysis of bottom-up tags'!$N$18:$W$21,MATCH(Dashboard!$B456,'Analysis of bottom-up tags'!$B$18:$B$21,0),MATCH(Dashboard!G$21,'Analysis of bottom-up tags'!$N$6:$W$6,0))*G$24</f>
        <v>1161.1499046541039</v>
      </c>
      <c r="H456" s="151">
        <f>INDEX('Analysis of bottom-up tags'!$N$18:$W$21,MATCH(Dashboard!$B456,'Analysis of bottom-up tags'!$B$18:$B$21,0),MATCH(Dashboard!H$21,'Analysis of bottom-up tags'!$N$6:$W$6,0))*H$24</f>
        <v>774.62377885133594</v>
      </c>
      <c r="I456" s="151">
        <f>INDEX('Analysis of bottom-up tags'!$N$18:$W$21,MATCH(Dashboard!$B456,'Analysis of bottom-up tags'!$B$18:$B$21,0),MATCH(Dashboard!I$21,'Analysis of bottom-up tags'!$N$6:$W$6,0))*I$24</f>
        <v>1221.5485078377069</v>
      </c>
      <c r="J456" s="151">
        <f>INDEX('Analysis of bottom-up tags'!$N$18:$W$21,MATCH(Dashboard!$B456,'Analysis of bottom-up tags'!$B$18:$B$21,0),MATCH(Dashboard!J$21,'Analysis of bottom-up tags'!$N$6:$W$6,0))*J$24</f>
        <v>750.06260368158019</v>
      </c>
      <c r="K456" s="151">
        <f>INDEX('Analysis of bottom-up tags'!$N$18:$W$21,MATCH(Dashboard!$B456,'Analysis of bottom-up tags'!$B$18:$B$21,0),MATCH(Dashboard!K$21,'Analysis of bottom-up tags'!$N$6:$W$6,0))*K$24</f>
        <v>217.32398369184551</v>
      </c>
      <c r="L456" s="151">
        <f>INDEX('Analysis of bottom-up tags'!$N$18:$W$21,MATCH(Dashboard!$B456,'Analysis of bottom-up tags'!$B$18:$B$21,0),MATCH(Dashboard!L$21,'Analysis of bottom-up tags'!$N$6:$W$6,0))*L$24</f>
        <v>142.36384568033122</v>
      </c>
      <c r="M456" s="151">
        <f>SUM(C456:L456)</f>
        <v>6956.2720904170983</v>
      </c>
    </row>
    <row r="457" spans="2:13">
      <c r="B457" s="167" t="s">
        <v>11074</v>
      </c>
      <c r="C457" s="151">
        <f>INDEX('Analysis of bottom-up tags'!$N$18:$W$21,MATCH(Dashboard!$B457,'Analysis of bottom-up tags'!$B$18:$B$21,0),MATCH(Dashboard!C$21,'Analysis of bottom-up tags'!$N$6:$W$6,0))*C$24</f>
        <v>1431.5409815104595</v>
      </c>
      <c r="D457" s="151">
        <f>INDEX('Analysis of bottom-up tags'!$N$18:$W$21,MATCH(Dashboard!$B457,'Analysis of bottom-up tags'!$B$18:$B$21,0),MATCH(Dashboard!D$21,'Analysis of bottom-up tags'!$N$6:$W$6,0))*D$24</f>
        <v>593.27935797176985</v>
      </c>
      <c r="E457" s="151">
        <f>INDEX('Analysis of bottom-up tags'!$N$18:$W$21,MATCH(Dashboard!$B457,'Analysis of bottom-up tags'!$B$18:$B$21,0),MATCH(Dashboard!E$21,'Analysis of bottom-up tags'!$N$6:$W$6,0))*E$24</f>
        <v>774.33013183599985</v>
      </c>
      <c r="F457" s="151">
        <f>INDEX('Analysis of bottom-up tags'!$N$18:$W$21,MATCH(Dashboard!$B457,'Analysis of bottom-up tags'!$B$18:$B$21,0),MATCH(Dashboard!F$21,'Analysis of bottom-up tags'!$N$6:$W$6,0))*F$24</f>
        <v>585.42095053607773</v>
      </c>
      <c r="G457" s="151">
        <f>INDEX('Analysis of bottom-up tags'!$N$18:$W$21,MATCH(Dashboard!$B457,'Analysis of bottom-up tags'!$B$18:$B$21,0),MATCH(Dashboard!G$21,'Analysis of bottom-up tags'!$N$6:$W$6,0))*G$24</f>
        <v>648.30663734908114</v>
      </c>
      <c r="H457" s="151">
        <f>INDEX('Analysis of bottom-up tags'!$N$18:$W$21,MATCH(Dashboard!$B457,'Analysis of bottom-up tags'!$B$18:$B$21,0),MATCH(Dashboard!H$21,'Analysis of bottom-up tags'!$N$6:$W$6,0))*H$24</f>
        <v>636.83496736147799</v>
      </c>
      <c r="I457" s="151">
        <f>INDEX('Analysis of bottom-up tags'!$N$18:$W$21,MATCH(Dashboard!$B457,'Analysis of bottom-up tags'!$B$18:$B$21,0),MATCH(Dashboard!I$21,'Analysis of bottom-up tags'!$N$6:$W$6,0))*I$24</f>
        <v>637.21996737292329</v>
      </c>
      <c r="J457" s="151">
        <f>INDEX('Analysis of bottom-up tags'!$N$18:$W$21,MATCH(Dashboard!$B457,'Analysis of bottom-up tags'!$B$18:$B$21,0),MATCH(Dashboard!J$21,'Analysis of bottom-up tags'!$N$6:$W$6,0))*J$24</f>
        <v>1302.9150994357931</v>
      </c>
      <c r="K457" s="151">
        <f>INDEX('Analysis of bottom-up tags'!$N$18:$W$21,MATCH(Dashboard!$B457,'Analysis of bottom-up tags'!$B$18:$B$21,0),MATCH(Dashboard!K$21,'Analysis of bottom-up tags'!$N$6:$W$6,0))*K$24</f>
        <v>2009.918816031987</v>
      </c>
      <c r="L457" s="151">
        <f>INDEX('Analysis of bottom-up tags'!$N$18:$W$21,MATCH(Dashboard!$B457,'Analysis of bottom-up tags'!$B$18:$B$21,0),MATCH(Dashboard!L$21,'Analysis of bottom-up tags'!$N$6:$W$6,0))*L$24</f>
        <v>1826.0976133882505</v>
      </c>
      <c r="M457" s="151">
        <f t="shared" ref="M457:M460" si="243">SUM(C457:L457)</f>
        <v>10445.86452279382</v>
      </c>
    </row>
    <row r="458" spans="2:13">
      <c r="B458" s="167" t="s">
        <v>11075</v>
      </c>
      <c r="C458" s="151">
        <f>INDEX('Analysis of bottom-up tags'!$N$18:$W$21,MATCH(Dashboard!$B458,'Analysis of bottom-up tags'!$B$18:$B$21,0),MATCH(Dashboard!C$21,'Analysis of bottom-up tags'!$N$6:$W$6,0))*C$24</f>
        <v>0</v>
      </c>
      <c r="D458" s="151">
        <f>INDEX('Analysis of bottom-up tags'!$N$18:$W$21,MATCH(Dashboard!$B458,'Analysis of bottom-up tags'!$B$18:$B$21,0),MATCH(Dashboard!D$21,'Analysis of bottom-up tags'!$N$6:$W$6,0))*D$24</f>
        <v>0</v>
      </c>
      <c r="E458" s="151">
        <f>INDEX('Analysis of bottom-up tags'!$N$18:$W$21,MATCH(Dashboard!$B458,'Analysis of bottom-up tags'!$B$18:$B$21,0),MATCH(Dashboard!E$21,'Analysis of bottom-up tags'!$N$6:$W$6,0))*E$24</f>
        <v>0</v>
      </c>
      <c r="F458" s="151">
        <f>INDEX('Analysis of bottom-up tags'!$N$18:$W$21,MATCH(Dashboard!$B458,'Analysis of bottom-up tags'!$B$18:$B$21,0),MATCH(Dashboard!F$21,'Analysis of bottom-up tags'!$N$6:$W$6,0))*F$24</f>
        <v>35.274527409552995</v>
      </c>
      <c r="G458" s="151">
        <f>INDEX('Analysis of bottom-up tags'!$N$18:$W$21,MATCH(Dashboard!$B458,'Analysis of bottom-up tags'!$B$18:$B$21,0),MATCH(Dashboard!G$21,'Analysis of bottom-up tags'!$N$6:$W$6,0))*G$24</f>
        <v>183.24508614162684</v>
      </c>
      <c r="H458" s="151">
        <f>INDEX('Analysis of bottom-up tags'!$N$18:$W$21,MATCH(Dashboard!$B458,'Analysis of bottom-up tags'!$B$18:$B$21,0),MATCH(Dashboard!H$21,'Analysis of bottom-up tags'!$N$6:$W$6,0))*H$24</f>
        <v>724.22186310114455</v>
      </c>
      <c r="I458" s="151">
        <f>INDEX('Analysis of bottom-up tags'!$N$18:$W$21,MATCH(Dashboard!$B458,'Analysis of bottom-up tags'!$B$18:$B$21,0),MATCH(Dashboard!I$21,'Analysis of bottom-up tags'!$N$6:$W$6,0))*I$24</f>
        <v>61.725857099351678</v>
      </c>
      <c r="J458" s="151">
        <f>INDEX('Analysis of bottom-up tags'!$N$18:$W$21,MATCH(Dashboard!$B458,'Analysis of bottom-up tags'!$B$18:$B$21,0),MATCH(Dashboard!J$21,'Analysis of bottom-up tags'!$N$6:$W$6,0))*J$24</f>
        <v>10.874916897837359</v>
      </c>
      <c r="K458" s="151">
        <f>INDEX('Analysis of bottom-up tags'!$N$18:$W$21,MATCH(Dashboard!$B458,'Analysis of bottom-up tags'!$B$18:$B$21,0),MATCH(Dashboard!K$21,'Analysis of bottom-up tags'!$N$6:$W$6,0))*K$24</f>
        <v>125.62038619780034</v>
      </c>
      <c r="L458" s="151">
        <f>INDEX('Analysis of bottom-up tags'!$N$18:$W$21,MATCH(Dashboard!$B458,'Analysis of bottom-up tags'!$B$18:$B$21,0),MATCH(Dashboard!L$21,'Analysis of bottom-up tags'!$N$6:$W$6,0))*L$24</f>
        <v>257.49788523367755</v>
      </c>
      <c r="M458" s="151">
        <f t="shared" si="243"/>
        <v>1398.4605220809913</v>
      </c>
    </row>
    <row r="459" spans="2:13">
      <c r="B459" s="167" t="s">
        <v>11076</v>
      </c>
      <c r="C459" s="151">
        <f>INDEX('Analysis of bottom-up tags'!$N$18:$W$21,MATCH(Dashboard!$B459,'Analysis of bottom-up tags'!$B$18:$B$21,0),MATCH(Dashboard!C$21,'Analysis of bottom-up tags'!$N$6:$W$6,0))*C$24</f>
        <v>33.531533731396806</v>
      </c>
      <c r="D459" s="151">
        <f>INDEX('Analysis of bottom-up tags'!$N$18:$W$21,MATCH(Dashboard!$B459,'Analysis of bottom-up tags'!$B$18:$B$21,0),MATCH(Dashboard!D$21,'Analysis of bottom-up tags'!$N$6:$W$6,0))*D$24</f>
        <v>1.3139611449591055</v>
      </c>
      <c r="E459" s="151">
        <f>INDEX('Analysis of bottom-up tags'!$N$18:$W$21,MATCH(Dashboard!$B459,'Analysis of bottom-up tags'!$B$18:$B$21,0),MATCH(Dashboard!E$21,'Analysis of bottom-up tags'!$N$6:$W$6,0))*E$24</f>
        <v>42.771455591607669</v>
      </c>
      <c r="F459" s="151">
        <f>INDEX('Analysis of bottom-up tags'!$N$18:$W$21,MATCH(Dashboard!$B459,'Analysis of bottom-up tags'!$B$18:$B$21,0),MATCH(Dashboard!F$21,'Analysis of bottom-up tags'!$N$6:$W$6,0))*F$24</f>
        <v>11.566314643336277</v>
      </c>
      <c r="G459" s="151">
        <f>INDEX('Analysis of bottom-up tags'!$N$18:$W$21,MATCH(Dashboard!$B459,'Analysis of bottom-up tags'!$B$18:$B$21,0),MATCH(Dashboard!G$21,'Analysis of bottom-up tags'!$N$6:$W$6,0))*G$24</f>
        <v>12.121178149721281</v>
      </c>
      <c r="H459" s="151">
        <f>INDEX('Analysis of bottom-up tags'!$N$18:$W$21,MATCH(Dashboard!$B459,'Analysis of bottom-up tags'!$B$18:$B$21,0),MATCH(Dashboard!H$21,'Analysis of bottom-up tags'!$N$6:$W$6,0))*H$24</f>
        <v>11.422618832328222</v>
      </c>
      <c r="I459" s="151">
        <f>INDEX('Analysis of bottom-up tags'!$N$18:$W$21,MATCH(Dashboard!$B459,'Analysis of bottom-up tags'!$B$18:$B$21,0),MATCH(Dashboard!I$21,'Analysis of bottom-up tags'!$N$6:$W$6,0))*I$24</f>
        <v>8.1347842843673845</v>
      </c>
      <c r="J459" s="151">
        <f>INDEX('Analysis of bottom-up tags'!$N$18:$W$21,MATCH(Dashboard!$B459,'Analysis of bottom-up tags'!$B$18:$B$21,0),MATCH(Dashboard!J$21,'Analysis of bottom-up tags'!$N$6:$W$6,0))*J$24</f>
        <v>76.716066349812536</v>
      </c>
      <c r="K459" s="151">
        <f>INDEX('Analysis of bottom-up tags'!$N$18:$W$21,MATCH(Dashboard!$B459,'Analysis of bottom-up tags'!$B$18:$B$21,0),MATCH(Dashboard!K$21,'Analysis of bottom-up tags'!$N$6:$W$6,0))*K$24</f>
        <v>7.7878798980058015</v>
      </c>
      <c r="L459" s="151">
        <f>INDEX('Analysis of bottom-up tags'!$N$18:$W$21,MATCH(Dashboard!$B459,'Analysis of bottom-up tags'!$B$18:$B$21,0),MATCH(Dashboard!L$21,'Analysis of bottom-up tags'!$N$6:$W$6,0))*L$24</f>
        <v>7.8578951508953416</v>
      </c>
      <c r="M459" s="151">
        <f t="shared" si="243"/>
        <v>213.22368777643044</v>
      </c>
    </row>
    <row r="460" spans="2:13">
      <c r="B460" s="168" t="s">
        <v>11042</v>
      </c>
      <c r="C460" s="166">
        <f t="shared" ref="C460:L460" si="244">SUM(C456:C459)</f>
        <v>1513.873456777161</v>
      </c>
      <c r="D460" s="166">
        <f t="shared" si="244"/>
        <v>1648.1513531328574</v>
      </c>
      <c r="E460" s="166">
        <f t="shared" si="244"/>
        <v>1538.9507263357618</v>
      </c>
      <c r="F460" s="166">
        <f t="shared" si="244"/>
        <v>1497.2531441495742</v>
      </c>
      <c r="G460" s="166">
        <f t="shared" si="244"/>
        <v>2004.8228062945332</v>
      </c>
      <c r="H460" s="166">
        <f t="shared" si="244"/>
        <v>2147.1032281462867</v>
      </c>
      <c r="I460" s="166">
        <f t="shared" si="244"/>
        <v>1928.6291165943494</v>
      </c>
      <c r="J460" s="166">
        <f t="shared" si="244"/>
        <v>2140.5686863650235</v>
      </c>
      <c r="K460" s="166">
        <f t="shared" si="244"/>
        <v>2360.6510658196385</v>
      </c>
      <c r="L460" s="166">
        <f t="shared" si="244"/>
        <v>2233.8172394531543</v>
      </c>
      <c r="M460" s="166">
        <f t="shared" si="243"/>
        <v>19013.820823068338</v>
      </c>
    </row>
    <row r="461" spans="2:13">
      <c r="B461" s="163" t="s">
        <v>10462</v>
      </c>
      <c r="C461" s="163"/>
      <c r="D461" s="163"/>
      <c r="E461" s="163"/>
      <c r="F461" s="163"/>
      <c r="G461" s="163"/>
      <c r="H461" s="163"/>
      <c r="I461" s="163"/>
      <c r="J461" s="163"/>
      <c r="K461" s="163"/>
      <c r="L461" s="163"/>
      <c r="M461" s="163"/>
    </row>
    <row r="462" spans="2:13">
      <c r="B462" s="151" t="s">
        <v>11003</v>
      </c>
      <c r="C462" s="151">
        <f>INDEX('Analysis of bottom-up tags'!$N$24:$W$25,MATCH(Dashboard!$B462,'Analysis of bottom-up tags'!$B$24:$B$25,0),MATCH(Dashboard!C$21,'Analysis of bottom-up tags'!$N$6:$W$6,0))*C$24</f>
        <v>1513.873456777161</v>
      </c>
      <c r="D462" s="151">
        <f>INDEX('Analysis of bottom-up tags'!$N$24:$W$25,MATCH(Dashboard!$B462,'Analysis of bottom-up tags'!$B$24:$B$25,0),MATCH(Dashboard!D$21,'Analysis of bottom-up tags'!$N$6:$W$6,0))*D$24</f>
        <v>1648.1513531328574</v>
      </c>
      <c r="E462" s="151">
        <f>INDEX('Analysis of bottom-up tags'!$N$24:$W$25,MATCH(Dashboard!$B462,'Analysis of bottom-up tags'!$B$24:$B$25,0),MATCH(Dashboard!E$21,'Analysis of bottom-up tags'!$N$6:$W$6,0))*E$24</f>
        <v>1538.9507263357618</v>
      </c>
      <c r="F462" s="151">
        <f>INDEX('Analysis of bottom-up tags'!$N$24:$W$25,MATCH(Dashboard!$B462,'Analysis of bottom-up tags'!$B$24:$B$25,0),MATCH(Dashboard!F$21,'Analysis of bottom-up tags'!$N$6:$W$6,0))*F$24</f>
        <v>1497.2531441495746</v>
      </c>
      <c r="G462" s="151">
        <f>INDEX('Analysis of bottom-up tags'!$N$24:$W$25,MATCH(Dashboard!$B462,'Analysis of bottom-up tags'!$B$24:$B$25,0),MATCH(Dashboard!G$21,'Analysis of bottom-up tags'!$N$6:$W$6,0))*G$24</f>
        <v>2004.8228062945336</v>
      </c>
      <c r="H462" s="151">
        <f>INDEX('Analysis of bottom-up tags'!$N$24:$W$25,MATCH(Dashboard!$B462,'Analysis of bottom-up tags'!$B$24:$B$25,0),MATCH(Dashboard!H$21,'Analysis of bottom-up tags'!$N$6:$W$6,0))*H$24</f>
        <v>2147.1032281462853</v>
      </c>
      <c r="I462" s="151">
        <f>INDEX('Analysis of bottom-up tags'!$N$24:$W$25,MATCH(Dashboard!$B462,'Analysis of bottom-up tags'!$B$24:$B$25,0),MATCH(Dashboard!I$21,'Analysis of bottom-up tags'!$N$6:$W$6,0))*I$24</f>
        <v>1928.6291165943485</v>
      </c>
      <c r="J462" s="151">
        <f>INDEX('Analysis of bottom-up tags'!$N$24:$W$25,MATCH(Dashboard!$B462,'Analysis of bottom-up tags'!$B$24:$B$25,0),MATCH(Dashboard!J$21,'Analysis of bottom-up tags'!$N$6:$W$6,0))*J$24</f>
        <v>2140.5686863650253</v>
      </c>
      <c r="K462" s="151">
        <f>INDEX('Analysis of bottom-up tags'!$N$24:$W$25,MATCH(Dashboard!$B462,'Analysis of bottom-up tags'!$B$24:$B$25,0),MATCH(Dashboard!K$21,'Analysis of bottom-up tags'!$N$6:$W$6,0))*K$24</f>
        <v>2360.6510658196394</v>
      </c>
      <c r="L462" s="151">
        <f>INDEX('Analysis of bottom-up tags'!$N$24:$W$25,MATCH(Dashboard!$B462,'Analysis of bottom-up tags'!$B$24:$B$25,0),MATCH(Dashboard!L$21,'Analysis of bottom-up tags'!$N$6:$W$6,0))*L$24</f>
        <v>2233.8172394531553</v>
      </c>
      <c r="M462" s="151">
        <f t="shared" ref="M462" si="245">SUM(C462:L462)</f>
        <v>19013.820823068341</v>
      </c>
    </row>
    <row r="464" spans="2:13">
      <c r="B464" s="163" t="s">
        <v>10463</v>
      </c>
      <c r="C464" s="163"/>
      <c r="D464" s="163"/>
      <c r="E464" s="163"/>
      <c r="F464" s="163"/>
      <c r="G464" s="163"/>
      <c r="H464" s="163"/>
      <c r="I464" s="163"/>
      <c r="J464" s="163"/>
      <c r="K464" s="163"/>
      <c r="L464" s="163"/>
      <c r="M464" s="163"/>
    </row>
    <row r="465" spans="2:13">
      <c r="B465" s="151" t="s">
        <v>10466</v>
      </c>
      <c r="C465" s="151">
        <f>INDEX('Analysis of bottom-up tags'!$N$27:$W$29,MATCH(Dashboard!$B465,'Analysis of bottom-up tags'!$B$27:$B$29,0),MATCH(Dashboard!C$21,'Analysis of bottom-up tags'!$N$6:$W$6,0))*C$24</f>
        <v>1497.7080489114821</v>
      </c>
      <c r="D465" s="151">
        <f>INDEX('Analysis of bottom-up tags'!$N$27:$W$29,MATCH(Dashboard!$B465,'Analysis of bottom-up tags'!$B$27:$B$29,0),MATCH(Dashboard!D$21,'Analysis of bottom-up tags'!$N$6:$W$6,0))*D$24</f>
        <v>1648.1513531328574</v>
      </c>
      <c r="E465" s="151">
        <f>INDEX('Analysis of bottom-up tags'!$N$27:$W$29,MATCH(Dashboard!$B465,'Analysis of bottom-up tags'!$B$27:$B$29,0),MATCH(Dashboard!E$21,'Analysis of bottom-up tags'!$N$6:$W$6,0))*E$24</f>
        <v>1427.4484529149388</v>
      </c>
      <c r="F465" s="151">
        <f>INDEX('Analysis of bottom-up tags'!$N$27:$W$29,MATCH(Dashboard!$B465,'Analysis of bottom-up tags'!$B$27:$B$29,0),MATCH(Dashboard!F$21,'Analysis of bottom-up tags'!$N$6:$W$6,0))*F$24</f>
        <v>1165.0643754393691</v>
      </c>
      <c r="G465" s="151">
        <f>INDEX('Analysis of bottom-up tags'!$N$27:$W$29,MATCH(Dashboard!$B465,'Analysis of bottom-up tags'!$B$27:$B$29,0),MATCH(Dashboard!G$21,'Analysis of bottom-up tags'!$N$6:$W$6,0))*G$24</f>
        <v>1996.1683380308034</v>
      </c>
      <c r="H465" s="151">
        <f>INDEX('Analysis of bottom-up tags'!$N$27:$W$29,MATCH(Dashboard!$B465,'Analysis of bottom-up tags'!$B$27:$B$29,0),MATCH(Dashboard!H$21,'Analysis of bottom-up tags'!$N$6:$W$6,0))*H$24</f>
        <v>2140.8411528040115</v>
      </c>
      <c r="I465" s="151">
        <f>INDEX('Analysis of bottom-up tags'!$N$27:$W$29,MATCH(Dashboard!$B465,'Analysis of bottom-up tags'!$B$27:$B$29,0),MATCH(Dashboard!I$21,'Analysis of bottom-up tags'!$N$6:$W$6,0))*I$24</f>
        <v>1926.5048944242317</v>
      </c>
      <c r="J465" s="151">
        <f>INDEX('Analysis of bottom-up tags'!$N$27:$W$29,MATCH(Dashboard!$B465,'Analysis of bottom-up tags'!$B$27:$B$29,0),MATCH(Dashboard!J$21,'Analysis of bottom-up tags'!$N$6:$W$6,0))*J$24</f>
        <v>2020.7622962810563</v>
      </c>
      <c r="K465" s="151">
        <f>INDEX('Analysis of bottom-up tags'!$N$27:$W$29,MATCH(Dashboard!$B465,'Analysis of bottom-up tags'!$B$27:$B$29,0),MATCH(Dashboard!K$21,'Analysis of bottom-up tags'!$N$6:$W$6,0))*K$24</f>
        <v>2350.6244081196155</v>
      </c>
      <c r="L465" s="151">
        <f>INDEX('Analysis of bottom-up tags'!$N$27:$W$29,MATCH(Dashboard!$B465,'Analysis of bottom-up tags'!$B$27:$B$29,0),MATCH(Dashboard!L$21,'Analysis of bottom-up tags'!$N$6:$W$6,0))*L$24</f>
        <v>2153.9305334872652</v>
      </c>
      <c r="M465" s="151">
        <f t="shared" ref="M465:M467" si="246">SUM(C465:L465)</f>
        <v>18327.20385354563</v>
      </c>
    </row>
    <row r="466" spans="2:13">
      <c r="B466" s="151" t="s">
        <v>10464</v>
      </c>
      <c r="C466" s="151">
        <f>INDEX('Analysis of bottom-up tags'!$N$27:$W$29,MATCH(Dashboard!$B466,'Analysis of bottom-up tags'!$B$27:$B$29,0),MATCH(Dashboard!C$21,'Analysis of bottom-up tags'!$N$6:$W$6,0))*C$24</f>
        <v>0</v>
      </c>
      <c r="D466" s="151">
        <f>INDEX('Analysis of bottom-up tags'!$N$27:$W$29,MATCH(Dashboard!$B466,'Analysis of bottom-up tags'!$B$27:$B$29,0),MATCH(Dashboard!D$21,'Analysis of bottom-up tags'!$N$6:$W$6,0))*D$24</f>
        <v>0</v>
      </c>
      <c r="E466" s="151">
        <f>INDEX('Analysis of bottom-up tags'!$N$27:$W$29,MATCH(Dashboard!$B466,'Analysis of bottom-up tags'!$B$27:$B$29,0),MATCH(Dashboard!E$21,'Analysis of bottom-up tags'!$N$6:$W$6,0))*E$24</f>
        <v>0</v>
      </c>
      <c r="F466" s="151">
        <f>INDEX('Analysis of bottom-up tags'!$N$27:$W$29,MATCH(Dashboard!$B466,'Analysis of bottom-up tags'!$B$27:$B$29,0),MATCH(Dashboard!F$21,'Analysis of bottom-up tags'!$N$6:$W$6,0))*F$24</f>
        <v>332.18876871020507</v>
      </c>
      <c r="G466" s="151">
        <f>INDEX('Analysis of bottom-up tags'!$N$27:$W$29,MATCH(Dashboard!$B466,'Analysis of bottom-up tags'!$B$27:$B$29,0),MATCH(Dashboard!G$21,'Analysis of bottom-up tags'!$N$6:$W$6,0))*G$24</f>
        <v>0</v>
      </c>
      <c r="H466" s="151">
        <f>INDEX('Analysis of bottom-up tags'!$N$27:$W$29,MATCH(Dashboard!$B466,'Analysis of bottom-up tags'!$B$27:$B$29,0),MATCH(Dashboard!H$21,'Analysis of bottom-up tags'!$N$6:$W$6,0))*H$24</f>
        <v>0</v>
      </c>
      <c r="I466" s="151">
        <f>INDEX('Analysis of bottom-up tags'!$N$27:$W$29,MATCH(Dashboard!$B466,'Analysis of bottom-up tags'!$B$27:$B$29,0),MATCH(Dashboard!I$21,'Analysis of bottom-up tags'!$N$6:$W$6,0))*I$24</f>
        <v>0</v>
      </c>
      <c r="J466" s="151">
        <f>INDEX('Analysis of bottom-up tags'!$N$27:$W$29,MATCH(Dashboard!$B466,'Analysis of bottom-up tags'!$B$27:$B$29,0),MATCH(Dashboard!J$21,'Analysis of bottom-up tags'!$N$6:$W$6,0))*J$24</f>
        <v>105.20087528722672</v>
      </c>
      <c r="K466" s="151">
        <f>INDEX('Analysis of bottom-up tags'!$N$27:$W$29,MATCH(Dashboard!$B466,'Analysis of bottom-up tags'!$B$27:$B$29,0),MATCH(Dashboard!K$21,'Analysis of bottom-up tags'!$N$6:$W$6,0))*K$24</f>
        <v>4.0654019576465794</v>
      </c>
      <c r="L466" s="151">
        <f>INDEX('Analysis of bottom-up tags'!$N$27:$W$29,MATCH(Dashboard!$B466,'Analysis of bottom-up tags'!$B$27:$B$29,0),MATCH(Dashboard!L$21,'Analysis of bottom-up tags'!$N$6:$W$6,0))*L$24</f>
        <v>78.8219953369005</v>
      </c>
      <c r="M466" s="151">
        <f t="shared" si="246"/>
        <v>520.27704129197889</v>
      </c>
    </row>
    <row r="467" spans="2:13">
      <c r="B467" s="151" t="s">
        <v>10465</v>
      </c>
      <c r="C467" s="151">
        <f>INDEX('Analysis of bottom-up tags'!$N$27:$W$29,MATCH(Dashboard!$B467,'Analysis of bottom-up tags'!$B$27:$B$29,0),MATCH(Dashboard!C$21,'Analysis of bottom-up tags'!$N$6:$W$6,0))*C$24</f>
        <v>16.165407865678887</v>
      </c>
      <c r="D467" s="151">
        <f>INDEX('Analysis of bottom-up tags'!$N$27:$W$29,MATCH(Dashboard!$B467,'Analysis of bottom-up tags'!$B$27:$B$29,0),MATCH(Dashboard!D$21,'Analysis of bottom-up tags'!$N$6:$W$6,0))*D$24</f>
        <v>0</v>
      </c>
      <c r="E467" s="151">
        <f>INDEX('Analysis of bottom-up tags'!$N$27:$W$29,MATCH(Dashboard!$B467,'Analysis of bottom-up tags'!$B$27:$B$29,0),MATCH(Dashboard!E$21,'Analysis of bottom-up tags'!$N$6:$W$6,0))*E$24</f>
        <v>111.50227342082295</v>
      </c>
      <c r="F467" s="151">
        <f>INDEX('Analysis of bottom-up tags'!$N$27:$W$29,MATCH(Dashboard!$B467,'Analysis of bottom-up tags'!$B$27:$B$29,0),MATCH(Dashboard!F$21,'Analysis of bottom-up tags'!$N$6:$W$6,0))*F$24</f>
        <v>0</v>
      </c>
      <c r="G467" s="151">
        <f>INDEX('Analysis of bottom-up tags'!$N$27:$W$29,MATCH(Dashboard!$B467,'Analysis of bottom-up tags'!$B$27:$B$29,0),MATCH(Dashboard!G$21,'Analysis of bottom-up tags'!$N$6:$W$6,0))*G$24</f>
        <v>8.6544682637306547</v>
      </c>
      <c r="H467" s="151">
        <f>INDEX('Analysis of bottom-up tags'!$N$27:$W$29,MATCH(Dashboard!$B467,'Analysis of bottom-up tags'!$B$27:$B$29,0),MATCH(Dashboard!H$21,'Analysis of bottom-up tags'!$N$6:$W$6,0))*H$24</f>
        <v>6.2620753422737616</v>
      </c>
      <c r="I467" s="151">
        <f>INDEX('Analysis of bottom-up tags'!$N$27:$W$29,MATCH(Dashboard!$B467,'Analysis of bottom-up tags'!$B$27:$B$29,0),MATCH(Dashboard!I$21,'Analysis of bottom-up tags'!$N$6:$W$6,0))*I$24</f>
        <v>2.1242221701168651</v>
      </c>
      <c r="J467" s="151">
        <f>INDEX('Analysis of bottom-up tags'!$N$27:$W$29,MATCH(Dashboard!$B467,'Analysis of bottom-up tags'!$B$27:$B$29,0),MATCH(Dashboard!J$21,'Analysis of bottom-up tags'!$N$6:$W$6,0))*J$24</f>
        <v>14.605514796742465</v>
      </c>
      <c r="K467" s="151">
        <f>INDEX('Analysis of bottom-up tags'!$N$27:$W$29,MATCH(Dashboard!$B467,'Analysis of bottom-up tags'!$B$27:$B$29,0),MATCH(Dashboard!K$21,'Analysis of bottom-up tags'!$N$6:$W$6,0))*K$24</f>
        <v>5.9612557423770483</v>
      </c>
      <c r="L467" s="151">
        <f>INDEX('Analysis of bottom-up tags'!$N$27:$W$29,MATCH(Dashboard!$B467,'Analysis of bottom-up tags'!$B$27:$B$29,0),MATCH(Dashboard!L$21,'Analysis of bottom-up tags'!$N$6:$W$6,0))*L$24</f>
        <v>1.0647106289888635</v>
      </c>
      <c r="M467" s="151">
        <f t="shared" si="246"/>
        <v>166.33992823073149</v>
      </c>
    </row>
    <row r="468" spans="2:13">
      <c r="B468" s="166" t="s">
        <v>11042</v>
      </c>
      <c r="C468" s="166">
        <f>SUM(C465:C467)</f>
        <v>1513.873456777161</v>
      </c>
      <c r="D468" s="166">
        <f t="shared" ref="D468" si="247">SUM(D465:D467)</f>
        <v>1648.1513531328574</v>
      </c>
      <c r="E468" s="166">
        <f t="shared" ref="E468" si="248">SUM(E465:E467)</f>
        <v>1538.9507263357618</v>
      </c>
      <c r="F468" s="166">
        <f t="shared" ref="F468" si="249">SUM(F465:F467)</f>
        <v>1497.2531441495742</v>
      </c>
      <c r="G468" s="166">
        <f t="shared" ref="G468" si="250">SUM(G465:G467)</f>
        <v>2004.8228062945341</v>
      </c>
      <c r="H468" s="166">
        <f t="shared" ref="H468" si="251">SUM(H465:H467)</f>
        <v>2147.1032281462853</v>
      </c>
      <c r="I468" s="166">
        <f t="shared" ref="I468" si="252">SUM(I465:I467)</f>
        <v>1928.6291165943485</v>
      </c>
      <c r="J468" s="166">
        <f t="shared" ref="J468" si="253">SUM(J465:J467)</f>
        <v>2140.5686863650258</v>
      </c>
      <c r="K468" s="166">
        <f t="shared" ref="K468" si="254">SUM(K465:K467)</f>
        <v>2360.6510658196389</v>
      </c>
      <c r="L468" s="166">
        <f t="shared" ref="L468" si="255">SUM(L465:L467)</f>
        <v>2233.8172394531548</v>
      </c>
      <c r="M468" s="166">
        <f t="shared" ref="M468" si="256">SUM(M465:M467)</f>
        <v>19013.820823068341</v>
      </c>
    </row>
    <row r="469" spans="2:13">
      <c r="B469" s="163" t="s">
        <v>10467</v>
      </c>
      <c r="C469" s="163"/>
      <c r="D469" s="163"/>
      <c r="E469" s="163"/>
      <c r="F469" s="163"/>
      <c r="G469" s="163"/>
      <c r="H469" s="163"/>
      <c r="I469" s="163"/>
      <c r="J469" s="163"/>
      <c r="K469" s="163"/>
      <c r="L469" s="163"/>
      <c r="M469" s="163"/>
    </row>
    <row r="470" spans="2:13">
      <c r="B470" s="151" t="s">
        <v>10970</v>
      </c>
      <c r="C470" s="151">
        <f>INDEX('Analysis of bottom-up tags'!$N$32:$W$33,MATCH(Dashboard!$B470,'Analysis of bottom-up tags'!$B$32:$B$33,0),MATCH(Dashboard!C$21,'Analysis of bottom-up tags'!$N$6:$W$6,0))*C$24</f>
        <v>1513.873456777161</v>
      </c>
      <c r="D470" s="151">
        <f>INDEX('Analysis of bottom-up tags'!$N$32:$W$33,MATCH(Dashboard!$B470,'Analysis of bottom-up tags'!$B$32:$B$33,0),MATCH(Dashboard!D$21,'Analysis of bottom-up tags'!$N$6:$W$6,0))*D$24</f>
        <v>1648.1513531328574</v>
      </c>
      <c r="E470" s="151">
        <f>INDEX('Analysis of bottom-up tags'!$N$32:$W$33,MATCH(Dashboard!$B470,'Analysis of bottom-up tags'!$B$32:$B$33,0),MATCH(Dashboard!E$21,'Analysis of bottom-up tags'!$N$6:$W$6,0))*E$24</f>
        <v>1538.9507263357618</v>
      </c>
      <c r="F470" s="151">
        <f>INDEX('Analysis of bottom-up tags'!$N$32:$W$33,MATCH(Dashboard!$B470,'Analysis of bottom-up tags'!$B$32:$B$33,0),MATCH(Dashboard!F$21,'Analysis of bottom-up tags'!$N$6:$W$6,0))*F$24</f>
        <v>1497.2531441495746</v>
      </c>
      <c r="G470" s="151">
        <f>INDEX('Analysis of bottom-up tags'!$N$32:$W$33,MATCH(Dashboard!$B470,'Analysis of bottom-up tags'!$B$32:$B$33,0),MATCH(Dashboard!G$21,'Analysis of bottom-up tags'!$N$6:$W$6,0))*G$24</f>
        <v>2004.8228062945336</v>
      </c>
      <c r="H470" s="151">
        <f>INDEX('Analysis of bottom-up tags'!$N$32:$W$33,MATCH(Dashboard!$B470,'Analysis of bottom-up tags'!$B$32:$B$33,0),MATCH(Dashboard!H$21,'Analysis of bottom-up tags'!$N$6:$W$6,0))*H$24</f>
        <v>2147.1032281462853</v>
      </c>
      <c r="I470" s="151">
        <f>INDEX('Analysis of bottom-up tags'!$N$32:$W$33,MATCH(Dashboard!$B470,'Analysis of bottom-up tags'!$B$32:$B$33,0),MATCH(Dashboard!I$21,'Analysis of bottom-up tags'!$N$6:$W$6,0))*I$24</f>
        <v>1928.6291165943485</v>
      </c>
      <c r="J470" s="151">
        <f>INDEX('Analysis of bottom-up tags'!$N$32:$W$33,MATCH(Dashboard!$B470,'Analysis of bottom-up tags'!$B$32:$B$33,0),MATCH(Dashboard!J$21,'Analysis of bottom-up tags'!$N$6:$W$6,0))*J$24</f>
        <v>2140.5686863650253</v>
      </c>
      <c r="K470" s="151">
        <f>INDEX('Analysis of bottom-up tags'!$N$32:$W$33,MATCH(Dashboard!$B470,'Analysis of bottom-up tags'!$B$32:$B$33,0),MATCH(Dashboard!K$21,'Analysis of bottom-up tags'!$N$6:$W$6,0))*K$24</f>
        <v>2360.6510658196394</v>
      </c>
      <c r="L470" s="151">
        <f>INDEX('Analysis of bottom-up tags'!$N$32:$W$33,MATCH(Dashboard!$B470,'Analysis of bottom-up tags'!$B$32:$B$33,0),MATCH(Dashboard!L$21,'Analysis of bottom-up tags'!$N$6:$W$6,0))*L$24</f>
        <v>2233.8172394531553</v>
      </c>
      <c r="M470" s="151">
        <f t="shared" ref="M470" si="257">SUM(C470:L470)</f>
        <v>19013.820823068341</v>
      </c>
    </row>
    <row r="473" spans="2:13">
      <c r="B473" s="163" t="s">
        <v>10468</v>
      </c>
      <c r="C473" s="163"/>
      <c r="D473" s="163"/>
      <c r="E473" s="163"/>
      <c r="F473" s="163"/>
      <c r="G473" s="163"/>
      <c r="H473" s="163"/>
      <c r="I473" s="163"/>
      <c r="J473" s="163"/>
      <c r="K473" s="163"/>
      <c r="L473" s="163"/>
      <c r="M473" s="163"/>
    </row>
    <row r="474" spans="2:13">
      <c r="B474" s="151" t="s">
        <v>10973</v>
      </c>
      <c r="C474" s="151">
        <f>INDEX('Analysis of bottom-up tags'!$N$36:$W$39,MATCH(Dashboard!$B474,'Analysis of bottom-up tags'!$B$36:$B$39,0),MATCH(Dashboard!C$21,'Analysis of bottom-up tags'!$N$6:$W$6,0))*C$24</f>
        <v>112.47485041201942</v>
      </c>
      <c r="D474" s="151">
        <f>INDEX('Analysis of bottom-up tags'!$N$36:$W$39,MATCH(Dashboard!$B474,'Analysis of bottom-up tags'!$B$36:$B$39,0),MATCH(Dashboard!D$21,'Analysis of bottom-up tags'!$N$6:$W$6,0))*D$24</f>
        <v>567.66320270649101</v>
      </c>
      <c r="E474" s="151">
        <f>INDEX('Analysis of bottom-up tags'!$N$36:$W$39,MATCH(Dashboard!$B474,'Analysis of bottom-up tags'!$B$36:$B$39,0),MATCH(Dashboard!E$21,'Analysis of bottom-up tags'!$N$6:$W$6,0))*E$24</f>
        <v>1175.7038995564264</v>
      </c>
      <c r="F474" s="151">
        <f>INDEX('Analysis of bottom-up tags'!$N$36:$W$39,MATCH(Dashboard!$B474,'Analysis of bottom-up tags'!$B$36:$B$39,0),MATCH(Dashboard!F$21,'Analysis of bottom-up tags'!$N$6:$W$6,0))*F$24</f>
        <v>492.59020184592424</v>
      </c>
      <c r="G474" s="151">
        <f>INDEX('Analysis of bottom-up tags'!$N$36:$W$39,MATCH(Dashboard!$B474,'Analysis of bottom-up tags'!$B$36:$B$39,0),MATCH(Dashboard!G$21,'Analysis of bottom-up tags'!$N$6:$W$6,0))*G$24</f>
        <v>1702.211042193584</v>
      </c>
      <c r="H474" s="151">
        <f>INDEX('Analysis of bottom-up tags'!$N$36:$W$39,MATCH(Dashboard!$B474,'Analysis of bottom-up tags'!$B$36:$B$39,0),MATCH(Dashboard!H$21,'Analysis of bottom-up tags'!$N$6:$W$6,0))*H$24</f>
        <v>1905.7889198596502</v>
      </c>
      <c r="I474" s="151">
        <f>INDEX('Analysis of bottom-up tags'!$N$36:$W$39,MATCH(Dashboard!$B474,'Analysis of bottom-up tags'!$B$36:$B$39,0),MATCH(Dashboard!I$21,'Analysis of bottom-up tags'!$N$6:$W$6,0))*I$24</f>
        <v>1842.284042294961</v>
      </c>
      <c r="J474" s="151">
        <f>INDEX('Analysis of bottom-up tags'!$N$36:$W$39,MATCH(Dashboard!$B474,'Analysis of bottom-up tags'!$B$36:$B$39,0),MATCH(Dashboard!J$21,'Analysis of bottom-up tags'!$N$6:$W$6,0))*J$24</f>
        <v>1597.2998002592462</v>
      </c>
      <c r="K474" s="151">
        <f>INDEX('Analysis of bottom-up tags'!$N$36:$W$39,MATCH(Dashboard!$B474,'Analysis of bottom-up tags'!$B$36:$B$39,0),MATCH(Dashboard!K$21,'Analysis of bottom-up tags'!$N$6:$W$6,0))*K$24</f>
        <v>2249.4141128360202</v>
      </c>
      <c r="L474" s="151">
        <f>INDEX('Analysis of bottom-up tags'!$N$36:$W$39,MATCH(Dashboard!$B474,'Analysis of bottom-up tags'!$B$36:$B$39,0),MATCH(Dashboard!L$21,'Analysis of bottom-up tags'!$N$6:$W$6,0))*L$24</f>
        <v>1591.557642603329</v>
      </c>
      <c r="M474" s="151">
        <f>SUM(C474:L474)</f>
        <v>13236.987714567653</v>
      </c>
    </row>
    <row r="475" spans="2:13">
      <c r="B475" s="151" t="s">
        <v>10977</v>
      </c>
      <c r="C475" s="151">
        <f>INDEX('Analysis of bottom-up tags'!$N$36:$W$39,MATCH(Dashboard!$B475,'Analysis of bottom-up tags'!$B$36:$B$39,0),MATCH(Dashboard!C$21,'Analysis of bottom-up tags'!$N$6:$W$6,0))*C$24</f>
        <v>1401.3986063651416</v>
      </c>
      <c r="D475" s="151">
        <f>INDEX('Analysis of bottom-up tags'!$N$36:$W$39,MATCH(Dashboard!$B475,'Analysis of bottom-up tags'!$B$36:$B$39,0),MATCH(Dashboard!D$21,'Analysis of bottom-up tags'!$N$6:$W$6,0))*D$24</f>
        <v>1052.7668024179684</v>
      </c>
      <c r="E475" s="151">
        <f>INDEX('Analysis of bottom-up tags'!$N$36:$W$39,MATCH(Dashboard!$B475,'Analysis of bottom-up tags'!$B$36:$B$39,0),MATCH(Dashboard!E$21,'Analysis of bottom-up tags'!$N$6:$W$6,0))*E$24</f>
        <v>363.24682677933532</v>
      </c>
      <c r="F475" s="151">
        <f>INDEX('Analysis of bottom-up tags'!$N$36:$W$39,MATCH(Dashboard!$B475,'Analysis of bottom-up tags'!$B$36:$B$39,0),MATCH(Dashboard!F$21,'Analysis of bottom-up tags'!$N$6:$W$6,0))*F$24</f>
        <v>985.22850414127436</v>
      </c>
      <c r="G475" s="151">
        <f>INDEX('Analysis of bottom-up tags'!$N$36:$W$39,MATCH(Dashboard!$B475,'Analysis of bottom-up tags'!$B$36:$B$39,0),MATCH(Dashboard!G$21,'Analysis of bottom-up tags'!$N$6:$W$6,0))*G$24</f>
        <v>99.323573620372827</v>
      </c>
      <c r="H475" s="151">
        <f>INDEX('Analysis of bottom-up tags'!$N$36:$W$39,MATCH(Dashboard!$B475,'Analysis of bottom-up tags'!$B$36:$B$39,0),MATCH(Dashboard!H$21,'Analysis of bottom-up tags'!$N$6:$W$6,0))*H$24</f>
        <v>180.98197090394791</v>
      </c>
      <c r="I475" s="151">
        <f>INDEX('Analysis of bottom-up tags'!$N$36:$W$39,MATCH(Dashboard!$B475,'Analysis of bottom-up tags'!$B$36:$B$39,0),MATCH(Dashboard!I$21,'Analysis of bottom-up tags'!$N$6:$W$6,0))*I$24</f>
        <v>6.9362615498178712</v>
      </c>
      <c r="J475" s="151">
        <f>INDEX('Analysis of bottom-up tags'!$N$36:$W$39,MATCH(Dashboard!$B475,'Analysis of bottom-up tags'!$B$36:$B$39,0),MATCH(Dashboard!J$21,'Analysis of bottom-up tags'!$N$6:$W$6,0))*J$24</f>
        <v>228.09112579771153</v>
      </c>
      <c r="K475" s="151">
        <f>INDEX('Analysis of bottom-up tags'!$N$36:$W$39,MATCH(Dashboard!$B475,'Analysis of bottom-up tags'!$B$36:$B$39,0),MATCH(Dashboard!K$21,'Analysis of bottom-up tags'!$N$6:$W$6,0))*K$24</f>
        <v>43.581015947091551</v>
      </c>
      <c r="L475" s="151">
        <f>INDEX('Analysis of bottom-up tags'!$N$36:$W$39,MATCH(Dashboard!$B475,'Analysis of bottom-up tags'!$B$36:$B$39,0),MATCH(Dashboard!L$21,'Analysis of bottom-up tags'!$N$6:$W$6,0))*L$24</f>
        <v>350.21120213593525</v>
      </c>
      <c r="M475" s="151">
        <f t="shared" ref="M475:M478" si="258">SUM(C475:L475)</f>
        <v>4711.7658896585963</v>
      </c>
    </row>
    <row r="476" spans="2:13">
      <c r="B476" s="151" t="s">
        <v>10558</v>
      </c>
      <c r="C476" s="151">
        <f>INDEX('Analysis of bottom-up tags'!$N$36:$W$39,MATCH(Dashboard!$B476,'Analysis of bottom-up tags'!$B$36:$B$39,0),MATCH(Dashboard!C$21,'Analysis of bottom-up tags'!$N$6:$W$6,0))*C$24</f>
        <v>0</v>
      </c>
      <c r="D476" s="151">
        <f>INDEX('Analysis of bottom-up tags'!$N$36:$W$39,MATCH(Dashboard!$B476,'Analysis of bottom-up tags'!$B$36:$B$39,0),MATCH(Dashboard!D$21,'Analysis of bottom-up tags'!$N$6:$W$6,0))*D$24</f>
        <v>0</v>
      </c>
      <c r="E476" s="151">
        <f>INDEX('Analysis of bottom-up tags'!$N$36:$W$39,MATCH(Dashboard!$B476,'Analysis of bottom-up tags'!$B$36:$B$39,0),MATCH(Dashboard!E$21,'Analysis of bottom-up tags'!$N$6:$W$6,0))*E$24</f>
        <v>0</v>
      </c>
      <c r="F476" s="151">
        <f>INDEX('Analysis of bottom-up tags'!$N$36:$W$39,MATCH(Dashboard!$B476,'Analysis of bottom-up tags'!$B$36:$B$39,0),MATCH(Dashboard!F$21,'Analysis of bottom-up tags'!$N$6:$W$6,0))*F$24</f>
        <v>0</v>
      </c>
      <c r="G476" s="151">
        <f>INDEX('Analysis of bottom-up tags'!$N$36:$W$39,MATCH(Dashboard!$B476,'Analysis of bottom-up tags'!$B$36:$B$39,0),MATCH(Dashboard!G$21,'Analysis of bottom-up tags'!$N$6:$W$6,0))*G$24</f>
        <v>0</v>
      </c>
      <c r="H476" s="151">
        <f>INDEX('Analysis of bottom-up tags'!$N$36:$W$39,MATCH(Dashboard!$B476,'Analysis of bottom-up tags'!$B$36:$B$39,0),MATCH(Dashboard!H$21,'Analysis of bottom-up tags'!$N$6:$W$6,0))*H$24</f>
        <v>0</v>
      </c>
      <c r="I476" s="151">
        <f>INDEX('Analysis of bottom-up tags'!$N$36:$W$39,MATCH(Dashboard!$B476,'Analysis of bottom-up tags'!$B$36:$B$39,0),MATCH(Dashboard!I$21,'Analysis of bottom-up tags'!$N$6:$W$6,0))*I$24</f>
        <v>0</v>
      </c>
      <c r="J476" s="151">
        <f>INDEX('Analysis of bottom-up tags'!$N$36:$W$39,MATCH(Dashboard!$B476,'Analysis of bottom-up tags'!$B$36:$B$39,0),MATCH(Dashboard!J$21,'Analysis of bottom-up tags'!$N$6:$W$6,0))*J$24</f>
        <v>0</v>
      </c>
      <c r="K476" s="151">
        <f>INDEX('Analysis of bottom-up tags'!$N$36:$W$39,MATCH(Dashboard!$B476,'Analysis of bottom-up tags'!$B$36:$B$39,0),MATCH(Dashboard!K$21,'Analysis of bottom-up tags'!$N$6:$W$6,0))*K$24</f>
        <v>0</v>
      </c>
      <c r="L476" s="151">
        <f>INDEX('Analysis of bottom-up tags'!$N$36:$W$39,MATCH(Dashboard!$B476,'Analysis of bottom-up tags'!$B$36:$B$39,0),MATCH(Dashboard!L$21,'Analysis of bottom-up tags'!$N$6:$W$6,0))*L$24</f>
        <v>0</v>
      </c>
      <c r="M476" s="151">
        <f t="shared" si="258"/>
        <v>0</v>
      </c>
    </row>
    <row r="477" spans="2:13">
      <c r="B477" s="151" t="s">
        <v>10981</v>
      </c>
      <c r="C477" s="151">
        <f>INDEX('Analysis of bottom-up tags'!$N$36:$W$39,MATCH(Dashboard!$B477,'Analysis of bottom-up tags'!$B$36:$B$39,0),MATCH(Dashboard!C$21,'Analysis of bottom-up tags'!$N$6:$W$6,0))*C$24</f>
        <v>0</v>
      </c>
      <c r="D477" s="151">
        <f>INDEX('Analysis of bottom-up tags'!$N$36:$W$39,MATCH(Dashboard!$B477,'Analysis of bottom-up tags'!$B$36:$B$39,0),MATCH(Dashboard!D$21,'Analysis of bottom-up tags'!$N$6:$W$6,0))*D$24</f>
        <v>27.721348008397904</v>
      </c>
      <c r="E477" s="151">
        <f>INDEX('Analysis of bottom-up tags'!$N$36:$W$39,MATCH(Dashboard!$B477,'Analysis of bottom-up tags'!$B$36:$B$39,0),MATCH(Dashboard!E$21,'Analysis of bottom-up tags'!$N$6:$W$6,0))*E$24</f>
        <v>0</v>
      </c>
      <c r="F477" s="151">
        <f>INDEX('Analysis of bottom-up tags'!$N$36:$W$39,MATCH(Dashboard!$B477,'Analysis of bottom-up tags'!$B$36:$B$39,0),MATCH(Dashboard!F$21,'Analysis of bottom-up tags'!$N$6:$W$6,0))*F$24</f>
        <v>19.434438162375578</v>
      </c>
      <c r="G477" s="151">
        <f>INDEX('Analysis of bottom-up tags'!$N$36:$W$39,MATCH(Dashboard!$B477,'Analysis of bottom-up tags'!$B$36:$B$39,0),MATCH(Dashboard!G$21,'Analysis of bottom-up tags'!$N$6:$W$6,0))*G$24</f>
        <v>203.28819048057645</v>
      </c>
      <c r="H477" s="151">
        <f>INDEX('Analysis of bottom-up tags'!$N$36:$W$39,MATCH(Dashboard!$B477,'Analysis of bottom-up tags'!$B$36:$B$39,0),MATCH(Dashboard!H$21,'Analysis of bottom-up tags'!$N$6:$W$6,0))*H$24</f>
        <v>60.332337382687733</v>
      </c>
      <c r="I477" s="151">
        <f>INDEX('Analysis of bottom-up tags'!$N$36:$W$39,MATCH(Dashboard!$B477,'Analysis of bottom-up tags'!$B$36:$B$39,0),MATCH(Dashboard!I$21,'Analysis of bottom-up tags'!$N$6:$W$6,0))*I$24</f>
        <v>79.408812749569734</v>
      </c>
      <c r="J477" s="151">
        <f>INDEX('Analysis of bottom-up tags'!$N$36:$W$39,MATCH(Dashboard!$B477,'Analysis of bottom-up tags'!$B$36:$B$39,0),MATCH(Dashboard!J$21,'Analysis of bottom-up tags'!$N$6:$W$6,0))*J$24</f>
        <v>315.17776030806709</v>
      </c>
      <c r="K477" s="151">
        <f>INDEX('Analysis of bottom-up tags'!$N$36:$W$39,MATCH(Dashboard!$B477,'Analysis of bottom-up tags'!$B$36:$B$39,0),MATCH(Dashboard!K$21,'Analysis of bottom-up tags'!$N$6:$W$6,0))*K$24</f>
        <v>67.655937036526026</v>
      </c>
      <c r="L477" s="151">
        <f>INDEX('Analysis of bottom-up tags'!$N$36:$W$39,MATCH(Dashboard!$B477,'Analysis of bottom-up tags'!$B$36:$B$39,0),MATCH(Dashboard!L$21,'Analysis of bottom-up tags'!$N$6:$W$6,0))*L$24</f>
        <v>292.04839471388999</v>
      </c>
      <c r="M477" s="151">
        <f t="shared" si="258"/>
        <v>1065.0672188420906</v>
      </c>
    </row>
    <row r="478" spans="2:13">
      <c r="B478" s="166" t="s">
        <v>11042</v>
      </c>
      <c r="C478" s="166">
        <f>SUM(C474:C477)</f>
        <v>1513.873456777161</v>
      </c>
      <c r="D478" s="166">
        <f t="shared" ref="D478" si="259">SUM(D474:D477)</f>
        <v>1648.1513531328574</v>
      </c>
      <c r="E478" s="166">
        <f t="shared" ref="E478" si="260">SUM(E474:E477)</f>
        <v>1538.9507263357618</v>
      </c>
      <c r="F478" s="166">
        <f t="shared" ref="F478" si="261">SUM(F474:F477)</f>
        <v>1497.2531441495742</v>
      </c>
      <c r="G478" s="166">
        <f t="shared" ref="G478" si="262">SUM(G474:G477)</f>
        <v>2004.8228062945334</v>
      </c>
      <c r="H478" s="166">
        <f t="shared" ref="H478" si="263">SUM(H474:H477)</f>
        <v>2147.1032281462858</v>
      </c>
      <c r="I478" s="166">
        <f t="shared" ref="I478" si="264">SUM(I474:I477)</f>
        <v>1928.6291165943485</v>
      </c>
      <c r="J478" s="166">
        <f t="shared" ref="J478" si="265">SUM(J474:J477)</f>
        <v>2140.5686863650249</v>
      </c>
      <c r="K478" s="166">
        <f t="shared" ref="K478" si="266">SUM(K474:K477)</f>
        <v>2360.651065819638</v>
      </c>
      <c r="L478" s="166">
        <f t="shared" ref="L478" si="267">SUM(L474:L477)</f>
        <v>2233.8172394531543</v>
      </c>
      <c r="M478" s="166">
        <f t="shared" si="258"/>
        <v>19013.820823068334</v>
      </c>
    </row>
    <row r="479" spans="2:13">
      <c r="B479" s="163" t="s">
        <v>10469</v>
      </c>
      <c r="C479" s="163"/>
      <c r="D479" s="163"/>
      <c r="E479" s="163"/>
      <c r="F479" s="163"/>
      <c r="G479" s="163"/>
      <c r="H479" s="163"/>
      <c r="I479" s="163"/>
      <c r="J479" s="163"/>
      <c r="K479" s="163"/>
      <c r="L479" s="163"/>
      <c r="M479" s="163"/>
    </row>
    <row r="480" spans="2:13">
      <c r="B480" s="151" t="s">
        <v>10957</v>
      </c>
      <c r="C480" s="151">
        <f>INDEX('Analysis of bottom-up tags'!$N$42:$W$45,MATCH(Dashboard!$B480,'Analysis of bottom-up tags'!$B$42:$B$45,0),MATCH(Dashboard!C$21,'Analysis of bottom-up tags'!$N$6:$W$6,0))*C$24</f>
        <v>34.75562691120961</v>
      </c>
      <c r="D480" s="151">
        <f>INDEX('Analysis of bottom-up tags'!$N$42:$W$45,MATCH(Dashboard!$B480,'Analysis of bottom-up tags'!$B$42:$B$45,0),MATCH(Dashboard!D$21,'Analysis of bottom-up tags'!$N$6:$W$6,0))*D$24</f>
        <v>116.95806240229274</v>
      </c>
      <c r="E480" s="151">
        <f>INDEX('Analysis of bottom-up tags'!$N$42:$W$45,MATCH(Dashboard!$B480,'Analysis of bottom-up tags'!$B$42:$B$45,0),MATCH(Dashboard!E$21,'Analysis of bottom-up tags'!$N$6:$W$6,0))*E$24</f>
        <v>7.65774328071653</v>
      </c>
      <c r="F480" s="151">
        <f>INDEX('Analysis of bottom-up tags'!$N$42:$W$45,MATCH(Dashboard!$B480,'Analysis of bottom-up tags'!$B$42:$B$45,0),MATCH(Dashboard!F$21,'Analysis of bottom-up tags'!$N$6:$W$6,0))*F$24</f>
        <v>401.6085484757777</v>
      </c>
      <c r="G480" s="151">
        <f>INDEX('Analysis of bottom-up tags'!$N$42:$W$45,MATCH(Dashboard!$B480,'Analysis of bottom-up tags'!$B$42:$B$45,0),MATCH(Dashboard!G$21,'Analysis of bottom-up tags'!$N$6:$W$6,0))*G$24</f>
        <v>1169.6858867976307</v>
      </c>
      <c r="H480" s="151">
        <f>INDEX('Analysis of bottom-up tags'!$N$42:$W$45,MATCH(Dashboard!$B480,'Analysis of bottom-up tags'!$B$42:$B$45,0),MATCH(Dashboard!H$21,'Analysis of bottom-up tags'!$N$6:$W$6,0))*H$24</f>
        <v>511.72374061067575</v>
      </c>
      <c r="I480" s="151">
        <f>INDEX('Analysis of bottom-up tags'!$N$42:$W$45,MATCH(Dashboard!$B480,'Analysis of bottom-up tags'!$B$42:$B$45,0),MATCH(Dashboard!I$21,'Analysis of bottom-up tags'!$N$6:$W$6,0))*I$24</f>
        <v>1146.6386873280969</v>
      </c>
      <c r="J480" s="151">
        <f>INDEX('Analysis of bottom-up tags'!$N$42:$W$45,MATCH(Dashboard!$B480,'Analysis of bottom-up tags'!$B$42:$B$45,0),MATCH(Dashboard!J$21,'Analysis of bottom-up tags'!$N$6:$W$6,0))*J$24</f>
        <v>663.38954724458483</v>
      </c>
      <c r="K480" s="151">
        <f>INDEX('Analysis of bottom-up tags'!$N$42:$W$45,MATCH(Dashboard!$B480,'Analysis of bottom-up tags'!$B$42:$B$45,0),MATCH(Dashboard!K$21,'Analysis of bottom-up tags'!$N$6:$W$6,0))*K$24</f>
        <v>2176.5970233405401</v>
      </c>
      <c r="L480" s="151">
        <f>INDEX('Analysis of bottom-up tags'!$N$42:$W$45,MATCH(Dashboard!$B480,'Analysis of bottom-up tags'!$B$42:$B$45,0),MATCH(Dashboard!L$21,'Analysis of bottom-up tags'!$N$6:$W$6,0))*L$24</f>
        <v>1235.4208157247781</v>
      </c>
      <c r="M480" s="151">
        <f t="shared" ref="M480:M484" si="268">SUM(C480:L480)</f>
        <v>7464.4356821163019</v>
      </c>
    </row>
    <row r="481" spans="2:14">
      <c r="B481" s="151" t="s">
        <v>10967</v>
      </c>
      <c r="C481" s="151">
        <f>INDEX('Analysis of bottom-up tags'!$N$42:$W$45,MATCH(Dashboard!$B481,'Analysis of bottom-up tags'!$B$42:$B$45,0),MATCH(Dashboard!C$21,'Analysis of bottom-up tags'!$N$6:$W$6,0))*C$24</f>
        <v>919.97416990617864</v>
      </c>
      <c r="D481" s="151">
        <f>INDEX('Analysis of bottom-up tags'!$N$42:$W$45,MATCH(Dashboard!$B481,'Analysis of bottom-up tags'!$B$42:$B$45,0),MATCH(Dashboard!D$21,'Analysis of bottom-up tags'!$N$6:$W$6,0))*D$24</f>
        <v>937.91393275879466</v>
      </c>
      <c r="E481" s="151">
        <f>INDEX('Analysis of bottom-up tags'!$N$42:$W$45,MATCH(Dashboard!$B481,'Analysis of bottom-up tags'!$B$42:$B$45,0),MATCH(Dashboard!E$21,'Analysis of bottom-up tags'!$N$6:$W$6,0))*E$24</f>
        <v>355.58908349861878</v>
      </c>
      <c r="F481" s="151">
        <f>INDEX('Analysis of bottom-up tags'!$N$42:$W$45,MATCH(Dashboard!$B481,'Analysis of bottom-up tags'!$B$42:$B$45,0),MATCH(Dashboard!F$21,'Analysis of bottom-up tags'!$N$6:$W$6,0))*F$24</f>
        <v>126.74821920746855</v>
      </c>
      <c r="G481" s="151">
        <f>INDEX('Analysis of bottom-up tags'!$N$42:$W$45,MATCH(Dashboard!$B481,'Analysis of bottom-up tags'!$B$42:$B$45,0),MATCH(Dashboard!G$21,'Analysis of bottom-up tags'!$N$6:$W$6,0))*G$24</f>
        <v>12.121178149721281</v>
      </c>
      <c r="H481" s="151">
        <f>INDEX('Analysis of bottom-up tags'!$N$42:$W$45,MATCH(Dashboard!$B481,'Analysis of bottom-up tags'!$B$42:$B$45,0),MATCH(Dashboard!H$21,'Analysis of bottom-up tags'!$N$6:$W$6,0))*H$24</f>
        <v>370.06844283497611</v>
      </c>
      <c r="I481" s="151">
        <f>INDEX('Analysis of bottom-up tags'!$N$42:$W$45,MATCH(Dashboard!$B481,'Analysis of bottom-up tags'!$B$42:$B$45,0),MATCH(Dashboard!I$21,'Analysis of bottom-up tags'!$N$6:$W$6,0))*I$24</f>
        <v>45.457479763454501</v>
      </c>
      <c r="J481" s="151">
        <f>INDEX('Analysis of bottom-up tags'!$N$42:$W$45,MATCH(Dashboard!$B481,'Analysis of bottom-up tags'!$B$42:$B$45,0),MATCH(Dashboard!J$21,'Analysis of bottom-up tags'!$N$6:$W$6,0))*J$24</f>
        <v>72.73433188779299</v>
      </c>
      <c r="K481" s="151">
        <f>INDEX('Analysis of bottom-up tags'!$N$42:$W$45,MATCH(Dashboard!$B481,'Analysis of bottom-up tags'!$B$42:$B$45,0),MATCH(Dashboard!K$21,'Analysis of bottom-up tags'!$N$6:$W$6,0))*K$24</f>
        <v>2.1060349454113108</v>
      </c>
      <c r="L481" s="151">
        <f>INDEX('Analysis of bottom-up tags'!$N$42:$W$45,MATCH(Dashboard!$B481,'Analysis of bottom-up tags'!$B$42:$B$45,0),MATCH(Dashboard!L$21,'Analysis of bottom-up tags'!$N$6:$W$6,0))*L$24</f>
        <v>21.654360761827526</v>
      </c>
      <c r="M481" s="151">
        <f t="shared" si="268"/>
        <v>2864.3672337142443</v>
      </c>
    </row>
    <row r="482" spans="2:14">
      <c r="B482" s="151" t="s">
        <v>10959</v>
      </c>
      <c r="C482" s="151">
        <f>INDEX('Analysis of bottom-up tags'!$N$42:$W$45,MATCH(Dashboard!$B482,'Analysis of bottom-up tags'!$B$42:$B$45,0),MATCH(Dashboard!C$21,'Analysis of bottom-up tags'!$N$6:$W$6,0))*C$24</f>
        <v>17.366125865717919</v>
      </c>
      <c r="D482" s="151">
        <f>INDEX('Analysis of bottom-up tags'!$N$42:$W$45,MATCH(Dashboard!$B482,'Analysis of bottom-up tags'!$B$42:$B$45,0),MATCH(Dashboard!D$21,'Analysis of bottom-up tags'!$N$6:$W$6,0))*D$24</f>
        <v>54.543428087376292</v>
      </c>
      <c r="E482" s="151">
        <f>INDEX('Analysis of bottom-up tags'!$N$42:$W$45,MATCH(Dashboard!$B482,'Analysis of bottom-up tags'!$B$42:$B$45,0),MATCH(Dashboard!E$21,'Analysis of bottom-up tags'!$N$6:$W$6,0))*E$24</f>
        <v>858.82311372853508</v>
      </c>
      <c r="F482" s="151">
        <f>INDEX('Analysis of bottom-up tags'!$N$42:$W$45,MATCH(Dashboard!$B482,'Analysis of bottom-up tags'!$B$42:$B$45,0),MATCH(Dashboard!F$21,'Analysis of bottom-up tags'!$N$6:$W$6,0))*F$24</f>
        <v>211.12293736141635</v>
      </c>
      <c r="G482" s="151">
        <f>INDEX('Analysis of bottom-up tags'!$N$42:$W$45,MATCH(Dashboard!$B482,'Analysis of bottom-up tags'!$B$42:$B$45,0),MATCH(Dashboard!G$21,'Analysis of bottom-up tags'!$N$6:$W$6,0))*G$24</f>
        <v>339.56260032971153</v>
      </c>
      <c r="H482" s="151">
        <f>INDEX('Analysis of bottom-up tags'!$N$42:$W$45,MATCH(Dashboard!$B482,'Analysis of bottom-up tags'!$B$42:$B$45,0),MATCH(Dashboard!H$21,'Analysis of bottom-up tags'!$N$6:$W$6,0))*H$24</f>
        <v>204.64892893044083</v>
      </c>
      <c r="I482" s="151">
        <f>INDEX('Analysis of bottom-up tags'!$N$42:$W$45,MATCH(Dashboard!$B482,'Analysis of bottom-up tags'!$B$42:$B$45,0),MATCH(Dashboard!I$21,'Analysis of bottom-up tags'!$N$6:$W$6,0))*I$24</f>
        <v>141.47988869107002</v>
      </c>
      <c r="J482" s="151">
        <f>INDEX('Analysis of bottom-up tags'!$N$42:$W$45,MATCH(Dashboard!$B482,'Analysis of bottom-up tags'!$B$42:$B$45,0),MATCH(Dashboard!J$21,'Analysis of bottom-up tags'!$N$6:$W$6,0))*J$24</f>
        <v>1360.8145140094564</v>
      </c>
      <c r="K482" s="151">
        <f>INDEX('Analysis of bottom-up tags'!$N$42:$W$45,MATCH(Dashboard!$B482,'Analysis of bottom-up tags'!$B$42:$B$45,0),MATCH(Dashboard!K$21,'Analysis of bottom-up tags'!$N$6:$W$6,0))*K$24</f>
        <v>166.62904117176788</v>
      </c>
      <c r="L482" s="151">
        <f>INDEX('Analysis of bottom-up tags'!$N$42:$W$45,MATCH(Dashboard!$B482,'Analysis of bottom-up tags'!$B$42:$B$45,0),MATCH(Dashboard!L$21,'Analysis of bottom-up tags'!$N$6:$W$6,0))*L$24</f>
        <v>943.83125720475107</v>
      </c>
      <c r="M482" s="151">
        <f t="shared" si="268"/>
        <v>4298.8218353802431</v>
      </c>
    </row>
    <row r="483" spans="2:14">
      <c r="B483" s="151" t="s">
        <v>10558</v>
      </c>
      <c r="C483" s="151">
        <f>INDEX('Analysis of bottom-up tags'!$N$42:$W$45,MATCH(Dashboard!$B483,'Analysis of bottom-up tags'!$B$42:$B$45,0),MATCH(Dashboard!C$21,'Analysis of bottom-up tags'!$N$6:$W$6,0))*C$24</f>
        <v>541.77753409405466</v>
      </c>
      <c r="D483" s="151">
        <f>INDEX('Analysis of bottom-up tags'!$N$42:$W$45,MATCH(Dashboard!$B483,'Analysis of bottom-up tags'!$B$42:$B$45,0),MATCH(Dashboard!D$21,'Analysis of bottom-up tags'!$N$6:$W$6,0))*D$24</f>
        <v>538.73592988439361</v>
      </c>
      <c r="E483" s="151">
        <f>INDEX('Analysis of bottom-up tags'!$N$42:$W$45,MATCH(Dashboard!$B483,'Analysis of bottom-up tags'!$B$42:$B$45,0),MATCH(Dashboard!E$21,'Analysis of bottom-up tags'!$N$6:$W$6,0))*E$24</f>
        <v>316.8807858278912</v>
      </c>
      <c r="F483" s="151">
        <f>INDEX('Analysis of bottom-up tags'!$N$42:$W$45,MATCH(Dashboard!$B483,'Analysis of bottom-up tags'!$B$42:$B$45,0),MATCH(Dashboard!F$21,'Analysis of bottom-up tags'!$N$6:$W$6,0))*F$24</f>
        <v>757.77343910491163</v>
      </c>
      <c r="G483" s="151">
        <f>INDEX('Analysis of bottom-up tags'!$N$42:$W$45,MATCH(Dashboard!$B483,'Analysis of bottom-up tags'!$B$42:$B$45,0),MATCH(Dashboard!G$21,'Analysis of bottom-up tags'!$N$6:$W$6,0))*G$24</f>
        <v>483.45314101746987</v>
      </c>
      <c r="H483" s="151">
        <f>INDEX('Analysis of bottom-up tags'!$N$42:$W$45,MATCH(Dashboard!$B483,'Analysis of bottom-up tags'!$B$42:$B$45,0),MATCH(Dashboard!H$21,'Analysis of bottom-up tags'!$N$6:$W$6,0))*H$24</f>
        <v>1060.6621157701936</v>
      </c>
      <c r="I483" s="151">
        <f>INDEX('Analysis of bottom-up tags'!$N$42:$W$45,MATCH(Dashboard!$B483,'Analysis of bottom-up tags'!$B$42:$B$45,0),MATCH(Dashboard!I$21,'Analysis of bottom-up tags'!$N$6:$W$6,0))*I$24</f>
        <v>595.05306081172739</v>
      </c>
      <c r="J483" s="151">
        <f>INDEX('Analysis of bottom-up tags'!$N$42:$W$45,MATCH(Dashboard!$B483,'Analysis of bottom-up tags'!$B$42:$B$45,0),MATCH(Dashboard!J$21,'Analysis of bottom-up tags'!$N$6:$W$6,0))*J$24</f>
        <v>43.63029322318944</v>
      </c>
      <c r="K483" s="151">
        <f>INDEX('Analysis of bottom-up tags'!$N$42:$W$45,MATCH(Dashboard!$B483,'Analysis of bottom-up tags'!$B$42:$B$45,0),MATCH(Dashboard!K$21,'Analysis of bottom-up tags'!$N$6:$W$6,0))*K$24</f>
        <v>15.318966361918989</v>
      </c>
      <c r="L483" s="151">
        <f>INDEX('Analysis of bottom-up tags'!$N$42:$W$45,MATCH(Dashboard!$B483,'Analysis of bottom-up tags'!$B$42:$B$45,0),MATCH(Dashboard!L$21,'Analysis of bottom-up tags'!$N$6:$W$6,0))*L$24</f>
        <v>32.910805761797938</v>
      </c>
      <c r="M483" s="151">
        <f t="shared" si="268"/>
        <v>4386.1960718575483</v>
      </c>
      <c r="N483" s="101"/>
    </row>
    <row r="484" spans="2:14">
      <c r="B484" s="166" t="s">
        <v>11042</v>
      </c>
      <c r="C484" s="166">
        <f>SUM(C480:C483)</f>
        <v>1513.8734567771608</v>
      </c>
      <c r="D484" s="166">
        <f t="shared" ref="D484" si="269">SUM(D480:D483)</f>
        <v>1648.1513531328574</v>
      </c>
      <c r="E484" s="166">
        <f t="shared" ref="E484" si="270">SUM(E480:E483)</f>
        <v>1538.9507263357616</v>
      </c>
      <c r="F484" s="166">
        <f t="shared" ref="F484" si="271">SUM(F480:F483)</f>
        <v>1497.2531441495744</v>
      </c>
      <c r="G484" s="166">
        <f t="shared" ref="G484" si="272">SUM(G480:G483)</f>
        <v>2004.8228062945336</v>
      </c>
      <c r="H484" s="166">
        <f t="shared" ref="H484" si="273">SUM(H480:H483)</f>
        <v>2147.1032281462863</v>
      </c>
      <c r="I484" s="166">
        <f t="shared" ref="I484" si="274">SUM(I480:I483)</f>
        <v>1928.6291165943489</v>
      </c>
      <c r="J484" s="166">
        <f t="shared" ref="J484" si="275">SUM(J480:J483)</f>
        <v>2140.5686863650235</v>
      </c>
      <c r="K484" s="166">
        <f t="shared" ref="K484" si="276">SUM(K480:K483)</f>
        <v>2360.6510658196385</v>
      </c>
      <c r="L484" s="166">
        <f>SUM(L480:L483)</f>
        <v>2233.8172394531543</v>
      </c>
      <c r="M484" s="166">
        <f t="shared" si="268"/>
        <v>19013.820823068341</v>
      </c>
    </row>
    <row r="485" spans="2:14">
      <c r="B485" s="163" t="s">
        <v>10470</v>
      </c>
      <c r="C485" s="163"/>
      <c r="D485" s="163"/>
      <c r="E485" s="163"/>
      <c r="F485" s="163"/>
      <c r="G485" s="163"/>
      <c r="H485" s="163"/>
      <c r="I485" s="163"/>
      <c r="J485" s="163"/>
      <c r="K485" s="163"/>
      <c r="L485" s="163"/>
      <c r="M485" s="163"/>
    </row>
    <row r="486" spans="2:14">
      <c r="B486" s="151" t="s">
        <v>10558</v>
      </c>
      <c r="C486" s="151">
        <f>INDEX('Analysis of bottom-up tags'!$N$48:$W$51,MATCH(Dashboard!$B486,'Analysis of bottom-up tags'!$B$48:$B$51,0),MATCH(Dashboard!C$21,'Analysis of bottom-up tags'!$N$6:$W$6,0))*C$24</f>
        <v>1430.6216062689148</v>
      </c>
      <c r="D486" s="151">
        <f>INDEX('Analysis of bottom-up tags'!$N$48:$W$51,MATCH(Dashboard!$B486,'Analysis of bottom-up tags'!$B$48:$B$51,0),MATCH(Dashboard!D$21,'Analysis of bottom-up tags'!$N$6:$W$6,0))*D$24</f>
        <v>1531.9845223287246</v>
      </c>
      <c r="E486" s="151">
        <f>INDEX('Analysis of bottom-up tags'!$N$48:$W$51,MATCH(Dashboard!$B486,'Analysis of bottom-up tags'!$B$48:$B$51,0),MATCH(Dashboard!E$21,'Analysis of bottom-up tags'!$N$6:$W$6,0))*E$24</f>
        <v>1137.5769586153349</v>
      </c>
      <c r="F486" s="151">
        <f>INDEX('Analysis of bottom-up tags'!$N$48:$W$51,MATCH(Dashboard!$B486,'Analysis of bottom-up tags'!$B$48:$B$51,0),MATCH(Dashboard!F$21,'Analysis of bottom-up tags'!$N$6:$W$6,0))*F$24</f>
        <v>1109.4013637237049</v>
      </c>
      <c r="G486" s="151">
        <f>INDEX('Analysis of bottom-up tags'!$N$48:$W$51,MATCH(Dashboard!$B486,'Analysis of bottom-up tags'!$B$48:$B$51,0),MATCH(Dashboard!G$21,'Analysis of bottom-up tags'!$N$6:$W$6,0))*G$24</f>
        <v>1951.3118634907553</v>
      </c>
      <c r="H486" s="151">
        <f>INDEX('Analysis of bottom-up tags'!$N$48:$W$51,MATCH(Dashboard!$B486,'Analysis of bottom-up tags'!$B$48:$B$51,0),MATCH(Dashboard!H$21,'Analysis of bottom-up tags'!$N$6:$W$6,0))*H$24</f>
        <v>2090.2801119508044</v>
      </c>
      <c r="I486" s="151">
        <f>INDEX('Analysis of bottom-up tags'!$N$48:$W$51,MATCH(Dashboard!$B486,'Analysis of bottom-up tags'!$B$48:$B$51,0),MATCH(Dashboard!I$21,'Analysis of bottom-up tags'!$N$6:$W$6,0))*I$24</f>
        <v>1864.1530676928369</v>
      </c>
      <c r="J486" s="151">
        <f>INDEX('Analysis of bottom-up tags'!$N$48:$W$51,MATCH(Dashboard!$B486,'Analysis of bottom-up tags'!$B$48:$B$51,0),MATCH(Dashboard!J$21,'Analysis of bottom-up tags'!$N$6:$W$6,0))*J$24</f>
        <v>2080.3955051764588</v>
      </c>
      <c r="K486" s="151">
        <f>INDEX('Analysis of bottom-up tags'!$N$48:$W$51,MATCH(Dashboard!$B486,'Analysis of bottom-up tags'!$B$48:$B$51,0),MATCH(Dashboard!K$21,'Analysis of bottom-up tags'!$N$6:$W$6,0))*K$24</f>
        <v>2350.2791039680428</v>
      </c>
      <c r="L486" s="151">
        <f>INDEX('Analysis of bottom-up tags'!$N$48:$W$51,MATCH(Dashboard!$B486,'Analysis of bottom-up tags'!$B$48:$B$51,0),MATCH(Dashboard!L$21,'Analysis of bottom-up tags'!$N$6:$W$6,0))*L$24</f>
        <v>2221.4652325724137</v>
      </c>
      <c r="M486" s="151">
        <f t="shared" ref="M486:M490" si="277">SUM(C486:L486)</f>
        <v>17767.469335787991</v>
      </c>
      <c r="N486" s="101"/>
    </row>
    <row r="487" spans="2:14">
      <c r="B487" s="151" t="s">
        <v>10968</v>
      </c>
      <c r="C487" s="151">
        <f>INDEX('Analysis of bottom-up tags'!$N$48:$W$51,MATCH(Dashboard!$B487,'Analysis of bottom-up tags'!$B$48:$B$51,0),MATCH(Dashboard!C$21,'Analysis of bottom-up tags'!$N$6:$W$6,0))*C$24</f>
        <v>34.75562691120961</v>
      </c>
      <c r="D487" s="151">
        <f>INDEX('Analysis of bottom-up tags'!$N$48:$W$51,MATCH(Dashboard!$B487,'Analysis of bottom-up tags'!$B$48:$B$51,0),MATCH(Dashboard!D$21,'Analysis of bottom-up tags'!$N$6:$W$6,0))*D$24</f>
        <v>116.16683080413291</v>
      </c>
      <c r="E487" s="151">
        <f>INDEX('Analysis of bottom-up tags'!$N$48:$W$51,MATCH(Dashboard!$B487,'Analysis of bottom-up tags'!$B$48:$B$51,0),MATCH(Dashboard!E$21,'Analysis of bottom-up tags'!$N$6:$W$6,0))*E$24</f>
        <v>0</v>
      </c>
      <c r="F487" s="151">
        <f>INDEX('Analysis of bottom-up tags'!$N$48:$W$51,MATCH(Dashboard!$B487,'Analysis of bottom-up tags'!$B$48:$B$51,0),MATCH(Dashboard!F$21,'Analysis of bottom-up tags'!$N$6:$W$6,0))*F$24</f>
        <v>55.663011715664275</v>
      </c>
      <c r="G487" s="151">
        <f>INDEX('Analysis of bottom-up tags'!$N$48:$W$51,MATCH(Dashboard!$B487,'Analysis of bottom-up tags'!$B$48:$B$51,0),MATCH(Dashboard!G$21,'Analysis of bottom-up tags'!$N$6:$W$6,0))*G$24</f>
        <v>53.510942803778605</v>
      </c>
      <c r="H487" s="151">
        <f>INDEX('Analysis of bottom-up tags'!$N$48:$W$51,MATCH(Dashboard!$B487,'Analysis of bottom-up tags'!$B$48:$B$51,0),MATCH(Dashboard!H$21,'Analysis of bottom-up tags'!$N$6:$W$6,0))*H$24</f>
        <v>2.198237165611495</v>
      </c>
      <c r="I487" s="151">
        <f>INDEX('Analysis of bottom-up tags'!$N$48:$W$51,MATCH(Dashboard!$B487,'Analysis of bottom-up tags'!$B$48:$B$51,0),MATCH(Dashboard!I$21,'Analysis of bottom-up tags'!$N$6:$W$6,0))*I$24</f>
        <v>62.101318455821108</v>
      </c>
      <c r="J487" s="151">
        <f>INDEX('Analysis of bottom-up tags'!$N$48:$W$51,MATCH(Dashboard!$B487,'Analysis of bottom-up tags'!$B$48:$B$51,0),MATCH(Dashboard!J$21,'Analysis of bottom-up tags'!$N$6:$W$6,0))*J$24</f>
        <v>59.670558728226517</v>
      </c>
      <c r="K487" s="151">
        <f>INDEX('Analysis of bottom-up tags'!$N$48:$W$51,MATCH(Dashboard!$B487,'Analysis of bottom-up tags'!$B$48:$B$51,0),MATCH(Dashboard!K$21,'Analysis of bottom-up tags'!$N$6:$W$6,0))*K$24</f>
        <v>4.3867525157396488</v>
      </c>
      <c r="L487" s="151">
        <f>INDEX('Analysis of bottom-up tags'!$N$48:$W$51,MATCH(Dashboard!$B487,'Analysis of bottom-up tags'!$B$48:$B$51,0),MATCH(Dashboard!L$21,'Analysis of bottom-up tags'!$N$6:$W$6,0))*L$24</f>
        <v>0.65083603894279085</v>
      </c>
      <c r="M487" s="151">
        <f t="shared" si="277"/>
        <v>389.10411513912698</v>
      </c>
    </row>
    <row r="488" spans="2:14">
      <c r="B488" s="151" t="s">
        <v>11101</v>
      </c>
      <c r="C488" s="151">
        <f>INDEX('Analysis of bottom-up tags'!$N$48:$W$51,MATCH(Dashboard!$B488,'Analysis of bottom-up tags'!$B$48:$B$51,0),MATCH(Dashboard!C$21,'Analysis of bottom-up tags'!$N$6:$W$6,0))*C$24</f>
        <v>32.330815731357774</v>
      </c>
      <c r="D488" s="151">
        <f>INDEX('Analysis of bottom-up tags'!$N$48:$W$51,MATCH(Dashboard!$B488,'Analysis of bottom-up tags'!$B$48:$B$51,0),MATCH(Dashboard!D$21,'Analysis of bottom-up tags'!$N$6:$W$6,0))*D$24</f>
        <v>0</v>
      </c>
      <c r="E488" s="151">
        <f>INDEX('Analysis of bottom-up tags'!$N$48:$W$51,MATCH(Dashboard!$B488,'Analysis of bottom-up tags'!$B$48:$B$51,0),MATCH(Dashboard!E$21,'Analysis of bottom-up tags'!$N$6:$W$6,0))*E$24</f>
        <v>154.27372901243061</v>
      </c>
      <c r="F488" s="151">
        <f>INDEX('Analysis of bottom-up tags'!$N$48:$W$51,MATCH(Dashboard!$B488,'Analysis of bottom-up tags'!$B$48:$B$51,0),MATCH(Dashboard!F$21,'Analysis of bottom-up tags'!$N$6:$W$6,0))*F$24</f>
        <v>332.18876871020507</v>
      </c>
      <c r="G488" s="151">
        <f>INDEX('Analysis of bottom-up tags'!$N$48:$W$51,MATCH(Dashboard!$B488,'Analysis of bottom-up tags'!$B$48:$B$51,0),MATCH(Dashboard!G$21,'Analysis of bottom-up tags'!$N$6:$W$6,0))*G$24</f>
        <v>0</v>
      </c>
      <c r="H488" s="151">
        <f>INDEX('Analysis of bottom-up tags'!$N$48:$W$51,MATCH(Dashboard!$B488,'Analysis of bottom-up tags'!$B$48:$B$51,0),MATCH(Dashboard!H$21,'Analysis of bottom-up tags'!$N$6:$W$6,0))*H$24</f>
        <v>54.624879029869405</v>
      </c>
      <c r="I488" s="151">
        <f>INDEX('Analysis of bottom-up tags'!$N$48:$W$51,MATCH(Dashboard!$B488,'Analysis of bottom-up tags'!$B$48:$B$51,0),MATCH(Dashboard!I$21,'Analysis of bottom-up tags'!$N$6:$W$6,0))*I$24</f>
        <v>0</v>
      </c>
      <c r="J488" s="151">
        <f>INDEX('Analysis of bottom-up tags'!$N$48:$W$51,MATCH(Dashboard!$B488,'Analysis of bottom-up tags'!$B$48:$B$51,0),MATCH(Dashboard!J$21,'Analysis of bottom-up tags'!$N$6:$W$6,0))*J$24</f>
        <v>0.50262246033967728</v>
      </c>
      <c r="K488" s="151">
        <f>INDEX('Analysis of bottom-up tags'!$N$48:$W$51,MATCH(Dashboard!$B488,'Analysis of bottom-up tags'!$B$48:$B$51,0),MATCH(Dashboard!K$21,'Analysis of bottom-up tags'!$N$6:$W$6,0))*K$24</f>
        <v>4.8499175090995346</v>
      </c>
      <c r="L488" s="151">
        <f>INDEX('Analysis of bottom-up tags'!$N$48:$W$51,MATCH(Dashboard!$B488,'Analysis of bottom-up tags'!$B$48:$B$51,0),MATCH(Dashboard!L$21,'Analysis of bottom-up tags'!$N$6:$W$6,0))*L$24</f>
        <v>11.701170841798939</v>
      </c>
      <c r="M488" s="151">
        <f t="shared" si="277"/>
        <v>590.47190329510101</v>
      </c>
    </row>
    <row r="489" spans="2:14">
      <c r="B489" s="151" t="s">
        <v>11102</v>
      </c>
      <c r="C489" s="151">
        <f>INDEX('Analysis of bottom-up tags'!$N$48:$W$51,MATCH(Dashboard!$B489,'Analysis of bottom-up tags'!$B$48:$B$51,0),MATCH(Dashboard!C$21,'Analysis of bottom-up tags'!$N$6:$W$6,0))*C$24</f>
        <v>16.165407865678887</v>
      </c>
      <c r="D489" s="151">
        <f>INDEX('Analysis of bottom-up tags'!$N$48:$W$51,MATCH(Dashboard!$B489,'Analysis of bottom-up tags'!$B$48:$B$51,0),MATCH(Dashboard!D$21,'Analysis of bottom-up tags'!$N$6:$W$6,0))*D$24</f>
        <v>0</v>
      </c>
      <c r="E489" s="151">
        <f>INDEX('Analysis of bottom-up tags'!$N$48:$W$51,MATCH(Dashboard!$B489,'Analysis of bottom-up tags'!$B$48:$B$51,0),MATCH(Dashboard!E$21,'Analysis of bottom-up tags'!$N$6:$W$6,0))*E$24</f>
        <v>247.10003870799596</v>
      </c>
      <c r="F489" s="151">
        <f>INDEX('Analysis of bottom-up tags'!$N$48:$W$51,MATCH(Dashboard!$B489,'Analysis of bottom-up tags'!$B$48:$B$51,0),MATCH(Dashboard!F$21,'Analysis of bottom-up tags'!$N$6:$W$6,0))*F$24</f>
        <v>0</v>
      </c>
      <c r="G489" s="151">
        <f>INDEX('Analysis of bottom-up tags'!$N$48:$W$51,MATCH(Dashboard!$B489,'Analysis of bottom-up tags'!$B$48:$B$51,0),MATCH(Dashboard!G$21,'Analysis of bottom-up tags'!$N$6:$W$6,0))*G$24</f>
        <v>0</v>
      </c>
      <c r="H489" s="151">
        <f>INDEX('Analysis of bottom-up tags'!$N$48:$W$51,MATCH(Dashboard!$B489,'Analysis of bottom-up tags'!$B$48:$B$51,0),MATCH(Dashboard!H$21,'Analysis of bottom-up tags'!$N$6:$W$6,0))*H$24</f>
        <v>0</v>
      </c>
      <c r="I489" s="151">
        <f>INDEX('Analysis of bottom-up tags'!$N$48:$W$51,MATCH(Dashboard!$B489,'Analysis of bottom-up tags'!$B$48:$B$51,0),MATCH(Dashboard!I$21,'Analysis of bottom-up tags'!$N$6:$W$6,0))*I$24</f>
        <v>2.3747304456905738</v>
      </c>
      <c r="J489" s="151">
        <f>INDEX('Analysis of bottom-up tags'!$N$48:$W$51,MATCH(Dashboard!$B489,'Analysis of bottom-up tags'!$B$48:$B$51,0),MATCH(Dashboard!J$21,'Analysis of bottom-up tags'!$N$6:$W$6,0))*J$24</f>
        <v>0</v>
      </c>
      <c r="K489" s="151">
        <f>INDEX('Analysis of bottom-up tags'!$N$48:$W$51,MATCH(Dashboard!$B489,'Analysis of bottom-up tags'!$B$48:$B$51,0),MATCH(Dashboard!K$21,'Analysis of bottom-up tags'!$N$6:$W$6,0))*K$24</f>
        <v>1.1352918267563694</v>
      </c>
      <c r="L489" s="151">
        <f>INDEX('Analysis of bottom-up tags'!$N$48:$W$51,MATCH(Dashboard!$B489,'Analysis of bottom-up tags'!$B$48:$B$51,0),MATCH(Dashboard!L$21,'Analysis of bottom-up tags'!$N$6:$W$6,0))*L$24</f>
        <v>0</v>
      </c>
      <c r="M489" s="151">
        <f t="shared" si="277"/>
        <v>266.77546884612178</v>
      </c>
    </row>
    <row r="490" spans="2:14">
      <c r="B490" s="166" t="s">
        <v>11042</v>
      </c>
      <c r="C490" s="166">
        <f>SUM(C486:C489)</f>
        <v>1513.873456777161</v>
      </c>
      <c r="D490" s="166">
        <f t="shared" ref="D490" si="278">SUM(D486:D489)</f>
        <v>1648.1513531328574</v>
      </c>
      <c r="E490" s="166">
        <f t="shared" ref="E490" si="279">SUM(E486:E489)</f>
        <v>1538.9507263357614</v>
      </c>
      <c r="F490" s="166">
        <f t="shared" ref="F490" si="280">SUM(F486:F489)</f>
        <v>1497.2531441495742</v>
      </c>
      <c r="G490" s="166">
        <f t="shared" ref="G490" si="281">SUM(G486:G489)</f>
        <v>2004.8228062945338</v>
      </c>
      <c r="H490" s="166">
        <f t="shared" ref="H490" si="282">SUM(H486:H489)</f>
        <v>2147.1032281462853</v>
      </c>
      <c r="I490" s="166">
        <f t="shared" ref="I490" si="283">SUM(I486:I489)</f>
        <v>1928.6291165943485</v>
      </c>
      <c r="J490" s="166">
        <f t="shared" ref="J490" si="284">SUM(J486:J489)</f>
        <v>2140.5686863650249</v>
      </c>
      <c r="K490" s="166">
        <f t="shared" ref="K490" si="285">SUM(K486:K489)</f>
        <v>2360.6510658196385</v>
      </c>
      <c r="L490" s="166">
        <f t="shared" ref="L490" si="286">SUM(L486:L489)</f>
        <v>2233.8172394531557</v>
      </c>
      <c r="M490" s="166">
        <f t="shared" si="277"/>
        <v>19013.820823068345</v>
      </c>
    </row>
    <row r="491" spans="2:14">
      <c r="B491" s="163" t="s">
        <v>10471</v>
      </c>
      <c r="C491" s="163"/>
      <c r="D491" s="163"/>
      <c r="E491" s="163"/>
      <c r="F491" s="163"/>
      <c r="G491" s="163"/>
      <c r="H491" s="163"/>
      <c r="I491" s="163"/>
      <c r="J491" s="163"/>
      <c r="K491" s="163"/>
      <c r="L491" s="163"/>
      <c r="M491" s="163"/>
    </row>
    <row r="492" spans="2:14">
      <c r="B492" s="22" t="s">
        <v>11163</v>
      </c>
      <c r="C492" s="151">
        <f>INDEX('Analysis of bottom-up tags'!$N$54:$W$69,MATCH(Dashboard!$B492,'Analysis of bottom-up tags'!$B$54:$B$69,0),MATCH(Dashboard!C$21,'Analysis of bottom-up tags'!$N$6:$W$6,0))*C$24</f>
        <v>24.484482392330285</v>
      </c>
      <c r="D492" s="151">
        <f>INDEX('Analysis of bottom-up tags'!$N$54:$W$69,MATCH(Dashboard!$B492,'Analysis of bottom-up tags'!$B$54:$B$69,0),MATCH(Dashboard!D$21,'Analysis of bottom-up tags'!$N$6:$W$6,0))*D$24</f>
        <v>540.04989102935281</v>
      </c>
      <c r="E492" s="151">
        <f>INDEX('Analysis of bottom-up tags'!$N$54:$W$69,MATCH(Dashboard!$B492,'Analysis of bottom-up tags'!$B$54:$B$69,0),MATCH(Dashboard!E$21,'Analysis of bottom-up tags'!$N$6:$W$6,0))*E$24</f>
        <v>162.60705681546051</v>
      </c>
      <c r="F492" s="151">
        <f>INDEX('Analysis of bottom-up tags'!$N$54:$W$69,MATCH(Dashboard!$B492,'Analysis of bottom-up tags'!$B$54:$B$69,0),MATCH(Dashboard!F$21,'Analysis of bottom-up tags'!$N$6:$W$6,0))*F$24</f>
        <v>371.88645558933274</v>
      </c>
      <c r="G492" s="151">
        <f>INDEX('Analysis of bottom-up tags'!$N$54:$W$69,MATCH(Dashboard!$B492,'Analysis of bottom-up tags'!$B$54:$B$69,0),MATCH(Dashboard!G$21,'Analysis of bottom-up tags'!$N$6:$W$6,0))*G$24</f>
        <v>1516.973251115392</v>
      </c>
      <c r="H492" s="151">
        <f>INDEX('Analysis of bottom-up tags'!$N$54:$W$69,MATCH(Dashboard!$B492,'Analysis of bottom-up tags'!$B$54:$B$69,0),MATCH(Dashboard!H$21,'Analysis of bottom-up tags'!$N$6:$W$6,0))*H$24</f>
        <v>1027.3750190978044</v>
      </c>
      <c r="I492" s="151">
        <f>INDEX('Analysis of bottom-up tags'!$N$54:$W$69,MATCH(Dashboard!$B492,'Analysis of bottom-up tags'!$B$54:$B$69,0),MATCH(Dashboard!I$21,'Analysis of bottom-up tags'!$N$6:$W$6,0))*I$24</f>
        <v>1774.7650725972219</v>
      </c>
      <c r="J492" s="151">
        <f>INDEX('Analysis of bottom-up tags'!$N$54:$W$69,MATCH(Dashboard!$B492,'Analysis of bottom-up tags'!$B$54:$B$69,0),MATCH(Dashboard!J$21,'Analysis of bottom-up tags'!$N$6:$W$6,0))*J$24</f>
        <v>715.55896941789501</v>
      </c>
      <c r="K492" s="151">
        <f>INDEX('Analysis of bottom-up tags'!$N$54:$W$69,MATCH(Dashboard!$B492,'Analysis of bottom-up tags'!$B$54:$B$69,0),MATCH(Dashboard!K$21,'Analysis of bottom-up tags'!$N$6:$W$6,0))*K$24</f>
        <v>2170.3573132722709</v>
      </c>
      <c r="L492" s="151">
        <f>INDEX('Analysis of bottom-up tags'!$N$54:$W$69,MATCH(Dashboard!$B492,'Analysis of bottom-up tags'!$B$54:$B$69,0),MATCH(Dashboard!L$21,'Analysis of bottom-up tags'!$N$6:$W$6,0))*L$24</f>
        <v>1345.4021385004994</v>
      </c>
      <c r="M492" s="151">
        <f t="shared" ref="M492:M508" si="287">SUM(C492:L492)</f>
        <v>9649.4596498275605</v>
      </c>
    </row>
    <row r="493" spans="2:14">
      <c r="B493" s="22" t="s">
        <v>10989</v>
      </c>
      <c r="C493" s="151">
        <f>INDEX('Analysis of bottom-up tags'!$N$54:$W$69,MATCH(Dashboard!$B493,'Analysis of bottom-up tags'!$B$54:$B$69,0),MATCH(Dashboard!C$21,'Analysis of bottom-up tags'!$N$6:$W$6,0))*C$24</f>
        <v>901.88750331566393</v>
      </c>
      <c r="D493" s="151">
        <f>INDEX('Analysis of bottom-up tags'!$N$54:$W$69,MATCH(Dashboard!$B493,'Analysis of bottom-up tags'!$B$54:$B$69,0),MATCH(Dashboard!D$21,'Analysis of bottom-up tags'!$N$6:$W$6,0))*D$24</f>
        <v>0</v>
      </c>
      <c r="E493" s="151">
        <f>INDEX('Analysis of bottom-up tags'!$N$54:$W$69,MATCH(Dashboard!$B493,'Analysis of bottom-up tags'!$B$54:$B$69,0),MATCH(Dashboard!E$21,'Analysis of bottom-up tags'!$N$6:$W$6,0))*E$24</f>
        <v>0</v>
      </c>
      <c r="F493" s="151">
        <f>INDEX('Analysis of bottom-up tags'!$N$54:$W$69,MATCH(Dashboard!$B493,'Analysis of bottom-up tags'!$B$54:$B$69,0),MATCH(Dashboard!F$21,'Analysis of bottom-up tags'!$N$6:$W$6,0))*F$24</f>
        <v>28.168278831550548</v>
      </c>
      <c r="G493" s="151">
        <f>INDEX('Analysis of bottom-up tags'!$N$54:$W$69,MATCH(Dashboard!$B493,'Analysis of bottom-up tags'!$B$54:$B$69,0),MATCH(Dashboard!G$21,'Analysis of bottom-up tags'!$N$6:$W$6,0))*G$24</f>
        <v>19.065709528429899</v>
      </c>
      <c r="H493" s="151">
        <f>INDEX('Analysis of bottom-up tags'!$N$54:$W$69,MATCH(Dashboard!$B493,'Analysis of bottom-up tags'!$B$54:$B$69,0),MATCH(Dashboard!H$21,'Analysis of bottom-up tags'!$N$6:$W$6,0))*H$24</f>
        <v>603.00284136681546</v>
      </c>
      <c r="I493" s="151">
        <f>INDEX('Analysis of bottom-up tags'!$N$54:$W$69,MATCH(Dashboard!$B493,'Analysis of bottom-up tags'!$B$54:$B$69,0),MATCH(Dashboard!I$21,'Analysis of bottom-up tags'!$N$6:$W$6,0))*I$24</f>
        <v>5.7662190012962036</v>
      </c>
      <c r="J493" s="151">
        <f>INDEX('Analysis of bottom-up tags'!$N$54:$W$69,MATCH(Dashboard!$B493,'Analysis of bottom-up tags'!$B$54:$B$69,0),MATCH(Dashboard!J$21,'Analysis of bottom-up tags'!$N$6:$W$6,0))*J$24</f>
        <v>75.594508264674687</v>
      </c>
      <c r="K493" s="151">
        <f>INDEX('Analysis of bottom-up tags'!$N$54:$W$69,MATCH(Dashboard!$B493,'Analysis of bottom-up tags'!$B$54:$B$69,0),MATCH(Dashboard!K$21,'Analysis of bottom-up tags'!$N$6:$W$6,0))*K$24</f>
        <v>2.3103531889202711</v>
      </c>
      <c r="L493" s="151">
        <f>INDEX('Analysis of bottom-up tags'!$N$54:$W$69,MATCH(Dashboard!$B493,'Analysis of bottom-up tags'!$B$54:$B$69,0),MATCH(Dashboard!L$21,'Analysis of bottom-up tags'!$N$6:$W$6,0))*L$24</f>
        <v>32.828702390584844</v>
      </c>
      <c r="M493" s="151">
        <f t="shared" si="287"/>
        <v>1668.6241158879359</v>
      </c>
    </row>
    <row r="494" spans="2:14">
      <c r="B494" s="22" t="s">
        <v>10994</v>
      </c>
      <c r="C494" s="151">
        <f>INDEX('Analysis of bottom-up tags'!$N$54:$W$69,MATCH(Dashboard!$B494,'Analysis of bottom-up tags'!$B$54:$B$69,0),MATCH(Dashboard!C$21,'Analysis of bottom-up tags'!$N$6:$W$6,0))*C$24</f>
        <v>484.96223597036658</v>
      </c>
      <c r="D494" s="151">
        <f>INDEX('Analysis of bottom-up tags'!$N$54:$W$69,MATCH(Dashboard!$B494,'Analysis of bottom-up tags'!$B$54:$B$69,0),MATCH(Dashboard!D$21,'Analysis of bottom-up tags'!$N$6:$W$6,0))*D$24</f>
        <v>937.91393275879466</v>
      </c>
      <c r="E494" s="151">
        <f>INDEX('Analysis of bottom-up tags'!$N$54:$W$69,MATCH(Dashboard!$B494,'Analysis of bottom-up tags'!$B$54:$B$69,0),MATCH(Dashboard!E$21,'Analysis of bottom-up tags'!$N$6:$W$6,0))*E$24</f>
        <v>0</v>
      </c>
      <c r="F494" s="151">
        <f>INDEX('Analysis of bottom-up tags'!$N$54:$W$69,MATCH(Dashboard!$B494,'Analysis of bottom-up tags'!$B$54:$B$69,0),MATCH(Dashboard!F$21,'Analysis of bottom-up tags'!$N$6:$W$6,0))*F$24</f>
        <v>139.11813170119169</v>
      </c>
      <c r="G494" s="151">
        <f>INDEX('Analysis of bottom-up tags'!$N$54:$W$69,MATCH(Dashboard!$B494,'Analysis of bottom-up tags'!$B$54:$B$69,0),MATCH(Dashboard!G$21,'Analysis of bottom-up tags'!$N$6:$W$6,0))*G$24</f>
        <v>0.61322983276061016</v>
      </c>
      <c r="H494" s="151">
        <f>INDEX('Analysis of bottom-up tags'!$N$54:$W$69,MATCH(Dashboard!$B494,'Analysis of bottom-up tags'!$B$54:$B$69,0),MATCH(Dashboard!H$21,'Analysis of bottom-up tags'!$N$6:$W$6,0))*H$24</f>
        <v>3.6660383283126481</v>
      </c>
      <c r="I494" s="151">
        <f>INDEX('Analysis of bottom-up tags'!$N$54:$W$69,MATCH(Dashboard!$B494,'Analysis of bottom-up tags'!$B$54:$B$69,0),MATCH(Dashboard!I$21,'Analysis of bottom-up tags'!$N$6:$W$6,0))*I$24</f>
        <v>2.8394511604474566</v>
      </c>
      <c r="J494" s="151">
        <f>INDEX('Analysis of bottom-up tags'!$N$54:$W$69,MATCH(Dashboard!$B494,'Analysis of bottom-up tags'!$B$54:$B$69,0),MATCH(Dashboard!J$21,'Analysis of bottom-up tags'!$N$6:$W$6,0))*J$24</f>
        <v>0</v>
      </c>
      <c r="K494" s="151">
        <f>INDEX('Analysis of bottom-up tags'!$N$54:$W$69,MATCH(Dashboard!$B494,'Analysis of bottom-up tags'!$B$54:$B$69,0),MATCH(Dashboard!K$21,'Analysis of bottom-up tags'!$N$6:$W$6,0))*K$24</f>
        <v>0.3209430284115331</v>
      </c>
      <c r="L494" s="151">
        <f>INDEX('Analysis of bottom-up tags'!$N$54:$W$69,MATCH(Dashboard!$B494,'Analysis of bottom-up tags'!$B$54:$B$69,0),MATCH(Dashboard!L$21,'Analysis of bottom-up tags'!$N$6:$W$6,0))*L$24</f>
        <v>175.02475854121644</v>
      </c>
      <c r="M494" s="151">
        <f t="shared" si="287"/>
        <v>1744.4587213215016</v>
      </c>
    </row>
    <row r="495" spans="2:14">
      <c r="B495" s="22" t="s">
        <v>11002</v>
      </c>
      <c r="C495" s="151">
        <f>INDEX('Analysis of bottom-up tags'!$N$54:$W$69,MATCH(Dashboard!$B495,'Analysis of bottom-up tags'!$B$54:$B$69,0),MATCH(Dashboard!C$21,'Analysis of bottom-up tags'!$N$6:$W$6,0))*C$24</f>
        <v>0</v>
      </c>
      <c r="D495" s="151">
        <f>INDEX('Analysis of bottom-up tags'!$N$54:$W$69,MATCH(Dashboard!$B495,'Analysis of bottom-up tags'!$B$54:$B$69,0),MATCH(Dashboard!D$21,'Analysis of bottom-up tags'!$N$6:$W$6,0))*D$24</f>
        <v>0</v>
      </c>
      <c r="E495" s="151">
        <f>INDEX('Analysis of bottom-up tags'!$N$54:$W$69,MATCH(Dashboard!$B495,'Analysis of bottom-up tags'!$B$54:$B$69,0),MATCH(Dashboard!E$21,'Analysis of bottom-up tags'!$N$6:$W$6,0))*E$24</f>
        <v>355.58908349861878</v>
      </c>
      <c r="F495" s="151">
        <f>INDEX('Analysis of bottom-up tags'!$N$54:$W$69,MATCH(Dashboard!$B495,'Analysis of bottom-up tags'!$B$54:$B$69,0),MATCH(Dashboard!F$21,'Analysis of bottom-up tags'!$N$6:$W$6,0))*F$24</f>
        <v>0</v>
      </c>
      <c r="G495" s="151">
        <f>INDEX('Analysis of bottom-up tags'!$N$54:$W$69,MATCH(Dashboard!$B495,'Analysis of bottom-up tags'!$B$54:$B$69,0),MATCH(Dashboard!G$21,'Analysis of bottom-up tags'!$N$6:$W$6,0))*G$24</f>
        <v>6.036736997460376</v>
      </c>
      <c r="H495" s="151">
        <f>INDEX('Analysis of bottom-up tags'!$N$54:$W$69,MATCH(Dashboard!$B495,'Analysis of bottom-up tags'!$B$54:$B$69,0),MATCH(Dashboard!H$21,'Analysis of bottom-up tags'!$N$6:$W$6,0))*H$24</f>
        <v>0</v>
      </c>
      <c r="I495" s="151">
        <f>INDEX('Analysis of bottom-up tags'!$N$54:$W$69,MATCH(Dashboard!$B495,'Analysis of bottom-up tags'!$B$54:$B$69,0),MATCH(Dashboard!I$21,'Analysis of bottom-up tags'!$N$6:$W$6,0))*I$24</f>
        <v>0</v>
      </c>
      <c r="J495" s="151">
        <f>INDEX('Analysis of bottom-up tags'!$N$54:$W$69,MATCH(Dashboard!$B495,'Analysis of bottom-up tags'!$B$54:$B$69,0),MATCH(Dashboard!J$21,'Analysis of bottom-up tags'!$N$6:$W$6,0))*J$24</f>
        <v>78.709802579661556</v>
      </c>
      <c r="K495" s="151">
        <f>INDEX('Analysis of bottom-up tags'!$N$54:$W$69,MATCH(Dashboard!$B495,'Analysis of bottom-up tags'!$B$54:$B$69,0),MATCH(Dashboard!K$21,'Analysis of bottom-up tags'!$N$6:$W$6,0))*K$24</f>
        <v>0</v>
      </c>
      <c r="L495" s="151">
        <f>INDEX('Analysis of bottom-up tags'!$N$54:$W$69,MATCH(Dashboard!$B495,'Analysis of bottom-up tags'!$B$54:$B$69,0),MATCH(Dashboard!L$21,'Analysis of bottom-up tags'!$N$6:$W$6,0))*L$24</f>
        <v>16.243495542498394</v>
      </c>
      <c r="M495" s="151">
        <f t="shared" si="287"/>
        <v>456.57911861823914</v>
      </c>
    </row>
    <row r="496" spans="2:14">
      <c r="B496" s="22" t="s">
        <v>11164</v>
      </c>
      <c r="C496" s="151">
        <f>INDEX('Analysis of bottom-up tags'!$N$54:$W$69,MATCH(Dashboard!$B496,'Analysis of bottom-up tags'!$B$54:$B$69,0),MATCH(Dashboard!C$21,'Analysis of bottom-up tags'!$N$6:$W$6,0))*C$24</f>
        <v>0</v>
      </c>
      <c r="D496" s="151">
        <f>INDEX('Analysis of bottom-up tags'!$N$54:$W$69,MATCH(Dashboard!$B496,'Analysis of bottom-up tags'!$B$54:$B$69,0),MATCH(Dashboard!D$21,'Analysis of bottom-up tags'!$N$6:$W$6,0))*D$24</f>
        <v>0</v>
      </c>
      <c r="E496" s="151">
        <f>INDEX('Analysis of bottom-up tags'!$N$54:$W$69,MATCH(Dashboard!$B496,'Analysis of bottom-up tags'!$B$54:$B$69,0),MATCH(Dashboard!E$21,'Analysis of bottom-up tags'!$N$6:$W$6,0))*E$24</f>
        <v>7.65774328071653</v>
      </c>
      <c r="F496" s="151">
        <f>INDEX('Analysis of bottom-up tags'!$N$54:$W$69,MATCH(Dashboard!$B496,'Analysis of bottom-up tags'!$B$54:$B$69,0),MATCH(Dashboard!F$21,'Analysis of bottom-up tags'!$N$6:$W$6,0))*F$24</f>
        <v>0</v>
      </c>
      <c r="G496" s="151">
        <f>INDEX('Analysis of bottom-up tags'!$N$54:$W$69,MATCH(Dashboard!$B496,'Analysis of bottom-up tags'!$B$54:$B$69,0),MATCH(Dashboard!G$21,'Analysis of bottom-up tags'!$N$6:$W$6,0))*G$24</f>
        <v>0</v>
      </c>
      <c r="H496" s="151">
        <f>INDEX('Analysis of bottom-up tags'!$N$54:$W$69,MATCH(Dashboard!$B496,'Analysis of bottom-up tags'!$B$54:$B$69,0),MATCH(Dashboard!H$21,'Analysis of bottom-up tags'!$N$6:$W$6,0))*H$24</f>
        <v>263.41780131178723</v>
      </c>
      <c r="I496" s="151">
        <f>INDEX('Analysis of bottom-up tags'!$N$54:$W$69,MATCH(Dashboard!$B496,'Analysis of bottom-up tags'!$B$54:$B$69,0),MATCH(Dashboard!I$21,'Analysis of bottom-up tags'!$N$6:$W$6,0))*I$24</f>
        <v>3.0417507667185317</v>
      </c>
      <c r="J496" s="151">
        <f>INDEX('Analysis of bottom-up tags'!$N$54:$W$69,MATCH(Dashboard!$B496,'Analysis of bottom-up tags'!$B$54:$B$69,0),MATCH(Dashboard!J$21,'Analysis of bottom-up tags'!$N$6:$W$6,0))*J$24</f>
        <v>378.07434835221306</v>
      </c>
      <c r="K496" s="151">
        <f>INDEX('Analysis of bottom-up tags'!$N$54:$W$69,MATCH(Dashboard!$B496,'Analysis of bottom-up tags'!$B$54:$B$69,0),MATCH(Dashboard!K$21,'Analysis of bottom-up tags'!$N$6:$W$6,0))*K$24</f>
        <v>66.070989848251116</v>
      </c>
      <c r="L496" s="151">
        <f>INDEX('Analysis of bottom-up tags'!$N$54:$W$69,MATCH(Dashboard!$B496,'Analysis of bottom-up tags'!$B$54:$B$69,0),MATCH(Dashboard!L$21,'Analysis of bottom-up tags'!$N$6:$W$6,0))*L$24</f>
        <v>0</v>
      </c>
      <c r="M496" s="151">
        <f t="shared" si="287"/>
        <v>718.26263355968638</v>
      </c>
    </row>
    <row r="497" spans="2:13">
      <c r="B497" s="22" t="s">
        <v>10992</v>
      </c>
      <c r="C497" s="151">
        <f>INDEX('Analysis of bottom-up tags'!$N$54:$W$69,MATCH(Dashboard!$B497,'Analysis of bottom-up tags'!$B$54:$B$69,0),MATCH(Dashboard!C$21,'Analysis of bottom-up tags'!$N$6:$W$6,0))*C$24</f>
        <v>0</v>
      </c>
      <c r="D497" s="151">
        <f>INDEX('Analysis of bottom-up tags'!$N$54:$W$69,MATCH(Dashboard!$B497,'Analysis of bottom-up tags'!$B$54:$B$69,0),MATCH(Dashboard!D$21,'Analysis of bottom-up tags'!$N$6:$W$6,0))*D$24</f>
        <v>0</v>
      </c>
      <c r="E497" s="151">
        <f>INDEX('Analysis of bottom-up tags'!$N$54:$W$69,MATCH(Dashboard!$B497,'Analysis of bottom-up tags'!$B$54:$B$69,0),MATCH(Dashboard!E$21,'Analysis of bottom-up tags'!$N$6:$W$6,0))*E$24</f>
        <v>0</v>
      </c>
      <c r="F497" s="151">
        <f>INDEX('Analysis of bottom-up tags'!$N$54:$W$69,MATCH(Dashboard!$B497,'Analysis of bottom-up tags'!$B$54:$B$69,0),MATCH(Dashboard!F$21,'Analysis of bottom-up tags'!$N$6:$W$6,0))*F$24</f>
        <v>0</v>
      </c>
      <c r="G497" s="151">
        <f>INDEX('Analysis of bottom-up tags'!$N$54:$W$69,MATCH(Dashboard!$B497,'Analysis of bottom-up tags'!$B$54:$B$69,0),MATCH(Dashboard!G$21,'Analysis of bottom-up tags'!$N$6:$W$6,0))*G$24</f>
        <v>0</v>
      </c>
      <c r="H497" s="151">
        <f>INDEX('Analysis of bottom-up tags'!$N$54:$W$69,MATCH(Dashboard!$B497,'Analysis of bottom-up tags'!$B$54:$B$69,0),MATCH(Dashboard!H$21,'Analysis of bottom-up tags'!$N$6:$W$6,0))*H$24</f>
        <v>0</v>
      </c>
      <c r="I497" s="151">
        <f>INDEX('Analysis of bottom-up tags'!$N$54:$W$69,MATCH(Dashboard!$B497,'Analysis of bottom-up tags'!$B$54:$B$69,0),MATCH(Dashboard!I$21,'Analysis of bottom-up tags'!$N$6:$W$6,0))*I$24</f>
        <v>0</v>
      </c>
      <c r="J497" s="151">
        <f>INDEX('Analysis of bottom-up tags'!$N$54:$W$69,MATCH(Dashboard!$B497,'Analysis of bottom-up tags'!$B$54:$B$69,0),MATCH(Dashboard!J$21,'Analysis of bottom-up tags'!$N$6:$W$6,0))*J$24</f>
        <v>0</v>
      </c>
      <c r="K497" s="151">
        <f>INDEX('Analysis of bottom-up tags'!$N$54:$W$69,MATCH(Dashboard!$B497,'Analysis of bottom-up tags'!$B$54:$B$69,0),MATCH(Dashboard!K$21,'Analysis of bottom-up tags'!$N$6:$W$6,0))*K$24</f>
        <v>2.405596735110711</v>
      </c>
      <c r="L497" s="151">
        <f>INDEX('Analysis of bottom-up tags'!$N$54:$W$69,MATCH(Dashboard!$B497,'Analysis of bottom-up tags'!$B$54:$B$69,0),MATCH(Dashboard!L$21,'Analysis of bottom-up tags'!$N$6:$W$6,0))*L$24</f>
        <v>0</v>
      </c>
      <c r="M497" s="151">
        <f t="shared" si="287"/>
        <v>2.405596735110711</v>
      </c>
    </row>
    <row r="498" spans="2:13">
      <c r="B498" s="22" t="s">
        <v>10974</v>
      </c>
      <c r="C498" s="151">
        <f>INDEX('Analysis of bottom-up tags'!$N$54:$W$69,MATCH(Dashboard!$B498,'Analysis of bottom-up tags'!$B$54:$B$69,0),MATCH(Dashboard!C$21,'Analysis of bottom-up tags'!$N$6:$W$6,0))*C$24</f>
        <v>37.572885697816531</v>
      </c>
      <c r="D498" s="151">
        <f>INDEX('Analysis of bottom-up tags'!$N$54:$W$69,MATCH(Dashboard!$B498,'Analysis of bottom-up tags'!$B$54:$B$69,0),MATCH(Dashboard!D$21,'Analysis of bottom-up tags'!$N$6:$W$6,0))*D$24</f>
        <v>55.334659685536124</v>
      </c>
      <c r="E498" s="151">
        <f>INDEX('Analysis of bottom-up tags'!$N$54:$W$69,MATCH(Dashboard!$B498,'Analysis of bottom-up tags'!$B$54:$B$69,0),MATCH(Dashboard!E$21,'Analysis of bottom-up tags'!$N$6:$W$6,0))*E$24</f>
        <v>858.82311372853508</v>
      </c>
      <c r="F498" s="151">
        <f>INDEX('Analysis of bottom-up tags'!$N$54:$W$69,MATCH(Dashboard!$B498,'Analysis of bottom-up tags'!$B$54:$B$69,0),MATCH(Dashboard!F$21,'Analysis of bottom-up tags'!$N$6:$W$6,0))*F$24</f>
        <v>164.52512527741251</v>
      </c>
      <c r="G498" s="151">
        <f>INDEX('Analysis of bottom-up tags'!$N$54:$W$69,MATCH(Dashboard!$B498,'Analysis of bottom-up tags'!$B$54:$B$69,0),MATCH(Dashboard!G$21,'Analysis of bottom-up tags'!$N$6:$W$6,0))*G$24</f>
        <v>439.75154408044057</v>
      </c>
      <c r="H498" s="151">
        <f>INDEX('Analysis of bottom-up tags'!$N$54:$W$69,MATCH(Dashboard!$B498,'Analysis of bottom-up tags'!$B$54:$B$69,0),MATCH(Dashboard!H$21,'Analysis of bottom-up tags'!$N$6:$W$6,0))*H$24</f>
        <v>169.35659141612305</v>
      </c>
      <c r="I498" s="151">
        <f>INDEX('Analysis of bottom-up tags'!$N$54:$W$69,MATCH(Dashboard!$B498,'Analysis of bottom-up tags'!$B$54:$B$69,0),MATCH(Dashboard!I$21,'Analysis of bottom-up tags'!$N$6:$W$6,0))*I$24</f>
        <v>130.27204160189214</v>
      </c>
      <c r="J498" s="151">
        <f>INDEX('Analysis of bottom-up tags'!$N$54:$W$69,MATCH(Dashboard!$B498,'Analysis of bottom-up tags'!$B$54:$B$69,0),MATCH(Dashboard!J$21,'Analysis of bottom-up tags'!$N$6:$W$6,0))*J$24</f>
        <v>685.49133537842783</v>
      </c>
      <c r="K498" s="151">
        <f>INDEX('Analysis of bottom-up tags'!$N$54:$W$69,MATCH(Dashboard!$B498,'Analysis of bottom-up tags'!$B$54:$B$69,0),MATCH(Dashboard!K$21,'Analysis of bottom-up tags'!$N$6:$W$6,0))*K$24</f>
        <v>79.390269349614243</v>
      </c>
      <c r="L498" s="151">
        <f>INDEX('Analysis of bottom-up tags'!$N$54:$W$69,MATCH(Dashboard!$B498,'Analysis of bottom-up tags'!$B$54:$B$69,0),MATCH(Dashboard!L$21,'Analysis of bottom-up tags'!$N$6:$W$6,0))*L$24</f>
        <v>512.76701736647055</v>
      </c>
      <c r="M498" s="151">
        <f t="shared" si="287"/>
        <v>3133.2845835822691</v>
      </c>
    </row>
    <row r="499" spans="2:13">
      <c r="B499" s="22" t="s">
        <v>11165</v>
      </c>
      <c r="C499" s="151">
        <f>INDEX('Analysis of bottom-up tags'!$N$54:$W$69,MATCH(Dashboard!$B499,'Analysis of bottom-up tags'!$B$54:$B$69,0),MATCH(Dashboard!C$21,'Analysis of bottom-up tags'!$N$6:$W$6,0))*C$24</f>
        <v>0</v>
      </c>
      <c r="D499" s="151">
        <f>INDEX('Analysis of bottom-up tags'!$N$54:$W$69,MATCH(Dashboard!$B499,'Analysis of bottom-up tags'!$B$54:$B$69,0),MATCH(Dashboard!D$21,'Analysis of bottom-up tags'!$N$6:$W$6,0))*D$24</f>
        <v>0</v>
      </c>
      <c r="E499" s="151">
        <f>INDEX('Analysis of bottom-up tags'!$N$54:$W$69,MATCH(Dashboard!$B499,'Analysis of bottom-up tags'!$B$54:$B$69,0),MATCH(Dashboard!E$21,'Analysis of bottom-up tags'!$N$6:$W$6,0))*E$24</f>
        <v>0</v>
      </c>
      <c r="F499" s="151">
        <f>INDEX('Analysis of bottom-up tags'!$N$54:$W$69,MATCH(Dashboard!$B499,'Analysis of bottom-up tags'!$B$54:$B$69,0),MATCH(Dashboard!F$21,'Analysis of bottom-up tags'!$N$6:$W$6,0))*F$24</f>
        <v>0</v>
      </c>
      <c r="G499" s="151">
        <f>INDEX('Analysis of bottom-up tags'!$N$54:$W$69,MATCH(Dashboard!$B499,'Analysis of bottom-up tags'!$B$54:$B$69,0),MATCH(Dashboard!G$21,'Analysis of bottom-up tags'!$N$6:$W$6,0))*G$24</f>
        <v>0</v>
      </c>
      <c r="H499" s="151">
        <f>INDEX('Analysis of bottom-up tags'!$N$54:$W$69,MATCH(Dashboard!$B499,'Analysis of bottom-up tags'!$B$54:$B$69,0),MATCH(Dashboard!H$21,'Analysis of bottom-up tags'!$N$6:$W$6,0))*H$24</f>
        <v>0</v>
      </c>
      <c r="I499" s="151">
        <f>INDEX('Analysis of bottom-up tags'!$N$54:$W$69,MATCH(Dashboard!$B499,'Analysis of bottom-up tags'!$B$54:$B$69,0),MATCH(Dashboard!I$21,'Analysis of bottom-up tags'!$N$6:$W$6,0))*I$24</f>
        <v>0.34515881113621549</v>
      </c>
      <c r="J499" s="151">
        <f>INDEX('Analysis of bottom-up tags'!$N$54:$W$69,MATCH(Dashboard!$B499,'Analysis of bottom-up tags'!$B$54:$B$69,0),MATCH(Dashboard!J$21,'Analysis of bottom-up tags'!$N$6:$W$6,0))*J$24</f>
        <v>57.34821554262524</v>
      </c>
      <c r="K499" s="151">
        <f>INDEX('Analysis of bottom-up tags'!$N$54:$W$69,MATCH(Dashboard!$B499,'Analysis of bottom-up tags'!$B$54:$B$69,0),MATCH(Dashboard!K$21,'Analysis of bottom-up tags'!$N$6:$W$6,0))*K$24</f>
        <v>0</v>
      </c>
      <c r="L499" s="151">
        <f>INDEX('Analysis of bottom-up tags'!$N$54:$W$69,MATCH(Dashboard!$B499,'Analysis of bottom-up tags'!$B$54:$B$69,0),MATCH(Dashboard!L$21,'Analysis of bottom-up tags'!$N$6:$W$6,0))*L$24</f>
        <v>0</v>
      </c>
      <c r="M499" s="151">
        <f t="shared" si="287"/>
        <v>57.693374353761456</v>
      </c>
    </row>
    <row r="500" spans="2:13">
      <c r="B500" s="22" t="s">
        <v>10978</v>
      </c>
      <c r="C500" s="151">
        <f>INDEX('Analysis of bottom-up tags'!$N$54:$W$69,MATCH(Dashboard!$B500,'Analysis of bottom-up tags'!$B$54:$B$69,0),MATCH(Dashboard!C$21,'Analysis of bottom-up tags'!$N$6:$W$6,0))*C$24</f>
        <v>0</v>
      </c>
      <c r="D500" s="151">
        <f>INDEX('Analysis of bottom-up tags'!$N$54:$W$69,MATCH(Dashboard!$B500,'Analysis of bottom-up tags'!$B$54:$B$69,0),MATCH(Dashboard!D$21,'Analysis of bottom-up tags'!$N$6:$W$6,0))*D$24</f>
        <v>0</v>
      </c>
      <c r="E500" s="151">
        <f>INDEX('Analysis of bottom-up tags'!$N$54:$W$69,MATCH(Dashboard!$B500,'Analysis of bottom-up tags'!$B$54:$B$69,0),MATCH(Dashboard!E$21,'Analysis of bottom-up tags'!$N$6:$W$6,0))*E$24</f>
        <v>0</v>
      </c>
      <c r="F500" s="151">
        <f>INDEX('Analysis of bottom-up tags'!$N$54:$W$69,MATCH(Dashboard!$B500,'Analysis of bottom-up tags'!$B$54:$B$69,0),MATCH(Dashboard!F$21,'Analysis of bottom-up tags'!$N$6:$W$6,0))*F$24</f>
        <v>0</v>
      </c>
      <c r="G500" s="151">
        <f>INDEX('Analysis of bottom-up tags'!$N$54:$W$69,MATCH(Dashboard!$B500,'Analysis of bottom-up tags'!$B$54:$B$69,0),MATCH(Dashboard!G$21,'Analysis of bottom-up tags'!$N$6:$W$6,0))*G$24</f>
        <v>0</v>
      </c>
      <c r="H500" s="151">
        <f>INDEX('Analysis of bottom-up tags'!$N$54:$W$69,MATCH(Dashboard!$B500,'Analysis of bottom-up tags'!$B$54:$B$69,0),MATCH(Dashboard!H$21,'Analysis of bottom-up tags'!$N$6:$W$6,0))*H$24</f>
        <v>0</v>
      </c>
      <c r="I500" s="151">
        <f>INDEX('Analysis of bottom-up tags'!$N$54:$W$69,MATCH(Dashboard!$B500,'Analysis of bottom-up tags'!$B$54:$B$69,0),MATCH(Dashboard!I$21,'Analysis of bottom-up tags'!$N$6:$W$6,0))*I$24</f>
        <v>6.2458971533993299</v>
      </c>
      <c r="J500" s="151">
        <f>INDEX('Analysis of bottom-up tags'!$N$54:$W$69,MATCH(Dashboard!$B500,'Analysis of bottom-up tags'!$B$54:$B$69,0),MATCH(Dashboard!J$21,'Analysis of bottom-up tags'!$N$6:$W$6,0))*J$24</f>
        <v>47.133299285586219</v>
      </c>
      <c r="K500" s="151">
        <f>INDEX('Analysis of bottom-up tags'!$N$54:$W$69,MATCH(Dashboard!$B500,'Analysis of bottom-up tags'!$B$54:$B$69,0),MATCH(Dashboard!K$21,'Analysis of bottom-up tags'!$N$6:$W$6,0))*K$24</f>
        <v>2.8832299940195369</v>
      </c>
      <c r="L500" s="151">
        <f>INDEX('Analysis of bottom-up tags'!$N$54:$W$69,MATCH(Dashboard!$B500,'Analysis of bottom-up tags'!$B$54:$B$69,0),MATCH(Dashboard!L$21,'Analysis of bottom-up tags'!$N$6:$W$6,0))*L$24</f>
        <v>21.759755827364671</v>
      </c>
      <c r="M500" s="151">
        <f t="shared" si="287"/>
        <v>78.02218226036976</v>
      </c>
    </row>
    <row r="501" spans="2:13">
      <c r="B501" s="22" t="s">
        <v>11167</v>
      </c>
      <c r="C501" s="151">
        <f>INDEX('Analysis of bottom-up tags'!$N$54:$W$69,MATCH(Dashboard!$B501,'Analysis of bottom-up tags'!$B$54:$B$69,0),MATCH(Dashboard!C$21,'Analysis of bottom-up tags'!$N$6:$W$6,0))*C$24</f>
        <v>14.548867079111</v>
      </c>
      <c r="D501" s="151">
        <f>INDEX('Analysis of bottom-up tags'!$N$54:$W$69,MATCH(Dashboard!$B501,'Analysis of bottom-up tags'!$B$54:$B$69,0),MATCH(Dashboard!D$21,'Analysis of bottom-up tags'!$N$6:$W$6,0))*D$24</f>
        <v>114.85286965917381</v>
      </c>
      <c r="E501" s="151">
        <f>INDEX('Analysis of bottom-up tags'!$N$54:$W$69,MATCH(Dashboard!$B501,'Analysis of bottom-up tags'!$B$54:$B$69,0),MATCH(Dashboard!E$21,'Analysis of bottom-up tags'!$N$6:$W$6,0))*E$24</f>
        <v>0</v>
      </c>
      <c r="F501" s="151">
        <f>INDEX('Analysis of bottom-up tags'!$N$54:$W$69,MATCH(Dashboard!$B501,'Analysis of bottom-up tags'!$B$54:$B$69,0),MATCH(Dashboard!F$21,'Analysis of bottom-up tags'!$N$6:$W$6,0))*F$24</f>
        <v>388.66962917443379</v>
      </c>
      <c r="G501" s="151">
        <f>INDEX('Analysis of bottom-up tags'!$N$54:$W$69,MATCH(Dashboard!$B501,'Analysis of bottom-up tags'!$B$54:$B$69,0),MATCH(Dashboard!G$21,'Analysis of bottom-up tags'!$N$6:$W$6,0))*G$24</f>
        <v>19.127568083612299</v>
      </c>
      <c r="H501" s="151">
        <f>INDEX('Analysis of bottom-up tags'!$N$54:$W$69,MATCH(Dashboard!$B501,'Analysis of bottom-up tags'!$B$54:$B$69,0),MATCH(Dashboard!H$21,'Analysis of bottom-up tags'!$N$6:$W$6,0))*H$24</f>
        <v>8.7668797563233358</v>
      </c>
      <c r="I501" s="151">
        <f>INDEX('Analysis of bottom-up tags'!$N$54:$W$69,MATCH(Dashboard!$B501,'Analysis of bottom-up tags'!$B$54:$B$69,0),MATCH(Dashboard!I$21,'Analysis of bottom-up tags'!$N$6:$W$6,0))*I$24</f>
        <v>3.4225226771718722</v>
      </c>
      <c r="J501" s="151">
        <f>INDEX('Analysis of bottom-up tags'!$N$54:$W$69,MATCH(Dashboard!$B501,'Analysis of bottom-up tags'!$B$54:$B$69,0),MATCH(Dashboard!J$21,'Analysis of bottom-up tags'!$N$6:$W$6,0))*J$24</f>
        <v>1.1060229868894567</v>
      </c>
      <c r="K501" s="151">
        <f>INDEX('Analysis of bottom-up tags'!$N$54:$W$69,MATCH(Dashboard!$B501,'Analysis of bottom-up tags'!$B$54:$B$69,0),MATCH(Dashboard!K$21,'Analysis of bottom-up tags'!$N$6:$W$6,0))*K$24</f>
        <v>3.7616063710599104</v>
      </c>
      <c r="L501" s="151">
        <f>INDEX('Analysis of bottom-up tags'!$N$54:$W$69,MATCH(Dashboard!$B501,'Analysis of bottom-up tags'!$B$54:$B$69,0),MATCH(Dashboard!L$21,'Analysis of bottom-up tags'!$N$6:$W$6,0))*L$24</f>
        <v>43.66971240056774</v>
      </c>
      <c r="M501" s="151">
        <f t="shared" si="287"/>
        <v>597.92567818834323</v>
      </c>
    </row>
    <row r="502" spans="2:13">
      <c r="B502" s="22" t="s">
        <v>10999</v>
      </c>
      <c r="C502" s="151">
        <f>INDEX('Analysis of bottom-up tags'!$N$54:$W$69,MATCH(Dashboard!$B502,'Analysis of bottom-up tags'!$B$54:$B$69,0),MATCH(Dashboard!C$21,'Analysis of bottom-up tags'!$N$6:$W$6,0))*C$24</f>
        <v>0</v>
      </c>
      <c r="D502" s="151">
        <f>INDEX('Analysis of bottom-up tags'!$N$54:$W$69,MATCH(Dashboard!$B502,'Analysis of bottom-up tags'!$B$54:$B$69,0),MATCH(Dashboard!D$21,'Analysis of bottom-up tags'!$N$6:$W$6,0))*D$24</f>
        <v>0</v>
      </c>
      <c r="E502" s="151">
        <f>INDEX('Analysis of bottom-up tags'!$N$54:$W$69,MATCH(Dashboard!$B502,'Analysis of bottom-up tags'!$B$54:$B$69,0),MATCH(Dashboard!E$21,'Analysis of bottom-up tags'!$N$6:$W$6,0))*E$24</f>
        <v>0</v>
      </c>
      <c r="F502" s="151">
        <f>INDEX('Analysis of bottom-up tags'!$N$54:$W$69,MATCH(Dashboard!$B502,'Analysis of bottom-up tags'!$B$54:$B$69,0),MATCH(Dashboard!F$21,'Analysis of bottom-up tags'!$N$6:$W$6,0))*F$24</f>
        <v>72.696754865448085</v>
      </c>
      <c r="G502" s="151">
        <f>INDEX('Analysis of bottom-up tags'!$N$54:$W$69,MATCH(Dashboard!$B502,'Analysis of bottom-up tags'!$B$54:$B$69,0),MATCH(Dashboard!G$21,'Analysis of bottom-up tags'!$N$6:$W$6,0))*G$24</f>
        <v>0</v>
      </c>
      <c r="H502" s="151">
        <f>INDEX('Analysis of bottom-up tags'!$N$54:$W$69,MATCH(Dashboard!$B502,'Analysis of bottom-up tags'!$B$54:$B$69,0),MATCH(Dashboard!H$21,'Analysis of bottom-up tags'!$N$6:$W$6,0))*H$24</f>
        <v>17.416535171069391</v>
      </c>
      <c r="I502" s="151">
        <f>INDEX('Analysis of bottom-up tags'!$N$54:$W$69,MATCH(Dashboard!$B502,'Analysis of bottom-up tags'!$B$54:$B$69,0),MATCH(Dashboard!I$21,'Analysis of bottom-up tags'!$N$6:$W$6,0))*I$24</f>
        <v>0.1729934820879912</v>
      </c>
      <c r="J502" s="151">
        <f>INDEX('Analysis of bottom-up tags'!$N$54:$W$69,MATCH(Dashboard!$B502,'Analysis of bottom-up tags'!$B$54:$B$69,0),MATCH(Dashboard!J$21,'Analysis of bottom-up tags'!$N$6:$W$6,0))*J$24</f>
        <v>15.2121872341709</v>
      </c>
      <c r="K502" s="151">
        <f>INDEX('Analysis of bottom-up tags'!$N$54:$W$69,MATCH(Dashboard!$B502,'Analysis of bottom-up tags'!$B$54:$B$69,0),MATCH(Dashboard!K$21,'Analysis of bottom-up tags'!$N$6:$W$6,0))*K$24</f>
        <v>28.740216804839488</v>
      </c>
      <c r="L502" s="151">
        <f>INDEX('Analysis of bottom-up tags'!$N$54:$W$69,MATCH(Dashboard!$B502,'Analysis of bottom-up tags'!$B$54:$B$69,0),MATCH(Dashboard!L$21,'Analysis of bottom-up tags'!$N$6:$W$6,0))*L$24</f>
        <v>3.8293448140284574</v>
      </c>
      <c r="M502" s="151">
        <f t="shared" si="287"/>
        <v>138.06803237164428</v>
      </c>
    </row>
    <row r="503" spans="2:13">
      <c r="B503" s="22" t="s">
        <v>11112</v>
      </c>
      <c r="C503" s="151">
        <f>INDEX('Analysis of bottom-up tags'!$N$54:$W$69,MATCH(Dashboard!$B503,'Analysis of bottom-up tags'!$B$54:$B$69,0),MATCH(Dashboard!C$21,'Analysis of bottom-up tags'!$N$6:$W$6,0))*C$24</f>
        <v>0</v>
      </c>
      <c r="D503" s="151">
        <f>INDEX('Analysis of bottom-up tags'!$N$54:$W$69,MATCH(Dashboard!$B503,'Analysis of bottom-up tags'!$B$54:$B$69,0),MATCH(Dashboard!D$21,'Analysis of bottom-up tags'!$N$6:$W$6,0))*D$24</f>
        <v>0</v>
      </c>
      <c r="E503" s="151">
        <f>INDEX('Analysis of bottom-up tags'!$N$54:$W$69,MATCH(Dashboard!$B503,'Analysis of bottom-up tags'!$B$54:$B$69,0),MATCH(Dashboard!E$21,'Analysis of bottom-up tags'!$N$6:$W$6,0))*E$24</f>
        <v>0</v>
      </c>
      <c r="F503" s="151">
        <f>INDEX('Analysis of bottom-up tags'!$N$54:$W$69,MATCH(Dashboard!$B503,'Analysis of bottom-up tags'!$B$54:$B$69,0),MATCH(Dashboard!F$21,'Analysis of bottom-up tags'!$N$6:$W$6,0))*F$24</f>
        <v>332.18876871020507</v>
      </c>
      <c r="G503" s="151">
        <f>INDEX('Analysis of bottom-up tags'!$N$54:$W$69,MATCH(Dashboard!$B503,'Analysis of bottom-up tags'!$B$54:$B$69,0),MATCH(Dashboard!G$21,'Analysis of bottom-up tags'!$N$6:$W$6,0))*G$24</f>
        <v>3.2547666564372606</v>
      </c>
      <c r="H503" s="151">
        <f>INDEX('Analysis of bottom-up tags'!$N$54:$W$69,MATCH(Dashboard!$B503,'Analysis of bottom-up tags'!$B$54:$B$69,0),MATCH(Dashboard!H$21,'Analysis of bottom-up tags'!$N$6:$W$6,0))*H$24</f>
        <v>0</v>
      </c>
      <c r="I503" s="151">
        <f>INDEX('Analysis of bottom-up tags'!$N$54:$W$69,MATCH(Dashboard!$B503,'Analysis of bottom-up tags'!$B$54:$B$69,0),MATCH(Dashboard!I$21,'Analysis of bottom-up tags'!$N$6:$W$6,0))*I$24</f>
        <v>0</v>
      </c>
      <c r="J503" s="151">
        <f>INDEX('Analysis of bottom-up tags'!$N$54:$W$69,MATCH(Dashboard!$B503,'Analysis of bottom-up tags'!$B$54:$B$69,0),MATCH(Dashboard!J$21,'Analysis of bottom-up tags'!$N$6:$W$6,0))*J$24</f>
        <v>0</v>
      </c>
      <c r="K503" s="151">
        <f>INDEX('Analysis of bottom-up tags'!$N$54:$W$69,MATCH(Dashboard!$B503,'Analysis of bottom-up tags'!$B$54:$B$69,0),MATCH(Dashboard!K$21,'Analysis of bottom-up tags'!$N$6:$W$6,0))*K$24</f>
        <v>0</v>
      </c>
      <c r="L503" s="151">
        <f>INDEX('Analysis of bottom-up tags'!$N$54:$W$69,MATCH(Dashboard!$B503,'Analysis of bottom-up tags'!$B$54:$B$69,0),MATCH(Dashboard!L$21,'Analysis of bottom-up tags'!$N$6:$W$6,0))*L$24</f>
        <v>0</v>
      </c>
      <c r="M503" s="151">
        <f t="shared" si="287"/>
        <v>335.44353536664232</v>
      </c>
    </row>
    <row r="504" spans="2:13">
      <c r="B504" s="22" t="s">
        <v>11087</v>
      </c>
      <c r="C504" s="151">
        <f>INDEX('Analysis of bottom-up tags'!$N$54:$W$69,MATCH(Dashboard!$B504,'Analysis of bottom-up tags'!$B$54:$B$69,0),MATCH(Dashboard!C$21,'Analysis of bottom-up tags'!$N$6:$W$6,0))*C$24</f>
        <v>0</v>
      </c>
      <c r="D504" s="151">
        <f>INDEX('Analysis of bottom-up tags'!$N$54:$W$69,MATCH(Dashboard!$B504,'Analysis of bottom-up tags'!$B$54:$B$69,0),MATCH(Dashboard!D$21,'Analysis of bottom-up tags'!$N$6:$W$6,0))*D$24</f>
        <v>0</v>
      </c>
      <c r="E504" s="151">
        <f>INDEX('Analysis of bottom-up tags'!$N$54:$W$69,MATCH(Dashboard!$B504,'Analysis of bottom-up tags'!$B$54:$B$69,0),MATCH(Dashboard!E$21,'Analysis of bottom-up tags'!$N$6:$W$6,0))*E$24</f>
        <v>0</v>
      </c>
      <c r="F504" s="151">
        <f>INDEX('Analysis of bottom-up tags'!$N$54:$W$69,MATCH(Dashboard!$B504,'Analysis of bottom-up tags'!$B$54:$B$69,0),MATCH(Dashboard!F$21,'Analysis of bottom-up tags'!$N$6:$W$6,0))*F$24</f>
        <v>0</v>
      </c>
      <c r="G504" s="151">
        <f>INDEX('Analysis of bottom-up tags'!$N$54:$W$69,MATCH(Dashboard!$B504,'Analysis of bottom-up tags'!$B$54:$B$69,0),MATCH(Dashboard!G$21,'Analysis of bottom-up tags'!$N$6:$W$6,0))*G$24</f>
        <v>0</v>
      </c>
      <c r="H504" s="151">
        <f>INDEX('Analysis of bottom-up tags'!$N$54:$W$69,MATCH(Dashboard!$B504,'Analysis of bottom-up tags'!$B$54:$B$69,0),MATCH(Dashboard!H$21,'Analysis of bottom-up tags'!$N$6:$W$6,0))*H$24</f>
        <v>0</v>
      </c>
      <c r="I504" s="151">
        <f>INDEX('Analysis of bottom-up tags'!$N$54:$W$69,MATCH(Dashboard!$B504,'Analysis of bottom-up tags'!$B$54:$B$69,0),MATCH(Dashboard!I$21,'Analysis of bottom-up tags'!$N$6:$W$6,0))*I$24</f>
        <v>1.410006753022139</v>
      </c>
      <c r="J504" s="151">
        <f>INDEX('Analysis of bottom-up tags'!$N$54:$W$69,MATCH(Dashboard!$B504,'Analysis of bottom-up tags'!$B$54:$B$69,0),MATCH(Dashboard!J$21,'Analysis of bottom-up tags'!$N$6:$W$6,0))*J$24</f>
        <v>79.626165517589143</v>
      </c>
      <c r="K504" s="151">
        <f>INDEX('Analysis of bottom-up tags'!$N$54:$W$69,MATCH(Dashboard!$B504,'Analysis of bottom-up tags'!$B$54:$B$69,0),MATCH(Dashboard!K$21,'Analysis of bottom-up tags'!$N$6:$W$6,0))*K$24</f>
        <v>0.5638080163359066</v>
      </c>
      <c r="L504" s="151">
        <f>INDEX('Analysis of bottom-up tags'!$N$54:$W$69,MATCH(Dashboard!$B504,'Analysis of bottom-up tags'!$B$54:$B$69,0),MATCH(Dashboard!L$21,'Analysis of bottom-up tags'!$N$6:$W$6,0))*L$24</f>
        <v>11.701170841798939</v>
      </c>
      <c r="M504" s="151">
        <f t="shared" si="287"/>
        <v>93.301151128746142</v>
      </c>
    </row>
    <row r="505" spans="2:13">
      <c r="B505" s="22" t="s">
        <v>11116</v>
      </c>
      <c r="C505" s="151">
        <f>INDEX('Analysis of bottom-up tags'!$N$54:$W$69,MATCH(Dashboard!$B505,'Analysis of bottom-up tags'!$B$54:$B$69,0),MATCH(Dashboard!C$21,'Analysis of bottom-up tags'!$N$6:$W$6,0))*C$24</f>
        <v>0</v>
      </c>
      <c r="D505" s="151">
        <f>INDEX('Analysis of bottom-up tags'!$N$54:$W$69,MATCH(Dashboard!$B505,'Analysis of bottom-up tags'!$B$54:$B$69,0),MATCH(Dashboard!D$21,'Analysis of bottom-up tags'!$N$6:$W$6,0))*D$24</f>
        <v>0</v>
      </c>
      <c r="E505" s="151">
        <f>INDEX('Analysis of bottom-up tags'!$N$54:$W$69,MATCH(Dashboard!$B505,'Analysis of bottom-up tags'!$B$54:$B$69,0),MATCH(Dashboard!E$21,'Analysis of bottom-up tags'!$N$6:$W$6,0))*E$24</f>
        <v>0</v>
      </c>
      <c r="F505" s="151">
        <f>INDEX('Analysis of bottom-up tags'!$N$54:$W$69,MATCH(Dashboard!$B505,'Analysis of bottom-up tags'!$B$54:$B$69,0),MATCH(Dashboard!F$21,'Analysis of bottom-up tags'!$N$6:$W$6,0))*F$24</f>
        <v>0</v>
      </c>
      <c r="G505" s="151">
        <f>INDEX('Analysis of bottom-up tags'!$N$54:$W$69,MATCH(Dashboard!$B505,'Analysis of bottom-up tags'!$B$54:$B$69,0),MATCH(Dashboard!G$21,'Analysis of bottom-up tags'!$N$6:$W$6,0))*G$24</f>
        <v>0</v>
      </c>
      <c r="H505" s="151">
        <f>INDEX('Analysis of bottom-up tags'!$N$54:$W$69,MATCH(Dashboard!$B505,'Analysis of bottom-up tags'!$B$54:$B$69,0),MATCH(Dashboard!H$21,'Analysis of bottom-up tags'!$N$6:$W$6,0))*H$24</f>
        <v>0</v>
      </c>
      <c r="I505" s="151">
        <f>INDEX('Analysis of bottom-up tags'!$N$54:$W$69,MATCH(Dashboard!$B505,'Analysis of bottom-up tags'!$B$54:$B$69,0),MATCH(Dashboard!I$21,'Analysis of bottom-up tags'!$N$6:$W$6,0))*I$24</f>
        <v>0</v>
      </c>
      <c r="J505" s="151">
        <f>INDEX('Analysis of bottom-up tags'!$N$54:$W$69,MATCH(Dashboard!$B505,'Analysis of bottom-up tags'!$B$54:$B$69,0),MATCH(Dashboard!J$21,'Analysis of bottom-up tags'!$N$6:$W$6,0))*J$24</f>
        <v>0.12038918968966586</v>
      </c>
      <c r="K505" s="151">
        <f>INDEX('Analysis of bottom-up tags'!$N$54:$W$69,MATCH(Dashboard!$B505,'Analysis of bottom-up tags'!$B$54:$B$69,0),MATCH(Dashboard!K$21,'Analysis of bottom-up tags'!$N$6:$W$6,0))*K$24</f>
        <v>0</v>
      </c>
      <c r="L505" s="151">
        <f>INDEX('Analysis of bottom-up tags'!$N$54:$W$69,MATCH(Dashboard!$B505,'Analysis of bottom-up tags'!$B$54:$B$69,0),MATCH(Dashboard!L$21,'Analysis of bottom-up tags'!$N$6:$W$6,0))*L$24</f>
        <v>59.652095819298822</v>
      </c>
      <c r="M505" s="151">
        <f t="shared" si="287"/>
        <v>59.77248500898849</v>
      </c>
    </row>
    <row r="506" spans="2:13">
      <c r="B506" s="22" t="s">
        <v>11166</v>
      </c>
      <c r="C506" s="151">
        <f>INDEX('Analysis of bottom-up tags'!$N$54:$W$69,MATCH(Dashboard!$B506,'Analysis of bottom-up tags'!$B$54:$B$69,0),MATCH(Dashboard!C$21,'Analysis of bottom-up tags'!$N$6:$W$6,0))*C$24</f>
        <v>50.417482321872598</v>
      </c>
      <c r="D506" s="151">
        <f>INDEX('Analysis of bottom-up tags'!$N$54:$W$69,MATCH(Dashboard!$B506,'Analysis of bottom-up tags'!$B$54:$B$69,0),MATCH(Dashboard!D$21,'Analysis of bottom-up tags'!$N$6:$W$6,0))*D$24</f>
        <v>0</v>
      </c>
      <c r="E506" s="151">
        <f>INDEX('Analysis of bottom-up tags'!$N$54:$W$69,MATCH(Dashboard!$B506,'Analysis of bottom-up tags'!$B$54:$B$69,0),MATCH(Dashboard!E$21,'Analysis of bottom-up tags'!$N$6:$W$6,0))*E$24</f>
        <v>154.27372901243061</v>
      </c>
      <c r="F506" s="151">
        <f>INDEX('Analysis of bottom-up tags'!$N$54:$W$69,MATCH(Dashboard!$B506,'Analysis of bottom-up tags'!$B$54:$B$69,0),MATCH(Dashboard!F$21,'Analysis of bottom-up tags'!$N$6:$W$6,0))*F$24</f>
        <v>0</v>
      </c>
      <c r="G506" s="151">
        <f>INDEX('Analysis of bottom-up tags'!$N$54:$W$69,MATCH(Dashboard!$B506,'Analysis of bottom-up tags'!$B$54:$B$69,0),MATCH(Dashboard!G$21,'Analysis of bottom-up tags'!$N$6:$W$6,0))*G$24</f>
        <v>0</v>
      </c>
      <c r="H506" s="151">
        <f>INDEX('Analysis of bottom-up tags'!$N$54:$W$69,MATCH(Dashboard!$B506,'Analysis of bottom-up tags'!$B$54:$B$69,0),MATCH(Dashboard!H$21,'Analysis of bottom-up tags'!$N$6:$W$6,0))*H$24</f>
        <v>54.101521698050917</v>
      </c>
      <c r="I506" s="151">
        <f>INDEX('Analysis of bottom-up tags'!$N$54:$W$69,MATCH(Dashboard!$B506,'Analysis of bottom-up tags'!$B$54:$B$69,0),MATCH(Dashboard!I$21,'Analysis of bottom-up tags'!$N$6:$W$6,0))*I$24</f>
        <v>0</v>
      </c>
      <c r="J506" s="151">
        <f>INDEX('Analysis of bottom-up tags'!$N$54:$W$69,MATCH(Dashboard!$B506,'Analysis of bottom-up tags'!$B$54:$B$69,0),MATCH(Dashboard!J$21,'Analysis of bottom-up tags'!$N$6:$W$6,0))*J$24</f>
        <v>0</v>
      </c>
      <c r="K506" s="151">
        <f>INDEX('Analysis of bottom-up tags'!$N$54:$W$69,MATCH(Dashboard!$B506,'Analysis of bottom-up tags'!$B$54:$B$69,0),MATCH(Dashboard!K$21,'Analysis of bottom-up tags'!$N$6:$W$6,0))*K$24</f>
        <v>0</v>
      </c>
      <c r="L506" s="151">
        <f>INDEX('Analysis of bottom-up tags'!$N$54:$W$69,MATCH(Dashboard!$B506,'Analysis of bottom-up tags'!$B$54:$B$69,0),MATCH(Dashboard!L$21,'Analysis of bottom-up tags'!$N$6:$W$6,0))*L$24</f>
        <v>0</v>
      </c>
      <c r="M506" s="151">
        <f t="shared" si="287"/>
        <v>258.79273303235414</v>
      </c>
    </row>
    <row r="507" spans="2:13">
      <c r="B507" s="22" t="s">
        <v>10997</v>
      </c>
      <c r="C507" s="151">
        <f>INDEX('Analysis of bottom-up tags'!$N$54:$W$69,MATCH(Dashboard!$B507,'Analysis of bottom-up tags'!$B$54:$B$69,0),MATCH(Dashboard!C$21,'Analysis of bottom-up tags'!$N$6:$W$6,0))*C$24</f>
        <v>0</v>
      </c>
      <c r="D507" s="151">
        <f>INDEX('Analysis of bottom-up tags'!$N$54:$W$69,MATCH(Dashboard!$B507,'Analysis of bottom-up tags'!$B$54:$B$69,0),MATCH(Dashboard!D$21,'Analysis of bottom-up tags'!$N$6:$W$6,0))*D$24</f>
        <v>0</v>
      </c>
      <c r="E507" s="151">
        <f>INDEX('Analysis of bottom-up tags'!$N$54:$W$69,MATCH(Dashboard!$B507,'Analysis of bottom-up tags'!$B$54:$B$69,0),MATCH(Dashboard!E$21,'Analysis of bottom-up tags'!$N$6:$W$6,0))*E$24</f>
        <v>0</v>
      </c>
      <c r="F507" s="151">
        <f>INDEX('Analysis of bottom-up tags'!$N$54:$W$69,MATCH(Dashboard!$B507,'Analysis of bottom-up tags'!$B$54:$B$69,0),MATCH(Dashboard!F$21,'Analysis of bottom-up tags'!$N$6:$W$6,0))*F$24</f>
        <v>0</v>
      </c>
      <c r="G507" s="151">
        <f>INDEX('Analysis of bottom-up tags'!$N$54:$W$69,MATCH(Dashboard!$B507,'Analysis of bottom-up tags'!$B$54:$B$69,0),MATCH(Dashboard!G$21,'Analysis of bottom-up tags'!$N$6:$W$6,0))*G$24</f>
        <v>0</v>
      </c>
      <c r="H507" s="151">
        <f>INDEX('Analysis of bottom-up tags'!$N$54:$W$69,MATCH(Dashboard!$B507,'Analysis of bottom-up tags'!$B$54:$B$69,0),MATCH(Dashboard!H$21,'Analysis of bottom-up tags'!$N$6:$W$6,0))*H$24</f>
        <v>0</v>
      </c>
      <c r="I507" s="151">
        <f>INDEX('Analysis of bottom-up tags'!$N$54:$W$69,MATCH(Dashboard!$B507,'Analysis of bottom-up tags'!$B$54:$B$69,0),MATCH(Dashboard!I$21,'Analysis of bottom-up tags'!$N$6:$W$6,0))*I$24</f>
        <v>0.34800258995461958</v>
      </c>
      <c r="J507" s="151">
        <f>INDEX('Analysis of bottom-up tags'!$N$54:$W$69,MATCH(Dashboard!$B507,'Analysis of bottom-up tags'!$B$54:$B$69,0),MATCH(Dashboard!J$21,'Analysis of bottom-up tags'!$N$6:$W$6,0))*J$24</f>
        <v>6.5934426156013215</v>
      </c>
      <c r="K507" s="151">
        <f>INDEX('Analysis of bottom-up tags'!$N$54:$W$69,MATCH(Dashboard!$B507,'Analysis of bottom-up tags'!$B$54:$B$69,0),MATCH(Dashboard!K$21,'Analysis of bottom-up tags'!$N$6:$W$6,0))*K$24</f>
        <v>3.8467392108046869</v>
      </c>
      <c r="L507" s="151">
        <f>INDEX('Analysis of bottom-up tags'!$N$54:$W$69,MATCH(Dashboard!$B507,'Analysis of bottom-up tags'!$B$54:$B$69,0),MATCH(Dashboard!L$21,'Analysis of bottom-up tags'!$N$6:$W$6,0))*L$24</f>
        <v>10.939047408826028</v>
      </c>
      <c r="M507" s="151">
        <f t="shared" si="287"/>
        <v>21.727231825186657</v>
      </c>
    </row>
    <row r="508" spans="2:13">
      <c r="B508" s="166" t="s">
        <v>11042</v>
      </c>
      <c r="C508" s="166">
        <f>SUM(C492:C506)</f>
        <v>1513.8734567771608</v>
      </c>
      <c r="D508" s="166">
        <f t="shared" ref="D508" si="288">SUM(D492:D506)</f>
        <v>1648.1513531328574</v>
      </c>
      <c r="E508" s="166">
        <f t="shared" ref="E508" si="289">SUM(E492:E506)</f>
        <v>1538.9507263357614</v>
      </c>
      <c r="F508" s="166">
        <f t="shared" ref="F508" si="290">SUM(F492:F506)</f>
        <v>1497.2531441495744</v>
      </c>
      <c r="G508" s="166">
        <f t="shared" ref="G508" si="291">SUM(G492:G506)</f>
        <v>2004.8228062945329</v>
      </c>
      <c r="H508" s="166">
        <f t="shared" ref="H508" si="292">SUM(H492:H506)</f>
        <v>2147.1032281462867</v>
      </c>
      <c r="I508" s="166">
        <f t="shared" ref="I508" si="293">SUM(I492:I506)</f>
        <v>1928.2811140043934</v>
      </c>
      <c r="J508" s="166">
        <f t="shared" ref="J508" si="294">SUM(J492:J506)</f>
        <v>2133.9752437494226</v>
      </c>
      <c r="K508" s="166">
        <f t="shared" ref="K508" si="295">SUM(K492:K506)</f>
        <v>2356.8043266088325</v>
      </c>
      <c r="L508" s="166">
        <f t="shared" ref="L508" si="296">SUM(L492:L506)</f>
        <v>2222.878192044328</v>
      </c>
      <c r="M508" s="166">
        <f t="shared" si="287"/>
        <v>18992.093591243152</v>
      </c>
    </row>
    <row r="509" spans="2:13">
      <c r="B509" s="163" t="s">
        <v>10473</v>
      </c>
      <c r="C509" s="163"/>
      <c r="D509" s="163"/>
      <c r="E509" s="163"/>
      <c r="F509" s="163"/>
      <c r="G509" s="163"/>
      <c r="H509" s="163"/>
      <c r="I509" s="163"/>
      <c r="J509" s="163"/>
      <c r="K509" s="163"/>
      <c r="L509" s="163"/>
      <c r="M509" s="163"/>
    </row>
    <row r="510" spans="2:13">
      <c r="B510" s="151" t="s">
        <v>10972</v>
      </c>
      <c r="C510" s="151">
        <f>INDEX('Analysis of bottom-up tags'!$N$71:$W$74,MATCH(Dashboard!$B510,'Analysis of bottom-up tags'!$B$71:$B$74,0),MATCH(Dashboard!C$21,'Analysis of bottom-up tags'!$N$6:$W$6,0))*C$24</f>
        <v>62.057368090146809</v>
      </c>
      <c r="D510" s="151">
        <f>INDEX('Analysis of bottom-up tags'!$N$71:$W$74,MATCH(Dashboard!$B510,'Analysis of bottom-up tags'!$B$71:$B$74,0),MATCH(Dashboard!D$21,'Analysis of bottom-up tags'!$N$6:$W$6,0))*D$24</f>
        <v>566.34924156153193</v>
      </c>
      <c r="E510" s="151">
        <f>INDEX('Analysis of bottom-up tags'!$N$71:$W$74,MATCH(Dashboard!$B510,'Analysis of bottom-up tags'!$B$71:$B$74,0),MATCH(Dashboard!E$21,'Analysis of bottom-up tags'!$N$6:$W$6,0))*E$24</f>
        <v>858.82311372853508</v>
      </c>
      <c r="F510" s="151">
        <f>INDEX('Analysis of bottom-up tags'!$N$71:$W$74,MATCH(Dashboard!$B510,'Analysis of bottom-up tags'!$B$71:$B$74,0),MATCH(Dashboard!F$21,'Analysis of bottom-up tags'!$N$6:$W$6,0))*F$24</f>
        <v>492.59020184592424</v>
      </c>
      <c r="G510" s="151">
        <f>INDEX('Analysis of bottom-up tags'!$N$71:$W$74,MATCH(Dashboard!$B510,'Analysis of bottom-up tags'!$B$71:$B$74,0),MATCH(Dashboard!G$21,'Analysis of bottom-up tags'!$N$6:$W$6,0))*G$24</f>
        <v>1672.1970187351835</v>
      </c>
      <c r="H510" s="151">
        <f>INDEX('Analysis of bottom-up tags'!$N$71:$W$74,MATCH(Dashboard!$B510,'Analysis of bottom-up tags'!$B$71:$B$74,0),MATCH(Dashboard!H$21,'Analysis of bottom-up tags'!$N$6:$W$6,0))*H$24</f>
        <v>1493.0817060097679</v>
      </c>
      <c r="I510" s="151">
        <f>INDEX('Analysis of bottom-up tags'!$N$71:$W$74,MATCH(Dashboard!$B510,'Analysis of bottom-up tags'!$B$71:$B$74,0),MATCH(Dashboard!I$21,'Analysis of bottom-up tags'!$N$6:$W$6,0))*I$24</f>
        <v>1679.1348762865127</v>
      </c>
      <c r="J510" s="151">
        <f>INDEX('Analysis of bottom-up tags'!$N$71:$W$74,MATCH(Dashboard!$B510,'Analysis of bottom-up tags'!$B$71:$B$74,0),MATCH(Dashboard!J$21,'Analysis of bottom-up tags'!$N$6:$W$6,0))*J$24</f>
        <v>905.72304882071751</v>
      </c>
      <c r="K510" s="151">
        <f>INDEX('Analysis of bottom-up tags'!$N$71:$W$74,MATCH(Dashboard!$B510,'Analysis of bottom-up tags'!$B$71:$B$74,0),MATCH(Dashboard!K$21,'Analysis of bottom-up tags'!$N$6:$W$6,0))*K$24</f>
        <v>2182.316147480477</v>
      </c>
      <c r="L510" s="151">
        <f>INDEX('Analysis of bottom-up tags'!$N$71:$W$74,MATCH(Dashboard!$B510,'Analysis of bottom-up tags'!$B$71:$B$74,0),MATCH(Dashboard!L$21,'Analysis of bottom-up tags'!$N$6:$W$6,0))*L$24</f>
        <v>1515.5443036226693</v>
      </c>
      <c r="M510" s="151">
        <f t="shared" ref="M510:M514" si="297">SUM(C510:L510)</f>
        <v>11427.817026181467</v>
      </c>
    </row>
    <row r="511" spans="2:13">
      <c r="B511" s="151" t="s">
        <v>10982</v>
      </c>
      <c r="C511" s="151">
        <f>INDEX('Analysis of bottom-up tags'!$N$71:$W$74,MATCH(Dashboard!$B511,'Analysis of bottom-up tags'!$B$71:$B$74,0),MATCH(Dashboard!C$21,'Analysis of bottom-up tags'!$N$6:$W$6,0))*C$24</f>
        <v>1451.8160886870141</v>
      </c>
      <c r="D511" s="151">
        <f>INDEX('Analysis of bottom-up tags'!$N$71:$W$74,MATCH(Dashboard!$B511,'Analysis of bottom-up tags'!$B$71:$B$74,0),MATCH(Dashboard!D$21,'Analysis of bottom-up tags'!$N$6:$W$6,0))*D$24</f>
        <v>1080.4881504263662</v>
      </c>
      <c r="E511" s="151">
        <f>INDEX('Analysis of bottom-up tags'!$N$71:$W$74,MATCH(Dashboard!$B511,'Analysis of bottom-up tags'!$B$71:$B$74,0),MATCH(Dashboard!E$21,'Analysis of bottom-up tags'!$N$6:$W$6,0))*E$24</f>
        <v>161.93147229314715</v>
      </c>
      <c r="F511" s="151">
        <f>INDEX('Analysis of bottom-up tags'!$N$71:$W$74,MATCH(Dashboard!$B511,'Analysis of bottom-up tags'!$B$71:$B$74,0),MATCH(Dashboard!F$21,'Analysis of bottom-up tags'!$N$6:$W$6,0))*F$24</f>
        <v>599.77741872799697</v>
      </c>
      <c r="G511" s="151">
        <f>INDEX('Analysis of bottom-up tags'!$N$71:$W$74,MATCH(Dashboard!$B511,'Analysis of bottom-up tags'!$B$71:$B$74,0),MATCH(Dashboard!G$21,'Analysis of bottom-up tags'!$N$6:$W$6,0))*G$24</f>
        <v>285.94183931393439</v>
      </c>
      <c r="H511" s="151">
        <f>INDEX('Analysis of bottom-up tags'!$N$71:$W$74,MATCH(Dashboard!$B511,'Analysis of bottom-up tags'!$B$71:$B$74,0),MATCH(Dashboard!H$21,'Analysis of bottom-up tags'!$N$6:$W$6,0))*H$24</f>
        <v>537.23057237866703</v>
      </c>
      <c r="I511" s="151">
        <f>INDEX('Analysis of bottom-up tags'!$N$71:$W$74,MATCH(Dashboard!$B511,'Analysis of bottom-up tags'!$B$71:$B$74,0),MATCH(Dashboard!I$21,'Analysis of bottom-up tags'!$N$6:$W$6,0))*I$24</f>
        <v>227.33411181526293</v>
      </c>
      <c r="J511" s="151">
        <f>INDEX('Analysis of bottom-up tags'!$N$71:$W$74,MATCH(Dashboard!$B511,'Analysis of bottom-up tags'!$B$71:$B$74,0),MATCH(Dashboard!J$21,'Analysis of bottom-up tags'!$N$6:$W$6,0))*J$24</f>
        <v>953.04514022803301</v>
      </c>
      <c r="K511" s="151">
        <f>INDEX('Analysis of bottom-up tags'!$N$71:$W$74,MATCH(Dashboard!$B511,'Analysis of bottom-up tags'!$B$71:$B$74,0),MATCH(Dashboard!K$21,'Analysis of bottom-up tags'!$N$6:$W$6,0))*K$24</f>
        <v>139.19485793117116</v>
      </c>
      <c r="L511" s="151">
        <f>INDEX('Analysis of bottom-up tags'!$N$71:$W$74,MATCH(Dashboard!$B511,'Analysis of bottom-up tags'!$B$71:$B$74,0),MATCH(Dashboard!L$21,'Analysis of bottom-up tags'!$N$6:$W$6,0))*L$24</f>
        <v>600.10126216727906</v>
      </c>
      <c r="M511" s="151">
        <f t="shared" si="297"/>
        <v>6036.8609139688724</v>
      </c>
    </row>
    <row r="512" spans="2:13">
      <c r="B512" s="151" t="s">
        <v>10980</v>
      </c>
      <c r="C512" s="151">
        <f>INDEX('Analysis of bottom-up tags'!$N$71:$W$74,MATCH(Dashboard!$B512,'Analysis of bottom-up tags'!$B$71:$B$74,0),MATCH(Dashboard!C$21,'Analysis of bottom-up tags'!$N$6:$W$6,0))*C$24</f>
        <v>0</v>
      </c>
      <c r="D512" s="151">
        <f>INDEX('Analysis of bottom-up tags'!$N$71:$W$74,MATCH(Dashboard!$B512,'Analysis of bottom-up tags'!$B$71:$B$74,0),MATCH(Dashboard!D$21,'Analysis of bottom-up tags'!$N$6:$W$6,0))*D$24</f>
        <v>0</v>
      </c>
      <c r="E512" s="151">
        <f>INDEX('Analysis of bottom-up tags'!$N$71:$W$74,MATCH(Dashboard!$B512,'Analysis of bottom-up tags'!$B$71:$B$74,0),MATCH(Dashboard!E$21,'Analysis of bottom-up tags'!$N$6:$W$6,0))*E$24</f>
        <v>355.58908349861878</v>
      </c>
      <c r="F512" s="151">
        <f>INDEX('Analysis of bottom-up tags'!$N$71:$W$74,MATCH(Dashboard!$B512,'Analysis of bottom-up tags'!$B$71:$B$74,0),MATCH(Dashboard!F$21,'Analysis of bottom-up tags'!$N$6:$W$6,0))*F$24</f>
        <v>404.88552357565317</v>
      </c>
      <c r="G512" s="151">
        <f>INDEX('Analysis of bottom-up tags'!$N$71:$W$74,MATCH(Dashboard!$B512,'Analysis of bottom-up tags'!$B$71:$B$74,0),MATCH(Dashboard!G$21,'Analysis of bottom-up tags'!$N$6:$W$6,0))*G$24</f>
        <v>16.669924787014914</v>
      </c>
      <c r="H512" s="151">
        <f>INDEX('Analysis of bottom-up tags'!$N$71:$W$74,MATCH(Dashboard!$B512,'Analysis of bottom-up tags'!$B$71:$B$74,0),MATCH(Dashboard!H$21,'Analysis of bottom-up tags'!$N$6:$W$6,0))*H$24</f>
        <v>111.53916873400121</v>
      </c>
      <c r="I512" s="151">
        <f>INDEX('Analysis of bottom-up tags'!$N$71:$W$74,MATCH(Dashboard!$B512,'Analysis of bottom-up tags'!$B$71:$B$74,0),MATCH(Dashboard!I$21,'Analysis of bottom-up tags'!$N$6:$W$6,0))*I$24</f>
        <v>6.838150418940697</v>
      </c>
      <c r="J512" s="151">
        <f>INDEX('Analysis of bottom-up tags'!$N$71:$W$74,MATCH(Dashboard!$B512,'Analysis of bottom-up tags'!$B$71:$B$74,0),MATCH(Dashboard!J$21,'Analysis of bottom-up tags'!$N$6:$W$6,0))*J$24</f>
        <v>141.59666662278883</v>
      </c>
      <c r="K512" s="151">
        <f>INDEX('Analysis of bottom-up tags'!$N$71:$W$74,MATCH(Dashboard!$B512,'Analysis of bottom-up tags'!$B$71:$B$74,0),MATCH(Dashboard!K$21,'Analysis of bottom-up tags'!$N$6:$W$6,0))*K$24</f>
        <v>34.029043533969741</v>
      </c>
      <c r="L512" s="151">
        <f>INDEX('Analysis of bottom-up tags'!$N$71:$W$74,MATCH(Dashboard!$B512,'Analysis of bottom-up tags'!$B$71:$B$74,0),MATCH(Dashboard!L$21,'Analysis of bottom-up tags'!$N$6:$W$6,0))*L$24</f>
        <v>41.832596183891532</v>
      </c>
      <c r="M512" s="151">
        <f t="shared" si="297"/>
        <v>1112.9801573548791</v>
      </c>
    </row>
    <row r="513" spans="2:14">
      <c r="B513" s="151" t="s">
        <v>10985</v>
      </c>
      <c r="C513" s="151">
        <f>INDEX('Analysis of bottom-up tags'!$N$71:$W$74,MATCH(Dashboard!$B513,'Analysis of bottom-up tags'!$B$71:$B$74,0),MATCH(Dashboard!C$21,'Analysis of bottom-up tags'!$N$6:$W$6,0))*C$24</f>
        <v>0</v>
      </c>
      <c r="D513" s="151">
        <f>INDEX('Analysis of bottom-up tags'!$N$71:$W$74,MATCH(Dashboard!$B513,'Analysis of bottom-up tags'!$B$71:$B$74,0),MATCH(Dashboard!D$21,'Analysis of bottom-up tags'!$N$6:$W$6,0))*D$24</f>
        <v>1.3139611449591055</v>
      </c>
      <c r="E513" s="151">
        <f>INDEX('Analysis of bottom-up tags'!$N$71:$W$74,MATCH(Dashboard!$B513,'Analysis of bottom-up tags'!$B$71:$B$74,0),MATCH(Dashboard!E$21,'Analysis of bottom-up tags'!$N$6:$W$6,0))*E$24</f>
        <v>162.60705681546051</v>
      </c>
      <c r="F513" s="151">
        <f>INDEX('Analysis of bottom-up tags'!$N$71:$W$74,MATCH(Dashboard!$B513,'Analysis of bottom-up tags'!$B$71:$B$74,0),MATCH(Dashboard!F$21,'Analysis of bottom-up tags'!$N$6:$W$6,0))*F$24</f>
        <v>0</v>
      </c>
      <c r="G513" s="151">
        <f>INDEX('Analysis of bottom-up tags'!$N$71:$W$74,MATCH(Dashboard!$B513,'Analysis of bottom-up tags'!$B$71:$B$74,0),MATCH(Dashboard!G$21,'Analysis of bottom-up tags'!$N$6:$W$6,0))*G$24</f>
        <v>30.014023458400235</v>
      </c>
      <c r="H513" s="151">
        <f>INDEX('Analysis of bottom-up tags'!$N$71:$W$74,MATCH(Dashboard!$B513,'Analysis of bottom-up tags'!$B$71:$B$74,0),MATCH(Dashboard!H$21,'Analysis of bottom-up tags'!$N$6:$W$6,0))*H$24</f>
        <v>5.251781023849543</v>
      </c>
      <c r="I513" s="151">
        <f>INDEX('Analysis of bottom-up tags'!$N$71:$W$74,MATCH(Dashboard!$B513,'Analysis of bottom-up tags'!$B$71:$B$74,0),MATCH(Dashboard!I$21,'Analysis of bottom-up tags'!$N$6:$W$6,0))*I$24</f>
        <v>15.321978073632222</v>
      </c>
      <c r="J513" s="151">
        <f>INDEX('Analysis of bottom-up tags'!$N$71:$W$74,MATCH(Dashboard!$B513,'Analysis of bottom-up tags'!$B$71:$B$74,0),MATCH(Dashboard!J$21,'Analysis of bottom-up tags'!$N$6:$W$6,0))*J$24</f>
        <v>140.20383069348424</v>
      </c>
      <c r="K513" s="151">
        <f>INDEX('Analysis of bottom-up tags'!$N$71:$W$74,MATCH(Dashboard!$B513,'Analysis of bottom-up tags'!$B$71:$B$74,0),MATCH(Dashboard!K$21,'Analysis of bottom-up tags'!$N$6:$W$6,0))*K$24</f>
        <v>5.1110168740205326</v>
      </c>
      <c r="L513" s="151">
        <f>INDEX('Analysis of bottom-up tags'!$N$71:$W$74,MATCH(Dashboard!$B513,'Analysis of bottom-up tags'!$B$71:$B$74,0),MATCH(Dashboard!L$21,'Analysis of bottom-up tags'!$N$6:$W$6,0))*L$24</f>
        <v>76.339077479314582</v>
      </c>
      <c r="M513" s="151">
        <f t="shared" si="297"/>
        <v>436.162725563121</v>
      </c>
    </row>
    <row r="514" spans="2:14">
      <c r="B514" s="166" t="s">
        <v>11042</v>
      </c>
      <c r="C514" s="166">
        <f>SUM(C510:C513)</f>
        <v>1513.873456777161</v>
      </c>
      <c r="D514" s="166">
        <f t="shared" ref="D514" si="298">SUM(D510:D513)</f>
        <v>1648.1513531328574</v>
      </c>
      <c r="E514" s="166">
        <f t="shared" ref="E514" si="299">SUM(E510:E513)</f>
        <v>1538.9507263357616</v>
      </c>
      <c r="F514" s="166">
        <f t="shared" ref="F514" si="300">SUM(F510:F513)</f>
        <v>1497.2531441495744</v>
      </c>
      <c r="G514" s="166">
        <f t="shared" ref="G514" si="301">SUM(G510:G513)</f>
        <v>2004.8228062945332</v>
      </c>
      <c r="H514" s="166">
        <f t="shared" ref="H514" si="302">SUM(H510:H513)</f>
        <v>2147.1032281462858</v>
      </c>
      <c r="I514" s="166">
        <f t="shared" ref="I514" si="303">SUM(I510:I513)</f>
        <v>1928.6291165943485</v>
      </c>
      <c r="J514" s="166">
        <f t="shared" ref="J514" si="304">SUM(J510:J513)</f>
        <v>2140.568686365024</v>
      </c>
      <c r="K514" s="166">
        <f t="shared" ref="K514" si="305">SUM(K510:K513)</f>
        <v>2360.6510658196385</v>
      </c>
      <c r="L514" s="166">
        <f t="shared" ref="L514" si="306">SUM(L510:L513)</f>
        <v>2233.8172394531543</v>
      </c>
      <c r="M514" s="166">
        <f t="shared" si="297"/>
        <v>19013.820823068334</v>
      </c>
    </row>
    <row r="515" spans="2:14">
      <c r="B515" s="163" t="s">
        <v>10468</v>
      </c>
      <c r="C515" s="163"/>
      <c r="D515" s="163"/>
      <c r="E515" s="163"/>
      <c r="F515" s="163"/>
      <c r="G515" s="163"/>
      <c r="H515" s="163"/>
      <c r="I515" s="163"/>
      <c r="J515" s="163"/>
      <c r="K515" s="163"/>
      <c r="L515" s="163"/>
      <c r="M515" s="163"/>
      <c r="N515" s="208" t="s">
        <v>11159</v>
      </c>
    </row>
    <row r="516" spans="2:14">
      <c r="B516" s="151" t="s">
        <v>10821</v>
      </c>
      <c r="C516" s="151">
        <f>INDEX('Analysis of bottom-up tags'!$N$77:$W$118,MATCH(Dashboard!$B516,'Analysis of bottom-up tags'!$B$77:$B$118,0),MATCH(Dashboard!C$21,'Analysis of bottom-up tags'!$N$6:$W$6,0))*C$24</f>
        <v>24.484482392330285</v>
      </c>
      <c r="D516" s="151">
        <f>INDEX('Analysis of bottom-up tags'!$N$77:$W$118,MATCH(Dashboard!$B516,'Analysis of bottom-up tags'!$B$77:$B$118,0),MATCH(Dashboard!D$21,'Analysis of bottom-up tags'!$N$6:$W$6,0))*D$24</f>
        <v>538.73592988439361</v>
      </c>
      <c r="E516" s="151">
        <f>INDEX('Analysis of bottom-up tags'!$N$77:$W$118,MATCH(Dashboard!$B516,'Analysis of bottom-up tags'!$B$77:$B$118,0),MATCH(Dashboard!E$21,'Analysis of bottom-up tags'!$N$6:$W$6,0))*E$24</f>
        <v>0</v>
      </c>
      <c r="F516" s="151">
        <f>INDEX('Analysis of bottom-up tags'!$N$77:$W$118,MATCH(Dashboard!$B516,'Analysis of bottom-up tags'!$B$77:$B$118,0),MATCH(Dashboard!F$21,'Analysis of bottom-up tags'!$N$6:$W$6,0))*F$24</f>
        <v>371.88645558933274</v>
      </c>
      <c r="G516" s="151">
        <f>INDEX('Analysis of bottom-up tags'!$N$77:$W$118,MATCH(Dashboard!$B516,'Analysis of bottom-up tags'!$B$77:$B$118,0),MATCH(Dashboard!G$21,'Analysis of bottom-up tags'!$N$6:$W$6,0))*G$24</f>
        <v>1486.959227656992</v>
      </c>
      <c r="H516" s="151">
        <f>INDEX('Analysis of bottom-up tags'!$N$77:$W$118,MATCH(Dashboard!$B516,'Analysis of bottom-up tags'!$B$77:$B$118,0),MATCH(Dashboard!H$21,'Analysis of bottom-up tags'!$N$6:$W$6,0))*H$24</f>
        <v>1398.613772325682</v>
      </c>
      <c r="I516" s="151">
        <f>INDEX('Analysis of bottom-up tags'!$N$77:$W$118,MATCH(Dashboard!$B516,'Analysis of bottom-up tags'!$B$77:$B$118,0),MATCH(Dashboard!I$21,'Analysis of bottom-up tags'!$N$6:$W$6,0))*I$24</f>
        <v>1616.0676641085147</v>
      </c>
      <c r="J516" s="151">
        <f>INDEX('Analysis of bottom-up tags'!$N$77:$W$118,MATCH(Dashboard!$B516,'Analysis of bottom-up tags'!$B$77:$B$118,0),MATCH(Dashboard!J$21,'Analysis of bottom-up tags'!$N$6:$W$6,0))*J$24</f>
        <v>481.68273184916961</v>
      </c>
      <c r="K516" s="151">
        <f>INDEX('Analysis of bottom-up tags'!$N$77:$W$118,MATCH(Dashboard!$B516,'Analysis of bottom-up tags'!$B$77:$B$118,0),MATCH(Dashboard!K$21,'Analysis of bottom-up tags'!$N$6:$W$6,0))*K$24</f>
        <v>2161.9232755670428</v>
      </c>
      <c r="L516" s="151">
        <f>INDEX('Analysis of bottom-up tags'!$N$77:$W$118,MATCH(Dashboard!$B516,'Analysis of bottom-up tags'!$B$77:$B$118,0),MATCH(Dashboard!L$21,'Analysis of bottom-up tags'!$N$6:$W$6,0))*L$24</f>
        <v>1281.0899703616385</v>
      </c>
      <c r="M516" s="151">
        <f t="shared" ref="M516:M558" si="307">SUM(C516:L516)</f>
        <v>9361.4435097350961</v>
      </c>
      <c r="N516" s="151" t="str" cm="1">
        <f t="array" ref="N516">INDEX(Framework!$C$3:$C$119,MATCH(Dashboard!$B516,Framework!$D$3:$D$119,),)</f>
        <v xml:space="preserve">Post-production </v>
      </c>
    </row>
    <row r="517" spans="2:14">
      <c r="B517" s="151" t="s">
        <v>10993</v>
      </c>
      <c r="C517" s="151">
        <f>INDEX('Analysis of bottom-up tags'!$N$77:$W$118,MATCH(Dashboard!$B517,'Analysis of bottom-up tags'!$B$77:$B$118,0),MATCH(Dashboard!C$21,'Analysis of bottom-up tags'!$N$6:$W$6,0))*C$24</f>
        <v>1386.8497392860306</v>
      </c>
      <c r="D517" s="151">
        <f>INDEX('Analysis of bottom-up tags'!$N$77:$W$118,MATCH(Dashboard!$B517,'Analysis of bottom-up tags'!$B$77:$B$118,0),MATCH(Dashboard!D$21,'Analysis of bottom-up tags'!$N$6:$W$6,0))*D$24</f>
        <v>937.91393275879466</v>
      </c>
      <c r="E517" s="151">
        <f>INDEX('Analysis of bottom-up tags'!$N$77:$W$118,MATCH(Dashboard!$B517,'Analysis of bottom-up tags'!$B$77:$B$118,0),MATCH(Dashboard!E$21,'Analysis of bottom-up tags'!$N$6:$W$6,0))*E$24</f>
        <v>0</v>
      </c>
      <c r="F517" s="151">
        <f>INDEX('Analysis of bottom-up tags'!$N$77:$W$118,MATCH(Dashboard!$B517,'Analysis of bottom-up tags'!$B$77:$B$118,0),MATCH(Dashboard!F$21,'Analysis of bottom-up tags'!$N$6:$W$6,0))*F$24</f>
        <v>139.11813170119169</v>
      </c>
      <c r="G517" s="151">
        <f>INDEX('Analysis of bottom-up tags'!$N$77:$W$118,MATCH(Dashboard!$B517,'Analysis of bottom-up tags'!$B$77:$B$118,0),MATCH(Dashboard!G$21,'Analysis of bottom-up tags'!$N$6:$W$6,0))*G$24</f>
        <v>0.61322983276061016</v>
      </c>
      <c r="H517" s="151">
        <f>INDEX('Analysis of bottom-up tags'!$N$77:$W$118,MATCH(Dashboard!$B517,'Analysis of bottom-up tags'!$B$77:$B$118,0),MATCH(Dashboard!H$21,'Analysis of bottom-up tags'!$N$6:$W$6,0))*H$24</f>
        <v>3.6660383283126481</v>
      </c>
      <c r="I517" s="151">
        <f>INDEX('Analysis of bottom-up tags'!$N$77:$W$118,MATCH(Dashboard!$B517,'Analysis of bottom-up tags'!$B$77:$B$118,0),MATCH(Dashboard!I$21,'Analysis of bottom-up tags'!$N$6:$W$6,0))*I$24</f>
        <v>2.8394511604474566</v>
      </c>
      <c r="J517" s="151">
        <f>INDEX('Analysis of bottom-up tags'!$N$77:$W$118,MATCH(Dashboard!$B517,'Analysis of bottom-up tags'!$B$77:$B$118,0),MATCH(Dashboard!J$21,'Analysis of bottom-up tags'!$N$6:$W$6,0))*J$24</f>
        <v>0</v>
      </c>
      <c r="K517" s="151">
        <f>INDEX('Analysis of bottom-up tags'!$N$77:$W$118,MATCH(Dashboard!$B517,'Analysis of bottom-up tags'!$B$77:$B$118,0),MATCH(Dashboard!K$21,'Analysis of bottom-up tags'!$N$6:$W$6,0))*K$24</f>
        <v>0.3209430284115331</v>
      </c>
      <c r="L517" s="151">
        <f>INDEX('Analysis of bottom-up tags'!$N$77:$W$118,MATCH(Dashboard!$B517,'Analysis of bottom-up tags'!$B$77:$B$118,0),MATCH(Dashboard!L$21,'Analysis of bottom-up tags'!$N$6:$W$6,0))*L$24</f>
        <v>175.02475854121644</v>
      </c>
      <c r="M517" s="151">
        <f t="shared" si="307"/>
        <v>2646.3462246371655</v>
      </c>
      <c r="N517" s="151" t="str" cm="1">
        <f t="array" ref="N517">INDEX(Framework!$C$3:$C$119,MATCH(Dashboard!$B517,Framework!$D$3:$D$119,),)</f>
        <v>Inputs</v>
      </c>
    </row>
    <row r="518" spans="2:14">
      <c r="B518" s="151" t="s">
        <v>10720</v>
      </c>
      <c r="C518" s="151">
        <f>INDEX('Analysis of bottom-up tags'!$N$77:$W$118,MATCH(Dashboard!$B518,'Analysis of bottom-up tags'!$B$77:$B$118,0),MATCH(Dashboard!C$21,'Analysis of bottom-up tags'!$N$6:$W$6,0))*C$24</f>
        <v>0</v>
      </c>
      <c r="D518" s="151">
        <f>INDEX('Analysis of bottom-up tags'!$N$77:$W$118,MATCH(Dashboard!$B518,'Analysis of bottom-up tags'!$B$77:$B$118,0),MATCH(Dashboard!D$21,'Analysis of bottom-up tags'!$N$6:$W$6,0))*D$24</f>
        <v>0</v>
      </c>
      <c r="E518" s="151">
        <f>INDEX('Analysis of bottom-up tags'!$N$77:$W$118,MATCH(Dashboard!$B518,'Analysis of bottom-up tags'!$B$77:$B$118,0),MATCH(Dashboard!E$21,'Analysis of bottom-up tags'!$N$6:$W$6,0))*E$24</f>
        <v>0</v>
      </c>
      <c r="F518" s="151">
        <f>INDEX('Analysis of bottom-up tags'!$N$77:$W$118,MATCH(Dashboard!$B518,'Analysis of bottom-up tags'!$B$77:$B$118,0),MATCH(Dashboard!F$21,'Analysis of bottom-up tags'!$N$6:$W$6,0))*F$24</f>
        <v>0</v>
      </c>
      <c r="G518" s="151">
        <f>INDEX('Analysis of bottom-up tags'!$N$77:$W$118,MATCH(Dashboard!$B518,'Analysis of bottom-up tags'!$B$77:$B$118,0),MATCH(Dashboard!G$21,'Analysis of bottom-up tags'!$N$6:$W$6,0))*G$24</f>
        <v>0</v>
      </c>
      <c r="H518" s="151">
        <f>INDEX('Analysis of bottom-up tags'!$N$77:$W$118,MATCH(Dashboard!$B518,'Analysis of bottom-up tags'!$B$77:$B$118,0),MATCH(Dashboard!H$21,'Analysis of bottom-up tags'!$N$6:$W$6,0))*H$24</f>
        <v>0</v>
      </c>
      <c r="I518" s="151">
        <f>INDEX('Analysis of bottom-up tags'!$N$77:$W$118,MATCH(Dashboard!$B518,'Analysis of bottom-up tags'!$B$77:$B$118,0),MATCH(Dashboard!I$21,'Analysis of bottom-up tags'!$N$6:$W$6,0))*I$24</f>
        <v>0</v>
      </c>
      <c r="J518" s="151">
        <f>INDEX('Analysis of bottom-up tags'!$N$77:$W$118,MATCH(Dashboard!$B518,'Analysis of bottom-up tags'!$B$77:$B$118,0),MATCH(Dashboard!J$21,'Analysis of bottom-up tags'!$N$6:$W$6,0))*J$24</f>
        <v>78.026851900628373</v>
      </c>
      <c r="K518" s="151">
        <f>INDEX('Analysis of bottom-up tags'!$N$77:$W$118,MATCH(Dashboard!$B518,'Analysis of bottom-up tags'!$B$77:$B$118,0),MATCH(Dashboard!K$21,'Analysis of bottom-up tags'!$N$6:$W$6,0))*K$24</f>
        <v>0</v>
      </c>
      <c r="L518" s="151">
        <f>INDEX('Analysis of bottom-up tags'!$N$77:$W$118,MATCH(Dashboard!$B518,'Analysis of bottom-up tags'!$B$77:$B$118,0),MATCH(Dashboard!L$21,'Analysis of bottom-up tags'!$N$6:$W$6,0))*L$24</f>
        <v>10.464139086176587</v>
      </c>
      <c r="M518" s="151">
        <f t="shared" si="307"/>
        <v>88.49099098680496</v>
      </c>
      <c r="N518" s="151" t="str" cm="1">
        <f t="array" ref="N518">INDEX(Framework!$C$3:$C$119,MATCH(Dashboard!$B518,Framework!$D$3:$D$119,),)</f>
        <v>Inputs</v>
      </c>
    </row>
    <row r="519" spans="2:14">
      <c r="B519" s="151" t="s">
        <v>10718</v>
      </c>
      <c r="C519" s="151">
        <f>INDEX('Analysis of bottom-up tags'!$N$77:$W$118,MATCH(Dashboard!$B519,'Analysis of bottom-up tags'!$B$77:$B$118,0),MATCH(Dashboard!C$21,'Analysis of bottom-up tags'!$N$6:$W$6,0))*C$24</f>
        <v>0</v>
      </c>
      <c r="D519" s="151">
        <f>INDEX('Analysis of bottom-up tags'!$N$77:$W$118,MATCH(Dashboard!$B519,'Analysis of bottom-up tags'!$B$77:$B$118,0),MATCH(Dashboard!D$21,'Analysis of bottom-up tags'!$N$6:$W$6,0))*D$24</f>
        <v>0</v>
      </c>
      <c r="E519" s="151">
        <f>INDEX('Analysis of bottom-up tags'!$N$77:$W$118,MATCH(Dashboard!$B519,'Analysis of bottom-up tags'!$B$77:$B$118,0),MATCH(Dashboard!E$21,'Analysis of bottom-up tags'!$N$6:$W$6,0))*E$24</f>
        <v>0</v>
      </c>
      <c r="F519" s="151">
        <f>INDEX('Analysis of bottom-up tags'!$N$77:$W$118,MATCH(Dashboard!$B519,'Analysis of bottom-up tags'!$B$77:$B$118,0),MATCH(Dashboard!F$21,'Analysis of bottom-up tags'!$N$6:$W$6,0))*F$24</f>
        <v>0</v>
      </c>
      <c r="G519" s="151">
        <f>INDEX('Analysis of bottom-up tags'!$N$77:$W$118,MATCH(Dashboard!$B519,'Analysis of bottom-up tags'!$B$77:$B$118,0),MATCH(Dashboard!G$21,'Analysis of bottom-up tags'!$N$6:$W$6,0))*G$24</f>
        <v>0</v>
      </c>
      <c r="H519" s="151">
        <f>INDEX('Analysis of bottom-up tags'!$N$77:$W$118,MATCH(Dashboard!$B519,'Analysis of bottom-up tags'!$B$77:$B$118,0),MATCH(Dashboard!H$21,'Analysis of bottom-up tags'!$N$6:$W$6,0))*H$24</f>
        <v>259.23127756504977</v>
      </c>
      <c r="I519" s="151">
        <f>INDEX('Analysis of bottom-up tags'!$N$77:$W$118,MATCH(Dashboard!$B519,'Analysis of bottom-up tags'!$B$77:$B$118,0),MATCH(Dashboard!I$21,'Analysis of bottom-up tags'!$N$6:$W$6,0))*I$24</f>
        <v>3.0417507667185317</v>
      </c>
      <c r="J519" s="151">
        <f>INDEX('Analysis of bottom-up tags'!$N$77:$W$118,MATCH(Dashboard!$B519,'Analysis of bottom-up tags'!$B$77:$B$118,0),MATCH(Dashboard!J$21,'Analysis of bottom-up tags'!$N$6:$W$6,0))*J$24</f>
        <v>378.07434835221306</v>
      </c>
      <c r="K519" s="151">
        <f>INDEX('Analysis of bottom-up tags'!$N$77:$W$118,MATCH(Dashboard!$B519,'Analysis of bottom-up tags'!$B$77:$B$118,0),MATCH(Dashboard!K$21,'Analysis of bottom-up tags'!$N$6:$W$6,0))*K$24</f>
        <v>59.991930830031642</v>
      </c>
      <c r="L519" s="151">
        <f>INDEX('Analysis of bottom-up tags'!$N$77:$W$118,MATCH(Dashboard!$B519,'Analysis of bottom-up tags'!$B$77:$B$118,0),MATCH(Dashboard!L$21,'Analysis of bottom-up tags'!$N$6:$W$6,0))*L$24</f>
        <v>0</v>
      </c>
      <c r="M519" s="151">
        <f t="shared" si="307"/>
        <v>700.33930751401294</v>
      </c>
      <c r="N519" s="151" t="str" cm="1">
        <f t="array" ref="N519">INDEX(Framework!$C$3:$C$119,MATCH(Dashboard!$B519,Framework!$D$3:$D$119,),)</f>
        <v>Inputs</v>
      </c>
    </row>
    <row r="520" spans="2:14">
      <c r="B520" s="151" t="s">
        <v>10712</v>
      </c>
      <c r="C520" s="151">
        <f>INDEX('Analysis of bottom-up tags'!$N$77:$W$118,MATCH(Dashboard!$B520,'Analysis of bottom-up tags'!$B$77:$B$118,0),MATCH(Dashboard!C$21,'Analysis of bottom-up tags'!$N$6:$W$6,0))*C$24</f>
        <v>0</v>
      </c>
      <c r="D520" s="151">
        <f>INDEX('Analysis of bottom-up tags'!$N$77:$W$118,MATCH(Dashboard!$B520,'Analysis of bottom-up tags'!$B$77:$B$118,0),MATCH(Dashboard!D$21,'Analysis of bottom-up tags'!$N$6:$W$6,0))*D$24</f>
        <v>0</v>
      </c>
      <c r="E520" s="151">
        <f>INDEX('Analysis of bottom-up tags'!$N$77:$W$118,MATCH(Dashboard!$B520,'Analysis of bottom-up tags'!$B$77:$B$118,0),MATCH(Dashboard!E$21,'Analysis of bottom-up tags'!$N$6:$W$6,0))*E$24</f>
        <v>0</v>
      </c>
      <c r="F520" s="151">
        <f>INDEX('Analysis of bottom-up tags'!$N$77:$W$118,MATCH(Dashboard!$B520,'Analysis of bottom-up tags'!$B$77:$B$118,0),MATCH(Dashboard!F$21,'Analysis of bottom-up tags'!$N$6:$W$6,0))*F$24</f>
        <v>0</v>
      </c>
      <c r="G520" s="151">
        <f>INDEX('Analysis of bottom-up tags'!$N$77:$W$118,MATCH(Dashboard!$B520,'Analysis of bottom-up tags'!$B$77:$B$118,0),MATCH(Dashboard!G$21,'Analysis of bottom-up tags'!$N$6:$W$6,0))*G$24</f>
        <v>0</v>
      </c>
      <c r="H520" s="151">
        <f>INDEX('Analysis of bottom-up tags'!$N$77:$W$118,MATCH(Dashboard!$B520,'Analysis of bottom-up tags'!$B$77:$B$118,0),MATCH(Dashboard!H$21,'Analysis of bottom-up tags'!$N$6:$W$6,0))*H$24</f>
        <v>0</v>
      </c>
      <c r="I520" s="151">
        <f>INDEX('Analysis of bottom-up tags'!$N$77:$W$118,MATCH(Dashboard!$B520,'Analysis of bottom-up tags'!$B$77:$B$118,0),MATCH(Dashboard!I$21,'Analysis of bottom-up tags'!$N$6:$W$6,0))*I$24</f>
        <v>0</v>
      </c>
      <c r="J520" s="151">
        <f>INDEX('Analysis of bottom-up tags'!$N$77:$W$118,MATCH(Dashboard!$B520,'Analysis of bottom-up tags'!$B$77:$B$118,0),MATCH(Dashboard!J$21,'Analysis of bottom-up tags'!$N$6:$W$6,0))*J$24</f>
        <v>0</v>
      </c>
      <c r="K520" s="151">
        <f>INDEX('Analysis of bottom-up tags'!$N$77:$W$118,MATCH(Dashboard!$B520,'Analysis of bottom-up tags'!$B$77:$B$118,0),MATCH(Dashboard!K$21,'Analysis of bottom-up tags'!$N$6:$W$6,0))*K$24</f>
        <v>2.405596735110711</v>
      </c>
      <c r="L520" s="151">
        <f>INDEX('Analysis of bottom-up tags'!$N$77:$W$118,MATCH(Dashboard!$B520,'Analysis of bottom-up tags'!$B$77:$B$118,0),MATCH(Dashboard!L$21,'Analysis of bottom-up tags'!$N$6:$W$6,0))*L$24</f>
        <v>0</v>
      </c>
      <c r="M520" s="151">
        <f t="shared" si="307"/>
        <v>2.405596735110711</v>
      </c>
      <c r="N520" s="151" t="str" cm="1">
        <f t="array" ref="N520">INDEX(Framework!$C$3:$C$119,MATCH(Dashboard!$B520,Framework!$D$3:$D$119,),)</f>
        <v>Inputs</v>
      </c>
    </row>
    <row r="521" spans="2:14">
      <c r="B521" s="151" t="s">
        <v>10766</v>
      </c>
      <c r="C521" s="151">
        <f>INDEX('Analysis of bottom-up tags'!$N$77:$W$118,MATCH(Dashboard!$B521,'Analysis of bottom-up tags'!$B$77:$B$118,0),MATCH(Dashboard!C$21,'Analysis of bottom-up tags'!$N$6:$W$6,0))*C$24</f>
        <v>0</v>
      </c>
      <c r="D521" s="151">
        <f>INDEX('Analysis of bottom-up tags'!$N$77:$W$118,MATCH(Dashboard!$B521,'Analysis of bottom-up tags'!$B$77:$B$118,0),MATCH(Dashboard!D$21,'Analysis of bottom-up tags'!$N$6:$W$6,0))*D$24</f>
        <v>0</v>
      </c>
      <c r="E521" s="151">
        <f>INDEX('Analysis of bottom-up tags'!$N$77:$W$118,MATCH(Dashboard!$B521,'Analysis of bottom-up tags'!$B$77:$B$118,0),MATCH(Dashboard!E$21,'Analysis of bottom-up tags'!$N$6:$W$6,0))*E$24</f>
        <v>0</v>
      </c>
      <c r="F521" s="151">
        <f>INDEX('Analysis of bottom-up tags'!$N$77:$W$118,MATCH(Dashboard!$B521,'Analysis of bottom-up tags'!$B$77:$B$118,0),MATCH(Dashboard!F$21,'Analysis of bottom-up tags'!$N$6:$W$6,0))*F$24</f>
        <v>17.405296287586161</v>
      </c>
      <c r="G521" s="151">
        <f>INDEX('Analysis of bottom-up tags'!$N$77:$W$118,MATCH(Dashboard!$B521,'Analysis of bottom-up tags'!$B$77:$B$118,0),MATCH(Dashboard!G$21,'Analysis of bottom-up tags'!$N$6:$W$6,0))*G$24</f>
        <v>11.687288395312619</v>
      </c>
      <c r="H521" s="151">
        <f>INDEX('Analysis of bottom-up tags'!$N$77:$W$118,MATCH(Dashboard!$B521,'Analysis of bottom-up tags'!$B$77:$B$118,0),MATCH(Dashboard!H$21,'Analysis of bottom-up tags'!$N$6:$W$6,0))*H$24</f>
        <v>2.5711593367206049</v>
      </c>
      <c r="I521" s="151">
        <f>INDEX('Analysis of bottom-up tags'!$N$77:$W$118,MATCH(Dashboard!$B521,'Analysis of bottom-up tags'!$B$77:$B$118,0),MATCH(Dashboard!I$21,'Analysis of bottom-up tags'!$N$6:$W$6,0))*I$24</f>
        <v>5.6100835823218684</v>
      </c>
      <c r="J521" s="151">
        <f>INDEX('Analysis of bottom-up tags'!$N$77:$W$118,MATCH(Dashboard!$B521,'Analysis of bottom-up tags'!$B$77:$B$118,0),MATCH(Dashboard!J$21,'Analysis of bottom-up tags'!$N$6:$W$6,0))*J$24</f>
        <v>0</v>
      </c>
      <c r="K521" s="151">
        <f>INDEX('Analysis of bottom-up tags'!$N$77:$W$118,MATCH(Dashboard!$B521,'Analysis of bottom-up tags'!$B$77:$B$118,0),MATCH(Dashboard!K$21,'Analysis of bottom-up tags'!$N$6:$W$6,0))*K$24</f>
        <v>2.3103531889202711</v>
      </c>
      <c r="L521" s="151">
        <f>INDEX('Analysis of bottom-up tags'!$N$77:$W$118,MATCH(Dashboard!$B521,'Analysis of bottom-up tags'!$B$77:$B$118,0),MATCH(Dashboard!L$21,'Analysis of bottom-up tags'!$N$6:$W$6,0))*L$24</f>
        <v>3.1460075235674556</v>
      </c>
      <c r="M521" s="151">
        <f t="shared" si="307"/>
        <v>42.730188314428986</v>
      </c>
      <c r="N521" s="151" t="str" cm="1">
        <f t="array" ref="N521">INDEX(Framework!$C$3:$C$119,MATCH(Dashboard!$B521,Framework!$D$3:$D$119,),)</f>
        <v>Production</v>
      </c>
    </row>
    <row r="522" spans="2:14">
      <c r="B522" s="151" t="s">
        <v>10842</v>
      </c>
      <c r="C522" s="151">
        <f>INDEX('Analysis of bottom-up tags'!$N$77:$W$118,MATCH(Dashboard!$B522,'Analysis of bottom-up tags'!$B$77:$B$118,0),MATCH(Dashboard!C$21,'Analysis of bottom-up tags'!$N$6:$W$6,0))*C$24</f>
        <v>37.572885697816531</v>
      </c>
      <c r="D522" s="151">
        <f>INDEX('Analysis of bottom-up tags'!$N$77:$W$118,MATCH(Dashboard!$B522,'Analysis of bottom-up tags'!$B$77:$B$118,0),MATCH(Dashboard!D$21,'Analysis of bottom-up tags'!$N$6:$W$6,0))*D$24</f>
        <v>27.613311677138224</v>
      </c>
      <c r="E522" s="151">
        <f>INDEX('Analysis of bottom-up tags'!$N$77:$W$118,MATCH(Dashboard!$B522,'Analysis of bottom-up tags'!$B$77:$B$118,0),MATCH(Dashboard!E$21,'Analysis of bottom-up tags'!$N$6:$W$6,0))*E$24</f>
        <v>858.82311372853508</v>
      </c>
      <c r="F522" s="151">
        <f>INDEX('Analysis of bottom-up tags'!$N$77:$W$118,MATCH(Dashboard!$B522,'Analysis of bottom-up tags'!$B$77:$B$118,0),MATCH(Dashboard!F$21,'Analysis of bottom-up tags'!$N$6:$W$6,0))*F$24</f>
        <v>120.70374625659154</v>
      </c>
      <c r="G522" s="151">
        <f>INDEX('Analysis of bottom-up tags'!$N$77:$W$118,MATCH(Dashboard!$B522,'Analysis of bottom-up tags'!$B$77:$B$118,0),MATCH(Dashboard!G$21,'Analysis of bottom-up tags'!$N$6:$W$6,0))*G$24</f>
        <v>185.23779107819172</v>
      </c>
      <c r="H522" s="151">
        <f>INDEX('Analysis of bottom-up tags'!$N$77:$W$118,MATCH(Dashboard!$B522,'Analysis of bottom-up tags'!$B$77:$B$118,0),MATCH(Dashboard!H$21,'Analysis of bottom-up tags'!$N$6:$W$6,0))*H$24</f>
        <v>94.467933684086461</v>
      </c>
      <c r="I522" s="151">
        <f>INDEX('Analysis of bottom-up tags'!$N$77:$W$118,MATCH(Dashboard!$B522,'Analysis of bottom-up tags'!$B$77:$B$118,0),MATCH(Dashboard!I$21,'Analysis of bottom-up tags'!$N$6:$W$6,0))*I$24</f>
        <v>63.067212177998236</v>
      </c>
      <c r="J522" s="151">
        <f>INDEX('Analysis of bottom-up tags'!$N$77:$W$118,MATCH(Dashboard!$B522,'Analysis of bottom-up tags'!$B$77:$B$118,0),MATCH(Dashboard!J$21,'Analysis of bottom-up tags'!$N$6:$W$6,0))*J$24</f>
        <v>424.04031697154812</v>
      </c>
      <c r="K522" s="151">
        <f>INDEX('Analysis of bottom-up tags'!$N$77:$W$118,MATCH(Dashboard!$B522,'Analysis of bottom-up tags'!$B$77:$B$118,0),MATCH(Dashboard!K$21,'Analysis of bottom-up tags'!$N$6:$W$6,0))*K$24</f>
        <v>20.392871913434366</v>
      </c>
      <c r="L522" s="151">
        <f>INDEX('Analysis of bottom-up tags'!$N$77:$W$118,MATCH(Dashboard!$B522,'Analysis of bottom-up tags'!$B$77:$B$118,0),MATCH(Dashboard!L$21,'Analysis of bottom-up tags'!$N$6:$W$6,0))*L$24</f>
        <v>234.45433326103097</v>
      </c>
      <c r="M522" s="151">
        <f t="shared" si="307"/>
        <v>2066.373516446371</v>
      </c>
      <c r="N522" s="151" t="str" cm="1">
        <f t="array" ref="N522">INDEX(Framework!$C$3:$C$119,MATCH(Dashboard!$B522,Framework!$D$3:$D$119,),)</f>
        <v>Cross-cutting</v>
      </c>
    </row>
    <row r="523" spans="2:14">
      <c r="B523" s="151" t="s">
        <v>10846</v>
      </c>
      <c r="C523" s="151">
        <f>INDEX('Analysis of bottom-up tags'!$N$77:$W$118,MATCH(Dashboard!$B523,'Analysis of bottom-up tags'!$B$77:$B$118,0),MATCH(Dashboard!C$21,'Analysis of bottom-up tags'!$N$6:$W$6,0))*C$24</f>
        <v>0</v>
      </c>
      <c r="D523" s="151">
        <f>INDEX('Analysis of bottom-up tags'!$N$77:$W$118,MATCH(Dashboard!$B523,'Analysis of bottom-up tags'!$B$77:$B$118,0),MATCH(Dashboard!D$21,'Analysis of bottom-up tags'!$N$6:$W$6,0))*D$24</f>
        <v>19.515651560363139</v>
      </c>
      <c r="E523" s="151">
        <f>INDEX('Analysis of bottom-up tags'!$N$77:$W$118,MATCH(Dashboard!$B523,'Analysis of bottom-up tags'!$B$77:$B$118,0),MATCH(Dashboard!E$21,'Analysis of bottom-up tags'!$N$6:$W$6,0))*E$24</f>
        <v>0</v>
      </c>
      <c r="F523" s="151">
        <f>INDEX('Analysis of bottom-up tags'!$N$77:$W$118,MATCH(Dashboard!$B523,'Analysis of bottom-up tags'!$B$77:$B$118,0),MATCH(Dashboard!F$21,'Analysis of bottom-up tags'!$N$6:$W$6,0))*F$24</f>
        <v>2.0291418747894165</v>
      </c>
      <c r="G523" s="151">
        <f>INDEX('Analysis of bottom-up tags'!$N$77:$W$118,MATCH(Dashboard!$B523,'Analysis of bottom-up tags'!$B$77:$B$118,0),MATCH(Dashboard!G$21,'Analysis of bottom-up tags'!$N$6:$W$6,0))*G$24</f>
        <v>191.60090208526381</v>
      </c>
      <c r="H523" s="151">
        <f>INDEX('Analysis of bottom-up tags'!$N$77:$W$118,MATCH(Dashboard!$B523,'Analysis of bottom-up tags'!$B$77:$B$118,0),MATCH(Dashboard!H$21,'Analysis of bottom-up tags'!$N$6:$W$6,0))*H$24</f>
        <v>8.8364237994842849</v>
      </c>
      <c r="I523" s="151">
        <f>INDEX('Analysis of bottom-up tags'!$N$77:$W$118,MATCH(Dashboard!$B523,'Analysis of bottom-up tags'!$B$77:$B$118,0),MATCH(Dashboard!I$21,'Analysis of bottom-up tags'!$N$6:$W$6,0))*I$24</f>
        <v>58.965120938855776</v>
      </c>
      <c r="J523" s="151">
        <f>INDEX('Analysis of bottom-up tags'!$N$77:$W$118,MATCH(Dashboard!$B523,'Analysis of bottom-up tags'!$B$77:$B$118,0),MATCH(Dashboard!J$21,'Analysis of bottom-up tags'!$N$6:$W$6,0))*J$24</f>
        <v>232.34205062927666</v>
      </c>
      <c r="K523" s="151">
        <f>INDEX('Analysis of bottom-up tags'!$N$77:$W$118,MATCH(Dashboard!$B523,'Analysis of bottom-up tags'!$B$77:$B$118,0),MATCH(Dashboard!K$21,'Analysis of bottom-up tags'!$N$6:$W$6,0))*K$24</f>
        <v>53.234865869052669</v>
      </c>
      <c r="L523" s="151">
        <f>INDEX('Analysis of bottom-up tags'!$N$77:$W$118,MATCH(Dashboard!$B523,'Analysis of bottom-up tags'!$B$77:$B$118,0),MATCH(Dashboard!L$21,'Analysis of bottom-up tags'!$N$6:$W$6,0))*L$24</f>
        <v>237.46105839281904</v>
      </c>
      <c r="M523" s="151">
        <f t="shared" si="307"/>
        <v>803.98521514990477</v>
      </c>
      <c r="N523" s="151" t="str" cm="1">
        <f t="array" ref="N523">INDEX(Framework!$C$3:$C$119,MATCH(Dashboard!$B523,Framework!$D$3:$D$119,),)</f>
        <v>Cross-cutting</v>
      </c>
    </row>
    <row r="524" spans="2:14">
      <c r="B524" s="151" t="s">
        <v>10776</v>
      </c>
      <c r="C524" s="151">
        <f>INDEX('Analysis of bottom-up tags'!$N$77:$W$118,MATCH(Dashboard!$B524,'Analysis of bottom-up tags'!$B$77:$B$118,0),MATCH(Dashboard!C$21,'Analysis of bottom-up tags'!$N$6:$W$6,0))*C$24</f>
        <v>0</v>
      </c>
      <c r="D524" s="151">
        <f>INDEX('Analysis of bottom-up tags'!$N$77:$W$118,MATCH(Dashboard!$B524,'Analysis of bottom-up tags'!$B$77:$B$118,0),MATCH(Dashboard!D$21,'Analysis of bottom-up tags'!$N$6:$W$6,0))*D$24</f>
        <v>0</v>
      </c>
      <c r="E524" s="151">
        <f>INDEX('Analysis of bottom-up tags'!$N$77:$W$118,MATCH(Dashboard!$B524,'Analysis of bottom-up tags'!$B$77:$B$118,0),MATCH(Dashboard!E$21,'Analysis of bottom-up tags'!$N$6:$W$6,0))*E$24</f>
        <v>0</v>
      </c>
      <c r="F524" s="151">
        <f>INDEX('Analysis of bottom-up tags'!$N$77:$W$118,MATCH(Dashboard!$B524,'Analysis of bottom-up tags'!$B$77:$B$118,0),MATCH(Dashboard!F$21,'Analysis of bottom-up tags'!$N$6:$W$6,0))*F$24</f>
        <v>0</v>
      </c>
      <c r="G524" s="151">
        <f>INDEX('Analysis of bottom-up tags'!$N$77:$W$118,MATCH(Dashboard!$B524,'Analysis of bottom-up tags'!$B$77:$B$118,0),MATCH(Dashboard!G$21,'Analysis of bottom-up tags'!$N$6:$W$6,0))*G$24</f>
        <v>0</v>
      </c>
      <c r="H524" s="151">
        <f>INDEX('Analysis of bottom-up tags'!$N$77:$W$118,MATCH(Dashboard!$B524,'Analysis of bottom-up tags'!$B$77:$B$118,0),MATCH(Dashboard!H$21,'Analysis of bottom-up tags'!$N$6:$W$6,0))*H$24</f>
        <v>0</v>
      </c>
      <c r="I524" s="151">
        <f>INDEX('Analysis of bottom-up tags'!$N$77:$W$118,MATCH(Dashboard!$B524,'Analysis of bottom-up tags'!$B$77:$B$118,0),MATCH(Dashboard!I$21,'Analysis of bottom-up tags'!$N$6:$W$6,0))*I$24</f>
        <v>0</v>
      </c>
      <c r="J524" s="151">
        <f>INDEX('Analysis of bottom-up tags'!$N$77:$W$118,MATCH(Dashboard!$B524,'Analysis of bottom-up tags'!$B$77:$B$118,0),MATCH(Dashboard!J$21,'Analysis of bottom-up tags'!$N$6:$W$6,0))*J$24</f>
        <v>57.34821554262524</v>
      </c>
      <c r="K524" s="151">
        <f>INDEX('Analysis of bottom-up tags'!$N$77:$W$118,MATCH(Dashboard!$B524,'Analysis of bottom-up tags'!$B$77:$B$118,0),MATCH(Dashboard!K$21,'Analysis of bottom-up tags'!$N$6:$W$6,0))*K$24</f>
        <v>0</v>
      </c>
      <c r="L524" s="151">
        <f>INDEX('Analysis of bottom-up tags'!$N$77:$W$118,MATCH(Dashboard!$B524,'Analysis of bottom-up tags'!$B$77:$B$118,0),MATCH(Dashboard!L$21,'Analysis of bottom-up tags'!$N$6:$W$6,0))*L$24</f>
        <v>0</v>
      </c>
      <c r="M524" s="151">
        <f t="shared" si="307"/>
        <v>57.34821554262524</v>
      </c>
      <c r="N524" s="151" t="str" cm="1">
        <f t="array" ref="N524">INDEX(Framework!$C$3:$C$119,MATCH(Dashboard!$B524,Framework!$D$3:$D$119,),)</f>
        <v>Production</v>
      </c>
    </row>
    <row r="525" spans="2:14">
      <c r="B525" s="151" t="s">
        <v>10517</v>
      </c>
      <c r="C525" s="151">
        <f>INDEX('Analysis of bottom-up tags'!$N$77:$W$118,MATCH(Dashboard!$B525,'Analysis of bottom-up tags'!$B$77:$B$118,0),MATCH(Dashboard!C$21,'Analysis of bottom-up tags'!$N$6:$W$6,0))*C$24</f>
        <v>0</v>
      </c>
      <c r="D525" s="151">
        <f>INDEX('Analysis of bottom-up tags'!$N$77:$W$118,MATCH(Dashboard!$B525,'Analysis of bottom-up tags'!$B$77:$B$118,0),MATCH(Dashboard!D$21,'Analysis of bottom-up tags'!$N$6:$W$6,0))*D$24</f>
        <v>0</v>
      </c>
      <c r="E525" s="151">
        <f>INDEX('Analysis of bottom-up tags'!$N$77:$W$118,MATCH(Dashboard!$B525,'Analysis of bottom-up tags'!$B$77:$B$118,0),MATCH(Dashboard!E$21,'Analysis of bottom-up tags'!$N$6:$W$6,0))*E$24</f>
        <v>0</v>
      </c>
      <c r="F525" s="151">
        <f>INDEX('Analysis of bottom-up tags'!$N$77:$W$118,MATCH(Dashboard!$B525,'Analysis of bottom-up tags'!$B$77:$B$118,0),MATCH(Dashboard!F$21,'Analysis of bottom-up tags'!$N$6:$W$6,0))*F$24</f>
        <v>0</v>
      </c>
      <c r="G525" s="151">
        <f>INDEX('Analysis of bottom-up tags'!$N$77:$W$118,MATCH(Dashboard!$B525,'Analysis of bottom-up tags'!$B$77:$B$118,0),MATCH(Dashboard!G$21,'Analysis of bottom-up tags'!$N$6:$W$6,0))*G$24</f>
        <v>0</v>
      </c>
      <c r="H525" s="151">
        <f>INDEX('Analysis of bottom-up tags'!$N$77:$W$118,MATCH(Dashboard!$B525,'Analysis of bottom-up tags'!$B$77:$B$118,0),MATCH(Dashboard!H$21,'Analysis of bottom-up tags'!$N$6:$W$6,0))*H$24</f>
        <v>94.122633562931824</v>
      </c>
      <c r="I525" s="151">
        <f>INDEX('Analysis of bottom-up tags'!$N$77:$W$118,MATCH(Dashboard!$B525,'Analysis of bottom-up tags'!$B$77:$B$118,0),MATCH(Dashboard!I$21,'Analysis of bottom-up tags'!$N$6:$W$6,0))*I$24</f>
        <v>141.56397982302391</v>
      </c>
      <c r="J525" s="151">
        <f>INDEX('Analysis of bottom-up tags'!$N$77:$W$118,MATCH(Dashboard!$B525,'Analysis of bottom-up tags'!$B$77:$B$118,0),MATCH(Dashboard!J$21,'Analysis of bottom-up tags'!$N$6:$W$6,0))*J$24</f>
        <v>28.7387196826704</v>
      </c>
      <c r="K525" s="151">
        <f>INDEX('Analysis of bottom-up tags'!$N$77:$W$118,MATCH(Dashboard!$B525,'Analysis of bottom-up tags'!$B$77:$B$118,0),MATCH(Dashboard!K$21,'Analysis of bottom-up tags'!$N$6:$W$6,0))*K$24</f>
        <v>0.66508206317382934</v>
      </c>
      <c r="L525" s="151">
        <f>INDEX('Analysis of bottom-up tags'!$N$77:$W$118,MATCH(Dashboard!$B525,'Analysis of bottom-up tags'!$B$77:$B$118,0),MATCH(Dashboard!L$21,'Analysis of bottom-up tags'!$N$6:$W$6,0))*L$24</f>
        <v>13.229544452332187</v>
      </c>
      <c r="M525" s="151">
        <f t="shared" si="307"/>
        <v>278.31995958413216</v>
      </c>
      <c r="N525" s="207" t="s">
        <v>10517</v>
      </c>
    </row>
    <row r="526" spans="2:14">
      <c r="B526" s="151" t="s">
        <v>10759</v>
      </c>
      <c r="C526" s="151">
        <f>INDEX('Analysis of bottom-up tags'!$N$77:$W$118,MATCH(Dashboard!$B526,'Analysis of bottom-up tags'!$B$77:$B$118,0),MATCH(Dashboard!C$21,'Analysis of bottom-up tags'!$N$6:$W$6,0))*C$24</f>
        <v>0</v>
      </c>
      <c r="D526" s="151">
        <f>INDEX('Analysis of bottom-up tags'!$N$77:$W$118,MATCH(Dashboard!$B526,'Analysis of bottom-up tags'!$B$77:$B$118,0),MATCH(Dashboard!D$21,'Analysis of bottom-up tags'!$N$6:$W$6,0))*D$24</f>
        <v>0</v>
      </c>
      <c r="E526" s="151">
        <f>INDEX('Analysis of bottom-up tags'!$N$77:$W$118,MATCH(Dashboard!$B526,'Analysis of bottom-up tags'!$B$77:$B$118,0),MATCH(Dashboard!E$21,'Analysis of bottom-up tags'!$N$6:$W$6,0))*E$24</f>
        <v>0</v>
      </c>
      <c r="F526" s="151">
        <f>INDEX('Analysis of bottom-up tags'!$N$77:$W$118,MATCH(Dashboard!$B526,'Analysis of bottom-up tags'!$B$77:$B$118,0),MATCH(Dashboard!F$21,'Analysis of bottom-up tags'!$N$6:$W$6,0))*F$24</f>
        <v>0</v>
      </c>
      <c r="G526" s="151">
        <f>INDEX('Analysis of bottom-up tags'!$N$77:$W$118,MATCH(Dashboard!$B526,'Analysis of bottom-up tags'!$B$77:$B$118,0),MATCH(Dashboard!G$21,'Analysis of bottom-up tags'!$N$6:$W$6,0))*G$24</f>
        <v>0</v>
      </c>
      <c r="H526" s="151">
        <f>INDEX('Analysis of bottom-up tags'!$N$77:$W$118,MATCH(Dashboard!$B526,'Analysis of bottom-up tags'!$B$77:$B$118,0),MATCH(Dashboard!H$21,'Analysis of bottom-up tags'!$N$6:$W$6,0))*H$24</f>
        <v>0</v>
      </c>
      <c r="I526" s="151">
        <f>INDEX('Analysis of bottom-up tags'!$N$77:$W$118,MATCH(Dashboard!$B526,'Analysis of bottom-up tags'!$B$77:$B$118,0),MATCH(Dashboard!I$21,'Analysis of bottom-up tags'!$N$6:$W$6,0))*I$24</f>
        <v>6.2458971533993299</v>
      </c>
      <c r="J526" s="151">
        <f>INDEX('Analysis of bottom-up tags'!$N$77:$W$118,MATCH(Dashboard!$B526,'Analysis of bottom-up tags'!$B$77:$B$118,0),MATCH(Dashboard!J$21,'Analysis of bottom-up tags'!$N$6:$W$6,0))*J$24</f>
        <v>47.133299285586219</v>
      </c>
      <c r="K526" s="151">
        <f>INDEX('Analysis of bottom-up tags'!$N$77:$W$118,MATCH(Dashboard!$B526,'Analysis of bottom-up tags'!$B$77:$B$118,0),MATCH(Dashboard!K$21,'Analysis of bottom-up tags'!$N$6:$W$6,0))*K$24</f>
        <v>2.8832299940195369</v>
      </c>
      <c r="L526" s="151">
        <f>INDEX('Analysis of bottom-up tags'!$N$77:$W$118,MATCH(Dashboard!$B526,'Analysis of bottom-up tags'!$B$77:$B$118,0),MATCH(Dashboard!L$21,'Analysis of bottom-up tags'!$N$6:$W$6,0))*L$24</f>
        <v>21.759755827364671</v>
      </c>
      <c r="M526" s="151">
        <f t="shared" si="307"/>
        <v>78.02218226036976</v>
      </c>
      <c r="N526" s="151" t="str" cm="1">
        <f t="array" ref="N526">INDEX(Framework!$C$3:$C$119,MATCH(Dashboard!$B526,Framework!$D$3:$D$119,),)</f>
        <v>Production</v>
      </c>
    </row>
    <row r="527" spans="2:14">
      <c r="B527" s="151" t="s">
        <v>10852</v>
      </c>
      <c r="C527" s="151">
        <f>INDEX('Analysis of bottom-up tags'!$N$77:$W$118,MATCH(Dashboard!$B527,'Analysis of bottom-up tags'!$B$77:$B$118,0),MATCH(Dashboard!C$21,'Analysis of bottom-up tags'!$N$6:$W$6,0))*C$24</f>
        <v>0</v>
      </c>
      <c r="D527" s="151">
        <f>INDEX('Analysis of bottom-up tags'!$N$77:$W$118,MATCH(Dashboard!$B527,'Analysis of bottom-up tags'!$B$77:$B$118,0),MATCH(Dashboard!D$21,'Analysis of bottom-up tags'!$N$6:$W$6,0))*D$24</f>
        <v>0</v>
      </c>
      <c r="E527" s="151">
        <f>INDEX('Analysis of bottom-up tags'!$N$77:$W$118,MATCH(Dashboard!$B527,'Analysis of bottom-up tags'!$B$77:$B$118,0),MATCH(Dashboard!E$21,'Analysis of bottom-up tags'!$N$6:$W$6,0))*E$24</f>
        <v>0</v>
      </c>
      <c r="F527" s="151">
        <f>INDEX('Analysis of bottom-up tags'!$N$77:$W$118,MATCH(Dashboard!$B527,'Analysis of bottom-up tags'!$B$77:$B$118,0),MATCH(Dashboard!F$21,'Analysis of bottom-up tags'!$N$6:$W$6,0))*F$24</f>
        <v>0</v>
      </c>
      <c r="G527" s="151">
        <f>INDEX('Analysis of bottom-up tags'!$N$77:$W$118,MATCH(Dashboard!$B527,'Analysis of bottom-up tags'!$B$77:$B$118,0),MATCH(Dashboard!G$21,'Analysis of bottom-up tags'!$N$6:$W$6,0))*G$24</f>
        <v>0</v>
      </c>
      <c r="H527" s="151">
        <f>INDEX('Analysis of bottom-up tags'!$N$77:$W$118,MATCH(Dashboard!$B527,'Analysis of bottom-up tags'!$B$77:$B$118,0),MATCH(Dashboard!H$21,'Analysis of bottom-up tags'!$N$6:$W$6,0))*H$24</f>
        <v>0</v>
      </c>
      <c r="I527" s="151">
        <f>INDEX('Analysis of bottom-up tags'!$N$77:$W$118,MATCH(Dashboard!$B527,'Analysis of bottom-up tags'!$B$77:$B$118,0),MATCH(Dashboard!I$21,'Analysis of bottom-up tags'!$N$6:$W$6,0))*I$24</f>
        <v>1.8114505920514079</v>
      </c>
      <c r="J527" s="151">
        <f>INDEX('Analysis of bottom-up tags'!$N$77:$W$118,MATCH(Dashboard!$B527,'Analysis of bottom-up tags'!$B$77:$B$118,0),MATCH(Dashboard!J$21,'Analysis of bottom-up tags'!$N$6:$W$6,0))*J$24</f>
        <v>122.4022919248859</v>
      </c>
      <c r="K527" s="151">
        <f>INDEX('Analysis of bottom-up tags'!$N$77:$W$118,MATCH(Dashboard!$B527,'Analysis of bottom-up tags'!$B$77:$B$118,0),MATCH(Dashboard!K$21,'Analysis of bottom-up tags'!$N$6:$W$6,0))*K$24</f>
        <v>2.6579387680340458</v>
      </c>
      <c r="L527" s="151">
        <f>INDEX('Analysis of bottom-up tags'!$N$77:$W$118,MATCH(Dashboard!$B527,'Analysis of bottom-up tags'!$B$77:$B$118,0),MATCH(Dashboard!L$21,'Analysis of bottom-up tags'!$N$6:$W$6,0))*L$24</f>
        <v>34.395642026513322</v>
      </c>
      <c r="M527" s="151">
        <f t="shared" si="307"/>
        <v>161.26732331148469</v>
      </c>
      <c r="N527" s="151" t="str" cm="1">
        <f t="array" ref="N527">INDEX(Framework!$C$3:$C$119,MATCH(Dashboard!$B527,Framework!$D$3:$D$119,),)</f>
        <v>Cross-cutting</v>
      </c>
    </row>
    <row r="528" spans="2:14">
      <c r="B528" s="151" t="s">
        <v>10768</v>
      </c>
      <c r="C528" s="151">
        <f>INDEX('Analysis of bottom-up tags'!$N$77:$W$118,MATCH(Dashboard!$B528,'Analysis of bottom-up tags'!$B$77:$B$118,0),MATCH(Dashboard!C$21,'Analysis of bottom-up tags'!$N$6:$W$6,0))*C$24</f>
        <v>14.548867079111</v>
      </c>
      <c r="D528" s="151">
        <f>INDEX('Analysis of bottom-up tags'!$N$77:$W$118,MATCH(Dashboard!$B528,'Analysis of bottom-up tags'!$B$77:$B$118,0),MATCH(Dashboard!D$21,'Analysis of bottom-up tags'!$N$6:$W$6,0))*D$24</f>
        <v>114.85286965917381</v>
      </c>
      <c r="E528" s="151">
        <f>INDEX('Analysis of bottom-up tags'!$N$77:$W$118,MATCH(Dashboard!$B528,'Analysis of bottom-up tags'!$B$77:$B$118,0),MATCH(Dashboard!E$21,'Analysis of bottom-up tags'!$N$6:$W$6,0))*E$24</f>
        <v>0</v>
      </c>
      <c r="F528" s="151">
        <f>INDEX('Analysis of bottom-up tags'!$N$77:$W$118,MATCH(Dashboard!$B528,'Analysis of bottom-up tags'!$B$77:$B$118,0),MATCH(Dashboard!F$21,'Analysis of bottom-up tags'!$N$6:$W$6,0))*F$24</f>
        <v>388.66962917443379</v>
      </c>
      <c r="G528" s="151">
        <f>INDEX('Analysis of bottom-up tags'!$N$77:$W$118,MATCH(Dashboard!$B528,'Analysis of bottom-up tags'!$B$77:$B$118,0),MATCH(Dashboard!G$21,'Analysis of bottom-up tags'!$N$6:$W$6,0))*G$24</f>
        <v>19.127568083612299</v>
      </c>
      <c r="H528" s="151">
        <f>INDEX('Analysis of bottom-up tags'!$N$77:$W$118,MATCH(Dashboard!$B528,'Analysis of bottom-up tags'!$B$77:$B$118,0),MATCH(Dashboard!H$21,'Analysis of bottom-up tags'!$N$6:$W$6,0))*H$24</f>
        <v>8.7668797563233358</v>
      </c>
      <c r="I528" s="151">
        <f>INDEX('Analysis of bottom-up tags'!$N$77:$W$118,MATCH(Dashboard!$B528,'Analysis of bottom-up tags'!$B$77:$B$118,0),MATCH(Dashboard!I$21,'Analysis of bottom-up tags'!$N$6:$W$6,0))*I$24</f>
        <v>3.4225226771718722</v>
      </c>
      <c r="J528" s="151">
        <f>INDEX('Analysis of bottom-up tags'!$N$77:$W$118,MATCH(Dashboard!$B528,'Analysis of bottom-up tags'!$B$77:$B$118,0),MATCH(Dashboard!J$21,'Analysis of bottom-up tags'!$N$6:$W$6,0))*J$24</f>
        <v>0.86794578072336481</v>
      </c>
      <c r="K528" s="151">
        <f>INDEX('Analysis of bottom-up tags'!$N$77:$W$118,MATCH(Dashboard!$B528,'Analysis of bottom-up tags'!$B$77:$B$118,0),MATCH(Dashboard!K$21,'Analysis of bottom-up tags'!$N$6:$W$6,0))*K$24</f>
        <v>3.7616063710599104</v>
      </c>
      <c r="L528" s="151">
        <f>INDEX('Analysis of bottom-up tags'!$N$77:$W$118,MATCH(Dashboard!$B528,'Analysis of bottom-up tags'!$B$77:$B$118,0),MATCH(Dashboard!L$21,'Analysis of bottom-up tags'!$N$6:$W$6,0))*L$24</f>
        <v>43.183968065348431</v>
      </c>
      <c r="M528" s="151">
        <f t="shared" si="307"/>
        <v>597.20185664695782</v>
      </c>
      <c r="N528" s="151" t="str" cm="1">
        <f t="array" ref="N528">INDEX(Framework!$C$3:$C$119,MATCH(Dashboard!$B528,Framework!$D$3:$D$119,),)</f>
        <v>Production</v>
      </c>
    </row>
    <row r="529" spans="2:14">
      <c r="B529" s="151" t="s">
        <v>10870</v>
      </c>
      <c r="C529" s="151">
        <f>INDEX('Analysis of bottom-up tags'!$N$77:$W$118,MATCH(Dashboard!$B529,'Analysis of bottom-up tags'!$B$77:$B$118,0),MATCH(Dashboard!C$21,'Analysis of bottom-up tags'!$N$6:$W$6,0))*C$24</f>
        <v>0</v>
      </c>
      <c r="D529" s="151">
        <f>INDEX('Analysis of bottom-up tags'!$N$77:$W$118,MATCH(Dashboard!$B529,'Analysis of bottom-up tags'!$B$77:$B$118,0),MATCH(Dashboard!D$21,'Analysis of bottom-up tags'!$N$6:$W$6,0))*D$24</f>
        <v>0</v>
      </c>
      <c r="E529" s="151">
        <f>INDEX('Analysis of bottom-up tags'!$N$77:$W$118,MATCH(Dashboard!$B529,'Analysis of bottom-up tags'!$B$77:$B$118,0),MATCH(Dashboard!E$21,'Analysis of bottom-up tags'!$N$6:$W$6,0))*E$24</f>
        <v>0</v>
      </c>
      <c r="F529" s="151">
        <f>INDEX('Analysis of bottom-up tags'!$N$77:$W$118,MATCH(Dashboard!$B529,'Analysis of bottom-up tags'!$B$77:$B$118,0),MATCH(Dashboard!F$21,'Analysis of bottom-up tags'!$N$6:$W$6,0))*F$24</f>
        <v>72.696754865448085</v>
      </c>
      <c r="G529" s="151">
        <f>INDEX('Analysis of bottom-up tags'!$N$77:$W$118,MATCH(Dashboard!$B529,'Analysis of bottom-up tags'!$B$77:$B$118,0),MATCH(Dashboard!G$21,'Analysis of bottom-up tags'!$N$6:$W$6,0))*G$24</f>
        <v>0</v>
      </c>
      <c r="H529" s="151">
        <f>INDEX('Analysis of bottom-up tags'!$N$77:$W$118,MATCH(Dashboard!$B529,'Analysis of bottom-up tags'!$B$77:$B$118,0),MATCH(Dashboard!H$21,'Analysis of bottom-up tags'!$N$6:$W$6,0))*H$24</f>
        <v>17.416535171069391</v>
      </c>
      <c r="I529" s="151">
        <f>INDEX('Analysis of bottom-up tags'!$N$77:$W$118,MATCH(Dashboard!$B529,'Analysis of bottom-up tags'!$B$77:$B$118,0),MATCH(Dashboard!I$21,'Analysis of bottom-up tags'!$N$6:$W$6,0))*I$24</f>
        <v>0</v>
      </c>
      <c r="J529" s="151">
        <f>INDEX('Analysis of bottom-up tags'!$N$77:$W$118,MATCH(Dashboard!$B529,'Analysis of bottom-up tags'!$B$77:$B$118,0),MATCH(Dashboard!J$21,'Analysis of bottom-up tags'!$N$6:$W$6,0))*J$24</f>
        <v>14.434177510691356</v>
      </c>
      <c r="K529" s="151">
        <f>INDEX('Analysis of bottom-up tags'!$N$77:$W$118,MATCH(Dashboard!$B529,'Analysis of bottom-up tags'!$B$77:$B$118,0),MATCH(Dashboard!K$21,'Analysis of bottom-up tags'!$N$6:$W$6,0))*K$24</f>
        <v>28.574045543335803</v>
      </c>
      <c r="L529" s="151">
        <f>INDEX('Analysis of bottom-up tags'!$N$77:$W$118,MATCH(Dashboard!$B529,'Analysis of bottom-up tags'!$B$77:$B$118,0),MATCH(Dashboard!L$21,'Analysis of bottom-up tags'!$N$6:$W$6,0))*L$24</f>
        <v>3.8293448140284574</v>
      </c>
      <c r="M529" s="151">
        <f t="shared" si="307"/>
        <v>136.95085790457307</v>
      </c>
      <c r="N529" s="151" t="str" cm="1">
        <f t="array" ref="N529">INDEX(Framework!$C$3:$C$119,MATCH(Dashboard!$B529,Framework!$D$3:$D$119,),)</f>
        <v>Biodiversity management</v>
      </c>
    </row>
    <row r="530" spans="2:14">
      <c r="B530" s="151" t="s">
        <v>10765</v>
      </c>
      <c r="C530" s="151">
        <f>INDEX('Analysis of bottom-up tags'!$N$77:$W$118,MATCH(Dashboard!$B530,'Analysis of bottom-up tags'!$B$77:$B$118,0),MATCH(Dashboard!C$21,'Analysis of bottom-up tags'!$N$6:$W$6,0))*C$24</f>
        <v>0</v>
      </c>
      <c r="D530" s="151">
        <f>INDEX('Analysis of bottom-up tags'!$N$77:$W$118,MATCH(Dashboard!$B530,'Analysis of bottom-up tags'!$B$77:$B$118,0),MATCH(Dashboard!D$21,'Analysis of bottom-up tags'!$N$6:$W$6,0))*D$24</f>
        <v>0</v>
      </c>
      <c r="E530" s="151">
        <f>INDEX('Analysis of bottom-up tags'!$N$77:$W$118,MATCH(Dashboard!$B530,'Analysis of bottom-up tags'!$B$77:$B$118,0),MATCH(Dashboard!E$21,'Analysis of bottom-up tags'!$N$6:$W$6,0))*E$24</f>
        <v>0</v>
      </c>
      <c r="F530" s="151">
        <f>INDEX('Analysis of bottom-up tags'!$N$77:$W$118,MATCH(Dashboard!$B530,'Analysis of bottom-up tags'!$B$77:$B$118,0),MATCH(Dashboard!F$21,'Analysis of bottom-up tags'!$N$6:$W$6,0))*F$24</f>
        <v>10.762982543964386</v>
      </c>
      <c r="G530" s="151">
        <f>INDEX('Analysis of bottom-up tags'!$N$77:$W$118,MATCH(Dashboard!$B530,'Analysis of bottom-up tags'!$B$77:$B$118,0),MATCH(Dashboard!G$21,'Analysis of bottom-up tags'!$N$6:$W$6,0))*G$24</f>
        <v>0</v>
      </c>
      <c r="H530" s="151">
        <f>INDEX('Analysis of bottom-up tags'!$N$77:$W$118,MATCH(Dashboard!$B530,'Analysis of bottom-up tags'!$B$77:$B$118,0),MATCH(Dashboard!H$21,'Analysis of bottom-up tags'!$N$6:$W$6,0))*H$24</f>
        <v>35.695880652503817</v>
      </c>
      <c r="I530" s="151">
        <f>INDEX('Analysis of bottom-up tags'!$N$77:$W$118,MATCH(Dashboard!$B530,'Analysis of bottom-up tags'!$B$77:$B$118,0),MATCH(Dashboard!I$21,'Analysis of bottom-up tags'!$N$6:$W$6,0))*I$24</f>
        <v>8.203444665717316E-2</v>
      </c>
      <c r="J530" s="151">
        <f>INDEX('Analysis of bottom-up tags'!$N$77:$W$118,MATCH(Dashboard!$B530,'Analysis of bottom-up tags'!$B$77:$B$118,0),MATCH(Dashboard!J$21,'Analysis of bottom-up tags'!$N$6:$W$6,0))*J$24</f>
        <v>75.0531307413045</v>
      </c>
      <c r="K530" s="151">
        <f>INDEX('Analysis of bottom-up tags'!$N$77:$W$118,MATCH(Dashboard!$B530,'Analysis of bottom-up tags'!$B$77:$B$118,0),MATCH(Dashboard!K$21,'Analysis of bottom-up tags'!$N$6:$W$6,0))*K$24</f>
        <v>0</v>
      </c>
      <c r="L530" s="151">
        <f>INDEX('Analysis of bottom-up tags'!$N$77:$W$118,MATCH(Dashboard!$B530,'Analysis of bottom-up tags'!$B$77:$B$118,0),MATCH(Dashboard!L$21,'Analysis of bottom-up tags'!$N$6:$W$6,0))*L$24</f>
        <v>15.756915650524165</v>
      </c>
      <c r="M530" s="151">
        <f t="shared" si="307"/>
        <v>137.35094403495404</v>
      </c>
      <c r="N530" s="151" t="str" cm="1">
        <f t="array" ref="N530">INDEX(Framework!$C$3:$C$119,MATCH(Dashboard!$B530,Framework!$D$3:$D$119,),)</f>
        <v>Production</v>
      </c>
    </row>
    <row r="531" spans="2:14">
      <c r="B531" s="151" t="s">
        <v>10735</v>
      </c>
      <c r="C531" s="151">
        <f>INDEX('Analysis of bottom-up tags'!$N$77:$W$118,MATCH(Dashboard!$B531,'Analysis of bottom-up tags'!$B$77:$B$118,0),MATCH(Dashboard!C$21,'Analysis of bottom-up tags'!$N$6:$W$6,0))*C$24</f>
        <v>0</v>
      </c>
      <c r="D531" s="151">
        <f>INDEX('Analysis of bottom-up tags'!$N$77:$W$118,MATCH(Dashboard!$B531,'Analysis of bottom-up tags'!$B$77:$B$118,0),MATCH(Dashboard!D$21,'Analysis of bottom-up tags'!$N$6:$W$6,0))*D$24</f>
        <v>0</v>
      </c>
      <c r="E531" s="151">
        <f>INDEX('Analysis of bottom-up tags'!$N$77:$W$118,MATCH(Dashboard!$B531,'Analysis of bottom-up tags'!$B$77:$B$118,0),MATCH(Dashboard!E$21,'Analysis of bottom-up tags'!$N$6:$W$6,0))*E$24</f>
        <v>0</v>
      </c>
      <c r="F531" s="151">
        <f>INDEX('Analysis of bottom-up tags'!$N$77:$W$118,MATCH(Dashboard!$B531,'Analysis of bottom-up tags'!$B$77:$B$118,0),MATCH(Dashboard!F$21,'Analysis of bottom-up tags'!$N$6:$W$6,0))*F$24</f>
        <v>0</v>
      </c>
      <c r="G531" s="151">
        <f>INDEX('Analysis of bottom-up tags'!$N$77:$W$118,MATCH(Dashboard!$B531,'Analysis of bottom-up tags'!$B$77:$B$118,0),MATCH(Dashboard!G$21,'Analysis of bottom-up tags'!$N$6:$W$6,0))*G$24</f>
        <v>7.3784211331172758</v>
      </c>
      <c r="H531" s="151">
        <f>INDEX('Analysis of bottom-up tags'!$N$77:$W$118,MATCH(Dashboard!$B531,'Analysis of bottom-up tags'!$B$77:$B$118,0),MATCH(Dashboard!H$21,'Analysis of bottom-up tags'!$N$6:$W$6,0))*H$24</f>
        <v>94.122633562931824</v>
      </c>
      <c r="I531" s="151">
        <f>INDEX('Analysis of bottom-up tags'!$N$77:$W$118,MATCH(Dashboard!$B531,'Analysis of bottom-up tags'!$B$77:$B$118,0),MATCH(Dashboard!I$21,'Analysis of bottom-up tags'!$N$6:$W$6,0))*I$24</f>
        <v>7.4100972317161201E-2</v>
      </c>
      <c r="J531" s="151">
        <f>INDEX('Analysis of bottom-up tags'!$N$77:$W$118,MATCH(Dashboard!$B531,'Analysis of bottom-up tags'!$B$77:$B$118,0),MATCH(Dashboard!J$21,'Analysis of bottom-up tags'!$N$6:$W$6,0))*J$24</f>
        <v>0.54137752337018252</v>
      </c>
      <c r="K531" s="151">
        <f>INDEX('Analysis of bottom-up tags'!$N$77:$W$118,MATCH(Dashboard!$B531,'Analysis of bottom-up tags'!$B$77:$B$118,0),MATCH(Dashboard!K$21,'Analysis of bottom-up tags'!$N$6:$W$6,0))*K$24</f>
        <v>0</v>
      </c>
      <c r="L531" s="151">
        <f>INDEX('Analysis of bottom-up tags'!$N$77:$W$118,MATCH(Dashboard!$B531,'Analysis of bottom-up tags'!$B$77:$B$118,0),MATCH(Dashboard!L$21,'Analysis of bottom-up tags'!$N$6:$W$6,0))*L$24</f>
        <v>0</v>
      </c>
      <c r="M531" s="151">
        <f t="shared" si="307"/>
        <v>102.11653319173644</v>
      </c>
      <c r="N531" s="151" t="str" cm="1">
        <f t="array" ref="N531">INDEX(Framework!$C$3:$C$119,MATCH(Dashboard!$B531,Framework!$D$3:$D$119,),)</f>
        <v>Inputs</v>
      </c>
    </row>
    <row r="532" spans="2:14">
      <c r="B532" s="151" t="s">
        <v>10709</v>
      </c>
      <c r="C532" s="151">
        <f>INDEX('Analysis of bottom-up tags'!$N$77:$W$118,MATCH(Dashboard!$B532,'Analysis of bottom-up tags'!$B$77:$B$118,0),MATCH(Dashboard!C$21,'Analysis of bottom-up tags'!$N$6:$W$6,0))*C$24</f>
        <v>0</v>
      </c>
      <c r="D532" s="151">
        <f>INDEX('Analysis of bottom-up tags'!$N$77:$W$118,MATCH(Dashboard!$B532,'Analysis of bottom-up tags'!$B$77:$B$118,0),MATCH(Dashboard!D$21,'Analysis of bottom-up tags'!$N$6:$W$6,0))*D$24</f>
        <v>0</v>
      </c>
      <c r="E532" s="151">
        <f>INDEX('Analysis of bottom-up tags'!$N$77:$W$118,MATCH(Dashboard!$B532,'Analysis of bottom-up tags'!$B$77:$B$118,0),MATCH(Dashboard!E$21,'Analysis of bottom-up tags'!$N$6:$W$6,0))*E$24</f>
        <v>0</v>
      </c>
      <c r="F532" s="151">
        <f>INDEX('Analysis of bottom-up tags'!$N$77:$W$118,MATCH(Dashboard!$B532,'Analysis of bottom-up tags'!$B$77:$B$118,0),MATCH(Dashboard!F$21,'Analysis of bottom-up tags'!$N$6:$W$6,0))*F$24</f>
        <v>332.18876871020507</v>
      </c>
      <c r="G532" s="151">
        <f>INDEX('Analysis of bottom-up tags'!$N$77:$W$118,MATCH(Dashboard!$B532,'Analysis of bottom-up tags'!$B$77:$B$118,0),MATCH(Dashboard!G$21,'Analysis of bottom-up tags'!$N$6:$W$6,0))*G$24</f>
        <v>3.2547666564372606</v>
      </c>
      <c r="H532" s="151">
        <f>INDEX('Analysis of bottom-up tags'!$N$77:$W$118,MATCH(Dashboard!$B532,'Analysis of bottom-up tags'!$B$77:$B$118,0),MATCH(Dashboard!H$21,'Analysis of bottom-up tags'!$N$6:$W$6,0))*H$24</f>
        <v>0</v>
      </c>
      <c r="I532" s="151">
        <f>INDEX('Analysis of bottom-up tags'!$N$77:$W$118,MATCH(Dashboard!$B532,'Analysis of bottom-up tags'!$B$77:$B$118,0),MATCH(Dashboard!I$21,'Analysis of bottom-up tags'!$N$6:$W$6,0))*I$24</f>
        <v>0</v>
      </c>
      <c r="J532" s="151">
        <f>INDEX('Analysis of bottom-up tags'!$N$77:$W$118,MATCH(Dashboard!$B532,'Analysis of bottom-up tags'!$B$77:$B$118,0),MATCH(Dashboard!J$21,'Analysis of bottom-up tags'!$N$6:$W$6,0))*J$24</f>
        <v>0</v>
      </c>
      <c r="K532" s="151">
        <f>INDEX('Analysis of bottom-up tags'!$N$77:$W$118,MATCH(Dashboard!$B532,'Analysis of bottom-up tags'!$B$77:$B$118,0),MATCH(Dashboard!K$21,'Analysis of bottom-up tags'!$N$6:$W$6,0))*K$24</f>
        <v>0</v>
      </c>
      <c r="L532" s="151">
        <f>INDEX('Analysis of bottom-up tags'!$N$77:$W$118,MATCH(Dashboard!$B532,'Analysis of bottom-up tags'!$B$77:$B$118,0),MATCH(Dashboard!L$21,'Analysis of bottom-up tags'!$N$6:$W$6,0))*L$24</f>
        <v>0</v>
      </c>
      <c r="M532" s="151">
        <f t="shared" si="307"/>
        <v>335.44353536664232</v>
      </c>
      <c r="N532" s="151" t="str" cm="1">
        <f t="array" ref="N532">INDEX(Framework!$C$3:$C$119,MATCH(Dashboard!$B532,Framework!$D$3:$D$119,),)</f>
        <v>Inputs</v>
      </c>
    </row>
    <row r="533" spans="2:14">
      <c r="B533" s="151" t="s">
        <v>10774</v>
      </c>
      <c r="C533" s="151">
        <f>INDEX('Analysis of bottom-up tags'!$N$77:$W$118,MATCH(Dashboard!$B533,'Analysis of bottom-up tags'!$B$77:$B$118,0),MATCH(Dashboard!C$21,'Analysis of bottom-up tags'!$N$6:$W$6,0))*C$24</f>
        <v>0</v>
      </c>
      <c r="D533" s="151">
        <f>INDEX('Analysis of bottom-up tags'!$N$77:$W$118,MATCH(Dashboard!$B533,'Analysis of bottom-up tags'!$B$77:$B$118,0),MATCH(Dashboard!D$21,'Analysis of bottom-up tags'!$N$6:$W$6,0))*D$24</f>
        <v>0</v>
      </c>
      <c r="E533" s="151">
        <f>INDEX('Analysis of bottom-up tags'!$N$77:$W$118,MATCH(Dashboard!$B533,'Analysis of bottom-up tags'!$B$77:$B$118,0),MATCH(Dashboard!E$21,'Analysis of bottom-up tags'!$N$6:$W$6,0))*E$24</f>
        <v>0</v>
      </c>
      <c r="F533" s="151">
        <f>INDEX('Analysis of bottom-up tags'!$N$77:$W$118,MATCH(Dashboard!$B533,'Analysis of bottom-up tags'!$B$77:$B$118,0),MATCH(Dashboard!F$21,'Analysis of bottom-up tags'!$N$6:$W$6,0))*F$24</f>
        <v>0</v>
      </c>
      <c r="G533" s="151">
        <f>INDEX('Analysis of bottom-up tags'!$N$77:$W$118,MATCH(Dashboard!$B533,'Analysis of bottom-up tags'!$B$77:$B$118,0),MATCH(Dashboard!G$21,'Analysis of bottom-up tags'!$N$6:$W$6,0))*G$24</f>
        <v>0</v>
      </c>
      <c r="H533" s="151">
        <f>INDEX('Analysis of bottom-up tags'!$N$77:$W$118,MATCH(Dashboard!$B533,'Analysis of bottom-up tags'!$B$77:$B$118,0),MATCH(Dashboard!H$21,'Analysis of bottom-up tags'!$N$6:$W$6,0))*H$24</f>
        <v>0</v>
      </c>
      <c r="I533" s="151">
        <f>INDEX('Analysis of bottom-up tags'!$N$77:$W$118,MATCH(Dashboard!$B533,'Analysis of bottom-up tags'!$B$77:$B$118,0),MATCH(Dashboard!I$21,'Analysis of bottom-up tags'!$N$6:$W$6,0))*I$24</f>
        <v>1.410006753022139</v>
      </c>
      <c r="J533" s="151">
        <f>INDEX('Analysis of bottom-up tags'!$N$77:$W$118,MATCH(Dashboard!$B533,'Analysis of bottom-up tags'!$B$77:$B$118,0),MATCH(Dashboard!J$21,'Analysis of bottom-up tags'!$N$6:$W$6,0))*J$24</f>
        <v>79.626165517589143</v>
      </c>
      <c r="K533" s="151">
        <f>INDEX('Analysis of bottom-up tags'!$N$77:$W$118,MATCH(Dashboard!$B533,'Analysis of bottom-up tags'!$B$77:$B$118,0),MATCH(Dashboard!K$21,'Analysis of bottom-up tags'!$N$6:$W$6,0))*K$24</f>
        <v>0.5638080163359066</v>
      </c>
      <c r="L533" s="151">
        <f>INDEX('Analysis of bottom-up tags'!$N$77:$W$118,MATCH(Dashboard!$B533,'Analysis of bottom-up tags'!$B$77:$B$118,0),MATCH(Dashboard!L$21,'Analysis of bottom-up tags'!$N$6:$W$6,0))*L$24</f>
        <v>11.701170841798939</v>
      </c>
      <c r="M533" s="151">
        <f t="shared" si="307"/>
        <v>93.301151128746142</v>
      </c>
      <c r="N533" s="151" t="str" cm="1">
        <f t="array" ref="N533">INDEX(Framework!$C$3:$C$119,MATCH(Dashboard!$B533,Framework!$D$3:$D$119,),)</f>
        <v>Production</v>
      </c>
    </row>
    <row r="534" spans="2:14">
      <c r="B534" s="151" t="s">
        <v>10748</v>
      </c>
      <c r="C534" s="151">
        <f>INDEX('Analysis of bottom-up tags'!$N$77:$W$118,MATCH(Dashboard!$B534,'Analysis of bottom-up tags'!$B$77:$B$118,0),MATCH(Dashboard!C$21,'Analysis of bottom-up tags'!$N$6:$W$6,0))*C$24</f>
        <v>0</v>
      </c>
      <c r="D534" s="151">
        <f>INDEX('Analysis of bottom-up tags'!$N$77:$W$118,MATCH(Dashboard!$B534,'Analysis of bottom-up tags'!$B$77:$B$118,0),MATCH(Dashboard!D$21,'Analysis of bottom-up tags'!$N$6:$W$6,0))*D$24</f>
        <v>0</v>
      </c>
      <c r="E534" s="151">
        <f>INDEX('Analysis of bottom-up tags'!$N$77:$W$118,MATCH(Dashboard!$B534,'Analysis of bottom-up tags'!$B$77:$B$118,0),MATCH(Dashboard!E$21,'Analysis of bottom-up tags'!$N$6:$W$6,0))*E$24</f>
        <v>0</v>
      </c>
      <c r="F534" s="151">
        <f>INDEX('Analysis of bottom-up tags'!$N$77:$W$118,MATCH(Dashboard!$B534,'Analysis of bottom-up tags'!$B$77:$B$118,0),MATCH(Dashboard!F$21,'Analysis of bottom-up tags'!$N$6:$W$6,0))*F$24</f>
        <v>0</v>
      </c>
      <c r="G534" s="151">
        <f>INDEX('Analysis of bottom-up tags'!$N$77:$W$118,MATCH(Dashboard!$B534,'Analysis of bottom-up tags'!$B$77:$B$118,0),MATCH(Dashboard!G$21,'Analysis of bottom-up tags'!$N$6:$W$6,0))*G$24</f>
        <v>0</v>
      </c>
      <c r="H534" s="151">
        <f>INDEX('Analysis of bottom-up tags'!$N$77:$W$118,MATCH(Dashboard!$B534,'Analysis of bottom-up tags'!$B$77:$B$118,0),MATCH(Dashboard!H$21,'Analysis of bottom-up tags'!$N$6:$W$6,0))*H$24</f>
        <v>0</v>
      </c>
      <c r="I534" s="151">
        <f>INDEX('Analysis of bottom-up tags'!$N$77:$W$118,MATCH(Dashboard!$B534,'Analysis of bottom-up tags'!$B$77:$B$118,0),MATCH(Dashboard!I$21,'Analysis of bottom-up tags'!$N$6:$W$6,0))*I$24</f>
        <v>0</v>
      </c>
      <c r="J534" s="151">
        <f>INDEX('Analysis of bottom-up tags'!$N$77:$W$118,MATCH(Dashboard!$B534,'Analysis of bottom-up tags'!$B$77:$B$118,0),MATCH(Dashboard!J$21,'Analysis of bottom-up tags'!$N$6:$W$6,0))*J$24</f>
        <v>0</v>
      </c>
      <c r="K534" s="151">
        <f>INDEX('Analysis of bottom-up tags'!$N$77:$W$118,MATCH(Dashboard!$B534,'Analysis of bottom-up tags'!$B$77:$B$118,0),MATCH(Dashboard!K$21,'Analysis of bottom-up tags'!$N$6:$W$6,0))*K$24</f>
        <v>0</v>
      </c>
      <c r="L534" s="151">
        <f>INDEX('Analysis of bottom-up tags'!$N$77:$W$118,MATCH(Dashboard!$B534,'Analysis of bottom-up tags'!$B$77:$B$118,0),MATCH(Dashboard!L$21,'Analysis of bottom-up tags'!$N$6:$W$6,0))*L$24</f>
        <v>59.652095819298822</v>
      </c>
      <c r="M534" s="151">
        <f t="shared" si="307"/>
        <v>59.652095819298822</v>
      </c>
      <c r="N534" s="151" t="str" cm="1">
        <f t="array" ref="N534">INDEX(Framework!$C$3:$C$119,MATCH(Dashboard!$B534,Framework!$D$3:$D$119,),)</f>
        <v xml:space="preserve">Novel foods </v>
      </c>
    </row>
    <row r="535" spans="2:14">
      <c r="B535" s="151" t="s">
        <v>10819</v>
      </c>
      <c r="C535" s="151">
        <f>INDEX('Analysis of bottom-up tags'!$N$77:$W$118,MATCH(Dashboard!$B535,'Analysis of bottom-up tags'!$B$77:$B$118,0),MATCH(Dashboard!C$21,'Analysis of bottom-up tags'!$N$6:$W$6,0))*C$24</f>
        <v>0</v>
      </c>
      <c r="D535" s="151">
        <f>INDEX('Analysis of bottom-up tags'!$N$77:$W$118,MATCH(Dashboard!$B535,'Analysis of bottom-up tags'!$B$77:$B$118,0),MATCH(Dashboard!D$21,'Analysis of bottom-up tags'!$N$6:$W$6,0))*D$24</f>
        <v>1.3139611449591055</v>
      </c>
      <c r="E535" s="151">
        <f>INDEX('Analysis of bottom-up tags'!$N$77:$W$118,MATCH(Dashboard!$B535,'Analysis of bottom-up tags'!$B$77:$B$118,0),MATCH(Dashboard!E$21,'Analysis of bottom-up tags'!$N$6:$W$6,0))*E$24</f>
        <v>162.60705681546051</v>
      </c>
      <c r="F535" s="151">
        <f>INDEX('Analysis of bottom-up tags'!$N$77:$W$118,MATCH(Dashboard!$B535,'Analysis of bottom-up tags'!$B$77:$B$118,0),MATCH(Dashboard!F$21,'Analysis of bottom-up tags'!$N$6:$W$6,0))*F$24</f>
        <v>0</v>
      </c>
      <c r="G535" s="151">
        <f>INDEX('Analysis of bottom-up tags'!$N$77:$W$118,MATCH(Dashboard!$B535,'Analysis of bottom-up tags'!$B$77:$B$118,0),MATCH(Dashboard!G$21,'Analysis of bottom-up tags'!$N$6:$W$6,0))*G$24</f>
        <v>30.014023458400235</v>
      </c>
      <c r="H535" s="151">
        <f>INDEX('Analysis of bottom-up tags'!$N$77:$W$118,MATCH(Dashboard!$B535,'Analysis of bottom-up tags'!$B$77:$B$118,0),MATCH(Dashboard!H$21,'Analysis of bottom-up tags'!$N$6:$W$6,0))*H$24</f>
        <v>5.251781023849543</v>
      </c>
      <c r="I535" s="151">
        <f>INDEX('Analysis of bottom-up tags'!$N$77:$W$118,MATCH(Dashboard!$B535,'Analysis of bottom-up tags'!$B$77:$B$118,0),MATCH(Dashboard!I$21,'Analysis of bottom-up tags'!$N$6:$W$6,0))*I$24</f>
        <v>15.321978073632222</v>
      </c>
      <c r="J535" s="151">
        <f>INDEX('Analysis of bottom-up tags'!$N$77:$W$118,MATCH(Dashboard!$B535,'Analysis of bottom-up tags'!$B$77:$B$118,0),MATCH(Dashboard!J$21,'Analysis of bottom-up tags'!$N$6:$W$6,0))*J$24</f>
        <v>82.735225961169334</v>
      </c>
      <c r="K535" s="151">
        <f>INDEX('Analysis of bottom-up tags'!$N$77:$W$118,MATCH(Dashboard!$B535,'Analysis of bottom-up tags'!$B$77:$B$118,0),MATCH(Dashboard!K$21,'Analysis of bottom-up tags'!$N$6:$W$6,0))*K$24</f>
        <v>3.2192056779684197</v>
      </c>
      <c r="L535" s="151">
        <f>INDEX('Analysis of bottom-up tags'!$N$77:$W$118,MATCH(Dashboard!$B535,'Analysis of bottom-up tags'!$B$77:$B$118,0),MATCH(Dashboard!L$21,'Analysis of bottom-up tags'!$N$6:$W$6,0))*L$24</f>
        <v>16.686981660015764</v>
      </c>
      <c r="M535" s="151">
        <f t="shared" si="307"/>
        <v>317.15021381545512</v>
      </c>
      <c r="N535" s="151" t="str" cm="1">
        <f t="array" ref="N535">INDEX(Framework!$C$3:$C$119,MATCH(Dashboard!$B535,Framework!$D$3:$D$119,),)</f>
        <v xml:space="preserve">Post-production </v>
      </c>
    </row>
    <row r="536" spans="2:14">
      <c r="B536" s="151" t="s">
        <v>10706</v>
      </c>
      <c r="C536" s="151">
        <f>INDEX('Analysis of bottom-up tags'!$N$77:$W$118,MATCH(Dashboard!$B536,'Analysis of bottom-up tags'!$B$77:$B$118,0),MATCH(Dashboard!C$21,'Analysis of bottom-up tags'!$N$6:$W$6,0))*C$24</f>
        <v>50.417482321872598</v>
      </c>
      <c r="D536" s="151">
        <f>INDEX('Analysis of bottom-up tags'!$N$77:$W$118,MATCH(Dashboard!$B536,'Analysis of bottom-up tags'!$B$77:$B$118,0),MATCH(Dashboard!D$21,'Analysis of bottom-up tags'!$N$6:$W$6,0))*D$24</f>
        <v>0</v>
      </c>
      <c r="E536" s="151">
        <f>INDEX('Analysis of bottom-up tags'!$N$77:$W$118,MATCH(Dashboard!$B536,'Analysis of bottom-up tags'!$B$77:$B$118,0),MATCH(Dashboard!E$21,'Analysis of bottom-up tags'!$N$6:$W$6,0))*E$24</f>
        <v>154.27372901243061</v>
      </c>
      <c r="F536" s="151">
        <f>INDEX('Analysis of bottom-up tags'!$N$77:$W$118,MATCH(Dashboard!$B536,'Analysis of bottom-up tags'!$B$77:$B$118,0),MATCH(Dashboard!F$21,'Analysis of bottom-up tags'!$N$6:$W$6,0))*F$24</f>
        <v>0</v>
      </c>
      <c r="G536" s="151">
        <f>INDEX('Analysis of bottom-up tags'!$N$77:$W$118,MATCH(Dashboard!$B536,'Analysis of bottom-up tags'!$B$77:$B$118,0),MATCH(Dashboard!G$21,'Analysis of bottom-up tags'!$N$6:$W$6,0))*G$24</f>
        <v>0</v>
      </c>
      <c r="H536" s="151">
        <f>INDEX('Analysis of bottom-up tags'!$N$77:$W$118,MATCH(Dashboard!$B536,'Analysis of bottom-up tags'!$B$77:$B$118,0),MATCH(Dashboard!H$21,'Analysis of bottom-up tags'!$N$6:$W$6,0))*H$24</f>
        <v>54.101521698050917</v>
      </c>
      <c r="I536" s="151">
        <f>INDEX('Analysis of bottom-up tags'!$N$77:$W$118,MATCH(Dashboard!$B536,'Analysis of bottom-up tags'!$B$77:$B$118,0),MATCH(Dashboard!I$21,'Analysis of bottom-up tags'!$N$6:$W$6,0))*I$24</f>
        <v>0</v>
      </c>
      <c r="J536" s="151">
        <f>INDEX('Analysis of bottom-up tags'!$N$77:$W$118,MATCH(Dashboard!$B536,'Analysis of bottom-up tags'!$B$77:$B$118,0),MATCH(Dashboard!J$21,'Analysis of bottom-up tags'!$N$6:$W$6,0))*J$24</f>
        <v>0</v>
      </c>
      <c r="K536" s="151">
        <f>INDEX('Analysis of bottom-up tags'!$N$77:$W$118,MATCH(Dashboard!$B536,'Analysis of bottom-up tags'!$B$77:$B$118,0),MATCH(Dashboard!K$21,'Analysis of bottom-up tags'!$N$6:$W$6,0))*K$24</f>
        <v>0</v>
      </c>
      <c r="L536" s="151">
        <f>INDEX('Analysis of bottom-up tags'!$N$77:$W$118,MATCH(Dashboard!$B536,'Analysis of bottom-up tags'!$B$77:$B$118,0),MATCH(Dashboard!L$21,'Analysis of bottom-up tags'!$N$6:$W$6,0))*L$24</f>
        <v>0</v>
      </c>
      <c r="M536" s="151">
        <f t="shared" si="307"/>
        <v>258.79273303235414</v>
      </c>
      <c r="N536" s="151" t="str" cm="1">
        <f t="array" ref="N536">INDEX(Framework!$C$3:$C$119,MATCH(Dashboard!$B536,Framework!$D$3:$D$119,),)</f>
        <v>Inputs</v>
      </c>
    </row>
    <row r="537" spans="2:14">
      <c r="B537" s="151" t="s">
        <v>10784</v>
      </c>
      <c r="C537" s="151">
        <f>INDEX('Analysis of bottom-up tags'!$N$77:$W$118,MATCH(Dashboard!$B537,'Analysis of bottom-up tags'!$B$77:$B$118,0),MATCH(Dashboard!C$21,'Analysis of bottom-up tags'!$N$6:$W$6,0))*C$24</f>
        <v>0</v>
      </c>
      <c r="D537" s="151">
        <f>INDEX('Analysis of bottom-up tags'!$N$77:$W$118,MATCH(Dashboard!$B537,'Analysis of bottom-up tags'!$B$77:$B$118,0),MATCH(Dashboard!D$21,'Analysis of bottom-up tags'!$N$6:$W$6,0))*D$24</f>
        <v>8.2056964480347627</v>
      </c>
      <c r="E537" s="151">
        <f>INDEX('Analysis of bottom-up tags'!$N$77:$W$118,MATCH(Dashboard!$B537,'Analysis of bottom-up tags'!$B$77:$B$118,0),MATCH(Dashboard!E$21,'Analysis of bottom-up tags'!$N$6:$W$6,0))*E$24</f>
        <v>0</v>
      </c>
      <c r="F537" s="151">
        <f>INDEX('Analysis of bottom-up tags'!$N$77:$W$118,MATCH(Dashboard!$B537,'Analysis of bottom-up tags'!$B$77:$B$118,0),MATCH(Dashboard!F$21,'Analysis of bottom-up tags'!$N$6:$W$6,0))*F$24</f>
        <v>0</v>
      </c>
      <c r="G537" s="151">
        <f>INDEX('Analysis of bottom-up tags'!$N$77:$W$118,MATCH(Dashboard!$B537,'Analysis of bottom-up tags'!$B$77:$B$118,0),MATCH(Dashboard!G$21,'Analysis of bottom-up tags'!$N$6:$W$6,0))*G$24</f>
        <v>0</v>
      </c>
      <c r="H537" s="151">
        <f>INDEX('Analysis of bottom-up tags'!$N$77:$W$118,MATCH(Dashboard!$B537,'Analysis of bottom-up tags'!$B$77:$B$118,0),MATCH(Dashboard!H$21,'Analysis of bottom-up tags'!$N$6:$W$6,0))*H$24</f>
        <v>43.296411438948645</v>
      </c>
      <c r="I537" s="151">
        <f>INDEX('Analysis of bottom-up tags'!$N$77:$W$118,MATCH(Dashboard!$B537,'Analysis of bottom-up tags'!$B$77:$B$118,0),MATCH(Dashboard!I$21,'Analysis of bottom-up tags'!$N$6:$W$6,0))*I$24</f>
        <v>7.6001836969745362</v>
      </c>
      <c r="J537" s="151">
        <f>INDEX('Analysis of bottom-up tags'!$N$77:$W$118,MATCH(Dashboard!$B537,'Analysis of bottom-up tags'!$B$77:$B$118,0),MATCH(Dashboard!J$21,'Analysis of bottom-up tags'!$N$6:$W$6,0))*J$24</f>
        <v>4.0092419350005706</v>
      </c>
      <c r="K537" s="151">
        <f>INDEX('Analysis of bottom-up tags'!$N$77:$W$118,MATCH(Dashboard!$B537,'Analysis of bottom-up tags'!$B$77:$B$118,0),MATCH(Dashboard!K$21,'Analysis of bottom-up tags'!$N$6:$W$6,0))*K$24</f>
        <v>5.1523612423805343</v>
      </c>
      <c r="L537" s="151">
        <f>INDEX('Analysis of bottom-up tags'!$N$77:$W$118,MATCH(Dashboard!$B537,'Analysis of bottom-up tags'!$B$77:$B$118,0),MATCH(Dashboard!L$21,'Analysis of bottom-up tags'!$N$6:$W$6,0))*L$24</f>
        <v>0.15186608810340818</v>
      </c>
      <c r="M537" s="151">
        <f t="shared" si="307"/>
        <v>68.415760849442464</v>
      </c>
      <c r="N537" s="151" t="str" cm="1">
        <f t="array" ref="N537">INDEX(Framework!$C$3:$C$119,MATCH(Dashboard!$B537,Framework!$D$3:$D$119,),)</f>
        <v>Production</v>
      </c>
    </row>
    <row r="538" spans="2:14">
      <c r="B538" s="151" t="s">
        <v>10793</v>
      </c>
      <c r="C538" s="151">
        <f>INDEX('Analysis of bottom-up tags'!$N$77:$W$118,MATCH(Dashboard!$B538,'Analysis of bottom-up tags'!$B$77:$B$118,0),MATCH(Dashboard!C$21,'Analysis of bottom-up tags'!$N$6:$W$6,0))*C$24</f>
        <v>0</v>
      </c>
      <c r="D538" s="151">
        <f>INDEX('Analysis of bottom-up tags'!$N$77:$W$118,MATCH(Dashboard!$B538,'Analysis of bottom-up tags'!$B$77:$B$118,0),MATCH(Dashboard!D$21,'Analysis of bottom-up tags'!$N$6:$W$6,0))*D$24</f>
        <v>0</v>
      </c>
      <c r="E538" s="151">
        <f>INDEX('Analysis of bottom-up tags'!$N$77:$W$118,MATCH(Dashboard!$B538,'Analysis of bottom-up tags'!$B$77:$B$118,0),MATCH(Dashboard!E$21,'Analysis of bottom-up tags'!$N$6:$W$6,0))*E$24</f>
        <v>0</v>
      </c>
      <c r="F538" s="151">
        <f>INDEX('Analysis of bottom-up tags'!$N$77:$W$118,MATCH(Dashboard!$B538,'Analysis of bottom-up tags'!$B$77:$B$118,0),MATCH(Dashboard!F$21,'Analysis of bottom-up tags'!$N$6:$W$6,0))*F$24</f>
        <v>0</v>
      </c>
      <c r="G538" s="151">
        <f>INDEX('Analysis of bottom-up tags'!$N$77:$W$118,MATCH(Dashboard!$B538,'Analysis of bottom-up tags'!$B$77:$B$118,0),MATCH(Dashboard!G$21,'Analysis of bottom-up tags'!$N$6:$W$6,0))*G$24</f>
        <v>0</v>
      </c>
      <c r="H538" s="151">
        <f>INDEX('Analysis of bottom-up tags'!$N$77:$W$118,MATCH(Dashboard!$B538,'Analysis of bottom-up tags'!$B$77:$B$118,0),MATCH(Dashboard!H$21,'Analysis of bottom-up tags'!$N$6:$W$6,0))*H$24</f>
        <v>4.1865237467374552</v>
      </c>
      <c r="I538" s="151">
        <f>INDEX('Analysis of bottom-up tags'!$N$77:$W$118,MATCH(Dashboard!$B538,'Analysis of bottom-up tags'!$B$77:$B$118,0),MATCH(Dashboard!I$21,'Analysis of bottom-up tags'!$N$6:$W$6,0))*I$24</f>
        <v>0</v>
      </c>
      <c r="J538" s="151">
        <f>INDEX('Analysis of bottom-up tags'!$N$77:$W$118,MATCH(Dashboard!$B538,'Analysis of bottom-up tags'!$B$77:$B$118,0),MATCH(Dashboard!J$21,'Analysis of bottom-up tags'!$N$6:$W$6,0))*J$24</f>
        <v>0</v>
      </c>
      <c r="K538" s="151">
        <f>INDEX('Analysis of bottom-up tags'!$N$77:$W$118,MATCH(Dashboard!$B538,'Analysis of bottom-up tags'!$B$77:$B$118,0),MATCH(Dashboard!K$21,'Analysis of bottom-up tags'!$N$6:$W$6,0))*K$24</f>
        <v>6.0790590182194748</v>
      </c>
      <c r="L538" s="151">
        <f>INDEX('Analysis of bottom-up tags'!$N$77:$W$118,MATCH(Dashboard!$B538,'Analysis of bottom-up tags'!$B$77:$B$118,0),MATCH(Dashboard!L$21,'Analysis of bottom-up tags'!$N$6:$W$6,0))*L$24</f>
        <v>0</v>
      </c>
      <c r="M538" s="151">
        <f t="shared" si="307"/>
        <v>10.26558276495693</v>
      </c>
      <c r="N538" s="151" t="str" cm="1">
        <f t="array" ref="N538">INDEX(Framework!$C$3:$C$119,MATCH(Dashboard!$B538,Framework!$D$3:$D$119,),)</f>
        <v>Production</v>
      </c>
    </row>
    <row r="539" spans="2:14">
      <c r="B539" s="151" t="s">
        <v>10715</v>
      </c>
      <c r="C539" s="151">
        <f>INDEX('Analysis of bottom-up tags'!$N$77:$W$118,MATCH(Dashboard!$B539,'Analysis of bottom-up tags'!$B$77:$B$118,0),MATCH(Dashboard!C$21,'Analysis of bottom-up tags'!$N$6:$W$6,0))*C$24</f>
        <v>0</v>
      </c>
      <c r="D539" s="151">
        <f>INDEX('Analysis of bottom-up tags'!$N$77:$W$118,MATCH(Dashboard!$B539,'Analysis of bottom-up tags'!$B$77:$B$118,0),MATCH(Dashboard!D$21,'Analysis of bottom-up tags'!$N$6:$W$6,0))*D$24</f>
        <v>0</v>
      </c>
      <c r="E539" s="151">
        <f>INDEX('Analysis of bottom-up tags'!$N$77:$W$118,MATCH(Dashboard!$B539,'Analysis of bottom-up tags'!$B$77:$B$118,0),MATCH(Dashboard!E$21,'Analysis of bottom-up tags'!$N$6:$W$6,0))*E$24</f>
        <v>0</v>
      </c>
      <c r="F539" s="151">
        <f>INDEX('Analysis of bottom-up tags'!$N$77:$W$118,MATCH(Dashboard!$B539,'Analysis of bottom-up tags'!$B$77:$B$118,0),MATCH(Dashboard!F$21,'Analysis of bottom-up tags'!$N$6:$W$6,0))*F$24</f>
        <v>41.792237146031574</v>
      </c>
      <c r="G539" s="151">
        <f>INDEX('Analysis of bottom-up tags'!$N$77:$W$118,MATCH(Dashboard!$B539,'Analysis of bottom-up tags'!$B$77:$B$118,0),MATCH(Dashboard!G$21,'Analysis of bottom-up tags'!$N$6:$W$6,0))*G$24</f>
        <v>62.912850916985029</v>
      </c>
      <c r="H539" s="151">
        <f>INDEX('Analysis of bottom-up tags'!$N$77:$W$118,MATCH(Dashboard!$B539,'Analysis of bottom-up tags'!$B$77:$B$118,0),MATCH(Dashboard!H$21,'Analysis of bottom-up tags'!$N$6:$W$6,0))*H$24</f>
        <v>17.127479686069449</v>
      </c>
      <c r="I539" s="151">
        <f>INDEX('Analysis of bottom-up tags'!$N$77:$W$118,MATCH(Dashboard!$B539,'Analysis of bottom-up tags'!$B$77:$B$118,0),MATCH(Dashboard!I$21,'Analysis of bottom-up tags'!$N$6:$W$6,0))*I$24</f>
        <v>0</v>
      </c>
      <c r="J539" s="151">
        <f>INDEX('Analysis of bottom-up tags'!$N$77:$W$118,MATCH(Dashboard!$B539,'Analysis of bottom-up tags'!$B$77:$B$118,0),MATCH(Dashboard!J$21,'Analysis of bottom-up tags'!$N$6:$W$6,0))*J$24</f>
        <v>0</v>
      </c>
      <c r="K539" s="151">
        <f>INDEX('Analysis of bottom-up tags'!$N$77:$W$118,MATCH(Dashboard!$B539,'Analysis of bottom-up tags'!$B$77:$B$118,0),MATCH(Dashboard!K$21,'Analysis of bottom-up tags'!$N$6:$W$6,0))*K$24</f>
        <v>0.38178279339831678</v>
      </c>
      <c r="L539" s="151">
        <f>INDEX('Analysis of bottom-up tags'!$N$77:$W$118,MATCH(Dashboard!$B539,'Analysis of bottom-up tags'!$B$77:$B$118,0),MATCH(Dashboard!L$21,'Analysis of bottom-up tags'!$N$6:$W$6,0))*L$24</f>
        <v>22.109100151307942</v>
      </c>
      <c r="M539" s="151">
        <f t="shared" si="307"/>
        <v>144.32345069379232</v>
      </c>
      <c r="N539" s="151" t="str" cm="1">
        <f t="array" ref="N539">INDEX(Framework!$C$3:$C$119,MATCH(Dashboard!$B539,Framework!$D$3:$D$119,),)</f>
        <v>Inputs</v>
      </c>
    </row>
    <row r="540" spans="2:14">
      <c r="B540" s="151" t="s">
        <v>10963</v>
      </c>
      <c r="C540" s="151">
        <f>INDEX('Analysis of bottom-up tags'!$N$77:$W$118,MATCH(Dashboard!$B540,'Analysis of bottom-up tags'!$B$77:$B$118,0),MATCH(Dashboard!C$21,'Analysis of bottom-up tags'!$N$6:$W$6,0))*C$24</f>
        <v>0</v>
      </c>
      <c r="D540" s="151">
        <f>INDEX('Analysis of bottom-up tags'!$N$77:$W$118,MATCH(Dashboard!$B540,'Analysis of bottom-up tags'!$B$77:$B$118,0),MATCH(Dashboard!D$21,'Analysis of bottom-up tags'!$N$6:$W$6,0))*D$24</f>
        <v>0</v>
      </c>
      <c r="E540" s="151">
        <f>INDEX('Analysis of bottom-up tags'!$N$77:$W$118,MATCH(Dashboard!$B540,'Analysis of bottom-up tags'!$B$77:$B$118,0),MATCH(Dashboard!E$21,'Analysis of bottom-up tags'!$N$6:$W$6,0))*E$24</f>
        <v>0</v>
      </c>
      <c r="F540" s="151">
        <f>INDEX('Analysis of bottom-up tags'!$N$77:$W$118,MATCH(Dashboard!$B540,'Analysis of bottom-up tags'!$B$77:$B$118,0),MATCH(Dashboard!F$21,'Analysis of bottom-up tags'!$N$6:$W$6,0))*F$24</f>
        <v>0</v>
      </c>
      <c r="G540" s="151">
        <f>INDEX('Analysis of bottom-up tags'!$N$77:$W$118,MATCH(Dashboard!$B540,'Analysis of bottom-up tags'!$B$77:$B$118,0),MATCH(Dashboard!G$21,'Analysis of bottom-up tags'!$N$6:$W$6,0))*G$24</f>
        <v>0</v>
      </c>
      <c r="H540" s="151">
        <f>INDEX('Analysis of bottom-up tags'!$N$77:$W$118,MATCH(Dashboard!$B540,'Analysis of bottom-up tags'!$B$77:$B$118,0),MATCH(Dashboard!H$21,'Analysis of bottom-up tags'!$N$6:$W$6,0))*H$24</f>
        <v>0</v>
      </c>
      <c r="I540" s="151">
        <f>INDEX('Analysis of bottom-up tags'!$N$77:$W$118,MATCH(Dashboard!$B540,'Analysis of bottom-up tags'!$B$77:$B$118,0),MATCH(Dashboard!I$21,'Analysis of bottom-up tags'!$N$6:$W$6,0))*I$24</f>
        <v>0</v>
      </c>
      <c r="J540" s="151">
        <f>INDEX('Analysis of bottom-up tags'!$N$77:$W$118,MATCH(Dashboard!$B540,'Analysis of bottom-up tags'!$B$77:$B$118,0),MATCH(Dashboard!J$21,'Analysis of bottom-up tags'!$N$6:$W$6,0))*J$24</f>
        <v>0.12038918968966586</v>
      </c>
      <c r="K540" s="151">
        <f>INDEX('Analysis of bottom-up tags'!$N$77:$W$118,MATCH(Dashboard!$B540,'Analysis of bottom-up tags'!$B$77:$B$118,0),MATCH(Dashboard!K$21,'Analysis of bottom-up tags'!$N$6:$W$6,0))*K$24</f>
        <v>0</v>
      </c>
      <c r="L540" s="151">
        <f>INDEX('Analysis of bottom-up tags'!$N$77:$W$118,MATCH(Dashboard!$B540,'Analysis of bottom-up tags'!$B$77:$B$118,0),MATCH(Dashboard!L$21,'Analysis of bottom-up tags'!$N$6:$W$6,0))*L$24</f>
        <v>0</v>
      </c>
      <c r="M540" s="151">
        <f t="shared" si="307"/>
        <v>0.12038918968966586</v>
      </c>
      <c r="N540" s="151" t="str" cm="1">
        <f t="array" ref="N540">INDEX(Framework!$C$3:$C$119,MATCH(Dashboard!$B540,Framework!$D$3:$D$119,),)</f>
        <v xml:space="preserve">Novel foods </v>
      </c>
    </row>
    <row r="541" spans="2:14">
      <c r="B541" s="151" t="s">
        <v>10770</v>
      </c>
      <c r="C541" s="151">
        <f>INDEX('Analysis of bottom-up tags'!$N$77:$W$118,MATCH(Dashboard!$B541,'Analysis of bottom-up tags'!$B$77:$B$118,0),MATCH(Dashboard!C$21,'Analysis of bottom-up tags'!$N$6:$W$6,0))*C$24</f>
        <v>0</v>
      </c>
      <c r="D541" s="151">
        <f>INDEX('Analysis of bottom-up tags'!$N$77:$W$118,MATCH(Dashboard!$B541,'Analysis of bottom-up tags'!$B$77:$B$118,0),MATCH(Dashboard!D$21,'Analysis of bottom-up tags'!$N$6:$W$6,0))*D$24</f>
        <v>0</v>
      </c>
      <c r="E541" s="151">
        <f>INDEX('Analysis of bottom-up tags'!$N$77:$W$118,MATCH(Dashboard!$B541,'Analysis of bottom-up tags'!$B$77:$B$118,0),MATCH(Dashboard!E$21,'Analysis of bottom-up tags'!$N$6:$W$6,0))*E$24</f>
        <v>0</v>
      </c>
      <c r="F541" s="151">
        <f>INDEX('Analysis of bottom-up tags'!$N$77:$W$118,MATCH(Dashboard!$B541,'Analysis of bottom-up tags'!$B$77:$B$118,0),MATCH(Dashboard!F$21,'Analysis of bottom-up tags'!$N$6:$W$6,0))*F$24</f>
        <v>0</v>
      </c>
      <c r="G541" s="151">
        <f>INDEX('Analysis of bottom-up tags'!$N$77:$W$118,MATCH(Dashboard!$B541,'Analysis of bottom-up tags'!$B$77:$B$118,0),MATCH(Dashboard!G$21,'Analysis of bottom-up tags'!$N$6:$W$6,0))*G$24</f>
        <v>0</v>
      </c>
      <c r="H541" s="151">
        <f>INDEX('Analysis of bottom-up tags'!$N$77:$W$118,MATCH(Dashboard!$B541,'Analysis of bottom-up tags'!$B$77:$B$118,0),MATCH(Dashboard!H$21,'Analysis of bottom-up tags'!$N$6:$W$6,0))*H$24</f>
        <v>5.6283428075342101</v>
      </c>
      <c r="I541" s="151">
        <f>INDEX('Analysis of bottom-up tags'!$N$77:$W$118,MATCH(Dashboard!$B541,'Analysis of bottom-up tags'!$B$77:$B$118,0),MATCH(Dashboard!I$21,'Analysis of bottom-up tags'!$N$6:$W$6,0))*I$24</f>
        <v>0.63952478806360613</v>
      </c>
      <c r="J541" s="151">
        <f>INDEX('Analysis of bottom-up tags'!$N$77:$W$118,MATCH(Dashboard!$B541,'Analysis of bottom-up tags'!$B$77:$B$118,0),MATCH(Dashboard!J$21,'Analysis of bottom-up tags'!$N$6:$W$6,0))*J$24</f>
        <v>25.09972584260235</v>
      </c>
      <c r="K541" s="151">
        <f>INDEX('Analysis of bottom-up tags'!$N$77:$W$118,MATCH(Dashboard!$B541,'Analysis of bottom-up tags'!$B$77:$B$118,0),MATCH(Dashboard!K$21,'Analysis of bottom-up tags'!$N$6:$W$6,0))*K$24</f>
        <v>0.22838753134832337</v>
      </c>
      <c r="L541" s="151">
        <f>INDEX('Analysis of bottom-up tags'!$N$77:$W$118,MATCH(Dashboard!$B541,'Analysis of bottom-up tags'!$B$77:$B$118,0),MATCH(Dashboard!L$21,'Analysis of bottom-up tags'!$N$6:$W$6,0))*L$24</f>
        <v>18.590659473209431</v>
      </c>
      <c r="M541" s="151">
        <f t="shared" si="307"/>
        <v>50.18664044275792</v>
      </c>
      <c r="N541" s="151" t="str" cm="1">
        <f t="array" ref="N541">INDEX(Framework!$C$3:$C$119,MATCH(Dashboard!$B541,Framework!$D$3:$D$119,),)</f>
        <v>Production</v>
      </c>
    </row>
    <row r="542" spans="2:14">
      <c r="B542" s="151" t="s">
        <v>10965</v>
      </c>
      <c r="C542" s="151">
        <f>INDEX('Analysis of bottom-up tags'!$N$77:$W$118,MATCH(Dashboard!$B542,'Analysis of bottom-up tags'!$B$77:$B$118,0),MATCH(Dashboard!C$21,'Analysis of bottom-up tags'!$N$6:$W$6,0))*C$24</f>
        <v>0</v>
      </c>
      <c r="D542" s="151">
        <f>INDEX('Analysis of bottom-up tags'!$N$77:$W$118,MATCH(Dashboard!$B542,'Analysis of bottom-up tags'!$B$77:$B$118,0),MATCH(Dashboard!D$21,'Analysis of bottom-up tags'!$N$6:$W$6,0))*D$24</f>
        <v>0</v>
      </c>
      <c r="E542" s="151">
        <f>INDEX('Analysis of bottom-up tags'!$N$77:$W$118,MATCH(Dashboard!$B542,'Analysis of bottom-up tags'!$B$77:$B$118,0),MATCH(Dashboard!E$21,'Analysis of bottom-up tags'!$N$6:$W$6,0))*E$24</f>
        <v>0</v>
      </c>
      <c r="F542" s="151">
        <f>INDEX('Analysis of bottom-up tags'!$N$77:$W$118,MATCH(Dashboard!$B542,'Analysis of bottom-up tags'!$B$77:$B$118,0),MATCH(Dashboard!F$21,'Analysis of bottom-up tags'!$N$6:$W$6,0))*F$24</f>
        <v>0</v>
      </c>
      <c r="G542" s="151">
        <f>INDEX('Analysis of bottom-up tags'!$N$77:$W$118,MATCH(Dashboard!$B542,'Analysis of bottom-up tags'!$B$77:$B$118,0),MATCH(Dashboard!G$21,'Analysis of bottom-up tags'!$N$6:$W$6,0))*G$24</f>
        <v>0</v>
      </c>
      <c r="H542" s="151">
        <f>INDEX('Analysis of bottom-up tags'!$N$77:$W$118,MATCH(Dashboard!$B542,'Analysis of bottom-up tags'!$B$77:$B$118,0),MATCH(Dashboard!H$21,'Analysis of bottom-up tags'!$N$6:$W$6,0))*H$24</f>
        <v>0</v>
      </c>
      <c r="I542" s="151">
        <f>INDEX('Analysis of bottom-up tags'!$N$77:$W$118,MATCH(Dashboard!$B542,'Analysis of bottom-up tags'!$B$77:$B$118,0),MATCH(Dashboard!I$21,'Analysis of bottom-up tags'!$N$6:$W$6,0))*I$24</f>
        <v>0.34800258995461958</v>
      </c>
      <c r="J542" s="151">
        <f>INDEX('Analysis of bottom-up tags'!$N$77:$W$118,MATCH(Dashboard!$B542,'Analysis of bottom-up tags'!$B$77:$B$118,0),MATCH(Dashboard!J$21,'Analysis of bottom-up tags'!$N$6:$W$6,0))*J$24</f>
        <v>6.5934426156013215</v>
      </c>
      <c r="K542" s="151">
        <f>INDEX('Analysis of bottom-up tags'!$N$77:$W$118,MATCH(Dashboard!$B542,'Analysis of bottom-up tags'!$B$77:$B$118,0),MATCH(Dashboard!K$21,'Analysis of bottom-up tags'!$N$6:$W$6,0))*K$24</f>
        <v>3.8467392108046869</v>
      </c>
      <c r="L542" s="151">
        <f>INDEX('Analysis of bottom-up tags'!$N$77:$W$118,MATCH(Dashboard!$B542,'Analysis of bottom-up tags'!$B$77:$B$118,0),MATCH(Dashboard!L$21,'Analysis of bottom-up tags'!$N$6:$W$6,0))*L$24</f>
        <v>10.939047408826028</v>
      </c>
      <c r="M542" s="151">
        <f t="shared" si="307"/>
        <v>21.727231825186657</v>
      </c>
      <c r="N542" s="151" t="str" cm="1">
        <f t="array" ref="N542">INDEX(Framework!$C$3:$C$119,MATCH(Dashboard!$B542,Framework!$D$3:$D$119,),)</f>
        <v xml:space="preserve">Post-production </v>
      </c>
    </row>
    <row r="543" spans="2:14">
      <c r="B543" s="151" t="s">
        <v>10813</v>
      </c>
      <c r="C543" s="151">
        <f>INDEX('Analysis of bottom-up tags'!$N$77:$W$118,MATCH(Dashboard!$B543,'Analysis of bottom-up tags'!$B$77:$B$118,0),MATCH(Dashboard!C$21,'Analysis of bottom-up tags'!$N$6:$W$6,0))*C$24</f>
        <v>0</v>
      </c>
      <c r="D543" s="151">
        <f>INDEX('Analysis of bottom-up tags'!$N$77:$W$118,MATCH(Dashboard!$B543,'Analysis of bottom-up tags'!$B$77:$B$118,0),MATCH(Dashboard!D$21,'Analysis of bottom-up tags'!$N$6:$W$6,0))*D$24</f>
        <v>0</v>
      </c>
      <c r="E543" s="151">
        <f>INDEX('Analysis of bottom-up tags'!$N$77:$W$118,MATCH(Dashboard!$B543,'Analysis of bottom-up tags'!$B$77:$B$118,0),MATCH(Dashboard!E$21,'Analysis of bottom-up tags'!$N$6:$W$6,0))*E$24</f>
        <v>355.58908349861878</v>
      </c>
      <c r="F543" s="151">
        <f>INDEX('Analysis of bottom-up tags'!$N$77:$W$118,MATCH(Dashboard!$B543,'Analysis of bottom-up tags'!$B$77:$B$118,0),MATCH(Dashboard!F$21,'Analysis of bottom-up tags'!$N$6:$W$6,0))*F$24</f>
        <v>0</v>
      </c>
      <c r="G543" s="151">
        <f>INDEX('Analysis of bottom-up tags'!$N$77:$W$118,MATCH(Dashboard!$B543,'Analysis of bottom-up tags'!$B$77:$B$118,0),MATCH(Dashboard!G$21,'Analysis of bottom-up tags'!$N$6:$W$6,0))*G$24</f>
        <v>6.036736997460376</v>
      </c>
      <c r="H543" s="151">
        <f>INDEX('Analysis of bottom-up tags'!$N$77:$W$118,MATCH(Dashboard!$B543,'Analysis of bottom-up tags'!$B$77:$B$118,0),MATCH(Dashboard!H$21,'Analysis of bottom-up tags'!$N$6:$W$6,0))*H$24</f>
        <v>0</v>
      </c>
      <c r="I543" s="151">
        <f>INDEX('Analysis of bottom-up tags'!$N$77:$W$118,MATCH(Dashboard!$B543,'Analysis of bottom-up tags'!$B$77:$B$118,0),MATCH(Dashboard!I$21,'Analysis of bottom-up tags'!$N$6:$W$6,0))*I$24</f>
        <v>0</v>
      </c>
      <c r="J543" s="151">
        <f>INDEX('Analysis of bottom-up tags'!$N$77:$W$118,MATCH(Dashboard!$B543,'Analysis of bottom-up tags'!$B$77:$B$118,0),MATCH(Dashboard!J$21,'Analysis of bottom-up tags'!$N$6:$W$6,0))*J$24</f>
        <v>0.68295067903319084</v>
      </c>
      <c r="K543" s="151">
        <f>INDEX('Analysis of bottom-up tags'!$N$77:$W$118,MATCH(Dashboard!$B543,'Analysis of bottom-up tags'!$B$77:$B$118,0),MATCH(Dashboard!K$21,'Analysis of bottom-up tags'!$N$6:$W$6,0))*K$24</f>
        <v>0</v>
      </c>
      <c r="L543" s="151">
        <f>INDEX('Analysis of bottom-up tags'!$N$77:$W$118,MATCH(Dashboard!$B543,'Analysis of bottom-up tags'!$B$77:$B$118,0),MATCH(Dashboard!L$21,'Analysis of bottom-up tags'!$N$6:$W$6,0))*L$24</f>
        <v>0</v>
      </c>
      <c r="M543" s="151">
        <f t="shared" si="307"/>
        <v>362.30877117511233</v>
      </c>
      <c r="N543" s="151" t="str" cm="1">
        <f t="array" ref="N543">INDEX(Framework!$C$3:$C$119,MATCH(Dashboard!$B543,Framework!$D$3:$D$119,),)</f>
        <v xml:space="preserve">Post-production </v>
      </c>
    </row>
    <row r="544" spans="2:14">
      <c r="B544" s="151" t="s">
        <v>10961</v>
      </c>
      <c r="C544" s="151">
        <f>INDEX('Analysis of bottom-up tags'!$N$77:$W$118,MATCH(Dashboard!$B544,'Analysis of bottom-up tags'!$B$77:$B$118,0),MATCH(Dashboard!C$21,'Analysis of bottom-up tags'!$N$6:$W$6,0))*C$24</f>
        <v>0</v>
      </c>
      <c r="D544" s="151">
        <f>INDEX('Analysis of bottom-up tags'!$N$77:$W$118,MATCH(Dashboard!$B544,'Analysis of bottom-up tags'!$B$77:$B$118,0),MATCH(Dashboard!D$21,'Analysis of bottom-up tags'!$N$6:$W$6,0))*D$24</f>
        <v>0</v>
      </c>
      <c r="E544" s="151">
        <f>INDEX('Analysis of bottom-up tags'!$N$77:$W$118,MATCH(Dashboard!$B544,'Analysis of bottom-up tags'!$B$77:$B$118,0),MATCH(Dashboard!E$21,'Analysis of bottom-up tags'!$N$6:$W$6,0))*E$24</f>
        <v>0</v>
      </c>
      <c r="F544" s="151">
        <f>INDEX('Analysis of bottom-up tags'!$N$77:$W$118,MATCH(Dashboard!$B544,'Analysis of bottom-up tags'!$B$77:$B$118,0),MATCH(Dashboard!F$21,'Analysis of bottom-up tags'!$N$6:$W$6,0))*F$24</f>
        <v>0</v>
      </c>
      <c r="G544" s="151">
        <f>INDEX('Analysis of bottom-up tags'!$N$77:$W$118,MATCH(Dashboard!$B544,'Analysis of bottom-up tags'!$B$77:$B$118,0),MATCH(Dashboard!G$21,'Analysis of bottom-up tags'!$N$6:$W$6,0))*G$24</f>
        <v>0</v>
      </c>
      <c r="H544" s="151">
        <f>INDEX('Analysis of bottom-up tags'!$N$77:$W$118,MATCH(Dashboard!$B544,'Analysis of bottom-up tags'!$B$77:$B$118,0),MATCH(Dashboard!H$21,'Analysis of bottom-up tags'!$N$6:$W$6,0))*H$24</f>
        <v>0</v>
      </c>
      <c r="I544" s="151">
        <f>INDEX('Analysis of bottom-up tags'!$N$77:$W$118,MATCH(Dashboard!$B544,'Analysis of bottom-up tags'!$B$77:$B$118,0),MATCH(Dashboard!I$21,'Analysis of bottom-up tags'!$N$6:$W$6,0))*I$24</f>
        <v>0</v>
      </c>
      <c r="J544" s="151">
        <f>INDEX('Analysis of bottom-up tags'!$N$77:$W$118,MATCH(Dashboard!$B544,'Analysis of bottom-up tags'!$B$77:$B$118,0),MATCH(Dashboard!J$21,'Analysis of bottom-up tags'!$N$6:$W$6,0))*J$24</f>
        <v>0</v>
      </c>
      <c r="K544" s="151">
        <f>INDEX('Analysis of bottom-up tags'!$N$77:$W$118,MATCH(Dashboard!$B544,'Analysis of bottom-up tags'!$B$77:$B$118,0),MATCH(Dashboard!K$21,'Analysis of bottom-up tags'!$N$6:$W$6,0))*K$24</f>
        <v>0</v>
      </c>
      <c r="L544" s="151">
        <f>INDEX('Analysis of bottom-up tags'!$N$77:$W$118,MATCH(Dashboard!$B544,'Analysis of bottom-up tags'!$B$77:$B$118,0),MATCH(Dashboard!L$21,'Analysis of bottom-up tags'!$N$6:$W$6,0))*L$24</f>
        <v>13.92577921649322</v>
      </c>
      <c r="M544" s="151">
        <f t="shared" si="307"/>
        <v>13.92577921649322</v>
      </c>
      <c r="N544" s="151" t="str" cm="1">
        <f t="array" ref="N544">INDEX(Framework!$C$3:$C$119,MATCH(Dashboard!$B544,Framework!$D$3:$D$119,),)</f>
        <v>Production</v>
      </c>
    </row>
    <row r="545" spans="2:14">
      <c r="B545" s="151" t="s">
        <v>10848</v>
      </c>
      <c r="C545" s="151">
        <f>INDEX('Analysis of bottom-up tags'!$N$77:$W$118,MATCH(Dashboard!$B545,'Analysis of bottom-up tags'!$B$77:$B$118,0),MATCH(Dashboard!C$21,'Analysis of bottom-up tags'!$N$6:$W$6,0))*C$24</f>
        <v>0</v>
      </c>
      <c r="D545" s="151">
        <f>INDEX('Analysis of bottom-up tags'!$N$77:$W$118,MATCH(Dashboard!$B545,'Analysis of bottom-up tags'!$B$77:$B$118,0),MATCH(Dashboard!D$21,'Analysis of bottom-up tags'!$N$6:$W$6,0))*D$24</f>
        <v>0</v>
      </c>
      <c r="E545" s="151">
        <f>INDEX('Analysis of bottom-up tags'!$N$77:$W$118,MATCH(Dashboard!$B545,'Analysis of bottom-up tags'!$B$77:$B$118,0),MATCH(Dashboard!E$21,'Analysis of bottom-up tags'!$N$6:$W$6,0))*E$24</f>
        <v>0</v>
      </c>
      <c r="F545" s="151">
        <f>INDEX('Analysis of bottom-up tags'!$N$77:$W$118,MATCH(Dashboard!$B545,'Analysis of bottom-up tags'!$B$77:$B$118,0),MATCH(Dashboard!F$21,'Analysis of bottom-up tags'!$N$6:$W$6,0))*F$24</f>
        <v>0</v>
      </c>
      <c r="G545" s="151">
        <f>INDEX('Analysis of bottom-up tags'!$N$77:$W$118,MATCH(Dashboard!$B545,'Analysis of bottom-up tags'!$B$77:$B$118,0),MATCH(Dashboard!G$21,'Analysis of bottom-up tags'!$N$6:$W$6,0))*G$24</f>
        <v>0</v>
      </c>
      <c r="H545" s="151">
        <f>INDEX('Analysis of bottom-up tags'!$N$77:$W$118,MATCH(Dashboard!$B545,'Analysis of bottom-up tags'!$B$77:$B$118,0),MATCH(Dashboard!H$21,'Analysis of bottom-up tags'!$N$6:$W$6,0))*H$24</f>
        <v>0</v>
      </c>
      <c r="I545" s="151">
        <f>INDEX('Analysis of bottom-up tags'!$N$77:$W$118,MATCH(Dashboard!$B545,'Analysis of bottom-up tags'!$B$77:$B$118,0),MATCH(Dashboard!I$21,'Analysis of bottom-up tags'!$N$6:$W$6,0))*I$24</f>
        <v>0</v>
      </c>
      <c r="J545" s="151">
        <f>INDEX('Analysis of bottom-up tags'!$N$77:$W$118,MATCH(Dashboard!$B545,'Analysis of bottom-up tags'!$B$77:$B$118,0),MATCH(Dashboard!J$21,'Analysis of bottom-up tags'!$N$6:$W$6,0))*J$24</f>
        <v>0</v>
      </c>
      <c r="K545" s="151">
        <f>INDEX('Analysis of bottom-up tags'!$N$77:$W$118,MATCH(Dashboard!$B545,'Analysis of bottom-up tags'!$B$77:$B$118,0),MATCH(Dashboard!K$21,'Analysis of bottom-up tags'!$N$6:$W$6,0))*K$24</f>
        <v>1.8918111960521133</v>
      </c>
      <c r="L545" s="151">
        <f>INDEX('Analysis of bottom-up tags'!$N$77:$W$118,MATCH(Dashboard!$B545,'Analysis of bottom-up tags'!$B$77:$B$118,0),MATCH(Dashboard!L$21,'Analysis of bottom-up tags'!$N$6:$W$6,0))*L$24</f>
        <v>0</v>
      </c>
      <c r="M545" s="151">
        <f t="shared" si="307"/>
        <v>1.8918111960521133</v>
      </c>
      <c r="N545" s="151" t="str" cm="1">
        <f t="array" ref="N545">INDEX(Framework!$C$3:$C$119,MATCH(Dashboard!$B545,Framework!$D$3:$D$119,),)</f>
        <v>Cross-cutting</v>
      </c>
    </row>
    <row r="546" spans="2:14">
      <c r="B546" s="151" t="s">
        <v>10728</v>
      </c>
      <c r="C546" s="151">
        <f>INDEX('Analysis of bottom-up tags'!$N$77:$W$118,MATCH(Dashboard!$B546,'Analysis of bottom-up tags'!$B$77:$B$118,0),MATCH(Dashboard!C$21,'Analysis of bottom-up tags'!$N$6:$W$6,0))*C$24</f>
        <v>0</v>
      </c>
      <c r="D546" s="151">
        <f>INDEX('Analysis of bottom-up tags'!$N$77:$W$118,MATCH(Dashboard!$B546,'Analysis of bottom-up tags'!$B$77:$B$118,0),MATCH(Dashboard!D$21,'Analysis of bottom-up tags'!$N$6:$W$6,0))*D$24</f>
        <v>0</v>
      </c>
      <c r="E546" s="151">
        <f>INDEX('Analysis of bottom-up tags'!$N$77:$W$118,MATCH(Dashboard!$B546,'Analysis of bottom-up tags'!$B$77:$B$118,0),MATCH(Dashboard!E$21,'Analysis of bottom-up tags'!$N$6:$W$6,0))*E$24</f>
        <v>0</v>
      </c>
      <c r="F546" s="151">
        <f>INDEX('Analysis of bottom-up tags'!$N$77:$W$118,MATCH(Dashboard!$B546,'Analysis of bottom-up tags'!$B$77:$B$118,0),MATCH(Dashboard!F$21,'Analysis of bottom-up tags'!$N$6:$W$6,0))*F$24</f>
        <v>0</v>
      </c>
      <c r="G546" s="151">
        <f>INDEX('Analysis of bottom-up tags'!$N$77:$W$118,MATCH(Dashboard!$B546,'Analysis of bottom-up tags'!$B$77:$B$118,0),MATCH(Dashboard!G$21,'Analysis of bottom-up tags'!$N$6:$W$6,0))*G$24</f>
        <v>0</v>
      </c>
      <c r="H546" s="151">
        <f>INDEX('Analysis of bottom-up tags'!$N$77:$W$118,MATCH(Dashboard!$B546,'Analysis of bottom-up tags'!$B$77:$B$118,0),MATCH(Dashboard!H$21,'Analysis of bottom-up tags'!$N$6:$W$6,0))*H$24</f>
        <v>0</v>
      </c>
      <c r="I546" s="151">
        <f>INDEX('Analysis of bottom-up tags'!$N$77:$W$118,MATCH(Dashboard!$B546,'Analysis of bottom-up tags'!$B$77:$B$118,0),MATCH(Dashboard!I$21,'Analysis of bottom-up tags'!$N$6:$W$6,0))*I$24</f>
        <v>0</v>
      </c>
      <c r="J546" s="151">
        <f>INDEX('Analysis of bottom-up tags'!$N$77:$W$118,MATCH(Dashboard!$B546,'Analysis of bottom-up tags'!$B$77:$B$118,0),MATCH(Dashboard!J$21,'Analysis of bottom-up tags'!$N$6:$W$6,0))*J$24</f>
        <v>0</v>
      </c>
      <c r="K546" s="151">
        <f>INDEX('Analysis of bottom-up tags'!$N$77:$W$118,MATCH(Dashboard!$B546,'Analysis of bottom-up tags'!$B$77:$B$118,0),MATCH(Dashboard!K$21,'Analysis of bottom-up tags'!$N$6:$W$6,0))*K$24</f>
        <v>0</v>
      </c>
      <c r="L546" s="151">
        <f>INDEX('Analysis of bottom-up tags'!$N$77:$W$118,MATCH(Dashboard!$B546,'Analysis of bottom-up tags'!$B$77:$B$118,0),MATCH(Dashboard!L$21,'Analysis of bottom-up tags'!$N$6:$W$6,0))*L$24</f>
        <v>5.7793564563218078</v>
      </c>
      <c r="M546" s="151">
        <f t="shared" si="307"/>
        <v>5.7793564563218078</v>
      </c>
      <c r="N546" s="151" t="str" cm="1">
        <f t="array" ref="N546">INDEX(Framework!$C$3:$C$119,MATCH(Dashboard!$B546,Framework!$D$3:$D$119,),)</f>
        <v>Inputs</v>
      </c>
    </row>
    <row r="547" spans="2:14">
      <c r="B547" s="151" t="s">
        <v>10861</v>
      </c>
      <c r="C547" s="151">
        <f>INDEX('Analysis of bottom-up tags'!$N$77:$W$118,MATCH(Dashboard!$B547,'Analysis of bottom-up tags'!$B$77:$B$118,0),MATCH(Dashboard!C$21,'Analysis of bottom-up tags'!$N$6:$W$6,0))*C$24</f>
        <v>0</v>
      </c>
      <c r="D547" s="151">
        <f>INDEX('Analysis of bottom-up tags'!$N$77:$W$118,MATCH(Dashboard!$B547,'Analysis of bottom-up tags'!$B$77:$B$118,0),MATCH(Dashboard!D$21,'Analysis of bottom-up tags'!$N$6:$W$6,0))*D$24</f>
        <v>0</v>
      </c>
      <c r="E547" s="151">
        <f>INDEX('Analysis of bottom-up tags'!$N$77:$W$118,MATCH(Dashboard!$B547,'Analysis of bottom-up tags'!$B$77:$B$118,0),MATCH(Dashboard!E$21,'Analysis of bottom-up tags'!$N$6:$W$6,0))*E$24</f>
        <v>0</v>
      </c>
      <c r="F547" s="151">
        <f>INDEX('Analysis of bottom-up tags'!$N$77:$W$118,MATCH(Dashboard!$B547,'Analysis of bottom-up tags'!$B$77:$B$118,0),MATCH(Dashboard!F$21,'Analysis of bottom-up tags'!$N$6:$W$6,0))*F$24</f>
        <v>0</v>
      </c>
      <c r="G547" s="151">
        <f>INDEX('Analysis of bottom-up tags'!$N$77:$W$118,MATCH(Dashboard!$B547,'Analysis of bottom-up tags'!$B$77:$B$118,0),MATCH(Dashboard!G$21,'Analysis of bottom-up tags'!$N$6:$W$6,0))*G$24</f>
        <v>0</v>
      </c>
      <c r="H547" s="151">
        <f>INDEX('Analysis of bottom-up tags'!$N$77:$W$118,MATCH(Dashboard!$B547,'Analysis of bottom-up tags'!$B$77:$B$118,0),MATCH(Dashboard!H$21,'Analysis of bottom-up tags'!$N$6:$W$6,0))*H$24</f>
        <v>0</v>
      </c>
      <c r="I547" s="151">
        <f>INDEX('Analysis of bottom-up tags'!$N$77:$W$118,MATCH(Dashboard!$B547,'Analysis of bottom-up tags'!$B$77:$B$118,0),MATCH(Dashboard!I$21,'Analysis of bottom-up tags'!$N$6:$W$6,0))*I$24</f>
        <v>0</v>
      </c>
      <c r="J547" s="151">
        <f>INDEX('Analysis of bottom-up tags'!$N$77:$W$118,MATCH(Dashboard!$B547,'Analysis of bottom-up tags'!$B$77:$B$118,0),MATCH(Dashboard!J$21,'Analysis of bottom-up tags'!$N$6:$W$6,0))*J$24</f>
        <v>0</v>
      </c>
      <c r="K547" s="151">
        <f>INDEX('Analysis of bottom-up tags'!$N$77:$W$118,MATCH(Dashboard!$B547,'Analysis of bottom-up tags'!$B$77:$B$118,0),MATCH(Dashboard!K$21,'Analysis of bottom-up tags'!$N$6:$W$6,0))*K$24</f>
        <v>0</v>
      </c>
      <c r="L547" s="151">
        <f>INDEX('Analysis of bottom-up tags'!$N$77:$W$118,MATCH(Dashboard!$B547,'Analysis of bottom-up tags'!$B$77:$B$118,0),MATCH(Dashboard!L$21,'Analysis of bottom-up tags'!$N$6:$W$6,0))*L$24</f>
        <v>0</v>
      </c>
      <c r="M547" s="151">
        <f t="shared" si="307"/>
        <v>0</v>
      </c>
      <c r="N547" s="151" t="str" cm="1">
        <f t="array" ref="N547">INDEX(Framework!$C$3:$C$119,MATCH(Dashboard!$B547,Framework!$D$3:$D$119,),)</f>
        <v>Soil &amp; water health management</v>
      </c>
    </row>
    <row r="548" spans="2:14">
      <c r="B548" s="151" t="s">
        <v>10780</v>
      </c>
      <c r="C548" s="151">
        <f>INDEX('Analysis of bottom-up tags'!$N$77:$W$118,MATCH(Dashboard!$B548,'Analysis of bottom-up tags'!$B$77:$B$118,0),MATCH(Dashboard!C$21,'Analysis of bottom-up tags'!$N$6:$W$6,0))*C$24</f>
        <v>0</v>
      </c>
      <c r="D548" s="151">
        <f>INDEX('Analysis of bottom-up tags'!$N$77:$W$118,MATCH(Dashboard!$B548,'Analysis of bottom-up tags'!$B$77:$B$118,0),MATCH(Dashboard!D$21,'Analysis of bottom-up tags'!$N$6:$W$6,0))*D$24</f>
        <v>0</v>
      </c>
      <c r="E548" s="151">
        <f>INDEX('Analysis of bottom-up tags'!$N$77:$W$118,MATCH(Dashboard!$B548,'Analysis of bottom-up tags'!$B$77:$B$118,0),MATCH(Dashboard!E$21,'Analysis of bottom-up tags'!$N$6:$W$6,0))*E$24</f>
        <v>0</v>
      </c>
      <c r="F548" s="151">
        <f>INDEX('Analysis of bottom-up tags'!$N$77:$W$118,MATCH(Dashboard!$B548,'Analysis of bottom-up tags'!$B$77:$B$118,0),MATCH(Dashboard!F$21,'Analysis of bottom-up tags'!$N$6:$W$6,0))*F$24</f>
        <v>0</v>
      </c>
      <c r="G548" s="151">
        <f>INDEX('Analysis of bottom-up tags'!$N$77:$W$118,MATCH(Dashboard!$B548,'Analysis of bottom-up tags'!$B$77:$B$118,0),MATCH(Dashboard!G$21,'Analysis of bottom-up tags'!$N$6:$W$6,0))*G$24</f>
        <v>0</v>
      </c>
      <c r="H548" s="151">
        <f>INDEX('Analysis of bottom-up tags'!$N$77:$W$118,MATCH(Dashboard!$B548,'Analysis of bottom-up tags'!$B$77:$B$118,0),MATCH(Dashboard!H$21,'Analysis of bottom-up tags'!$N$6:$W$6,0))*H$24</f>
        <v>0</v>
      </c>
      <c r="I548" s="151">
        <f>INDEX('Analysis of bottom-up tags'!$N$77:$W$118,MATCH(Dashboard!$B548,'Analysis of bottom-up tags'!$B$77:$B$118,0),MATCH(Dashboard!I$21,'Analysis of bottom-up tags'!$N$6:$W$6,0))*I$24</f>
        <v>0.1729934820879912</v>
      </c>
      <c r="J548" s="151">
        <f>INDEX('Analysis of bottom-up tags'!$N$77:$W$118,MATCH(Dashboard!$B548,'Analysis of bottom-up tags'!$B$77:$B$118,0),MATCH(Dashboard!J$21,'Analysis of bottom-up tags'!$N$6:$W$6,0))*J$24</f>
        <v>0.77800972347954189</v>
      </c>
      <c r="K548" s="151">
        <f>INDEX('Analysis of bottom-up tags'!$N$77:$W$118,MATCH(Dashboard!$B548,'Analysis of bottom-up tags'!$B$77:$B$118,0),MATCH(Dashboard!K$21,'Analysis of bottom-up tags'!$N$6:$W$6,0))*K$24</f>
        <v>0.166171261503684</v>
      </c>
      <c r="L548" s="151">
        <f>INDEX('Analysis of bottom-up tags'!$N$77:$W$118,MATCH(Dashboard!$B548,'Analysis of bottom-up tags'!$B$77:$B$118,0),MATCH(Dashboard!L$21,'Analysis of bottom-up tags'!$N$6:$W$6,0))*L$24</f>
        <v>0</v>
      </c>
      <c r="M548" s="151">
        <f t="shared" si="307"/>
        <v>1.1171744670712171</v>
      </c>
      <c r="N548" s="151" t="str" cm="1">
        <f t="array" ref="N548">INDEX(Framework!$C$3:$C$119,MATCH(Dashboard!$B548,Framework!$D$3:$D$119,),)</f>
        <v>Production</v>
      </c>
    </row>
    <row r="549" spans="2:14">
      <c r="B549" s="151" t="s">
        <v>10857</v>
      </c>
      <c r="C549" s="151">
        <f>INDEX('Analysis of bottom-up tags'!$N$77:$W$118,MATCH(Dashboard!$B549,'Analysis of bottom-up tags'!$B$77:$B$118,0),MATCH(Dashboard!C$21,'Analysis of bottom-up tags'!$N$6:$W$6,0))*C$24</f>
        <v>0</v>
      </c>
      <c r="D549" s="151">
        <f>INDEX('Analysis of bottom-up tags'!$N$77:$W$118,MATCH(Dashboard!$B549,'Analysis of bottom-up tags'!$B$77:$B$118,0),MATCH(Dashboard!D$21,'Analysis of bottom-up tags'!$N$6:$W$6,0))*D$24</f>
        <v>0</v>
      </c>
      <c r="E549" s="151">
        <f>INDEX('Analysis of bottom-up tags'!$N$77:$W$118,MATCH(Dashboard!$B549,'Analysis of bottom-up tags'!$B$77:$B$118,0),MATCH(Dashboard!E$21,'Analysis of bottom-up tags'!$N$6:$W$6,0))*E$24</f>
        <v>0</v>
      </c>
      <c r="F549" s="151">
        <f>INDEX('Analysis of bottom-up tags'!$N$77:$W$118,MATCH(Dashboard!$B549,'Analysis of bottom-up tags'!$B$77:$B$118,0),MATCH(Dashboard!F$21,'Analysis of bottom-up tags'!$N$6:$W$6,0))*F$24</f>
        <v>0</v>
      </c>
      <c r="G549" s="151">
        <f>INDEX('Analysis of bottom-up tags'!$N$77:$W$118,MATCH(Dashboard!$B549,'Analysis of bottom-up tags'!$B$77:$B$118,0),MATCH(Dashboard!G$21,'Analysis of bottom-up tags'!$N$6:$W$6,0))*G$24</f>
        <v>0</v>
      </c>
      <c r="H549" s="151">
        <f>INDEX('Analysis of bottom-up tags'!$N$77:$W$118,MATCH(Dashboard!$B549,'Analysis of bottom-up tags'!$B$77:$B$118,0),MATCH(Dashboard!H$21,'Analysis of bottom-up tags'!$N$6:$W$6,0))*H$24</f>
        <v>0</v>
      </c>
      <c r="I549" s="151">
        <f>INDEX('Analysis of bottom-up tags'!$N$77:$W$118,MATCH(Dashboard!$B549,'Analysis of bottom-up tags'!$B$77:$B$118,0),MATCH(Dashboard!I$21,'Analysis of bottom-up tags'!$N$6:$W$6,0))*I$24</f>
        <v>0.34515881113621549</v>
      </c>
      <c r="J549" s="151">
        <f>INDEX('Analysis of bottom-up tags'!$N$77:$W$118,MATCH(Dashboard!$B549,'Analysis of bottom-up tags'!$B$77:$B$118,0),MATCH(Dashboard!J$21,'Analysis of bottom-up tags'!$N$6:$W$6,0))*J$24</f>
        <v>0</v>
      </c>
      <c r="K549" s="151">
        <f>INDEX('Analysis of bottom-up tags'!$N$77:$W$118,MATCH(Dashboard!$B549,'Analysis of bottom-up tags'!$B$77:$B$118,0),MATCH(Dashboard!K$21,'Analysis of bottom-up tags'!$N$6:$W$6,0))*K$24</f>
        <v>0</v>
      </c>
      <c r="L549" s="151">
        <f>INDEX('Analysis of bottom-up tags'!$N$77:$W$118,MATCH(Dashboard!$B549,'Analysis of bottom-up tags'!$B$77:$B$118,0),MATCH(Dashboard!L$21,'Analysis of bottom-up tags'!$N$6:$W$6,0))*L$24</f>
        <v>0</v>
      </c>
      <c r="M549" s="151">
        <f t="shared" si="307"/>
        <v>0.34515881113621549</v>
      </c>
      <c r="N549" s="151" t="str" cm="1">
        <f t="array" ref="N549">INDEX(Framework!$C$3:$C$119,MATCH(Dashboard!$B549,Framework!$D$3:$D$119,),)</f>
        <v>Soil &amp; water health management</v>
      </c>
    </row>
    <row r="550" spans="2:14">
      <c r="B550" s="151" t="s">
        <v>10966</v>
      </c>
      <c r="C550" s="151">
        <f>INDEX('Analysis of bottom-up tags'!$N$77:$W$118,MATCH(Dashboard!$B550,'Analysis of bottom-up tags'!$B$77:$B$118,0),MATCH(Dashboard!C$21,'Analysis of bottom-up tags'!$N$6:$W$6,0))*C$24</f>
        <v>0</v>
      </c>
      <c r="D550" s="151">
        <f>INDEX('Analysis of bottom-up tags'!$N$77:$W$118,MATCH(Dashboard!$B550,'Analysis of bottom-up tags'!$B$77:$B$118,0),MATCH(Dashboard!D$21,'Analysis of bottom-up tags'!$N$6:$W$6,0))*D$24</f>
        <v>0</v>
      </c>
      <c r="E550" s="151">
        <f>INDEX('Analysis of bottom-up tags'!$N$77:$W$118,MATCH(Dashboard!$B550,'Analysis of bottom-up tags'!$B$77:$B$118,0),MATCH(Dashboard!E$21,'Analysis of bottom-up tags'!$N$6:$W$6,0))*E$24</f>
        <v>0</v>
      </c>
      <c r="F550" s="151">
        <f>INDEX('Analysis of bottom-up tags'!$N$77:$W$118,MATCH(Dashboard!$B550,'Analysis of bottom-up tags'!$B$77:$B$118,0),MATCH(Dashboard!F$21,'Analysis of bottom-up tags'!$N$6:$W$6,0))*F$24</f>
        <v>0</v>
      </c>
      <c r="G550" s="151">
        <f>INDEX('Analysis of bottom-up tags'!$N$77:$W$118,MATCH(Dashboard!$B550,'Analysis of bottom-up tags'!$B$77:$B$118,0),MATCH(Dashboard!G$21,'Analysis of bottom-up tags'!$N$6:$W$6,0))*G$24</f>
        <v>0</v>
      </c>
      <c r="H550" s="151">
        <f>INDEX('Analysis of bottom-up tags'!$N$77:$W$118,MATCH(Dashboard!$B550,'Analysis of bottom-up tags'!$B$77:$B$118,0),MATCH(Dashboard!H$21,'Analysis of bottom-up tags'!$N$6:$W$6,0))*H$24</f>
        <v>0</v>
      </c>
      <c r="I550" s="151">
        <f>INDEX('Analysis of bottom-up tags'!$N$77:$W$118,MATCH(Dashboard!$B550,'Analysis of bottom-up tags'!$B$77:$B$118,0),MATCH(Dashboard!I$21,'Analysis of bottom-up tags'!$N$6:$W$6,0))*I$24</f>
        <v>0</v>
      </c>
      <c r="J550" s="151">
        <f>INDEX('Analysis of bottom-up tags'!$N$77:$W$118,MATCH(Dashboard!$B550,'Analysis of bottom-up tags'!$B$77:$B$118,0),MATCH(Dashboard!J$21,'Analysis of bottom-up tags'!$N$6:$W$6,0))*J$24</f>
        <v>0.23807720616609179</v>
      </c>
      <c r="K550" s="151">
        <f>INDEX('Analysis of bottom-up tags'!$N$77:$W$118,MATCH(Dashboard!$B550,'Analysis of bottom-up tags'!$B$77:$B$118,0),MATCH(Dashboard!K$21,'Analysis of bottom-up tags'!$N$6:$W$6,0))*K$24</f>
        <v>0</v>
      </c>
      <c r="L550" s="151">
        <f>INDEX('Analysis of bottom-up tags'!$N$77:$W$118,MATCH(Dashboard!$B550,'Analysis of bottom-up tags'!$B$77:$B$118,0),MATCH(Dashboard!L$21,'Analysis of bottom-up tags'!$N$6:$W$6,0))*L$24</f>
        <v>0.48574433521930821</v>
      </c>
      <c r="M550" s="151">
        <f t="shared" si="307"/>
        <v>0.7238215413854</v>
      </c>
      <c r="N550" s="151" t="str" cm="1">
        <f t="array" ref="N550">INDEX(Framework!$C$3:$C$119,MATCH(Dashboard!$B550,Framework!$D$3:$D$119,),)</f>
        <v xml:space="preserve">Post-production </v>
      </c>
    </row>
    <row r="551" spans="2:14">
      <c r="B551" s="151" t="s">
        <v>10850</v>
      </c>
      <c r="C551" s="151">
        <f>INDEX('Analysis of bottom-up tags'!$N$77:$W$118,MATCH(Dashboard!$B551,'Analysis of bottom-up tags'!$B$77:$B$118,0),MATCH(Dashboard!C$21,'Analysis of bottom-up tags'!$N$6:$W$6,0))*C$24</f>
        <v>0</v>
      </c>
      <c r="D551" s="151">
        <f>INDEX('Analysis of bottom-up tags'!$N$77:$W$118,MATCH(Dashboard!$B551,'Analysis of bottom-up tags'!$B$77:$B$118,0),MATCH(Dashboard!D$21,'Analysis of bottom-up tags'!$N$6:$W$6,0))*D$24</f>
        <v>0</v>
      </c>
      <c r="E551" s="151">
        <f>INDEX('Analysis of bottom-up tags'!$N$77:$W$118,MATCH(Dashboard!$B551,'Analysis of bottom-up tags'!$B$77:$B$118,0),MATCH(Dashboard!E$21,'Analysis of bottom-up tags'!$N$6:$W$6,0))*E$24</f>
        <v>7.65774328071653</v>
      </c>
      <c r="F551" s="151">
        <f>INDEX('Analysis of bottom-up tags'!$N$77:$W$118,MATCH(Dashboard!$B551,'Analysis of bottom-up tags'!$B$77:$B$118,0),MATCH(Dashboard!F$21,'Analysis of bottom-up tags'!$N$6:$W$6,0))*F$24</f>
        <v>0</v>
      </c>
      <c r="G551" s="151">
        <f>INDEX('Analysis of bottom-up tags'!$N$77:$W$118,MATCH(Dashboard!$B551,'Analysis of bottom-up tags'!$B$77:$B$118,0),MATCH(Dashboard!G$21,'Analysis of bottom-up tags'!$N$6:$W$6,0))*G$24</f>
        <v>0</v>
      </c>
      <c r="H551" s="151">
        <f>INDEX('Analysis of bottom-up tags'!$N$77:$W$118,MATCH(Dashboard!$B551,'Analysis of bottom-up tags'!$B$77:$B$118,0),MATCH(Dashboard!H$21,'Analysis of bottom-up tags'!$N$6:$W$6,0))*H$24</f>
        <v>0</v>
      </c>
      <c r="I551" s="151">
        <f>INDEX('Analysis of bottom-up tags'!$N$77:$W$118,MATCH(Dashboard!$B551,'Analysis of bottom-up tags'!$B$77:$B$118,0),MATCH(Dashboard!I$21,'Analysis of bottom-up tags'!$N$6:$W$6,0))*I$24</f>
        <v>0</v>
      </c>
      <c r="J551" s="151">
        <f>INDEX('Analysis of bottom-up tags'!$N$77:$W$118,MATCH(Dashboard!$B551,'Analysis of bottom-up tags'!$B$77:$B$118,0),MATCH(Dashboard!J$21,'Analysis of bottom-up tags'!$N$6:$W$6,0))*J$24</f>
        <v>0</v>
      </c>
      <c r="K551" s="151">
        <f>INDEX('Analysis of bottom-up tags'!$N$77:$W$118,MATCH(Dashboard!$B551,'Analysis of bottom-up tags'!$B$77:$B$118,0),MATCH(Dashboard!K$21,'Analysis of bottom-up tags'!$N$6:$W$6,0))*K$24</f>
        <v>0</v>
      </c>
      <c r="L551" s="151">
        <f>INDEX('Analysis of bottom-up tags'!$N$77:$W$118,MATCH(Dashboard!$B551,'Analysis of bottom-up tags'!$B$77:$B$118,0),MATCH(Dashboard!L$21,'Analysis of bottom-up tags'!$N$6:$W$6,0))*L$24</f>
        <v>0</v>
      </c>
      <c r="M551" s="151">
        <f t="shared" si="307"/>
        <v>7.65774328071653</v>
      </c>
      <c r="N551" s="151" t="str" cm="1">
        <f t="array" ref="N551">INDEX(Framework!$C$3:$C$119,MATCH(Dashboard!$B551,Framework!$D$3:$D$119,),)</f>
        <v>Cross-cutting</v>
      </c>
    </row>
    <row r="552" spans="2:14">
      <c r="B552" s="151" t="s">
        <v>10737</v>
      </c>
      <c r="C552" s="151">
        <f>INDEX('Analysis of bottom-up tags'!$N$77:$W$118,MATCH(Dashboard!$B552,'Analysis of bottom-up tags'!$B$77:$B$118,0),MATCH(Dashboard!C$21,'Analysis of bottom-up tags'!$N$6:$W$6,0))*C$24</f>
        <v>0</v>
      </c>
      <c r="D552" s="151">
        <f>INDEX('Analysis of bottom-up tags'!$N$77:$W$118,MATCH(Dashboard!$B552,'Analysis of bottom-up tags'!$B$77:$B$118,0),MATCH(Dashboard!D$21,'Analysis of bottom-up tags'!$N$6:$W$6,0))*D$24</f>
        <v>0</v>
      </c>
      <c r="E552" s="151">
        <f>INDEX('Analysis of bottom-up tags'!$N$77:$W$118,MATCH(Dashboard!$B552,'Analysis of bottom-up tags'!$B$77:$B$118,0),MATCH(Dashboard!E$21,'Analysis of bottom-up tags'!$N$6:$W$6,0))*E$24</f>
        <v>0</v>
      </c>
      <c r="F552" s="151">
        <f>INDEX('Analysis of bottom-up tags'!$N$77:$W$118,MATCH(Dashboard!$B552,'Analysis of bottom-up tags'!$B$77:$B$118,0),MATCH(Dashboard!F$21,'Analysis of bottom-up tags'!$N$6:$W$6,0))*F$24</f>
        <v>0</v>
      </c>
      <c r="G552" s="151">
        <f>INDEX('Analysis of bottom-up tags'!$N$77:$W$118,MATCH(Dashboard!$B552,'Analysis of bottom-up tags'!$B$77:$B$118,0),MATCH(Dashboard!G$21,'Analysis of bottom-up tags'!$N$6:$W$6,0))*G$24</f>
        <v>0</v>
      </c>
      <c r="H552" s="151">
        <f>INDEX('Analysis of bottom-up tags'!$N$77:$W$118,MATCH(Dashboard!$B552,'Analysis of bottom-up tags'!$B$77:$B$118,0),MATCH(Dashboard!H$21,'Analysis of bottom-up tags'!$N$6:$W$6,0))*H$24</f>
        <v>0</v>
      </c>
      <c r="I552" s="151">
        <f>INDEX('Analysis of bottom-up tags'!$N$77:$W$118,MATCH(Dashboard!$B552,'Analysis of bottom-up tags'!$B$77:$B$118,0),MATCH(Dashboard!I$21,'Analysis of bottom-up tags'!$N$6:$W$6,0))*I$24</f>
        <v>0</v>
      </c>
      <c r="J552" s="151">
        <f>INDEX('Analysis of bottom-up tags'!$N$77:$W$118,MATCH(Dashboard!$B552,'Analysis of bottom-up tags'!$B$77:$B$118,0),MATCH(Dashboard!J$21,'Analysis of bottom-up tags'!$N$6:$W$6,0))*J$24</f>
        <v>0</v>
      </c>
      <c r="K552" s="151">
        <f>INDEX('Analysis of bottom-up tags'!$N$77:$W$118,MATCH(Dashboard!$B552,'Analysis of bottom-up tags'!$B$77:$B$118,0),MATCH(Dashboard!K$21,'Analysis of bottom-up tags'!$N$6:$W$6,0))*K$24</f>
        <v>0</v>
      </c>
      <c r="L552" s="151">
        <f>INDEX('Analysis of bottom-up tags'!$N$77:$W$118,MATCH(Dashboard!$B552,'Analysis of bottom-up tags'!$B$77:$B$118,0),MATCH(Dashboard!L$21,'Analysis of bottom-up tags'!$N$6:$W$6,0))*L$24</f>
        <v>0</v>
      </c>
      <c r="M552" s="151">
        <f t="shared" si="307"/>
        <v>0</v>
      </c>
      <c r="N552" s="151" t="str" cm="1">
        <f t="array" ref="N552">INDEX(Framework!$C$3:$C$119,MATCH(Dashboard!$B552,Framework!$D$3:$D$119,),)</f>
        <v>Inputs</v>
      </c>
    </row>
    <row r="553" spans="2:14">
      <c r="B553" s="151" t="s">
        <v>10733</v>
      </c>
      <c r="C553" s="151">
        <f>INDEX('Analysis of bottom-up tags'!$N$77:$W$118,MATCH(Dashboard!$B553,'Analysis of bottom-up tags'!$B$77:$B$118,0),MATCH(Dashboard!C$21,'Analysis of bottom-up tags'!$N$6:$W$6,0))*C$24</f>
        <v>0</v>
      </c>
      <c r="D553" s="151">
        <f>INDEX('Analysis of bottom-up tags'!$N$77:$W$118,MATCH(Dashboard!$B553,'Analysis of bottom-up tags'!$B$77:$B$118,0),MATCH(Dashboard!D$21,'Analysis of bottom-up tags'!$N$6:$W$6,0))*D$24</f>
        <v>0</v>
      </c>
      <c r="E553" s="151">
        <f>INDEX('Analysis of bottom-up tags'!$N$77:$W$118,MATCH(Dashboard!$B553,'Analysis of bottom-up tags'!$B$77:$B$118,0),MATCH(Dashboard!E$21,'Analysis of bottom-up tags'!$N$6:$W$6,0))*E$24</f>
        <v>0</v>
      </c>
      <c r="F553" s="151">
        <f>INDEX('Analysis of bottom-up tags'!$N$77:$W$118,MATCH(Dashboard!$B553,'Analysis of bottom-up tags'!$B$77:$B$118,0),MATCH(Dashboard!F$21,'Analysis of bottom-up tags'!$N$6:$W$6,0))*F$24</f>
        <v>0</v>
      </c>
      <c r="G553" s="151">
        <f>INDEX('Analysis of bottom-up tags'!$N$77:$W$118,MATCH(Dashboard!$B553,'Analysis of bottom-up tags'!$B$77:$B$118,0),MATCH(Dashboard!G$21,'Analysis of bottom-up tags'!$N$6:$W$6,0))*G$24</f>
        <v>0</v>
      </c>
      <c r="H553" s="151">
        <f>INDEX('Analysis of bottom-up tags'!$N$77:$W$118,MATCH(Dashboard!$B553,'Analysis of bottom-up tags'!$B$77:$B$118,0),MATCH(Dashboard!H$21,'Analysis of bottom-up tags'!$N$6:$W$6,0))*H$24</f>
        <v>0</v>
      </c>
      <c r="I553" s="151">
        <f>INDEX('Analysis of bottom-up tags'!$N$77:$W$118,MATCH(Dashboard!$B553,'Analysis of bottom-up tags'!$B$77:$B$118,0),MATCH(Dashboard!I$21,'Analysis of bottom-up tags'!$N$6:$W$6,0))*I$24</f>
        <v>0</v>
      </c>
      <c r="J553" s="151">
        <f>INDEX('Analysis of bottom-up tags'!$N$77:$W$118,MATCH(Dashboard!$B553,'Analysis of bottom-up tags'!$B$77:$B$118,0),MATCH(Dashboard!J$21,'Analysis of bottom-up tags'!$N$6:$W$6,0))*J$24</f>
        <v>0</v>
      </c>
      <c r="K553" s="151">
        <f>INDEX('Analysis of bottom-up tags'!$N$77:$W$118,MATCH(Dashboard!$B553,'Analysis of bottom-up tags'!$B$77:$B$118,0),MATCH(Dashboard!K$21,'Analysis of bottom-up tags'!$N$6:$W$6,0))*K$24</f>
        <v>0</v>
      </c>
      <c r="L553" s="151">
        <f>INDEX('Analysis of bottom-up tags'!$N$77:$W$118,MATCH(Dashboard!$B553,'Analysis of bottom-up tags'!$B$77:$B$118,0),MATCH(Dashboard!L$21,'Analysis of bottom-up tags'!$N$6:$W$6,0))*L$24</f>
        <v>0</v>
      </c>
      <c r="M553" s="151">
        <f t="shared" si="307"/>
        <v>0</v>
      </c>
      <c r="N553" s="151" t="str" cm="1">
        <f t="array" ref="N553">INDEX(Framework!$C$3:$C$119,MATCH(Dashboard!$B553,Framework!$D$3:$D$119,),)</f>
        <v>Inputs</v>
      </c>
    </row>
    <row r="554" spans="2:14">
      <c r="B554" s="151" t="s">
        <v>10763</v>
      </c>
      <c r="C554" s="151">
        <f>INDEX('Analysis of bottom-up tags'!$N$77:$W$118,MATCH(Dashboard!$B554,'Analysis of bottom-up tags'!$B$77:$B$118,0),MATCH(Dashboard!C$21,'Analysis of bottom-up tags'!$N$6:$W$6,0))*C$24</f>
        <v>0</v>
      </c>
      <c r="D554" s="151">
        <f>INDEX('Analysis of bottom-up tags'!$N$77:$W$118,MATCH(Dashboard!$B554,'Analysis of bottom-up tags'!$B$77:$B$118,0),MATCH(Dashboard!D$21,'Analysis of bottom-up tags'!$N$6:$W$6,0))*D$24</f>
        <v>0</v>
      </c>
      <c r="E554" s="151">
        <f>INDEX('Analysis of bottom-up tags'!$N$77:$W$118,MATCH(Dashboard!$B554,'Analysis of bottom-up tags'!$B$77:$B$118,0),MATCH(Dashboard!E$21,'Analysis of bottom-up tags'!$N$6:$W$6,0))*E$24</f>
        <v>0</v>
      </c>
      <c r="F554" s="151">
        <f>INDEX('Analysis of bottom-up tags'!$N$77:$W$118,MATCH(Dashboard!$B554,'Analysis of bottom-up tags'!$B$77:$B$118,0),MATCH(Dashboard!F$21,'Analysis of bottom-up tags'!$N$6:$W$6,0))*F$24</f>
        <v>0</v>
      </c>
      <c r="G554" s="151">
        <f>INDEX('Analysis of bottom-up tags'!$N$77:$W$118,MATCH(Dashboard!$B554,'Analysis of bottom-up tags'!$B$77:$B$118,0),MATCH(Dashboard!G$21,'Analysis of bottom-up tags'!$N$6:$W$6,0))*G$24</f>
        <v>0</v>
      </c>
      <c r="H554" s="151">
        <f>INDEX('Analysis of bottom-up tags'!$N$77:$W$118,MATCH(Dashboard!$B554,'Analysis of bottom-up tags'!$B$77:$B$118,0),MATCH(Dashboard!H$21,'Analysis of bottom-up tags'!$N$6:$W$6,0))*H$24</f>
        <v>0</v>
      </c>
      <c r="I554" s="151">
        <f>INDEX('Analysis of bottom-up tags'!$N$77:$W$118,MATCH(Dashboard!$B554,'Analysis of bottom-up tags'!$B$77:$B$118,0),MATCH(Dashboard!I$21,'Analysis of bottom-up tags'!$N$6:$W$6,0))*I$24</f>
        <v>0</v>
      </c>
      <c r="J554" s="151">
        <f>INDEX('Analysis of bottom-up tags'!$N$77:$W$118,MATCH(Dashboard!$B554,'Analysis of bottom-up tags'!$B$77:$B$118,0),MATCH(Dashboard!J$21,'Analysis of bottom-up tags'!$N$6:$W$6,0))*J$24</f>
        <v>0</v>
      </c>
      <c r="K554" s="151">
        <f>INDEX('Analysis of bottom-up tags'!$N$77:$W$118,MATCH(Dashboard!$B554,'Analysis of bottom-up tags'!$B$77:$B$118,0),MATCH(Dashboard!K$21,'Analysis of bottom-up tags'!$N$6:$W$6,0))*K$24</f>
        <v>0</v>
      </c>
      <c r="L554" s="151">
        <f>INDEX('Analysis of bottom-up tags'!$N$77:$W$118,MATCH(Dashboard!$B554,'Analysis of bottom-up tags'!$B$77:$B$118,0),MATCH(Dashboard!L$21,'Analysis of bottom-up tags'!$N$6:$W$6,0))*L$24</f>
        <v>0</v>
      </c>
      <c r="M554" s="151">
        <f t="shared" si="307"/>
        <v>0</v>
      </c>
      <c r="N554" s="151" t="str" cm="1">
        <f t="array" ref="N554">INDEX(Framework!$C$3:$C$119,MATCH(Dashboard!$B554,Framework!$D$3:$D$119,),)</f>
        <v>Production</v>
      </c>
    </row>
    <row r="555" spans="2:14">
      <c r="B555" s="151" t="s">
        <v>10722</v>
      </c>
      <c r="C555" s="151">
        <f>INDEX('Analysis of bottom-up tags'!$N$77:$W$118,MATCH(Dashboard!$B555,'Analysis of bottom-up tags'!$B$77:$B$118,0),MATCH(Dashboard!C$21,'Analysis of bottom-up tags'!$N$6:$W$6,0))*C$24</f>
        <v>0</v>
      </c>
      <c r="D555" s="151">
        <f>INDEX('Analysis of bottom-up tags'!$N$77:$W$118,MATCH(Dashboard!$B555,'Analysis of bottom-up tags'!$B$77:$B$118,0),MATCH(Dashboard!D$21,'Analysis of bottom-up tags'!$N$6:$W$6,0))*D$24</f>
        <v>0</v>
      </c>
      <c r="E555" s="151">
        <f>INDEX('Analysis of bottom-up tags'!$N$77:$W$118,MATCH(Dashboard!$B555,'Analysis of bottom-up tags'!$B$77:$B$118,0),MATCH(Dashboard!E$21,'Analysis of bottom-up tags'!$N$6:$W$6,0))*E$24</f>
        <v>0</v>
      </c>
      <c r="F555" s="151">
        <f>INDEX('Analysis of bottom-up tags'!$N$77:$W$118,MATCH(Dashboard!$B555,'Analysis of bottom-up tags'!$B$77:$B$118,0),MATCH(Dashboard!F$21,'Analysis of bottom-up tags'!$N$6:$W$6,0))*F$24</f>
        <v>0</v>
      </c>
      <c r="G555" s="151">
        <f>INDEX('Analysis of bottom-up tags'!$N$77:$W$118,MATCH(Dashboard!$B555,'Analysis of bottom-up tags'!$B$77:$B$118,0),MATCH(Dashboard!G$21,'Analysis of bottom-up tags'!$N$6:$W$6,0))*G$24</f>
        <v>0</v>
      </c>
      <c r="H555" s="151">
        <f>INDEX('Analysis of bottom-up tags'!$N$77:$W$118,MATCH(Dashboard!$B555,'Analysis of bottom-up tags'!$B$77:$B$118,0),MATCH(Dashboard!H$21,'Analysis of bottom-up tags'!$N$6:$W$6,0))*H$24</f>
        <v>0</v>
      </c>
      <c r="I555" s="151">
        <f>INDEX('Analysis of bottom-up tags'!$N$77:$W$118,MATCH(Dashboard!$B555,'Analysis of bottom-up tags'!$B$77:$B$118,0),MATCH(Dashboard!I$21,'Analysis of bottom-up tags'!$N$6:$W$6,0))*I$24</f>
        <v>0</v>
      </c>
      <c r="J555" s="151">
        <f>INDEX('Analysis of bottom-up tags'!$N$77:$W$118,MATCH(Dashboard!$B555,'Analysis of bottom-up tags'!$B$77:$B$118,0),MATCH(Dashboard!J$21,'Analysis of bottom-up tags'!$N$6:$W$6,0))*J$24</f>
        <v>0</v>
      </c>
      <c r="K555" s="151">
        <f>INDEX('Analysis of bottom-up tags'!$N$77:$W$118,MATCH(Dashboard!$B555,'Analysis of bottom-up tags'!$B$77:$B$118,0),MATCH(Dashboard!K$21,'Analysis of bottom-up tags'!$N$6:$W$6,0))*K$24</f>
        <v>0</v>
      </c>
      <c r="L555" s="151">
        <f>INDEX('Analysis of bottom-up tags'!$N$77:$W$118,MATCH(Dashboard!$B555,'Analysis of bottom-up tags'!$B$77:$B$118,0),MATCH(Dashboard!L$21,'Analysis of bottom-up tags'!$N$6:$W$6,0))*L$24</f>
        <v>0</v>
      </c>
      <c r="M555" s="151">
        <f t="shared" si="307"/>
        <v>0</v>
      </c>
      <c r="N555" s="151" t="str" cm="1">
        <f t="array" ref="N555">INDEX(Framework!$C$3:$C$119,MATCH(Dashboard!$B555,Framework!$D$3:$D$119,),)</f>
        <v>Inputs</v>
      </c>
    </row>
    <row r="556" spans="2:14">
      <c r="B556" s="151" t="s">
        <v>10731</v>
      </c>
      <c r="C556" s="151">
        <f>INDEX('Analysis of bottom-up tags'!$N$77:$W$118,MATCH(Dashboard!$B556,'Analysis of bottom-up tags'!$B$77:$B$118,0),MATCH(Dashboard!C$21,'Analysis of bottom-up tags'!$N$6:$W$6,0))*C$24</f>
        <v>0</v>
      </c>
      <c r="D556" s="151">
        <f>INDEX('Analysis of bottom-up tags'!$N$77:$W$118,MATCH(Dashboard!$B556,'Analysis of bottom-up tags'!$B$77:$B$118,0),MATCH(Dashboard!D$21,'Analysis of bottom-up tags'!$N$6:$W$6,0))*D$24</f>
        <v>0</v>
      </c>
      <c r="E556" s="151">
        <f>INDEX('Analysis of bottom-up tags'!$N$77:$W$118,MATCH(Dashboard!$B556,'Analysis of bottom-up tags'!$B$77:$B$118,0),MATCH(Dashboard!E$21,'Analysis of bottom-up tags'!$N$6:$W$6,0))*E$24</f>
        <v>0</v>
      </c>
      <c r="F556" s="151">
        <f>INDEX('Analysis of bottom-up tags'!$N$77:$W$118,MATCH(Dashboard!$B556,'Analysis of bottom-up tags'!$B$77:$B$118,0),MATCH(Dashboard!F$21,'Analysis of bottom-up tags'!$N$6:$W$6,0))*F$24</f>
        <v>0</v>
      </c>
      <c r="G556" s="151">
        <f>INDEX('Analysis of bottom-up tags'!$N$77:$W$118,MATCH(Dashboard!$B556,'Analysis of bottom-up tags'!$B$77:$B$118,0),MATCH(Dashboard!G$21,'Analysis of bottom-up tags'!$N$6:$W$6,0))*G$24</f>
        <v>0</v>
      </c>
      <c r="H556" s="151">
        <f>INDEX('Analysis of bottom-up tags'!$N$77:$W$118,MATCH(Dashboard!$B556,'Analysis of bottom-up tags'!$B$77:$B$118,0),MATCH(Dashboard!H$21,'Analysis of bottom-up tags'!$N$6:$W$6,0))*H$24</f>
        <v>0</v>
      </c>
      <c r="I556" s="151">
        <f>INDEX('Analysis of bottom-up tags'!$N$77:$W$118,MATCH(Dashboard!$B556,'Analysis of bottom-up tags'!$B$77:$B$118,0),MATCH(Dashboard!I$21,'Analysis of bottom-up tags'!$N$6:$W$6,0))*I$24</f>
        <v>0</v>
      </c>
      <c r="J556" s="151">
        <f>INDEX('Analysis of bottom-up tags'!$N$77:$W$118,MATCH(Dashboard!$B556,'Analysis of bottom-up tags'!$B$77:$B$118,0),MATCH(Dashboard!J$21,'Analysis of bottom-up tags'!$N$6:$W$6,0))*J$24</f>
        <v>0</v>
      </c>
      <c r="K556" s="151">
        <f>INDEX('Analysis of bottom-up tags'!$N$77:$W$118,MATCH(Dashboard!$B556,'Analysis of bottom-up tags'!$B$77:$B$118,0),MATCH(Dashboard!K$21,'Analysis of bottom-up tags'!$N$6:$W$6,0))*K$24</f>
        <v>0</v>
      </c>
      <c r="L556" s="151">
        <f>INDEX('Analysis of bottom-up tags'!$N$77:$W$118,MATCH(Dashboard!$B556,'Analysis of bottom-up tags'!$B$77:$B$118,0),MATCH(Dashboard!L$21,'Analysis of bottom-up tags'!$N$6:$W$6,0))*L$24</f>
        <v>0</v>
      </c>
      <c r="M556" s="151">
        <f t="shared" si="307"/>
        <v>0</v>
      </c>
      <c r="N556" s="151" t="str" cm="1">
        <f t="array" ref="N556">INDEX(Framework!$C$3:$C$119,MATCH(Dashboard!$B556,Framework!$D$3:$D$119,),)</f>
        <v>Inputs</v>
      </c>
    </row>
    <row r="557" spans="2:14">
      <c r="B557" s="151" t="s">
        <v>10645</v>
      </c>
      <c r="C557" s="151">
        <f>INDEX('Analysis of bottom-up tags'!$N$77:$W$118,MATCH(Dashboard!$B557,'Analysis of bottom-up tags'!$B$77:$B$118,0),MATCH(Dashboard!C$21,'Analysis of bottom-up tags'!$N$6:$W$6,0))*C$24</f>
        <v>0</v>
      </c>
      <c r="D557" s="151">
        <f>INDEX('Analysis of bottom-up tags'!$N$77:$W$118,MATCH(Dashboard!$B557,'Analysis of bottom-up tags'!$B$77:$B$118,0),MATCH(Dashboard!D$21,'Analysis of bottom-up tags'!$N$6:$W$6,0))*D$24</f>
        <v>0</v>
      </c>
      <c r="E557" s="151">
        <f>INDEX('Analysis of bottom-up tags'!$N$77:$W$118,MATCH(Dashboard!$B557,'Analysis of bottom-up tags'!$B$77:$B$118,0),MATCH(Dashboard!E$21,'Analysis of bottom-up tags'!$N$6:$W$6,0))*E$24</f>
        <v>0</v>
      </c>
      <c r="F557" s="151">
        <f>INDEX('Analysis of bottom-up tags'!$N$77:$W$118,MATCH(Dashboard!$B557,'Analysis of bottom-up tags'!$B$77:$B$118,0),MATCH(Dashboard!F$21,'Analysis of bottom-up tags'!$N$6:$W$6,0))*F$24</f>
        <v>0</v>
      </c>
      <c r="G557" s="151">
        <f>INDEX('Analysis of bottom-up tags'!$N$77:$W$118,MATCH(Dashboard!$B557,'Analysis of bottom-up tags'!$B$77:$B$118,0),MATCH(Dashboard!G$21,'Analysis of bottom-up tags'!$N$6:$W$6,0))*G$24</f>
        <v>0</v>
      </c>
      <c r="H557" s="151">
        <f>INDEX('Analysis of bottom-up tags'!$N$77:$W$118,MATCH(Dashboard!$B557,'Analysis of bottom-up tags'!$B$77:$B$118,0),MATCH(Dashboard!H$21,'Analysis of bottom-up tags'!$N$6:$W$6,0))*H$24</f>
        <v>0</v>
      </c>
      <c r="I557" s="151">
        <f>INDEX('Analysis of bottom-up tags'!$N$77:$W$118,MATCH(Dashboard!$B557,'Analysis of bottom-up tags'!$B$77:$B$118,0),MATCH(Dashboard!I$21,'Analysis of bottom-up tags'!$N$6:$W$6,0))*I$24</f>
        <v>0</v>
      </c>
      <c r="J557" s="151">
        <f>INDEX('Analysis of bottom-up tags'!$N$77:$W$118,MATCH(Dashboard!$B557,'Analysis of bottom-up tags'!$B$77:$B$118,0),MATCH(Dashboard!J$21,'Analysis of bottom-up tags'!$N$6:$W$6,0))*J$24</f>
        <v>0</v>
      </c>
      <c r="K557" s="151">
        <f>INDEX('Analysis of bottom-up tags'!$N$77:$W$118,MATCH(Dashboard!$B557,'Analysis of bottom-up tags'!$B$77:$B$118,0),MATCH(Dashboard!K$21,'Analysis of bottom-up tags'!$N$6:$W$6,0))*K$24</f>
        <v>0</v>
      </c>
      <c r="L557" s="151">
        <f>INDEX('Analysis of bottom-up tags'!$N$77:$W$118,MATCH(Dashboard!$B557,'Analysis of bottom-up tags'!$B$77:$B$118,0),MATCH(Dashboard!L$21,'Analysis of bottom-up tags'!$N$6:$W$6,0))*L$24</f>
        <v>0</v>
      </c>
      <c r="M557" s="151">
        <f t="shared" si="307"/>
        <v>0</v>
      </c>
      <c r="N557" s="151" t="str" cm="1">
        <f t="array" ref="N557">INDEX(Framework!$C$3:$C$119,MATCH(Dashboard!$B557,Framework!$D$3:$D$119,),)</f>
        <v xml:space="preserve">Agriculture financing systems </v>
      </c>
    </row>
    <row r="558" spans="2:14">
      <c r="B558" s="166" t="s">
        <v>11042</v>
      </c>
      <c r="C558" s="166">
        <f>SUM(C516:C557)</f>
        <v>1513.873456777161</v>
      </c>
      <c r="D558" s="166">
        <f t="shared" ref="D558" si="308">SUM(D516:D557)</f>
        <v>1648.1513531328574</v>
      </c>
      <c r="E558" s="166">
        <f t="shared" ref="E558" si="309">SUM(E516:E557)</f>
        <v>1538.9507263357614</v>
      </c>
      <c r="F558" s="166">
        <f t="shared" ref="F558" si="310">SUM(F516:F557)</f>
        <v>1497.2531441495746</v>
      </c>
      <c r="G558" s="166">
        <f t="shared" ref="G558" si="311">SUM(G516:G557)</f>
        <v>2004.8228062945334</v>
      </c>
      <c r="H558" s="166">
        <f t="shared" ref="H558" si="312">SUM(H516:H557)</f>
        <v>2147.1032281462867</v>
      </c>
      <c r="I558" s="166">
        <f t="shared" ref="I558" si="313">SUM(I516:I557)</f>
        <v>1928.6291165943485</v>
      </c>
      <c r="J558" s="166">
        <f t="shared" ref="J558" si="314">SUM(J516:J557)</f>
        <v>2140.5686863650244</v>
      </c>
      <c r="K558" s="166">
        <f t="shared" ref="K558" si="315">SUM(K516:K557)</f>
        <v>2360.651065819638</v>
      </c>
      <c r="L558" s="166">
        <f t="shared" ref="L558" si="316">SUM(L516:L557)</f>
        <v>2233.8172394531543</v>
      </c>
      <c r="M558" s="166">
        <f t="shared" si="307"/>
        <v>19013.820823068338</v>
      </c>
    </row>
    <row r="561" spans="2:13">
      <c r="B561" s="163" t="s">
        <v>2</v>
      </c>
      <c r="C561" s="163"/>
      <c r="D561" s="163"/>
      <c r="E561" s="163"/>
      <c r="F561" s="163"/>
      <c r="G561" s="163"/>
      <c r="H561" s="163"/>
      <c r="I561" s="163"/>
      <c r="J561" s="163"/>
      <c r="K561" s="163"/>
      <c r="L561" s="163"/>
      <c r="M561" s="163"/>
    </row>
    <row r="562" spans="2:13">
      <c r="B562" s="22" t="s">
        <v>2057</v>
      </c>
      <c r="C562" s="151">
        <f>INDEX('Analysis of bottom-up tags'!$N$122:$W$153,MATCH(Dashboard!$B562,'Analysis of bottom-up tags'!$B$122:$B$153,0),MATCH(Dashboard!C$21,'Analysis of bottom-up tags'!$N$6:$W$6,0))*C$24</f>
        <v>24.484482392330285</v>
      </c>
      <c r="D562" s="151">
        <f>INDEX('Analysis of bottom-up tags'!$N$122:$W$153,MATCH(Dashboard!$B562,'Analysis of bottom-up tags'!$B$122:$B$153,0),MATCH(Dashboard!D$21,'Analysis of bottom-up tags'!$N$6:$W$6,0))*D$24</f>
        <v>538.73592988439361</v>
      </c>
      <c r="E562" s="151">
        <f>INDEX('Analysis of bottom-up tags'!$N$122:$W$153,MATCH(Dashboard!$B562,'Analysis of bottom-up tags'!$B$122:$B$153,0),MATCH(Dashboard!E$21,'Analysis of bottom-up tags'!$N$6:$W$6,0))*E$24</f>
        <v>355.58908349861878</v>
      </c>
      <c r="F562" s="151">
        <f>INDEX('Analysis of bottom-up tags'!$N$122:$W$153,MATCH(Dashboard!$B562,'Analysis of bottom-up tags'!$B$122:$B$153,0),MATCH(Dashboard!F$21,'Analysis of bottom-up tags'!$N$6:$W$6,0))*F$24</f>
        <v>366.38713696108903</v>
      </c>
      <c r="G562" s="151">
        <f>INDEX('Analysis of bottom-up tags'!$N$122:$W$153,MATCH(Dashboard!$B562,'Analysis of bottom-up tags'!$B$122:$B$153,0),MATCH(Dashboard!G$21,'Analysis of bottom-up tags'!$N$6:$W$6,0))*G$24</f>
        <v>1407.6764295080909</v>
      </c>
      <c r="H562" s="151">
        <f>INDEX('Analysis of bottom-up tags'!$N$122:$W$153,MATCH(Dashboard!$B562,'Analysis of bottom-up tags'!$B$122:$B$153,0),MATCH(Dashboard!H$21,'Analysis of bottom-up tags'!$N$6:$W$6,0))*H$24</f>
        <v>1887.6362870568473</v>
      </c>
      <c r="I562" s="151">
        <f>INDEX('Analysis of bottom-up tags'!$N$122:$W$153,MATCH(Dashboard!$B562,'Analysis of bottom-up tags'!$B$122:$B$153,0),MATCH(Dashboard!I$21,'Analysis of bottom-up tags'!$N$6:$W$6,0))*I$24</f>
        <v>1758.538944828925</v>
      </c>
      <c r="J562" s="151">
        <f>INDEX('Analysis of bottom-up tags'!$N$122:$W$153,MATCH(Dashboard!$B562,'Analysis of bottom-up tags'!$B$122:$B$153,0),MATCH(Dashboard!J$21,'Analysis of bottom-up tags'!$N$6:$W$6,0))*J$24</f>
        <v>1024.7019766077685</v>
      </c>
      <c r="K562" s="151">
        <f>INDEX('Analysis of bottom-up tags'!$N$122:$W$153,MATCH(Dashboard!$B562,'Analysis of bottom-up tags'!$B$122:$B$153,0),MATCH(Dashboard!K$21,'Analysis of bottom-up tags'!$N$6:$W$6,0))*K$24</f>
        <v>2071.1637469008315</v>
      </c>
      <c r="L562" s="151">
        <f>INDEX('Analysis of bottom-up tags'!$N$122:$W$153,MATCH(Dashboard!$B562,'Analysis of bottom-up tags'!$B$122:$B$153,0),MATCH(Dashboard!L$21,'Analysis of bottom-up tags'!$N$6:$W$6,0))*L$24</f>
        <v>145.81078092091175</v>
      </c>
      <c r="M562" s="151">
        <f t="shared" ref="M562:M594" si="317">SUM(C562:L562)</f>
        <v>9580.7247985598078</v>
      </c>
    </row>
    <row r="563" spans="2:13">
      <c r="B563" s="22" t="s">
        <v>3994</v>
      </c>
      <c r="C563" s="151">
        <f>INDEX('Analysis of bottom-up tags'!$N$122:$W$153,MATCH(Dashboard!$B563,'Analysis of bottom-up tags'!$B$122:$B$153,0),MATCH(Dashboard!C$21,'Analysis of bottom-up tags'!$N$6:$W$6,0))*C$24</f>
        <v>1453.0168066870533</v>
      </c>
      <c r="D563" s="151">
        <f>INDEX('Analysis of bottom-up tags'!$N$122:$W$153,MATCH(Dashboard!$B563,'Analysis of bottom-up tags'!$B$122:$B$153,0),MATCH(Dashboard!D$21,'Analysis of bottom-up tags'!$N$6:$W$6,0))*D$24</f>
        <v>1108.6241916503041</v>
      </c>
      <c r="E563" s="151">
        <f>INDEX('Analysis of bottom-up tags'!$N$122:$W$153,MATCH(Dashboard!$B563,'Analysis of bottom-up tags'!$B$122:$B$153,0),MATCH(Dashboard!E$21,'Analysis of bottom-up tags'!$N$6:$W$6,0))*E$24</f>
        <v>928.60386084843037</v>
      </c>
      <c r="F563" s="151">
        <f>INDEX('Analysis of bottom-up tags'!$N$122:$W$153,MATCH(Dashboard!$B563,'Analysis of bottom-up tags'!$B$122:$B$153,0),MATCH(Dashboard!F$21,'Analysis of bottom-up tags'!$N$6:$W$6,0))*F$24</f>
        <v>1117.9270878871414</v>
      </c>
      <c r="G563" s="151">
        <f>INDEX('Analysis of bottom-up tags'!$N$122:$W$153,MATCH(Dashboard!$B563,'Analysis of bottom-up tags'!$B$122:$B$153,0),MATCH(Dashboard!G$21,'Analysis of bottom-up tags'!$N$6:$W$6,0))*G$24</f>
        <v>472.91133222899634</v>
      </c>
      <c r="H563" s="151">
        <f>INDEX('Analysis of bottom-up tags'!$N$122:$W$153,MATCH(Dashboard!$B563,'Analysis of bottom-up tags'!$B$122:$B$153,0),MATCH(Dashboard!H$21,'Analysis of bottom-up tags'!$N$6:$W$6,0))*H$24</f>
        <v>245.78200917944162</v>
      </c>
      <c r="I563" s="151">
        <f>INDEX('Analysis of bottom-up tags'!$N$122:$W$153,MATCH(Dashboard!$B563,'Analysis of bottom-up tags'!$B$122:$B$153,0),MATCH(Dashboard!I$21,'Analysis of bottom-up tags'!$N$6:$W$6,0))*I$24</f>
        <v>105.82859803778274</v>
      </c>
      <c r="J563" s="151">
        <f>INDEX('Analysis of bottom-up tags'!$N$122:$W$153,MATCH(Dashboard!$B563,'Analysis of bottom-up tags'!$B$122:$B$153,0),MATCH(Dashboard!J$21,'Analysis of bottom-up tags'!$N$6:$W$6,0))*J$24</f>
        <v>646.45246088337581</v>
      </c>
      <c r="K563" s="151">
        <f>INDEX('Analysis of bottom-up tags'!$N$122:$W$153,MATCH(Dashboard!$B563,'Analysis of bottom-up tags'!$B$122:$B$153,0),MATCH(Dashboard!K$21,'Analysis of bottom-up tags'!$N$6:$W$6,0))*K$24</f>
        <v>215.55274808187372</v>
      </c>
      <c r="L563" s="151">
        <f>INDEX('Analysis of bottom-up tags'!$N$122:$W$153,MATCH(Dashboard!$B563,'Analysis of bottom-up tags'!$B$122:$B$153,0),MATCH(Dashboard!L$21,'Analysis of bottom-up tags'!$N$6:$W$6,0))*L$24</f>
        <v>1702.7524129639523</v>
      </c>
      <c r="M563" s="151">
        <f t="shared" si="317"/>
        <v>7997.4515084483519</v>
      </c>
    </row>
    <row r="564" spans="2:13">
      <c r="B564" s="22" t="s">
        <v>5333</v>
      </c>
      <c r="C564" s="151">
        <f>INDEX('Analysis of bottom-up tags'!$N$122:$W$153,MATCH(Dashboard!$B564,'Analysis of bottom-up tags'!$B$122:$B$153,0),MATCH(Dashboard!C$21,'Analysis of bottom-up tags'!$N$6:$W$6,0))*C$24</f>
        <v>0</v>
      </c>
      <c r="D564" s="151">
        <f>INDEX('Analysis of bottom-up tags'!$N$122:$W$153,MATCH(Dashboard!$B564,'Analysis of bottom-up tags'!$B$122:$B$153,0),MATCH(Dashboard!D$21,'Analysis of bottom-up tags'!$N$6:$W$6,0))*D$24</f>
        <v>0</v>
      </c>
      <c r="E564" s="151">
        <f>INDEX('Analysis of bottom-up tags'!$N$122:$W$153,MATCH(Dashboard!$B564,'Analysis of bottom-up tags'!$B$122:$B$153,0),MATCH(Dashboard!E$21,'Analysis of bottom-up tags'!$N$6:$W$6,0))*E$24</f>
        <v>0</v>
      </c>
      <c r="F564" s="151">
        <f>INDEX('Analysis of bottom-up tags'!$N$122:$W$153,MATCH(Dashboard!$B564,'Analysis of bottom-up tags'!$B$122:$B$153,0),MATCH(Dashboard!F$21,'Analysis of bottom-up tags'!$N$6:$W$6,0))*F$24</f>
        <v>0</v>
      </c>
      <c r="G564" s="151">
        <f>INDEX('Analysis of bottom-up tags'!$N$122:$W$153,MATCH(Dashboard!$B564,'Analysis of bottom-up tags'!$B$122:$B$153,0),MATCH(Dashboard!G$21,'Analysis of bottom-up tags'!$N$6:$W$6,0))*G$24</f>
        <v>0</v>
      </c>
      <c r="H564" s="151">
        <f>INDEX('Analysis of bottom-up tags'!$N$122:$W$153,MATCH(Dashboard!$B564,'Analysis of bottom-up tags'!$B$122:$B$153,0),MATCH(Dashboard!H$21,'Analysis of bottom-up tags'!$N$6:$W$6,0))*H$24</f>
        <v>4.5168031754334441</v>
      </c>
      <c r="I564" s="151">
        <f>INDEX('Analysis of bottom-up tags'!$N$122:$W$153,MATCH(Dashboard!$B564,'Analysis of bottom-up tags'!$B$122:$B$153,0),MATCH(Dashboard!I$21,'Analysis of bottom-up tags'!$N$6:$W$6,0))*I$24</f>
        <v>1.4012146832989201</v>
      </c>
      <c r="J564" s="151">
        <f>INDEX('Analysis of bottom-up tags'!$N$122:$W$153,MATCH(Dashboard!$B564,'Analysis of bottom-up tags'!$B$122:$B$153,0),MATCH(Dashboard!J$21,'Analysis of bottom-up tags'!$N$6:$W$6,0))*J$24</f>
        <v>78.130887703162543</v>
      </c>
      <c r="K564" s="151">
        <f>INDEX('Analysis of bottom-up tags'!$N$122:$W$153,MATCH(Dashboard!$B564,'Analysis of bottom-up tags'!$B$122:$B$153,0),MATCH(Dashboard!K$21,'Analysis of bottom-up tags'!$N$6:$W$6,0))*K$24</f>
        <v>2.01841005576141</v>
      </c>
      <c r="L564" s="151">
        <f>INDEX('Analysis of bottom-up tags'!$N$122:$W$153,MATCH(Dashboard!$B564,'Analysis of bottom-up tags'!$B$122:$B$153,0),MATCH(Dashboard!L$21,'Analysis of bottom-up tags'!$N$6:$W$6,0))*L$24</f>
        <v>10.464139086176587</v>
      </c>
      <c r="M564" s="151">
        <f t="shared" si="317"/>
        <v>96.531454703832907</v>
      </c>
    </row>
    <row r="565" spans="2:13">
      <c r="B565" s="22" t="s">
        <v>5208</v>
      </c>
      <c r="C565" s="151">
        <f>INDEX('Analysis of bottom-up tags'!$N$122:$W$153,MATCH(Dashboard!$B565,'Analysis of bottom-up tags'!$B$122:$B$153,0),MATCH(Dashboard!C$21,'Analysis of bottom-up tags'!$N$6:$W$6,0))*C$24</f>
        <v>0</v>
      </c>
      <c r="D565" s="151">
        <f>INDEX('Analysis of bottom-up tags'!$N$122:$W$153,MATCH(Dashboard!$B565,'Analysis of bottom-up tags'!$B$122:$B$153,0),MATCH(Dashboard!D$21,'Analysis of bottom-up tags'!$N$6:$W$6,0))*D$24</f>
        <v>0</v>
      </c>
      <c r="E565" s="151">
        <f>INDEX('Analysis of bottom-up tags'!$N$122:$W$153,MATCH(Dashboard!$B565,'Analysis of bottom-up tags'!$B$122:$B$153,0),MATCH(Dashboard!E$21,'Analysis of bottom-up tags'!$N$6:$W$6,0))*E$24</f>
        <v>0</v>
      </c>
      <c r="F565" s="151">
        <f>INDEX('Analysis of bottom-up tags'!$N$122:$W$153,MATCH(Dashboard!$B565,'Analysis of bottom-up tags'!$B$122:$B$153,0),MATCH(Dashboard!F$21,'Analysis of bottom-up tags'!$N$6:$W$6,0))*F$24</f>
        <v>0</v>
      </c>
      <c r="G565" s="151">
        <f>INDEX('Analysis of bottom-up tags'!$N$122:$W$153,MATCH(Dashboard!$B565,'Analysis of bottom-up tags'!$B$122:$B$153,0),MATCH(Dashboard!G$21,'Analysis of bottom-up tags'!$N$6:$W$6,0))*G$24</f>
        <v>66.546848185804592</v>
      </c>
      <c r="H565" s="151">
        <f>INDEX('Analysis of bottom-up tags'!$N$122:$W$153,MATCH(Dashboard!$B565,'Analysis of bottom-up tags'!$B$122:$B$153,0),MATCH(Dashboard!H$21,'Analysis of bottom-up tags'!$N$6:$W$6,0))*H$24</f>
        <v>0.3684165484467008</v>
      </c>
      <c r="I565" s="151">
        <f>INDEX('Analysis of bottom-up tags'!$N$122:$W$153,MATCH(Dashboard!$B565,'Analysis of bottom-up tags'!$B$122:$B$153,0),MATCH(Dashboard!I$21,'Analysis of bottom-up tags'!$N$6:$W$6,0))*I$24</f>
        <v>8.087108310798989</v>
      </c>
      <c r="J565" s="151">
        <f>INDEX('Analysis of bottom-up tags'!$N$122:$W$153,MATCH(Dashboard!$B565,'Analysis of bottom-up tags'!$B$122:$B$153,0),MATCH(Dashboard!J$21,'Analysis of bottom-up tags'!$N$6:$W$6,0))*J$24</f>
        <v>8.2404733317992029</v>
      </c>
      <c r="K565" s="151">
        <f>INDEX('Analysis of bottom-up tags'!$N$122:$W$153,MATCH(Dashboard!$B565,'Analysis of bottom-up tags'!$B$122:$B$153,0),MATCH(Dashboard!K$21,'Analysis of bottom-up tags'!$N$6:$W$6,0))*K$24</f>
        <v>10.765151149013064</v>
      </c>
      <c r="L565" s="151">
        <f>INDEX('Analysis of bottom-up tags'!$N$122:$W$153,MATCH(Dashboard!$B565,'Analysis of bottom-up tags'!$B$122:$B$153,0),MATCH(Dashboard!L$21,'Analysis of bottom-up tags'!$N$6:$W$6,0))*L$24</f>
        <v>32.016096557977662</v>
      </c>
      <c r="M565" s="151">
        <f t="shared" si="317"/>
        <v>126.02409408384023</v>
      </c>
    </row>
    <row r="566" spans="2:13">
      <c r="B566" s="22" t="s">
        <v>11148</v>
      </c>
      <c r="C566" s="151">
        <f>INDEX('Analysis of bottom-up tags'!$N$122:$W$153,MATCH(Dashboard!$B566,'Analysis of bottom-up tags'!$B$122:$B$153,0),MATCH(Dashboard!C$21,'Analysis of bottom-up tags'!$N$6:$W$6,0))*C$24</f>
        <v>0</v>
      </c>
      <c r="D566" s="151">
        <f>INDEX('Analysis of bottom-up tags'!$N$122:$W$153,MATCH(Dashboard!$B566,'Analysis of bottom-up tags'!$B$122:$B$153,0),MATCH(Dashboard!D$21,'Analysis of bottom-up tags'!$N$6:$W$6,0))*D$24</f>
        <v>0</v>
      </c>
      <c r="E566" s="151">
        <f>INDEX('Analysis of bottom-up tags'!$N$122:$W$153,MATCH(Dashboard!$B566,'Analysis of bottom-up tags'!$B$122:$B$153,0),MATCH(Dashboard!E$21,'Analysis of bottom-up tags'!$N$6:$W$6,0))*E$24</f>
        <v>0</v>
      </c>
      <c r="F566" s="151">
        <f>INDEX('Analysis of bottom-up tags'!$N$122:$W$153,MATCH(Dashboard!$B566,'Analysis of bottom-up tags'!$B$122:$B$153,0),MATCH(Dashboard!F$21,'Analysis of bottom-up tags'!$N$6:$W$6,0))*F$24</f>
        <v>0</v>
      </c>
      <c r="G566" s="151">
        <f>INDEX('Analysis of bottom-up tags'!$N$122:$W$153,MATCH(Dashboard!$B566,'Analysis of bottom-up tags'!$B$122:$B$153,0),MATCH(Dashboard!G$21,'Analysis of bottom-up tags'!$N$6:$W$6,0))*G$24</f>
        <v>0</v>
      </c>
      <c r="H566" s="151">
        <f>INDEX('Analysis of bottom-up tags'!$N$122:$W$153,MATCH(Dashboard!$B566,'Analysis of bottom-up tags'!$B$122:$B$153,0),MATCH(Dashboard!H$21,'Analysis of bottom-up tags'!$N$6:$W$6,0))*H$24</f>
        <v>0</v>
      </c>
      <c r="I566" s="151">
        <f>INDEX('Analysis of bottom-up tags'!$N$122:$W$153,MATCH(Dashboard!$B566,'Analysis of bottom-up tags'!$B$122:$B$153,0),MATCH(Dashboard!I$21,'Analysis of bottom-up tags'!$N$6:$W$6,0))*I$24</f>
        <v>6.6840107914698299</v>
      </c>
      <c r="J566" s="151">
        <f>INDEX('Analysis of bottom-up tags'!$N$122:$W$153,MATCH(Dashboard!$B566,'Analysis of bottom-up tags'!$B$122:$B$153,0),MATCH(Dashboard!J$21,'Analysis of bottom-up tags'!$N$6:$W$6,0))*J$24</f>
        <v>47.139527265365807</v>
      </c>
      <c r="K566" s="151">
        <f>INDEX('Analysis of bottom-up tags'!$N$122:$W$153,MATCH(Dashboard!$B566,'Analysis of bottom-up tags'!$B$122:$B$153,0),MATCH(Dashboard!K$21,'Analysis of bottom-up tags'!$N$6:$W$6,0))*K$24</f>
        <v>25.638640637670516</v>
      </c>
      <c r="L566" s="151">
        <f>INDEX('Analysis of bottom-up tags'!$N$122:$W$153,MATCH(Dashboard!$B566,'Analysis of bottom-up tags'!$B$122:$B$153,0),MATCH(Dashboard!L$21,'Analysis of bottom-up tags'!$N$6:$W$6,0))*L$24</f>
        <v>0</v>
      </c>
      <c r="M566" s="151">
        <f t="shared" si="317"/>
        <v>79.46217869450615</v>
      </c>
    </row>
    <row r="567" spans="2:13">
      <c r="B567" s="22" t="s">
        <v>5391</v>
      </c>
      <c r="C567" s="151">
        <f>INDEX('Analysis of bottom-up tags'!$N$122:$W$153,MATCH(Dashboard!$B567,'Analysis of bottom-up tags'!$B$122:$B$153,0),MATCH(Dashboard!C$21,'Analysis of bottom-up tags'!$N$6:$W$6,0))*C$24</f>
        <v>16.165407865678887</v>
      </c>
      <c r="D567" s="151">
        <f>INDEX('Analysis of bottom-up tags'!$N$122:$W$153,MATCH(Dashboard!$B567,'Analysis of bottom-up tags'!$B$122:$B$153,0),MATCH(Dashboard!D$21,'Analysis of bottom-up tags'!$N$6:$W$6,0))*D$24</f>
        <v>0</v>
      </c>
      <c r="E567" s="151">
        <f>INDEX('Analysis of bottom-up tags'!$N$122:$W$153,MATCH(Dashboard!$B567,'Analysis of bottom-up tags'!$B$122:$B$153,0),MATCH(Dashboard!E$21,'Analysis of bottom-up tags'!$N$6:$W$6,0))*E$24</f>
        <v>247.10003870799596</v>
      </c>
      <c r="F567" s="151">
        <f>INDEX('Analysis of bottom-up tags'!$N$122:$W$153,MATCH(Dashboard!$B567,'Analysis of bottom-up tags'!$B$122:$B$153,0),MATCH(Dashboard!F$21,'Analysis of bottom-up tags'!$N$6:$W$6,0))*F$24</f>
        <v>7.6331881759068434</v>
      </c>
      <c r="G567" s="151">
        <f>INDEX('Analysis of bottom-up tags'!$N$122:$W$153,MATCH(Dashboard!$B567,'Analysis of bottom-up tags'!$B$122:$B$153,0),MATCH(Dashboard!G$21,'Analysis of bottom-up tags'!$N$6:$W$6,0))*G$24</f>
        <v>3.2547666564372606</v>
      </c>
      <c r="H567" s="151">
        <f>INDEX('Analysis of bottom-up tags'!$N$122:$W$153,MATCH(Dashboard!$B567,'Analysis of bottom-up tags'!$B$122:$B$153,0),MATCH(Dashboard!H$21,'Analysis of bottom-up tags'!$N$6:$W$6,0))*H$24</f>
        <v>1.7725048211781647</v>
      </c>
      <c r="I567" s="151">
        <f>INDEX('Analysis of bottom-up tags'!$N$122:$W$153,MATCH(Dashboard!$B567,'Analysis of bottom-up tags'!$B$122:$B$153,0),MATCH(Dashboard!I$21,'Analysis of bottom-up tags'!$N$6:$W$6,0))*I$24</f>
        <v>1.8213312316444157</v>
      </c>
      <c r="J567" s="151">
        <f>INDEX('Analysis of bottom-up tags'!$N$122:$W$153,MATCH(Dashboard!$B567,'Analysis of bottom-up tags'!$B$122:$B$153,0),MATCH(Dashboard!J$21,'Analysis of bottom-up tags'!$N$6:$W$6,0))*J$24</f>
        <v>129.67703060290563</v>
      </c>
      <c r="K567" s="151">
        <f>INDEX('Analysis of bottom-up tags'!$N$122:$W$153,MATCH(Dashboard!$B567,'Analysis of bottom-up tags'!$B$122:$B$153,0),MATCH(Dashboard!K$21,'Analysis of bottom-up tags'!$N$6:$W$6,0))*K$24</f>
        <v>14.539544689004527</v>
      </c>
      <c r="L567" s="151">
        <f>INDEX('Analysis of bottom-up tags'!$N$122:$W$153,MATCH(Dashboard!$B567,'Analysis of bottom-up tags'!$B$122:$B$153,0),MATCH(Dashboard!L$21,'Analysis of bottom-up tags'!$N$6:$W$6,0))*L$24</f>
        <v>165.9761715202975</v>
      </c>
      <c r="M567" s="151">
        <f t="shared" si="317"/>
        <v>587.9399842710493</v>
      </c>
    </row>
    <row r="568" spans="2:13">
      <c r="B568" s="22" t="s">
        <v>7086</v>
      </c>
      <c r="C568" s="151">
        <f>INDEX('Analysis of bottom-up tags'!$N$122:$W$153,MATCH(Dashboard!$B568,'Analysis of bottom-up tags'!$B$122:$B$153,0),MATCH(Dashboard!C$21,'Analysis of bottom-up tags'!$N$6:$W$6,0))*C$24</f>
        <v>0</v>
      </c>
      <c r="D568" s="151">
        <f>INDEX('Analysis of bottom-up tags'!$N$122:$W$153,MATCH(Dashboard!$B568,'Analysis of bottom-up tags'!$B$122:$B$153,0),MATCH(Dashboard!D$21,'Analysis of bottom-up tags'!$N$6:$W$6,0))*D$24</f>
        <v>0</v>
      </c>
      <c r="E568" s="151">
        <f>INDEX('Analysis of bottom-up tags'!$N$122:$W$153,MATCH(Dashboard!$B568,'Analysis of bottom-up tags'!$B$122:$B$153,0),MATCH(Dashboard!E$21,'Analysis of bottom-up tags'!$N$6:$W$6,0))*E$24</f>
        <v>0</v>
      </c>
      <c r="F568" s="151">
        <f>INDEX('Analysis of bottom-up tags'!$N$122:$W$153,MATCH(Dashboard!$B568,'Analysis of bottom-up tags'!$B$122:$B$153,0),MATCH(Dashboard!F$21,'Analysis of bottom-up tags'!$N$6:$W$6,0))*F$24</f>
        <v>0</v>
      </c>
      <c r="G568" s="151">
        <f>INDEX('Analysis of bottom-up tags'!$N$122:$W$153,MATCH(Dashboard!$B568,'Analysis of bottom-up tags'!$B$122:$B$153,0),MATCH(Dashboard!G$21,'Analysis of bottom-up tags'!$N$6:$W$6,0))*G$24</f>
        <v>0</v>
      </c>
      <c r="H568" s="151">
        <f>INDEX('Analysis of bottom-up tags'!$N$122:$W$153,MATCH(Dashboard!$B568,'Analysis of bottom-up tags'!$B$122:$B$153,0),MATCH(Dashboard!H$21,'Analysis of bottom-up tags'!$N$6:$W$6,0))*H$24</f>
        <v>0</v>
      </c>
      <c r="I568" s="151">
        <f>INDEX('Analysis of bottom-up tags'!$N$122:$W$153,MATCH(Dashboard!$B568,'Analysis of bottom-up tags'!$B$122:$B$153,0),MATCH(Dashboard!I$21,'Analysis of bottom-up tags'!$N$6:$W$6,0))*I$24</f>
        <v>6.2360165138063213</v>
      </c>
      <c r="J568" s="151">
        <f>INDEX('Analysis of bottom-up tags'!$N$122:$W$153,MATCH(Dashboard!$B568,'Analysis of bottom-up tags'!$B$122:$B$153,0),MATCH(Dashboard!J$21,'Analysis of bottom-up tags'!$N$6:$W$6,0))*J$24</f>
        <v>47.133299285586219</v>
      </c>
      <c r="K568" s="151">
        <f>INDEX('Analysis of bottom-up tags'!$N$122:$W$153,MATCH(Dashboard!$B568,'Analysis of bottom-up tags'!$B$122:$B$153,0),MATCH(Dashboard!K$21,'Analysis of bottom-up tags'!$N$6:$W$6,0))*K$24</f>
        <v>0</v>
      </c>
      <c r="L568" s="151">
        <f>INDEX('Analysis of bottom-up tags'!$N$122:$W$153,MATCH(Dashboard!$B568,'Analysis of bottom-up tags'!$B$122:$B$153,0),MATCH(Dashboard!L$21,'Analysis of bottom-up tags'!$N$6:$W$6,0))*L$24</f>
        <v>13.884228181380859</v>
      </c>
      <c r="M568" s="151">
        <f t="shared" si="317"/>
        <v>67.253543980773401</v>
      </c>
    </row>
    <row r="569" spans="2:13">
      <c r="B569" s="22" t="s">
        <v>6213</v>
      </c>
      <c r="C569" s="151">
        <f>INDEX('Analysis of bottom-up tags'!$N$122:$W$153,MATCH(Dashboard!$B569,'Analysis of bottom-up tags'!$B$122:$B$153,0),MATCH(Dashboard!C$21,'Analysis of bottom-up tags'!$N$6:$W$6,0))*C$24</f>
        <v>0</v>
      </c>
      <c r="D569" s="151">
        <f>INDEX('Analysis of bottom-up tags'!$N$122:$W$153,MATCH(Dashboard!$B569,'Analysis of bottom-up tags'!$B$122:$B$153,0),MATCH(Dashboard!D$21,'Analysis of bottom-up tags'!$N$6:$W$6,0))*D$24</f>
        <v>0</v>
      </c>
      <c r="E569" s="151">
        <f>INDEX('Analysis of bottom-up tags'!$N$122:$W$153,MATCH(Dashboard!$B569,'Analysis of bottom-up tags'!$B$122:$B$153,0),MATCH(Dashboard!E$21,'Analysis of bottom-up tags'!$N$6:$W$6,0))*E$24</f>
        <v>0</v>
      </c>
      <c r="F569" s="151">
        <f>INDEX('Analysis of bottom-up tags'!$N$122:$W$153,MATCH(Dashboard!$B569,'Analysis of bottom-up tags'!$B$122:$B$153,0),MATCH(Dashboard!F$21,'Analysis of bottom-up tags'!$N$6:$W$6,0))*F$24</f>
        <v>0</v>
      </c>
      <c r="G569" s="151">
        <f>INDEX('Analysis of bottom-up tags'!$N$122:$W$153,MATCH(Dashboard!$B569,'Analysis of bottom-up tags'!$B$122:$B$153,0),MATCH(Dashboard!G$21,'Analysis of bottom-up tags'!$N$6:$W$6,0))*G$24</f>
        <v>2.9721333571238948</v>
      </c>
      <c r="H569" s="151">
        <f>INDEX('Analysis of bottom-up tags'!$N$122:$W$153,MATCH(Dashboard!$B569,'Analysis of bottom-up tags'!$B$122:$B$153,0),MATCH(Dashboard!H$21,'Analysis of bottom-up tags'!$N$6:$W$6,0))*H$24</f>
        <v>0</v>
      </c>
      <c r="I569" s="151">
        <f>INDEX('Analysis of bottom-up tags'!$N$122:$W$153,MATCH(Dashboard!$B569,'Analysis of bottom-up tags'!$B$122:$B$153,0),MATCH(Dashboard!I$21,'Analysis of bottom-up tags'!$N$6:$W$6,0))*I$24</f>
        <v>33.354820653183097</v>
      </c>
      <c r="J569" s="151">
        <f>INDEX('Analysis of bottom-up tags'!$N$122:$W$153,MATCH(Dashboard!$B569,'Analysis of bottom-up tags'!$B$122:$B$153,0),MATCH(Dashboard!J$21,'Analysis of bottom-up tags'!$N$6:$W$6,0))*J$24</f>
        <v>133.34098011010758</v>
      </c>
      <c r="K569" s="151">
        <f>INDEX('Analysis of bottom-up tags'!$N$122:$W$153,MATCH(Dashboard!$B569,'Analysis of bottom-up tags'!$B$122:$B$153,0),MATCH(Dashboard!K$21,'Analysis of bottom-up tags'!$N$6:$W$6,0))*K$24</f>
        <v>0.38413367104060703</v>
      </c>
      <c r="L569" s="151">
        <f>INDEX('Analysis of bottom-up tags'!$N$122:$W$153,MATCH(Dashboard!$B569,'Analysis of bottom-up tags'!$B$122:$B$153,0),MATCH(Dashboard!L$21,'Analysis of bottom-up tags'!$N$6:$W$6,0))*L$24</f>
        <v>6.8456656516622001</v>
      </c>
      <c r="M569" s="151">
        <f t="shared" si="317"/>
        <v>176.89773344311737</v>
      </c>
    </row>
    <row r="570" spans="2:13">
      <c r="B570" s="22" t="s">
        <v>5277</v>
      </c>
      <c r="C570" s="151">
        <f>INDEX('Analysis of bottom-up tags'!$N$122:$W$153,MATCH(Dashboard!$B570,'Analysis of bottom-up tags'!$B$122:$B$153,0),MATCH(Dashboard!C$21,'Analysis of bottom-up tags'!$N$6:$W$6,0))*C$24</f>
        <v>0</v>
      </c>
      <c r="D570" s="151">
        <f>INDEX('Analysis of bottom-up tags'!$N$122:$W$153,MATCH(Dashboard!$B570,'Analysis of bottom-up tags'!$B$122:$B$153,0),MATCH(Dashboard!D$21,'Analysis of bottom-up tags'!$N$6:$W$6,0))*D$24</f>
        <v>0</v>
      </c>
      <c r="E570" s="151">
        <f>INDEX('Analysis of bottom-up tags'!$N$122:$W$153,MATCH(Dashboard!$B570,'Analysis of bottom-up tags'!$B$122:$B$153,0),MATCH(Dashboard!E$21,'Analysis of bottom-up tags'!$N$6:$W$6,0))*E$24</f>
        <v>0</v>
      </c>
      <c r="F570" s="151">
        <f>INDEX('Analysis of bottom-up tags'!$N$122:$W$153,MATCH(Dashboard!$B570,'Analysis of bottom-up tags'!$B$122:$B$153,0),MATCH(Dashboard!F$21,'Analysis of bottom-up tags'!$N$6:$W$6,0))*F$24</f>
        <v>5.3057311254370028</v>
      </c>
      <c r="G570" s="151">
        <f>INDEX('Analysis of bottom-up tags'!$N$122:$W$153,MATCH(Dashboard!$B570,'Analysis of bottom-up tags'!$B$122:$B$153,0),MATCH(Dashboard!G$21,'Analysis of bottom-up tags'!$N$6:$W$6,0))*G$24</f>
        <v>0</v>
      </c>
      <c r="H570" s="151">
        <f>INDEX('Analysis of bottom-up tags'!$N$122:$W$153,MATCH(Dashboard!$B570,'Analysis of bottom-up tags'!$B$122:$B$153,0),MATCH(Dashboard!H$21,'Analysis of bottom-up tags'!$N$6:$W$6,0))*H$24</f>
        <v>4.1865237467374552</v>
      </c>
      <c r="I570" s="151">
        <f>INDEX('Analysis of bottom-up tags'!$N$122:$W$153,MATCH(Dashboard!$B570,'Analysis of bottom-up tags'!$B$122:$B$153,0),MATCH(Dashboard!I$21,'Analysis of bottom-up tags'!$N$6:$W$6,0))*I$24</f>
        <v>0.78150426668124584</v>
      </c>
      <c r="J570" s="151">
        <f>INDEX('Analysis of bottom-up tags'!$N$122:$W$153,MATCH(Dashboard!$B570,'Analysis of bottom-up tags'!$B$122:$B$153,0),MATCH(Dashboard!J$21,'Analysis of bottom-up tags'!$N$6:$W$6,0))*J$24</f>
        <v>0</v>
      </c>
      <c r="K570" s="151">
        <f>INDEX('Analysis of bottom-up tags'!$N$122:$W$153,MATCH(Dashboard!$B570,'Analysis of bottom-up tags'!$B$122:$B$153,0),MATCH(Dashboard!K$21,'Analysis of bottom-up tags'!$N$6:$W$6,0))*K$24</f>
        <v>6.0790590182194748</v>
      </c>
      <c r="L570" s="151">
        <f>INDEX('Analysis of bottom-up tags'!$N$122:$W$153,MATCH(Dashboard!$B570,'Analysis of bottom-up tags'!$B$122:$B$153,0),MATCH(Dashboard!L$21,'Analysis of bottom-up tags'!$N$6:$W$6,0))*L$24</f>
        <v>62.801064775644505</v>
      </c>
      <c r="M570" s="151">
        <f t="shared" si="317"/>
        <v>79.153882932719682</v>
      </c>
    </row>
    <row r="571" spans="2:13">
      <c r="B571" s="22" t="s">
        <v>7133</v>
      </c>
      <c r="C571" s="151">
        <f>INDEX('Analysis of bottom-up tags'!$N$122:$W$153,MATCH(Dashboard!$B571,'Analysis of bottom-up tags'!$B$122:$B$153,0),MATCH(Dashboard!C$21,'Analysis of bottom-up tags'!$N$6:$W$6,0))*C$24</f>
        <v>0</v>
      </c>
      <c r="D571" s="151">
        <f>INDEX('Analysis of bottom-up tags'!$N$122:$W$153,MATCH(Dashboard!$B571,'Analysis of bottom-up tags'!$B$122:$B$153,0),MATCH(Dashboard!D$21,'Analysis of bottom-up tags'!$N$6:$W$6,0))*D$24</f>
        <v>0</v>
      </c>
      <c r="E571" s="151">
        <f>INDEX('Analysis of bottom-up tags'!$N$122:$W$153,MATCH(Dashboard!$B571,'Analysis of bottom-up tags'!$B$122:$B$153,0),MATCH(Dashboard!E$21,'Analysis of bottom-up tags'!$N$6:$W$6,0))*E$24</f>
        <v>0</v>
      </c>
      <c r="F571" s="151">
        <f>INDEX('Analysis of bottom-up tags'!$N$122:$W$153,MATCH(Dashboard!$B571,'Analysis of bottom-up tags'!$B$122:$B$153,0),MATCH(Dashboard!F$21,'Analysis of bottom-up tags'!$N$6:$W$6,0))*F$24</f>
        <v>0</v>
      </c>
      <c r="G571" s="151">
        <f>INDEX('Analysis of bottom-up tags'!$N$122:$W$153,MATCH(Dashboard!$B571,'Analysis of bottom-up tags'!$B$122:$B$153,0),MATCH(Dashboard!G$21,'Analysis of bottom-up tags'!$N$6:$W$6,0))*G$24</f>
        <v>0</v>
      </c>
      <c r="H571" s="151">
        <f>INDEX('Analysis of bottom-up tags'!$N$122:$W$153,MATCH(Dashboard!$B571,'Analysis of bottom-up tags'!$B$122:$B$153,0),MATCH(Dashboard!H$21,'Analysis of bottom-up tags'!$N$6:$W$6,0))*H$24</f>
        <v>0</v>
      </c>
      <c r="I571" s="151">
        <f>INDEX('Analysis of bottom-up tags'!$N$122:$W$153,MATCH(Dashboard!$B571,'Analysis of bottom-up tags'!$B$122:$B$153,0),MATCH(Dashboard!I$21,'Analysis of bottom-up tags'!$N$6:$W$6,0))*I$24</f>
        <v>0</v>
      </c>
      <c r="J571" s="151">
        <f>INDEX('Analysis of bottom-up tags'!$N$122:$W$153,MATCH(Dashboard!$B571,'Analysis of bottom-up tags'!$B$122:$B$153,0),MATCH(Dashboard!J$21,'Analysis of bottom-up tags'!$N$6:$W$6,0))*J$24</f>
        <v>0</v>
      </c>
      <c r="K571" s="151">
        <f>INDEX('Analysis of bottom-up tags'!$N$122:$W$153,MATCH(Dashboard!$B571,'Analysis of bottom-up tags'!$B$122:$B$153,0),MATCH(Dashboard!K$21,'Analysis of bottom-up tags'!$N$6:$W$6,0))*K$24</f>
        <v>5.2975206124650773</v>
      </c>
      <c r="L571" s="151">
        <f>INDEX('Analysis of bottom-up tags'!$N$122:$W$153,MATCH(Dashboard!$B571,'Analysis of bottom-up tags'!$B$122:$B$153,0),MATCH(Dashboard!L$21,'Analysis of bottom-up tags'!$N$6:$W$6,0))*L$24</f>
        <v>0</v>
      </c>
      <c r="M571" s="151">
        <f t="shared" si="317"/>
        <v>5.2975206124650773</v>
      </c>
    </row>
    <row r="572" spans="2:13">
      <c r="B572" s="22" t="s">
        <v>5416</v>
      </c>
      <c r="C572" s="151">
        <f>INDEX('Analysis of bottom-up tags'!$N$122:$W$153,MATCH(Dashboard!$B572,'Analysis of bottom-up tags'!$B$122:$B$153,0),MATCH(Dashboard!C$21,'Analysis of bottom-up tags'!$N$6:$W$6,0))*C$24</f>
        <v>0</v>
      </c>
      <c r="D572" s="151">
        <f>INDEX('Analysis of bottom-up tags'!$N$122:$W$153,MATCH(Dashboard!$B572,'Analysis of bottom-up tags'!$B$122:$B$153,0),MATCH(Dashboard!D$21,'Analysis of bottom-up tags'!$N$6:$W$6,0))*D$24</f>
        <v>0</v>
      </c>
      <c r="E572" s="151">
        <f>INDEX('Analysis of bottom-up tags'!$N$122:$W$153,MATCH(Dashboard!$B572,'Analysis of bottom-up tags'!$B$122:$B$153,0),MATCH(Dashboard!E$21,'Analysis of bottom-up tags'!$N$6:$W$6,0))*E$24</f>
        <v>0</v>
      </c>
      <c r="F572" s="151">
        <f>INDEX('Analysis of bottom-up tags'!$N$122:$W$153,MATCH(Dashboard!$B572,'Analysis of bottom-up tags'!$B$122:$B$153,0),MATCH(Dashboard!F$21,'Analysis of bottom-up tags'!$N$6:$W$6,0))*F$24</f>
        <v>0</v>
      </c>
      <c r="G572" s="151">
        <f>INDEX('Analysis of bottom-up tags'!$N$122:$W$153,MATCH(Dashboard!$B572,'Analysis of bottom-up tags'!$B$122:$B$153,0),MATCH(Dashboard!G$21,'Analysis of bottom-up tags'!$N$6:$W$6,0))*G$24</f>
        <v>0</v>
      </c>
      <c r="H572" s="151">
        <f>INDEX('Analysis of bottom-up tags'!$N$122:$W$153,MATCH(Dashboard!$B572,'Analysis of bottom-up tags'!$B$122:$B$153,0),MATCH(Dashboard!H$21,'Analysis of bottom-up tags'!$N$6:$W$6,0))*H$24</f>
        <v>0</v>
      </c>
      <c r="I572" s="151">
        <f>INDEX('Analysis of bottom-up tags'!$N$122:$W$153,MATCH(Dashboard!$B572,'Analysis of bottom-up tags'!$B$122:$B$153,0),MATCH(Dashboard!I$21,'Analysis of bottom-up tags'!$N$6:$W$6,0))*I$24</f>
        <v>0</v>
      </c>
      <c r="J572" s="151">
        <f>INDEX('Analysis of bottom-up tags'!$N$122:$W$153,MATCH(Dashboard!$B572,'Analysis of bottom-up tags'!$B$122:$B$153,0),MATCH(Dashboard!J$21,'Analysis of bottom-up tags'!$N$6:$W$6,0))*J$24</f>
        <v>0</v>
      </c>
      <c r="K572" s="151">
        <f>INDEX('Analysis of bottom-up tags'!$N$122:$W$153,MATCH(Dashboard!$B572,'Analysis of bottom-up tags'!$B$122:$B$153,0),MATCH(Dashboard!K$21,'Analysis of bottom-up tags'!$N$6:$W$6,0))*K$24</f>
        <v>0.50566680027739674</v>
      </c>
      <c r="L572" s="151">
        <f>INDEX('Analysis of bottom-up tags'!$N$122:$W$153,MATCH(Dashboard!$B572,'Analysis of bottom-up tags'!$B$122:$B$153,0),MATCH(Dashboard!L$21,'Analysis of bottom-up tags'!$N$6:$W$6,0))*L$24</f>
        <v>59.652095819298822</v>
      </c>
      <c r="M572" s="151">
        <f t="shared" si="317"/>
        <v>60.157762619576218</v>
      </c>
    </row>
    <row r="573" spans="2:13">
      <c r="B573" s="22" t="s">
        <v>6297</v>
      </c>
      <c r="C573" s="151">
        <f>INDEX('Analysis of bottom-up tags'!$N$122:$W$153,MATCH(Dashboard!$B573,'Analysis of bottom-up tags'!$B$122:$B$153,0),MATCH(Dashboard!C$21,'Analysis of bottom-up tags'!$N$6:$W$6,0))*C$24</f>
        <v>0</v>
      </c>
      <c r="D573" s="151">
        <f>INDEX('Analysis of bottom-up tags'!$N$122:$W$153,MATCH(Dashboard!$B573,'Analysis of bottom-up tags'!$B$122:$B$153,0),MATCH(Dashboard!D$21,'Analysis of bottom-up tags'!$N$6:$W$6,0))*D$24</f>
        <v>0</v>
      </c>
      <c r="E573" s="151">
        <f>INDEX('Analysis of bottom-up tags'!$N$122:$W$153,MATCH(Dashboard!$B573,'Analysis of bottom-up tags'!$B$122:$B$153,0),MATCH(Dashboard!E$21,'Analysis of bottom-up tags'!$N$6:$W$6,0))*E$24</f>
        <v>0</v>
      </c>
      <c r="F573" s="151">
        <f>INDEX('Analysis of bottom-up tags'!$N$122:$W$153,MATCH(Dashboard!$B573,'Analysis of bottom-up tags'!$B$122:$B$153,0),MATCH(Dashboard!F$21,'Analysis of bottom-up tags'!$N$6:$W$6,0))*F$24</f>
        <v>0</v>
      </c>
      <c r="G573" s="151">
        <f>INDEX('Analysis of bottom-up tags'!$N$122:$W$153,MATCH(Dashboard!$B573,'Analysis of bottom-up tags'!$B$122:$B$153,0),MATCH(Dashboard!G$21,'Analysis of bottom-up tags'!$N$6:$W$6,0))*G$24</f>
        <v>0</v>
      </c>
      <c r="H573" s="151">
        <f>INDEX('Analysis of bottom-up tags'!$N$122:$W$153,MATCH(Dashboard!$B573,'Analysis of bottom-up tags'!$B$122:$B$153,0),MATCH(Dashboard!H$21,'Analysis of bottom-up tags'!$N$6:$W$6,0))*H$24</f>
        <v>0</v>
      </c>
      <c r="I573" s="151">
        <f>INDEX('Analysis of bottom-up tags'!$N$122:$W$153,MATCH(Dashboard!$B573,'Analysis of bottom-up tags'!$B$122:$B$153,0),MATCH(Dashboard!I$21,'Analysis of bottom-up tags'!$N$6:$W$6,0))*I$24</f>
        <v>0</v>
      </c>
      <c r="J573" s="151">
        <f>INDEX('Analysis of bottom-up tags'!$N$122:$W$153,MATCH(Dashboard!$B573,'Analysis of bottom-up tags'!$B$122:$B$153,0),MATCH(Dashboard!J$21,'Analysis of bottom-up tags'!$N$6:$W$6,0))*J$24</f>
        <v>4.4611869486917843</v>
      </c>
      <c r="K573" s="151">
        <f>INDEX('Analysis of bottom-up tags'!$N$122:$W$153,MATCH(Dashboard!$B573,'Analysis of bottom-up tags'!$B$122:$B$153,0),MATCH(Dashboard!K$21,'Analysis of bottom-up tags'!$N$6:$W$6,0))*K$24</f>
        <v>2.7911216372350167</v>
      </c>
      <c r="L573" s="151">
        <f>INDEX('Analysis of bottom-up tags'!$N$122:$W$153,MATCH(Dashboard!$B573,'Analysis of bottom-up tags'!$B$122:$B$153,0),MATCH(Dashboard!L$21,'Analysis of bottom-up tags'!$N$6:$W$6,0))*L$24</f>
        <v>11.069916477271809</v>
      </c>
      <c r="M573" s="151">
        <f t="shared" si="317"/>
        <v>18.322225063198609</v>
      </c>
    </row>
    <row r="574" spans="2:13">
      <c r="B574" s="22" t="s">
        <v>6632</v>
      </c>
      <c r="C574" s="151">
        <f>INDEX('Analysis of bottom-up tags'!$N$122:$W$153,MATCH(Dashboard!$B574,'Analysis of bottom-up tags'!$B$122:$B$153,0),MATCH(Dashboard!C$21,'Analysis of bottom-up tags'!$N$6:$W$6,0))*C$24</f>
        <v>0</v>
      </c>
      <c r="D574" s="151">
        <f>INDEX('Analysis of bottom-up tags'!$N$122:$W$153,MATCH(Dashboard!$B574,'Analysis of bottom-up tags'!$B$122:$B$153,0),MATCH(Dashboard!D$21,'Analysis of bottom-up tags'!$N$6:$W$6,0))*D$24</f>
        <v>0</v>
      </c>
      <c r="E574" s="151">
        <f>INDEX('Analysis of bottom-up tags'!$N$122:$W$153,MATCH(Dashboard!$B574,'Analysis of bottom-up tags'!$B$122:$B$153,0),MATCH(Dashboard!E$21,'Analysis of bottom-up tags'!$N$6:$W$6,0))*E$24</f>
        <v>0</v>
      </c>
      <c r="F574" s="151">
        <f>INDEX('Analysis of bottom-up tags'!$N$122:$W$153,MATCH(Dashboard!$B574,'Analysis of bottom-up tags'!$B$122:$B$153,0),MATCH(Dashboard!F$21,'Analysis of bottom-up tags'!$N$6:$W$6,0))*F$24</f>
        <v>0</v>
      </c>
      <c r="G574" s="151">
        <f>INDEX('Analysis of bottom-up tags'!$N$122:$W$153,MATCH(Dashboard!$B574,'Analysis of bottom-up tags'!$B$122:$B$153,0),MATCH(Dashboard!G$21,'Analysis of bottom-up tags'!$N$6:$W$6,0))*G$24</f>
        <v>17.157336881460385</v>
      </c>
      <c r="H574" s="151">
        <f>INDEX('Analysis of bottom-up tags'!$N$122:$W$153,MATCH(Dashboard!$B574,'Analysis of bottom-up tags'!$B$122:$B$153,0),MATCH(Dashboard!H$21,'Analysis of bottom-up tags'!$N$6:$W$6,0))*H$24</f>
        <v>0</v>
      </c>
      <c r="I574" s="151">
        <f>INDEX('Analysis of bottom-up tags'!$N$122:$W$153,MATCH(Dashboard!$B574,'Analysis of bottom-up tags'!$B$122:$B$153,0),MATCH(Dashboard!I$21,'Analysis of bottom-up tags'!$N$6:$W$6,0))*I$24</f>
        <v>0.14051761315992337</v>
      </c>
      <c r="J574" s="151">
        <f>INDEX('Analysis of bottom-up tags'!$N$122:$W$153,MATCH(Dashboard!$B574,'Analysis of bottom-up tags'!$B$122:$B$153,0),MATCH(Dashboard!J$21,'Analysis of bottom-up tags'!$N$6:$W$6,0))*J$24</f>
        <v>19.510610909220102</v>
      </c>
      <c r="K574" s="151">
        <f>INDEX('Analysis of bottom-up tags'!$N$122:$W$153,MATCH(Dashboard!$B574,'Analysis of bottom-up tags'!$B$122:$B$153,0),MATCH(Dashboard!K$21,'Analysis of bottom-up tags'!$N$6:$W$6,0))*K$24</f>
        <v>0</v>
      </c>
      <c r="L574" s="151">
        <f>INDEX('Analysis of bottom-up tags'!$N$122:$W$153,MATCH(Dashboard!$B574,'Analysis of bottom-up tags'!$B$122:$B$153,0),MATCH(Dashboard!L$21,'Analysis of bottom-up tags'!$N$6:$W$6,0))*L$24</f>
        <v>0</v>
      </c>
      <c r="M574" s="151">
        <f t="shared" si="317"/>
        <v>36.808465403840408</v>
      </c>
    </row>
    <row r="575" spans="2:13">
      <c r="B575" s="22" t="s">
        <v>3468</v>
      </c>
      <c r="C575" s="151">
        <f>INDEX('Analysis of bottom-up tags'!$N$122:$W$153,MATCH(Dashboard!$B575,'Analysis of bottom-up tags'!$B$122:$B$153,0),MATCH(Dashboard!C$21,'Analysis of bottom-up tags'!$N$6:$W$6,0))*C$24</f>
        <v>0</v>
      </c>
      <c r="D575" s="151">
        <f>INDEX('Analysis of bottom-up tags'!$N$122:$W$153,MATCH(Dashboard!$B575,'Analysis of bottom-up tags'!$B$122:$B$153,0),MATCH(Dashboard!D$21,'Analysis of bottom-up tags'!$N$6:$W$6,0))*D$24</f>
        <v>0</v>
      </c>
      <c r="E575" s="151">
        <f>INDEX('Analysis of bottom-up tags'!$N$122:$W$153,MATCH(Dashboard!$B575,'Analysis of bottom-up tags'!$B$122:$B$153,0),MATCH(Dashboard!E$21,'Analysis of bottom-up tags'!$N$6:$W$6,0))*E$24</f>
        <v>0</v>
      </c>
      <c r="F575" s="151">
        <f>INDEX('Analysis of bottom-up tags'!$N$122:$W$153,MATCH(Dashboard!$B575,'Analysis of bottom-up tags'!$B$122:$B$153,0),MATCH(Dashboard!F$21,'Analysis of bottom-up tags'!$N$6:$W$6,0))*F$24</f>
        <v>0</v>
      </c>
      <c r="G575" s="151">
        <f>INDEX('Analysis of bottom-up tags'!$N$122:$W$153,MATCH(Dashboard!$B575,'Analysis of bottom-up tags'!$B$122:$B$153,0),MATCH(Dashboard!G$21,'Analysis of bottom-up tags'!$N$6:$W$6,0))*G$24</f>
        <v>0</v>
      </c>
      <c r="H575" s="151">
        <f>INDEX('Analysis of bottom-up tags'!$N$122:$W$153,MATCH(Dashboard!$B575,'Analysis of bottom-up tags'!$B$122:$B$153,0),MATCH(Dashboard!H$21,'Analysis of bottom-up tags'!$N$6:$W$6,0))*H$24</f>
        <v>0</v>
      </c>
      <c r="I575" s="151">
        <f>INDEX('Analysis of bottom-up tags'!$N$122:$W$153,MATCH(Dashboard!$B575,'Analysis of bottom-up tags'!$B$122:$B$153,0),MATCH(Dashboard!I$21,'Analysis of bottom-up tags'!$N$6:$W$6,0))*I$24</f>
        <v>0.1729934820879912</v>
      </c>
      <c r="J575" s="151">
        <f>INDEX('Analysis of bottom-up tags'!$N$122:$W$153,MATCH(Dashboard!$B575,'Analysis of bottom-up tags'!$B$122:$B$153,0),MATCH(Dashboard!J$21,'Analysis of bottom-up tags'!$N$6:$W$6,0))*J$24</f>
        <v>0.77800972347954189</v>
      </c>
      <c r="K575" s="151">
        <f>INDEX('Analysis of bottom-up tags'!$N$122:$W$153,MATCH(Dashboard!$B575,'Analysis of bottom-up tags'!$B$122:$B$153,0),MATCH(Dashboard!K$21,'Analysis of bottom-up tags'!$N$6:$W$6,0))*K$24</f>
        <v>2.4703055263068179</v>
      </c>
      <c r="L575" s="151">
        <f>INDEX('Analysis of bottom-up tags'!$N$122:$W$153,MATCH(Dashboard!$B575,'Analysis of bottom-up tags'!$B$122:$B$153,0),MATCH(Dashboard!L$21,'Analysis of bottom-up tags'!$N$6:$W$6,0))*L$24</f>
        <v>0</v>
      </c>
      <c r="M575" s="151">
        <f t="shared" si="317"/>
        <v>3.4213087318743511</v>
      </c>
    </row>
    <row r="576" spans="2:13">
      <c r="B576" s="22" t="s">
        <v>1028</v>
      </c>
      <c r="C576" s="151">
        <f>INDEX('Analysis of bottom-up tags'!$N$122:$W$153,MATCH(Dashboard!$B576,'Analysis of bottom-up tags'!$B$122:$B$153,0),MATCH(Dashboard!C$21,'Analysis of bottom-up tags'!$N$6:$W$6,0))*C$24</f>
        <v>0</v>
      </c>
      <c r="D576" s="151">
        <f>INDEX('Analysis of bottom-up tags'!$N$122:$W$153,MATCH(Dashboard!$B576,'Analysis of bottom-up tags'!$B$122:$B$153,0),MATCH(Dashboard!D$21,'Analysis of bottom-up tags'!$N$6:$W$6,0))*D$24</f>
        <v>0</v>
      </c>
      <c r="E576" s="151">
        <f>INDEX('Analysis of bottom-up tags'!$N$122:$W$153,MATCH(Dashboard!$B576,'Analysis of bottom-up tags'!$B$122:$B$153,0),MATCH(Dashboard!E$21,'Analysis of bottom-up tags'!$N$6:$W$6,0))*E$24</f>
        <v>0</v>
      </c>
      <c r="F576" s="151">
        <f>INDEX('Analysis of bottom-up tags'!$N$122:$W$153,MATCH(Dashboard!$B576,'Analysis of bottom-up tags'!$B$122:$B$153,0),MATCH(Dashboard!F$21,'Analysis of bottom-up tags'!$N$6:$W$6,0))*F$24</f>
        <v>0</v>
      </c>
      <c r="G576" s="151">
        <f>INDEX('Analysis of bottom-up tags'!$N$122:$W$153,MATCH(Dashboard!$B576,'Analysis of bottom-up tags'!$B$122:$B$153,0),MATCH(Dashboard!G$21,'Analysis of bottom-up tags'!$N$6:$W$6,0))*G$24</f>
        <v>0</v>
      </c>
      <c r="H576" s="151">
        <f>INDEX('Analysis of bottom-up tags'!$N$122:$W$153,MATCH(Dashboard!$B576,'Analysis of bottom-up tags'!$B$122:$B$153,0),MATCH(Dashboard!H$21,'Analysis of bottom-up tags'!$N$6:$W$6,0))*H$24</f>
        <v>0</v>
      </c>
      <c r="I576" s="151">
        <f>INDEX('Analysis of bottom-up tags'!$N$122:$W$153,MATCH(Dashboard!$B576,'Analysis of bottom-up tags'!$B$122:$B$153,0),MATCH(Dashboard!I$21,'Analysis of bottom-up tags'!$N$6:$W$6,0))*I$24</f>
        <v>0</v>
      </c>
      <c r="J576" s="151">
        <f>INDEX('Analysis of bottom-up tags'!$N$122:$W$153,MATCH(Dashboard!$B576,'Analysis of bottom-up tags'!$B$122:$B$153,0),MATCH(Dashboard!J$21,'Analysis of bottom-up tags'!$N$6:$W$6,0))*J$24</f>
        <v>0</v>
      </c>
      <c r="K576" s="151">
        <f>INDEX('Analysis of bottom-up tags'!$N$122:$W$153,MATCH(Dashboard!$B576,'Analysis of bottom-up tags'!$B$122:$B$153,0),MATCH(Dashboard!K$21,'Analysis of bottom-up tags'!$N$6:$W$6,0))*K$24</f>
        <v>0.19295768097597482</v>
      </c>
      <c r="L576" s="151">
        <f>INDEX('Analysis of bottom-up tags'!$N$122:$W$153,MATCH(Dashboard!$B576,'Analysis of bottom-up tags'!$B$122:$B$153,0),MATCH(Dashboard!L$21,'Analysis of bottom-up tags'!$N$6:$W$6,0))*L$24</f>
        <v>14.658714964729707</v>
      </c>
      <c r="M576" s="151">
        <f t="shared" si="317"/>
        <v>14.851672645705682</v>
      </c>
    </row>
    <row r="577" spans="2:13">
      <c r="B577" s="22" t="s">
        <v>5524</v>
      </c>
      <c r="C577" s="151">
        <f>INDEX('Analysis of bottom-up tags'!$N$122:$W$153,MATCH(Dashboard!$B577,'Analysis of bottom-up tags'!$B$122:$B$153,0),MATCH(Dashboard!C$21,'Analysis of bottom-up tags'!$N$6:$W$6,0))*C$24</f>
        <v>20.206759832098609</v>
      </c>
      <c r="D577" s="151">
        <f>INDEX('Analysis of bottom-up tags'!$N$122:$W$153,MATCH(Dashboard!$B577,'Analysis of bottom-up tags'!$B$122:$B$153,0),MATCH(Dashboard!D$21,'Analysis of bottom-up tags'!$N$6:$W$6,0))*D$24</f>
        <v>0</v>
      </c>
      <c r="E577" s="151">
        <f>INDEX('Analysis of bottom-up tags'!$N$122:$W$153,MATCH(Dashboard!$B577,'Analysis of bottom-up tags'!$B$122:$B$153,0),MATCH(Dashboard!E$21,'Analysis of bottom-up tags'!$N$6:$W$6,0))*E$24</f>
        <v>0</v>
      </c>
      <c r="F577" s="151">
        <f>INDEX('Analysis of bottom-up tags'!$N$122:$W$153,MATCH(Dashboard!$B577,'Analysis of bottom-up tags'!$B$122:$B$153,0),MATCH(Dashboard!F$21,'Analysis of bottom-up tags'!$N$6:$W$6,0))*F$24</f>
        <v>0</v>
      </c>
      <c r="G577" s="151">
        <f>INDEX('Analysis of bottom-up tags'!$N$122:$W$153,MATCH(Dashboard!$B577,'Analysis of bottom-up tags'!$B$122:$B$153,0),MATCH(Dashboard!G$21,'Analysis of bottom-up tags'!$N$6:$W$6,0))*G$24</f>
        <v>30.12670590875706</v>
      </c>
      <c r="H577" s="151">
        <f>INDEX('Analysis of bottom-up tags'!$N$122:$W$153,MATCH(Dashboard!$B577,'Analysis of bottom-up tags'!$B$122:$B$153,0),MATCH(Dashboard!H$21,'Analysis of bottom-up tags'!$N$6:$W$6,0))*H$24</f>
        <v>0</v>
      </c>
      <c r="I577" s="151">
        <f>INDEX('Analysis of bottom-up tags'!$N$122:$W$153,MATCH(Dashboard!$B577,'Analysis of bottom-up tags'!$B$122:$B$153,0),MATCH(Dashboard!I$21,'Analysis of bottom-up tags'!$N$6:$W$6,0))*I$24</f>
        <v>1.5878390612290463</v>
      </c>
      <c r="J577" s="151">
        <f>INDEX('Analysis of bottom-up tags'!$N$122:$W$153,MATCH(Dashboard!$B577,'Analysis of bottom-up tags'!$B$122:$B$153,0),MATCH(Dashboard!J$21,'Analysis of bottom-up tags'!$N$6:$W$6,0))*J$24</f>
        <v>0.40569939153968226</v>
      </c>
      <c r="K577" s="151">
        <f>INDEX('Analysis of bottom-up tags'!$N$122:$W$153,MATCH(Dashboard!$B577,'Analysis of bottom-up tags'!$B$122:$B$153,0),MATCH(Dashboard!K$21,'Analysis of bottom-up tags'!$N$6:$W$6,0))*K$24</f>
        <v>1.2086189753367949</v>
      </c>
      <c r="L577" s="151">
        <f>INDEX('Analysis of bottom-up tags'!$N$122:$W$153,MATCH(Dashboard!$B577,'Analysis of bottom-up tags'!$B$122:$B$153,0),MATCH(Dashboard!L$21,'Analysis of bottom-up tags'!$N$6:$W$6,0))*L$24</f>
        <v>0</v>
      </c>
      <c r="M577" s="151">
        <f t="shared" si="317"/>
        <v>53.535623168961202</v>
      </c>
    </row>
    <row r="578" spans="2:13">
      <c r="B578" s="22" t="s">
        <v>5844</v>
      </c>
      <c r="C578" s="151">
        <f>INDEX('Analysis of bottom-up tags'!$N$122:$W$153,MATCH(Dashboard!$B578,'Analysis of bottom-up tags'!$B$122:$B$153,0),MATCH(Dashboard!C$21,'Analysis of bottom-up tags'!$N$6:$W$6,0))*C$24</f>
        <v>0</v>
      </c>
      <c r="D578" s="151">
        <f>INDEX('Analysis of bottom-up tags'!$N$122:$W$153,MATCH(Dashboard!$B578,'Analysis of bottom-up tags'!$B$122:$B$153,0),MATCH(Dashboard!D$21,'Analysis of bottom-up tags'!$N$6:$W$6,0))*D$24</f>
        <v>0</v>
      </c>
      <c r="E578" s="151">
        <f>INDEX('Analysis of bottom-up tags'!$N$122:$W$153,MATCH(Dashboard!$B578,'Analysis of bottom-up tags'!$B$122:$B$153,0),MATCH(Dashboard!E$21,'Analysis of bottom-up tags'!$N$6:$W$6,0))*E$24</f>
        <v>0</v>
      </c>
      <c r="F578" s="151">
        <f>INDEX('Analysis of bottom-up tags'!$N$122:$W$153,MATCH(Dashboard!$B578,'Analysis of bottom-up tags'!$B$122:$B$153,0),MATCH(Dashboard!F$21,'Analysis of bottom-up tags'!$N$6:$W$6,0))*F$24</f>
        <v>0</v>
      </c>
      <c r="G578" s="151">
        <f>INDEX('Analysis of bottom-up tags'!$N$122:$W$153,MATCH(Dashboard!$B578,'Analysis of bottom-up tags'!$B$122:$B$153,0),MATCH(Dashboard!G$21,'Analysis of bottom-up tags'!$N$6:$W$6,0))*G$24</f>
        <v>0</v>
      </c>
      <c r="H578" s="151">
        <f>INDEX('Analysis of bottom-up tags'!$N$122:$W$153,MATCH(Dashboard!$B578,'Analysis of bottom-up tags'!$B$122:$B$153,0),MATCH(Dashboard!H$21,'Analysis of bottom-up tags'!$N$6:$W$6,0))*H$24</f>
        <v>0.11054127854361462</v>
      </c>
      <c r="I578" s="151">
        <f>INDEX('Analysis of bottom-up tags'!$N$122:$W$153,MATCH(Dashboard!$B578,'Analysis of bottom-up tags'!$B$122:$B$153,0),MATCH(Dashboard!I$21,'Analysis of bottom-up tags'!$N$6:$W$6,0))*I$24</f>
        <v>3.5736706176381894</v>
      </c>
      <c r="J578" s="151">
        <f>INDEX('Analysis of bottom-up tags'!$N$122:$W$153,MATCH(Dashboard!$B578,'Analysis of bottom-up tags'!$B$122:$B$153,0),MATCH(Dashboard!J$21,'Analysis of bottom-up tags'!$N$6:$W$6,0))*J$24</f>
        <v>0.12038918968966586</v>
      </c>
      <c r="K578" s="151">
        <f>INDEX('Analysis of bottom-up tags'!$N$122:$W$153,MATCH(Dashboard!$B578,'Analysis of bottom-up tags'!$B$122:$B$153,0),MATCH(Dashboard!K$21,'Analysis of bottom-up tags'!$N$6:$W$6,0))*K$24</f>
        <v>0</v>
      </c>
      <c r="L578" s="151">
        <f>INDEX('Analysis of bottom-up tags'!$N$122:$W$153,MATCH(Dashboard!$B578,'Analysis of bottom-up tags'!$B$122:$B$153,0),MATCH(Dashboard!L$21,'Analysis of bottom-up tags'!$N$6:$W$6,0))*L$24</f>
        <v>5.7793564563218078</v>
      </c>
      <c r="M578" s="151">
        <f t="shared" si="317"/>
        <v>9.5839575421932786</v>
      </c>
    </row>
    <row r="579" spans="2:13">
      <c r="B579" s="22" t="s">
        <v>1258</v>
      </c>
      <c r="C579" s="151">
        <f>INDEX('Analysis of bottom-up tags'!$N$122:$W$153,MATCH(Dashboard!$B579,'Analysis of bottom-up tags'!$B$122:$B$153,0),MATCH(Dashboard!C$21,'Analysis of bottom-up tags'!$N$6:$W$6,0))*C$24</f>
        <v>0</v>
      </c>
      <c r="D579" s="151">
        <f>INDEX('Analysis of bottom-up tags'!$N$122:$W$153,MATCH(Dashboard!$B579,'Analysis of bottom-up tags'!$B$122:$B$153,0),MATCH(Dashboard!D$21,'Analysis of bottom-up tags'!$N$6:$W$6,0))*D$24</f>
        <v>0.79123159815983912</v>
      </c>
      <c r="E579" s="151">
        <f>INDEX('Analysis of bottom-up tags'!$N$122:$W$153,MATCH(Dashboard!$B579,'Analysis of bottom-up tags'!$B$122:$B$153,0),MATCH(Dashboard!E$21,'Analysis of bottom-up tags'!$N$6:$W$6,0))*E$24</f>
        <v>7.65774328071653</v>
      </c>
      <c r="F579" s="151">
        <f>INDEX('Analysis of bottom-up tags'!$N$122:$W$153,MATCH(Dashboard!$B579,'Analysis of bottom-up tags'!$B$122:$B$153,0),MATCH(Dashboard!F$21,'Analysis of bottom-up tags'!$N$6:$W$6,0))*F$24</f>
        <v>0</v>
      </c>
      <c r="G579" s="151">
        <f>INDEX('Analysis of bottom-up tags'!$N$122:$W$153,MATCH(Dashboard!$B579,'Analysis of bottom-up tags'!$B$122:$B$153,0),MATCH(Dashboard!G$21,'Analysis of bottom-up tags'!$N$6:$W$6,0))*G$24</f>
        <v>1.7496853176935048</v>
      </c>
      <c r="H579" s="151">
        <f>INDEX('Analysis of bottom-up tags'!$N$122:$W$153,MATCH(Dashboard!$B579,'Analysis of bottom-up tags'!$B$122:$B$153,0),MATCH(Dashboard!H$21,'Analysis of bottom-up tags'!$N$6:$W$6,0))*H$24</f>
        <v>0.29996947756983522</v>
      </c>
      <c r="I579" s="151">
        <f>INDEX('Analysis of bottom-up tags'!$N$122:$W$153,MATCH(Dashboard!$B579,'Analysis of bottom-up tags'!$B$122:$B$153,0),MATCH(Dashboard!I$21,'Analysis of bottom-up tags'!$N$6:$W$6,0))*I$24</f>
        <v>0.31997152190367639</v>
      </c>
      <c r="J579" s="151">
        <f>INDEX('Analysis of bottom-up tags'!$N$122:$W$153,MATCH(Dashboard!$B579,'Analysis of bottom-up tags'!$B$122:$B$153,0),MATCH(Dashboard!J$21,'Analysis of bottom-up tags'!$N$6:$W$6,0))*J$24</f>
        <v>0.47615441233218359</v>
      </c>
      <c r="K579" s="151">
        <f>INDEX('Analysis of bottom-up tags'!$N$122:$W$153,MATCH(Dashboard!$B579,'Analysis of bottom-up tags'!$B$122:$B$153,0),MATCH(Dashboard!K$21,'Analysis of bottom-up tags'!$N$6:$W$6,0))*K$24</f>
        <v>0.48996566809256975</v>
      </c>
      <c r="L579" s="151">
        <f>INDEX('Analysis of bottom-up tags'!$N$122:$W$153,MATCH(Dashboard!$B579,'Analysis of bottom-up tags'!$B$122:$B$153,0),MATCH(Dashboard!L$21,'Analysis of bottom-up tags'!$N$6:$W$6,0))*L$24</f>
        <v>1.0929247542434433</v>
      </c>
      <c r="M579" s="151">
        <f t="shared" si="317"/>
        <v>12.877646030711581</v>
      </c>
    </row>
    <row r="580" spans="2:13">
      <c r="B580" s="22" t="s">
        <v>5818</v>
      </c>
      <c r="C580" s="151">
        <f>INDEX('Analysis of bottom-up tags'!$N$122:$W$153,MATCH(Dashboard!$B580,'Analysis of bottom-up tags'!$B$122:$B$153,0),MATCH(Dashboard!C$21,'Analysis of bottom-up tags'!$N$6:$W$6,0))*C$24</f>
        <v>0</v>
      </c>
      <c r="D580" s="151">
        <f>INDEX('Analysis of bottom-up tags'!$N$122:$W$153,MATCH(Dashboard!$B580,'Analysis of bottom-up tags'!$B$122:$B$153,0),MATCH(Dashboard!D$21,'Analysis of bottom-up tags'!$N$6:$W$6,0))*D$24</f>
        <v>0</v>
      </c>
      <c r="E580" s="151">
        <f>INDEX('Analysis of bottom-up tags'!$N$122:$W$153,MATCH(Dashboard!$B580,'Analysis of bottom-up tags'!$B$122:$B$153,0),MATCH(Dashboard!E$21,'Analysis of bottom-up tags'!$N$6:$W$6,0))*E$24</f>
        <v>0</v>
      </c>
      <c r="F580" s="151">
        <f>INDEX('Analysis of bottom-up tags'!$N$122:$W$153,MATCH(Dashboard!$B580,'Analysis of bottom-up tags'!$B$122:$B$153,0),MATCH(Dashboard!F$21,'Analysis of bottom-up tags'!$N$6:$W$6,0))*F$24</f>
        <v>0</v>
      </c>
      <c r="G580" s="151">
        <f>INDEX('Analysis of bottom-up tags'!$N$122:$W$153,MATCH(Dashboard!$B580,'Analysis of bottom-up tags'!$B$122:$B$153,0),MATCH(Dashboard!G$21,'Analysis of bottom-up tags'!$N$6:$W$6,0))*G$24</f>
        <v>0</v>
      </c>
      <c r="H580" s="151">
        <f>INDEX('Analysis of bottom-up tags'!$N$122:$W$153,MATCH(Dashboard!$B580,'Analysis of bottom-up tags'!$B$122:$B$153,0),MATCH(Dashboard!H$21,'Analysis of bottom-up tags'!$N$6:$W$6,0))*H$24</f>
        <v>0</v>
      </c>
      <c r="I580" s="151">
        <f>INDEX('Analysis of bottom-up tags'!$N$122:$W$153,MATCH(Dashboard!$B580,'Analysis of bottom-up tags'!$B$122:$B$153,0),MATCH(Dashboard!I$21,'Analysis of bottom-up tags'!$N$6:$W$6,0))*I$24</f>
        <v>0</v>
      </c>
      <c r="J580" s="151">
        <f>INDEX('Analysis of bottom-up tags'!$N$122:$W$153,MATCH(Dashboard!$B580,'Analysis of bottom-up tags'!$B$122:$B$153,0),MATCH(Dashboard!J$21,'Analysis of bottom-up tags'!$N$6:$W$6,0))*J$24</f>
        <v>0</v>
      </c>
      <c r="K580" s="151">
        <f>INDEX('Analysis of bottom-up tags'!$N$122:$W$153,MATCH(Dashboard!$B580,'Analysis of bottom-up tags'!$B$122:$B$153,0),MATCH(Dashboard!K$21,'Analysis of bottom-up tags'!$N$6:$W$6,0))*K$24</f>
        <v>1.3271606986593458</v>
      </c>
      <c r="L580" s="151">
        <f>INDEX('Analysis of bottom-up tags'!$N$122:$W$153,MATCH(Dashboard!$B580,'Analysis of bottom-up tags'!$B$122:$B$153,0),MATCH(Dashboard!L$21,'Analysis of bottom-up tags'!$N$6:$W$6,0))*L$24</f>
        <v>0</v>
      </c>
      <c r="M580" s="151">
        <f t="shared" si="317"/>
        <v>1.3271606986593458</v>
      </c>
    </row>
    <row r="581" spans="2:13">
      <c r="B581" s="22" t="s">
        <v>1740</v>
      </c>
      <c r="C581" s="151">
        <f>INDEX('Analysis of bottom-up tags'!$N$122:$W$153,MATCH(Dashboard!$B581,'Analysis of bottom-up tags'!$B$122:$B$153,0),MATCH(Dashboard!C$21,'Analysis of bottom-up tags'!$N$6:$W$6,0))*C$24</f>
        <v>0</v>
      </c>
      <c r="D581" s="151">
        <f>INDEX('Analysis of bottom-up tags'!$N$122:$W$153,MATCH(Dashboard!$B581,'Analysis of bottom-up tags'!$B$122:$B$153,0),MATCH(Dashboard!D$21,'Analysis of bottom-up tags'!$N$6:$W$6,0))*D$24</f>
        <v>0</v>
      </c>
      <c r="E581" s="151">
        <f>INDEX('Analysis of bottom-up tags'!$N$122:$W$153,MATCH(Dashboard!$B581,'Analysis of bottom-up tags'!$B$122:$B$153,0),MATCH(Dashboard!E$21,'Analysis of bottom-up tags'!$N$6:$W$6,0))*E$24</f>
        <v>0</v>
      </c>
      <c r="F581" s="151">
        <f>INDEX('Analysis of bottom-up tags'!$N$122:$W$153,MATCH(Dashboard!$B581,'Analysis of bottom-up tags'!$B$122:$B$153,0),MATCH(Dashboard!F$21,'Analysis of bottom-up tags'!$N$6:$W$6,0))*F$24</f>
        <v>0</v>
      </c>
      <c r="G581" s="151">
        <f>INDEX('Analysis of bottom-up tags'!$N$122:$W$153,MATCH(Dashboard!$B581,'Analysis of bottom-up tags'!$B$122:$B$153,0),MATCH(Dashboard!G$21,'Analysis of bottom-up tags'!$N$6:$W$6,0))*G$24</f>
        <v>0</v>
      </c>
      <c r="H581" s="151">
        <f>INDEX('Analysis of bottom-up tags'!$N$122:$W$153,MATCH(Dashboard!$B581,'Analysis of bottom-up tags'!$B$122:$B$153,0),MATCH(Dashboard!H$21,'Analysis of bottom-up tags'!$N$6:$W$6,0))*H$24</f>
        <v>0</v>
      </c>
      <c r="I581" s="151">
        <f>INDEX('Analysis of bottom-up tags'!$N$122:$W$153,MATCH(Dashboard!$B581,'Analysis of bottom-up tags'!$B$122:$B$153,0),MATCH(Dashboard!I$21,'Analysis of bottom-up tags'!$N$6:$W$6,0))*I$24</f>
        <v>0</v>
      </c>
      <c r="J581" s="151">
        <f>INDEX('Analysis of bottom-up tags'!$N$122:$W$153,MATCH(Dashboard!$B581,'Analysis of bottom-up tags'!$B$122:$B$153,0),MATCH(Dashboard!J$21,'Analysis of bottom-up tags'!$N$6:$W$6,0))*J$24</f>
        <v>0</v>
      </c>
      <c r="K581" s="151">
        <f>INDEX('Analysis of bottom-up tags'!$N$122:$W$153,MATCH(Dashboard!$B581,'Analysis of bottom-up tags'!$B$122:$B$153,0),MATCH(Dashboard!K$21,'Analysis of bottom-up tags'!$N$6:$W$6,0))*K$24</f>
        <v>2.2912213443178404E-2</v>
      </c>
      <c r="L581" s="151">
        <f>INDEX('Analysis of bottom-up tags'!$N$122:$W$153,MATCH(Dashboard!$B581,'Analysis of bottom-up tags'!$B$122:$B$153,0),MATCH(Dashboard!L$21,'Analysis of bottom-up tags'!$N$6:$W$6,0))*L$24</f>
        <v>0</v>
      </c>
      <c r="M581" s="151">
        <f t="shared" si="317"/>
        <v>2.2912213443178404E-2</v>
      </c>
    </row>
    <row r="582" spans="2:13">
      <c r="B582" s="22" t="s">
        <v>9288</v>
      </c>
      <c r="C582" s="151">
        <f>INDEX('Analysis of bottom-up tags'!$N$122:$W$153,MATCH(Dashboard!$B582,'Analysis of bottom-up tags'!$B$122:$B$153,0),MATCH(Dashboard!C$21,'Analysis of bottom-up tags'!$N$6:$W$6,0))*C$24</f>
        <v>0</v>
      </c>
      <c r="D582" s="151">
        <f>INDEX('Analysis of bottom-up tags'!$N$122:$W$153,MATCH(Dashboard!$B582,'Analysis of bottom-up tags'!$B$122:$B$153,0),MATCH(Dashboard!D$21,'Analysis of bottom-up tags'!$N$6:$W$6,0))*D$24</f>
        <v>0</v>
      </c>
      <c r="E582" s="151">
        <f>INDEX('Analysis of bottom-up tags'!$N$122:$W$153,MATCH(Dashboard!$B582,'Analysis of bottom-up tags'!$B$122:$B$153,0),MATCH(Dashboard!E$21,'Analysis of bottom-up tags'!$N$6:$W$6,0))*E$24</f>
        <v>0</v>
      </c>
      <c r="F582" s="151">
        <f>INDEX('Analysis of bottom-up tags'!$N$122:$W$153,MATCH(Dashboard!$B582,'Analysis of bottom-up tags'!$B$122:$B$153,0),MATCH(Dashboard!F$21,'Analysis of bottom-up tags'!$N$6:$W$6,0))*F$24</f>
        <v>0</v>
      </c>
      <c r="G582" s="151">
        <f>INDEX('Analysis of bottom-up tags'!$N$122:$W$153,MATCH(Dashboard!$B582,'Analysis of bottom-up tags'!$B$122:$B$153,0),MATCH(Dashboard!G$21,'Analysis of bottom-up tags'!$N$6:$W$6,0))*G$24</f>
        <v>0</v>
      </c>
      <c r="H582" s="151">
        <f>INDEX('Analysis of bottom-up tags'!$N$122:$W$153,MATCH(Dashboard!$B582,'Analysis of bottom-up tags'!$B$122:$B$153,0),MATCH(Dashboard!H$21,'Analysis of bottom-up tags'!$N$6:$W$6,0))*H$24</f>
        <v>1.4561773693566586</v>
      </c>
      <c r="I582" s="151">
        <f>INDEX('Analysis of bottom-up tags'!$N$122:$W$153,MATCH(Dashboard!$B582,'Analysis of bottom-up tags'!$B$122:$B$153,0),MATCH(Dashboard!I$21,'Analysis of bottom-up tags'!$N$6:$W$6,0))*I$24</f>
        <v>0.10057498073898054</v>
      </c>
      <c r="J582" s="151">
        <f>INDEX('Analysis of bottom-up tags'!$N$122:$W$153,MATCH(Dashboard!$B582,'Analysis of bottom-up tags'!$B$122:$B$153,0),MATCH(Dashboard!J$21,'Analysis of bottom-up tags'!$N$6:$W$6,0))*J$24</f>
        <v>0</v>
      </c>
      <c r="K582" s="151">
        <f>INDEX('Analysis of bottom-up tags'!$N$122:$W$153,MATCH(Dashboard!$B582,'Analysis of bottom-up tags'!$B$122:$B$153,0),MATCH(Dashboard!K$21,'Analysis of bottom-up tags'!$N$6:$W$6,0))*K$24</f>
        <v>0</v>
      </c>
      <c r="L582" s="151">
        <f>INDEX('Analysis of bottom-up tags'!$N$122:$W$153,MATCH(Dashboard!$B582,'Analysis of bottom-up tags'!$B$122:$B$153,0),MATCH(Dashboard!L$21,'Analysis of bottom-up tags'!$N$6:$W$6,0))*L$24</f>
        <v>0</v>
      </c>
      <c r="M582" s="151">
        <f t="shared" si="317"/>
        <v>1.5567523500956393</v>
      </c>
    </row>
    <row r="583" spans="2:13">
      <c r="B583" s="22" t="s">
        <v>7148</v>
      </c>
      <c r="C583" s="151">
        <f>INDEX('Analysis of bottom-up tags'!$N$122:$W$153,MATCH(Dashboard!$B583,'Analysis of bottom-up tags'!$B$122:$B$153,0),MATCH(Dashboard!C$21,'Analysis of bottom-up tags'!$N$6:$W$6,0))*C$24</f>
        <v>0</v>
      </c>
      <c r="D583" s="151">
        <f>INDEX('Analysis of bottom-up tags'!$N$122:$W$153,MATCH(Dashboard!$B583,'Analysis of bottom-up tags'!$B$122:$B$153,0),MATCH(Dashboard!D$21,'Analysis of bottom-up tags'!$N$6:$W$6,0))*D$24</f>
        <v>0</v>
      </c>
      <c r="E583" s="151">
        <f>INDEX('Analysis of bottom-up tags'!$N$122:$W$153,MATCH(Dashboard!$B583,'Analysis of bottom-up tags'!$B$122:$B$153,0),MATCH(Dashboard!E$21,'Analysis of bottom-up tags'!$N$6:$W$6,0))*E$24</f>
        <v>0</v>
      </c>
      <c r="F583" s="151">
        <f>INDEX('Analysis of bottom-up tags'!$N$122:$W$153,MATCH(Dashboard!$B583,'Analysis of bottom-up tags'!$B$122:$B$153,0),MATCH(Dashboard!F$21,'Analysis of bottom-up tags'!$N$6:$W$6,0))*F$24</f>
        <v>0</v>
      </c>
      <c r="G583" s="151">
        <f>INDEX('Analysis of bottom-up tags'!$N$122:$W$153,MATCH(Dashboard!$B583,'Analysis of bottom-up tags'!$B$122:$B$153,0),MATCH(Dashboard!G$21,'Analysis of bottom-up tags'!$N$6:$W$6,0))*G$24</f>
        <v>0</v>
      </c>
      <c r="H583" s="151">
        <f>INDEX('Analysis of bottom-up tags'!$N$122:$W$153,MATCH(Dashboard!$B583,'Analysis of bottom-up tags'!$B$122:$B$153,0),MATCH(Dashboard!H$21,'Analysis of bottom-up tags'!$N$6:$W$6,0))*H$24</f>
        <v>0</v>
      </c>
      <c r="I583" s="151">
        <f>INDEX('Analysis of bottom-up tags'!$N$122:$W$153,MATCH(Dashboard!$B583,'Analysis of bottom-up tags'!$B$122:$B$153,0),MATCH(Dashboard!I$21,'Analysis of bottom-up tags'!$N$6:$W$6,0))*I$24</f>
        <v>0</v>
      </c>
      <c r="J583" s="151">
        <f>INDEX('Analysis of bottom-up tags'!$N$122:$W$153,MATCH(Dashboard!$B583,'Analysis of bottom-up tags'!$B$122:$B$153,0),MATCH(Dashboard!J$21,'Analysis of bottom-up tags'!$N$6:$W$6,0))*J$24</f>
        <v>0</v>
      </c>
      <c r="K583" s="151">
        <f>INDEX('Analysis of bottom-up tags'!$N$122:$W$153,MATCH(Dashboard!$B583,'Analysis of bottom-up tags'!$B$122:$B$153,0),MATCH(Dashboard!K$21,'Analysis of bottom-up tags'!$N$6:$W$6,0))*K$24</f>
        <v>0</v>
      </c>
      <c r="L583" s="151">
        <f>INDEX('Analysis of bottom-up tags'!$N$122:$W$153,MATCH(Dashboard!$B583,'Analysis of bottom-up tags'!$B$122:$B$153,0),MATCH(Dashboard!L$21,'Analysis of bottom-up tags'!$N$6:$W$6,0))*L$24</f>
        <v>0.75135717110673961</v>
      </c>
      <c r="M583" s="151">
        <f t="shared" si="317"/>
        <v>0.75135717110673961</v>
      </c>
    </row>
    <row r="584" spans="2:13">
      <c r="B584" s="22" t="s">
        <v>6393</v>
      </c>
      <c r="C584" s="151">
        <f>INDEX('Analysis of bottom-up tags'!$N$122:$W$153,MATCH(Dashboard!$B584,'Analysis of bottom-up tags'!$B$122:$B$153,0),MATCH(Dashboard!C$21,'Analysis of bottom-up tags'!$N$6:$W$6,0))*C$24</f>
        <v>0</v>
      </c>
      <c r="D584" s="151">
        <f>INDEX('Analysis of bottom-up tags'!$N$122:$W$153,MATCH(Dashboard!$B584,'Analysis of bottom-up tags'!$B$122:$B$153,0),MATCH(Dashboard!D$21,'Analysis of bottom-up tags'!$N$6:$W$6,0))*D$24</f>
        <v>0</v>
      </c>
      <c r="E584" s="151">
        <f>INDEX('Analysis of bottom-up tags'!$N$122:$W$153,MATCH(Dashboard!$B584,'Analysis of bottom-up tags'!$B$122:$B$153,0),MATCH(Dashboard!E$21,'Analysis of bottom-up tags'!$N$6:$W$6,0))*E$24</f>
        <v>0</v>
      </c>
      <c r="F584" s="151">
        <f>INDEX('Analysis of bottom-up tags'!$N$122:$W$153,MATCH(Dashboard!$B584,'Analysis of bottom-up tags'!$B$122:$B$153,0),MATCH(Dashboard!F$21,'Analysis of bottom-up tags'!$N$6:$W$6,0))*F$24</f>
        <v>0</v>
      </c>
      <c r="G584" s="151">
        <f>INDEX('Analysis of bottom-up tags'!$N$122:$W$153,MATCH(Dashboard!$B584,'Analysis of bottom-up tags'!$B$122:$B$153,0),MATCH(Dashboard!G$21,'Analysis of bottom-up tags'!$N$6:$W$6,0))*G$24</f>
        <v>0</v>
      </c>
      <c r="H584" s="151">
        <f>INDEX('Analysis of bottom-up tags'!$N$122:$W$153,MATCH(Dashboard!$B584,'Analysis of bottom-up tags'!$B$122:$B$153,0),MATCH(Dashboard!H$21,'Analysis of bottom-up tags'!$N$6:$W$6,0))*H$24</f>
        <v>0</v>
      </c>
      <c r="I584" s="151">
        <f>INDEX('Analysis of bottom-up tags'!$N$122:$W$153,MATCH(Dashboard!$B584,'Analysis of bottom-up tags'!$B$122:$B$153,0),MATCH(Dashboard!I$21,'Analysis of bottom-up tags'!$N$6:$W$6,0))*I$24</f>
        <v>0</v>
      </c>
      <c r="J584" s="151">
        <f>INDEX('Analysis of bottom-up tags'!$N$122:$W$153,MATCH(Dashboard!$B584,'Analysis of bottom-up tags'!$B$122:$B$153,0),MATCH(Dashboard!J$21,'Analysis of bottom-up tags'!$N$6:$W$6,0))*J$24</f>
        <v>0</v>
      </c>
      <c r="K584" s="151">
        <f>INDEX('Analysis of bottom-up tags'!$N$122:$W$153,MATCH(Dashboard!$B584,'Analysis of bottom-up tags'!$B$122:$B$153,0),MATCH(Dashboard!K$21,'Analysis of bottom-up tags'!$N$6:$W$6,0))*K$24</f>
        <v>0.20340180343150308</v>
      </c>
      <c r="L584" s="151">
        <f>INDEX('Analysis of bottom-up tags'!$N$122:$W$153,MATCH(Dashboard!$B584,'Analysis of bottom-up tags'!$B$122:$B$153,0),MATCH(Dashboard!L$21,'Analysis of bottom-up tags'!$N$6:$W$6,0))*L$24</f>
        <v>0</v>
      </c>
      <c r="M584" s="151">
        <f t="shared" si="317"/>
        <v>0.20340180343150308</v>
      </c>
    </row>
    <row r="585" spans="2:13">
      <c r="B585" s="22" t="s">
        <v>9462</v>
      </c>
      <c r="C585" s="151">
        <f>INDEX('Analysis of bottom-up tags'!$N$122:$W$153,MATCH(Dashboard!$B585,'Analysis of bottom-up tags'!$B$122:$B$153,0),MATCH(Dashboard!C$21,'Analysis of bottom-up tags'!$N$6:$W$6,0))*C$24</f>
        <v>0</v>
      </c>
      <c r="D585" s="151">
        <f>INDEX('Analysis of bottom-up tags'!$N$122:$W$153,MATCH(Dashboard!$B585,'Analysis of bottom-up tags'!$B$122:$B$153,0),MATCH(Dashboard!D$21,'Analysis of bottom-up tags'!$N$6:$W$6,0))*D$24</f>
        <v>0</v>
      </c>
      <c r="E585" s="151">
        <f>INDEX('Analysis of bottom-up tags'!$N$122:$W$153,MATCH(Dashboard!$B585,'Analysis of bottom-up tags'!$B$122:$B$153,0),MATCH(Dashboard!E$21,'Analysis of bottom-up tags'!$N$6:$W$6,0))*E$24</f>
        <v>0</v>
      </c>
      <c r="F585" s="151">
        <f>INDEX('Analysis of bottom-up tags'!$N$122:$W$153,MATCH(Dashboard!$B585,'Analysis of bottom-up tags'!$B$122:$B$153,0),MATCH(Dashboard!F$21,'Analysis of bottom-up tags'!$N$6:$W$6,0))*F$24</f>
        <v>0</v>
      </c>
      <c r="G585" s="151">
        <f>INDEX('Analysis of bottom-up tags'!$N$122:$W$153,MATCH(Dashboard!$B585,'Analysis of bottom-up tags'!$B$122:$B$153,0),MATCH(Dashboard!G$21,'Analysis of bottom-up tags'!$N$6:$W$6,0))*G$24</f>
        <v>0</v>
      </c>
      <c r="H585" s="151">
        <f>INDEX('Analysis of bottom-up tags'!$N$122:$W$153,MATCH(Dashboard!$B585,'Analysis of bottom-up tags'!$B$122:$B$153,0),MATCH(Dashboard!H$21,'Analysis of bottom-up tags'!$N$6:$W$6,0))*H$24</f>
        <v>0.87992970331351117</v>
      </c>
      <c r="I585" s="151">
        <f>INDEX('Analysis of bottom-up tags'!$N$122:$W$153,MATCH(Dashboard!$B585,'Analysis of bottom-up tags'!$B$122:$B$153,0),MATCH(Dashboard!I$21,'Analysis of bottom-up tags'!$N$6:$W$6,0))*I$24</f>
        <v>0</v>
      </c>
      <c r="J585" s="151">
        <f>INDEX('Analysis of bottom-up tags'!$N$122:$W$153,MATCH(Dashboard!$B585,'Analysis of bottom-up tags'!$B$122:$B$153,0),MATCH(Dashboard!J$21,'Analysis of bottom-up tags'!$N$6:$W$6,0))*J$24</f>
        <v>0</v>
      </c>
      <c r="K585" s="151">
        <f>INDEX('Analysis of bottom-up tags'!$N$122:$W$153,MATCH(Dashboard!$B585,'Analysis of bottom-up tags'!$B$122:$B$153,0),MATCH(Dashboard!K$21,'Analysis of bottom-up tags'!$N$6:$W$6,0))*K$24</f>
        <v>0</v>
      </c>
      <c r="L585" s="151">
        <f>INDEX('Analysis of bottom-up tags'!$N$122:$W$153,MATCH(Dashboard!$B585,'Analysis of bottom-up tags'!$B$122:$B$153,0),MATCH(Dashboard!L$21,'Analysis of bottom-up tags'!$N$6:$W$6,0))*L$24</f>
        <v>0</v>
      </c>
      <c r="M585" s="151">
        <f t="shared" si="317"/>
        <v>0.87992970331351117</v>
      </c>
    </row>
    <row r="586" spans="2:13">
      <c r="B586" s="22" t="s">
        <v>6313</v>
      </c>
      <c r="C586" s="151">
        <f>INDEX('Analysis of bottom-up tags'!$N$122:$W$153,MATCH(Dashboard!$B586,'Analysis of bottom-up tags'!$B$122:$B$153,0),MATCH(Dashboard!C$21,'Analysis of bottom-up tags'!$N$6:$W$6,0))*C$24</f>
        <v>0</v>
      </c>
      <c r="D586" s="151">
        <f>INDEX('Analysis of bottom-up tags'!$N$122:$W$153,MATCH(Dashboard!$B586,'Analysis of bottom-up tags'!$B$122:$B$153,0),MATCH(Dashboard!D$21,'Analysis of bottom-up tags'!$N$6:$W$6,0))*D$24</f>
        <v>0</v>
      </c>
      <c r="E586" s="151">
        <f>INDEX('Analysis of bottom-up tags'!$N$122:$W$153,MATCH(Dashboard!$B586,'Analysis of bottom-up tags'!$B$122:$B$153,0),MATCH(Dashboard!E$21,'Analysis of bottom-up tags'!$N$6:$W$6,0))*E$24</f>
        <v>0</v>
      </c>
      <c r="F586" s="151">
        <f>INDEX('Analysis of bottom-up tags'!$N$122:$W$153,MATCH(Dashboard!$B586,'Analysis of bottom-up tags'!$B$122:$B$153,0),MATCH(Dashboard!F$21,'Analysis of bottom-up tags'!$N$6:$W$6,0))*F$24</f>
        <v>0</v>
      </c>
      <c r="G586" s="151">
        <f>INDEX('Analysis of bottom-up tags'!$N$122:$W$153,MATCH(Dashboard!$B586,'Analysis of bottom-up tags'!$B$122:$B$153,0),MATCH(Dashboard!G$21,'Analysis of bottom-up tags'!$N$6:$W$6,0))*G$24</f>
        <v>0</v>
      </c>
      <c r="H586" s="151">
        <f>INDEX('Analysis of bottom-up tags'!$N$122:$W$153,MATCH(Dashboard!$B586,'Analysis of bottom-up tags'!$B$122:$B$153,0),MATCH(Dashboard!H$21,'Analysis of bottom-up tags'!$N$6:$W$6,0))*H$24</f>
        <v>0</v>
      </c>
      <c r="I586" s="151">
        <f>INDEX('Analysis of bottom-up tags'!$N$122:$W$153,MATCH(Dashboard!$B586,'Analysis of bottom-up tags'!$B$122:$B$153,0),MATCH(Dashboard!I$21,'Analysis of bottom-up tags'!$N$6:$W$6,0))*I$24</f>
        <v>0</v>
      </c>
      <c r="J586" s="151">
        <f>INDEX('Analysis of bottom-up tags'!$N$122:$W$153,MATCH(Dashboard!$B586,'Analysis of bottom-up tags'!$B$122:$B$153,0),MATCH(Dashboard!J$21,'Analysis of bottom-up tags'!$N$6:$W$6,0))*J$24</f>
        <v>0</v>
      </c>
      <c r="K586" s="151">
        <f>INDEX('Analysis of bottom-up tags'!$N$122:$W$153,MATCH(Dashboard!$B586,'Analysis of bottom-up tags'!$B$122:$B$153,0),MATCH(Dashboard!K$21,'Analysis of bottom-up tags'!$N$6:$W$6,0))*K$24</f>
        <v>0</v>
      </c>
      <c r="L586" s="151">
        <f>INDEX('Analysis of bottom-up tags'!$N$122:$W$153,MATCH(Dashboard!$B586,'Analysis of bottom-up tags'!$B$122:$B$153,0),MATCH(Dashboard!L$21,'Analysis of bottom-up tags'!$N$6:$W$6,0))*L$24</f>
        <v>0</v>
      </c>
      <c r="M586" s="151">
        <f t="shared" si="317"/>
        <v>0</v>
      </c>
    </row>
    <row r="587" spans="2:13">
      <c r="B587" s="22" t="s">
        <v>9855</v>
      </c>
      <c r="C587" s="151">
        <f>INDEX('Analysis of bottom-up tags'!$N$122:$W$153,MATCH(Dashboard!$B587,'Analysis of bottom-up tags'!$B$122:$B$153,0),MATCH(Dashboard!C$21,'Analysis of bottom-up tags'!$N$6:$W$6,0))*C$24</f>
        <v>0</v>
      </c>
      <c r="D587" s="151">
        <f>INDEX('Analysis of bottom-up tags'!$N$122:$W$153,MATCH(Dashboard!$B587,'Analysis of bottom-up tags'!$B$122:$B$153,0),MATCH(Dashboard!D$21,'Analysis of bottom-up tags'!$N$6:$W$6,0))*D$24</f>
        <v>0</v>
      </c>
      <c r="E587" s="151">
        <f>INDEX('Analysis of bottom-up tags'!$N$122:$W$153,MATCH(Dashboard!$B587,'Analysis of bottom-up tags'!$B$122:$B$153,0),MATCH(Dashboard!E$21,'Analysis of bottom-up tags'!$N$6:$W$6,0))*E$24</f>
        <v>0</v>
      </c>
      <c r="F587" s="151">
        <f>INDEX('Analysis of bottom-up tags'!$N$122:$W$153,MATCH(Dashboard!$B587,'Analysis of bottom-up tags'!$B$122:$B$153,0),MATCH(Dashboard!F$21,'Analysis of bottom-up tags'!$N$6:$W$6,0))*F$24</f>
        <v>0</v>
      </c>
      <c r="G587" s="151">
        <f>INDEX('Analysis of bottom-up tags'!$N$122:$W$153,MATCH(Dashboard!$B587,'Analysis of bottom-up tags'!$B$122:$B$153,0),MATCH(Dashboard!G$21,'Analysis of bottom-up tags'!$N$6:$W$6,0))*G$24</f>
        <v>2.4275682501694997</v>
      </c>
      <c r="H587" s="151">
        <f>INDEX('Analysis of bottom-up tags'!$N$122:$W$153,MATCH(Dashboard!$B587,'Analysis of bottom-up tags'!$B$122:$B$153,0),MATCH(Dashboard!H$21,'Analysis of bottom-up tags'!$N$6:$W$6,0))*H$24</f>
        <v>0</v>
      </c>
      <c r="I587" s="151">
        <f>INDEX('Analysis of bottom-up tags'!$N$122:$W$153,MATCH(Dashboard!$B587,'Analysis of bottom-up tags'!$B$122:$B$153,0),MATCH(Dashboard!I$21,'Analysis of bottom-up tags'!$N$6:$W$6,0))*I$24</f>
        <v>0</v>
      </c>
      <c r="J587" s="151">
        <f>INDEX('Analysis of bottom-up tags'!$N$122:$W$153,MATCH(Dashboard!$B587,'Analysis of bottom-up tags'!$B$122:$B$153,0),MATCH(Dashboard!J$21,'Analysis of bottom-up tags'!$N$6:$W$6,0))*J$24</f>
        <v>0</v>
      </c>
      <c r="K587" s="151">
        <f>INDEX('Analysis of bottom-up tags'!$N$122:$W$153,MATCH(Dashboard!$B587,'Analysis of bottom-up tags'!$B$122:$B$153,0),MATCH(Dashboard!K$21,'Analysis of bottom-up tags'!$N$6:$W$6,0))*K$24</f>
        <v>0</v>
      </c>
      <c r="L587" s="151">
        <f>INDEX('Analysis of bottom-up tags'!$N$122:$W$153,MATCH(Dashboard!$B587,'Analysis of bottom-up tags'!$B$122:$B$153,0),MATCH(Dashboard!L$21,'Analysis of bottom-up tags'!$N$6:$W$6,0))*L$24</f>
        <v>0</v>
      </c>
      <c r="M587" s="151">
        <f t="shared" si="317"/>
        <v>2.4275682501694997</v>
      </c>
    </row>
    <row r="588" spans="2:13">
      <c r="B588" s="22" t="s">
        <v>6281</v>
      </c>
      <c r="C588" s="151">
        <f>INDEX('Analysis of bottom-up tags'!$N$122:$W$153,MATCH(Dashboard!$B588,'Analysis of bottom-up tags'!$B$122:$B$153,0),MATCH(Dashboard!C$21,'Analysis of bottom-up tags'!$N$6:$W$6,0))*C$24</f>
        <v>0</v>
      </c>
      <c r="D588" s="151">
        <f>INDEX('Analysis of bottom-up tags'!$N$122:$W$153,MATCH(Dashboard!$B588,'Analysis of bottom-up tags'!$B$122:$B$153,0),MATCH(Dashboard!D$21,'Analysis of bottom-up tags'!$N$6:$W$6,0))*D$24</f>
        <v>0</v>
      </c>
      <c r="E588" s="151">
        <f>INDEX('Analysis of bottom-up tags'!$N$122:$W$153,MATCH(Dashboard!$B588,'Analysis of bottom-up tags'!$B$122:$B$153,0),MATCH(Dashboard!E$21,'Analysis of bottom-up tags'!$N$6:$W$6,0))*E$24</f>
        <v>0</v>
      </c>
      <c r="F588" s="151">
        <f>INDEX('Analysis of bottom-up tags'!$N$122:$W$153,MATCH(Dashboard!$B588,'Analysis of bottom-up tags'!$B$122:$B$153,0),MATCH(Dashboard!F$21,'Analysis of bottom-up tags'!$N$6:$W$6,0))*F$24</f>
        <v>0</v>
      </c>
      <c r="G588" s="151">
        <f>INDEX('Analysis of bottom-up tags'!$N$122:$W$153,MATCH(Dashboard!$B588,'Analysis of bottom-up tags'!$B$122:$B$153,0),MATCH(Dashboard!G$21,'Analysis of bottom-up tags'!$N$6:$W$6,0))*G$24</f>
        <v>0</v>
      </c>
      <c r="H588" s="151">
        <f>INDEX('Analysis of bottom-up tags'!$N$122:$W$153,MATCH(Dashboard!$B588,'Analysis of bottom-up tags'!$B$122:$B$153,0),MATCH(Dashboard!H$21,'Analysis of bottom-up tags'!$N$6:$W$6,0))*H$24</f>
        <v>0</v>
      </c>
      <c r="I588" s="151">
        <f>INDEX('Analysis of bottom-up tags'!$N$122:$W$153,MATCH(Dashboard!$B588,'Analysis of bottom-up tags'!$B$122:$B$153,0),MATCH(Dashboard!I$21,'Analysis of bottom-up tags'!$N$6:$W$6,0))*I$24</f>
        <v>0</v>
      </c>
      <c r="J588" s="151">
        <f>INDEX('Analysis of bottom-up tags'!$N$122:$W$153,MATCH(Dashboard!$B588,'Analysis of bottom-up tags'!$B$122:$B$153,0),MATCH(Dashboard!J$21,'Analysis of bottom-up tags'!$N$6:$W$6,0))*J$24</f>
        <v>0</v>
      </c>
      <c r="K588" s="151">
        <f>INDEX('Analysis of bottom-up tags'!$N$122:$W$153,MATCH(Dashboard!$B588,'Analysis of bottom-up tags'!$B$122:$B$153,0),MATCH(Dashboard!K$21,'Analysis of bottom-up tags'!$N$6:$W$6,0))*K$24</f>
        <v>0</v>
      </c>
      <c r="L588" s="151">
        <f>INDEX('Analysis of bottom-up tags'!$N$122:$W$153,MATCH(Dashboard!$B588,'Analysis of bottom-up tags'!$B$122:$B$153,0),MATCH(Dashboard!L$21,'Analysis of bottom-up tags'!$N$6:$W$6,0))*L$24</f>
        <v>0.26231415217861409</v>
      </c>
      <c r="M588" s="151">
        <f t="shared" si="317"/>
        <v>0.26231415217861409</v>
      </c>
    </row>
    <row r="589" spans="2:13">
      <c r="B589" s="22" t="s">
        <v>10098</v>
      </c>
      <c r="C589" s="151">
        <f>INDEX('Analysis of bottom-up tags'!$N$122:$W$153,MATCH(Dashboard!$B589,'Analysis of bottom-up tags'!$B$122:$B$153,0),MATCH(Dashboard!C$21,'Analysis of bottom-up tags'!$N$6:$W$6,0))*C$24</f>
        <v>0</v>
      </c>
      <c r="D589" s="151">
        <f>INDEX('Analysis of bottom-up tags'!$N$122:$W$153,MATCH(Dashboard!$B589,'Analysis of bottom-up tags'!$B$122:$B$153,0),MATCH(Dashboard!D$21,'Analysis of bottom-up tags'!$N$6:$W$6,0))*D$24</f>
        <v>0</v>
      </c>
      <c r="E589" s="151">
        <f>INDEX('Analysis of bottom-up tags'!$N$122:$W$153,MATCH(Dashboard!$B589,'Analysis of bottom-up tags'!$B$122:$B$153,0),MATCH(Dashboard!E$21,'Analysis of bottom-up tags'!$N$6:$W$6,0))*E$24</f>
        <v>0</v>
      </c>
      <c r="F589" s="151">
        <f>INDEX('Analysis of bottom-up tags'!$N$122:$W$153,MATCH(Dashboard!$B589,'Analysis of bottom-up tags'!$B$122:$B$153,0),MATCH(Dashboard!F$21,'Analysis of bottom-up tags'!$N$6:$W$6,0))*F$24</f>
        <v>0</v>
      </c>
      <c r="G589" s="151">
        <f>INDEX('Analysis of bottom-up tags'!$N$122:$W$153,MATCH(Dashboard!$B589,'Analysis of bottom-up tags'!$B$122:$B$153,0),MATCH(Dashboard!G$21,'Analysis of bottom-up tags'!$N$6:$W$6,0))*G$24</f>
        <v>0</v>
      </c>
      <c r="H589" s="151">
        <f>INDEX('Analysis of bottom-up tags'!$N$122:$W$153,MATCH(Dashboard!$B589,'Analysis of bottom-up tags'!$B$122:$B$153,0),MATCH(Dashboard!H$21,'Analysis of bottom-up tags'!$N$6:$W$6,0))*H$24</f>
        <v>9.4065789417397114E-2</v>
      </c>
      <c r="I589" s="151">
        <f>INDEX('Analysis of bottom-up tags'!$N$122:$W$153,MATCH(Dashboard!$B589,'Analysis of bottom-up tags'!$B$122:$B$153,0),MATCH(Dashboard!I$21,'Analysis of bottom-up tags'!$N$6:$W$6,0))*I$24</f>
        <v>0</v>
      </c>
      <c r="J589" s="151">
        <f>INDEX('Analysis of bottom-up tags'!$N$122:$W$153,MATCH(Dashboard!$B589,'Analysis of bottom-up tags'!$B$122:$B$153,0),MATCH(Dashboard!J$21,'Analysis of bottom-up tags'!$N$6:$W$6,0))*J$24</f>
        <v>0</v>
      </c>
      <c r="K589" s="151">
        <f>INDEX('Analysis of bottom-up tags'!$N$122:$W$153,MATCH(Dashboard!$B589,'Analysis of bottom-up tags'!$B$122:$B$153,0),MATCH(Dashboard!K$21,'Analysis of bottom-up tags'!$N$6:$W$6,0))*K$24</f>
        <v>0</v>
      </c>
      <c r="L589" s="151">
        <f>INDEX('Analysis of bottom-up tags'!$N$122:$W$153,MATCH(Dashboard!$B589,'Analysis of bottom-up tags'!$B$122:$B$153,0),MATCH(Dashboard!L$21,'Analysis of bottom-up tags'!$N$6:$W$6,0))*L$24</f>
        <v>0</v>
      </c>
      <c r="M589" s="151">
        <f t="shared" si="317"/>
        <v>9.4065789417397114E-2</v>
      </c>
    </row>
    <row r="590" spans="2:13">
      <c r="B590" s="22"/>
    </row>
    <row r="591" spans="2:13">
      <c r="B591" s="22"/>
    </row>
    <row r="592" spans="2:13">
      <c r="B592" s="22"/>
    </row>
    <row r="593" spans="2:13">
      <c r="B593" s="22"/>
    </row>
    <row r="594" spans="2:13">
      <c r="B594" s="166" t="s">
        <v>11042</v>
      </c>
      <c r="C594" s="166">
        <f>SUM(C562:C593)</f>
        <v>1513.8734567771612</v>
      </c>
      <c r="D594" s="166">
        <f t="shared" ref="D594:K594" si="318">SUM(D562:D593)</f>
        <v>1648.1513531328574</v>
      </c>
      <c r="E594" s="166">
        <f t="shared" si="318"/>
        <v>1538.9507263357616</v>
      </c>
      <c r="F594" s="166">
        <f t="shared" si="318"/>
        <v>1497.2531441495742</v>
      </c>
      <c r="G594" s="166">
        <f t="shared" si="318"/>
        <v>2004.8228062945336</v>
      </c>
      <c r="H594" s="166">
        <f t="shared" si="318"/>
        <v>2147.1032281462853</v>
      </c>
      <c r="I594" s="166">
        <f t="shared" si="318"/>
        <v>1928.6291165943485</v>
      </c>
      <c r="J594" s="166">
        <f t="shared" si="318"/>
        <v>2140.5686863650244</v>
      </c>
      <c r="K594" s="166">
        <f t="shared" si="318"/>
        <v>2360.6510658196394</v>
      </c>
      <c r="L594" s="166">
        <f>SUM(L562:L593)</f>
        <v>2233.8172394531543</v>
      </c>
      <c r="M594" s="166">
        <f t="shared" si="317"/>
        <v>19013.820823068341</v>
      </c>
    </row>
    <row r="596" spans="2:13">
      <c r="B596" s="163" t="s">
        <v>11127</v>
      </c>
      <c r="C596" s="163"/>
      <c r="D596" s="163"/>
      <c r="E596" s="163"/>
      <c r="F596" s="163"/>
      <c r="G596" s="163"/>
      <c r="H596" s="163"/>
      <c r="I596" s="163"/>
      <c r="J596" s="163"/>
      <c r="K596" s="163"/>
      <c r="L596" s="163"/>
      <c r="M596" s="163"/>
    </row>
    <row r="597" spans="2:13">
      <c r="B597" s="22" t="s">
        <v>11083</v>
      </c>
      <c r="C597" s="151">
        <f>INDEX('Analysis of bottom-up tags'!$N$157:$W$159,MATCH(Dashboard!$B597,'Analysis of bottom-up tags'!$B$157:$B$159,0),MATCH(Dashboard!C$21,'Analysis of bottom-up tags'!$N$6:$W$6,0))*C$24</f>
        <v>0</v>
      </c>
      <c r="D597" s="151">
        <f>INDEX('Analysis of bottom-up tags'!$N$157:$W$159,MATCH(Dashboard!$B597,'Analysis of bottom-up tags'!$B$157:$B$159,0),MATCH(Dashboard!D$21,'Analysis of bottom-up tags'!$N$6:$W$6,0))*D$24</f>
        <v>0</v>
      </c>
      <c r="E597" s="151">
        <f>INDEX('Analysis of bottom-up tags'!$N$157:$W$159,MATCH(Dashboard!$B597,'Analysis of bottom-up tags'!$B$157:$B$159,0),MATCH(Dashboard!E$21,'Analysis of bottom-up tags'!$N$6:$W$6,0))*E$24</f>
        <v>0</v>
      </c>
      <c r="F597" s="151">
        <f>INDEX('Analysis of bottom-up tags'!$N$157:$W$159,MATCH(Dashboard!$B597,'Analysis of bottom-up tags'!$B$157:$B$159,0),MATCH(Dashboard!F$21,'Analysis of bottom-up tags'!$N$6:$W$6,0))*F$24</f>
        <v>0</v>
      </c>
      <c r="G597" s="151">
        <f>INDEX('Analysis of bottom-up tags'!$N$157:$W$159,MATCH(Dashboard!$B597,'Analysis of bottom-up tags'!$B$157:$B$159,0),MATCH(Dashboard!G$21,'Analysis of bottom-up tags'!$N$6:$W$6,0))*G$24</f>
        <v>0</v>
      </c>
      <c r="H597" s="151">
        <f>INDEX('Analysis of bottom-up tags'!$N$157:$W$159,MATCH(Dashboard!$B597,'Analysis of bottom-up tags'!$B$157:$B$159,0),MATCH(Dashboard!H$21,'Analysis of bottom-up tags'!$N$6:$W$6,0))*H$24</f>
        <v>0</v>
      </c>
      <c r="I597" s="151">
        <f>INDEX('Analysis of bottom-up tags'!$N$157:$W$159,MATCH(Dashboard!$B597,'Analysis of bottom-up tags'!$B$157:$B$159,0),MATCH(Dashboard!I$21,'Analysis of bottom-up tags'!$N$6:$W$6,0))*I$24</f>
        <v>6.2458971533993299</v>
      </c>
      <c r="J597" s="151">
        <f>INDEX('Analysis of bottom-up tags'!$N$157:$W$159,MATCH(Dashboard!$B597,'Analysis of bottom-up tags'!$B$157:$B$159,0),MATCH(Dashboard!J$21,'Analysis of bottom-up tags'!$N$6:$W$6,0))*J$24</f>
        <v>47.133299285586219</v>
      </c>
      <c r="K597" s="151">
        <f>INDEX('Analysis of bottom-up tags'!$N$157:$W$159,MATCH(Dashboard!$B597,'Analysis of bottom-up tags'!$B$157:$B$159,0),MATCH(Dashboard!K$21,'Analysis of bottom-up tags'!$N$6:$W$6,0))*K$24</f>
        <v>2.8832299940195369</v>
      </c>
      <c r="L597" s="151">
        <f>INDEX('Analysis of bottom-up tags'!$N$157:$W$159,MATCH(Dashboard!$B597,'Analysis of bottom-up tags'!$B$157:$B$159,0),MATCH(Dashboard!L$21,'Analysis of bottom-up tags'!$N$6:$W$6,0))*L$24</f>
        <v>21.759755827364671</v>
      </c>
      <c r="M597" s="187"/>
    </row>
    <row r="598" spans="2:13">
      <c r="B598" s="22" t="s">
        <v>11084</v>
      </c>
      <c r="C598" s="151">
        <f>INDEX('Analysis of bottom-up tags'!$N$157:$W$159,MATCH(Dashboard!$B598,'Analysis of bottom-up tags'!$B$157:$B$159,0),MATCH(Dashboard!C$21,'Analysis of bottom-up tags'!$N$6:$W$6,0))*C$24</f>
        <v>574.41306776368049</v>
      </c>
      <c r="D598" s="151">
        <f>INDEX('Analysis of bottom-up tags'!$N$157:$W$159,MATCH(Dashboard!$B598,'Analysis of bottom-up tags'!$B$157:$B$159,0),MATCH(Dashboard!D$21,'Analysis of bottom-up tags'!$N$6:$W$6,0))*D$24</f>
        <v>1592.8166934473211</v>
      </c>
      <c r="E598" s="151">
        <f>INDEX('Analysis of bottom-up tags'!$N$157:$W$159,MATCH(Dashboard!$B598,'Analysis of bottom-up tags'!$B$157:$B$159,0),MATCH(Dashboard!E$21,'Analysis of bottom-up tags'!$N$6:$W$6,0))*E$24</f>
        <v>672.46986932650998</v>
      </c>
      <c r="F598" s="151">
        <f>INDEX('Analysis of bottom-up tags'!$N$157:$W$159,MATCH(Dashboard!$B598,'Analysis of bottom-up tags'!$B$157:$B$159,0),MATCH(Dashboard!F$21,'Analysis of bottom-up tags'!$N$6:$W$6,0))*F$24</f>
        <v>1231.8629851751637</v>
      </c>
      <c r="G598" s="151">
        <f>INDEX('Analysis of bottom-up tags'!$N$157:$W$159,MATCH(Dashboard!$B598,'Analysis of bottom-up tags'!$B$157:$B$159,0),MATCH(Dashboard!G$21,'Analysis of bottom-up tags'!$N$6:$W$6,0))*G$24</f>
        <v>1546.0055526856627</v>
      </c>
      <c r="H598" s="151">
        <f>INDEX('Analysis of bottom-up tags'!$N$157:$W$159,MATCH(Dashboard!$B598,'Analysis of bottom-up tags'!$B$157:$B$159,0),MATCH(Dashboard!H$21,'Analysis of bottom-up tags'!$N$6:$W$6,0))*H$24</f>
        <v>1093.9094588804912</v>
      </c>
      <c r="I598" s="151">
        <f>INDEX('Analysis of bottom-up tags'!$N$157:$W$159,MATCH(Dashboard!$B598,'Analysis of bottom-up tags'!$B$157:$B$159,0),MATCH(Dashboard!I$21,'Analysis of bottom-up tags'!$N$6:$W$6,0))*I$24</f>
        <v>1787.9661049893309</v>
      </c>
      <c r="J598" s="151">
        <f>INDEX('Analysis of bottom-up tags'!$N$157:$W$159,MATCH(Dashboard!$B598,'Analysis of bottom-up tags'!$B$157:$B$159,0),MATCH(Dashboard!J$21,'Analysis of bottom-up tags'!$N$6:$W$6,0))*J$24</f>
        <v>906.44975242825876</v>
      </c>
      <c r="K598" s="151">
        <f>INDEX('Analysis of bottom-up tags'!$N$157:$W$159,MATCH(Dashboard!$B598,'Analysis of bottom-up tags'!$B$157:$B$159,0),MATCH(Dashboard!K$21,'Analysis of bottom-up tags'!$N$6:$W$6,0))*K$24</f>
        <v>2183.5754286116767</v>
      </c>
      <c r="L598" s="151">
        <f>INDEX('Analysis of bottom-up tags'!$N$157:$W$159,MATCH(Dashboard!$B598,'Analysis of bottom-up tags'!$B$157:$B$159,0),MATCH(Dashboard!L$21,'Analysis of bottom-up tags'!$N$6:$W$6,0))*L$24</f>
        <v>1613.0389082209726</v>
      </c>
      <c r="M598" s="187"/>
    </row>
    <row r="599" spans="2:13">
      <c r="B599" s="22" t="s">
        <v>11085</v>
      </c>
      <c r="C599" s="151">
        <f>INDEX('Analysis of bottom-up tags'!$N$157:$W$159,MATCH(Dashboard!$B599,'Analysis of bottom-up tags'!$B$157:$B$159,0),MATCH(Dashboard!C$21,'Analysis of bottom-up tags'!$N$6:$W$6,0))*C$24</f>
        <v>0</v>
      </c>
      <c r="D599" s="151">
        <f>INDEX('Analysis of bottom-up tags'!$N$157:$W$159,MATCH(Dashboard!$B599,'Analysis of bottom-up tags'!$B$157:$B$159,0),MATCH(Dashboard!D$21,'Analysis of bottom-up tags'!$N$6:$W$6,0))*D$24</f>
        <v>0</v>
      </c>
      <c r="E599" s="151">
        <f>INDEX('Analysis of bottom-up tags'!$N$157:$W$159,MATCH(Dashboard!$B599,'Analysis of bottom-up tags'!$B$157:$B$159,0),MATCH(Dashboard!E$21,'Analysis of bottom-up tags'!$N$6:$W$6,0))*E$24</f>
        <v>0</v>
      </c>
      <c r="F599" s="151">
        <f>INDEX('Analysis of bottom-up tags'!$N$157:$W$159,MATCH(Dashboard!$B599,'Analysis of bottom-up tags'!$B$157:$B$159,0),MATCH(Dashboard!F$21,'Analysis of bottom-up tags'!$N$6:$W$6,0))*F$24</f>
        <v>0</v>
      </c>
      <c r="G599" s="151">
        <f>INDEX('Analysis of bottom-up tags'!$N$157:$W$159,MATCH(Dashboard!$B599,'Analysis of bottom-up tags'!$B$157:$B$159,0),MATCH(Dashboard!G$21,'Analysis of bottom-up tags'!$N$6:$W$6,0))*G$24</f>
        <v>0</v>
      </c>
      <c r="H599" s="151">
        <f>INDEX('Analysis of bottom-up tags'!$N$157:$W$159,MATCH(Dashboard!$B599,'Analysis of bottom-up tags'!$B$157:$B$159,0),MATCH(Dashboard!H$21,'Analysis of bottom-up tags'!$N$6:$W$6,0))*H$24</f>
        <v>0</v>
      </c>
      <c r="I599" s="151">
        <f>INDEX('Analysis of bottom-up tags'!$N$157:$W$159,MATCH(Dashboard!$B599,'Analysis of bottom-up tags'!$B$157:$B$159,0),MATCH(Dashboard!I$21,'Analysis of bottom-up tags'!$N$6:$W$6,0))*I$24</f>
        <v>6.5910559645355447</v>
      </c>
      <c r="J599" s="151">
        <f>INDEX('Analysis of bottom-up tags'!$N$157:$W$159,MATCH(Dashboard!$B599,'Analysis of bottom-up tags'!$B$157:$B$159,0),MATCH(Dashboard!J$21,'Analysis of bottom-up tags'!$N$6:$W$6,0))*J$24</f>
        <v>104.48151482821147</v>
      </c>
      <c r="K599" s="151">
        <f>INDEX('Analysis of bottom-up tags'!$N$157:$W$159,MATCH(Dashboard!$B599,'Analysis of bottom-up tags'!$B$157:$B$159,0),MATCH(Dashboard!K$21,'Analysis of bottom-up tags'!$N$6:$W$6,0))*K$24</f>
        <v>2.8832299940195369</v>
      </c>
      <c r="L599" s="151">
        <f>INDEX('Analysis of bottom-up tags'!$N$157:$W$159,MATCH(Dashboard!$B599,'Analysis of bottom-up tags'!$B$157:$B$159,0),MATCH(Dashboard!L$21,'Analysis of bottom-up tags'!$N$6:$W$6,0))*L$24</f>
        <v>21.759755827364671</v>
      </c>
      <c r="M599" s="187"/>
    </row>
    <row r="603" spans="2:13">
      <c r="B603" s="98" t="s">
        <v>11128</v>
      </c>
      <c r="C603" s="163"/>
      <c r="D603" s="163"/>
      <c r="E603" s="163"/>
      <c r="F603" s="163"/>
      <c r="G603" s="163"/>
      <c r="H603" s="163"/>
      <c r="I603" s="163"/>
      <c r="J603" s="163"/>
      <c r="K603" s="163"/>
      <c r="L603" s="163"/>
      <c r="M603" s="163"/>
    </row>
    <row r="604" spans="2:13">
      <c r="B604" s="151" t="s">
        <v>11108</v>
      </c>
      <c r="C604" s="151">
        <f>INDEX('Analysis of bottom-up tags'!$N$163:$W$168,MATCH(Dashboard!$B604,'Analysis of bottom-up tags'!$B$163:$B$168,0),MATCH(Dashboard!C$21,'Analysis of bottom-up tags'!$N$6:$W$6,0))*C$24</f>
        <v>0</v>
      </c>
      <c r="D604" s="151">
        <f>INDEX('Analysis of bottom-up tags'!$N$163:$W$168,MATCH(Dashboard!$B604,'Analysis of bottom-up tags'!$B$163:$B$168,0),MATCH(Dashboard!D$21,'Analysis of bottom-up tags'!$N$6:$W$6,0))*D$24</f>
        <v>0</v>
      </c>
      <c r="E604" s="151">
        <f>INDEX('Analysis of bottom-up tags'!$N$163:$W$168,MATCH(Dashboard!$B604,'Analysis of bottom-up tags'!$B$163:$B$168,0),MATCH(Dashboard!E$21,'Analysis of bottom-up tags'!$N$6:$W$6,0))*E$24</f>
        <v>0</v>
      </c>
      <c r="F604" s="151">
        <f>INDEX('Analysis of bottom-up tags'!$N$163:$W$168,MATCH(Dashboard!$B604,'Analysis of bottom-up tags'!$B$163:$B$168,0),MATCH(Dashboard!F$21,'Analysis of bottom-up tags'!$N$6:$W$6,0))*F$24</f>
        <v>0</v>
      </c>
      <c r="G604" s="151">
        <f>INDEX('Analysis of bottom-up tags'!$N$163:$W$168,MATCH(Dashboard!$B604,'Analysis of bottom-up tags'!$B$163:$B$168,0),MATCH(Dashboard!G$21,'Analysis of bottom-up tags'!$N$6:$W$6,0))*G$24</f>
        <v>0</v>
      </c>
      <c r="H604" s="151">
        <f>INDEX('Analysis of bottom-up tags'!$N$163:$W$168,MATCH(Dashboard!$B604,'Analysis of bottom-up tags'!$B$163:$B$168,0),MATCH(Dashboard!H$21,'Analysis of bottom-up tags'!$N$6:$W$6,0))*H$24</f>
        <v>0</v>
      </c>
      <c r="I604" s="151">
        <f>INDEX('Analysis of bottom-up tags'!$N$163:$W$168,MATCH(Dashboard!$B604,'Analysis of bottom-up tags'!$B$163:$B$168,0),MATCH(Dashboard!I$21,'Analysis of bottom-up tags'!$N$6:$W$6,0))*I$24</f>
        <v>6.2458971533993299</v>
      </c>
      <c r="J604" s="151">
        <f>INDEX('Analysis of bottom-up tags'!$N$163:$W$168,MATCH(Dashboard!$B604,'Analysis of bottom-up tags'!$B$163:$B$168,0),MATCH(Dashboard!J$21,'Analysis of bottom-up tags'!$N$6:$W$6,0))*J$24</f>
        <v>47.133299285586219</v>
      </c>
      <c r="K604" s="151">
        <f>INDEX('Analysis of bottom-up tags'!$N$163:$W$168,MATCH(Dashboard!$B604,'Analysis of bottom-up tags'!$B$163:$B$168,0),MATCH(Dashboard!K$21,'Analysis of bottom-up tags'!$N$6:$W$6,0))*K$24</f>
        <v>2.8832299940195369</v>
      </c>
      <c r="L604" s="151">
        <f>INDEX('Analysis of bottom-up tags'!$N$163:$W$168,MATCH(Dashboard!$B604,'Analysis of bottom-up tags'!$B$163:$B$168,0),MATCH(Dashboard!L$21,'Analysis of bottom-up tags'!$N$6:$W$6,0))*L$24</f>
        <v>21.759755827364671</v>
      </c>
      <c r="M604" s="151">
        <f>SUM(C604:L604,)</f>
        <v>78.02218226036976</v>
      </c>
    </row>
    <row r="605" spans="2:13">
      <c r="B605" s="151" t="s">
        <v>11110</v>
      </c>
      <c r="C605" s="151">
        <f>INDEX('Analysis of bottom-up tags'!$N$163:$W$168,MATCH(Dashboard!$B605,'Analysis of bottom-up tags'!$B$163:$B$168,0),MATCH(Dashboard!C$21,'Analysis of bottom-up tags'!$N$6:$W$6,0))*C$24</f>
        <v>0</v>
      </c>
      <c r="D605" s="151">
        <f>INDEX('Analysis of bottom-up tags'!$N$163:$W$168,MATCH(Dashboard!$B605,'Analysis of bottom-up tags'!$B$163:$B$168,0),MATCH(Dashboard!D$21,'Analysis of bottom-up tags'!$N$6:$W$6,0))*D$24</f>
        <v>0</v>
      </c>
      <c r="E605" s="151">
        <f>INDEX('Analysis of bottom-up tags'!$N$163:$W$168,MATCH(Dashboard!$B605,'Analysis of bottom-up tags'!$B$163:$B$168,0),MATCH(Dashboard!E$21,'Analysis of bottom-up tags'!$N$6:$W$6,0))*E$24</f>
        <v>0</v>
      </c>
      <c r="F605" s="151">
        <f>INDEX('Analysis of bottom-up tags'!$N$163:$W$168,MATCH(Dashboard!$B605,'Analysis of bottom-up tags'!$B$163:$B$168,0),MATCH(Dashboard!F$21,'Analysis of bottom-up tags'!$N$6:$W$6,0))*F$24</f>
        <v>0</v>
      </c>
      <c r="G605" s="151">
        <f>INDEX('Analysis of bottom-up tags'!$N$163:$W$168,MATCH(Dashboard!$B605,'Analysis of bottom-up tags'!$B$163:$B$168,0),MATCH(Dashboard!G$21,'Analysis of bottom-up tags'!$N$6:$W$6,0))*G$24</f>
        <v>0</v>
      </c>
      <c r="H605" s="151">
        <f>INDEX('Analysis of bottom-up tags'!$N$163:$W$168,MATCH(Dashboard!$B605,'Analysis of bottom-up tags'!$B$163:$B$168,0),MATCH(Dashboard!H$21,'Analysis of bottom-up tags'!$N$6:$W$6,0))*H$24</f>
        <v>0</v>
      </c>
      <c r="I605" s="151">
        <f>INDEX('Analysis of bottom-up tags'!$N$163:$W$168,MATCH(Dashboard!$B605,'Analysis of bottom-up tags'!$B$163:$B$168,0),MATCH(Dashboard!I$21,'Analysis of bottom-up tags'!$N$6:$W$6,0))*I$24</f>
        <v>0</v>
      </c>
      <c r="J605" s="151">
        <f>INDEX('Analysis of bottom-up tags'!$N$163:$W$168,MATCH(Dashboard!$B605,'Analysis of bottom-up tags'!$B$163:$B$168,0),MATCH(Dashboard!J$21,'Analysis of bottom-up tags'!$N$6:$W$6,0))*J$24</f>
        <v>0</v>
      </c>
      <c r="K605" s="151">
        <f>INDEX('Analysis of bottom-up tags'!$N$163:$W$168,MATCH(Dashboard!$B605,'Analysis of bottom-up tags'!$B$163:$B$168,0),MATCH(Dashboard!K$21,'Analysis of bottom-up tags'!$N$6:$W$6,0))*K$24</f>
        <v>0</v>
      </c>
      <c r="L605" s="151">
        <f>INDEX('Analysis of bottom-up tags'!$N$163:$W$168,MATCH(Dashboard!$B605,'Analysis of bottom-up tags'!$B$163:$B$168,0),MATCH(Dashboard!L$21,'Analysis of bottom-up tags'!$N$6:$W$6,0))*L$24</f>
        <v>0</v>
      </c>
      <c r="M605" s="151">
        <f t="shared" ref="M605:M617" si="319">SUM(C605:L605,)</f>
        <v>0</v>
      </c>
    </row>
    <row r="606" spans="2:13">
      <c r="B606" s="151" t="s">
        <v>11109</v>
      </c>
      <c r="C606" s="151">
        <f>INDEX('Analysis of bottom-up tags'!$N$163:$W$168,MATCH(Dashboard!$B606,'Analysis of bottom-up tags'!$B$163:$B$168,0),MATCH(Dashboard!C$21,'Analysis of bottom-up tags'!$N$6:$W$6,0))*C$24</f>
        <v>0</v>
      </c>
      <c r="D606" s="151">
        <f>INDEX('Analysis of bottom-up tags'!$N$163:$W$168,MATCH(Dashboard!$B606,'Analysis of bottom-up tags'!$B$163:$B$168,0),MATCH(Dashboard!D$21,'Analysis of bottom-up tags'!$N$6:$W$6,0))*D$24</f>
        <v>0</v>
      </c>
      <c r="E606" s="151">
        <f>INDEX('Analysis of bottom-up tags'!$N$163:$W$168,MATCH(Dashboard!$B606,'Analysis of bottom-up tags'!$B$163:$B$168,0),MATCH(Dashboard!E$21,'Analysis of bottom-up tags'!$N$6:$W$6,0))*E$24</f>
        <v>0</v>
      </c>
      <c r="F606" s="151">
        <f>INDEX('Analysis of bottom-up tags'!$N$163:$W$168,MATCH(Dashboard!$B606,'Analysis of bottom-up tags'!$B$163:$B$168,0),MATCH(Dashboard!F$21,'Analysis of bottom-up tags'!$N$6:$W$6,0))*F$24</f>
        <v>0</v>
      </c>
      <c r="G606" s="151">
        <f>INDEX('Analysis of bottom-up tags'!$N$163:$W$168,MATCH(Dashboard!$B606,'Analysis of bottom-up tags'!$B$163:$B$168,0),MATCH(Dashboard!G$21,'Analysis of bottom-up tags'!$N$6:$W$6,0))*G$24</f>
        <v>0</v>
      </c>
      <c r="H606" s="151">
        <f>INDEX('Analysis of bottom-up tags'!$N$163:$W$168,MATCH(Dashboard!$B606,'Analysis of bottom-up tags'!$B$163:$B$168,0),MATCH(Dashboard!H$21,'Analysis of bottom-up tags'!$N$6:$W$6,0))*H$24</f>
        <v>0</v>
      </c>
      <c r="I606" s="151">
        <f>INDEX('Analysis of bottom-up tags'!$N$163:$W$168,MATCH(Dashboard!$B606,'Analysis of bottom-up tags'!$B$163:$B$168,0),MATCH(Dashboard!I$21,'Analysis of bottom-up tags'!$N$6:$W$6,0))*I$24</f>
        <v>0</v>
      </c>
      <c r="J606" s="151">
        <f>INDEX('Analysis of bottom-up tags'!$N$163:$W$168,MATCH(Dashboard!$B606,'Analysis of bottom-up tags'!$B$163:$B$168,0),MATCH(Dashboard!J$21,'Analysis of bottom-up tags'!$N$6:$W$6,0))*J$24</f>
        <v>0</v>
      </c>
      <c r="K606" s="151">
        <f>INDEX('Analysis of bottom-up tags'!$N$163:$W$168,MATCH(Dashboard!$B606,'Analysis of bottom-up tags'!$B$163:$B$168,0),MATCH(Dashboard!K$21,'Analysis of bottom-up tags'!$N$6:$W$6,0))*K$24</f>
        <v>0</v>
      </c>
      <c r="L606" s="151">
        <f>INDEX('Analysis of bottom-up tags'!$N$163:$W$168,MATCH(Dashboard!$B606,'Analysis of bottom-up tags'!$B$163:$B$168,0),MATCH(Dashboard!L$21,'Analysis of bottom-up tags'!$N$6:$W$6,0))*L$24</f>
        <v>0</v>
      </c>
      <c r="M606" s="151">
        <f t="shared" si="319"/>
        <v>0</v>
      </c>
    </row>
    <row r="607" spans="2:13">
      <c r="B607" s="151" t="s">
        <v>11111</v>
      </c>
      <c r="C607" s="151">
        <f>INDEX('Analysis of bottom-up tags'!$N$163:$W$168,MATCH(Dashboard!$B607,'Analysis of bottom-up tags'!$B$163:$B$168,0),MATCH(Dashboard!C$21,'Analysis of bottom-up tags'!$N$6:$W$6,0))*C$24</f>
        <v>0</v>
      </c>
      <c r="D607" s="151">
        <f>INDEX('Analysis of bottom-up tags'!$N$163:$W$168,MATCH(Dashboard!$B607,'Analysis of bottom-up tags'!$B$163:$B$168,0),MATCH(Dashboard!D$21,'Analysis of bottom-up tags'!$N$6:$W$6,0))*D$24</f>
        <v>0</v>
      </c>
      <c r="E607" s="151">
        <f>INDEX('Analysis of bottom-up tags'!$N$163:$W$168,MATCH(Dashboard!$B607,'Analysis of bottom-up tags'!$B$163:$B$168,0),MATCH(Dashboard!E$21,'Analysis of bottom-up tags'!$N$6:$W$6,0))*E$24</f>
        <v>0</v>
      </c>
      <c r="F607" s="151">
        <f>INDEX('Analysis of bottom-up tags'!$N$163:$W$168,MATCH(Dashboard!$B607,'Analysis of bottom-up tags'!$B$163:$B$168,0),MATCH(Dashboard!F$21,'Analysis of bottom-up tags'!$N$6:$W$6,0))*F$24</f>
        <v>0</v>
      </c>
      <c r="G607" s="151">
        <f>INDEX('Analysis of bottom-up tags'!$N$163:$W$168,MATCH(Dashboard!$B607,'Analysis of bottom-up tags'!$B$163:$B$168,0),MATCH(Dashboard!G$21,'Analysis of bottom-up tags'!$N$6:$W$6,0))*G$24</f>
        <v>0</v>
      </c>
      <c r="H607" s="151">
        <f>INDEX('Analysis of bottom-up tags'!$N$163:$W$168,MATCH(Dashboard!$B607,'Analysis of bottom-up tags'!$B$163:$B$168,0),MATCH(Dashboard!H$21,'Analysis of bottom-up tags'!$N$6:$W$6,0))*H$24</f>
        <v>0</v>
      </c>
      <c r="I607" s="151">
        <f>INDEX('Analysis of bottom-up tags'!$N$163:$W$168,MATCH(Dashboard!$B607,'Analysis of bottom-up tags'!$B$163:$B$168,0),MATCH(Dashboard!I$21,'Analysis of bottom-up tags'!$N$6:$W$6,0))*I$24</f>
        <v>0</v>
      </c>
      <c r="J607" s="151">
        <f>INDEX('Analysis of bottom-up tags'!$N$163:$W$168,MATCH(Dashboard!$B607,'Analysis of bottom-up tags'!$B$163:$B$168,0),MATCH(Dashboard!J$21,'Analysis of bottom-up tags'!$N$6:$W$6,0))*J$24</f>
        <v>0</v>
      </c>
      <c r="K607" s="151">
        <f>INDEX('Analysis of bottom-up tags'!$N$163:$W$168,MATCH(Dashboard!$B607,'Analysis of bottom-up tags'!$B$163:$B$168,0),MATCH(Dashboard!K$21,'Analysis of bottom-up tags'!$N$6:$W$6,0))*K$24</f>
        <v>0</v>
      </c>
      <c r="L607" s="151">
        <f>INDEX('Analysis of bottom-up tags'!$N$163:$W$168,MATCH(Dashboard!$B607,'Analysis of bottom-up tags'!$B$163:$B$168,0),MATCH(Dashboard!L$21,'Analysis of bottom-up tags'!$N$6:$W$6,0))*L$24</f>
        <v>0</v>
      </c>
      <c r="M607" s="151">
        <f t="shared" si="319"/>
        <v>0</v>
      </c>
    </row>
    <row r="608" spans="2:13">
      <c r="B608" s="151" t="s">
        <v>10621</v>
      </c>
      <c r="C608" s="151">
        <f>INDEX('Analysis of bottom-up tags'!$N$163:$W$168,MATCH(Dashboard!$B608,'Analysis of bottom-up tags'!$B$163:$B$168,0),MATCH(Dashboard!C$21,'Analysis of bottom-up tags'!$N$6:$W$6,0))*C$24</f>
        <v>0</v>
      </c>
      <c r="D608" s="151">
        <f>INDEX('Analysis of bottom-up tags'!$N$163:$W$168,MATCH(Dashboard!$B608,'Analysis of bottom-up tags'!$B$163:$B$168,0),MATCH(Dashboard!D$21,'Analysis of bottom-up tags'!$N$6:$W$6,0))*D$24</f>
        <v>0</v>
      </c>
      <c r="E608" s="151">
        <f>INDEX('Analysis of bottom-up tags'!$N$163:$W$168,MATCH(Dashboard!$B608,'Analysis of bottom-up tags'!$B$163:$B$168,0),MATCH(Dashboard!E$21,'Analysis of bottom-up tags'!$N$6:$W$6,0))*E$24</f>
        <v>0</v>
      </c>
      <c r="F608" s="151">
        <f>INDEX('Analysis of bottom-up tags'!$N$163:$W$168,MATCH(Dashboard!$B608,'Analysis of bottom-up tags'!$B$163:$B$168,0),MATCH(Dashboard!F$21,'Analysis of bottom-up tags'!$N$6:$W$6,0))*F$24</f>
        <v>0</v>
      </c>
      <c r="G608" s="151">
        <f>INDEX('Analysis of bottom-up tags'!$N$163:$W$168,MATCH(Dashboard!$B608,'Analysis of bottom-up tags'!$B$163:$B$168,0),MATCH(Dashboard!G$21,'Analysis of bottom-up tags'!$N$6:$W$6,0))*G$24</f>
        <v>0</v>
      </c>
      <c r="H608" s="151">
        <f>INDEX('Analysis of bottom-up tags'!$N$163:$W$168,MATCH(Dashboard!$B608,'Analysis of bottom-up tags'!$B$163:$B$168,0),MATCH(Dashboard!H$21,'Analysis of bottom-up tags'!$N$6:$W$6,0))*H$24</f>
        <v>0</v>
      </c>
      <c r="I608" s="151">
        <f>INDEX('Analysis of bottom-up tags'!$N$163:$W$168,MATCH(Dashboard!$B608,'Analysis of bottom-up tags'!$B$163:$B$168,0),MATCH(Dashboard!I$21,'Analysis of bottom-up tags'!$N$6:$W$6,0))*I$24</f>
        <v>0</v>
      </c>
      <c r="J608" s="151">
        <f>INDEX('Analysis of bottom-up tags'!$N$163:$W$168,MATCH(Dashboard!$B608,'Analysis of bottom-up tags'!$B$163:$B$168,0),MATCH(Dashboard!J$21,'Analysis of bottom-up tags'!$N$6:$W$6,0))*J$24</f>
        <v>0</v>
      </c>
      <c r="K608" s="151">
        <f>INDEX('Analysis of bottom-up tags'!$N$163:$W$168,MATCH(Dashboard!$B608,'Analysis of bottom-up tags'!$B$163:$B$168,0),MATCH(Dashboard!K$21,'Analysis of bottom-up tags'!$N$6:$W$6,0))*K$24</f>
        <v>0</v>
      </c>
      <c r="L608" s="151">
        <f>INDEX('Analysis of bottom-up tags'!$N$163:$W$168,MATCH(Dashboard!$B608,'Analysis of bottom-up tags'!$B$163:$B$168,0),MATCH(Dashboard!L$21,'Analysis of bottom-up tags'!$N$6:$W$6,0))*L$24</f>
        <v>0</v>
      </c>
      <c r="M608" s="151">
        <f t="shared" si="319"/>
        <v>0</v>
      </c>
    </row>
    <row r="609" spans="2:13">
      <c r="B609" s="151" t="s">
        <v>10558</v>
      </c>
      <c r="C609" s="151">
        <f>INDEX('Analysis of bottom-up tags'!$N$163:$W$168,MATCH(Dashboard!$B609,'Analysis of bottom-up tags'!$B$163:$B$168,0),MATCH(Dashboard!C$21,'Analysis of bottom-up tags'!$N$6:$W$6,0))*C$24</f>
        <v>0</v>
      </c>
      <c r="D609" s="151">
        <f>INDEX('Analysis of bottom-up tags'!$N$163:$W$168,MATCH(Dashboard!$B609,'Analysis of bottom-up tags'!$B$163:$B$168,0),MATCH(Dashboard!D$21,'Analysis of bottom-up tags'!$N$6:$W$6,0))*D$24</f>
        <v>0</v>
      </c>
      <c r="E609" s="151">
        <f>INDEX('Analysis of bottom-up tags'!$N$163:$W$168,MATCH(Dashboard!$B609,'Analysis of bottom-up tags'!$B$163:$B$168,0),MATCH(Dashboard!E$21,'Analysis of bottom-up tags'!$N$6:$W$6,0))*E$24</f>
        <v>0</v>
      </c>
      <c r="F609" s="151">
        <f>INDEX('Analysis of bottom-up tags'!$N$163:$W$168,MATCH(Dashboard!$B609,'Analysis of bottom-up tags'!$B$163:$B$168,0),MATCH(Dashboard!F$21,'Analysis of bottom-up tags'!$N$6:$W$6,0))*F$24</f>
        <v>0</v>
      </c>
      <c r="G609" s="151">
        <f>INDEX('Analysis of bottom-up tags'!$N$163:$W$168,MATCH(Dashboard!$B609,'Analysis of bottom-up tags'!$B$163:$B$168,0),MATCH(Dashboard!G$21,'Analysis of bottom-up tags'!$N$6:$W$6,0))*G$24</f>
        <v>0</v>
      </c>
      <c r="H609" s="151">
        <f>INDEX('Analysis of bottom-up tags'!$N$163:$W$168,MATCH(Dashboard!$B609,'Analysis of bottom-up tags'!$B$163:$B$168,0),MATCH(Dashboard!H$21,'Analysis of bottom-up tags'!$N$6:$W$6,0))*H$24</f>
        <v>0</v>
      </c>
      <c r="I609" s="151">
        <f>INDEX('Analysis of bottom-up tags'!$N$163:$W$168,MATCH(Dashboard!$B609,'Analysis of bottom-up tags'!$B$163:$B$168,0),MATCH(Dashboard!I$21,'Analysis of bottom-up tags'!$N$6:$W$6,0))*I$24</f>
        <v>0</v>
      </c>
      <c r="J609" s="151">
        <f>INDEX('Analysis of bottom-up tags'!$N$163:$W$168,MATCH(Dashboard!$B609,'Analysis of bottom-up tags'!$B$163:$B$168,0),MATCH(Dashboard!J$21,'Analysis of bottom-up tags'!$N$6:$W$6,0))*J$24</f>
        <v>0</v>
      </c>
      <c r="K609" s="151">
        <f>INDEX('Analysis of bottom-up tags'!$N$163:$W$168,MATCH(Dashboard!$B609,'Analysis of bottom-up tags'!$B$163:$B$168,0),MATCH(Dashboard!K$21,'Analysis of bottom-up tags'!$N$6:$W$6,0))*K$24</f>
        <v>0</v>
      </c>
      <c r="L609" s="151">
        <f>INDEX('Analysis of bottom-up tags'!$N$163:$W$168,MATCH(Dashboard!$B609,'Analysis of bottom-up tags'!$B$163:$B$168,0),MATCH(Dashboard!L$21,'Analysis of bottom-up tags'!$N$6:$W$6,0))*L$24</f>
        <v>0</v>
      </c>
      <c r="M609" s="151">
        <f t="shared" si="319"/>
        <v>0</v>
      </c>
    </row>
    <row r="610" spans="2:13">
      <c r="B610" s="22"/>
    </row>
    <row r="611" spans="2:13">
      <c r="B611" s="98" t="s">
        <v>11129</v>
      </c>
      <c r="C611" s="163"/>
      <c r="D611" s="163"/>
      <c r="E611" s="163"/>
      <c r="F611" s="163"/>
      <c r="G611" s="163"/>
      <c r="H611" s="163"/>
      <c r="I611" s="163"/>
      <c r="J611" s="163"/>
      <c r="K611" s="163"/>
      <c r="L611" s="163"/>
      <c r="M611" s="163"/>
    </row>
    <row r="612" spans="2:13">
      <c r="B612" s="151" t="s">
        <v>11108</v>
      </c>
      <c r="C612" s="151">
        <f>INDEX('Analysis of bottom-up tags'!$N$173:$W$178,MATCH(Dashboard!$B612,'Analysis of bottom-up tags'!$B$173:$B$178,0),MATCH(Dashboard!C$21,'Analysis of bottom-up tags'!$N$6:$W$6,0))*C$24</f>
        <v>574.41306776368049</v>
      </c>
      <c r="D612" s="151">
        <f>INDEX('Analysis of bottom-up tags'!$N$173:$W$178,MATCH(Dashboard!$B612,'Analysis of bottom-up tags'!$B$173:$B$178,0),MATCH(Dashboard!D$21,'Analysis of bottom-up tags'!$N$6:$W$6,0))*D$24</f>
        <v>1592.8166934473211</v>
      </c>
      <c r="E612" s="151">
        <f>INDEX('Analysis of bottom-up tags'!$N$173:$W$178,MATCH(Dashboard!$B612,'Analysis of bottom-up tags'!$B$173:$B$178,0),MATCH(Dashboard!E$21,'Analysis of bottom-up tags'!$N$6:$W$6,0))*E$24</f>
        <v>672.46986932650998</v>
      </c>
      <c r="F612" s="151">
        <f>INDEX('Analysis of bottom-up tags'!$N$173:$W$178,MATCH(Dashboard!$B612,'Analysis of bottom-up tags'!$B$173:$B$178,0),MATCH(Dashboard!F$21,'Analysis of bottom-up tags'!$N$6:$W$6,0))*F$24</f>
        <v>1231.8629851751637</v>
      </c>
      <c r="G612" s="151">
        <f>INDEX('Analysis of bottom-up tags'!$N$173:$W$178,MATCH(Dashboard!$B612,'Analysis of bottom-up tags'!$B$173:$B$178,0),MATCH(Dashboard!G$21,'Analysis of bottom-up tags'!$N$6:$W$6,0))*G$24</f>
        <v>1432.9426389728731</v>
      </c>
      <c r="H612" s="151">
        <f>INDEX('Analysis of bottom-up tags'!$N$173:$W$178,MATCH(Dashboard!$B612,'Analysis of bottom-up tags'!$B$173:$B$178,0),MATCH(Dashboard!H$21,'Analysis of bottom-up tags'!$N$6:$W$6,0))*H$24</f>
        <v>964.53638947663114</v>
      </c>
      <c r="I612" s="151">
        <f>INDEX('Analysis of bottom-up tags'!$N$173:$W$178,MATCH(Dashboard!$B612,'Analysis of bottom-up tags'!$B$173:$B$178,0),MATCH(Dashboard!I$21,'Analysis of bottom-up tags'!$N$6:$W$6,0))*I$24</f>
        <v>629.93806594601165</v>
      </c>
      <c r="J612" s="151">
        <f>INDEX('Analysis of bottom-up tags'!$N$173:$W$178,MATCH(Dashboard!$B612,'Analysis of bottom-up tags'!$B$173:$B$178,0),MATCH(Dashboard!J$21,'Analysis of bottom-up tags'!$N$6:$W$6,0))*J$24</f>
        <v>694.60630356727324</v>
      </c>
      <c r="K612" s="151">
        <f>INDEX('Analysis of bottom-up tags'!$N$173:$W$178,MATCH(Dashboard!$B612,'Analysis of bottom-up tags'!$B$173:$B$178,0),MATCH(Dashboard!K$21,'Analysis of bottom-up tags'!$N$6:$W$6,0))*K$24</f>
        <v>224.73443697874868</v>
      </c>
      <c r="L612" s="151">
        <f>INDEX('Analysis of bottom-up tags'!$N$173:$W$178,MATCH(Dashboard!$B612,'Analysis of bottom-up tags'!$B$173:$B$178,0),MATCH(Dashboard!L$21,'Analysis of bottom-up tags'!$N$6:$W$6,0))*L$24</f>
        <v>1368.6446330954282</v>
      </c>
      <c r="M612" s="151">
        <f t="shared" si="319"/>
        <v>9386.9650837496411</v>
      </c>
    </row>
    <row r="613" spans="2:13">
      <c r="B613" s="151" t="s">
        <v>11110</v>
      </c>
      <c r="C613" s="151">
        <f>INDEX('Analysis of bottom-up tags'!$N$173:$W$178,MATCH(Dashboard!$B613,'Analysis of bottom-up tags'!$B$173:$B$178,0),MATCH(Dashboard!C$21,'Analysis of bottom-up tags'!$N$6:$W$6,0))*C$24</f>
        <v>0</v>
      </c>
      <c r="D613" s="151">
        <f>INDEX('Analysis of bottom-up tags'!$N$173:$W$178,MATCH(Dashboard!$B613,'Analysis of bottom-up tags'!$B$173:$B$178,0),MATCH(Dashboard!D$21,'Analysis of bottom-up tags'!$N$6:$W$6,0))*D$24</f>
        <v>0</v>
      </c>
      <c r="E613" s="151">
        <f>INDEX('Analysis of bottom-up tags'!$N$173:$W$178,MATCH(Dashboard!$B613,'Analysis of bottom-up tags'!$B$173:$B$178,0),MATCH(Dashboard!E$21,'Analysis of bottom-up tags'!$N$6:$W$6,0))*E$24</f>
        <v>0</v>
      </c>
      <c r="F613" s="151">
        <f>INDEX('Analysis of bottom-up tags'!$N$173:$W$178,MATCH(Dashboard!$B613,'Analysis of bottom-up tags'!$B$173:$B$178,0),MATCH(Dashboard!F$21,'Analysis of bottom-up tags'!$N$6:$W$6,0))*F$24</f>
        <v>0</v>
      </c>
      <c r="G613" s="151">
        <f>INDEX('Analysis of bottom-up tags'!$N$173:$W$178,MATCH(Dashboard!$B613,'Analysis of bottom-up tags'!$B$173:$B$178,0),MATCH(Dashboard!G$21,'Analysis of bottom-up tags'!$N$6:$W$6,0))*G$24</f>
        <v>0</v>
      </c>
      <c r="H613" s="151">
        <f>INDEX('Analysis of bottom-up tags'!$N$173:$W$178,MATCH(Dashboard!$B613,'Analysis of bottom-up tags'!$B$173:$B$178,0),MATCH(Dashboard!H$21,'Analysis of bottom-up tags'!$N$6:$W$6,0))*H$24</f>
        <v>113.84283486597617</v>
      </c>
      <c r="I613" s="151">
        <f>INDEX('Analysis of bottom-up tags'!$N$173:$W$178,MATCH(Dashboard!$B613,'Analysis of bottom-up tags'!$B$173:$B$178,0),MATCH(Dashboard!I$21,'Analysis of bottom-up tags'!$N$6:$W$6,0))*I$24</f>
        <v>12.851024857293819</v>
      </c>
      <c r="J613" s="151">
        <f>INDEX('Analysis of bottom-up tags'!$N$173:$W$178,MATCH(Dashboard!$B613,'Analysis of bottom-up tags'!$B$173:$B$178,0),MATCH(Dashboard!J$21,'Analysis of bottom-up tags'!$N$6:$W$6,0))*J$24</f>
        <v>96.543130898269524</v>
      </c>
      <c r="K613" s="151">
        <f>INDEX('Analysis of bottom-up tags'!$N$173:$W$178,MATCH(Dashboard!$B613,'Analysis of bottom-up tags'!$B$173:$B$178,0),MATCH(Dashboard!K$21,'Analysis of bottom-up tags'!$N$6:$W$6,0))*K$24</f>
        <v>83.113977127214056</v>
      </c>
      <c r="L613" s="151">
        <f>INDEX('Analysis of bottom-up tags'!$N$173:$W$178,MATCH(Dashboard!$B613,'Analysis of bottom-up tags'!$B$173:$B$178,0),MATCH(Dashboard!L$21,'Analysis of bottom-up tags'!$N$6:$W$6,0))*L$24</f>
        <v>198.14829702947321</v>
      </c>
      <c r="M613" s="151">
        <f t="shared" si="319"/>
        <v>504.4992647782268</v>
      </c>
    </row>
    <row r="614" spans="2:13">
      <c r="B614" s="151" t="s">
        <v>11109</v>
      </c>
      <c r="C614" s="151">
        <f>INDEX('Analysis of bottom-up tags'!$N$173:$W$178,MATCH(Dashboard!$B614,'Analysis of bottom-up tags'!$B$173:$B$178,0),MATCH(Dashboard!C$21,'Analysis of bottom-up tags'!$N$6:$W$6,0))*C$24</f>
        <v>0</v>
      </c>
      <c r="D614" s="151">
        <f>INDEX('Analysis of bottom-up tags'!$N$173:$W$178,MATCH(Dashboard!$B614,'Analysis of bottom-up tags'!$B$173:$B$178,0),MATCH(Dashboard!D$21,'Analysis of bottom-up tags'!$N$6:$W$6,0))*D$24</f>
        <v>0</v>
      </c>
      <c r="E614" s="151">
        <f>INDEX('Analysis of bottom-up tags'!$N$173:$W$178,MATCH(Dashboard!$B614,'Analysis of bottom-up tags'!$B$173:$B$178,0),MATCH(Dashboard!E$21,'Analysis of bottom-up tags'!$N$6:$W$6,0))*E$24</f>
        <v>0</v>
      </c>
      <c r="F614" s="151">
        <f>INDEX('Analysis of bottom-up tags'!$N$173:$W$178,MATCH(Dashboard!$B614,'Analysis of bottom-up tags'!$B$173:$B$178,0),MATCH(Dashboard!F$21,'Analysis of bottom-up tags'!$N$6:$W$6,0))*F$24</f>
        <v>0</v>
      </c>
      <c r="G614" s="151">
        <f>INDEX('Analysis of bottom-up tags'!$N$173:$W$178,MATCH(Dashboard!$B614,'Analysis of bottom-up tags'!$B$173:$B$178,0),MATCH(Dashboard!G$21,'Analysis of bottom-up tags'!$N$6:$W$6,0))*G$24</f>
        <v>0</v>
      </c>
      <c r="H614" s="151">
        <f>INDEX('Analysis of bottom-up tags'!$N$173:$W$178,MATCH(Dashboard!$B614,'Analysis of bottom-up tags'!$B$173:$B$178,0),MATCH(Dashboard!H$21,'Analysis of bottom-up tags'!$N$6:$W$6,0))*H$24</f>
        <v>8.1792568566187764</v>
      </c>
      <c r="I614" s="151">
        <f>INDEX('Analysis of bottom-up tags'!$N$173:$W$178,MATCH(Dashboard!$B614,'Analysis of bottom-up tags'!$B$173:$B$178,0),MATCH(Dashboard!I$21,'Analysis of bottom-up tags'!$N$6:$W$6,0))*I$24</f>
        <v>91.710873865166135</v>
      </c>
      <c r="J614" s="151">
        <f>INDEX('Analysis of bottom-up tags'!$N$173:$W$178,MATCH(Dashboard!$B614,'Analysis of bottom-up tags'!$B$173:$B$178,0),MATCH(Dashboard!J$21,'Analysis of bottom-up tags'!$N$6:$W$6,0))*J$24</f>
        <v>86.613616181312906</v>
      </c>
      <c r="K614" s="151">
        <f>INDEX('Analysis of bottom-up tags'!$N$173:$W$178,MATCH(Dashboard!$B614,'Analysis of bottom-up tags'!$B$173:$B$178,0),MATCH(Dashboard!K$21,'Analysis of bottom-up tags'!$N$6:$W$6,0))*K$24</f>
        <v>54.431125234555815</v>
      </c>
      <c r="L614" s="151">
        <f>INDEX('Analysis of bottom-up tags'!$N$173:$W$178,MATCH(Dashboard!$B614,'Analysis of bottom-up tags'!$B$173:$B$178,0),MATCH(Dashboard!L$21,'Analysis of bottom-up tags'!$N$6:$W$6,0))*L$24</f>
        <v>0</v>
      </c>
      <c r="M614" s="151">
        <f t="shared" si="319"/>
        <v>240.93487213765363</v>
      </c>
    </row>
    <row r="615" spans="2:13">
      <c r="B615" s="151" t="s">
        <v>11111</v>
      </c>
      <c r="C615" s="151">
        <f>INDEX('Analysis of bottom-up tags'!$N$173:$W$178,MATCH(Dashboard!$B615,'Analysis of bottom-up tags'!$B$173:$B$178,0),MATCH(Dashboard!C$21,'Analysis of bottom-up tags'!$N$6:$W$6,0))*C$24</f>
        <v>0</v>
      </c>
      <c r="D615" s="151">
        <f>INDEX('Analysis of bottom-up tags'!$N$173:$W$178,MATCH(Dashboard!$B615,'Analysis of bottom-up tags'!$B$173:$B$178,0),MATCH(Dashboard!D$21,'Analysis of bottom-up tags'!$N$6:$W$6,0))*D$24</f>
        <v>0</v>
      </c>
      <c r="E615" s="151">
        <f>INDEX('Analysis of bottom-up tags'!$N$173:$W$178,MATCH(Dashboard!$B615,'Analysis of bottom-up tags'!$B$173:$B$178,0),MATCH(Dashboard!E$21,'Analysis of bottom-up tags'!$N$6:$W$6,0))*E$24</f>
        <v>0</v>
      </c>
      <c r="F615" s="151">
        <f>INDEX('Analysis of bottom-up tags'!$N$173:$W$178,MATCH(Dashboard!$B615,'Analysis of bottom-up tags'!$B$173:$B$178,0),MATCH(Dashboard!F$21,'Analysis of bottom-up tags'!$N$6:$W$6,0))*F$24</f>
        <v>0</v>
      </c>
      <c r="G615" s="151">
        <f>INDEX('Analysis of bottom-up tags'!$N$173:$W$178,MATCH(Dashboard!$B615,'Analysis of bottom-up tags'!$B$173:$B$178,0),MATCH(Dashboard!G$21,'Analysis of bottom-up tags'!$N$6:$W$6,0))*G$24</f>
        <v>0</v>
      </c>
      <c r="H615" s="151">
        <f>INDEX('Analysis of bottom-up tags'!$N$173:$W$178,MATCH(Dashboard!$B615,'Analysis of bottom-up tags'!$B$173:$B$178,0),MATCH(Dashboard!H$21,'Analysis of bottom-up tags'!$N$6:$W$6,0))*H$24</f>
        <v>0</v>
      </c>
      <c r="I615" s="151">
        <f>INDEX('Analysis of bottom-up tags'!$N$173:$W$178,MATCH(Dashboard!$B615,'Analysis of bottom-up tags'!$B$173:$B$178,0),MATCH(Dashboard!I$21,'Analysis of bottom-up tags'!$N$6:$W$6,0))*I$24</f>
        <v>0</v>
      </c>
      <c r="J615" s="151">
        <f>INDEX('Analysis of bottom-up tags'!$N$173:$W$178,MATCH(Dashboard!$B615,'Analysis of bottom-up tags'!$B$173:$B$178,0),MATCH(Dashboard!J$21,'Analysis of bottom-up tags'!$N$6:$W$6,0))*J$24</f>
        <v>0</v>
      </c>
      <c r="K615" s="151">
        <f>INDEX('Analysis of bottom-up tags'!$N$173:$W$178,MATCH(Dashboard!$B615,'Analysis of bottom-up tags'!$B$173:$B$178,0),MATCH(Dashboard!K$21,'Analysis of bottom-up tags'!$N$6:$W$6,0))*K$24</f>
        <v>0</v>
      </c>
      <c r="L615" s="151">
        <f>INDEX('Analysis of bottom-up tags'!$N$173:$W$178,MATCH(Dashboard!$B615,'Analysis of bottom-up tags'!$B$173:$B$178,0),MATCH(Dashboard!L$21,'Analysis of bottom-up tags'!$N$6:$W$6,0))*L$24</f>
        <v>0</v>
      </c>
      <c r="M615" s="151">
        <f t="shared" si="319"/>
        <v>0</v>
      </c>
    </row>
    <row r="616" spans="2:13">
      <c r="B616" s="151" t="s">
        <v>10621</v>
      </c>
      <c r="C616" s="151">
        <f>INDEX('Analysis of bottom-up tags'!$N$173:$W$178,MATCH(Dashboard!$B616,'Analysis of bottom-up tags'!$B$173:$B$178,0),MATCH(Dashboard!C$21,'Analysis of bottom-up tags'!$N$6:$W$6,0))*C$24</f>
        <v>0</v>
      </c>
      <c r="D616" s="151">
        <f>INDEX('Analysis of bottom-up tags'!$N$173:$W$178,MATCH(Dashboard!$B616,'Analysis of bottom-up tags'!$B$173:$B$178,0),MATCH(Dashboard!D$21,'Analysis of bottom-up tags'!$N$6:$W$6,0))*D$24</f>
        <v>0</v>
      </c>
      <c r="E616" s="151">
        <f>INDEX('Analysis of bottom-up tags'!$N$173:$W$178,MATCH(Dashboard!$B616,'Analysis of bottom-up tags'!$B$173:$B$178,0),MATCH(Dashboard!E$21,'Analysis of bottom-up tags'!$N$6:$W$6,0))*E$24</f>
        <v>0</v>
      </c>
      <c r="F616" s="151">
        <f>INDEX('Analysis of bottom-up tags'!$N$173:$W$178,MATCH(Dashboard!$B616,'Analysis of bottom-up tags'!$B$173:$B$178,0),MATCH(Dashboard!F$21,'Analysis of bottom-up tags'!$N$6:$W$6,0))*F$24</f>
        <v>0</v>
      </c>
      <c r="G616" s="151">
        <f>INDEX('Analysis of bottom-up tags'!$N$173:$W$178,MATCH(Dashboard!$B616,'Analysis of bottom-up tags'!$B$173:$B$178,0),MATCH(Dashboard!G$21,'Analysis of bottom-up tags'!$N$6:$W$6,0))*G$24</f>
        <v>113.06291371278965</v>
      </c>
      <c r="H616" s="151">
        <f>INDEX('Analysis of bottom-up tags'!$N$173:$W$178,MATCH(Dashboard!$B616,'Analysis of bottom-up tags'!$B$173:$B$178,0),MATCH(Dashboard!H$21,'Analysis of bottom-up tags'!$N$6:$W$6,0))*H$24</f>
        <v>7.3509776812649763</v>
      </c>
      <c r="I616" s="151">
        <f>INDEX('Analysis of bottom-up tags'!$N$173:$W$178,MATCH(Dashboard!$B616,'Analysis of bottom-up tags'!$B$173:$B$178,0),MATCH(Dashboard!I$21,'Analysis of bottom-up tags'!$N$6:$W$6,0))*I$24</f>
        <v>1053.4661403208604</v>
      </c>
      <c r="J616" s="151">
        <f>INDEX('Analysis of bottom-up tags'!$N$173:$W$178,MATCH(Dashboard!$B616,'Analysis of bottom-up tags'!$B$173:$B$178,0),MATCH(Dashboard!J$21,'Analysis of bottom-up tags'!$N$6:$W$6,0))*J$24</f>
        <v>28.686701781403315</v>
      </c>
      <c r="K616" s="151">
        <f>INDEX('Analysis of bottom-up tags'!$N$173:$W$178,MATCH(Dashboard!$B616,'Analysis of bottom-up tags'!$B$173:$B$178,0),MATCH(Dashboard!K$21,'Analysis of bottom-up tags'!$N$6:$W$6,0))*K$24</f>
        <v>1821.2958892711588</v>
      </c>
      <c r="L616" s="151">
        <f>INDEX('Analysis of bottom-up tags'!$N$173:$W$178,MATCH(Dashboard!$B616,'Analysis of bottom-up tags'!$B$173:$B$178,0),MATCH(Dashboard!L$21,'Analysis of bottom-up tags'!$N$6:$W$6,0))*L$24</f>
        <v>46.245978096071454</v>
      </c>
      <c r="M616" s="151">
        <f t="shared" si="319"/>
        <v>3070.1086008635489</v>
      </c>
    </row>
    <row r="617" spans="2:13">
      <c r="B617" s="151" t="s">
        <v>10558</v>
      </c>
      <c r="C617" s="151">
        <f>INDEX('Analysis of bottom-up tags'!$N$173:$W$178,MATCH(Dashboard!$B617,'Analysis of bottom-up tags'!$B$173:$B$178,0),MATCH(Dashboard!C$21,'Analysis of bottom-up tags'!$N$6:$W$6,0))*C$24</f>
        <v>0</v>
      </c>
      <c r="D617" s="151">
        <f>INDEX('Analysis of bottom-up tags'!$N$173:$W$178,MATCH(Dashboard!$B617,'Analysis of bottom-up tags'!$B$173:$B$178,0),MATCH(Dashboard!D$21,'Analysis of bottom-up tags'!$N$6:$W$6,0))*D$24</f>
        <v>0</v>
      </c>
      <c r="E617" s="151">
        <f>INDEX('Analysis of bottom-up tags'!$N$173:$W$178,MATCH(Dashboard!$B617,'Analysis of bottom-up tags'!$B$173:$B$178,0),MATCH(Dashboard!E$21,'Analysis of bottom-up tags'!$N$6:$W$6,0))*E$24</f>
        <v>0</v>
      </c>
      <c r="F617" s="151">
        <f>INDEX('Analysis of bottom-up tags'!$N$173:$W$178,MATCH(Dashboard!$B617,'Analysis of bottom-up tags'!$B$173:$B$178,0),MATCH(Dashboard!F$21,'Analysis of bottom-up tags'!$N$6:$W$6,0))*F$24</f>
        <v>0</v>
      </c>
      <c r="G617" s="151">
        <f>INDEX('Analysis of bottom-up tags'!$N$173:$W$178,MATCH(Dashboard!$B617,'Analysis of bottom-up tags'!$B$173:$B$178,0),MATCH(Dashboard!G$21,'Analysis of bottom-up tags'!$N$6:$W$6,0))*G$24</f>
        <v>0</v>
      </c>
      <c r="H617" s="151">
        <f>INDEX('Analysis of bottom-up tags'!$N$173:$W$178,MATCH(Dashboard!$B617,'Analysis of bottom-up tags'!$B$173:$B$178,0),MATCH(Dashboard!H$21,'Analysis of bottom-up tags'!$N$6:$W$6,0))*H$24</f>
        <v>0</v>
      </c>
      <c r="I617" s="151">
        <f>INDEX('Analysis of bottom-up tags'!$N$173:$W$178,MATCH(Dashboard!$B617,'Analysis of bottom-up tags'!$B$173:$B$178,0),MATCH(Dashboard!I$21,'Analysis of bottom-up tags'!$N$6:$W$6,0))*I$24</f>
        <v>0</v>
      </c>
      <c r="J617" s="151">
        <f>INDEX('Analysis of bottom-up tags'!$N$173:$W$178,MATCH(Dashboard!$B617,'Analysis of bottom-up tags'!$B$173:$B$178,0),MATCH(Dashboard!J$21,'Analysis of bottom-up tags'!$N$6:$W$6,0))*J$24</f>
        <v>0</v>
      </c>
      <c r="K617" s="151">
        <f>INDEX('Analysis of bottom-up tags'!$N$173:$W$178,MATCH(Dashboard!$B617,'Analysis of bottom-up tags'!$B$173:$B$178,0),MATCH(Dashboard!K$21,'Analysis of bottom-up tags'!$N$6:$W$6,0))*K$24</f>
        <v>0</v>
      </c>
      <c r="L617" s="151">
        <f>INDEX('Analysis of bottom-up tags'!$N$173:$W$178,MATCH(Dashboard!$B617,'Analysis of bottom-up tags'!$B$173:$B$178,0),MATCH(Dashboard!L$21,'Analysis of bottom-up tags'!$N$6:$W$6,0))*L$24</f>
        <v>0</v>
      </c>
      <c r="M617" s="151">
        <f t="shared" si="319"/>
        <v>0</v>
      </c>
    </row>
    <row r="618" spans="2:13">
      <c r="B618" s="22"/>
    </row>
    <row r="619" spans="2:13">
      <c r="B619" s="22"/>
    </row>
    <row r="620" spans="2:13">
      <c r="B620" s="22"/>
    </row>
    <row r="621" spans="2:13">
      <c r="B621" s="98" t="s">
        <v>11130</v>
      </c>
      <c r="C621" s="163"/>
      <c r="D621" s="163"/>
      <c r="E621" s="163"/>
      <c r="F621" s="163"/>
      <c r="G621" s="163"/>
      <c r="H621" s="163"/>
      <c r="I621" s="163"/>
      <c r="J621" s="163"/>
      <c r="K621" s="163"/>
      <c r="L621" s="163"/>
      <c r="M621" s="163"/>
    </row>
    <row r="622" spans="2:13">
      <c r="B622" s="151" t="s">
        <v>11108</v>
      </c>
      <c r="C622" s="151">
        <f>INDEX('Analysis of bottom-up tags'!$N$183:$W$188,MATCH(Dashboard!$B622,'Analysis of bottom-up tags'!$B$183:$B$188,0),MATCH(Dashboard!C$21,'Analysis of bottom-up tags'!$N$6:$W$6,0))*C$24</f>
        <v>0</v>
      </c>
      <c r="D622" s="151">
        <f>INDEX('Analysis of bottom-up tags'!$N$183:$W$188,MATCH(Dashboard!$B622,'Analysis of bottom-up tags'!$B$183:$B$188,0),MATCH(Dashboard!D$21,'Analysis of bottom-up tags'!$N$6:$W$6,0))*D$24</f>
        <v>0</v>
      </c>
      <c r="E622" s="151">
        <f>INDEX('Analysis of bottom-up tags'!$N$183:$W$188,MATCH(Dashboard!$B622,'Analysis of bottom-up tags'!$B$183:$B$188,0),MATCH(Dashboard!E$21,'Analysis of bottom-up tags'!$N$6:$W$6,0))*E$24</f>
        <v>0</v>
      </c>
      <c r="F622" s="151">
        <f>INDEX('Analysis of bottom-up tags'!$N$183:$W$188,MATCH(Dashboard!$B622,'Analysis of bottom-up tags'!$B$183:$B$188,0),MATCH(Dashboard!F$21,'Analysis of bottom-up tags'!$N$6:$W$6,0))*F$24</f>
        <v>0</v>
      </c>
      <c r="G622" s="151">
        <f>INDEX('Analysis of bottom-up tags'!$N$183:$W$188,MATCH(Dashboard!$B622,'Analysis of bottom-up tags'!$B$183:$B$188,0),MATCH(Dashboard!G$21,'Analysis of bottom-up tags'!$N$6:$W$6,0))*G$24</f>
        <v>0</v>
      </c>
      <c r="H622" s="151">
        <f>INDEX('Analysis of bottom-up tags'!$N$183:$W$188,MATCH(Dashboard!$B622,'Analysis of bottom-up tags'!$B$183:$B$188,0),MATCH(Dashboard!H$21,'Analysis of bottom-up tags'!$N$6:$W$6,0))*H$24</f>
        <v>0</v>
      </c>
      <c r="I622" s="151">
        <f>INDEX('Analysis of bottom-up tags'!$N$183:$W$188,MATCH(Dashboard!$B622,'Analysis of bottom-up tags'!$B$183:$B$188,0),MATCH(Dashboard!I$21,'Analysis of bottom-up tags'!$N$6:$W$6,0))*I$24</f>
        <v>6.5910559645355447</v>
      </c>
      <c r="J622" s="151">
        <f>INDEX('Analysis of bottom-up tags'!$N$183:$W$188,MATCH(Dashboard!$B622,'Analysis of bottom-up tags'!$B$183:$B$188,0),MATCH(Dashboard!J$21,'Analysis of bottom-up tags'!$N$6:$W$6,0))*J$24</f>
        <v>104.48151482821147</v>
      </c>
      <c r="K622" s="151">
        <f>INDEX('Analysis of bottom-up tags'!$N$183:$W$188,MATCH(Dashboard!$B622,'Analysis of bottom-up tags'!$B$183:$B$188,0),MATCH(Dashboard!K$21,'Analysis of bottom-up tags'!$N$6:$W$6,0))*K$24</f>
        <v>2.8832299940195369</v>
      </c>
      <c r="L622" s="151">
        <f>INDEX('Analysis of bottom-up tags'!$N$183:$W$188,MATCH(Dashboard!$B622,'Analysis of bottom-up tags'!$B$183:$B$188,0),MATCH(Dashboard!L$21,'Analysis of bottom-up tags'!$N$6:$W$6,0))*L$24</f>
        <v>21.759755827364671</v>
      </c>
      <c r="M622" s="151">
        <f>SUM(C622:L622)</f>
        <v>135.71555661413123</v>
      </c>
    </row>
    <row r="623" spans="2:13">
      <c r="B623" s="151" t="s">
        <v>11110</v>
      </c>
      <c r="C623" s="151">
        <f>INDEX('Analysis of bottom-up tags'!$N$183:$W$188,MATCH(Dashboard!$B623,'Analysis of bottom-up tags'!$B$183:$B$188,0),MATCH(Dashboard!C$21,'Analysis of bottom-up tags'!$N$6:$W$6,0))*C$24</f>
        <v>0</v>
      </c>
      <c r="D623" s="151">
        <f>INDEX('Analysis of bottom-up tags'!$N$183:$W$188,MATCH(Dashboard!$B623,'Analysis of bottom-up tags'!$B$183:$B$188,0),MATCH(Dashboard!D$21,'Analysis of bottom-up tags'!$N$6:$W$6,0))*D$24</f>
        <v>0</v>
      </c>
      <c r="E623" s="151">
        <f>INDEX('Analysis of bottom-up tags'!$N$183:$W$188,MATCH(Dashboard!$B623,'Analysis of bottom-up tags'!$B$183:$B$188,0),MATCH(Dashboard!E$21,'Analysis of bottom-up tags'!$N$6:$W$6,0))*E$24</f>
        <v>0</v>
      </c>
      <c r="F623" s="151">
        <f>INDEX('Analysis of bottom-up tags'!$N$183:$W$188,MATCH(Dashboard!$B623,'Analysis of bottom-up tags'!$B$183:$B$188,0),MATCH(Dashboard!F$21,'Analysis of bottom-up tags'!$N$6:$W$6,0))*F$24</f>
        <v>0</v>
      </c>
      <c r="G623" s="151">
        <f>INDEX('Analysis of bottom-up tags'!$N$183:$W$188,MATCH(Dashboard!$B623,'Analysis of bottom-up tags'!$B$183:$B$188,0),MATCH(Dashboard!G$21,'Analysis of bottom-up tags'!$N$6:$W$6,0))*G$24</f>
        <v>0</v>
      </c>
      <c r="H623" s="151">
        <f>INDEX('Analysis of bottom-up tags'!$N$183:$W$188,MATCH(Dashboard!$B623,'Analysis of bottom-up tags'!$B$183:$B$188,0),MATCH(Dashboard!H$21,'Analysis of bottom-up tags'!$N$6:$W$6,0))*H$24</f>
        <v>0</v>
      </c>
      <c r="I623" s="151">
        <f>INDEX('Analysis of bottom-up tags'!$N$183:$W$188,MATCH(Dashboard!$B623,'Analysis of bottom-up tags'!$B$183:$B$188,0),MATCH(Dashboard!I$21,'Analysis of bottom-up tags'!$N$6:$W$6,0))*I$24</f>
        <v>0</v>
      </c>
      <c r="J623" s="151">
        <f>INDEX('Analysis of bottom-up tags'!$N$183:$W$188,MATCH(Dashboard!$B623,'Analysis of bottom-up tags'!$B$183:$B$188,0),MATCH(Dashboard!J$21,'Analysis of bottom-up tags'!$N$6:$W$6,0))*J$24</f>
        <v>0</v>
      </c>
      <c r="K623" s="151">
        <f>INDEX('Analysis of bottom-up tags'!$N$183:$W$188,MATCH(Dashboard!$B623,'Analysis of bottom-up tags'!$B$183:$B$188,0),MATCH(Dashboard!K$21,'Analysis of bottom-up tags'!$N$6:$W$6,0))*K$24</f>
        <v>0</v>
      </c>
      <c r="L623" s="151">
        <f>INDEX('Analysis of bottom-up tags'!$N$183:$W$188,MATCH(Dashboard!$B623,'Analysis of bottom-up tags'!$B$183:$B$188,0),MATCH(Dashboard!L$21,'Analysis of bottom-up tags'!$N$6:$W$6,0))*L$24</f>
        <v>0</v>
      </c>
      <c r="M623" s="151">
        <f t="shared" ref="M623:M627" si="320">SUM(C623:L623)</f>
        <v>0</v>
      </c>
    </row>
    <row r="624" spans="2:13">
      <c r="B624" s="151" t="s">
        <v>11109</v>
      </c>
      <c r="C624" s="151">
        <f>INDEX('Analysis of bottom-up tags'!$N$183:$W$188,MATCH(Dashboard!$B624,'Analysis of bottom-up tags'!$B$183:$B$188,0),MATCH(Dashboard!C$21,'Analysis of bottom-up tags'!$N$6:$W$6,0))*C$24</f>
        <v>0</v>
      </c>
      <c r="D624" s="151">
        <f>INDEX('Analysis of bottom-up tags'!$N$183:$W$188,MATCH(Dashboard!$B624,'Analysis of bottom-up tags'!$B$183:$B$188,0),MATCH(Dashboard!D$21,'Analysis of bottom-up tags'!$N$6:$W$6,0))*D$24</f>
        <v>0</v>
      </c>
      <c r="E624" s="151">
        <f>INDEX('Analysis of bottom-up tags'!$N$183:$W$188,MATCH(Dashboard!$B624,'Analysis of bottom-up tags'!$B$183:$B$188,0),MATCH(Dashboard!E$21,'Analysis of bottom-up tags'!$N$6:$W$6,0))*E$24</f>
        <v>0</v>
      </c>
      <c r="F624" s="151">
        <f>INDEX('Analysis of bottom-up tags'!$N$183:$W$188,MATCH(Dashboard!$B624,'Analysis of bottom-up tags'!$B$183:$B$188,0),MATCH(Dashboard!F$21,'Analysis of bottom-up tags'!$N$6:$W$6,0))*F$24</f>
        <v>0</v>
      </c>
      <c r="G624" s="151">
        <f>INDEX('Analysis of bottom-up tags'!$N$183:$W$188,MATCH(Dashboard!$B624,'Analysis of bottom-up tags'!$B$183:$B$188,0),MATCH(Dashboard!G$21,'Analysis of bottom-up tags'!$N$6:$W$6,0))*G$24</f>
        <v>0</v>
      </c>
      <c r="H624" s="151">
        <f>INDEX('Analysis of bottom-up tags'!$N$183:$W$188,MATCH(Dashboard!$B624,'Analysis of bottom-up tags'!$B$183:$B$188,0),MATCH(Dashboard!H$21,'Analysis of bottom-up tags'!$N$6:$W$6,0))*H$24</f>
        <v>0</v>
      </c>
      <c r="I624" s="151">
        <f>INDEX('Analysis of bottom-up tags'!$N$183:$W$188,MATCH(Dashboard!$B624,'Analysis of bottom-up tags'!$B$183:$B$188,0),MATCH(Dashboard!I$21,'Analysis of bottom-up tags'!$N$6:$W$6,0))*I$24</f>
        <v>0</v>
      </c>
      <c r="J624" s="151">
        <f>INDEX('Analysis of bottom-up tags'!$N$183:$W$188,MATCH(Dashboard!$B624,'Analysis of bottom-up tags'!$B$183:$B$188,0),MATCH(Dashboard!J$21,'Analysis of bottom-up tags'!$N$6:$W$6,0))*J$24</f>
        <v>0</v>
      </c>
      <c r="K624" s="151">
        <f>INDEX('Analysis of bottom-up tags'!$N$183:$W$188,MATCH(Dashboard!$B624,'Analysis of bottom-up tags'!$B$183:$B$188,0),MATCH(Dashboard!K$21,'Analysis of bottom-up tags'!$N$6:$W$6,0))*K$24</f>
        <v>0</v>
      </c>
      <c r="L624" s="151">
        <f>INDEX('Analysis of bottom-up tags'!$N$183:$W$188,MATCH(Dashboard!$B624,'Analysis of bottom-up tags'!$B$183:$B$188,0),MATCH(Dashboard!L$21,'Analysis of bottom-up tags'!$N$6:$W$6,0))*L$24</f>
        <v>0</v>
      </c>
      <c r="M624" s="151">
        <f t="shared" si="320"/>
        <v>0</v>
      </c>
    </row>
    <row r="625" spans="2:13">
      <c r="B625" s="151" t="s">
        <v>11111</v>
      </c>
      <c r="C625" s="151">
        <f>INDEX('Analysis of bottom-up tags'!$N$183:$W$188,MATCH(Dashboard!$B625,'Analysis of bottom-up tags'!$B$183:$B$188,0),MATCH(Dashboard!C$21,'Analysis of bottom-up tags'!$N$6:$W$6,0))*C$24</f>
        <v>0</v>
      </c>
      <c r="D625" s="151">
        <f>INDEX('Analysis of bottom-up tags'!$N$183:$W$188,MATCH(Dashboard!$B625,'Analysis of bottom-up tags'!$B$183:$B$188,0),MATCH(Dashboard!D$21,'Analysis of bottom-up tags'!$N$6:$W$6,0))*D$24</f>
        <v>0</v>
      </c>
      <c r="E625" s="151">
        <f>INDEX('Analysis of bottom-up tags'!$N$183:$W$188,MATCH(Dashboard!$B625,'Analysis of bottom-up tags'!$B$183:$B$188,0),MATCH(Dashboard!E$21,'Analysis of bottom-up tags'!$N$6:$W$6,0))*E$24</f>
        <v>0</v>
      </c>
      <c r="F625" s="151">
        <f>INDEX('Analysis of bottom-up tags'!$N$183:$W$188,MATCH(Dashboard!$B625,'Analysis of bottom-up tags'!$B$183:$B$188,0),MATCH(Dashboard!F$21,'Analysis of bottom-up tags'!$N$6:$W$6,0))*F$24</f>
        <v>0</v>
      </c>
      <c r="G625" s="151">
        <f>INDEX('Analysis of bottom-up tags'!$N$183:$W$188,MATCH(Dashboard!$B625,'Analysis of bottom-up tags'!$B$183:$B$188,0),MATCH(Dashboard!G$21,'Analysis of bottom-up tags'!$N$6:$W$6,0))*G$24</f>
        <v>0</v>
      </c>
      <c r="H625" s="151">
        <f>INDEX('Analysis of bottom-up tags'!$N$183:$W$188,MATCH(Dashboard!$B625,'Analysis of bottom-up tags'!$B$183:$B$188,0),MATCH(Dashboard!H$21,'Analysis of bottom-up tags'!$N$6:$W$6,0))*H$24</f>
        <v>0</v>
      </c>
      <c r="I625" s="151">
        <f>INDEX('Analysis of bottom-up tags'!$N$183:$W$188,MATCH(Dashboard!$B625,'Analysis of bottom-up tags'!$B$183:$B$188,0),MATCH(Dashboard!I$21,'Analysis of bottom-up tags'!$N$6:$W$6,0))*I$24</f>
        <v>0</v>
      </c>
      <c r="J625" s="151">
        <f>INDEX('Analysis of bottom-up tags'!$N$183:$W$188,MATCH(Dashboard!$B625,'Analysis of bottom-up tags'!$B$183:$B$188,0),MATCH(Dashboard!J$21,'Analysis of bottom-up tags'!$N$6:$W$6,0))*J$24</f>
        <v>0</v>
      </c>
      <c r="K625" s="151">
        <f>INDEX('Analysis of bottom-up tags'!$N$183:$W$188,MATCH(Dashboard!$B625,'Analysis of bottom-up tags'!$B$183:$B$188,0),MATCH(Dashboard!K$21,'Analysis of bottom-up tags'!$N$6:$W$6,0))*K$24</f>
        <v>0</v>
      </c>
      <c r="L625" s="151">
        <f>INDEX('Analysis of bottom-up tags'!$N$183:$W$188,MATCH(Dashboard!$B625,'Analysis of bottom-up tags'!$B$183:$B$188,0),MATCH(Dashboard!L$21,'Analysis of bottom-up tags'!$N$6:$W$6,0))*L$24</f>
        <v>0</v>
      </c>
      <c r="M625" s="151">
        <f t="shared" si="320"/>
        <v>0</v>
      </c>
    </row>
    <row r="626" spans="2:13">
      <c r="B626" s="151" t="s">
        <v>10621</v>
      </c>
      <c r="C626" s="151">
        <f>INDEX('Analysis of bottom-up tags'!$N$183:$W$188,MATCH(Dashboard!$B626,'Analysis of bottom-up tags'!$B$183:$B$188,0),MATCH(Dashboard!C$21,'Analysis of bottom-up tags'!$N$6:$W$6,0))*C$24</f>
        <v>0</v>
      </c>
      <c r="D626" s="151">
        <f>INDEX('Analysis of bottom-up tags'!$N$183:$W$188,MATCH(Dashboard!$B626,'Analysis of bottom-up tags'!$B$183:$B$188,0),MATCH(Dashboard!D$21,'Analysis of bottom-up tags'!$N$6:$W$6,0))*D$24</f>
        <v>0</v>
      </c>
      <c r="E626" s="151">
        <f>INDEX('Analysis of bottom-up tags'!$N$183:$W$188,MATCH(Dashboard!$B626,'Analysis of bottom-up tags'!$B$183:$B$188,0),MATCH(Dashboard!E$21,'Analysis of bottom-up tags'!$N$6:$W$6,0))*E$24</f>
        <v>0</v>
      </c>
      <c r="F626" s="151">
        <f>INDEX('Analysis of bottom-up tags'!$N$183:$W$188,MATCH(Dashboard!$B626,'Analysis of bottom-up tags'!$B$183:$B$188,0),MATCH(Dashboard!F$21,'Analysis of bottom-up tags'!$N$6:$W$6,0))*F$24</f>
        <v>0</v>
      </c>
      <c r="G626" s="151">
        <f>INDEX('Analysis of bottom-up tags'!$N$183:$W$188,MATCH(Dashboard!$B626,'Analysis of bottom-up tags'!$B$183:$B$188,0),MATCH(Dashboard!G$21,'Analysis of bottom-up tags'!$N$6:$W$6,0))*G$24</f>
        <v>0</v>
      </c>
      <c r="H626" s="151">
        <f>INDEX('Analysis of bottom-up tags'!$N$183:$W$188,MATCH(Dashboard!$B626,'Analysis of bottom-up tags'!$B$183:$B$188,0),MATCH(Dashboard!H$21,'Analysis of bottom-up tags'!$N$6:$W$6,0))*H$24</f>
        <v>0</v>
      </c>
      <c r="I626" s="151">
        <f>INDEX('Analysis of bottom-up tags'!$N$183:$W$188,MATCH(Dashboard!$B626,'Analysis of bottom-up tags'!$B$183:$B$188,0),MATCH(Dashboard!I$21,'Analysis of bottom-up tags'!$N$6:$W$6,0))*I$24</f>
        <v>0</v>
      </c>
      <c r="J626" s="151">
        <f>INDEX('Analysis of bottom-up tags'!$N$183:$W$188,MATCH(Dashboard!$B626,'Analysis of bottom-up tags'!$B$183:$B$188,0),MATCH(Dashboard!J$21,'Analysis of bottom-up tags'!$N$6:$W$6,0))*J$24</f>
        <v>0</v>
      </c>
      <c r="K626" s="151">
        <f>INDEX('Analysis of bottom-up tags'!$N$183:$W$188,MATCH(Dashboard!$B626,'Analysis of bottom-up tags'!$B$183:$B$188,0),MATCH(Dashboard!K$21,'Analysis of bottom-up tags'!$N$6:$W$6,0))*K$24</f>
        <v>0</v>
      </c>
      <c r="L626" s="151">
        <f>INDEX('Analysis of bottom-up tags'!$N$183:$W$188,MATCH(Dashboard!$B626,'Analysis of bottom-up tags'!$B$183:$B$188,0),MATCH(Dashboard!L$21,'Analysis of bottom-up tags'!$N$6:$W$6,0))*L$24</f>
        <v>0</v>
      </c>
      <c r="M626" s="151">
        <f t="shared" si="320"/>
        <v>0</v>
      </c>
    </row>
    <row r="627" spans="2:13">
      <c r="B627" s="151" t="s">
        <v>10558</v>
      </c>
      <c r="C627" s="151">
        <f>INDEX('Analysis of bottom-up tags'!$N$183:$W$188,MATCH(Dashboard!$B627,'Analysis of bottom-up tags'!$B$183:$B$188,0),MATCH(Dashboard!C$21,'Analysis of bottom-up tags'!$N$6:$W$6,0))*C$24</f>
        <v>0</v>
      </c>
      <c r="D627" s="151">
        <f>INDEX('Analysis of bottom-up tags'!$N$183:$W$188,MATCH(Dashboard!$B627,'Analysis of bottom-up tags'!$B$183:$B$188,0),MATCH(Dashboard!D$21,'Analysis of bottom-up tags'!$N$6:$W$6,0))*D$24</f>
        <v>0</v>
      </c>
      <c r="E627" s="151">
        <f>INDEX('Analysis of bottom-up tags'!$N$183:$W$188,MATCH(Dashboard!$B627,'Analysis of bottom-up tags'!$B$183:$B$188,0),MATCH(Dashboard!E$21,'Analysis of bottom-up tags'!$N$6:$W$6,0))*E$24</f>
        <v>0</v>
      </c>
      <c r="F627" s="151">
        <f>INDEX('Analysis of bottom-up tags'!$N$183:$W$188,MATCH(Dashboard!$B627,'Analysis of bottom-up tags'!$B$183:$B$188,0),MATCH(Dashboard!F$21,'Analysis of bottom-up tags'!$N$6:$W$6,0))*F$24</f>
        <v>0</v>
      </c>
      <c r="G627" s="151">
        <f>INDEX('Analysis of bottom-up tags'!$N$183:$W$188,MATCH(Dashboard!$B627,'Analysis of bottom-up tags'!$B$183:$B$188,0),MATCH(Dashboard!G$21,'Analysis of bottom-up tags'!$N$6:$W$6,0))*G$24</f>
        <v>0</v>
      </c>
      <c r="H627" s="151">
        <f>INDEX('Analysis of bottom-up tags'!$N$183:$W$188,MATCH(Dashboard!$B627,'Analysis of bottom-up tags'!$B$183:$B$188,0),MATCH(Dashboard!H$21,'Analysis of bottom-up tags'!$N$6:$W$6,0))*H$24</f>
        <v>0</v>
      </c>
      <c r="I627" s="151">
        <f>INDEX('Analysis of bottom-up tags'!$N$183:$W$188,MATCH(Dashboard!$B627,'Analysis of bottom-up tags'!$B$183:$B$188,0),MATCH(Dashboard!I$21,'Analysis of bottom-up tags'!$N$6:$W$6,0))*I$24</f>
        <v>0</v>
      </c>
      <c r="J627" s="151">
        <f>INDEX('Analysis of bottom-up tags'!$N$183:$W$188,MATCH(Dashboard!$B627,'Analysis of bottom-up tags'!$B$183:$B$188,0),MATCH(Dashboard!J$21,'Analysis of bottom-up tags'!$N$6:$W$6,0))*J$24</f>
        <v>0</v>
      </c>
      <c r="K627" s="151">
        <f>INDEX('Analysis of bottom-up tags'!$N$183:$W$188,MATCH(Dashboard!$B627,'Analysis of bottom-up tags'!$B$183:$B$188,0),MATCH(Dashboard!K$21,'Analysis of bottom-up tags'!$N$6:$W$6,0))*K$24</f>
        <v>0</v>
      </c>
      <c r="L627" s="151">
        <f>INDEX('Analysis of bottom-up tags'!$N$183:$W$188,MATCH(Dashboard!$B627,'Analysis of bottom-up tags'!$B$183:$B$188,0),MATCH(Dashboard!L$21,'Analysis of bottom-up tags'!$N$6:$W$6,0))*L$24</f>
        <v>0</v>
      </c>
      <c r="M627" s="151">
        <f t="shared" si="320"/>
        <v>0</v>
      </c>
    </row>
    <row r="630" spans="2:13">
      <c r="B630" s="98" t="s">
        <v>11136</v>
      </c>
      <c r="C630" s="163" t="s">
        <v>11131</v>
      </c>
      <c r="D630" s="163"/>
      <c r="E630" s="163"/>
      <c r="F630" s="163"/>
      <c r="G630" s="163"/>
      <c r="H630" s="163"/>
      <c r="I630" s="163"/>
      <c r="J630" s="163"/>
      <c r="K630" s="163"/>
      <c r="L630" s="163"/>
      <c r="M630" s="163" t="s">
        <v>11042</v>
      </c>
    </row>
    <row r="631" spans="2:13">
      <c r="B631" s="151" t="s">
        <v>10973</v>
      </c>
      <c r="C631" s="151">
        <f>INDEX('Analysis of bottom-up tags'!$N$193:$W$196,MATCH(Dashboard!$B631,'Analysis of bottom-up tags'!$B$193:$B$196,0),MATCH(Dashboard!C$21,'Analysis of bottom-up tags'!$N$6:$W$6,0))*C$24</f>
        <v>0</v>
      </c>
      <c r="D631" s="151">
        <f>INDEX('Analysis of bottom-up tags'!$N$193:$W$196,MATCH(Dashboard!$B631,'Analysis of bottom-up tags'!$B$193:$B$196,0),MATCH(Dashboard!D$21,'Analysis of bottom-up tags'!$N$6:$W$6,0))*D$24</f>
        <v>0</v>
      </c>
      <c r="E631" s="151">
        <f>INDEX('Analysis of bottom-up tags'!$N$193:$W$196,MATCH(Dashboard!$B631,'Analysis of bottom-up tags'!$B$193:$B$196,0),MATCH(Dashboard!E$21,'Analysis of bottom-up tags'!$N$6:$W$6,0))*E$24</f>
        <v>0</v>
      </c>
      <c r="F631" s="151">
        <f>INDEX('Analysis of bottom-up tags'!$N$193:$W$196,MATCH(Dashboard!$B631,'Analysis of bottom-up tags'!$B$193:$B$196,0),MATCH(Dashboard!F$21,'Analysis of bottom-up tags'!$N$6:$W$6,0))*F$24</f>
        <v>0</v>
      </c>
      <c r="G631" s="151">
        <f>INDEX('Analysis of bottom-up tags'!$N$193:$W$196,MATCH(Dashboard!$B631,'Analysis of bottom-up tags'!$B$193:$B$196,0),MATCH(Dashboard!G$21,'Analysis of bottom-up tags'!$N$6:$W$6,0))*G$24</f>
        <v>0</v>
      </c>
      <c r="H631" s="151">
        <f>INDEX('Analysis of bottom-up tags'!$N$193:$W$196,MATCH(Dashboard!$B631,'Analysis of bottom-up tags'!$B$193:$B$196,0),MATCH(Dashboard!H$21,'Analysis of bottom-up tags'!$N$6:$W$6,0))*H$24</f>
        <v>0</v>
      </c>
      <c r="I631" s="151">
        <f>INDEX('Analysis of bottom-up tags'!$N$193:$W$196,MATCH(Dashboard!$B631,'Analysis of bottom-up tags'!$B$193:$B$196,0),MATCH(Dashboard!I$21,'Analysis of bottom-up tags'!$N$6:$W$6,0))*I$24</f>
        <v>0</v>
      </c>
      <c r="J631" s="151">
        <f>INDEX('Analysis of bottom-up tags'!$N$193:$W$196,MATCH(Dashboard!$B631,'Analysis of bottom-up tags'!$B$193:$B$196,0),MATCH(Dashboard!J$21,'Analysis of bottom-up tags'!$N$6:$W$6,0))*J$24</f>
        <v>0</v>
      </c>
      <c r="K631" s="151">
        <f>INDEX('Analysis of bottom-up tags'!$N$193:$W$196,MATCH(Dashboard!$B631,'Analysis of bottom-up tags'!$B$193:$B$196,0),MATCH(Dashboard!K$21,'Analysis of bottom-up tags'!$N$6:$W$6,0))*K$24</f>
        <v>0</v>
      </c>
      <c r="L631" s="151">
        <f>INDEX('Analysis of bottom-up tags'!$N$193:$W$196,MATCH(Dashboard!$B631,'Analysis of bottom-up tags'!$B$193:$B$196,0),MATCH(Dashboard!L$21,'Analysis of bottom-up tags'!$N$6:$W$6,0))*L$24</f>
        <v>0</v>
      </c>
      <c r="M631" s="151">
        <f>SUM(C631:L631)</f>
        <v>0</v>
      </c>
    </row>
    <row r="632" spans="2:13">
      <c r="B632" s="151" t="s">
        <v>10977</v>
      </c>
      <c r="C632" s="151">
        <f>INDEX('Analysis of bottom-up tags'!$N$193:$W$196,MATCH(Dashboard!$B632,'Analysis of bottom-up tags'!$B$193:$B$196,0),MATCH(Dashboard!C$21,'Analysis of bottom-up tags'!$N$6:$W$6,0))*C$24</f>
        <v>0</v>
      </c>
      <c r="D632" s="151">
        <f>INDEX('Analysis of bottom-up tags'!$N$193:$W$196,MATCH(Dashboard!$B632,'Analysis of bottom-up tags'!$B$193:$B$196,0),MATCH(Dashboard!D$21,'Analysis of bottom-up tags'!$N$6:$W$6,0))*D$24</f>
        <v>0</v>
      </c>
      <c r="E632" s="151">
        <f>INDEX('Analysis of bottom-up tags'!$N$193:$W$196,MATCH(Dashboard!$B632,'Analysis of bottom-up tags'!$B$193:$B$196,0),MATCH(Dashboard!E$21,'Analysis of bottom-up tags'!$N$6:$W$6,0))*E$24</f>
        <v>0</v>
      </c>
      <c r="F632" s="151">
        <f>INDEX('Analysis of bottom-up tags'!$N$193:$W$196,MATCH(Dashboard!$B632,'Analysis of bottom-up tags'!$B$193:$B$196,0),MATCH(Dashboard!F$21,'Analysis of bottom-up tags'!$N$6:$W$6,0))*F$24</f>
        <v>0</v>
      </c>
      <c r="G632" s="151">
        <f>INDEX('Analysis of bottom-up tags'!$N$193:$W$196,MATCH(Dashboard!$B632,'Analysis of bottom-up tags'!$B$193:$B$196,0),MATCH(Dashboard!G$21,'Analysis of bottom-up tags'!$N$6:$W$6,0))*G$24</f>
        <v>0</v>
      </c>
      <c r="H632" s="151">
        <f>INDEX('Analysis of bottom-up tags'!$N$193:$W$196,MATCH(Dashboard!$B632,'Analysis of bottom-up tags'!$B$193:$B$196,0),MATCH(Dashboard!H$21,'Analysis of bottom-up tags'!$N$6:$W$6,0))*H$24</f>
        <v>0</v>
      </c>
      <c r="I632" s="151">
        <f>INDEX('Analysis of bottom-up tags'!$N$193:$W$196,MATCH(Dashboard!$B632,'Analysis of bottom-up tags'!$B$193:$B$196,0),MATCH(Dashboard!I$21,'Analysis of bottom-up tags'!$N$6:$W$6,0))*I$24</f>
        <v>0</v>
      </c>
      <c r="J632" s="151">
        <f>INDEX('Analysis of bottom-up tags'!$N$193:$W$196,MATCH(Dashboard!$B632,'Analysis of bottom-up tags'!$B$193:$B$196,0),MATCH(Dashboard!J$21,'Analysis of bottom-up tags'!$N$6:$W$6,0))*J$24</f>
        <v>0</v>
      </c>
      <c r="K632" s="151">
        <f>INDEX('Analysis of bottom-up tags'!$N$193:$W$196,MATCH(Dashboard!$B632,'Analysis of bottom-up tags'!$B$193:$B$196,0),MATCH(Dashboard!K$21,'Analysis of bottom-up tags'!$N$6:$W$6,0))*K$24</f>
        <v>0</v>
      </c>
      <c r="L632" s="151">
        <f>INDEX('Analysis of bottom-up tags'!$N$193:$W$196,MATCH(Dashboard!$B632,'Analysis of bottom-up tags'!$B$193:$B$196,0),MATCH(Dashboard!L$21,'Analysis of bottom-up tags'!$N$6:$W$6,0))*L$24</f>
        <v>0</v>
      </c>
      <c r="M632" s="151">
        <f t="shared" ref="M632:M634" si="321">SUM(C632:L632)</f>
        <v>0</v>
      </c>
    </row>
    <row r="633" spans="2:13">
      <c r="B633" s="151" t="s">
        <v>10558</v>
      </c>
      <c r="C633" s="151">
        <f>INDEX('Analysis of bottom-up tags'!$N$193:$W$196,MATCH(Dashboard!$B633,'Analysis of bottom-up tags'!$B$193:$B$196,0),MATCH(Dashboard!C$21,'Analysis of bottom-up tags'!$N$6:$W$6,0))*C$24</f>
        <v>0</v>
      </c>
      <c r="D633" s="151">
        <f>INDEX('Analysis of bottom-up tags'!$N$193:$W$196,MATCH(Dashboard!$B633,'Analysis of bottom-up tags'!$B$193:$B$196,0),MATCH(Dashboard!D$21,'Analysis of bottom-up tags'!$N$6:$W$6,0))*D$24</f>
        <v>0</v>
      </c>
      <c r="E633" s="151">
        <f>INDEX('Analysis of bottom-up tags'!$N$193:$W$196,MATCH(Dashboard!$B633,'Analysis of bottom-up tags'!$B$193:$B$196,0),MATCH(Dashboard!E$21,'Analysis of bottom-up tags'!$N$6:$W$6,0))*E$24</f>
        <v>0</v>
      </c>
      <c r="F633" s="151">
        <f>INDEX('Analysis of bottom-up tags'!$N$193:$W$196,MATCH(Dashboard!$B633,'Analysis of bottom-up tags'!$B$193:$B$196,0),MATCH(Dashboard!F$21,'Analysis of bottom-up tags'!$N$6:$W$6,0))*F$24</f>
        <v>0</v>
      </c>
      <c r="G633" s="151">
        <f>INDEX('Analysis of bottom-up tags'!$N$193:$W$196,MATCH(Dashboard!$B633,'Analysis of bottom-up tags'!$B$193:$B$196,0),MATCH(Dashboard!G$21,'Analysis of bottom-up tags'!$N$6:$W$6,0))*G$24</f>
        <v>0</v>
      </c>
      <c r="H633" s="151">
        <f>INDEX('Analysis of bottom-up tags'!$N$193:$W$196,MATCH(Dashboard!$B633,'Analysis of bottom-up tags'!$B$193:$B$196,0),MATCH(Dashboard!H$21,'Analysis of bottom-up tags'!$N$6:$W$6,0))*H$24</f>
        <v>0</v>
      </c>
      <c r="I633" s="151">
        <f>INDEX('Analysis of bottom-up tags'!$N$193:$W$196,MATCH(Dashboard!$B633,'Analysis of bottom-up tags'!$B$193:$B$196,0),MATCH(Dashboard!I$21,'Analysis of bottom-up tags'!$N$6:$W$6,0))*I$24</f>
        <v>0</v>
      </c>
      <c r="J633" s="151">
        <f>INDEX('Analysis of bottom-up tags'!$N$193:$W$196,MATCH(Dashboard!$B633,'Analysis of bottom-up tags'!$B$193:$B$196,0),MATCH(Dashboard!J$21,'Analysis of bottom-up tags'!$N$6:$W$6,0))*J$24</f>
        <v>0</v>
      </c>
      <c r="K633" s="151">
        <f>INDEX('Analysis of bottom-up tags'!$N$193:$W$196,MATCH(Dashboard!$B633,'Analysis of bottom-up tags'!$B$193:$B$196,0),MATCH(Dashboard!K$21,'Analysis of bottom-up tags'!$N$6:$W$6,0))*K$24</f>
        <v>0</v>
      </c>
      <c r="L633" s="151">
        <f>INDEX('Analysis of bottom-up tags'!$N$193:$W$196,MATCH(Dashboard!$B633,'Analysis of bottom-up tags'!$B$193:$B$196,0),MATCH(Dashboard!L$21,'Analysis of bottom-up tags'!$N$6:$W$6,0))*L$24</f>
        <v>0</v>
      </c>
      <c r="M633" s="151">
        <f t="shared" si="321"/>
        <v>0</v>
      </c>
    </row>
    <row r="634" spans="2:13">
      <c r="B634" s="151" t="s">
        <v>10981</v>
      </c>
      <c r="C634" s="151">
        <f>INDEX('Analysis of bottom-up tags'!$N$193:$W$196,MATCH(Dashboard!$B634,'Analysis of bottom-up tags'!$B$193:$B$196,0),MATCH(Dashboard!C$21,'Analysis of bottom-up tags'!$N$6:$W$6,0))*C$24</f>
        <v>0</v>
      </c>
      <c r="D634" s="151">
        <f>INDEX('Analysis of bottom-up tags'!$N$193:$W$196,MATCH(Dashboard!$B634,'Analysis of bottom-up tags'!$B$193:$B$196,0),MATCH(Dashboard!D$21,'Analysis of bottom-up tags'!$N$6:$W$6,0))*D$24</f>
        <v>0</v>
      </c>
      <c r="E634" s="151">
        <f>INDEX('Analysis of bottom-up tags'!$N$193:$W$196,MATCH(Dashboard!$B634,'Analysis of bottom-up tags'!$B$193:$B$196,0),MATCH(Dashboard!E$21,'Analysis of bottom-up tags'!$N$6:$W$6,0))*E$24</f>
        <v>0</v>
      </c>
      <c r="F634" s="151">
        <f>INDEX('Analysis of bottom-up tags'!$N$193:$W$196,MATCH(Dashboard!$B634,'Analysis of bottom-up tags'!$B$193:$B$196,0),MATCH(Dashboard!F$21,'Analysis of bottom-up tags'!$N$6:$W$6,0))*F$24</f>
        <v>0</v>
      </c>
      <c r="G634" s="151">
        <f>INDEX('Analysis of bottom-up tags'!$N$193:$W$196,MATCH(Dashboard!$B634,'Analysis of bottom-up tags'!$B$193:$B$196,0),MATCH(Dashboard!G$21,'Analysis of bottom-up tags'!$N$6:$W$6,0))*G$24</f>
        <v>0</v>
      </c>
      <c r="H634" s="151">
        <f>INDEX('Analysis of bottom-up tags'!$N$193:$W$196,MATCH(Dashboard!$B634,'Analysis of bottom-up tags'!$B$193:$B$196,0),MATCH(Dashboard!H$21,'Analysis of bottom-up tags'!$N$6:$W$6,0))*H$24</f>
        <v>0</v>
      </c>
      <c r="I634" s="151">
        <f>INDEX('Analysis of bottom-up tags'!$N$193:$W$196,MATCH(Dashboard!$B634,'Analysis of bottom-up tags'!$B$193:$B$196,0),MATCH(Dashboard!I$21,'Analysis of bottom-up tags'!$N$6:$W$6,0))*I$24</f>
        <v>6.2458971533993299</v>
      </c>
      <c r="J634" s="151">
        <f>INDEX('Analysis of bottom-up tags'!$N$193:$W$196,MATCH(Dashboard!$B634,'Analysis of bottom-up tags'!$B$193:$B$196,0),MATCH(Dashboard!J$21,'Analysis of bottom-up tags'!$N$6:$W$6,0))*J$24</f>
        <v>47.133299285586219</v>
      </c>
      <c r="K634" s="151">
        <f>INDEX('Analysis of bottom-up tags'!$N$193:$W$196,MATCH(Dashboard!$B634,'Analysis of bottom-up tags'!$B$193:$B$196,0),MATCH(Dashboard!K$21,'Analysis of bottom-up tags'!$N$6:$W$6,0))*K$24</f>
        <v>2.8832299940195369</v>
      </c>
      <c r="L634" s="151">
        <f>INDEX('Analysis of bottom-up tags'!$N$193:$W$196,MATCH(Dashboard!$B634,'Analysis of bottom-up tags'!$B$193:$B$196,0),MATCH(Dashboard!L$21,'Analysis of bottom-up tags'!$N$6:$W$6,0))*L$24</f>
        <v>21.759755827364671</v>
      </c>
      <c r="M634" s="151">
        <f t="shared" si="321"/>
        <v>78.02218226036976</v>
      </c>
    </row>
    <row r="635" spans="2:13">
      <c r="B635" s="176"/>
      <c r="C635" s="176"/>
      <c r="D635" s="176"/>
      <c r="E635" s="176"/>
      <c r="F635" s="176"/>
      <c r="G635" s="176"/>
      <c r="H635" s="176"/>
      <c r="I635" s="176"/>
      <c r="J635" s="176"/>
      <c r="K635" s="176"/>
      <c r="L635" s="176"/>
      <c r="M635" s="176"/>
    </row>
    <row r="636" spans="2:13">
      <c r="B636" s="176"/>
      <c r="C636" s="176"/>
      <c r="D636" s="176"/>
      <c r="E636" s="176"/>
      <c r="F636" s="176"/>
      <c r="G636" s="176"/>
      <c r="H636" s="176"/>
      <c r="I636" s="176"/>
      <c r="J636" s="176"/>
      <c r="K636" s="176"/>
      <c r="L636" s="176"/>
      <c r="M636" s="176"/>
    </row>
    <row r="637" spans="2:13">
      <c r="B637" s="98" t="s">
        <v>11137</v>
      </c>
      <c r="C637" s="163" t="s">
        <v>11131</v>
      </c>
      <c r="D637" s="163"/>
      <c r="E637" s="163"/>
      <c r="F637" s="163"/>
      <c r="G637" s="163"/>
      <c r="H637" s="163"/>
      <c r="I637" s="163"/>
      <c r="J637" s="163"/>
      <c r="K637" s="163"/>
      <c r="L637" s="163"/>
      <c r="M637" s="163" t="s">
        <v>11042</v>
      </c>
    </row>
    <row r="638" spans="2:13">
      <c r="B638" s="151" t="s">
        <v>10973</v>
      </c>
      <c r="C638" s="151">
        <f>INDEX('Analysis of bottom-up tags'!$N$200:$W$203,MATCH(Dashboard!$B638,'Analysis of bottom-up tags'!$B$200:$B$203,0),MATCH(Dashboard!C$21,'Analysis of bottom-up tags'!$N$6:$W$6,0))*C$24</f>
        <v>74.90196471420289</v>
      </c>
      <c r="D638" s="151">
        <f>INDEX('Analysis of bottom-up tags'!$N$200:$W$203,MATCH(Dashboard!$B638,'Analysis of bottom-up tags'!$B$200:$B$203,0),MATCH(Dashboard!D$21,'Analysis of bottom-up tags'!$N$6:$W$6,0))*D$24</f>
        <v>540.04989102935281</v>
      </c>
      <c r="E638" s="151">
        <f>INDEX('Analysis of bottom-up tags'!$N$200:$W$203,MATCH(Dashboard!$B638,'Analysis of bottom-up tags'!$B$200:$B$203,0),MATCH(Dashboard!E$21,'Analysis of bottom-up tags'!$N$6:$W$6,0))*E$24</f>
        <v>316.8807858278912</v>
      </c>
      <c r="F638" s="151">
        <f>INDEX('Analysis of bottom-up tags'!$N$200:$W$203,MATCH(Dashboard!$B638,'Analysis of bottom-up tags'!$B$200:$B$203,0),MATCH(Dashboard!F$21,'Analysis of bottom-up tags'!$N$6:$W$6,0))*F$24</f>
        <v>371.88645558933274</v>
      </c>
      <c r="G638" s="151">
        <f>INDEX('Analysis of bottom-up tags'!$N$200:$W$203,MATCH(Dashboard!$B638,'Analysis of bottom-up tags'!$B$200:$B$203,0),MATCH(Dashboard!G$21,'Analysis of bottom-up tags'!$N$6:$W$6,0))*G$24</f>
        <v>1516.973251115392</v>
      </c>
      <c r="H638" s="151">
        <f>INDEX('Analysis of bottom-up tags'!$N$200:$W$203,MATCH(Dashboard!$B638,'Analysis of bottom-up tags'!$B$200:$B$203,0),MATCH(Dashboard!H$21,'Analysis of bottom-up tags'!$N$6:$W$6,0))*H$24</f>
        <v>1081.4765407958553</v>
      </c>
      <c r="I638" s="151">
        <f>INDEX('Analysis of bottom-up tags'!$N$200:$W$203,MATCH(Dashboard!$B638,'Analysis of bottom-up tags'!$B$200:$B$203,0),MATCH(Dashboard!I$21,'Analysis of bottom-up tags'!$N$6:$W$6,0))*I$24</f>
        <v>1774.7650725972219</v>
      </c>
      <c r="J638" s="151">
        <f>INDEX('Analysis of bottom-up tags'!$N$200:$W$203,MATCH(Dashboard!$B638,'Analysis of bottom-up tags'!$B$200:$B$203,0),MATCH(Dashboard!J$21,'Analysis of bottom-up tags'!$N$6:$W$6,0))*J$24</f>
        <v>715.55896941789501</v>
      </c>
      <c r="K638" s="151">
        <f>INDEX('Analysis of bottom-up tags'!$N$200:$W$203,MATCH(Dashboard!$B638,'Analysis of bottom-up tags'!$B$200:$B$203,0),MATCH(Dashboard!K$21,'Analysis of bottom-up tags'!$N$6:$W$6,0))*K$24</f>
        <v>2168.4655020762184</v>
      </c>
      <c r="L638" s="151">
        <f>INDEX('Analysis of bottom-up tags'!$N$200:$W$203,MATCH(Dashboard!$B638,'Analysis of bottom-up tags'!$B$200:$B$203,0),MATCH(Dashboard!L$21,'Analysis of bottom-up tags'!$N$6:$W$6,0))*L$24</f>
        <v>1345.4021385004994</v>
      </c>
      <c r="M638" s="151">
        <f>SUM(C638:L638)</f>
        <v>9906.3605716638631</v>
      </c>
    </row>
    <row r="639" spans="2:13">
      <c r="B639" s="151" t="s">
        <v>10977</v>
      </c>
      <c r="C639" s="151">
        <f>INDEX('Analysis of bottom-up tags'!$N$200:$W$203,MATCH(Dashboard!$B639,'Analysis of bottom-up tags'!$B$200:$B$203,0),MATCH(Dashboard!C$21,'Analysis of bottom-up tags'!$N$6:$W$6,0))*C$24</f>
        <v>499.51110304947764</v>
      </c>
      <c r="D639" s="151">
        <f>INDEX('Analysis of bottom-up tags'!$N$200:$W$203,MATCH(Dashboard!$B639,'Analysis of bottom-up tags'!$B$200:$B$203,0),MATCH(Dashboard!D$21,'Analysis of bottom-up tags'!$N$6:$W$6,0))*D$24</f>
        <v>1052.7668024179684</v>
      </c>
      <c r="E639" s="151">
        <f>INDEX('Analysis of bottom-up tags'!$N$200:$W$203,MATCH(Dashboard!$B639,'Analysis of bottom-up tags'!$B$200:$B$203,0),MATCH(Dashboard!E$21,'Analysis of bottom-up tags'!$N$6:$W$6,0))*E$24</f>
        <v>355.58908349861878</v>
      </c>
      <c r="F639" s="151">
        <f>INDEX('Analysis of bottom-up tags'!$N$200:$W$203,MATCH(Dashboard!$B639,'Analysis of bottom-up tags'!$B$200:$B$203,0),MATCH(Dashboard!F$21,'Analysis of bottom-up tags'!$N$6:$W$6,0))*F$24</f>
        <v>859.97652958583069</v>
      </c>
      <c r="G639" s="151">
        <f>INDEX('Analysis of bottom-up tags'!$N$200:$W$203,MATCH(Dashboard!$B639,'Analysis of bottom-up tags'!$B$200:$B$203,0),MATCH(Dashboard!G$21,'Analysis of bottom-up tags'!$N$6:$W$6,0))*G$24</f>
        <v>29.032301570270544</v>
      </c>
      <c r="H639" s="151">
        <f>INDEX('Analysis of bottom-up tags'!$N$200:$W$203,MATCH(Dashboard!$B639,'Analysis of bottom-up tags'!$B$200:$B$203,0),MATCH(Dashboard!H$21,'Analysis of bottom-up tags'!$N$6:$W$6,0))*H$24</f>
        <v>12.432918084635983</v>
      </c>
      <c r="I639" s="151">
        <f>INDEX('Analysis of bottom-up tags'!$N$200:$W$203,MATCH(Dashboard!$B639,'Analysis of bottom-up tags'!$B$200:$B$203,0),MATCH(Dashboard!I$21,'Analysis of bottom-up tags'!$N$6:$W$6,0))*I$24</f>
        <v>6.6071326487555453</v>
      </c>
      <c r="J639" s="151">
        <f>INDEX('Analysis of bottom-up tags'!$N$200:$W$203,MATCH(Dashboard!$B639,'Analysis of bottom-up tags'!$B$200:$B$203,0),MATCH(Dashboard!J$21,'Analysis of bottom-up tags'!$N$6:$W$6,0))*J$24</f>
        <v>137.16404110917622</v>
      </c>
      <c r="K639" s="151">
        <f>INDEX('Analysis of bottom-up tags'!$N$200:$W$203,MATCH(Dashboard!$B639,'Analysis of bottom-up tags'!$B$200:$B$203,0),MATCH(Dashboard!K$21,'Analysis of bottom-up tags'!$N$6:$W$6,0))*K$24</f>
        <v>8.3799573306342694</v>
      </c>
      <c r="L639" s="151">
        <f>INDEX('Analysis of bottom-up tags'!$N$200:$W$203,MATCH(Dashboard!$B639,'Analysis of bottom-up tags'!$B$200:$B$203,0),MATCH(Dashboard!L$21,'Analysis of bottom-up tags'!$N$6:$W$6,0))*L$24</f>
        <v>234.93796648428258</v>
      </c>
      <c r="M639" s="151">
        <f t="shared" ref="M639:M641" si="322">SUM(C639:L639)</f>
        <v>3196.3978357796509</v>
      </c>
    </row>
    <row r="640" spans="2:13">
      <c r="B640" s="151" t="s">
        <v>10558</v>
      </c>
      <c r="C640" s="151">
        <f>INDEX('Analysis of bottom-up tags'!$N$200:$W$203,MATCH(Dashboard!$B640,'Analysis of bottom-up tags'!$B$200:$B$203,0),MATCH(Dashboard!C$21,'Analysis of bottom-up tags'!$N$6:$W$6,0))*C$24</f>
        <v>0</v>
      </c>
      <c r="D640" s="151">
        <f>INDEX('Analysis of bottom-up tags'!$N$200:$W$203,MATCH(Dashboard!$B640,'Analysis of bottom-up tags'!$B$200:$B$203,0),MATCH(Dashboard!D$21,'Analysis of bottom-up tags'!$N$6:$W$6,0))*D$24</f>
        <v>0</v>
      </c>
      <c r="E640" s="151">
        <f>INDEX('Analysis of bottom-up tags'!$N$200:$W$203,MATCH(Dashboard!$B640,'Analysis of bottom-up tags'!$B$200:$B$203,0),MATCH(Dashboard!E$21,'Analysis of bottom-up tags'!$N$6:$W$6,0))*E$24</f>
        <v>0</v>
      </c>
      <c r="F640" s="151">
        <f>INDEX('Analysis of bottom-up tags'!$N$200:$W$203,MATCH(Dashboard!$B640,'Analysis of bottom-up tags'!$B$200:$B$203,0),MATCH(Dashboard!F$21,'Analysis of bottom-up tags'!$N$6:$W$6,0))*F$24</f>
        <v>0</v>
      </c>
      <c r="G640" s="151">
        <f>INDEX('Analysis of bottom-up tags'!$N$200:$W$203,MATCH(Dashboard!$B640,'Analysis of bottom-up tags'!$B$200:$B$203,0),MATCH(Dashboard!G$21,'Analysis of bottom-up tags'!$N$6:$W$6,0))*G$24</f>
        <v>0</v>
      </c>
      <c r="H640" s="151">
        <f>INDEX('Analysis of bottom-up tags'!$N$200:$W$203,MATCH(Dashboard!$B640,'Analysis of bottom-up tags'!$B$200:$B$203,0),MATCH(Dashboard!H$21,'Analysis of bottom-up tags'!$N$6:$W$6,0))*H$24</f>
        <v>0</v>
      </c>
      <c r="I640" s="151">
        <f>INDEX('Analysis of bottom-up tags'!$N$200:$W$203,MATCH(Dashboard!$B640,'Analysis of bottom-up tags'!$B$200:$B$203,0),MATCH(Dashboard!I$21,'Analysis of bottom-up tags'!$N$6:$W$6,0))*I$24</f>
        <v>0</v>
      </c>
      <c r="J640" s="151">
        <f>INDEX('Analysis of bottom-up tags'!$N$200:$W$203,MATCH(Dashboard!$B640,'Analysis of bottom-up tags'!$B$200:$B$203,0),MATCH(Dashboard!J$21,'Analysis of bottom-up tags'!$N$6:$W$6,0))*J$24</f>
        <v>0</v>
      </c>
      <c r="K640" s="151">
        <f>INDEX('Analysis of bottom-up tags'!$N$200:$W$203,MATCH(Dashboard!$B640,'Analysis of bottom-up tags'!$B$200:$B$203,0),MATCH(Dashboard!K$21,'Analysis of bottom-up tags'!$N$6:$W$6,0))*K$24</f>
        <v>0</v>
      </c>
      <c r="L640" s="151">
        <f>INDEX('Analysis of bottom-up tags'!$N$200:$W$203,MATCH(Dashboard!$B640,'Analysis of bottom-up tags'!$B$200:$B$203,0),MATCH(Dashboard!L$21,'Analysis of bottom-up tags'!$N$6:$W$6,0))*L$24</f>
        <v>0</v>
      </c>
      <c r="M640" s="151">
        <f t="shared" si="322"/>
        <v>0</v>
      </c>
    </row>
    <row r="641" spans="2:13">
      <c r="B641" s="151" t="s">
        <v>10981</v>
      </c>
      <c r="C641" s="151">
        <f>INDEX('Analysis of bottom-up tags'!$N$200:$W$203,MATCH(Dashboard!$B641,'Analysis of bottom-up tags'!$B$200:$B$203,0),MATCH(Dashboard!C$21,'Analysis of bottom-up tags'!$N$6:$W$6,0))*C$24</f>
        <v>0</v>
      </c>
      <c r="D641" s="151">
        <f>INDEX('Analysis of bottom-up tags'!$N$200:$W$203,MATCH(Dashboard!$B641,'Analysis of bottom-up tags'!$B$200:$B$203,0),MATCH(Dashboard!D$21,'Analysis of bottom-up tags'!$N$6:$W$6,0))*D$24</f>
        <v>0</v>
      </c>
      <c r="E641" s="151">
        <f>INDEX('Analysis of bottom-up tags'!$N$200:$W$203,MATCH(Dashboard!$B641,'Analysis of bottom-up tags'!$B$200:$B$203,0),MATCH(Dashboard!E$21,'Analysis of bottom-up tags'!$N$6:$W$6,0))*E$24</f>
        <v>0</v>
      </c>
      <c r="F641" s="151">
        <f>INDEX('Analysis of bottom-up tags'!$N$200:$W$203,MATCH(Dashboard!$B641,'Analysis of bottom-up tags'!$B$200:$B$203,0),MATCH(Dashboard!F$21,'Analysis of bottom-up tags'!$N$6:$W$6,0))*F$24</f>
        <v>0</v>
      </c>
      <c r="G641" s="151">
        <f>INDEX('Analysis of bottom-up tags'!$N$200:$W$203,MATCH(Dashboard!$B641,'Analysis of bottom-up tags'!$B$200:$B$203,0),MATCH(Dashboard!G$21,'Analysis of bottom-up tags'!$N$6:$W$6,0))*G$24</f>
        <v>0</v>
      </c>
      <c r="H641" s="151">
        <f>INDEX('Analysis of bottom-up tags'!$N$200:$W$203,MATCH(Dashboard!$B641,'Analysis of bottom-up tags'!$B$200:$B$203,0),MATCH(Dashboard!H$21,'Analysis of bottom-up tags'!$N$6:$W$6,0))*H$24</f>
        <v>0</v>
      </c>
      <c r="I641" s="151">
        <f>INDEX('Analysis of bottom-up tags'!$N$200:$W$203,MATCH(Dashboard!$B641,'Analysis of bottom-up tags'!$B$200:$B$203,0),MATCH(Dashboard!I$21,'Analysis of bottom-up tags'!$N$6:$W$6,0))*I$24</f>
        <v>6.5938997433539477</v>
      </c>
      <c r="J641" s="151">
        <f>INDEX('Analysis of bottom-up tags'!$N$200:$W$203,MATCH(Dashboard!$B641,'Analysis of bottom-up tags'!$B$200:$B$203,0),MATCH(Dashboard!J$21,'Analysis of bottom-up tags'!$N$6:$W$6,0))*J$24</f>
        <v>53.726741901187538</v>
      </c>
      <c r="K641" s="151">
        <f>INDEX('Analysis of bottom-up tags'!$N$200:$W$203,MATCH(Dashboard!$B641,'Analysis of bottom-up tags'!$B$200:$B$203,0),MATCH(Dashboard!K$21,'Analysis of bottom-up tags'!$N$6:$W$6,0))*K$24</f>
        <v>6.7299692048242248</v>
      </c>
      <c r="L641" s="151">
        <f>INDEX('Analysis of bottom-up tags'!$N$200:$W$203,MATCH(Dashboard!$B641,'Analysis of bottom-up tags'!$B$200:$B$203,0),MATCH(Dashboard!L$21,'Analysis of bottom-up tags'!$N$6:$W$6,0))*L$24</f>
        <v>32.698803236190706</v>
      </c>
      <c r="M641" s="151">
        <f t="shared" si="322"/>
        <v>99.749414085556424</v>
      </c>
    </row>
    <row r="642" spans="2:13">
      <c r="B642" s="176"/>
      <c r="C642" s="176"/>
      <c r="D642" s="176"/>
      <c r="E642" s="176"/>
      <c r="F642" s="176"/>
      <c r="G642" s="176"/>
      <c r="H642" s="176"/>
      <c r="I642" s="176"/>
      <c r="J642" s="176"/>
      <c r="K642" s="176"/>
      <c r="L642" s="176"/>
      <c r="M642" s="176"/>
    </row>
    <row r="643" spans="2:13">
      <c r="B643" s="176"/>
      <c r="C643" s="176"/>
      <c r="D643" s="176"/>
      <c r="E643" s="176"/>
      <c r="F643" s="176"/>
      <c r="G643" s="176"/>
      <c r="H643" s="176"/>
      <c r="I643" s="176"/>
      <c r="J643" s="176"/>
      <c r="K643" s="176"/>
      <c r="L643" s="176"/>
      <c r="M643" s="176"/>
    </row>
    <row r="644" spans="2:13">
      <c r="B644" s="98" t="s">
        <v>11138</v>
      </c>
      <c r="C644" s="163" t="s">
        <v>11131</v>
      </c>
      <c r="D644" s="163"/>
      <c r="E644" s="163"/>
      <c r="F644" s="163"/>
      <c r="G644" s="163"/>
      <c r="H644" s="163"/>
      <c r="I644" s="163"/>
      <c r="J644" s="163"/>
      <c r="K644" s="163"/>
      <c r="L644" s="163"/>
      <c r="M644" s="163" t="s">
        <v>11042</v>
      </c>
    </row>
    <row r="645" spans="2:13">
      <c r="B645" s="151" t="s">
        <v>10973</v>
      </c>
      <c r="C645" s="151">
        <f>INDEX('Analysis of bottom-up tags'!$N$207:$W$210,MATCH(Dashboard!$B645,'Analysis of bottom-up tags'!$B$207:$B$210,0),MATCH(Dashboard!C$21,'Analysis of bottom-up tags'!$N$6:$W$6,0))*C$24</f>
        <v>0</v>
      </c>
      <c r="D645" s="151">
        <f>INDEX('Analysis of bottom-up tags'!$N$207:$W$210,MATCH(Dashboard!$B645,'Analysis of bottom-up tags'!$B$207:$B$210,0),MATCH(Dashboard!D$21,'Analysis of bottom-up tags'!$N$6:$W$6,0))*D$24</f>
        <v>0</v>
      </c>
      <c r="E645" s="151">
        <f>INDEX('Analysis of bottom-up tags'!$N$207:$W$210,MATCH(Dashboard!$B645,'Analysis of bottom-up tags'!$B$207:$B$210,0),MATCH(Dashboard!E$21,'Analysis of bottom-up tags'!$N$6:$W$6,0))*E$24</f>
        <v>0</v>
      </c>
      <c r="F645" s="151">
        <f>INDEX('Analysis of bottom-up tags'!$N$207:$W$210,MATCH(Dashboard!$B645,'Analysis of bottom-up tags'!$B$207:$B$210,0),MATCH(Dashboard!F$21,'Analysis of bottom-up tags'!$N$6:$W$6,0))*F$24</f>
        <v>0</v>
      </c>
      <c r="G645" s="151">
        <f>INDEX('Analysis of bottom-up tags'!$N$207:$W$210,MATCH(Dashboard!$B645,'Analysis of bottom-up tags'!$B$207:$B$210,0),MATCH(Dashboard!G$21,'Analysis of bottom-up tags'!$N$6:$W$6,0))*G$24</f>
        <v>0</v>
      </c>
      <c r="H645" s="151">
        <f>INDEX('Analysis of bottom-up tags'!$N$207:$W$210,MATCH(Dashboard!$B645,'Analysis of bottom-up tags'!$B$207:$B$210,0),MATCH(Dashboard!H$21,'Analysis of bottom-up tags'!$N$6:$W$6,0))*H$24</f>
        <v>0</v>
      </c>
      <c r="I645" s="151">
        <f>INDEX('Analysis of bottom-up tags'!$N$207:$W$210,MATCH(Dashboard!$B645,'Analysis of bottom-up tags'!$B$207:$B$210,0),MATCH(Dashboard!I$21,'Analysis of bottom-up tags'!$N$6:$W$6,0))*I$24</f>
        <v>0</v>
      </c>
      <c r="J645" s="151">
        <f>INDEX('Analysis of bottom-up tags'!$N$207:$W$210,MATCH(Dashboard!$B645,'Analysis of bottom-up tags'!$B$207:$B$210,0),MATCH(Dashboard!J$21,'Analysis of bottom-up tags'!$N$6:$W$6,0))*J$24</f>
        <v>0</v>
      </c>
      <c r="K645" s="151">
        <f>INDEX('Analysis of bottom-up tags'!$N$207:$W$210,MATCH(Dashboard!$B645,'Analysis of bottom-up tags'!$B$207:$B$210,0),MATCH(Dashboard!K$21,'Analysis of bottom-up tags'!$N$6:$W$6,0))*K$24</f>
        <v>0</v>
      </c>
      <c r="L645" s="151">
        <f>INDEX('Analysis of bottom-up tags'!$N$207:$W$210,MATCH(Dashboard!$B645,'Analysis of bottom-up tags'!$B$207:$B$210,0),MATCH(Dashboard!L$21,'Analysis of bottom-up tags'!$N$6:$W$6,0))*L$24</f>
        <v>0</v>
      </c>
      <c r="M645" s="151">
        <f>SUM(C645:L645)</f>
        <v>0</v>
      </c>
    </row>
    <row r="646" spans="2:13">
      <c r="B646" s="151" t="s">
        <v>10977</v>
      </c>
      <c r="C646" s="151">
        <f>INDEX('Analysis of bottom-up tags'!$N$207:$W$210,MATCH(Dashboard!$B646,'Analysis of bottom-up tags'!$B$207:$B$210,0),MATCH(Dashboard!C$21,'Analysis of bottom-up tags'!$N$6:$W$6,0))*C$24</f>
        <v>0</v>
      </c>
      <c r="D646" s="151">
        <f>INDEX('Analysis of bottom-up tags'!$N$207:$W$210,MATCH(Dashboard!$B646,'Analysis of bottom-up tags'!$B$207:$B$210,0),MATCH(Dashboard!D$21,'Analysis of bottom-up tags'!$N$6:$W$6,0))*D$24</f>
        <v>0</v>
      </c>
      <c r="E646" s="151">
        <f>INDEX('Analysis of bottom-up tags'!$N$207:$W$210,MATCH(Dashboard!$B646,'Analysis of bottom-up tags'!$B$207:$B$210,0),MATCH(Dashboard!E$21,'Analysis of bottom-up tags'!$N$6:$W$6,0))*E$24</f>
        <v>0</v>
      </c>
      <c r="F646" s="151">
        <f>INDEX('Analysis of bottom-up tags'!$N$207:$W$210,MATCH(Dashboard!$B646,'Analysis of bottom-up tags'!$B$207:$B$210,0),MATCH(Dashboard!F$21,'Analysis of bottom-up tags'!$N$6:$W$6,0))*F$24</f>
        <v>0</v>
      </c>
      <c r="G646" s="151">
        <f>INDEX('Analysis of bottom-up tags'!$N$207:$W$210,MATCH(Dashboard!$B646,'Analysis of bottom-up tags'!$B$207:$B$210,0),MATCH(Dashboard!G$21,'Analysis of bottom-up tags'!$N$6:$W$6,0))*G$24</f>
        <v>0</v>
      </c>
      <c r="H646" s="151">
        <f>INDEX('Analysis of bottom-up tags'!$N$207:$W$210,MATCH(Dashboard!$B646,'Analysis of bottom-up tags'!$B$207:$B$210,0),MATCH(Dashboard!H$21,'Analysis of bottom-up tags'!$N$6:$W$6,0))*H$24</f>
        <v>0</v>
      </c>
      <c r="I646" s="151">
        <f>INDEX('Analysis of bottom-up tags'!$N$207:$W$210,MATCH(Dashboard!$B646,'Analysis of bottom-up tags'!$B$207:$B$210,0),MATCH(Dashboard!I$21,'Analysis of bottom-up tags'!$N$6:$W$6,0))*I$24</f>
        <v>0.34515881113621549</v>
      </c>
      <c r="J646" s="151">
        <f>INDEX('Analysis of bottom-up tags'!$N$207:$W$210,MATCH(Dashboard!$B646,'Analysis of bottom-up tags'!$B$207:$B$210,0),MATCH(Dashboard!J$21,'Analysis of bottom-up tags'!$N$6:$W$6,0))*J$24</f>
        <v>57.34821554262524</v>
      </c>
      <c r="K646" s="151">
        <f>INDEX('Analysis of bottom-up tags'!$N$207:$W$210,MATCH(Dashboard!$B646,'Analysis of bottom-up tags'!$B$207:$B$210,0),MATCH(Dashboard!K$21,'Analysis of bottom-up tags'!$N$6:$W$6,0))*K$24</f>
        <v>0</v>
      </c>
      <c r="L646" s="151">
        <f>INDEX('Analysis of bottom-up tags'!$N$207:$W$210,MATCH(Dashboard!$B646,'Analysis of bottom-up tags'!$B$207:$B$210,0),MATCH(Dashboard!L$21,'Analysis of bottom-up tags'!$N$6:$W$6,0))*L$24</f>
        <v>0</v>
      </c>
      <c r="M646" s="151">
        <f t="shared" ref="M646:M648" si="323">SUM(C646:L646)</f>
        <v>57.693374353761456</v>
      </c>
    </row>
    <row r="647" spans="2:13">
      <c r="B647" s="151" t="s">
        <v>10558</v>
      </c>
      <c r="C647" s="151">
        <f>INDEX('Analysis of bottom-up tags'!$N$207:$W$210,MATCH(Dashboard!$B647,'Analysis of bottom-up tags'!$B$207:$B$210,0),MATCH(Dashboard!C$21,'Analysis of bottom-up tags'!$N$6:$W$6,0))*C$24</f>
        <v>0</v>
      </c>
      <c r="D647" s="151">
        <f>INDEX('Analysis of bottom-up tags'!$N$207:$W$210,MATCH(Dashboard!$B647,'Analysis of bottom-up tags'!$B$207:$B$210,0),MATCH(Dashboard!D$21,'Analysis of bottom-up tags'!$N$6:$W$6,0))*D$24</f>
        <v>0</v>
      </c>
      <c r="E647" s="151">
        <f>INDEX('Analysis of bottom-up tags'!$N$207:$W$210,MATCH(Dashboard!$B647,'Analysis of bottom-up tags'!$B$207:$B$210,0),MATCH(Dashboard!E$21,'Analysis of bottom-up tags'!$N$6:$W$6,0))*E$24</f>
        <v>0</v>
      </c>
      <c r="F647" s="151">
        <f>INDEX('Analysis of bottom-up tags'!$N$207:$W$210,MATCH(Dashboard!$B647,'Analysis of bottom-up tags'!$B$207:$B$210,0),MATCH(Dashboard!F$21,'Analysis of bottom-up tags'!$N$6:$W$6,0))*F$24</f>
        <v>0</v>
      </c>
      <c r="G647" s="151">
        <f>INDEX('Analysis of bottom-up tags'!$N$207:$W$210,MATCH(Dashboard!$B647,'Analysis of bottom-up tags'!$B$207:$B$210,0),MATCH(Dashboard!G$21,'Analysis of bottom-up tags'!$N$6:$W$6,0))*G$24</f>
        <v>0</v>
      </c>
      <c r="H647" s="151">
        <f>INDEX('Analysis of bottom-up tags'!$N$207:$W$210,MATCH(Dashboard!$B647,'Analysis of bottom-up tags'!$B$207:$B$210,0),MATCH(Dashboard!H$21,'Analysis of bottom-up tags'!$N$6:$W$6,0))*H$24</f>
        <v>0</v>
      </c>
      <c r="I647" s="151">
        <f>INDEX('Analysis of bottom-up tags'!$N$207:$W$210,MATCH(Dashboard!$B647,'Analysis of bottom-up tags'!$B$207:$B$210,0),MATCH(Dashboard!I$21,'Analysis of bottom-up tags'!$N$6:$W$6,0))*I$24</f>
        <v>0</v>
      </c>
      <c r="J647" s="151">
        <f>INDEX('Analysis of bottom-up tags'!$N$207:$W$210,MATCH(Dashboard!$B647,'Analysis of bottom-up tags'!$B$207:$B$210,0),MATCH(Dashboard!J$21,'Analysis of bottom-up tags'!$N$6:$W$6,0))*J$24</f>
        <v>0</v>
      </c>
      <c r="K647" s="151">
        <f>INDEX('Analysis of bottom-up tags'!$N$207:$W$210,MATCH(Dashboard!$B647,'Analysis of bottom-up tags'!$B$207:$B$210,0),MATCH(Dashboard!K$21,'Analysis of bottom-up tags'!$N$6:$W$6,0))*K$24</f>
        <v>0</v>
      </c>
      <c r="L647" s="151">
        <f>INDEX('Analysis of bottom-up tags'!$N$207:$W$210,MATCH(Dashboard!$B647,'Analysis of bottom-up tags'!$B$207:$B$210,0),MATCH(Dashboard!L$21,'Analysis of bottom-up tags'!$N$6:$W$6,0))*L$24</f>
        <v>0</v>
      </c>
      <c r="M647" s="151">
        <f t="shared" si="323"/>
        <v>0</v>
      </c>
    </row>
    <row r="648" spans="2:13">
      <c r="B648" s="151" t="s">
        <v>10981</v>
      </c>
      <c r="C648" s="151">
        <f>INDEX('Analysis of bottom-up tags'!$N$207:$W$210,MATCH(Dashboard!$B648,'Analysis of bottom-up tags'!$B$207:$B$210,0),MATCH(Dashboard!C$21,'Analysis of bottom-up tags'!$N$6:$W$6,0))*C$24</f>
        <v>0</v>
      </c>
      <c r="D648" s="151">
        <f>INDEX('Analysis of bottom-up tags'!$N$207:$W$210,MATCH(Dashboard!$B648,'Analysis of bottom-up tags'!$B$207:$B$210,0),MATCH(Dashboard!D$21,'Analysis of bottom-up tags'!$N$6:$W$6,0))*D$24</f>
        <v>0</v>
      </c>
      <c r="E648" s="151">
        <f>INDEX('Analysis of bottom-up tags'!$N$207:$W$210,MATCH(Dashboard!$B648,'Analysis of bottom-up tags'!$B$207:$B$210,0),MATCH(Dashboard!E$21,'Analysis of bottom-up tags'!$N$6:$W$6,0))*E$24</f>
        <v>0</v>
      </c>
      <c r="F648" s="151">
        <f>INDEX('Analysis of bottom-up tags'!$N$207:$W$210,MATCH(Dashboard!$B648,'Analysis of bottom-up tags'!$B$207:$B$210,0),MATCH(Dashboard!F$21,'Analysis of bottom-up tags'!$N$6:$W$6,0))*F$24</f>
        <v>0</v>
      </c>
      <c r="G648" s="151">
        <f>INDEX('Analysis of bottom-up tags'!$N$207:$W$210,MATCH(Dashboard!$B648,'Analysis of bottom-up tags'!$B$207:$B$210,0),MATCH(Dashboard!G$21,'Analysis of bottom-up tags'!$N$6:$W$6,0))*G$24</f>
        <v>0</v>
      </c>
      <c r="H648" s="151">
        <f>INDEX('Analysis of bottom-up tags'!$N$207:$W$210,MATCH(Dashboard!$B648,'Analysis of bottom-up tags'!$B$207:$B$210,0),MATCH(Dashboard!H$21,'Analysis of bottom-up tags'!$N$6:$W$6,0))*H$24</f>
        <v>0</v>
      </c>
      <c r="I648" s="151">
        <f>INDEX('Analysis of bottom-up tags'!$N$207:$W$210,MATCH(Dashboard!$B648,'Analysis of bottom-up tags'!$B$207:$B$210,0),MATCH(Dashboard!I$21,'Analysis of bottom-up tags'!$N$6:$W$6,0))*I$24</f>
        <v>6.2458971533993299</v>
      </c>
      <c r="J648" s="151">
        <f>INDEX('Analysis of bottom-up tags'!$N$207:$W$210,MATCH(Dashboard!$B648,'Analysis of bottom-up tags'!$B$207:$B$210,0),MATCH(Dashboard!J$21,'Analysis of bottom-up tags'!$N$6:$W$6,0))*J$24</f>
        <v>47.133299285586219</v>
      </c>
      <c r="K648" s="151">
        <f>INDEX('Analysis of bottom-up tags'!$N$207:$W$210,MATCH(Dashboard!$B648,'Analysis of bottom-up tags'!$B$207:$B$210,0),MATCH(Dashboard!K$21,'Analysis of bottom-up tags'!$N$6:$W$6,0))*K$24</f>
        <v>2.8832299940195369</v>
      </c>
      <c r="L648" s="151">
        <f>INDEX('Analysis of bottom-up tags'!$N$207:$W$210,MATCH(Dashboard!$B648,'Analysis of bottom-up tags'!$B$207:$B$210,0),MATCH(Dashboard!L$21,'Analysis of bottom-up tags'!$N$6:$W$6,0))*L$24</f>
        <v>21.759755827364671</v>
      </c>
      <c r="M648" s="151">
        <f t="shared" si="323"/>
        <v>78.02218226036976</v>
      </c>
    </row>
    <row r="651" spans="2:13">
      <c r="B651" s="218"/>
    </row>
    <row r="652" spans="2:13">
      <c r="B652" s="218"/>
    </row>
    <row r="653" spans="2:13">
      <c r="B653" s="218"/>
    </row>
    <row r="654" spans="2:13">
      <c r="B654" s="218"/>
    </row>
    <row r="655" spans="2:13">
      <c r="B655" s="218"/>
    </row>
    <row r="656" spans="2:13">
      <c r="B656" s="218" t="s">
        <v>10544</v>
      </c>
      <c r="C656" s="151">
        <f>SUM(C495,C497,C500,C499,C501,C503,C505)</f>
        <v>14.548867079111</v>
      </c>
      <c r="D656" s="151">
        <f t="shared" ref="D656:L656" si="324">SUM(D495,D497,D500,D499,D501,D503,D505)</f>
        <v>114.85286965917381</v>
      </c>
      <c r="E656" s="151">
        <f t="shared" si="324"/>
        <v>355.58908349861878</v>
      </c>
      <c r="F656" s="151">
        <f t="shared" si="324"/>
        <v>720.85839788463886</v>
      </c>
      <c r="G656" s="151">
        <f t="shared" si="324"/>
        <v>28.419071737509938</v>
      </c>
      <c r="H656" s="151">
        <f t="shared" si="324"/>
        <v>8.7668797563233358</v>
      </c>
      <c r="I656" s="151">
        <f t="shared" si="324"/>
        <v>10.013578641707419</v>
      </c>
      <c r="J656" s="151">
        <f t="shared" si="324"/>
        <v>184.41772958445213</v>
      </c>
      <c r="K656" s="151">
        <f t="shared" si="324"/>
        <v>9.0504331001901583</v>
      </c>
      <c r="L656" s="151">
        <f t="shared" si="324"/>
        <v>141.32505958972962</v>
      </c>
    </row>
    <row r="657" spans="2:16">
      <c r="B657" s="218" t="s">
        <v>11180</v>
      </c>
      <c r="C657" s="151">
        <f>SUM(C493,C495,C496,C497,C498,C501,C502,C503,C504,C507)</f>
        <v>954.0092560925915</v>
      </c>
      <c r="D657" s="151">
        <f t="shared" ref="D657:L657" si="325">SUM(D493,D495,D496,D497,D498,D501,D502,D503,D504,D507)</f>
        <v>170.18752934470993</v>
      </c>
      <c r="E657" s="151">
        <f t="shared" si="325"/>
        <v>1222.0699405078703</v>
      </c>
      <c r="F657" s="151">
        <f t="shared" si="325"/>
        <v>986.24855685904993</v>
      </c>
      <c r="G657" s="151">
        <f t="shared" si="325"/>
        <v>487.2363253463804</v>
      </c>
      <c r="H657" s="151">
        <f t="shared" si="325"/>
        <v>1061.9606490221186</v>
      </c>
      <c r="I657" s="151">
        <f t="shared" si="325"/>
        <v>144.43353687214355</v>
      </c>
      <c r="J657" s="151">
        <f t="shared" si="325"/>
        <v>1320.4078129292282</v>
      </c>
      <c r="K657" s="151">
        <f t="shared" si="325"/>
        <v>187.08957952493634</v>
      </c>
      <c r="L657" s="151">
        <f t="shared" si="325"/>
        <v>631.97849076477485</v>
      </c>
    </row>
    <row r="658" spans="2:16">
      <c r="B658" s="218" t="s">
        <v>10523</v>
      </c>
      <c r="C658" s="151">
        <f>SUM(C493:C494,C496,C498,C499,C500,C502,C504,C506)</f>
        <v>1474.8401073057194</v>
      </c>
      <c r="D658" s="151">
        <f t="shared" ref="D658:L658" si="326">SUM(D493:D494,D496,D498,D499,D500,D502,D504,D506)</f>
        <v>993.24859244433082</v>
      </c>
      <c r="E658" s="151">
        <f t="shared" si="326"/>
        <v>1020.7545860216823</v>
      </c>
      <c r="F658" s="151">
        <f t="shared" si="326"/>
        <v>404.50829067560284</v>
      </c>
      <c r="G658" s="151">
        <f t="shared" si="326"/>
        <v>459.43048344163105</v>
      </c>
      <c r="H658" s="151">
        <f t="shared" si="326"/>
        <v>1110.9613292921588</v>
      </c>
      <c r="I658" s="151">
        <f t="shared" si="326"/>
        <v>150.09351873000003</v>
      </c>
      <c r="J658" s="151">
        <f t="shared" si="326"/>
        <v>1338.480059575287</v>
      </c>
      <c r="K658" s="151">
        <f t="shared" si="326"/>
        <v>180.27981023039212</v>
      </c>
      <c r="L658" s="151">
        <f t="shared" si="326"/>
        <v>757.91074978146378</v>
      </c>
    </row>
    <row r="659" spans="2:16">
      <c r="B659" s="218" t="s">
        <v>10563</v>
      </c>
      <c r="C659" s="151">
        <f>SUM(C492)</f>
        <v>24.484482392330285</v>
      </c>
      <c r="D659" s="151">
        <f t="shared" ref="D659:L659" si="327">SUM(D492)</f>
        <v>540.04989102935281</v>
      </c>
      <c r="E659" s="151">
        <f t="shared" si="327"/>
        <v>162.60705681546051</v>
      </c>
      <c r="F659" s="151">
        <f t="shared" si="327"/>
        <v>371.88645558933274</v>
      </c>
      <c r="G659" s="151">
        <f t="shared" si="327"/>
        <v>1516.973251115392</v>
      </c>
      <c r="H659" s="151">
        <f t="shared" si="327"/>
        <v>1027.3750190978044</v>
      </c>
      <c r="I659" s="151">
        <f t="shared" si="327"/>
        <v>1774.7650725972219</v>
      </c>
      <c r="J659" s="151">
        <f t="shared" si="327"/>
        <v>715.55896941789501</v>
      </c>
      <c r="K659" s="151">
        <f t="shared" si="327"/>
        <v>2170.3573132722709</v>
      </c>
      <c r="L659" s="151">
        <f t="shared" si="327"/>
        <v>1345.4021385004994</v>
      </c>
    </row>
    <row r="660" spans="2:16">
      <c r="B660" s="218" t="s">
        <v>11181</v>
      </c>
      <c r="C660" s="151">
        <f>SUM(C494,C500,C505,C506,C507)</f>
        <v>535.3797182922392</v>
      </c>
      <c r="D660" s="151">
        <f t="shared" ref="D660:L660" si="328">SUM(D494,D500,D505,D506,D507)</f>
        <v>937.91393275879466</v>
      </c>
      <c r="E660" s="151">
        <f t="shared" si="328"/>
        <v>154.27372901243061</v>
      </c>
      <c r="F660" s="151">
        <f t="shared" si="328"/>
        <v>139.11813170119169</v>
      </c>
      <c r="G660" s="151">
        <f t="shared" si="328"/>
        <v>0.61322983276061016</v>
      </c>
      <c r="H660" s="151">
        <f t="shared" si="328"/>
        <v>57.767560026363562</v>
      </c>
      <c r="I660" s="151">
        <f t="shared" si="328"/>
        <v>9.4333509038014061</v>
      </c>
      <c r="J660" s="151">
        <f t="shared" si="328"/>
        <v>53.847131090877205</v>
      </c>
      <c r="K660" s="151">
        <f t="shared" si="328"/>
        <v>7.0509122332357572</v>
      </c>
      <c r="L660" s="151">
        <f t="shared" si="328"/>
        <v>267.37565759670593</v>
      </c>
    </row>
    <row r="661" spans="2:16">
      <c r="B661" s="218" t="s">
        <v>10558</v>
      </c>
    </row>
    <row r="662" spans="2:16">
      <c r="B662" s="218"/>
    </row>
    <row r="664" spans="2:16" s="197" customFormat="1">
      <c r="B664" s="197" t="s">
        <v>11177</v>
      </c>
    </row>
    <row r="665" spans="2:16">
      <c r="G665" s="217" t="s">
        <v>11178</v>
      </c>
      <c r="H665" s="247" t="s">
        <v>11140</v>
      </c>
      <c r="I665" s="247"/>
      <c r="J665" s="247"/>
      <c r="K665" s="247" t="s">
        <v>11142</v>
      </c>
      <c r="L665" s="247"/>
      <c r="M665" s="247"/>
      <c r="N665" s="247" t="s">
        <v>11144</v>
      </c>
      <c r="O665" s="247"/>
      <c r="P665" s="247"/>
    </row>
    <row r="666" spans="2:16">
      <c r="B666" s="98" t="s">
        <v>11176</v>
      </c>
      <c r="C666" s="165" t="s">
        <v>11175</v>
      </c>
      <c r="D666" s="165" t="s">
        <v>11173</v>
      </c>
      <c r="E666" s="165" t="s">
        <v>11174</v>
      </c>
      <c r="F666" s="208" t="s">
        <v>11159</v>
      </c>
      <c r="G666" s="217" t="s">
        <v>11179</v>
      </c>
      <c r="H666" s="165" t="s">
        <v>11175</v>
      </c>
      <c r="I666" s="165" t="s">
        <v>11173</v>
      </c>
      <c r="J666" s="165" t="s">
        <v>11174</v>
      </c>
      <c r="K666" s="165" t="s">
        <v>11175</v>
      </c>
      <c r="L666" s="165" t="s">
        <v>11173</v>
      </c>
      <c r="M666" s="165" t="s">
        <v>11174</v>
      </c>
      <c r="N666" s="165" t="s">
        <v>11175</v>
      </c>
      <c r="O666" s="165" t="s">
        <v>11173</v>
      </c>
      <c r="P666" s="165" t="s">
        <v>11174</v>
      </c>
    </row>
    <row r="667" spans="2:16">
      <c r="B667" s="151" t="s">
        <v>10821</v>
      </c>
      <c r="C667" s="101">
        <f>IFERROR(SUMIFS('Bottom-up tagging'!$I:$I,'Bottom-up tagging'!$AM:$AM,1,'Bottom-up tagging'!$P:$P,Dashboard!$B667)/SUMIFS('Bottom-up tagging'!$I:$I,'Bottom-up tagging'!$P:$P,Dashboard!$B667),0)</f>
        <v>0</v>
      </c>
      <c r="D667" s="101">
        <f>IFERROR(SUMIFS('Bottom-up tagging'!$I:$I,'Bottom-up tagging'!$AO:$AO,1,'Bottom-up tagging'!$P:$P,Dashboard!$B667)/SUMIFS('Bottom-up tagging'!$I:$I,'Bottom-up tagging'!$P:$P,Dashboard!$B667),0)</f>
        <v>0</v>
      </c>
      <c r="E667" s="101">
        <f>IFERROR(SUMIFS('Bottom-up tagging'!$I:$I,'Bottom-up tagging'!$AN:$AN,1,'Bottom-up tagging'!$P:$P,Dashboard!$B667)/SUMIFS('Bottom-up tagging'!$I:$I,'Bottom-up tagging'!$P:$P,Dashboard!$B667),0)</f>
        <v>0.97431889030893959</v>
      </c>
      <c r="F667" s="151" t="str" cm="1">
        <f t="array" ref="F667">INDEX(Framework!$C$3:$C$119,MATCH(Dashboard!$B667,Framework!$D$3:$D$119,),)</f>
        <v xml:space="preserve">Post-production </v>
      </c>
      <c r="H667" s="151">
        <f t="shared" ref="H667:H708" si="329">C667*$M96</f>
        <v>0</v>
      </c>
      <c r="I667" s="151">
        <f t="shared" ref="I667:J667" si="330">D667*$M96</f>
        <v>0</v>
      </c>
      <c r="J667" s="151">
        <f t="shared" si="330"/>
        <v>6414.2251234276409</v>
      </c>
      <c r="K667" s="151">
        <f t="shared" ref="K667:K708" si="331">C667*$M306</f>
        <v>0</v>
      </c>
      <c r="L667" s="151">
        <f t="shared" ref="L667:M667" si="332">D667*$M306</f>
        <v>0</v>
      </c>
      <c r="M667" s="151">
        <f t="shared" si="332"/>
        <v>7767.6281877612819</v>
      </c>
      <c r="N667" s="151">
        <f t="shared" ref="N667:N708" si="333">C667*$M516</f>
        <v>0</v>
      </c>
      <c r="O667" s="151">
        <f t="shared" ref="O667:P667" si="334">D667*$M516</f>
        <v>0</v>
      </c>
      <c r="P667" s="151">
        <f t="shared" si="334"/>
        <v>9121.0312520949228</v>
      </c>
    </row>
    <row r="668" spans="2:16">
      <c r="B668" s="151" t="s">
        <v>10993</v>
      </c>
      <c r="C668" s="101">
        <f>IFERROR(SUMIFS('Bottom-up tagging'!$I:$I,'Bottom-up tagging'!$AM:$AM,1,'Bottom-up tagging'!$P:$P,Dashboard!$B668)/SUMIFS('Bottom-up tagging'!$I:$I,'Bottom-up tagging'!$P:$P,Dashboard!$B668),0)</f>
        <v>0</v>
      </c>
      <c r="D668" s="101">
        <f>IFERROR(SUMIFS('Bottom-up tagging'!$I:$I,'Bottom-up tagging'!$AO:$AO,1,'Bottom-up tagging'!$P:$P,Dashboard!$B668)/SUMIFS('Bottom-up tagging'!$I:$I,'Bottom-up tagging'!$P:$P,Dashboard!$B668),0)</f>
        <v>0</v>
      </c>
      <c r="E668" s="101">
        <f>IFERROR(SUMIFS('Bottom-up tagging'!$I:$I,'Bottom-up tagging'!$AN:$AN,1,'Bottom-up tagging'!$P:$P,Dashboard!$B668)/SUMIFS('Bottom-up tagging'!$I:$I,'Bottom-up tagging'!$P:$P,Dashboard!$B668),0)</f>
        <v>0.64549088913925456</v>
      </c>
      <c r="F668" s="151" t="str" cm="1">
        <f t="array" ref="F668">INDEX(Framework!$C$3:$C$119,MATCH(Dashboard!$B668,Framework!$D$3:$D$119,),)</f>
        <v>Inputs</v>
      </c>
      <c r="H668" s="151">
        <f t="shared" si="329"/>
        <v>0</v>
      </c>
      <c r="I668" s="151">
        <f t="shared" ref="I668:I708" si="335">D668*$M97</f>
        <v>0</v>
      </c>
      <c r="J668" s="151">
        <f t="shared" ref="J668:J708" si="336">E668*$M97</f>
        <v>1202.3584181560161</v>
      </c>
      <c r="K668" s="151">
        <f t="shared" si="331"/>
        <v>0</v>
      </c>
      <c r="L668" s="151">
        <f t="shared" ref="L668:L708" si="337">D668*$M307</f>
        <v>0</v>
      </c>
      <c r="M668" s="151">
        <f t="shared" ref="M668:M708" si="338">E668*$M307</f>
        <v>1455.2753978336848</v>
      </c>
      <c r="N668" s="151">
        <f t="shared" si="333"/>
        <v>0</v>
      </c>
      <c r="O668" s="151">
        <f t="shared" ref="O668:O708" si="339">D668*$M517</f>
        <v>0</v>
      </c>
      <c r="P668" s="151">
        <f t="shared" ref="P668:P708" si="340">E668*$M517</f>
        <v>1708.1923775113535</v>
      </c>
    </row>
    <row r="669" spans="2:16">
      <c r="B669" s="151" t="s">
        <v>10720</v>
      </c>
      <c r="C669" s="101">
        <f>IFERROR(SUMIFS('Bottom-up tagging'!$I:$I,'Bottom-up tagging'!$AM:$AM,1,'Bottom-up tagging'!$P:$P,Dashboard!$B669)/SUMIFS('Bottom-up tagging'!$I:$I,'Bottom-up tagging'!$P:$P,Dashboard!$B669),0)</f>
        <v>0</v>
      </c>
      <c r="D669" s="101">
        <f>IFERROR(SUMIFS('Bottom-up tagging'!$I:$I,'Bottom-up tagging'!$AO:$AO,1,'Bottom-up tagging'!$P:$P,Dashboard!$B669)/SUMIFS('Bottom-up tagging'!$I:$I,'Bottom-up tagging'!$P:$P,Dashboard!$B669),0)</f>
        <v>0</v>
      </c>
      <c r="E669" s="101">
        <f>IFERROR(SUMIFS('Bottom-up tagging'!$I:$I,'Bottom-up tagging'!$AN:$AN,1,'Bottom-up tagging'!$P:$P,Dashboard!$B669)/SUMIFS('Bottom-up tagging'!$I:$I,'Bottom-up tagging'!$P:$P,Dashboard!$B669),0)</f>
        <v>1</v>
      </c>
      <c r="F669" s="151" t="str" cm="1">
        <f t="array" ref="F669">INDEX(Framework!$C$3:$C$119,MATCH(Dashboard!$B669,Framework!$D$3:$D$119,),)</f>
        <v>Inputs</v>
      </c>
      <c r="H669" s="151">
        <f t="shared" si="329"/>
        <v>0</v>
      </c>
      <c r="I669" s="151">
        <f t="shared" si="335"/>
        <v>0</v>
      </c>
      <c r="J669" s="151">
        <f t="shared" si="336"/>
        <v>62.139885794045888</v>
      </c>
      <c r="K669" s="151">
        <f t="shared" si="331"/>
        <v>0</v>
      </c>
      <c r="L669" s="151">
        <f t="shared" si="337"/>
        <v>0</v>
      </c>
      <c r="M669" s="151">
        <f t="shared" si="338"/>
        <v>75.315438390425413</v>
      </c>
      <c r="N669" s="151">
        <f t="shared" si="333"/>
        <v>0</v>
      </c>
      <c r="O669" s="151">
        <f t="shared" si="339"/>
        <v>0</v>
      </c>
      <c r="P669" s="151">
        <f t="shared" si="340"/>
        <v>88.49099098680496</v>
      </c>
    </row>
    <row r="670" spans="2:16">
      <c r="B670" s="151" t="s">
        <v>10718</v>
      </c>
      <c r="C670" s="101">
        <f>IFERROR(SUMIFS('Bottom-up tagging'!$I:$I,'Bottom-up tagging'!$AM:$AM,1,'Bottom-up tagging'!$P:$P,Dashboard!$B670)/SUMIFS('Bottom-up tagging'!$I:$I,'Bottom-up tagging'!$P:$P,Dashboard!$B670),0)</f>
        <v>0</v>
      </c>
      <c r="D670" s="101">
        <f>IFERROR(SUMIFS('Bottom-up tagging'!$I:$I,'Bottom-up tagging'!$AO:$AO,1,'Bottom-up tagging'!$P:$P,Dashboard!$B670)/SUMIFS('Bottom-up tagging'!$I:$I,'Bottom-up tagging'!$P:$P,Dashboard!$B670),0)</f>
        <v>0</v>
      </c>
      <c r="E670" s="101">
        <f>IFERROR(SUMIFS('Bottom-up tagging'!$I:$I,'Bottom-up tagging'!$AN:$AN,1,'Bottom-up tagging'!$P:$P,Dashboard!$B670)/SUMIFS('Bottom-up tagging'!$I:$I,'Bottom-up tagging'!$P:$P,Dashboard!$B670),0)</f>
        <v>0</v>
      </c>
      <c r="F670" s="151" t="str" cm="1">
        <f t="array" ref="F670">INDEX(Framework!$C$3:$C$119,MATCH(Dashboard!$B670,Framework!$D$3:$D$119,),)</f>
        <v>Inputs</v>
      </c>
      <c r="H670" s="151">
        <f t="shared" si="329"/>
        <v>0</v>
      </c>
      <c r="I670" s="151">
        <f t="shared" si="335"/>
        <v>0</v>
      </c>
      <c r="J670" s="151">
        <f t="shared" si="336"/>
        <v>0</v>
      </c>
      <c r="K670" s="151">
        <f t="shared" si="331"/>
        <v>0</v>
      </c>
      <c r="L670" s="151">
        <f t="shared" si="337"/>
        <v>0</v>
      </c>
      <c r="M670" s="151">
        <f t="shared" si="338"/>
        <v>0</v>
      </c>
      <c r="N670" s="151">
        <f t="shared" si="333"/>
        <v>0</v>
      </c>
      <c r="O670" s="151">
        <f t="shared" si="339"/>
        <v>0</v>
      </c>
      <c r="P670" s="151">
        <f t="shared" si="340"/>
        <v>0</v>
      </c>
    </row>
    <row r="671" spans="2:16">
      <c r="B671" s="151" t="s">
        <v>10712</v>
      </c>
      <c r="C671" s="101">
        <f>IFERROR(SUMIFS('Bottom-up tagging'!$I:$I,'Bottom-up tagging'!$AM:$AM,1,'Bottom-up tagging'!$P:$P,Dashboard!$B671)/SUMIFS('Bottom-up tagging'!$I:$I,'Bottom-up tagging'!$P:$P,Dashboard!$B671),0)</f>
        <v>0</v>
      </c>
      <c r="D671" s="101">
        <f>IFERROR(SUMIFS('Bottom-up tagging'!$I:$I,'Bottom-up tagging'!$AO:$AO,1,'Bottom-up tagging'!$P:$P,Dashboard!$B671)/SUMIFS('Bottom-up tagging'!$I:$I,'Bottom-up tagging'!$P:$P,Dashboard!$B671),0)</f>
        <v>0</v>
      </c>
      <c r="E671" s="101">
        <f>IFERROR(SUMIFS('Bottom-up tagging'!$I:$I,'Bottom-up tagging'!$AN:$AN,1,'Bottom-up tagging'!$P:$P,Dashboard!$B671)/SUMIFS('Bottom-up tagging'!$I:$I,'Bottom-up tagging'!$P:$P,Dashboard!$B671),0)</f>
        <v>1</v>
      </c>
      <c r="F671" s="151" t="str" cm="1">
        <f t="array" ref="F671">INDEX(Framework!$C$3:$C$119,MATCH(Dashboard!$B671,Framework!$D$3:$D$119,),)</f>
        <v>Inputs</v>
      </c>
      <c r="H671" s="151">
        <f t="shared" si="329"/>
        <v>0</v>
      </c>
      <c r="I671" s="151">
        <f t="shared" si="335"/>
        <v>0</v>
      </c>
      <c r="J671" s="151">
        <f t="shared" si="336"/>
        <v>1.7610349304877457</v>
      </c>
      <c r="K671" s="151">
        <f t="shared" si="331"/>
        <v>0</v>
      </c>
      <c r="L671" s="151">
        <f t="shared" si="337"/>
        <v>0</v>
      </c>
      <c r="M671" s="151">
        <f t="shared" si="338"/>
        <v>2.0833158327992285</v>
      </c>
      <c r="N671" s="151">
        <f t="shared" si="333"/>
        <v>0</v>
      </c>
      <c r="O671" s="151">
        <f t="shared" si="339"/>
        <v>0</v>
      </c>
      <c r="P671" s="151">
        <f t="shared" si="340"/>
        <v>2.405596735110711</v>
      </c>
    </row>
    <row r="672" spans="2:16">
      <c r="B672" s="151" t="s">
        <v>10766</v>
      </c>
      <c r="C672" s="101">
        <f>IFERROR(SUMIFS('Bottom-up tagging'!$I:$I,'Bottom-up tagging'!$AM:$AM,1,'Bottom-up tagging'!$P:$P,Dashboard!$B672)/SUMIFS('Bottom-up tagging'!$I:$I,'Bottom-up tagging'!$P:$P,Dashboard!$B672),0)</f>
        <v>0</v>
      </c>
      <c r="D672" s="101">
        <f>IFERROR(SUMIFS('Bottom-up tagging'!$I:$I,'Bottom-up tagging'!$AO:$AO,1,'Bottom-up tagging'!$P:$P,Dashboard!$B672)/SUMIFS('Bottom-up tagging'!$I:$I,'Bottom-up tagging'!$P:$P,Dashboard!$B672),0)</f>
        <v>0</v>
      </c>
      <c r="E672" s="101">
        <f>IFERROR(SUMIFS('Bottom-up tagging'!$I:$I,'Bottom-up tagging'!$AN:$AN,1,'Bottom-up tagging'!$P:$P,Dashboard!$B672)/SUMIFS('Bottom-up tagging'!$I:$I,'Bottom-up tagging'!$P:$P,Dashboard!$B672),0)</f>
        <v>0</v>
      </c>
      <c r="F672" s="151" t="str" cm="1">
        <f t="array" ref="F672">INDEX(Framework!$C$3:$C$119,MATCH(Dashboard!$B672,Framework!$D$3:$D$119,),)</f>
        <v>Production</v>
      </c>
      <c r="H672" s="151">
        <f t="shared" si="329"/>
        <v>0</v>
      </c>
      <c r="I672" s="151">
        <f t="shared" si="335"/>
        <v>0</v>
      </c>
      <c r="J672" s="151">
        <f t="shared" si="336"/>
        <v>0</v>
      </c>
      <c r="K672" s="151">
        <f t="shared" si="331"/>
        <v>0</v>
      </c>
      <c r="L672" s="151">
        <f t="shared" si="337"/>
        <v>0</v>
      </c>
      <c r="M672" s="151">
        <f t="shared" si="338"/>
        <v>0</v>
      </c>
      <c r="N672" s="151">
        <f t="shared" si="333"/>
        <v>0</v>
      </c>
      <c r="O672" s="151">
        <f t="shared" si="339"/>
        <v>0</v>
      </c>
      <c r="P672" s="151">
        <f t="shared" si="340"/>
        <v>0</v>
      </c>
    </row>
    <row r="673" spans="2:16">
      <c r="B673" s="151" t="s">
        <v>10842</v>
      </c>
      <c r="C673" s="101">
        <f>IFERROR(SUMIFS('Bottom-up tagging'!$I:$I,'Bottom-up tagging'!$AM:$AM,1,'Bottom-up tagging'!$P:$P,Dashboard!$B673)/SUMIFS('Bottom-up tagging'!$I:$I,'Bottom-up tagging'!$P:$P,Dashboard!$B673),0)</f>
        <v>0</v>
      </c>
      <c r="D673" s="101">
        <f>IFERROR(SUMIFS('Bottom-up tagging'!$I:$I,'Bottom-up tagging'!$AO:$AO,1,'Bottom-up tagging'!$P:$P,Dashboard!$B673)/SUMIFS('Bottom-up tagging'!$I:$I,'Bottom-up tagging'!$P:$P,Dashboard!$B673),0)</f>
        <v>0</v>
      </c>
      <c r="E673" s="101">
        <f>IFERROR(SUMIFS('Bottom-up tagging'!$I:$I,'Bottom-up tagging'!$AN:$AN,1,'Bottom-up tagging'!$P:$P,Dashboard!$B673)/SUMIFS('Bottom-up tagging'!$I:$I,'Bottom-up tagging'!$P:$P,Dashboard!$B673),0)</f>
        <v>0</v>
      </c>
      <c r="F673" s="151" t="str" cm="1">
        <f t="array" ref="F673">INDEX(Framework!$C$3:$C$119,MATCH(Dashboard!$B673,Framework!$D$3:$D$119,),)</f>
        <v>Cross-cutting</v>
      </c>
      <c r="H673" s="151">
        <f t="shared" si="329"/>
        <v>0</v>
      </c>
      <c r="I673" s="151">
        <f t="shared" si="335"/>
        <v>0</v>
      </c>
      <c r="J673" s="151">
        <f t="shared" si="336"/>
        <v>0</v>
      </c>
      <c r="K673" s="151">
        <f t="shared" si="331"/>
        <v>0</v>
      </c>
      <c r="L673" s="151">
        <f t="shared" si="337"/>
        <v>0</v>
      </c>
      <c r="M673" s="151">
        <f t="shared" si="338"/>
        <v>0</v>
      </c>
      <c r="N673" s="151">
        <f t="shared" si="333"/>
        <v>0</v>
      </c>
      <c r="O673" s="151">
        <f t="shared" si="339"/>
        <v>0</v>
      </c>
      <c r="P673" s="151">
        <f t="shared" si="340"/>
        <v>0</v>
      </c>
    </row>
    <row r="674" spans="2:16">
      <c r="B674" s="151" t="s">
        <v>10846</v>
      </c>
      <c r="C674" s="101">
        <f>IFERROR(SUMIFS('Bottom-up tagging'!$I:$I,'Bottom-up tagging'!$AM:$AM,1,'Bottom-up tagging'!$P:$P,Dashboard!$B674)/SUMIFS('Bottom-up tagging'!$I:$I,'Bottom-up tagging'!$P:$P,Dashboard!$B674),0)</f>
        <v>0</v>
      </c>
      <c r="D674" s="101">
        <f>IFERROR(SUMIFS('Bottom-up tagging'!$I:$I,'Bottom-up tagging'!$AO:$AO,1,'Bottom-up tagging'!$P:$P,Dashboard!$B674)/SUMIFS('Bottom-up tagging'!$I:$I,'Bottom-up tagging'!$P:$P,Dashboard!$B674),0)</f>
        <v>0</v>
      </c>
      <c r="E674" s="101">
        <f>IFERROR(SUMIFS('Bottom-up tagging'!$I:$I,'Bottom-up tagging'!$AN:$AN,1,'Bottom-up tagging'!$P:$P,Dashboard!$B674)/SUMIFS('Bottom-up tagging'!$I:$I,'Bottom-up tagging'!$P:$P,Dashboard!$B674),0)</f>
        <v>0</v>
      </c>
      <c r="F674" s="151" t="str" cm="1">
        <f t="array" ref="F674">INDEX(Framework!$C$3:$C$119,MATCH(Dashboard!$B674,Framework!$D$3:$D$119,),)</f>
        <v>Cross-cutting</v>
      </c>
      <c r="H674" s="151">
        <f t="shared" si="329"/>
        <v>0</v>
      </c>
      <c r="I674" s="151">
        <f t="shared" si="335"/>
        <v>0</v>
      </c>
      <c r="J674" s="151">
        <f t="shared" si="336"/>
        <v>0</v>
      </c>
      <c r="K674" s="151">
        <f t="shared" si="331"/>
        <v>0</v>
      </c>
      <c r="L674" s="151">
        <f t="shared" si="337"/>
        <v>0</v>
      </c>
      <c r="M674" s="151">
        <f t="shared" si="338"/>
        <v>0</v>
      </c>
      <c r="N674" s="151">
        <f t="shared" si="333"/>
        <v>0</v>
      </c>
      <c r="O674" s="151">
        <f t="shared" si="339"/>
        <v>0</v>
      </c>
      <c r="P674" s="151">
        <f t="shared" si="340"/>
        <v>0</v>
      </c>
    </row>
    <row r="675" spans="2:16">
      <c r="B675" s="151" t="s">
        <v>10776</v>
      </c>
      <c r="C675" s="101">
        <f>IFERROR(SUMIFS('Bottom-up tagging'!$I:$I,'Bottom-up tagging'!$AM:$AM,1,'Bottom-up tagging'!$P:$P,Dashboard!$B675)/SUMIFS('Bottom-up tagging'!$I:$I,'Bottom-up tagging'!$P:$P,Dashboard!$B675),0)</f>
        <v>0</v>
      </c>
      <c r="D675" s="101">
        <f>IFERROR(SUMIFS('Bottom-up tagging'!$I:$I,'Bottom-up tagging'!$AO:$AO,1,'Bottom-up tagging'!$P:$P,Dashboard!$B675)/SUMIFS('Bottom-up tagging'!$I:$I,'Bottom-up tagging'!$P:$P,Dashboard!$B675),0)</f>
        <v>1</v>
      </c>
      <c r="E675" s="101">
        <f>IFERROR(SUMIFS('Bottom-up tagging'!$I:$I,'Bottom-up tagging'!$AN:$AN,1,'Bottom-up tagging'!$P:$P,Dashboard!$B675)/SUMIFS('Bottom-up tagging'!$I:$I,'Bottom-up tagging'!$P:$P,Dashboard!$B675),0)</f>
        <v>1</v>
      </c>
      <c r="F675" s="151" t="str" cm="1">
        <f t="array" ref="F675">INDEX(Framework!$C$3:$C$119,MATCH(Dashboard!$B675,Framework!$D$3:$D$119,),)</f>
        <v>Production</v>
      </c>
      <c r="H675" s="151">
        <f t="shared" si="329"/>
        <v>0</v>
      </c>
      <c r="I675" s="151">
        <f t="shared" si="335"/>
        <v>40.010382936715288</v>
      </c>
      <c r="J675" s="151">
        <f t="shared" si="336"/>
        <v>40.010382936715288</v>
      </c>
      <c r="K675" s="151">
        <f t="shared" si="331"/>
        <v>0</v>
      </c>
      <c r="L675" s="151">
        <f t="shared" si="337"/>
        <v>48.679299239670264</v>
      </c>
      <c r="M675" s="151">
        <f t="shared" si="338"/>
        <v>48.679299239670264</v>
      </c>
      <c r="N675" s="151">
        <f t="shared" si="333"/>
        <v>0</v>
      </c>
      <c r="O675" s="151">
        <f t="shared" si="339"/>
        <v>57.34821554262524</v>
      </c>
      <c r="P675" s="151">
        <f t="shared" si="340"/>
        <v>57.34821554262524</v>
      </c>
    </row>
    <row r="676" spans="2:16">
      <c r="B676" s="151" t="s">
        <v>10517</v>
      </c>
      <c r="C676" s="101">
        <f>IFERROR(SUMIFS('Bottom-up tagging'!$I:$I,'Bottom-up tagging'!$AM:$AM,1,'Bottom-up tagging'!$P:$P,Dashboard!$B676)/SUMIFS('Bottom-up tagging'!$I:$I,'Bottom-up tagging'!$P:$P,Dashboard!$B676),0)</f>
        <v>0</v>
      </c>
      <c r="D676" s="101">
        <f>IFERROR(SUMIFS('Bottom-up tagging'!$I:$I,'Bottom-up tagging'!$AO:$AO,1,'Bottom-up tagging'!$P:$P,Dashboard!$B676)/SUMIFS('Bottom-up tagging'!$I:$I,'Bottom-up tagging'!$P:$P,Dashboard!$B676),0)</f>
        <v>0</v>
      </c>
      <c r="E676" s="101">
        <f>IFERROR(SUMIFS('Bottom-up tagging'!$I:$I,'Bottom-up tagging'!$AN:$AN,1,'Bottom-up tagging'!$P:$P,Dashboard!$B676)/SUMIFS('Bottom-up tagging'!$I:$I,'Bottom-up tagging'!$P:$P,Dashboard!$B676),0)</f>
        <v>1</v>
      </c>
      <c r="F676" s="207" t="s">
        <v>10517</v>
      </c>
      <c r="H676" s="151">
        <f t="shared" si="329"/>
        <v>0</v>
      </c>
      <c r="I676" s="151">
        <f t="shared" si="335"/>
        <v>0</v>
      </c>
      <c r="J676" s="151">
        <f t="shared" si="336"/>
        <v>192.58699220897358</v>
      </c>
      <c r="K676" s="151">
        <f t="shared" si="331"/>
        <v>0</v>
      </c>
      <c r="L676" s="151">
        <f t="shared" si="337"/>
        <v>0</v>
      </c>
      <c r="M676" s="151">
        <f t="shared" si="338"/>
        <v>235.45347589655287</v>
      </c>
      <c r="N676" s="151">
        <f t="shared" si="333"/>
        <v>0</v>
      </c>
      <c r="O676" s="151">
        <f t="shared" si="339"/>
        <v>0</v>
      </c>
      <c r="P676" s="151">
        <f t="shared" si="340"/>
        <v>278.31995958413216</v>
      </c>
    </row>
    <row r="677" spans="2:16">
      <c r="B677" s="151" t="s">
        <v>10759</v>
      </c>
      <c r="C677" s="101">
        <f>IFERROR(SUMIFS('Bottom-up tagging'!$I:$I,'Bottom-up tagging'!$AM:$AM,1,'Bottom-up tagging'!$P:$P,Dashboard!$B677)/SUMIFS('Bottom-up tagging'!$I:$I,'Bottom-up tagging'!$P:$P,Dashboard!$B677),0)</f>
        <v>1</v>
      </c>
      <c r="D677" s="101">
        <f>IFERROR(SUMIFS('Bottom-up tagging'!$I:$I,'Bottom-up tagging'!$AO:$AO,1,'Bottom-up tagging'!$P:$P,Dashboard!$B677)/SUMIFS('Bottom-up tagging'!$I:$I,'Bottom-up tagging'!$P:$P,Dashboard!$B677),0)</f>
        <v>1</v>
      </c>
      <c r="E677" s="101">
        <f>IFERROR(SUMIFS('Bottom-up tagging'!$I:$I,'Bottom-up tagging'!$AN:$AN,1,'Bottom-up tagging'!$P:$P,Dashboard!$B677)/SUMIFS('Bottom-up tagging'!$I:$I,'Bottom-up tagging'!$P:$P,Dashboard!$B677),0)</f>
        <v>1</v>
      </c>
      <c r="F677" s="151" t="str" cm="1">
        <f t="array" ref="F677">INDEX(Framework!$C$3:$C$119,MATCH(Dashboard!$B677,Framework!$D$3:$D$119,),)</f>
        <v>Production</v>
      </c>
      <c r="H677" s="151">
        <f t="shared" si="329"/>
        <v>55.348952489171538</v>
      </c>
      <c r="I677" s="151">
        <f t="shared" si="335"/>
        <v>55.348952489171538</v>
      </c>
      <c r="J677" s="151">
        <f t="shared" si="336"/>
        <v>55.348952489171538</v>
      </c>
      <c r="K677" s="151">
        <f t="shared" si="331"/>
        <v>66.685567374770656</v>
      </c>
      <c r="L677" s="151">
        <f t="shared" si="337"/>
        <v>66.685567374770656</v>
      </c>
      <c r="M677" s="151">
        <f t="shared" si="338"/>
        <v>66.685567374770656</v>
      </c>
      <c r="N677" s="151">
        <f t="shared" si="333"/>
        <v>78.02218226036976</v>
      </c>
      <c r="O677" s="151">
        <f t="shared" si="339"/>
        <v>78.02218226036976</v>
      </c>
      <c r="P677" s="151">
        <f t="shared" si="340"/>
        <v>78.02218226036976</v>
      </c>
    </row>
    <row r="678" spans="2:16">
      <c r="B678" s="151" t="s">
        <v>10852</v>
      </c>
      <c r="C678" s="101">
        <f>IFERROR(SUMIFS('Bottom-up tagging'!$I:$I,'Bottom-up tagging'!$AM:$AM,1,'Bottom-up tagging'!$P:$P,Dashboard!$B678)/SUMIFS('Bottom-up tagging'!$I:$I,'Bottom-up tagging'!$P:$P,Dashboard!$B678),0)</f>
        <v>0</v>
      </c>
      <c r="D678" s="101">
        <f>IFERROR(SUMIFS('Bottom-up tagging'!$I:$I,'Bottom-up tagging'!$AO:$AO,1,'Bottom-up tagging'!$P:$P,Dashboard!$B678)/SUMIFS('Bottom-up tagging'!$I:$I,'Bottom-up tagging'!$P:$P,Dashboard!$B678),0)</f>
        <v>0</v>
      </c>
      <c r="E678" s="101">
        <f>IFERROR(SUMIFS('Bottom-up tagging'!$I:$I,'Bottom-up tagging'!$AN:$AN,1,'Bottom-up tagging'!$P:$P,Dashboard!$B678)/SUMIFS('Bottom-up tagging'!$I:$I,'Bottom-up tagging'!$P:$P,Dashboard!$B678),0)</f>
        <v>1</v>
      </c>
      <c r="F678" s="151" t="str" cm="1">
        <f t="array" ref="F678">INDEX(Framework!$C$3:$C$119,MATCH(Dashboard!$B678,Framework!$D$3:$D$119,),)</f>
        <v>Cross-cutting</v>
      </c>
      <c r="H678" s="151">
        <f t="shared" si="329"/>
        <v>0</v>
      </c>
      <c r="I678" s="151">
        <f t="shared" si="335"/>
        <v>0</v>
      </c>
      <c r="J678" s="151">
        <f t="shared" si="336"/>
        <v>113.91894868445743</v>
      </c>
      <c r="K678" s="151">
        <f t="shared" si="331"/>
        <v>0</v>
      </c>
      <c r="L678" s="151">
        <f t="shared" si="337"/>
        <v>0</v>
      </c>
      <c r="M678" s="151">
        <f t="shared" si="338"/>
        <v>137.59313599797107</v>
      </c>
      <c r="N678" s="151">
        <f t="shared" si="333"/>
        <v>0</v>
      </c>
      <c r="O678" s="151">
        <f t="shared" si="339"/>
        <v>0</v>
      </c>
      <c r="P678" s="151">
        <f t="shared" si="340"/>
        <v>161.26732331148469</v>
      </c>
    </row>
    <row r="679" spans="2:16">
      <c r="B679" s="151" t="s">
        <v>10768</v>
      </c>
      <c r="C679" s="101">
        <f>IFERROR(SUMIFS('Bottom-up tagging'!$I:$I,'Bottom-up tagging'!$AM:$AM,1,'Bottom-up tagging'!$P:$P,Dashboard!$B679)/SUMIFS('Bottom-up tagging'!$I:$I,'Bottom-up tagging'!$P:$P,Dashboard!$B679),0)</f>
        <v>0</v>
      </c>
      <c r="D679" s="101">
        <f>IFERROR(SUMIFS('Bottom-up tagging'!$I:$I,'Bottom-up tagging'!$AO:$AO,1,'Bottom-up tagging'!$P:$P,Dashboard!$B679)/SUMIFS('Bottom-up tagging'!$I:$I,'Bottom-up tagging'!$P:$P,Dashboard!$B679),0)</f>
        <v>0</v>
      </c>
      <c r="E679" s="101">
        <f>IFERROR(SUMIFS('Bottom-up tagging'!$I:$I,'Bottom-up tagging'!$AN:$AN,1,'Bottom-up tagging'!$P:$P,Dashboard!$B679)/SUMIFS('Bottom-up tagging'!$I:$I,'Bottom-up tagging'!$P:$P,Dashboard!$B679),0)</f>
        <v>1</v>
      </c>
      <c r="F679" s="151" t="str" cm="1">
        <f t="array" ref="F679">INDEX(Framework!$C$3:$C$119,MATCH(Dashboard!$B679,Framework!$D$3:$D$119,),)</f>
        <v>Production</v>
      </c>
      <c r="H679" s="151">
        <f t="shared" si="329"/>
        <v>0</v>
      </c>
      <c r="I679" s="151">
        <f t="shared" si="335"/>
        <v>0</v>
      </c>
      <c r="J679" s="151">
        <f t="shared" si="336"/>
        <v>406.88853275213069</v>
      </c>
      <c r="K679" s="151">
        <f t="shared" si="331"/>
        <v>0</v>
      </c>
      <c r="L679" s="151">
        <f t="shared" si="337"/>
        <v>0</v>
      </c>
      <c r="M679" s="151">
        <f t="shared" si="338"/>
        <v>502.04519469954414</v>
      </c>
      <c r="N679" s="151">
        <f t="shared" si="333"/>
        <v>0</v>
      </c>
      <c r="O679" s="151">
        <f t="shared" si="339"/>
        <v>0</v>
      </c>
      <c r="P679" s="151">
        <f t="shared" si="340"/>
        <v>597.20185664695782</v>
      </c>
    </row>
    <row r="680" spans="2:16">
      <c r="B680" s="151" t="s">
        <v>10870</v>
      </c>
      <c r="C680" s="101">
        <f>IFERROR(SUMIFS('Bottom-up tagging'!$I:$I,'Bottom-up tagging'!$AM:$AM,1,'Bottom-up tagging'!$P:$P,Dashboard!$B680)/SUMIFS('Bottom-up tagging'!$I:$I,'Bottom-up tagging'!$P:$P,Dashboard!$B680),0)</f>
        <v>0</v>
      </c>
      <c r="D680" s="101">
        <f>IFERROR(SUMIFS('Bottom-up tagging'!$I:$I,'Bottom-up tagging'!$AO:$AO,1,'Bottom-up tagging'!$P:$P,Dashboard!$B680)/SUMIFS('Bottom-up tagging'!$I:$I,'Bottom-up tagging'!$P:$P,Dashboard!$B680),0)</f>
        <v>0</v>
      </c>
      <c r="E680" s="101">
        <f>IFERROR(SUMIFS('Bottom-up tagging'!$I:$I,'Bottom-up tagging'!$AN:$AN,1,'Bottom-up tagging'!$P:$P,Dashboard!$B680)/SUMIFS('Bottom-up tagging'!$I:$I,'Bottom-up tagging'!$P:$P,Dashboard!$B680),0)</f>
        <v>0</v>
      </c>
      <c r="F680" s="151" t="str" cm="1">
        <f t="array" ref="F680">INDEX(Framework!$C$3:$C$119,MATCH(Dashboard!$B680,Framework!$D$3:$D$119,),)</f>
        <v>Biodiversity management</v>
      </c>
      <c r="H680" s="151">
        <f t="shared" si="329"/>
        <v>0</v>
      </c>
      <c r="I680" s="151">
        <f t="shared" si="335"/>
        <v>0</v>
      </c>
      <c r="J680" s="151">
        <f t="shared" si="336"/>
        <v>0</v>
      </c>
      <c r="K680" s="151">
        <f t="shared" si="331"/>
        <v>0</v>
      </c>
      <c r="L680" s="151">
        <f t="shared" si="337"/>
        <v>0</v>
      </c>
      <c r="M680" s="151">
        <f t="shared" si="338"/>
        <v>0</v>
      </c>
      <c r="N680" s="151">
        <f t="shared" si="333"/>
        <v>0</v>
      </c>
      <c r="O680" s="151">
        <f t="shared" si="339"/>
        <v>0</v>
      </c>
      <c r="P680" s="151">
        <f t="shared" si="340"/>
        <v>0</v>
      </c>
    </row>
    <row r="681" spans="2:16">
      <c r="B681" s="151" t="s">
        <v>10765</v>
      </c>
      <c r="C681" s="101">
        <f>IFERROR(SUMIFS('Bottom-up tagging'!$I:$I,'Bottom-up tagging'!$AM:$AM,1,'Bottom-up tagging'!$P:$P,Dashboard!$B681)/SUMIFS('Bottom-up tagging'!$I:$I,'Bottom-up tagging'!$P:$P,Dashboard!$B681),0)</f>
        <v>0</v>
      </c>
      <c r="D681" s="101">
        <f>IFERROR(SUMIFS('Bottom-up tagging'!$I:$I,'Bottom-up tagging'!$AO:$AO,1,'Bottom-up tagging'!$P:$P,Dashboard!$B681)/SUMIFS('Bottom-up tagging'!$I:$I,'Bottom-up tagging'!$P:$P,Dashboard!$B681),0)</f>
        <v>0</v>
      </c>
      <c r="E681" s="101">
        <f>IFERROR(SUMIFS('Bottom-up tagging'!$I:$I,'Bottom-up tagging'!$AN:$AN,1,'Bottom-up tagging'!$P:$P,Dashboard!$B681)/SUMIFS('Bottom-up tagging'!$I:$I,'Bottom-up tagging'!$P:$P,Dashboard!$B681),0)</f>
        <v>0</v>
      </c>
      <c r="F681" s="151" t="str" cm="1">
        <f t="array" ref="F681">INDEX(Framework!$C$3:$C$119,MATCH(Dashboard!$B681,Framework!$D$3:$D$119,),)</f>
        <v>Production</v>
      </c>
      <c r="H681" s="151">
        <f t="shared" si="329"/>
        <v>0</v>
      </c>
      <c r="I681" s="151">
        <f t="shared" si="335"/>
        <v>0</v>
      </c>
      <c r="J681" s="151">
        <f t="shared" si="336"/>
        <v>0</v>
      </c>
      <c r="K681" s="151">
        <f t="shared" si="331"/>
        <v>0</v>
      </c>
      <c r="L681" s="151">
        <f t="shared" si="337"/>
        <v>0</v>
      </c>
      <c r="M681" s="151">
        <f t="shared" si="338"/>
        <v>0</v>
      </c>
      <c r="N681" s="151">
        <f t="shared" si="333"/>
        <v>0</v>
      </c>
      <c r="O681" s="151">
        <f t="shared" si="339"/>
        <v>0</v>
      </c>
      <c r="P681" s="151">
        <f t="shared" si="340"/>
        <v>0</v>
      </c>
    </row>
    <row r="682" spans="2:16">
      <c r="B682" s="151" t="s">
        <v>10735</v>
      </c>
      <c r="C682" s="101">
        <f>IFERROR(SUMIFS('Bottom-up tagging'!$I:$I,'Bottom-up tagging'!$AM:$AM,1,'Bottom-up tagging'!$P:$P,Dashboard!$B682)/SUMIFS('Bottom-up tagging'!$I:$I,'Bottom-up tagging'!$P:$P,Dashboard!$B682),0)</f>
        <v>0</v>
      </c>
      <c r="D682" s="101">
        <f>IFERROR(SUMIFS('Bottom-up tagging'!$I:$I,'Bottom-up tagging'!$AO:$AO,1,'Bottom-up tagging'!$P:$P,Dashboard!$B682)/SUMIFS('Bottom-up tagging'!$I:$I,'Bottom-up tagging'!$P:$P,Dashboard!$B682),0)</f>
        <v>0</v>
      </c>
      <c r="E682" s="101">
        <f>IFERROR(SUMIFS('Bottom-up tagging'!$I:$I,'Bottom-up tagging'!$AN:$AN,1,'Bottom-up tagging'!$P:$P,Dashboard!$B682)/SUMIFS('Bottom-up tagging'!$I:$I,'Bottom-up tagging'!$P:$P,Dashboard!$B682),0)</f>
        <v>0</v>
      </c>
      <c r="F682" s="151" t="str" cm="1">
        <f t="array" ref="F682">INDEX(Framework!$C$3:$C$119,MATCH(Dashboard!$B682,Framework!$D$3:$D$119,),)</f>
        <v>Inputs</v>
      </c>
      <c r="H682" s="151">
        <f t="shared" si="329"/>
        <v>0</v>
      </c>
      <c r="I682" s="151">
        <f t="shared" si="335"/>
        <v>0</v>
      </c>
      <c r="J682" s="151">
        <f t="shared" si="336"/>
        <v>0</v>
      </c>
      <c r="K682" s="151">
        <f t="shared" si="331"/>
        <v>0</v>
      </c>
      <c r="L682" s="151">
        <f t="shared" si="337"/>
        <v>0</v>
      </c>
      <c r="M682" s="151">
        <f t="shared" si="338"/>
        <v>0</v>
      </c>
      <c r="N682" s="151">
        <f t="shared" si="333"/>
        <v>0</v>
      </c>
      <c r="O682" s="151">
        <f t="shared" si="339"/>
        <v>0</v>
      </c>
      <c r="P682" s="151">
        <f t="shared" si="340"/>
        <v>0</v>
      </c>
    </row>
    <row r="683" spans="2:16">
      <c r="B683" s="151" t="s">
        <v>10709</v>
      </c>
      <c r="C683" s="101">
        <f>IFERROR(SUMIFS('Bottom-up tagging'!$I:$I,'Bottom-up tagging'!$AM:$AM,1,'Bottom-up tagging'!$P:$P,Dashboard!$B683)/SUMIFS('Bottom-up tagging'!$I:$I,'Bottom-up tagging'!$P:$P,Dashboard!$B683),0)</f>
        <v>0</v>
      </c>
      <c r="D683" s="101">
        <f>IFERROR(SUMIFS('Bottom-up tagging'!$I:$I,'Bottom-up tagging'!$AO:$AO,1,'Bottom-up tagging'!$P:$P,Dashboard!$B683)/SUMIFS('Bottom-up tagging'!$I:$I,'Bottom-up tagging'!$P:$P,Dashboard!$B683),0)</f>
        <v>0</v>
      </c>
      <c r="E683" s="101">
        <f>IFERROR(SUMIFS('Bottom-up tagging'!$I:$I,'Bottom-up tagging'!$AN:$AN,1,'Bottom-up tagging'!$P:$P,Dashboard!$B683)/SUMIFS('Bottom-up tagging'!$I:$I,'Bottom-up tagging'!$P:$P,Dashboard!$B683),0)</f>
        <v>1</v>
      </c>
      <c r="F683" s="151" t="str" cm="1">
        <f t="array" ref="F683">INDEX(Framework!$C$3:$C$119,MATCH(Dashboard!$B683,Framework!$D$3:$D$119,),)</f>
        <v>Inputs</v>
      </c>
      <c r="H683" s="151">
        <f t="shared" si="329"/>
        <v>0</v>
      </c>
      <c r="I683" s="151">
        <f t="shared" si="335"/>
        <v>0</v>
      </c>
      <c r="J683" s="151">
        <f t="shared" si="336"/>
        <v>223.65313296040182</v>
      </c>
      <c r="K683" s="151">
        <f t="shared" si="331"/>
        <v>0</v>
      </c>
      <c r="L683" s="151">
        <f t="shared" si="337"/>
        <v>0</v>
      </c>
      <c r="M683" s="151">
        <f t="shared" si="338"/>
        <v>279.5483341635221</v>
      </c>
      <c r="N683" s="151">
        <f t="shared" si="333"/>
        <v>0</v>
      </c>
      <c r="O683" s="151">
        <f t="shared" si="339"/>
        <v>0</v>
      </c>
      <c r="P683" s="151">
        <f t="shared" si="340"/>
        <v>335.44353536664232</v>
      </c>
    </row>
    <row r="684" spans="2:16">
      <c r="B684" s="151" t="s">
        <v>10774</v>
      </c>
      <c r="C684" s="101">
        <f>IFERROR(SUMIFS('Bottom-up tagging'!$I:$I,'Bottom-up tagging'!$AM:$AM,1,'Bottom-up tagging'!$P:$P,Dashboard!$B684)/SUMIFS('Bottom-up tagging'!$I:$I,'Bottom-up tagging'!$P:$P,Dashboard!$B684),0)</f>
        <v>0</v>
      </c>
      <c r="D684" s="101">
        <f>IFERROR(SUMIFS('Bottom-up tagging'!$I:$I,'Bottom-up tagging'!$AO:$AO,1,'Bottom-up tagging'!$P:$P,Dashboard!$B684)/SUMIFS('Bottom-up tagging'!$I:$I,'Bottom-up tagging'!$P:$P,Dashboard!$B684),0)</f>
        <v>0</v>
      </c>
      <c r="E684" s="101">
        <f>IFERROR(SUMIFS('Bottom-up tagging'!$I:$I,'Bottom-up tagging'!$AN:$AN,1,'Bottom-up tagging'!$P:$P,Dashboard!$B684)/SUMIFS('Bottom-up tagging'!$I:$I,'Bottom-up tagging'!$P:$P,Dashboard!$B684),0)</f>
        <v>0</v>
      </c>
      <c r="F684" s="151" t="str" cm="1">
        <f t="array" ref="F684">INDEX(Framework!$C$3:$C$119,MATCH(Dashboard!$B684,Framework!$D$3:$D$119,),)</f>
        <v>Production</v>
      </c>
      <c r="H684" s="151">
        <f t="shared" si="329"/>
        <v>0</v>
      </c>
      <c r="I684" s="151">
        <f t="shared" si="335"/>
        <v>0</v>
      </c>
      <c r="J684" s="151">
        <f t="shared" si="336"/>
        <v>0</v>
      </c>
      <c r="K684" s="151">
        <f t="shared" si="331"/>
        <v>0</v>
      </c>
      <c r="L684" s="151">
        <f t="shared" si="337"/>
        <v>0</v>
      </c>
      <c r="M684" s="151">
        <f t="shared" si="338"/>
        <v>0</v>
      </c>
      <c r="N684" s="151">
        <f t="shared" si="333"/>
        <v>0</v>
      </c>
      <c r="O684" s="151">
        <f t="shared" si="339"/>
        <v>0</v>
      </c>
      <c r="P684" s="151">
        <f t="shared" si="340"/>
        <v>0</v>
      </c>
    </row>
    <row r="685" spans="2:16">
      <c r="B685" s="151" t="s">
        <v>10748</v>
      </c>
      <c r="C685" s="101">
        <f>IFERROR(SUMIFS('Bottom-up tagging'!$I:$I,'Bottom-up tagging'!$AM:$AM,1,'Bottom-up tagging'!$P:$P,Dashboard!$B685)/SUMIFS('Bottom-up tagging'!$I:$I,'Bottom-up tagging'!$P:$P,Dashboard!$B685),0)</f>
        <v>0</v>
      </c>
      <c r="D685" s="101">
        <f>IFERROR(SUMIFS('Bottom-up tagging'!$I:$I,'Bottom-up tagging'!$AO:$AO,1,'Bottom-up tagging'!$P:$P,Dashboard!$B685)/SUMIFS('Bottom-up tagging'!$I:$I,'Bottom-up tagging'!$P:$P,Dashboard!$B685),0)</f>
        <v>0</v>
      </c>
      <c r="E685" s="101">
        <f>IFERROR(SUMIFS('Bottom-up tagging'!$I:$I,'Bottom-up tagging'!$AN:$AN,1,'Bottom-up tagging'!$P:$P,Dashboard!$B685)/SUMIFS('Bottom-up tagging'!$I:$I,'Bottom-up tagging'!$P:$P,Dashboard!$B685),0)</f>
        <v>0</v>
      </c>
      <c r="F685" s="151" t="str" cm="1">
        <f t="array" ref="F685">INDEX(Framework!$C$3:$C$119,MATCH(Dashboard!$B685,Framework!$D$3:$D$119,),)</f>
        <v xml:space="preserve">Novel foods </v>
      </c>
      <c r="H685" s="151">
        <f t="shared" si="329"/>
        <v>0</v>
      </c>
      <c r="I685" s="151">
        <f t="shared" si="335"/>
        <v>0</v>
      </c>
      <c r="J685" s="151">
        <f t="shared" si="336"/>
        <v>0</v>
      </c>
      <c r="K685" s="151">
        <f t="shared" si="331"/>
        <v>0</v>
      </c>
      <c r="L685" s="151">
        <f t="shared" si="337"/>
        <v>0</v>
      </c>
      <c r="M685" s="151">
        <f t="shared" si="338"/>
        <v>0</v>
      </c>
      <c r="N685" s="151">
        <f t="shared" si="333"/>
        <v>0</v>
      </c>
      <c r="O685" s="151">
        <f t="shared" si="339"/>
        <v>0</v>
      </c>
      <c r="P685" s="151">
        <f t="shared" si="340"/>
        <v>0</v>
      </c>
    </row>
    <row r="686" spans="2:16">
      <c r="B686" s="151" t="s">
        <v>10819</v>
      </c>
      <c r="C686" s="101">
        <f>IFERROR(SUMIFS('Bottom-up tagging'!$I:$I,'Bottom-up tagging'!$AM:$AM,1,'Bottom-up tagging'!$P:$P,Dashboard!$B686)/SUMIFS('Bottom-up tagging'!$I:$I,'Bottom-up tagging'!$P:$P,Dashboard!$B686),0)</f>
        <v>0</v>
      </c>
      <c r="D686" s="101">
        <f>IFERROR(SUMIFS('Bottom-up tagging'!$I:$I,'Bottom-up tagging'!$AO:$AO,1,'Bottom-up tagging'!$P:$P,Dashboard!$B686)/SUMIFS('Bottom-up tagging'!$I:$I,'Bottom-up tagging'!$P:$P,Dashboard!$B686),0)</f>
        <v>0</v>
      </c>
      <c r="E686" s="101">
        <f>IFERROR(SUMIFS('Bottom-up tagging'!$I:$I,'Bottom-up tagging'!$AN:$AN,1,'Bottom-up tagging'!$P:$P,Dashboard!$B686)/SUMIFS('Bottom-up tagging'!$I:$I,'Bottom-up tagging'!$P:$P,Dashboard!$B686),0)</f>
        <v>1</v>
      </c>
      <c r="F686" s="151" t="str" cm="1">
        <f t="array" ref="F686">INDEX(Framework!$C$3:$C$119,MATCH(Dashboard!$B686,Framework!$D$3:$D$119,),)</f>
        <v xml:space="preserve">Post-production </v>
      </c>
      <c r="H686" s="151">
        <f t="shared" si="329"/>
        <v>0</v>
      </c>
      <c r="I686" s="151">
        <f t="shared" si="335"/>
        <v>0</v>
      </c>
      <c r="J686" s="151">
        <f t="shared" si="336"/>
        <v>221.90491863149191</v>
      </c>
      <c r="K686" s="151">
        <f t="shared" si="331"/>
        <v>0</v>
      </c>
      <c r="L686" s="151">
        <f t="shared" si="337"/>
        <v>0</v>
      </c>
      <c r="M686" s="151">
        <f t="shared" si="338"/>
        <v>269.52756622347351</v>
      </c>
      <c r="N686" s="151">
        <f t="shared" si="333"/>
        <v>0</v>
      </c>
      <c r="O686" s="151">
        <f t="shared" si="339"/>
        <v>0</v>
      </c>
      <c r="P686" s="151">
        <f t="shared" si="340"/>
        <v>317.15021381545512</v>
      </c>
    </row>
    <row r="687" spans="2:16">
      <c r="B687" s="151" t="s">
        <v>10706</v>
      </c>
      <c r="C687" s="101">
        <f>IFERROR(SUMIFS('Bottom-up tagging'!$I:$I,'Bottom-up tagging'!$AM:$AM,1,'Bottom-up tagging'!$P:$P,Dashboard!$B687)/SUMIFS('Bottom-up tagging'!$I:$I,'Bottom-up tagging'!$P:$P,Dashboard!$B687),0)</f>
        <v>0</v>
      </c>
      <c r="D687" s="101">
        <f>IFERROR(SUMIFS('Bottom-up tagging'!$I:$I,'Bottom-up tagging'!$AO:$AO,1,'Bottom-up tagging'!$P:$P,Dashboard!$B687)/SUMIFS('Bottom-up tagging'!$I:$I,'Bottom-up tagging'!$P:$P,Dashboard!$B687),0)</f>
        <v>0</v>
      </c>
      <c r="E687" s="101">
        <f>IFERROR(SUMIFS('Bottom-up tagging'!$I:$I,'Bottom-up tagging'!$AN:$AN,1,'Bottom-up tagging'!$P:$P,Dashboard!$B687)/SUMIFS('Bottom-up tagging'!$I:$I,'Bottom-up tagging'!$P:$P,Dashboard!$B687),0)</f>
        <v>1</v>
      </c>
      <c r="F687" s="151" t="str" cm="1">
        <f t="array" ref="F687">INDEX(Framework!$C$3:$C$119,MATCH(Dashboard!$B687,Framework!$D$3:$D$119,),)</f>
        <v>Inputs</v>
      </c>
      <c r="H687" s="151">
        <f t="shared" si="329"/>
        <v>0</v>
      </c>
      <c r="I687" s="151">
        <f t="shared" si="335"/>
        <v>0</v>
      </c>
      <c r="J687" s="151">
        <f t="shared" si="336"/>
        <v>180.48115241502632</v>
      </c>
      <c r="K687" s="151">
        <f t="shared" si="331"/>
        <v>0</v>
      </c>
      <c r="L687" s="151">
        <f t="shared" si="337"/>
        <v>0</v>
      </c>
      <c r="M687" s="151">
        <f t="shared" si="338"/>
        <v>219.63694272369023</v>
      </c>
      <c r="N687" s="151">
        <f t="shared" si="333"/>
        <v>0</v>
      </c>
      <c r="O687" s="151">
        <f t="shared" si="339"/>
        <v>0</v>
      </c>
      <c r="P687" s="151">
        <f t="shared" si="340"/>
        <v>258.79273303235414</v>
      </c>
    </row>
    <row r="688" spans="2:16">
      <c r="B688" s="151" t="s">
        <v>10784</v>
      </c>
      <c r="C688" s="101">
        <f>IFERROR(SUMIFS('Bottom-up tagging'!$I:$I,'Bottom-up tagging'!$AM:$AM,1,'Bottom-up tagging'!$P:$P,Dashboard!$B688)/SUMIFS('Bottom-up tagging'!$I:$I,'Bottom-up tagging'!$P:$P,Dashboard!$B688),0)</f>
        <v>0</v>
      </c>
      <c r="D688" s="101">
        <f>IFERROR(SUMIFS('Bottom-up tagging'!$I:$I,'Bottom-up tagging'!$AO:$AO,1,'Bottom-up tagging'!$P:$P,Dashboard!$B688)/SUMIFS('Bottom-up tagging'!$I:$I,'Bottom-up tagging'!$P:$P,Dashboard!$B688),0)</f>
        <v>0</v>
      </c>
      <c r="E688" s="101">
        <f>IFERROR(SUMIFS('Bottom-up tagging'!$I:$I,'Bottom-up tagging'!$AN:$AN,1,'Bottom-up tagging'!$P:$P,Dashboard!$B688)/SUMIFS('Bottom-up tagging'!$I:$I,'Bottom-up tagging'!$P:$P,Dashboard!$B688),0)</f>
        <v>0</v>
      </c>
      <c r="F688" s="151" t="str" cm="1">
        <f t="array" ref="F688">INDEX(Framework!$C$3:$C$119,MATCH(Dashboard!$B688,Framework!$D$3:$D$119,),)</f>
        <v>Production</v>
      </c>
      <c r="H688" s="151">
        <f t="shared" si="329"/>
        <v>0</v>
      </c>
      <c r="I688" s="151">
        <f t="shared" si="335"/>
        <v>0</v>
      </c>
      <c r="J688" s="151">
        <f t="shared" si="336"/>
        <v>0</v>
      </c>
      <c r="K688" s="151">
        <f t="shared" si="331"/>
        <v>0</v>
      </c>
      <c r="L688" s="151">
        <f t="shared" si="337"/>
        <v>0</v>
      </c>
      <c r="M688" s="151">
        <f t="shared" si="338"/>
        <v>0</v>
      </c>
      <c r="N688" s="151">
        <f t="shared" si="333"/>
        <v>0</v>
      </c>
      <c r="O688" s="151">
        <f t="shared" si="339"/>
        <v>0</v>
      </c>
      <c r="P688" s="151">
        <f t="shared" si="340"/>
        <v>0</v>
      </c>
    </row>
    <row r="689" spans="2:16">
      <c r="B689" s="151" t="s">
        <v>10793</v>
      </c>
      <c r="C689" s="101">
        <f>IFERROR(SUMIFS('Bottom-up tagging'!$I:$I,'Bottom-up tagging'!$AM:$AM,1,'Bottom-up tagging'!$P:$P,Dashboard!$B689)/SUMIFS('Bottom-up tagging'!$I:$I,'Bottom-up tagging'!$P:$P,Dashboard!$B689),0)</f>
        <v>0</v>
      </c>
      <c r="D689" s="101">
        <f>IFERROR(SUMIFS('Bottom-up tagging'!$I:$I,'Bottom-up tagging'!$AO:$AO,1,'Bottom-up tagging'!$P:$P,Dashboard!$B689)/SUMIFS('Bottom-up tagging'!$I:$I,'Bottom-up tagging'!$P:$P,Dashboard!$B689),0)</f>
        <v>0</v>
      </c>
      <c r="E689" s="101">
        <f>IFERROR(SUMIFS('Bottom-up tagging'!$I:$I,'Bottom-up tagging'!$AN:$AN,1,'Bottom-up tagging'!$P:$P,Dashboard!$B689)/SUMIFS('Bottom-up tagging'!$I:$I,'Bottom-up tagging'!$P:$P,Dashboard!$B689),0)</f>
        <v>0</v>
      </c>
      <c r="F689" s="151" t="str" cm="1">
        <f t="array" ref="F689">INDEX(Framework!$C$3:$C$119,MATCH(Dashboard!$B689,Framework!$D$3:$D$119,),)</f>
        <v>Production</v>
      </c>
      <c r="H689" s="151">
        <f t="shared" si="329"/>
        <v>0</v>
      </c>
      <c r="I689" s="151">
        <f t="shared" si="335"/>
        <v>0</v>
      </c>
      <c r="J689" s="151">
        <f t="shared" si="336"/>
        <v>0</v>
      </c>
      <c r="K689" s="151">
        <f t="shared" si="331"/>
        <v>0</v>
      </c>
      <c r="L689" s="151">
        <f t="shared" si="337"/>
        <v>0</v>
      </c>
      <c r="M689" s="151">
        <f t="shared" si="338"/>
        <v>0</v>
      </c>
      <c r="N689" s="151">
        <f t="shared" si="333"/>
        <v>0</v>
      </c>
      <c r="O689" s="151">
        <f t="shared" si="339"/>
        <v>0</v>
      </c>
      <c r="P689" s="151">
        <f t="shared" si="340"/>
        <v>0</v>
      </c>
    </row>
    <row r="690" spans="2:16">
      <c r="B690" s="151" t="s">
        <v>10715</v>
      </c>
      <c r="C690" s="101">
        <f>IFERROR(SUMIFS('Bottom-up tagging'!$I:$I,'Bottom-up tagging'!$AM:$AM,1,'Bottom-up tagging'!$P:$P,Dashboard!$B690)/SUMIFS('Bottom-up tagging'!$I:$I,'Bottom-up tagging'!$P:$P,Dashboard!$B690),0)</f>
        <v>0</v>
      </c>
      <c r="D690" s="101">
        <f>IFERROR(SUMIFS('Bottom-up tagging'!$I:$I,'Bottom-up tagging'!$AO:$AO,1,'Bottom-up tagging'!$P:$P,Dashboard!$B690)/SUMIFS('Bottom-up tagging'!$I:$I,'Bottom-up tagging'!$P:$P,Dashboard!$B690),0)</f>
        <v>0</v>
      </c>
      <c r="E690" s="101">
        <f>IFERROR(SUMIFS('Bottom-up tagging'!$I:$I,'Bottom-up tagging'!$AN:$AN,1,'Bottom-up tagging'!$P:$P,Dashboard!$B690)/SUMIFS('Bottom-up tagging'!$I:$I,'Bottom-up tagging'!$P:$P,Dashboard!$B690),0)</f>
        <v>0</v>
      </c>
      <c r="F690" s="151" t="str" cm="1">
        <f t="array" ref="F690">INDEX(Framework!$C$3:$C$119,MATCH(Dashboard!$B690,Framework!$D$3:$D$119,),)</f>
        <v>Inputs</v>
      </c>
      <c r="H690" s="151">
        <f t="shared" si="329"/>
        <v>0</v>
      </c>
      <c r="I690" s="151">
        <f t="shared" si="335"/>
        <v>0</v>
      </c>
      <c r="J690" s="151">
        <f t="shared" si="336"/>
        <v>0</v>
      </c>
      <c r="K690" s="151">
        <f t="shared" si="331"/>
        <v>0</v>
      </c>
      <c r="L690" s="151">
        <f t="shared" si="337"/>
        <v>0</v>
      </c>
      <c r="M690" s="151">
        <f t="shared" si="338"/>
        <v>0</v>
      </c>
      <c r="N690" s="151">
        <f t="shared" si="333"/>
        <v>0</v>
      </c>
      <c r="O690" s="151">
        <f t="shared" si="339"/>
        <v>0</v>
      </c>
      <c r="P690" s="151">
        <f t="shared" si="340"/>
        <v>0</v>
      </c>
    </row>
    <row r="691" spans="2:16">
      <c r="B691" s="151" t="s">
        <v>10963</v>
      </c>
      <c r="C691" s="101">
        <f>IFERROR(SUMIFS('Bottom-up tagging'!$I:$I,'Bottom-up tagging'!$AM:$AM,1,'Bottom-up tagging'!$P:$P,Dashboard!$B691)/SUMIFS('Bottom-up tagging'!$I:$I,'Bottom-up tagging'!$P:$P,Dashboard!$B691),0)</f>
        <v>0</v>
      </c>
      <c r="D691" s="101">
        <f>IFERROR(SUMIFS('Bottom-up tagging'!$I:$I,'Bottom-up tagging'!$AO:$AO,1,'Bottom-up tagging'!$P:$P,Dashboard!$B691)/SUMIFS('Bottom-up tagging'!$I:$I,'Bottom-up tagging'!$P:$P,Dashboard!$B691),0)</f>
        <v>0</v>
      </c>
      <c r="E691" s="101">
        <f>IFERROR(SUMIFS('Bottom-up tagging'!$I:$I,'Bottom-up tagging'!$AN:$AN,1,'Bottom-up tagging'!$P:$P,Dashboard!$B691)/SUMIFS('Bottom-up tagging'!$I:$I,'Bottom-up tagging'!$P:$P,Dashboard!$B691),0)</f>
        <v>0</v>
      </c>
      <c r="F691" s="151" t="str" cm="1">
        <f t="array" ref="F691">INDEX(Framework!$C$3:$C$119,MATCH(Dashboard!$B691,Framework!$D$3:$D$119,),)</f>
        <v xml:space="preserve">Novel foods </v>
      </c>
      <c r="H691" s="151">
        <f t="shared" si="329"/>
        <v>0</v>
      </c>
      <c r="I691" s="151">
        <f t="shared" si="335"/>
        <v>0</v>
      </c>
      <c r="J691" s="151">
        <f t="shared" si="336"/>
        <v>0</v>
      </c>
      <c r="K691" s="151">
        <f t="shared" si="331"/>
        <v>0</v>
      </c>
      <c r="L691" s="151">
        <f t="shared" si="337"/>
        <v>0</v>
      </c>
      <c r="M691" s="151">
        <f t="shared" si="338"/>
        <v>0</v>
      </c>
      <c r="N691" s="151">
        <f t="shared" si="333"/>
        <v>0</v>
      </c>
      <c r="O691" s="151">
        <f t="shared" si="339"/>
        <v>0</v>
      </c>
      <c r="P691" s="151">
        <f t="shared" si="340"/>
        <v>0</v>
      </c>
    </row>
    <row r="692" spans="2:16">
      <c r="B692" s="151" t="s">
        <v>10770</v>
      </c>
      <c r="C692" s="101">
        <f>IFERROR(SUMIFS('Bottom-up tagging'!$I:$I,'Bottom-up tagging'!$AM:$AM,1,'Bottom-up tagging'!$P:$P,Dashboard!$B692)/SUMIFS('Bottom-up tagging'!$I:$I,'Bottom-up tagging'!$P:$P,Dashboard!$B692),0)</f>
        <v>0</v>
      </c>
      <c r="D692" s="101">
        <f>IFERROR(SUMIFS('Bottom-up tagging'!$I:$I,'Bottom-up tagging'!$AO:$AO,1,'Bottom-up tagging'!$P:$P,Dashboard!$B692)/SUMIFS('Bottom-up tagging'!$I:$I,'Bottom-up tagging'!$P:$P,Dashboard!$B692),0)</f>
        <v>0</v>
      </c>
      <c r="E692" s="101">
        <f>IFERROR(SUMIFS('Bottom-up tagging'!$I:$I,'Bottom-up tagging'!$AN:$AN,1,'Bottom-up tagging'!$P:$P,Dashboard!$B692)/SUMIFS('Bottom-up tagging'!$I:$I,'Bottom-up tagging'!$P:$P,Dashboard!$B692),0)</f>
        <v>0</v>
      </c>
      <c r="F692" s="151" t="str" cm="1">
        <f t="array" ref="F692">INDEX(Framework!$C$3:$C$119,MATCH(Dashboard!$B692,Framework!$D$3:$D$119,),)</f>
        <v>Production</v>
      </c>
      <c r="H692" s="151">
        <f t="shared" si="329"/>
        <v>0</v>
      </c>
      <c r="I692" s="151">
        <f t="shared" si="335"/>
        <v>0</v>
      </c>
      <c r="J692" s="151">
        <f t="shared" si="336"/>
        <v>0</v>
      </c>
      <c r="K692" s="151">
        <f t="shared" si="331"/>
        <v>0</v>
      </c>
      <c r="L692" s="151">
        <f t="shared" si="337"/>
        <v>0</v>
      </c>
      <c r="M692" s="151">
        <f t="shared" si="338"/>
        <v>0</v>
      </c>
      <c r="N692" s="151">
        <f t="shared" si="333"/>
        <v>0</v>
      </c>
      <c r="O692" s="151">
        <f t="shared" si="339"/>
        <v>0</v>
      </c>
      <c r="P692" s="151">
        <f t="shared" si="340"/>
        <v>0</v>
      </c>
    </row>
    <row r="693" spans="2:16">
      <c r="B693" s="151" t="s">
        <v>10965</v>
      </c>
      <c r="C693" s="101">
        <f>IFERROR(SUMIFS('Bottom-up tagging'!$I:$I,'Bottom-up tagging'!$AM:$AM,1,'Bottom-up tagging'!$P:$P,Dashboard!$B693)/SUMIFS('Bottom-up tagging'!$I:$I,'Bottom-up tagging'!$P:$P,Dashboard!$B693),0)</f>
        <v>0</v>
      </c>
      <c r="D693" s="101">
        <f>IFERROR(SUMIFS('Bottom-up tagging'!$I:$I,'Bottom-up tagging'!$AO:$AO,1,'Bottom-up tagging'!$P:$P,Dashboard!$B693)/SUMIFS('Bottom-up tagging'!$I:$I,'Bottom-up tagging'!$P:$P,Dashboard!$B693),0)</f>
        <v>0</v>
      </c>
      <c r="E693" s="101">
        <f>IFERROR(SUMIFS('Bottom-up tagging'!$I:$I,'Bottom-up tagging'!$AN:$AN,1,'Bottom-up tagging'!$P:$P,Dashboard!$B693)/SUMIFS('Bottom-up tagging'!$I:$I,'Bottom-up tagging'!$P:$P,Dashboard!$B693),0)</f>
        <v>1</v>
      </c>
      <c r="F693" s="151" t="str" cm="1">
        <f t="array" ref="F693">INDEX(Framework!$C$3:$C$119,MATCH(Dashboard!$B693,Framework!$D$3:$D$119,),)</f>
        <v xml:space="preserve">Post-production </v>
      </c>
      <c r="H693" s="151">
        <f t="shared" si="329"/>
        <v>0</v>
      </c>
      <c r="I693" s="151">
        <f t="shared" si="335"/>
        <v>0</v>
      </c>
      <c r="J693" s="151">
        <f t="shared" si="336"/>
        <v>15.709901162356495</v>
      </c>
      <c r="K693" s="151">
        <f t="shared" si="331"/>
        <v>0</v>
      </c>
      <c r="L693" s="151">
        <f t="shared" si="337"/>
        <v>0</v>
      </c>
      <c r="M693" s="151">
        <f t="shared" si="338"/>
        <v>18.718566493771576</v>
      </c>
      <c r="N693" s="151">
        <f t="shared" si="333"/>
        <v>0</v>
      </c>
      <c r="O693" s="151">
        <f t="shared" si="339"/>
        <v>0</v>
      </c>
      <c r="P693" s="151">
        <f t="shared" si="340"/>
        <v>21.727231825186657</v>
      </c>
    </row>
    <row r="694" spans="2:16">
      <c r="B694" s="151" t="s">
        <v>10813</v>
      </c>
      <c r="C694" s="101">
        <f>IFERROR(SUMIFS('Bottom-up tagging'!$I:$I,'Bottom-up tagging'!$AM:$AM,1,'Bottom-up tagging'!$P:$P,Dashboard!$B694)/SUMIFS('Bottom-up tagging'!$I:$I,'Bottom-up tagging'!$P:$P,Dashboard!$B694),0)</f>
        <v>0</v>
      </c>
      <c r="D694" s="101">
        <f>IFERROR(SUMIFS('Bottom-up tagging'!$I:$I,'Bottom-up tagging'!$AO:$AO,1,'Bottom-up tagging'!$P:$P,Dashboard!$B694)/SUMIFS('Bottom-up tagging'!$I:$I,'Bottom-up tagging'!$P:$P,Dashboard!$B694),0)</f>
        <v>0</v>
      </c>
      <c r="E694" s="101">
        <f>IFERROR(SUMIFS('Bottom-up tagging'!$I:$I,'Bottom-up tagging'!$AN:$AN,1,'Bottom-up tagging'!$P:$P,Dashboard!$B694)/SUMIFS('Bottom-up tagging'!$I:$I,'Bottom-up tagging'!$P:$P,Dashboard!$B694),0)</f>
        <v>1</v>
      </c>
      <c r="F694" s="151" t="str" cm="1">
        <f t="array" ref="F694">INDEX(Framework!$C$3:$C$119,MATCH(Dashboard!$B694,Framework!$D$3:$D$119,),)</f>
        <v xml:space="preserve">Post-production </v>
      </c>
      <c r="H694" s="151">
        <f t="shared" si="329"/>
        <v>0</v>
      </c>
      <c r="I694" s="151">
        <f t="shared" si="335"/>
        <v>0</v>
      </c>
      <c r="J694" s="151">
        <f t="shared" si="336"/>
        <v>254.21461608703726</v>
      </c>
      <c r="K694" s="151">
        <f t="shared" si="331"/>
        <v>0</v>
      </c>
      <c r="L694" s="151">
        <f t="shared" si="337"/>
        <v>0</v>
      </c>
      <c r="M694" s="151">
        <f t="shared" si="338"/>
        <v>308.26169363107482</v>
      </c>
      <c r="N694" s="151">
        <f t="shared" si="333"/>
        <v>0</v>
      </c>
      <c r="O694" s="151">
        <f t="shared" si="339"/>
        <v>0</v>
      </c>
      <c r="P694" s="151">
        <f t="shared" si="340"/>
        <v>362.30877117511233</v>
      </c>
    </row>
    <row r="695" spans="2:16">
      <c r="B695" s="151" t="s">
        <v>10961</v>
      </c>
      <c r="C695" s="101">
        <f>IFERROR(SUMIFS('Bottom-up tagging'!$I:$I,'Bottom-up tagging'!$AM:$AM,1,'Bottom-up tagging'!$P:$P,Dashboard!$B695)/SUMIFS('Bottom-up tagging'!$I:$I,'Bottom-up tagging'!$P:$P,Dashboard!$B695),0)</f>
        <v>0</v>
      </c>
      <c r="D695" s="101">
        <f>IFERROR(SUMIFS('Bottom-up tagging'!$I:$I,'Bottom-up tagging'!$AO:$AO,1,'Bottom-up tagging'!$P:$P,Dashboard!$B695)/SUMIFS('Bottom-up tagging'!$I:$I,'Bottom-up tagging'!$P:$P,Dashboard!$B695),0)</f>
        <v>0</v>
      </c>
      <c r="E695" s="101">
        <f>IFERROR(SUMIFS('Bottom-up tagging'!$I:$I,'Bottom-up tagging'!$AN:$AN,1,'Bottom-up tagging'!$P:$P,Dashboard!$B695)/SUMIFS('Bottom-up tagging'!$I:$I,'Bottom-up tagging'!$P:$P,Dashboard!$B695),0)</f>
        <v>0</v>
      </c>
      <c r="F695" s="151" t="str" cm="1">
        <f t="array" ref="F695">INDEX(Framework!$C$3:$C$119,MATCH(Dashboard!$B695,Framework!$D$3:$D$119,),)</f>
        <v>Production</v>
      </c>
      <c r="H695" s="151">
        <f t="shared" si="329"/>
        <v>0</v>
      </c>
      <c r="I695" s="151">
        <f t="shared" si="335"/>
        <v>0</v>
      </c>
      <c r="J695" s="151">
        <f t="shared" si="336"/>
        <v>0</v>
      </c>
      <c r="K695" s="151">
        <f t="shared" si="331"/>
        <v>0</v>
      </c>
      <c r="L695" s="151">
        <f t="shared" si="337"/>
        <v>0</v>
      </c>
      <c r="M695" s="151">
        <f t="shared" si="338"/>
        <v>0</v>
      </c>
      <c r="N695" s="151">
        <f t="shared" si="333"/>
        <v>0</v>
      </c>
      <c r="O695" s="151">
        <f t="shared" si="339"/>
        <v>0</v>
      </c>
      <c r="P695" s="151">
        <f t="shared" si="340"/>
        <v>0</v>
      </c>
    </row>
    <row r="696" spans="2:16">
      <c r="B696" s="151" t="s">
        <v>10848</v>
      </c>
      <c r="C696" s="101">
        <f>IFERROR(SUMIFS('Bottom-up tagging'!$I:$I,'Bottom-up tagging'!$AM:$AM,1,'Bottom-up tagging'!$P:$P,Dashboard!$B696)/SUMIFS('Bottom-up tagging'!$I:$I,'Bottom-up tagging'!$P:$P,Dashboard!$B696),0)</f>
        <v>0</v>
      </c>
      <c r="D696" s="101">
        <f>IFERROR(SUMIFS('Bottom-up tagging'!$I:$I,'Bottom-up tagging'!$AO:$AO,1,'Bottom-up tagging'!$P:$P,Dashboard!$B696)/SUMIFS('Bottom-up tagging'!$I:$I,'Bottom-up tagging'!$P:$P,Dashboard!$B696),0)</f>
        <v>0</v>
      </c>
      <c r="E696" s="101">
        <f>IFERROR(SUMIFS('Bottom-up tagging'!$I:$I,'Bottom-up tagging'!$AN:$AN,1,'Bottom-up tagging'!$P:$P,Dashboard!$B696)/SUMIFS('Bottom-up tagging'!$I:$I,'Bottom-up tagging'!$P:$P,Dashboard!$B696),0)</f>
        <v>1</v>
      </c>
      <c r="F696" s="151" t="str" cm="1">
        <f t="array" ref="F696">INDEX(Framework!$C$3:$C$119,MATCH(Dashboard!$B696,Framework!$D$3:$D$119,),)</f>
        <v>Cross-cutting</v>
      </c>
      <c r="H696" s="151">
        <f t="shared" si="329"/>
        <v>0</v>
      </c>
      <c r="I696" s="151">
        <f t="shared" si="335"/>
        <v>0</v>
      </c>
      <c r="J696" s="151">
        <f t="shared" si="336"/>
        <v>1.3849144162486764</v>
      </c>
      <c r="K696" s="151">
        <f t="shared" si="331"/>
        <v>0</v>
      </c>
      <c r="L696" s="151">
        <f t="shared" si="337"/>
        <v>0</v>
      </c>
      <c r="M696" s="151">
        <f t="shared" si="338"/>
        <v>1.638362806150395</v>
      </c>
      <c r="N696" s="151">
        <f t="shared" si="333"/>
        <v>0</v>
      </c>
      <c r="O696" s="151">
        <f t="shared" si="339"/>
        <v>0</v>
      </c>
      <c r="P696" s="151">
        <f t="shared" si="340"/>
        <v>1.8918111960521133</v>
      </c>
    </row>
    <row r="697" spans="2:16">
      <c r="B697" s="151" t="s">
        <v>10728</v>
      </c>
      <c r="C697" s="101">
        <f>IFERROR(SUMIFS('Bottom-up tagging'!$I:$I,'Bottom-up tagging'!$AM:$AM,1,'Bottom-up tagging'!$P:$P,Dashboard!$B697)/SUMIFS('Bottom-up tagging'!$I:$I,'Bottom-up tagging'!$P:$P,Dashboard!$B697),0)</f>
        <v>0</v>
      </c>
      <c r="D697" s="101">
        <f>IFERROR(SUMIFS('Bottom-up tagging'!$I:$I,'Bottom-up tagging'!$AO:$AO,1,'Bottom-up tagging'!$P:$P,Dashboard!$B697)/SUMIFS('Bottom-up tagging'!$I:$I,'Bottom-up tagging'!$P:$P,Dashboard!$B697),0)</f>
        <v>0</v>
      </c>
      <c r="E697" s="101">
        <f>IFERROR(SUMIFS('Bottom-up tagging'!$I:$I,'Bottom-up tagging'!$AN:$AN,1,'Bottom-up tagging'!$P:$P,Dashboard!$B697)/SUMIFS('Bottom-up tagging'!$I:$I,'Bottom-up tagging'!$P:$P,Dashboard!$B697),0)</f>
        <v>1</v>
      </c>
      <c r="F697" s="151" t="str" cm="1">
        <f t="array" ref="F697">INDEX(Framework!$C$3:$C$119,MATCH(Dashboard!$B697,Framework!$D$3:$D$119,),)</f>
        <v>Inputs</v>
      </c>
      <c r="H697" s="151">
        <f t="shared" si="329"/>
        <v>0</v>
      </c>
      <c r="I697" s="151">
        <f t="shared" si="335"/>
        <v>0</v>
      </c>
      <c r="J697" s="151">
        <f t="shared" si="336"/>
        <v>4.2541260072350893</v>
      </c>
      <c r="K697" s="151">
        <f t="shared" si="331"/>
        <v>0</v>
      </c>
      <c r="L697" s="151">
        <f t="shared" si="337"/>
        <v>0</v>
      </c>
      <c r="M697" s="151">
        <f t="shared" si="338"/>
        <v>5.0167412317784486</v>
      </c>
      <c r="N697" s="151">
        <f t="shared" si="333"/>
        <v>0</v>
      </c>
      <c r="O697" s="151">
        <f t="shared" si="339"/>
        <v>0</v>
      </c>
      <c r="P697" s="151">
        <f t="shared" si="340"/>
        <v>5.7793564563218078</v>
      </c>
    </row>
    <row r="698" spans="2:16">
      <c r="B698" s="151" t="s">
        <v>10861</v>
      </c>
      <c r="C698" s="101">
        <f>IFERROR(SUMIFS('Bottom-up tagging'!$I:$I,'Bottom-up tagging'!$AM:$AM,1,'Bottom-up tagging'!$P:$P,Dashboard!$B698)/SUMIFS('Bottom-up tagging'!$I:$I,'Bottom-up tagging'!$P:$P,Dashboard!$B698),0)</f>
        <v>0</v>
      </c>
      <c r="D698" s="101">
        <f>IFERROR(SUMIFS('Bottom-up tagging'!$I:$I,'Bottom-up tagging'!$AO:$AO,1,'Bottom-up tagging'!$P:$P,Dashboard!$B698)/SUMIFS('Bottom-up tagging'!$I:$I,'Bottom-up tagging'!$P:$P,Dashboard!$B698),0)</f>
        <v>0</v>
      </c>
      <c r="E698" s="101">
        <f>IFERROR(SUMIFS('Bottom-up tagging'!$I:$I,'Bottom-up tagging'!$AN:$AN,1,'Bottom-up tagging'!$P:$P,Dashboard!$B698)/SUMIFS('Bottom-up tagging'!$I:$I,'Bottom-up tagging'!$P:$P,Dashboard!$B698),0)</f>
        <v>0</v>
      </c>
      <c r="F698" s="151" t="str" cm="1">
        <f t="array" ref="F698">INDEX(Framework!$C$3:$C$119,MATCH(Dashboard!$B698,Framework!$D$3:$D$119,),)</f>
        <v>Soil &amp; water health management</v>
      </c>
      <c r="H698" s="151">
        <f t="shared" si="329"/>
        <v>0</v>
      </c>
      <c r="I698" s="151">
        <f t="shared" si="335"/>
        <v>0</v>
      </c>
      <c r="J698" s="151">
        <f t="shared" si="336"/>
        <v>0</v>
      </c>
      <c r="K698" s="151">
        <f t="shared" si="331"/>
        <v>0</v>
      </c>
      <c r="L698" s="151">
        <f t="shared" si="337"/>
        <v>0</v>
      </c>
      <c r="M698" s="151">
        <f t="shared" si="338"/>
        <v>0</v>
      </c>
      <c r="N698" s="151">
        <f t="shared" si="333"/>
        <v>0</v>
      </c>
      <c r="O698" s="151">
        <f t="shared" si="339"/>
        <v>0</v>
      </c>
      <c r="P698" s="151">
        <f t="shared" si="340"/>
        <v>0</v>
      </c>
    </row>
    <row r="699" spans="2:16">
      <c r="B699" s="151" t="s">
        <v>10780</v>
      </c>
      <c r="C699" s="101">
        <f>IFERROR(SUMIFS('Bottom-up tagging'!$I:$I,'Bottom-up tagging'!$AM:$AM,1,'Bottom-up tagging'!$P:$P,Dashboard!$B699)/SUMIFS('Bottom-up tagging'!$I:$I,'Bottom-up tagging'!$P:$P,Dashboard!$B699),0)</f>
        <v>0</v>
      </c>
      <c r="D699" s="101">
        <f>IFERROR(SUMIFS('Bottom-up tagging'!$I:$I,'Bottom-up tagging'!$AO:$AO,1,'Bottom-up tagging'!$P:$P,Dashboard!$B699)/SUMIFS('Bottom-up tagging'!$I:$I,'Bottom-up tagging'!$P:$P,Dashboard!$B699),0)</f>
        <v>0</v>
      </c>
      <c r="E699" s="101">
        <f>IFERROR(SUMIFS('Bottom-up tagging'!$I:$I,'Bottom-up tagging'!$AN:$AN,1,'Bottom-up tagging'!$P:$P,Dashboard!$B699)/SUMIFS('Bottom-up tagging'!$I:$I,'Bottom-up tagging'!$P:$P,Dashboard!$B699),0)</f>
        <v>0</v>
      </c>
      <c r="F699" s="151" t="str" cm="1">
        <f t="array" ref="F699">INDEX(Framework!$C$3:$C$119,MATCH(Dashboard!$B699,Framework!$D$3:$D$119,),)</f>
        <v>Production</v>
      </c>
      <c r="H699" s="151">
        <f t="shared" si="329"/>
        <v>0</v>
      </c>
      <c r="I699" s="151">
        <f t="shared" si="335"/>
        <v>0</v>
      </c>
      <c r="J699" s="151">
        <f t="shared" si="336"/>
        <v>0</v>
      </c>
      <c r="K699" s="151">
        <f t="shared" si="331"/>
        <v>0</v>
      </c>
      <c r="L699" s="151">
        <f t="shared" si="337"/>
        <v>0</v>
      </c>
      <c r="M699" s="151">
        <f t="shared" si="338"/>
        <v>0</v>
      </c>
      <c r="N699" s="151">
        <f t="shared" si="333"/>
        <v>0</v>
      </c>
      <c r="O699" s="151">
        <f t="shared" si="339"/>
        <v>0</v>
      </c>
      <c r="P699" s="151">
        <f t="shared" si="340"/>
        <v>0</v>
      </c>
    </row>
    <row r="700" spans="2:16">
      <c r="B700" s="151" t="s">
        <v>10857</v>
      </c>
      <c r="C700" s="101">
        <f>IFERROR(SUMIFS('Bottom-up tagging'!$I:$I,'Bottom-up tagging'!$AM:$AM,1,'Bottom-up tagging'!$P:$P,Dashboard!$B700)/SUMIFS('Bottom-up tagging'!$I:$I,'Bottom-up tagging'!$P:$P,Dashboard!$B700),0)</f>
        <v>0</v>
      </c>
      <c r="D700" s="101">
        <f>IFERROR(SUMIFS('Bottom-up tagging'!$I:$I,'Bottom-up tagging'!$AO:$AO,1,'Bottom-up tagging'!$P:$P,Dashboard!$B700)/SUMIFS('Bottom-up tagging'!$I:$I,'Bottom-up tagging'!$P:$P,Dashboard!$B700),0)</f>
        <v>1</v>
      </c>
      <c r="E700" s="101">
        <f>IFERROR(SUMIFS('Bottom-up tagging'!$I:$I,'Bottom-up tagging'!$AN:$AN,1,'Bottom-up tagging'!$P:$P,Dashboard!$B700)/SUMIFS('Bottom-up tagging'!$I:$I,'Bottom-up tagging'!$P:$P,Dashboard!$B700),0)</f>
        <v>1</v>
      </c>
      <c r="F700" s="151" t="str" cm="1">
        <f t="array" ref="F700">INDEX(Framework!$C$3:$C$119,MATCH(Dashboard!$B700,Framework!$D$3:$D$119,),)</f>
        <v>Soil &amp; water health management</v>
      </c>
      <c r="H700" s="151">
        <f t="shared" si="329"/>
        <v>0</v>
      </c>
      <c r="I700" s="151">
        <f t="shared" si="335"/>
        <v>0.23969361884459409</v>
      </c>
      <c r="J700" s="151">
        <f t="shared" si="336"/>
        <v>0.23969361884459409</v>
      </c>
      <c r="K700" s="151">
        <f t="shared" si="331"/>
        <v>0</v>
      </c>
      <c r="L700" s="151">
        <f t="shared" si="337"/>
        <v>0.29242621499040478</v>
      </c>
      <c r="M700" s="151">
        <f t="shared" si="338"/>
        <v>0.29242621499040478</v>
      </c>
      <c r="N700" s="151">
        <f t="shared" si="333"/>
        <v>0</v>
      </c>
      <c r="O700" s="151">
        <f t="shared" si="339"/>
        <v>0.34515881113621549</v>
      </c>
      <c r="P700" s="151">
        <f t="shared" si="340"/>
        <v>0.34515881113621549</v>
      </c>
    </row>
    <row r="701" spans="2:16">
      <c r="B701" s="151" t="s">
        <v>10966</v>
      </c>
      <c r="C701" s="101">
        <f>IFERROR(SUMIFS('Bottom-up tagging'!$I:$I,'Bottom-up tagging'!$AM:$AM,1,'Bottom-up tagging'!$P:$P,Dashboard!$B701)/SUMIFS('Bottom-up tagging'!$I:$I,'Bottom-up tagging'!$P:$P,Dashboard!$B701),0)</f>
        <v>0</v>
      </c>
      <c r="D701" s="101">
        <f>IFERROR(SUMIFS('Bottom-up tagging'!$I:$I,'Bottom-up tagging'!$AO:$AO,1,'Bottom-up tagging'!$P:$P,Dashboard!$B701)/SUMIFS('Bottom-up tagging'!$I:$I,'Bottom-up tagging'!$P:$P,Dashboard!$B701),0)</f>
        <v>0</v>
      </c>
      <c r="E701" s="101">
        <f>IFERROR(SUMIFS('Bottom-up tagging'!$I:$I,'Bottom-up tagging'!$AN:$AN,1,'Bottom-up tagging'!$P:$P,Dashboard!$B701)/SUMIFS('Bottom-up tagging'!$I:$I,'Bottom-up tagging'!$P:$P,Dashboard!$B701),0)</f>
        <v>1</v>
      </c>
      <c r="F701" s="151" t="str" cm="1">
        <f t="array" ref="F701">INDEX(Framework!$C$3:$C$119,MATCH(Dashboard!$B701,Framework!$D$3:$D$119,),)</f>
        <v xml:space="preserve">Post-production </v>
      </c>
      <c r="H701" s="151">
        <f t="shared" si="329"/>
        <v>0</v>
      </c>
      <c r="I701" s="151">
        <f t="shared" si="335"/>
        <v>0</v>
      </c>
      <c r="J701" s="151">
        <f t="shared" si="336"/>
        <v>0.52365188320038214</v>
      </c>
      <c r="K701" s="151">
        <f t="shared" si="331"/>
        <v>0</v>
      </c>
      <c r="L701" s="151">
        <f t="shared" si="337"/>
        <v>0</v>
      </c>
      <c r="M701" s="151">
        <f t="shared" si="338"/>
        <v>0.62373671229289118</v>
      </c>
      <c r="N701" s="151">
        <f t="shared" si="333"/>
        <v>0</v>
      </c>
      <c r="O701" s="151">
        <f t="shared" si="339"/>
        <v>0</v>
      </c>
      <c r="P701" s="151">
        <f t="shared" si="340"/>
        <v>0.7238215413854</v>
      </c>
    </row>
    <row r="702" spans="2:16">
      <c r="B702" s="151" t="s">
        <v>10850</v>
      </c>
      <c r="C702" s="101">
        <f>IFERROR(SUMIFS('Bottom-up tagging'!$I:$I,'Bottom-up tagging'!$AM:$AM,1,'Bottom-up tagging'!$P:$P,Dashboard!$B702)/SUMIFS('Bottom-up tagging'!$I:$I,'Bottom-up tagging'!$P:$P,Dashboard!$B702),0)</f>
        <v>0</v>
      </c>
      <c r="D702" s="101">
        <f>IFERROR(SUMIFS('Bottom-up tagging'!$I:$I,'Bottom-up tagging'!$AO:$AO,1,'Bottom-up tagging'!$P:$P,Dashboard!$B702)/SUMIFS('Bottom-up tagging'!$I:$I,'Bottom-up tagging'!$P:$P,Dashboard!$B702),0)</f>
        <v>0</v>
      </c>
      <c r="E702" s="101">
        <f>IFERROR(SUMIFS('Bottom-up tagging'!$I:$I,'Bottom-up tagging'!$AN:$AN,1,'Bottom-up tagging'!$P:$P,Dashboard!$B702)/SUMIFS('Bottom-up tagging'!$I:$I,'Bottom-up tagging'!$P:$P,Dashboard!$B702),0)</f>
        <v>0</v>
      </c>
      <c r="F702" s="151" t="str" cm="1">
        <f t="array" ref="F702">INDEX(Framework!$C$3:$C$119,MATCH(Dashboard!$B702,Framework!$D$3:$D$119,),)</f>
        <v>Cross-cutting</v>
      </c>
      <c r="H702" s="151">
        <f t="shared" si="329"/>
        <v>0</v>
      </c>
      <c r="I702" s="151">
        <f t="shared" si="335"/>
        <v>0</v>
      </c>
      <c r="J702" s="151">
        <f t="shared" si="336"/>
        <v>0</v>
      </c>
      <c r="K702" s="151">
        <f t="shared" si="331"/>
        <v>0</v>
      </c>
      <c r="L702" s="151">
        <f t="shared" si="337"/>
        <v>0</v>
      </c>
      <c r="M702" s="151">
        <f t="shared" si="338"/>
        <v>0</v>
      </c>
      <c r="N702" s="151">
        <f t="shared" si="333"/>
        <v>0</v>
      </c>
      <c r="O702" s="151">
        <f t="shared" si="339"/>
        <v>0</v>
      </c>
      <c r="P702" s="151">
        <f t="shared" si="340"/>
        <v>0</v>
      </c>
    </row>
    <row r="703" spans="2:16">
      <c r="B703" s="151" t="s">
        <v>10737</v>
      </c>
      <c r="C703" s="101">
        <f>IFERROR(SUMIFS('Bottom-up tagging'!$I:$I,'Bottom-up tagging'!$AM:$AM,1,'Bottom-up tagging'!$P:$P,Dashboard!$B703)/SUMIFS('Bottom-up tagging'!$I:$I,'Bottom-up tagging'!$P:$P,Dashboard!$B703),0)</f>
        <v>0</v>
      </c>
      <c r="D703" s="101">
        <f>IFERROR(SUMIFS('Bottom-up tagging'!$I:$I,'Bottom-up tagging'!$AO:$AO,1,'Bottom-up tagging'!$P:$P,Dashboard!$B703)/SUMIFS('Bottom-up tagging'!$I:$I,'Bottom-up tagging'!$P:$P,Dashboard!$B703),0)</f>
        <v>0</v>
      </c>
      <c r="E703" s="101">
        <f>IFERROR(SUMIFS('Bottom-up tagging'!$I:$I,'Bottom-up tagging'!$AN:$AN,1,'Bottom-up tagging'!$P:$P,Dashboard!$B703)/SUMIFS('Bottom-up tagging'!$I:$I,'Bottom-up tagging'!$P:$P,Dashboard!$B703),0)</f>
        <v>0</v>
      </c>
      <c r="F703" s="151" t="str" cm="1">
        <f t="array" ref="F703">INDEX(Framework!$C$3:$C$119,MATCH(Dashboard!$B703,Framework!$D$3:$D$119,),)</f>
        <v>Inputs</v>
      </c>
      <c r="H703" s="151">
        <f t="shared" si="329"/>
        <v>0</v>
      </c>
      <c r="I703" s="151">
        <f t="shared" si="335"/>
        <v>0</v>
      </c>
      <c r="J703" s="151">
        <f t="shared" si="336"/>
        <v>0</v>
      </c>
      <c r="K703" s="151">
        <f t="shared" si="331"/>
        <v>0</v>
      </c>
      <c r="L703" s="151">
        <f t="shared" si="337"/>
        <v>0</v>
      </c>
      <c r="M703" s="151">
        <f t="shared" si="338"/>
        <v>0</v>
      </c>
      <c r="N703" s="151">
        <f t="shared" si="333"/>
        <v>0</v>
      </c>
      <c r="O703" s="151">
        <f t="shared" si="339"/>
        <v>0</v>
      </c>
      <c r="P703" s="151">
        <f t="shared" si="340"/>
        <v>0</v>
      </c>
    </row>
    <row r="704" spans="2:16">
      <c r="B704" s="151" t="s">
        <v>10733</v>
      </c>
      <c r="C704" s="101">
        <f>IFERROR(SUMIFS('Bottom-up tagging'!$I:$I,'Bottom-up tagging'!$AM:$AM,1,'Bottom-up tagging'!$P:$P,Dashboard!$B704)/SUMIFS('Bottom-up tagging'!$I:$I,'Bottom-up tagging'!$P:$P,Dashboard!$B704),0)</f>
        <v>0</v>
      </c>
      <c r="D704" s="101">
        <f>IFERROR(SUMIFS('Bottom-up tagging'!$I:$I,'Bottom-up tagging'!$AO:$AO,1,'Bottom-up tagging'!$P:$P,Dashboard!$B704)/SUMIFS('Bottom-up tagging'!$I:$I,'Bottom-up tagging'!$P:$P,Dashboard!$B704),0)</f>
        <v>0</v>
      </c>
      <c r="E704" s="101">
        <f>IFERROR(SUMIFS('Bottom-up tagging'!$I:$I,'Bottom-up tagging'!$AN:$AN,1,'Bottom-up tagging'!$P:$P,Dashboard!$B704)/SUMIFS('Bottom-up tagging'!$I:$I,'Bottom-up tagging'!$P:$P,Dashboard!$B704),0)</f>
        <v>0</v>
      </c>
      <c r="F704" s="151" t="str" cm="1">
        <f t="array" ref="F704">INDEX(Framework!$C$3:$C$119,MATCH(Dashboard!$B704,Framework!$D$3:$D$119,),)</f>
        <v>Inputs</v>
      </c>
      <c r="H704" s="151">
        <f t="shared" si="329"/>
        <v>0</v>
      </c>
      <c r="I704" s="151">
        <f t="shared" si="335"/>
        <v>0</v>
      </c>
      <c r="J704" s="151">
        <f t="shared" si="336"/>
        <v>0</v>
      </c>
      <c r="K704" s="151">
        <f t="shared" si="331"/>
        <v>0</v>
      </c>
      <c r="L704" s="151">
        <f t="shared" si="337"/>
        <v>0</v>
      </c>
      <c r="M704" s="151">
        <f t="shared" si="338"/>
        <v>0</v>
      </c>
      <c r="N704" s="151">
        <f t="shared" si="333"/>
        <v>0</v>
      </c>
      <c r="O704" s="151">
        <f t="shared" si="339"/>
        <v>0</v>
      </c>
      <c r="P704" s="151">
        <f t="shared" si="340"/>
        <v>0</v>
      </c>
    </row>
    <row r="705" spans="2:16">
      <c r="B705" s="151" t="s">
        <v>10763</v>
      </c>
      <c r="C705" s="101">
        <f>IFERROR(SUMIFS('Bottom-up tagging'!$I:$I,'Bottom-up tagging'!$AM:$AM,1,'Bottom-up tagging'!$P:$P,Dashboard!$B705)/SUMIFS('Bottom-up tagging'!$I:$I,'Bottom-up tagging'!$P:$P,Dashboard!$B705),0)</f>
        <v>0</v>
      </c>
      <c r="D705" s="101">
        <f>IFERROR(SUMIFS('Bottom-up tagging'!$I:$I,'Bottom-up tagging'!$AO:$AO,1,'Bottom-up tagging'!$P:$P,Dashboard!$B705)/SUMIFS('Bottom-up tagging'!$I:$I,'Bottom-up tagging'!$P:$P,Dashboard!$B705),0)</f>
        <v>0</v>
      </c>
      <c r="E705" s="101">
        <f>IFERROR(SUMIFS('Bottom-up tagging'!$I:$I,'Bottom-up tagging'!$AN:$AN,1,'Bottom-up tagging'!$P:$P,Dashboard!$B705)/SUMIFS('Bottom-up tagging'!$I:$I,'Bottom-up tagging'!$P:$P,Dashboard!$B705),0)</f>
        <v>0</v>
      </c>
      <c r="F705" s="151" t="str" cm="1">
        <f t="array" ref="F705">INDEX(Framework!$C$3:$C$119,MATCH(Dashboard!$B705,Framework!$D$3:$D$119,),)</f>
        <v>Production</v>
      </c>
      <c r="H705" s="151">
        <f t="shared" si="329"/>
        <v>0</v>
      </c>
      <c r="I705" s="151">
        <f t="shared" si="335"/>
        <v>0</v>
      </c>
      <c r="J705" s="151">
        <f t="shared" si="336"/>
        <v>0</v>
      </c>
      <c r="K705" s="151">
        <f t="shared" si="331"/>
        <v>0</v>
      </c>
      <c r="L705" s="151">
        <f t="shared" si="337"/>
        <v>0</v>
      </c>
      <c r="M705" s="151">
        <f t="shared" si="338"/>
        <v>0</v>
      </c>
      <c r="N705" s="151">
        <f t="shared" si="333"/>
        <v>0</v>
      </c>
      <c r="O705" s="151">
        <f t="shared" si="339"/>
        <v>0</v>
      </c>
      <c r="P705" s="151">
        <f t="shared" si="340"/>
        <v>0</v>
      </c>
    </row>
    <row r="706" spans="2:16">
      <c r="B706" s="151" t="s">
        <v>10722</v>
      </c>
      <c r="C706" s="101">
        <f>IFERROR(SUMIFS('Bottom-up tagging'!$I:$I,'Bottom-up tagging'!$AM:$AM,1,'Bottom-up tagging'!$P:$P,Dashboard!$B706)/SUMIFS('Bottom-up tagging'!$I:$I,'Bottom-up tagging'!$P:$P,Dashboard!$B706),0)</f>
        <v>0</v>
      </c>
      <c r="D706" s="101">
        <f>IFERROR(SUMIFS('Bottom-up tagging'!$I:$I,'Bottom-up tagging'!$AO:$AO,1,'Bottom-up tagging'!$P:$P,Dashboard!$B706)/SUMIFS('Bottom-up tagging'!$I:$I,'Bottom-up tagging'!$P:$P,Dashboard!$B706),0)</f>
        <v>0</v>
      </c>
      <c r="E706" s="101">
        <f>IFERROR(SUMIFS('Bottom-up tagging'!$I:$I,'Bottom-up tagging'!$AN:$AN,1,'Bottom-up tagging'!$P:$P,Dashboard!$B706)/SUMIFS('Bottom-up tagging'!$I:$I,'Bottom-up tagging'!$P:$P,Dashboard!$B706),0)</f>
        <v>0</v>
      </c>
      <c r="F706" s="151" t="str" cm="1">
        <f t="array" ref="F706">INDEX(Framework!$C$3:$C$119,MATCH(Dashboard!$B706,Framework!$D$3:$D$119,),)</f>
        <v>Inputs</v>
      </c>
      <c r="H706" s="151">
        <f t="shared" si="329"/>
        <v>0</v>
      </c>
      <c r="I706" s="151">
        <f t="shared" si="335"/>
        <v>0</v>
      </c>
      <c r="J706" s="151">
        <f t="shared" si="336"/>
        <v>0</v>
      </c>
      <c r="K706" s="151">
        <f t="shared" si="331"/>
        <v>0</v>
      </c>
      <c r="L706" s="151">
        <f t="shared" si="337"/>
        <v>0</v>
      </c>
      <c r="M706" s="151">
        <f t="shared" si="338"/>
        <v>0</v>
      </c>
      <c r="N706" s="151">
        <f t="shared" si="333"/>
        <v>0</v>
      </c>
      <c r="O706" s="151">
        <f t="shared" si="339"/>
        <v>0</v>
      </c>
      <c r="P706" s="151">
        <f t="shared" si="340"/>
        <v>0</v>
      </c>
    </row>
    <row r="707" spans="2:16">
      <c r="B707" s="151" t="s">
        <v>10731</v>
      </c>
      <c r="C707" s="101">
        <f>IFERROR(SUMIFS('Bottom-up tagging'!$I:$I,'Bottom-up tagging'!$AM:$AM,1,'Bottom-up tagging'!$P:$P,Dashboard!$B707)/SUMIFS('Bottom-up tagging'!$I:$I,'Bottom-up tagging'!$P:$P,Dashboard!$B707),0)</f>
        <v>0</v>
      </c>
      <c r="D707" s="101">
        <f>IFERROR(SUMIFS('Bottom-up tagging'!$I:$I,'Bottom-up tagging'!$AO:$AO,1,'Bottom-up tagging'!$P:$P,Dashboard!$B707)/SUMIFS('Bottom-up tagging'!$I:$I,'Bottom-up tagging'!$P:$P,Dashboard!$B707),0)</f>
        <v>0</v>
      </c>
      <c r="E707" s="101">
        <f>IFERROR(SUMIFS('Bottom-up tagging'!$I:$I,'Bottom-up tagging'!$AN:$AN,1,'Bottom-up tagging'!$P:$P,Dashboard!$B707)/SUMIFS('Bottom-up tagging'!$I:$I,'Bottom-up tagging'!$P:$P,Dashboard!$B707),0)</f>
        <v>0</v>
      </c>
      <c r="F707" s="151" t="str" cm="1">
        <f t="array" ref="F707">INDEX(Framework!$C$3:$C$119,MATCH(Dashboard!$B707,Framework!$D$3:$D$119,),)</f>
        <v>Inputs</v>
      </c>
      <c r="H707" s="151">
        <f t="shared" si="329"/>
        <v>0</v>
      </c>
      <c r="I707" s="151">
        <f t="shared" si="335"/>
        <v>0</v>
      </c>
      <c r="J707" s="151">
        <f t="shared" si="336"/>
        <v>0</v>
      </c>
      <c r="K707" s="151">
        <f t="shared" si="331"/>
        <v>0</v>
      </c>
      <c r="L707" s="151">
        <f t="shared" si="337"/>
        <v>0</v>
      </c>
      <c r="M707" s="151">
        <f t="shared" si="338"/>
        <v>0</v>
      </c>
      <c r="N707" s="151">
        <f t="shared" si="333"/>
        <v>0</v>
      </c>
      <c r="O707" s="151">
        <f t="shared" si="339"/>
        <v>0</v>
      </c>
      <c r="P707" s="151">
        <f t="shared" si="340"/>
        <v>0</v>
      </c>
    </row>
    <row r="708" spans="2:16">
      <c r="B708" s="151" t="s">
        <v>10645</v>
      </c>
      <c r="C708" s="101">
        <f>IFERROR(SUMIFS('Bottom-up tagging'!$I:$I,'Bottom-up tagging'!$AM:$AM,1,'Bottom-up tagging'!$P:$P,Dashboard!$B708)/SUMIFS('Bottom-up tagging'!$I:$I,'Bottom-up tagging'!$P:$P,Dashboard!$B708),0)</f>
        <v>0</v>
      </c>
      <c r="D708" s="101">
        <f>IFERROR(SUMIFS('Bottom-up tagging'!$I:$I,'Bottom-up tagging'!$AO:$AO,1,'Bottom-up tagging'!$P:$P,Dashboard!$B708)/SUMIFS('Bottom-up tagging'!$I:$I,'Bottom-up tagging'!$P:$P,Dashboard!$B708),0)</f>
        <v>0</v>
      </c>
      <c r="E708" s="101">
        <f>IFERROR(SUMIFS('Bottom-up tagging'!$I:$I,'Bottom-up tagging'!$AN:$AN,1,'Bottom-up tagging'!$P:$P,Dashboard!$B708)/SUMIFS('Bottom-up tagging'!$I:$I,'Bottom-up tagging'!$P:$P,Dashboard!$B708),0)</f>
        <v>0</v>
      </c>
      <c r="F708" s="151" t="str" cm="1">
        <f t="array" ref="F708">INDEX(Framework!$C$3:$C$119,MATCH(Dashboard!$B708,Framework!$D$3:$D$119,),)</f>
        <v xml:space="preserve">Agriculture financing systems </v>
      </c>
      <c r="H708" s="151">
        <f t="shared" si="329"/>
        <v>0</v>
      </c>
      <c r="I708" s="151">
        <f t="shared" si="335"/>
        <v>0</v>
      </c>
      <c r="J708" s="151">
        <f t="shared" si="336"/>
        <v>0</v>
      </c>
      <c r="K708" s="151">
        <f t="shared" si="331"/>
        <v>0</v>
      </c>
      <c r="L708" s="151">
        <f t="shared" si="337"/>
        <v>0</v>
      </c>
      <c r="M708" s="151">
        <f t="shared" si="338"/>
        <v>0</v>
      </c>
      <c r="N708" s="151">
        <f t="shared" si="333"/>
        <v>0</v>
      </c>
      <c r="O708" s="151">
        <f t="shared" si="339"/>
        <v>0</v>
      </c>
      <c r="P708" s="151">
        <f t="shared" si="340"/>
        <v>0</v>
      </c>
    </row>
    <row r="710" spans="2:16">
      <c r="K710" s="123"/>
    </row>
    <row r="712" spans="2:16">
      <c r="B712" s="218" t="s">
        <v>10544</v>
      </c>
      <c r="C712" s="151">
        <f>SUM(C545,C547,C550,C549,C551,C553,C555)</f>
        <v>0</v>
      </c>
      <c r="D712" s="151">
        <f t="shared" ref="D712:L712" si="341">SUM(D545,D547,D550,D549,D551,D553,D555)</f>
        <v>0</v>
      </c>
      <c r="E712" s="151">
        <f t="shared" si="341"/>
        <v>7.65774328071653</v>
      </c>
      <c r="F712" s="151">
        <f t="shared" si="341"/>
        <v>0</v>
      </c>
      <c r="G712" s="151">
        <f t="shared" si="341"/>
        <v>0</v>
      </c>
      <c r="H712" s="151">
        <f t="shared" si="341"/>
        <v>0</v>
      </c>
      <c r="I712" s="151">
        <f t="shared" si="341"/>
        <v>0.34515881113621549</v>
      </c>
      <c r="J712" s="151">
        <f t="shared" si="341"/>
        <v>0.23807720616609179</v>
      </c>
      <c r="K712" s="151">
        <f t="shared" si="341"/>
        <v>1.8918111960521133</v>
      </c>
      <c r="L712" s="151">
        <f t="shared" si="341"/>
        <v>0.48574433521930821</v>
      </c>
    </row>
    <row r="713" spans="2:16">
      <c r="B713" s="218" t="s">
        <v>11180</v>
      </c>
      <c r="C713" s="151">
        <f>SUM(C543,C545,C546,C547,C548,C551,C552,C553,C554,C557)</f>
        <v>0</v>
      </c>
      <c r="D713" s="151">
        <f t="shared" ref="D713:L713" si="342">SUM(D543,D545,D546,D547,D548,D551,D552,D553,D554,D557)</f>
        <v>0</v>
      </c>
      <c r="E713" s="151">
        <f t="shared" si="342"/>
        <v>363.24682677933532</v>
      </c>
      <c r="F713" s="151">
        <f t="shared" si="342"/>
        <v>0</v>
      </c>
      <c r="G713" s="151">
        <f t="shared" si="342"/>
        <v>6.036736997460376</v>
      </c>
      <c r="H713" s="151">
        <f t="shared" si="342"/>
        <v>0</v>
      </c>
      <c r="I713" s="151">
        <f t="shared" si="342"/>
        <v>0.1729934820879912</v>
      </c>
      <c r="J713" s="151">
        <f t="shared" si="342"/>
        <v>1.4609604025127327</v>
      </c>
      <c r="K713" s="151">
        <f t="shared" si="342"/>
        <v>2.0579824575557972</v>
      </c>
      <c r="L713" s="151">
        <f t="shared" si="342"/>
        <v>5.7793564563218078</v>
      </c>
    </row>
    <row r="714" spans="2:16">
      <c r="B714" s="218" t="s">
        <v>10523</v>
      </c>
      <c r="C714" s="151">
        <f>SUM(C543:C544,C546,C548,C549,C550,C552,C554,C556)</f>
        <v>0</v>
      </c>
      <c r="D714" s="151">
        <f t="shared" ref="D714:L714" si="343">SUM(D543:D544,D546,D548,D549,D550,D552,D554,D556)</f>
        <v>0</v>
      </c>
      <c r="E714" s="151">
        <f t="shared" si="343"/>
        <v>355.58908349861878</v>
      </c>
      <c r="F714" s="151">
        <f t="shared" si="343"/>
        <v>0</v>
      </c>
      <c r="G714" s="151">
        <f t="shared" si="343"/>
        <v>6.036736997460376</v>
      </c>
      <c r="H714" s="151">
        <f t="shared" si="343"/>
        <v>0</v>
      </c>
      <c r="I714" s="151">
        <f t="shared" si="343"/>
        <v>0.51815229322420664</v>
      </c>
      <c r="J714" s="151">
        <f t="shared" si="343"/>
        <v>1.6990376086788246</v>
      </c>
      <c r="K714" s="151">
        <f t="shared" si="343"/>
        <v>0.166171261503684</v>
      </c>
      <c r="L714" s="151">
        <f t="shared" si="343"/>
        <v>20.190880008034338</v>
      </c>
    </row>
    <row r="715" spans="2:16">
      <c r="B715" s="218" t="s">
        <v>10563</v>
      </c>
      <c r="C715" s="151">
        <f>SUM(C542)</f>
        <v>0</v>
      </c>
      <c r="D715" s="151">
        <f t="shared" ref="D715:L715" si="344">SUM(D542)</f>
        <v>0</v>
      </c>
      <c r="E715" s="151">
        <f t="shared" si="344"/>
        <v>0</v>
      </c>
      <c r="F715" s="151">
        <f t="shared" si="344"/>
        <v>0</v>
      </c>
      <c r="G715" s="151">
        <f t="shared" si="344"/>
        <v>0</v>
      </c>
      <c r="H715" s="151">
        <f t="shared" si="344"/>
        <v>0</v>
      </c>
      <c r="I715" s="151">
        <f t="shared" si="344"/>
        <v>0.34800258995461958</v>
      </c>
      <c r="J715" s="151">
        <f t="shared" si="344"/>
        <v>6.5934426156013215</v>
      </c>
      <c r="K715" s="151">
        <f t="shared" si="344"/>
        <v>3.8467392108046869</v>
      </c>
      <c r="L715" s="151">
        <f t="shared" si="344"/>
        <v>10.939047408826028</v>
      </c>
    </row>
    <row r="716" spans="2:16">
      <c r="B716" s="218" t="s">
        <v>11181</v>
      </c>
      <c r="C716" s="151">
        <f>SUM(C544,C550,C555,C556,C557)</f>
        <v>0</v>
      </c>
      <c r="D716" s="151">
        <f t="shared" ref="D716:L716" si="345">SUM(D544,D550,D555,D556,D557)</f>
        <v>0</v>
      </c>
      <c r="E716" s="151">
        <f t="shared" si="345"/>
        <v>0</v>
      </c>
      <c r="F716" s="151">
        <f t="shared" si="345"/>
        <v>0</v>
      </c>
      <c r="G716" s="151">
        <f t="shared" si="345"/>
        <v>0</v>
      </c>
      <c r="H716" s="151">
        <f t="shared" si="345"/>
        <v>0</v>
      </c>
      <c r="I716" s="151">
        <f t="shared" si="345"/>
        <v>0</v>
      </c>
      <c r="J716" s="151">
        <f t="shared" si="345"/>
        <v>0.23807720616609179</v>
      </c>
      <c r="K716" s="151">
        <f t="shared" si="345"/>
        <v>0</v>
      </c>
      <c r="L716" s="151">
        <f t="shared" si="345"/>
        <v>14.411523551712529</v>
      </c>
    </row>
    <row r="717" spans="2:16">
      <c r="B717" s="218" t="s">
        <v>10558</v>
      </c>
      <c r="M717" s="176"/>
    </row>
  </sheetData>
  <mergeCells count="9">
    <mergeCell ref="H665:J665"/>
    <mergeCell ref="K665:M665"/>
    <mergeCell ref="N665:P665"/>
    <mergeCell ref="B446:M446"/>
    <mergeCell ref="B11:P11"/>
    <mergeCell ref="B12:P12"/>
    <mergeCell ref="B26:M26"/>
    <mergeCell ref="B236:M236"/>
    <mergeCell ref="N18:AA18"/>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D54AE-2E9E-4524-8F92-140948454C67}">
  <sheetPr>
    <tabColor theme="9" tint="0.59999389629810485"/>
  </sheetPr>
  <dimension ref="A2:R75"/>
  <sheetViews>
    <sheetView zoomScale="60" zoomScaleNormal="60" workbookViewId="0">
      <selection activeCell="F32" sqref="F32"/>
    </sheetView>
  </sheetViews>
  <sheetFormatPr defaultRowHeight="14.5" outlineLevelRow="1"/>
  <cols>
    <col min="1" max="1" width="3.453125" customWidth="1"/>
    <col min="2" max="2" width="42.7265625" customWidth="1"/>
    <col min="3" max="3" width="15" style="22" customWidth="1"/>
    <col min="4" max="4" width="17" style="22" bestFit="1" customWidth="1"/>
    <col min="5" max="5" width="17.1796875" bestFit="1" customWidth="1"/>
    <col min="6" max="6" width="11.81640625" bestFit="1" customWidth="1"/>
    <col min="7" max="8" width="11.7265625" bestFit="1" customWidth="1"/>
    <col min="9" max="13" width="12.81640625" bestFit="1" customWidth="1"/>
    <col min="14" max="14" width="17.7265625" bestFit="1" customWidth="1"/>
    <col min="15" max="15" width="3.1796875" customWidth="1"/>
    <col min="16" max="16" width="51.1796875" customWidth="1"/>
    <col min="17" max="17" width="43.7265625" customWidth="1"/>
  </cols>
  <sheetData>
    <row r="2" spans="2:18" s="69" customFormat="1">
      <c r="B2" s="90" t="s">
        <v>11025</v>
      </c>
      <c r="D2" s="91"/>
    </row>
    <row r="3" spans="2:18" s="69" customFormat="1" hidden="1" outlineLevel="1">
      <c r="B3" s="90" t="s">
        <v>11026</v>
      </c>
      <c r="D3" s="91"/>
    </row>
    <row r="4" spans="2:18" s="69" customFormat="1" hidden="1" outlineLevel="1">
      <c r="B4" s="92" t="s">
        <v>11062</v>
      </c>
    </row>
    <row r="5" spans="2:18" s="69" customFormat="1" hidden="1" outlineLevel="1">
      <c r="B5" s="92" t="s">
        <v>11063</v>
      </c>
      <c r="D5" s="91"/>
    </row>
    <row r="6" spans="2:18" s="69" customFormat="1" hidden="1" outlineLevel="1">
      <c r="B6" s="90" t="s">
        <v>11027</v>
      </c>
      <c r="C6" s="93"/>
      <c r="D6" s="93"/>
      <c r="E6" s="93"/>
      <c r="F6" s="93"/>
      <c r="G6" s="93"/>
      <c r="H6" s="93"/>
      <c r="I6" s="93"/>
      <c r="J6" s="93"/>
      <c r="K6" s="93"/>
      <c r="L6" s="93"/>
      <c r="M6" s="93"/>
      <c r="N6" s="93"/>
    </row>
    <row r="7" spans="2:18" s="69" customFormat="1" hidden="1" outlineLevel="1">
      <c r="B7" s="92" t="s">
        <v>11064</v>
      </c>
      <c r="C7" s="93"/>
      <c r="D7" s="93"/>
      <c r="E7" s="93"/>
      <c r="F7" s="93"/>
      <c r="G7" s="93"/>
      <c r="H7" s="93"/>
      <c r="I7" s="93"/>
      <c r="J7" s="93"/>
      <c r="K7" s="93"/>
      <c r="L7" s="93"/>
      <c r="M7" s="93"/>
      <c r="N7" s="93"/>
    </row>
    <row r="8" spans="2:18" s="69" customFormat="1" collapsed="1">
      <c r="B8" s="94" t="s">
        <v>11028</v>
      </c>
      <c r="D8" s="169"/>
      <c r="N8" s="91"/>
      <c r="O8" s="91"/>
      <c r="P8" s="91"/>
    </row>
    <row r="9" spans="2:18" s="69" customFormat="1">
      <c r="B9" s="94"/>
      <c r="D9" s="91"/>
      <c r="N9" s="91"/>
      <c r="O9" s="91"/>
      <c r="P9" s="91"/>
    </row>
    <row r="10" spans="2:18">
      <c r="B10" s="98" t="s">
        <v>11052</v>
      </c>
      <c r="C10" s="97"/>
      <c r="D10" s="97"/>
      <c r="E10" s="97"/>
      <c r="F10" s="97"/>
      <c r="G10" s="97"/>
      <c r="H10" s="97"/>
      <c r="I10" s="97"/>
      <c r="J10" s="97"/>
      <c r="K10" s="97"/>
      <c r="L10" s="97"/>
      <c r="M10" s="97"/>
      <c r="N10" s="97"/>
      <c r="O10" s="97"/>
      <c r="P10" s="97"/>
      <c r="Q10" s="97"/>
    </row>
    <row r="11" spans="2:18">
      <c r="B11" s="63"/>
      <c r="C11" s="63" t="s">
        <v>11037</v>
      </c>
      <c r="D11" s="63" t="s">
        <v>11042</v>
      </c>
      <c r="E11" s="63">
        <v>2010</v>
      </c>
      <c r="F11" s="63">
        <v>2011</v>
      </c>
      <c r="G11" s="63">
        <v>2012</v>
      </c>
      <c r="H11" s="63">
        <v>2013</v>
      </c>
      <c r="I11" s="63">
        <v>2014</v>
      </c>
      <c r="J11" s="63">
        <v>2015</v>
      </c>
      <c r="K11" s="63">
        <v>2016</v>
      </c>
      <c r="L11" s="63">
        <v>2017</v>
      </c>
      <c r="M11" s="63">
        <v>2018</v>
      </c>
      <c r="N11" s="63">
        <v>2019</v>
      </c>
      <c r="P11" s="63" t="s">
        <v>11039</v>
      </c>
      <c r="Q11" s="63" t="s">
        <v>11041</v>
      </c>
    </row>
    <row r="12" spans="2:18" s="22" customFormat="1">
      <c r="B12" s="22" t="s">
        <v>11088</v>
      </c>
      <c r="C12" s="22" t="s">
        <v>11097</v>
      </c>
      <c r="D12" s="99">
        <f>SUM(E12:N12)</f>
        <v>10373817.239453156</v>
      </c>
      <c r="E12" s="99">
        <v>600000</v>
      </c>
      <c r="F12" s="99">
        <v>700000</v>
      </c>
      <c r="G12" s="99">
        <v>700000</v>
      </c>
      <c r="H12" s="99">
        <v>800000</v>
      </c>
      <c r="I12" s="99">
        <v>1100000</v>
      </c>
      <c r="J12" s="99">
        <v>1200000</v>
      </c>
      <c r="K12" s="99">
        <v>1100000</v>
      </c>
      <c r="L12" s="99">
        <v>1300000</v>
      </c>
      <c r="M12" s="99">
        <v>1400000</v>
      </c>
      <c r="N12" s="125">
        <f>(((1+((M12/J12)^(1/3)-1))*M12))</f>
        <v>1473817.2394531553</v>
      </c>
      <c r="P12" s="22" t="s">
        <v>11124</v>
      </c>
      <c r="Q12" s="122" t="s">
        <v>11089</v>
      </c>
      <c r="R12" s="63"/>
    </row>
    <row r="13" spans="2:18" s="22" customFormat="1">
      <c r="R13" s="63"/>
    </row>
    <row r="14" spans="2:18" s="22" customFormat="1">
      <c r="B14" s="23" t="s">
        <v>11100</v>
      </c>
      <c r="R14" s="63"/>
    </row>
    <row r="15" spans="2:18" s="22" customFormat="1">
      <c r="B15" s="230" t="s">
        <v>11140</v>
      </c>
      <c r="C15" s="22" t="s">
        <v>11040</v>
      </c>
      <c r="E15" s="229">
        <v>6.0000000000000001E-3</v>
      </c>
      <c r="F15" s="229">
        <v>6.0000000000000001E-3</v>
      </c>
      <c r="G15" s="229">
        <v>6.0000000000000001E-3</v>
      </c>
      <c r="H15" s="229">
        <v>6.0000000000000001E-3</v>
      </c>
      <c r="I15" s="229">
        <v>6.0000000000000001E-3</v>
      </c>
      <c r="J15" s="229">
        <v>6.0000000000000001E-3</v>
      </c>
      <c r="K15" s="229">
        <v>6.0000000000000001E-3</v>
      </c>
      <c r="L15" s="229">
        <v>6.0000000000000001E-3</v>
      </c>
      <c r="M15" s="229">
        <v>6.0000000000000001E-3</v>
      </c>
      <c r="N15" s="229">
        <v>6.0000000000000001E-3</v>
      </c>
      <c r="R15" s="63"/>
    </row>
    <row r="16" spans="2:18" s="22" customFormat="1">
      <c r="B16" s="231" t="s">
        <v>11173</v>
      </c>
      <c r="E16" s="145">
        <v>8.0000000000000002E-3</v>
      </c>
      <c r="F16" s="145">
        <v>8.0000000000000002E-3</v>
      </c>
      <c r="G16" s="145">
        <v>8.0000000000000002E-3</v>
      </c>
      <c r="H16" s="145">
        <v>8.0000000000000002E-3</v>
      </c>
      <c r="I16" s="145">
        <v>8.0000000000000002E-3</v>
      </c>
      <c r="J16" s="145">
        <v>8.0000000000000002E-3</v>
      </c>
      <c r="K16" s="145">
        <v>8.0000000000000002E-3</v>
      </c>
      <c r="L16" s="145">
        <v>8.0000000000000002E-3</v>
      </c>
      <c r="M16" s="145">
        <v>8.0000000000000002E-3</v>
      </c>
      <c r="N16" s="145">
        <v>8.0000000000000002E-3</v>
      </c>
      <c r="P16" s="22" t="s">
        <v>11090</v>
      </c>
      <c r="Q16" s="122" t="s">
        <v>11091</v>
      </c>
      <c r="R16" s="63"/>
    </row>
    <row r="17" spans="2:18" s="22" customFormat="1">
      <c r="B17" s="231" t="s">
        <v>11144</v>
      </c>
      <c r="E17" s="145">
        <v>0.01</v>
      </c>
      <c r="F17" s="145">
        <v>0.01</v>
      </c>
      <c r="G17" s="145">
        <v>0.01</v>
      </c>
      <c r="H17" s="145">
        <v>0.01</v>
      </c>
      <c r="I17" s="145">
        <v>0.01</v>
      </c>
      <c r="J17" s="145">
        <v>0.01</v>
      </c>
      <c r="K17" s="145">
        <v>0.01</v>
      </c>
      <c r="L17" s="145">
        <v>0.01</v>
      </c>
      <c r="M17" s="145">
        <v>0.01</v>
      </c>
      <c r="N17" s="145">
        <v>0.01</v>
      </c>
      <c r="Q17" s="122"/>
      <c r="R17" s="63"/>
    </row>
    <row r="18" spans="2:18" s="22" customFormat="1">
      <c r="B18" s="23"/>
      <c r="E18" s="126"/>
      <c r="F18" s="126"/>
      <c r="G18" s="126"/>
      <c r="H18" s="126"/>
      <c r="I18" s="126"/>
      <c r="J18" s="126"/>
      <c r="K18" s="126"/>
      <c r="L18" s="126"/>
      <c r="M18" s="126"/>
      <c r="N18" s="126"/>
      <c r="Q18" s="122"/>
      <c r="R18" s="63"/>
    </row>
    <row r="19" spans="2:18" s="22" customFormat="1">
      <c r="R19" s="63"/>
    </row>
    <row r="20" spans="2:18" s="22" customFormat="1">
      <c r="B20" s="22" t="s">
        <v>11092</v>
      </c>
      <c r="C20" s="22" t="s">
        <v>11097</v>
      </c>
      <c r="R20" s="63"/>
    </row>
    <row r="21" spans="2:18" s="22" customFormat="1">
      <c r="B21" s="230" t="s">
        <v>11140</v>
      </c>
      <c r="E21" s="232">
        <f>E15*E12</f>
        <v>3600</v>
      </c>
      <c r="F21" s="232">
        <f t="shared" ref="F21:N21" si="0">F15*F12</f>
        <v>4200</v>
      </c>
      <c r="G21" s="232">
        <f t="shared" si="0"/>
        <v>4200</v>
      </c>
      <c r="H21" s="232">
        <f t="shared" si="0"/>
        <v>4800</v>
      </c>
      <c r="I21" s="232">
        <f t="shared" si="0"/>
        <v>6600</v>
      </c>
      <c r="J21" s="232">
        <f t="shared" si="0"/>
        <v>7200</v>
      </c>
      <c r="K21" s="232">
        <f t="shared" si="0"/>
        <v>6600</v>
      </c>
      <c r="L21" s="232">
        <f t="shared" si="0"/>
        <v>7800</v>
      </c>
      <c r="M21" s="232">
        <f t="shared" si="0"/>
        <v>8400</v>
      </c>
      <c r="N21" s="232">
        <f t="shared" si="0"/>
        <v>8842.9034367189324</v>
      </c>
      <c r="Q21" s="122"/>
      <c r="R21" s="63"/>
    </row>
    <row r="22" spans="2:18" s="22" customFormat="1">
      <c r="B22" s="231" t="s">
        <v>11173</v>
      </c>
      <c r="E22" s="22">
        <f t="shared" ref="E22:N22" si="1">E16*E12</f>
        <v>4800</v>
      </c>
      <c r="F22" s="22">
        <f t="shared" si="1"/>
        <v>5600</v>
      </c>
      <c r="G22" s="22">
        <f t="shared" si="1"/>
        <v>5600</v>
      </c>
      <c r="H22" s="22">
        <f t="shared" si="1"/>
        <v>6400</v>
      </c>
      <c r="I22" s="22">
        <f t="shared" si="1"/>
        <v>8800</v>
      </c>
      <c r="J22" s="22">
        <f t="shared" si="1"/>
        <v>9600</v>
      </c>
      <c r="K22" s="22">
        <f t="shared" si="1"/>
        <v>8800</v>
      </c>
      <c r="L22" s="22">
        <f t="shared" si="1"/>
        <v>10400</v>
      </c>
      <c r="M22" s="22">
        <f t="shared" si="1"/>
        <v>11200</v>
      </c>
      <c r="N22" s="22">
        <f t="shared" si="1"/>
        <v>11790.537915625242</v>
      </c>
      <c r="Q22" s="122" t="s">
        <v>11093</v>
      </c>
      <c r="R22" s="63"/>
    </row>
    <row r="23" spans="2:18" s="22" customFormat="1">
      <c r="B23" s="231" t="s">
        <v>11144</v>
      </c>
      <c r="E23" s="233">
        <f>E17*E12</f>
        <v>6000</v>
      </c>
      <c r="F23" s="233">
        <f t="shared" ref="F23:N23" si="2">F17*F12</f>
        <v>7000</v>
      </c>
      <c r="G23" s="233">
        <f t="shared" si="2"/>
        <v>7000</v>
      </c>
      <c r="H23" s="233">
        <f t="shared" si="2"/>
        <v>8000</v>
      </c>
      <c r="I23" s="233">
        <f t="shared" si="2"/>
        <v>11000</v>
      </c>
      <c r="J23" s="233">
        <f t="shared" si="2"/>
        <v>12000</v>
      </c>
      <c r="K23" s="233">
        <f t="shared" si="2"/>
        <v>11000</v>
      </c>
      <c r="L23" s="233">
        <f t="shared" si="2"/>
        <v>13000</v>
      </c>
      <c r="M23" s="233">
        <f t="shared" si="2"/>
        <v>14000</v>
      </c>
      <c r="N23" s="233">
        <f t="shared" si="2"/>
        <v>14738.172394531553</v>
      </c>
      <c r="Q23" s="122"/>
      <c r="R23" s="63"/>
    </row>
    <row r="24" spans="2:18" s="22" customFormat="1">
      <c r="B24" s="231"/>
      <c r="E24" s="233"/>
      <c r="F24" s="233"/>
      <c r="G24" s="233"/>
      <c r="H24" s="233"/>
      <c r="I24" s="233"/>
      <c r="J24" s="233"/>
      <c r="K24" s="233"/>
      <c r="L24" s="233"/>
      <c r="M24" s="233"/>
      <c r="N24" s="233"/>
      <c r="Q24" s="122"/>
      <c r="R24" s="63"/>
    </row>
    <row r="25" spans="2:18" s="22" customFormat="1" ht="58">
      <c r="B25" s="236" t="s">
        <v>11094</v>
      </c>
      <c r="C25" s="236" t="s">
        <v>11097</v>
      </c>
      <c r="D25" s="236"/>
      <c r="E25" s="237">
        <f>(F25*0.8)</f>
        <v>2042.5531914893572</v>
      </c>
      <c r="F25" s="237">
        <f>(G25*1.06382978723404)</f>
        <v>2553.1914893616963</v>
      </c>
      <c r="G25" s="237">
        <v>2400</v>
      </c>
      <c r="H25" s="237">
        <v>1600</v>
      </c>
      <c r="I25" s="237">
        <v>2500</v>
      </c>
      <c r="J25" s="237">
        <v>3000</v>
      </c>
      <c r="K25" s="237">
        <v>3400</v>
      </c>
      <c r="L25" s="237">
        <v>4200</v>
      </c>
      <c r="M25" s="237">
        <v>6900</v>
      </c>
      <c r="N25" s="237">
        <v>7600</v>
      </c>
      <c r="P25" s="23" t="s">
        <v>11099</v>
      </c>
      <c r="Q25" s="122" t="s">
        <v>11095</v>
      </c>
      <c r="R25" s="63"/>
    </row>
    <row r="26" spans="2:18" s="22" customFormat="1">
      <c r="B26" s="234" t="s">
        <v>11098</v>
      </c>
      <c r="C26" s="234" t="s">
        <v>11097</v>
      </c>
      <c r="D26" s="234"/>
      <c r="O26" s="124"/>
      <c r="P26" s="124"/>
      <c r="Q26" s="124"/>
      <c r="R26" s="63"/>
    </row>
    <row r="27" spans="2:18" s="22" customFormat="1">
      <c r="B27" s="230" t="s">
        <v>11140</v>
      </c>
      <c r="C27" s="234"/>
      <c r="D27" s="234"/>
      <c r="E27" s="235">
        <f t="shared" ref="E27:N29" si="3">SUM(E$25,E21)</f>
        <v>5642.5531914893572</v>
      </c>
      <c r="F27" s="235">
        <f t="shared" si="3"/>
        <v>6753.1914893616959</v>
      </c>
      <c r="G27" s="235">
        <f t="shared" si="3"/>
        <v>6600</v>
      </c>
      <c r="H27" s="235">
        <f t="shared" si="3"/>
        <v>6400</v>
      </c>
      <c r="I27" s="235">
        <f t="shared" si="3"/>
        <v>9100</v>
      </c>
      <c r="J27" s="235">
        <f t="shared" si="3"/>
        <v>10200</v>
      </c>
      <c r="K27" s="235">
        <f t="shared" si="3"/>
        <v>10000</v>
      </c>
      <c r="L27" s="235">
        <f t="shared" si="3"/>
        <v>12000</v>
      </c>
      <c r="M27" s="235">
        <f t="shared" si="3"/>
        <v>15300</v>
      </c>
      <c r="N27" s="235">
        <f t="shared" si="3"/>
        <v>16442.903436718931</v>
      </c>
      <c r="O27" s="234"/>
      <c r="P27" s="234"/>
      <c r="Q27" s="234"/>
      <c r="R27" s="63"/>
    </row>
    <row r="28" spans="2:18" s="22" customFormat="1">
      <c r="B28" s="231" t="s">
        <v>11173</v>
      </c>
      <c r="C28" s="234"/>
      <c r="D28" s="234"/>
      <c r="E28" s="235">
        <f>SUM(E$25,E22)</f>
        <v>6842.5531914893572</v>
      </c>
      <c r="F28" s="235">
        <f t="shared" ref="F28:N28" si="4">SUM(F$25,F22)</f>
        <v>8153.1914893616959</v>
      </c>
      <c r="G28" s="235">
        <f t="shared" si="4"/>
        <v>8000</v>
      </c>
      <c r="H28" s="235">
        <f t="shared" si="4"/>
        <v>8000</v>
      </c>
      <c r="I28" s="235">
        <f t="shared" si="4"/>
        <v>11300</v>
      </c>
      <c r="J28" s="235">
        <f t="shared" si="4"/>
        <v>12600</v>
      </c>
      <c r="K28" s="235">
        <f t="shared" si="4"/>
        <v>12200</v>
      </c>
      <c r="L28" s="235">
        <f t="shared" si="4"/>
        <v>14600</v>
      </c>
      <c r="M28" s="235">
        <f t="shared" si="4"/>
        <v>18100</v>
      </c>
      <c r="N28" s="235">
        <f t="shared" si="4"/>
        <v>19390.537915625242</v>
      </c>
      <c r="O28" s="234"/>
      <c r="P28" s="234"/>
      <c r="Q28" s="234"/>
      <c r="R28" s="63"/>
    </row>
    <row r="29" spans="2:18" s="22" customFormat="1">
      <c r="B29" s="231" t="s">
        <v>11144</v>
      </c>
      <c r="C29" s="234"/>
      <c r="D29" s="234"/>
      <c r="E29" s="235">
        <f t="shared" si="3"/>
        <v>8042.5531914893572</v>
      </c>
      <c r="F29" s="235">
        <f t="shared" si="3"/>
        <v>9553.1914893616959</v>
      </c>
      <c r="G29" s="235">
        <f t="shared" si="3"/>
        <v>9400</v>
      </c>
      <c r="H29" s="235">
        <f t="shared" si="3"/>
        <v>9600</v>
      </c>
      <c r="I29" s="235">
        <f t="shared" si="3"/>
        <v>13500</v>
      </c>
      <c r="J29" s="235">
        <f t="shared" si="3"/>
        <v>15000</v>
      </c>
      <c r="K29" s="235">
        <f t="shared" si="3"/>
        <v>14400</v>
      </c>
      <c r="L29" s="235">
        <f t="shared" si="3"/>
        <v>17200</v>
      </c>
      <c r="M29" s="235">
        <f t="shared" si="3"/>
        <v>20900</v>
      </c>
      <c r="N29" s="235">
        <f t="shared" si="3"/>
        <v>22338.172394531553</v>
      </c>
      <c r="O29" s="234"/>
      <c r="P29" s="234"/>
      <c r="Q29" s="234"/>
      <c r="R29" s="63"/>
    </row>
    <row r="30" spans="2:18" s="22" customFormat="1">
      <c r="R30" s="63"/>
    </row>
    <row r="31" spans="2:18" s="22" customFormat="1">
      <c r="B31" s="22" t="s">
        <v>11096</v>
      </c>
      <c r="C31" s="22" t="s">
        <v>11040</v>
      </c>
      <c r="R31" s="63"/>
    </row>
    <row r="32" spans="2:18" s="22" customFormat="1">
      <c r="B32" s="230" t="s">
        <v>11140</v>
      </c>
      <c r="E32" s="145">
        <v>0.1</v>
      </c>
      <c r="F32" s="145">
        <v>0.1</v>
      </c>
      <c r="G32" s="145">
        <v>0.1</v>
      </c>
      <c r="H32" s="145">
        <v>0.1</v>
      </c>
      <c r="I32" s="145">
        <v>0.1</v>
      </c>
      <c r="J32" s="145">
        <v>0.1</v>
      </c>
      <c r="K32" s="145">
        <v>0.1</v>
      </c>
      <c r="L32" s="145">
        <v>0.1</v>
      </c>
      <c r="M32" s="145">
        <v>0.1</v>
      </c>
      <c r="N32" s="145">
        <v>0.1</v>
      </c>
      <c r="Q32" s="122"/>
      <c r="R32" s="63"/>
    </row>
    <row r="33" spans="1:18" s="22" customFormat="1">
      <c r="B33" s="231" t="s">
        <v>11173</v>
      </c>
      <c r="E33" s="145">
        <v>0.1</v>
      </c>
      <c r="F33" s="145">
        <v>0.1</v>
      </c>
      <c r="G33" s="145">
        <v>0.1</v>
      </c>
      <c r="H33" s="145">
        <v>0.1</v>
      </c>
      <c r="I33" s="145">
        <v>0.1</v>
      </c>
      <c r="J33" s="145">
        <v>0.1</v>
      </c>
      <c r="K33" s="145">
        <v>0.1</v>
      </c>
      <c r="L33" s="145">
        <v>0.1</v>
      </c>
      <c r="M33" s="145">
        <v>0.1</v>
      </c>
      <c r="N33" s="145">
        <v>0.1</v>
      </c>
      <c r="P33" s="22" t="s">
        <v>11587</v>
      </c>
      <c r="Q33" s="122" t="s">
        <v>11095</v>
      </c>
      <c r="R33" s="63"/>
    </row>
    <row r="34" spans="1:18" s="22" customFormat="1">
      <c r="B34" s="231" t="s">
        <v>11144</v>
      </c>
      <c r="E34" s="145">
        <v>0.1</v>
      </c>
      <c r="F34" s="145">
        <v>0.1</v>
      </c>
      <c r="G34" s="145">
        <v>0.1</v>
      </c>
      <c r="H34" s="145">
        <v>0.1</v>
      </c>
      <c r="I34" s="145">
        <v>0.1</v>
      </c>
      <c r="J34" s="145">
        <v>0.1</v>
      </c>
      <c r="K34" s="145">
        <v>0.1</v>
      </c>
      <c r="L34" s="145">
        <v>0.1</v>
      </c>
      <c r="M34" s="145">
        <v>0.1</v>
      </c>
      <c r="N34" s="145">
        <v>0.1</v>
      </c>
      <c r="Q34" s="122"/>
      <c r="R34" s="63"/>
    </row>
    <row r="35" spans="1:18" s="22" customFormat="1">
      <c r="B35" s="63"/>
      <c r="C35" s="63"/>
      <c r="D35" s="63"/>
      <c r="E35" s="63"/>
      <c r="F35" s="63"/>
      <c r="G35" s="63"/>
      <c r="H35" s="63"/>
      <c r="I35" s="63"/>
      <c r="J35" s="63"/>
      <c r="K35" s="63"/>
      <c r="L35" s="63"/>
      <c r="M35" s="63"/>
      <c r="N35" s="63"/>
      <c r="P35" s="63"/>
      <c r="Q35" s="63"/>
    </row>
    <row r="36" spans="1:18" s="22" customFormat="1" ht="29">
      <c r="B36" s="23" t="s">
        <v>11047</v>
      </c>
      <c r="C36" s="22" t="s">
        <v>11038</v>
      </c>
    </row>
    <row r="37" spans="1:18" s="22" customFormat="1">
      <c r="B37" s="230" t="s">
        <v>11140</v>
      </c>
      <c r="D37" s="123"/>
      <c r="E37" s="123">
        <f>E32*E27</f>
        <v>564.25531914893577</v>
      </c>
      <c r="F37" s="123">
        <f t="shared" ref="F37:N37" si="5">F32*F27</f>
        <v>675.31914893616965</v>
      </c>
      <c r="G37" s="123">
        <f t="shared" si="5"/>
        <v>660</v>
      </c>
      <c r="H37" s="123">
        <f t="shared" si="5"/>
        <v>640</v>
      </c>
      <c r="I37" s="123">
        <f t="shared" si="5"/>
        <v>910</v>
      </c>
      <c r="J37" s="123">
        <f t="shared" si="5"/>
        <v>1020</v>
      </c>
      <c r="K37" s="123">
        <f t="shared" si="5"/>
        <v>1000</v>
      </c>
      <c r="L37" s="123">
        <f t="shared" si="5"/>
        <v>1200</v>
      </c>
      <c r="M37" s="123">
        <f t="shared" si="5"/>
        <v>1530</v>
      </c>
      <c r="N37" s="123">
        <f t="shared" si="5"/>
        <v>1644.2903436718932</v>
      </c>
    </row>
    <row r="38" spans="1:18" s="22" customFormat="1">
      <c r="B38" s="231" t="s">
        <v>11173</v>
      </c>
      <c r="D38" s="123">
        <f>_xlfn.AGGREGATE(9,6,E38:N38)</f>
        <v>11918.62825964763</v>
      </c>
      <c r="E38" s="123">
        <f>E33*E28</f>
        <v>684.25531914893577</v>
      </c>
      <c r="F38" s="123">
        <f t="shared" ref="F38:N38" si="6">F33*F28</f>
        <v>815.31914893616965</v>
      </c>
      <c r="G38" s="123">
        <f t="shared" si="6"/>
        <v>800</v>
      </c>
      <c r="H38" s="123">
        <f t="shared" si="6"/>
        <v>800</v>
      </c>
      <c r="I38" s="123">
        <f t="shared" si="6"/>
        <v>1130</v>
      </c>
      <c r="J38" s="123">
        <f t="shared" si="6"/>
        <v>1260</v>
      </c>
      <c r="K38" s="123">
        <f t="shared" si="6"/>
        <v>1220</v>
      </c>
      <c r="L38" s="123">
        <f t="shared" si="6"/>
        <v>1460</v>
      </c>
      <c r="M38" s="123">
        <f t="shared" si="6"/>
        <v>1810</v>
      </c>
      <c r="N38" s="123">
        <f t="shared" si="6"/>
        <v>1939.0537915625243</v>
      </c>
    </row>
    <row r="39" spans="1:18" s="22" customFormat="1">
      <c r="B39" s="231" t="s">
        <v>11144</v>
      </c>
      <c r="D39" s="123"/>
      <c r="E39" s="123">
        <f>E34*E29</f>
        <v>804.25531914893577</v>
      </c>
      <c r="F39" s="123">
        <f t="shared" ref="F39:N39" si="7">F34*F29</f>
        <v>955.31914893616965</v>
      </c>
      <c r="G39" s="123">
        <f t="shared" si="7"/>
        <v>940</v>
      </c>
      <c r="H39" s="123">
        <f t="shared" si="7"/>
        <v>960</v>
      </c>
      <c r="I39" s="123">
        <f t="shared" si="7"/>
        <v>1350</v>
      </c>
      <c r="J39" s="123">
        <f t="shared" si="7"/>
        <v>1500</v>
      </c>
      <c r="K39" s="123">
        <f t="shared" si="7"/>
        <v>1440</v>
      </c>
      <c r="L39" s="123">
        <f t="shared" si="7"/>
        <v>1720</v>
      </c>
      <c r="M39" s="123">
        <f t="shared" si="7"/>
        <v>2090</v>
      </c>
      <c r="N39" s="123">
        <f t="shared" si="7"/>
        <v>2233.8172394531553</v>
      </c>
    </row>
    <row r="40" spans="1:18" s="22" customFormat="1">
      <c r="B40" s="23"/>
      <c r="D40" s="123"/>
      <c r="E40" s="123"/>
      <c r="F40" s="123"/>
      <c r="G40" s="123"/>
      <c r="H40" s="123"/>
      <c r="I40" s="123"/>
      <c r="J40" s="123"/>
      <c r="K40" s="123"/>
      <c r="L40" s="123"/>
      <c r="M40" s="123"/>
      <c r="N40" s="123"/>
    </row>
    <row r="41" spans="1:18" s="22" customFormat="1">
      <c r="B41" s="23"/>
    </row>
    <row r="42" spans="1:18" s="22" customFormat="1">
      <c r="B42" s="23"/>
    </row>
    <row r="43" spans="1:18">
      <c r="A43" s="22"/>
      <c r="B43" s="98" t="s">
        <v>11057</v>
      </c>
      <c r="C43" s="98"/>
      <c r="D43" s="98"/>
      <c r="E43" s="98"/>
      <c r="F43" s="98"/>
      <c r="G43" s="98"/>
      <c r="H43" s="98"/>
      <c r="I43" s="98"/>
      <c r="J43" s="98"/>
      <c r="K43" s="98"/>
      <c r="L43" s="98"/>
      <c r="M43" s="98"/>
      <c r="N43" s="98"/>
      <c r="O43" s="98"/>
      <c r="P43" s="98"/>
      <c r="Q43" s="98"/>
    </row>
    <row r="44" spans="1:18">
      <c r="D44" s="63" t="s">
        <v>11042</v>
      </c>
      <c r="E44" s="63">
        <v>2010</v>
      </c>
      <c r="F44" s="63">
        <v>2011</v>
      </c>
      <c r="G44" s="63">
        <v>2012</v>
      </c>
      <c r="H44" s="63">
        <v>2013</v>
      </c>
      <c r="I44" s="63">
        <v>2014</v>
      </c>
      <c r="J44" s="63">
        <v>2015</v>
      </c>
      <c r="K44" s="63">
        <v>2016</v>
      </c>
      <c r="L44" s="63">
        <v>2017</v>
      </c>
      <c r="M44" s="63">
        <v>2018</v>
      </c>
      <c r="N44" s="63">
        <v>2019</v>
      </c>
      <c r="O44" s="22"/>
      <c r="P44" s="63" t="s">
        <v>11039</v>
      </c>
      <c r="Q44" s="63" t="s">
        <v>11041</v>
      </c>
    </row>
    <row r="45" spans="1:18" s="22" customFormat="1">
      <c r="B45" s="64"/>
      <c r="C45" s="100"/>
      <c r="D45" s="100"/>
      <c r="E45" s="100"/>
      <c r="F45" s="100"/>
      <c r="G45" s="100"/>
      <c r="H45" s="100"/>
      <c r="I45" s="100"/>
      <c r="J45" s="100"/>
      <c r="K45" s="100"/>
      <c r="L45" s="100"/>
      <c r="M45" s="63"/>
      <c r="N45" s="63"/>
      <c r="P45" s="63"/>
      <c r="Q45" s="63"/>
    </row>
    <row r="46" spans="1:18" ht="29">
      <c r="B46" s="146" t="s">
        <v>11053</v>
      </c>
      <c r="C46" s="147" t="s">
        <v>11038</v>
      </c>
      <c r="D46" s="148">
        <f>_xlfn.AGGREGATE(9,6,E46:N46)</f>
        <v>13322.505718580147</v>
      </c>
      <c r="E46" s="149">
        <f>IF(Dashboard!$B$16="Current USD",E37,E37/('GDP deflators'!C$40/100))</f>
        <v>1062.1143934849285</v>
      </c>
      <c r="F46" s="149">
        <f>IF(Dashboard!$B$16="Current USD",F37,F37/('GDP deflators'!D$40/100))</f>
        <v>1165.0851658894628</v>
      </c>
      <c r="G46" s="149">
        <f>IF(Dashboard!$B$16="Current USD",G37,G37/('GDP deflators'!E$40/100))</f>
        <v>1080.5398716825562</v>
      </c>
      <c r="H46" s="149">
        <f>IF(Dashboard!$B$16="Current USD",H37,H37/('GDP deflators'!F$40/100))</f>
        <v>998.16876276638311</v>
      </c>
      <c r="I46" s="149">
        <f>IF(Dashboard!$B$16="Current USD",I37,I37/('GDP deflators'!G$40/100))</f>
        <v>1351.3990768355745</v>
      </c>
      <c r="J46" s="149">
        <f>IF(Dashboard!$B$16="Current USD",J37,J37/('GDP deflators'!H$40/100))</f>
        <v>1460.0301951394742</v>
      </c>
      <c r="K46" s="149">
        <f>IF(Dashboard!$B$16="Current USD",K37,K37/('GDP deflators'!I$40/100))</f>
        <v>1339.3257754127419</v>
      </c>
      <c r="L46" s="149">
        <f>IF(Dashboard!$B$16="Current USD",L37,L37/('GDP deflators'!J$40/100))</f>
        <v>1493.420013743041</v>
      </c>
      <c r="M46" s="149">
        <f>IF(Dashboard!$B$16="Current USD",M37,M37/('GDP deflators'!K$40/100))</f>
        <v>1728.1321199540903</v>
      </c>
      <c r="N46" s="149">
        <f>IF(Dashboard!$B$16="Current USD",N37,N37/('GDP deflators'!L$40/100))</f>
        <v>1644.2903436718932</v>
      </c>
      <c r="P46" s="23" t="s">
        <v>11125</v>
      </c>
    </row>
    <row r="47" spans="1:18" ht="29">
      <c r="B47" s="146" t="s">
        <v>11054</v>
      </c>
      <c r="C47" s="147" t="s">
        <v>11038</v>
      </c>
      <c r="D47" s="148">
        <f>_xlfn.AGGREGATE(9,6,E47:N47)</f>
        <v>16168.163270824243</v>
      </c>
      <c r="E47" s="149">
        <f>IF(Dashboard!$B$16="Current USD",E38,E38/('GDP deflators'!C$40/100))</f>
        <v>1287.9939251310448</v>
      </c>
      <c r="F47" s="149">
        <f>IF(Dashboard!$B$16="Current USD",F38,F38/('GDP deflators'!D$40/100))</f>
        <v>1406.61825951116</v>
      </c>
      <c r="G47" s="149">
        <f>IF(Dashboard!$B$16="Current USD",G38,G38/('GDP deflators'!E$40/100))</f>
        <v>1309.745299009159</v>
      </c>
      <c r="H47" s="149">
        <f>IF(Dashboard!$B$16="Current USD",H38,H38/('GDP deflators'!F$40/100))</f>
        <v>1247.7109534579788</v>
      </c>
      <c r="I47" s="149">
        <f>IF(Dashboard!$B$16="Current USD",I38,I38/('GDP deflators'!G$40/100))</f>
        <v>1678.1109415650542</v>
      </c>
      <c r="J47" s="149">
        <f>IF(Dashboard!$B$16="Current USD",J38,J38/('GDP deflators'!H$40/100))</f>
        <v>1803.5667116428799</v>
      </c>
      <c r="K47" s="149">
        <f>IF(Dashboard!$B$16="Current USD",K38,K38/('GDP deflators'!I$40/100))</f>
        <v>1633.9774460035451</v>
      </c>
      <c r="L47" s="149">
        <f>IF(Dashboard!$B$16="Current USD",L38,L38/('GDP deflators'!J$40/100))</f>
        <v>1816.9943500540332</v>
      </c>
      <c r="M47" s="149">
        <f>IF(Dashboard!$B$16="Current USD",M38,M38/('GDP deflators'!K$40/100))</f>
        <v>2044.3915928868648</v>
      </c>
      <c r="N47" s="149">
        <f>IF(Dashboard!$B$16="Current USD",N38,N38/('GDP deflators'!L$40/100))</f>
        <v>1939.0537915625243</v>
      </c>
    </row>
    <row r="48" spans="1:18" ht="29">
      <c r="B48" s="146" t="s">
        <v>11055</v>
      </c>
      <c r="C48" s="147" t="s">
        <v>11038</v>
      </c>
      <c r="D48" s="148">
        <f>_xlfn.AGGREGATE(9,6,E48:N48)</f>
        <v>19013.820823068341</v>
      </c>
      <c r="E48" s="149">
        <f>IF(Dashboard!$B$16="Current USD",E39,E39/('GDP deflators'!C$40/100))</f>
        <v>1513.873456777161</v>
      </c>
      <c r="F48" s="149">
        <f>IF(Dashboard!$B$16="Current USD",F39,F39/('GDP deflators'!D$40/100))</f>
        <v>1648.1513531328574</v>
      </c>
      <c r="G48" s="149">
        <f>IF(Dashboard!$B$16="Current USD",G39,G39/('GDP deflators'!E$40/100))</f>
        <v>1538.9507263357618</v>
      </c>
      <c r="H48" s="149">
        <f>IF(Dashboard!$B$16="Current USD",H39,H39/('GDP deflators'!F$40/100))</f>
        <v>1497.2531441495746</v>
      </c>
      <c r="I48" s="149">
        <f>IF(Dashboard!$B$16="Current USD",I39,I39/('GDP deflators'!G$40/100))</f>
        <v>2004.8228062945336</v>
      </c>
      <c r="J48" s="149">
        <f>IF(Dashboard!$B$16="Current USD",J39,J39/('GDP deflators'!H$40/100))</f>
        <v>2147.1032281462853</v>
      </c>
      <c r="K48" s="149">
        <f>IF(Dashboard!$B$16="Current USD",K39,K39/('GDP deflators'!I$40/100))</f>
        <v>1928.6291165943485</v>
      </c>
      <c r="L48" s="149">
        <f>IF(Dashboard!$B$16="Current USD",L39,L39/('GDP deflators'!J$40/100))</f>
        <v>2140.5686863650253</v>
      </c>
      <c r="M48" s="149">
        <f>IF(Dashboard!$B$16="Current USD",M39,M39/('GDP deflators'!K$40/100))</f>
        <v>2360.6510658196394</v>
      </c>
      <c r="N48" s="149">
        <f>IF(Dashboard!$B$16="Current USD",N39,N39/('GDP deflators'!L$40/100))</f>
        <v>2233.8172394531553</v>
      </c>
    </row>
    <row r="50" spans="2:18" s="22" customFormat="1">
      <c r="B50" s="227" t="s">
        <v>11056</v>
      </c>
      <c r="C50" s="227"/>
      <c r="D50" s="227"/>
      <c r="E50" s="227"/>
      <c r="F50" s="227"/>
      <c r="G50" s="227"/>
      <c r="H50" s="227"/>
      <c r="I50" s="227"/>
      <c r="J50" s="227"/>
      <c r="K50" s="227"/>
      <c r="L50" s="227"/>
      <c r="M50" s="227"/>
      <c r="N50" s="227"/>
      <c r="O50" s="227"/>
      <c r="P50" s="227"/>
      <c r="Q50" s="227"/>
      <c r="R50" s="221"/>
    </row>
    <row r="51" spans="2:18" s="22" customFormat="1">
      <c r="B51" s="221"/>
      <c r="C51" s="221"/>
      <c r="D51" s="222" t="s">
        <v>11042</v>
      </c>
      <c r="E51" s="222">
        <v>2010</v>
      </c>
      <c r="F51" s="222">
        <v>2011</v>
      </c>
      <c r="G51" s="222">
        <v>2012</v>
      </c>
      <c r="H51" s="222">
        <v>2013</v>
      </c>
      <c r="I51" s="222">
        <v>2014</v>
      </c>
      <c r="J51" s="222">
        <v>2015</v>
      </c>
      <c r="K51" s="222">
        <v>2016</v>
      </c>
      <c r="L51" s="222">
        <v>2017</v>
      </c>
      <c r="M51" s="222">
        <v>2018</v>
      </c>
      <c r="N51" s="222">
        <v>2019</v>
      </c>
      <c r="O51" s="221"/>
      <c r="P51" s="222" t="s">
        <v>11039</v>
      </c>
      <c r="Q51" s="222" t="s">
        <v>11041</v>
      </c>
      <c r="R51" s="221"/>
    </row>
    <row r="52" spans="2:18" s="22" customFormat="1">
      <c r="B52" s="223" t="s">
        <v>11058</v>
      </c>
      <c r="C52" s="221" t="s">
        <v>11040</v>
      </c>
      <c r="D52" s="224">
        <f>'Top-Down Assumptions'!C13</f>
        <v>0.4</v>
      </c>
      <c r="E52" s="224">
        <f>'Top-Down Assumptions'!D13</f>
        <v>0.4</v>
      </c>
      <c r="F52" s="224">
        <f>'Top-Down Assumptions'!E13</f>
        <v>0.4</v>
      </c>
      <c r="G52" s="224">
        <f>'Top-Down Assumptions'!F13</f>
        <v>0.4</v>
      </c>
      <c r="H52" s="224">
        <f>'Top-Down Assumptions'!G13</f>
        <v>0.4</v>
      </c>
      <c r="I52" s="224">
        <f>'Top-Down Assumptions'!H13</f>
        <v>0.4</v>
      </c>
      <c r="J52" s="224">
        <f>'Top-Down Assumptions'!I13</f>
        <v>0.4</v>
      </c>
      <c r="K52" s="224">
        <f>'Top-Down Assumptions'!J13</f>
        <v>0.4</v>
      </c>
      <c r="L52" s="224">
        <f>'Top-Down Assumptions'!K13</f>
        <v>0.4</v>
      </c>
      <c r="M52" s="224">
        <f>'Top-Down Assumptions'!L13</f>
        <v>0.4</v>
      </c>
      <c r="N52" s="224">
        <f>'Top-Down Assumptions'!M13</f>
        <v>0.4</v>
      </c>
      <c r="O52" s="221"/>
      <c r="P52" s="221" t="s">
        <v>11049</v>
      </c>
      <c r="Q52" s="221"/>
      <c r="R52" s="221"/>
    </row>
    <row r="53" spans="2:18" s="22" customFormat="1">
      <c r="B53" s="221"/>
      <c r="C53" s="221"/>
      <c r="D53" s="221"/>
      <c r="E53" s="221"/>
      <c r="F53" s="221"/>
      <c r="G53" s="221"/>
      <c r="H53" s="221"/>
      <c r="I53" s="221"/>
      <c r="J53" s="221"/>
      <c r="K53" s="221"/>
      <c r="L53" s="221"/>
      <c r="M53" s="221"/>
      <c r="N53" s="221"/>
      <c r="O53" s="221"/>
      <c r="P53" s="221"/>
      <c r="Q53" s="221"/>
      <c r="R53" s="221"/>
    </row>
    <row r="54" spans="2:18" ht="29">
      <c r="B54" s="223" t="s">
        <v>11053</v>
      </c>
      <c r="C54" s="221" t="s">
        <v>11038</v>
      </c>
      <c r="D54" s="225">
        <f>_xlfn.AGGREGATE(9,6,E54:N54)</f>
        <v>5329.0022874320593</v>
      </c>
      <c r="E54" s="226">
        <f>E46*$D$52</f>
        <v>424.84575739397144</v>
      </c>
      <c r="F54" s="226">
        <f t="shared" ref="F54:N54" si="8">F46*$D$52</f>
        <v>466.03406635578517</v>
      </c>
      <c r="G54" s="226">
        <f t="shared" si="8"/>
        <v>432.21594867302247</v>
      </c>
      <c r="H54" s="226">
        <f t="shared" si="8"/>
        <v>399.26750510655324</v>
      </c>
      <c r="I54" s="226">
        <f t="shared" si="8"/>
        <v>540.55963073422981</v>
      </c>
      <c r="J54" s="226">
        <f t="shared" si="8"/>
        <v>584.01207805578974</v>
      </c>
      <c r="K54" s="226">
        <f t="shared" si="8"/>
        <v>535.73031016509674</v>
      </c>
      <c r="L54" s="226">
        <f t="shared" si="8"/>
        <v>597.36800549721636</v>
      </c>
      <c r="M54" s="226">
        <f t="shared" si="8"/>
        <v>691.25284798163614</v>
      </c>
      <c r="N54" s="226">
        <f t="shared" si="8"/>
        <v>657.71613746875732</v>
      </c>
      <c r="O54" s="221"/>
      <c r="P54" s="221"/>
      <c r="Q54" s="221"/>
      <c r="R54" s="221"/>
    </row>
    <row r="55" spans="2:18" ht="29">
      <c r="B55" s="223" t="s">
        <v>11054</v>
      </c>
      <c r="C55" s="221" t="s">
        <v>11038</v>
      </c>
      <c r="D55" s="225">
        <f>_xlfn.AGGREGATE(9,6,E55:N55)</f>
        <v>6467.2653083296973</v>
      </c>
      <c r="E55" s="226">
        <f t="shared" ref="E55:N55" si="9">E47*$D$52</f>
        <v>515.19757005241797</v>
      </c>
      <c r="F55" s="226">
        <f t="shared" si="9"/>
        <v>562.64730380446406</v>
      </c>
      <c r="G55" s="226">
        <f t="shared" si="9"/>
        <v>523.89811960366364</v>
      </c>
      <c r="H55" s="226">
        <f t="shared" si="9"/>
        <v>499.08438138319156</v>
      </c>
      <c r="I55" s="226">
        <f t="shared" si="9"/>
        <v>671.24437662602168</v>
      </c>
      <c r="J55" s="226">
        <f t="shared" si="9"/>
        <v>721.42668465715201</v>
      </c>
      <c r="K55" s="226">
        <f t="shared" si="9"/>
        <v>653.59097840141806</v>
      </c>
      <c r="L55" s="226">
        <f t="shared" si="9"/>
        <v>726.79774002161332</v>
      </c>
      <c r="M55" s="226">
        <f t="shared" si="9"/>
        <v>817.75663715474593</v>
      </c>
      <c r="N55" s="226">
        <f t="shared" si="9"/>
        <v>775.6215166250098</v>
      </c>
      <c r="O55" s="221"/>
      <c r="P55" s="221"/>
      <c r="Q55" s="221"/>
      <c r="R55" s="221"/>
    </row>
    <row r="56" spans="2:18" ht="29">
      <c r="B56" s="223" t="s">
        <v>11055</v>
      </c>
      <c r="C56" s="221" t="s">
        <v>11038</v>
      </c>
      <c r="D56" s="225">
        <f>_xlfn.AGGREGATE(9,6,E56:N56)</f>
        <v>7605.528329227338</v>
      </c>
      <c r="E56" s="226">
        <f t="shared" ref="E56:N56" si="10">E48*$D$52</f>
        <v>605.54938271086439</v>
      </c>
      <c r="F56" s="226">
        <f t="shared" si="10"/>
        <v>659.26054125314295</v>
      </c>
      <c r="G56" s="226">
        <f t="shared" si="10"/>
        <v>615.58029053430482</v>
      </c>
      <c r="H56" s="226">
        <f t="shared" si="10"/>
        <v>598.90125765982987</v>
      </c>
      <c r="I56" s="226">
        <f t="shared" si="10"/>
        <v>801.92912251781354</v>
      </c>
      <c r="J56" s="226">
        <f t="shared" si="10"/>
        <v>858.84129125851416</v>
      </c>
      <c r="K56" s="226">
        <f t="shared" si="10"/>
        <v>771.45164663773949</v>
      </c>
      <c r="L56" s="226">
        <f t="shared" si="10"/>
        <v>856.22747454601017</v>
      </c>
      <c r="M56" s="226">
        <f t="shared" si="10"/>
        <v>944.26042632785584</v>
      </c>
      <c r="N56" s="226">
        <f t="shared" si="10"/>
        <v>893.52689578126217</v>
      </c>
      <c r="O56" s="221"/>
      <c r="P56" s="221"/>
      <c r="Q56" s="221"/>
      <c r="R56" s="221"/>
    </row>
    <row r="57" spans="2:18">
      <c r="B57" s="221"/>
      <c r="C57" s="221"/>
      <c r="D57" s="221"/>
      <c r="E57" s="221"/>
      <c r="F57" s="221"/>
      <c r="G57" s="221"/>
      <c r="H57" s="221"/>
      <c r="I57" s="221"/>
      <c r="J57" s="221"/>
      <c r="K57" s="221"/>
      <c r="L57" s="221"/>
      <c r="M57" s="221"/>
      <c r="N57" s="221"/>
      <c r="O57" s="221"/>
      <c r="P57" s="221"/>
      <c r="Q57" s="221"/>
      <c r="R57" s="221"/>
    </row>
    <row r="58" spans="2:18">
      <c r="B58" s="221"/>
      <c r="C58" s="221"/>
      <c r="D58" s="221"/>
      <c r="E58" s="221"/>
      <c r="F58" s="221"/>
      <c r="G58" s="221"/>
      <c r="H58" s="221"/>
      <c r="I58" s="221"/>
      <c r="J58" s="221"/>
      <c r="K58" s="221"/>
      <c r="L58" s="221"/>
      <c r="M58" s="221"/>
      <c r="N58" s="221"/>
      <c r="O58" s="221"/>
      <c r="P58" s="221"/>
      <c r="Q58" s="221"/>
      <c r="R58" s="221"/>
    </row>
    <row r="59" spans="2:18">
      <c r="B59" s="221"/>
      <c r="C59" s="221"/>
      <c r="D59" s="221"/>
      <c r="E59" s="221"/>
      <c r="F59" s="221"/>
      <c r="G59" s="221"/>
      <c r="H59" s="221"/>
      <c r="I59" s="221"/>
      <c r="J59" s="221"/>
      <c r="K59" s="221"/>
      <c r="L59" s="221"/>
      <c r="M59" s="221"/>
      <c r="N59" s="221"/>
      <c r="O59" s="221"/>
      <c r="P59" s="221"/>
      <c r="Q59" s="221"/>
      <c r="R59" s="221"/>
    </row>
    <row r="60" spans="2:18">
      <c r="B60" s="221"/>
      <c r="C60" s="221"/>
      <c r="D60" s="221"/>
      <c r="E60" s="221"/>
      <c r="F60" s="221"/>
      <c r="G60" s="221"/>
      <c r="H60" s="221"/>
      <c r="I60" s="221"/>
      <c r="J60" s="221"/>
      <c r="K60" s="221"/>
      <c r="L60" s="221"/>
      <c r="M60" s="221"/>
      <c r="N60" s="221"/>
      <c r="O60" s="221"/>
      <c r="P60" s="221"/>
      <c r="Q60" s="221"/>
      <c r="R60" s="221"/>
    </row>
    <row r="61" spans="2:18">
      <c r="B61" s="221"/>
      <c r="C61" s="221"/>
      <c r="D61" s="221"/>
      <c r="E61" s="221"/>
      <c r="F61" s="221"/>
      <c r="G61" s="221"/>
      <c r="H61" s="221"/>
      <c r="I61" s="221"/>
      <c r="J61" s="221"/>
      <c r="K61" s="221"/>
      <c r="L61" s="221"/>
      <c r="M61" s="221"/>
      <c r="N61" s="221"/>
      <c r="O61" s="221"/>
      <c r="P61" s="221"/>
      <c r="Q61" s="221"/>
      <c r="R61" s="221"/>
    </row>
    <row r="62" spans="2:18">
      <c r="B62" s="221"/>
      <c r="C62" s="221"/>
      <c r="D62" s="221"/>
      <c r="E62" s="221"/>
      <c r="F62" s="221"/>
      <c r="G62" s="221"/>
      <c r="H62" s="221"/>
      <c r="I62" s="221"/>
      <c r="J62" s="221"/>
      <c r="K62" s="221"/>
      <c r="L62" s="221"/>
      <c r="M62" s="221"/>
      <c r="N62" s="221"/>
      <c r="O62" s="221"/>
      <c r="P62" s="221"/>
      <c r="Q62" s="221"/>
      <c r="R62" s="221"/>
    </row>
    <row r="63" spans="2:18">
      <c r="B63" s="221"/>
      <c r="C63" s="221"/>
      <c r="D63" s="221"/>
      <c r="E63" s="221"/>
      <c r="F63" s="221"/>
      <c r="G63" s="221"/>
      <c r="H63" s="221"/>
      <c r="I63" s="221"/>
      <c r="J63" s="221"/>
      <c r="K63" s="221"/>
      <c r="L63" s="221"/>
      <c r="M63" s="221"/>
      <c r="N63" s="221"/>
      <c r="O63" s="221"/>
      <c r="P63" s="221"/>
      <c r="Q63" s="221"/>
      <c r="R63" s="221"/>
    </row>
    <row r="64" spans="2:18">
      <c r="B64" s="221"/>
      <c r="C64" s="221"/>
      <c r="D64" s="221"/>
      <c r="E64" s="221"/>
      <c r="F64" s="221"/>
      <c r="G64" s="221"/>
      <c r="H64" s="221"/>
      <c r="I64" s="221"/>
      <c r="J64" s="221"/>
      <c r="K64" s="221"/>
      <c r="L64" s="221"/>
      <c r="M64" s="221"/>
      <c r="N64" s="221"/>
      <c r="O64" s="221"/>
      <c r="P64" s="221"/>
      <c r="Q64" s="221"/>
      <c r="R64" s="221"/>
    </row>
    <row r="65" spans="2:18">
      <c r="B65" s="221"/>
      <c r="C65" s="221"/>
      <c r="D65" s="221"/>
      <c r="E65" s="221"/>
      <c r="F65" s="221"/>
      <c r="G65" s="221"/>
      <c r="H65" s="221"/>
      <c r="I65" s="221"/>
      <c r="J65" s="221"/>
      <c r="K65" s="221"/>
      <c r="L65" s="221"/>
      <c r="M65" s="221"/>
      <c r="N65" s="221"/>
      <c r="O65" s="221"/>
      <c r="P65" s="221"/>
      <c r="Q65" s="221"/>
      <c r="R65" s="221"/>
    </row>
    <row r="66" spans="2:18">
      <c r="B66" s="221"/>
      <c r="C66" s="221"/>
      <c r="D66" s="221"/>
      <c r="E66" s="221"/>
      <c r="F66" s="221"/>
      <c r="G66" s="221"/>
      <c r="H66" s="221"/>
      <c r="I66" s="221"/>
      <c r="J66" s="221"/>
      <c r="K66" s="221"/>
      <c r="L66" s="221"/>
      <c r="M66" s="221"/>
      <c r="N66" s="221"/>
      <c r="O66" s="221"/>
      <c r="P66" s="221"/>
      <c r="Q66" s="221"/>
      <c r="R66" s="221"/>
    </row>
    <row r="67" spans="2:18">
      <c r="B67" s="221"/>
      <c r="C67" s="221"/>
      <c r="D67" s="221"/>
      <c r="E67" s="221"/>
      <c r="F67" s="221"/>
      <c r="G67" s="221"/>
      <c r="H67" s="221"/>
      <c r="I67" s="221"/>
      <c r="J67" s="221"/>
      <c r="K67" s="221"/>
      <c r="L67" s="221"/>
      <c r="M67" s="221"/>
      <c r="N67" s="221"/>
      <c r="O67" s="221"/>
      <c r="P67" s="221"/>
      <c r="Q67" s="221"/>
      <c r="R67" s="221"/>
    </row>
    <row r="68" spans="2:18">
      <c r="B68" s="221"/>
      <c r="C68" s="221"/>
      <c r="D68" s="221"/>
      <c r="E68" s="221"/>
      <c r="F68" s="221"/>
      <c r="G68" s="221"/>
      <c r="H68" s="221"/>
      <c r="I68" s="221"/>
      <c r="J68" s="221"/>
      <c r="K68" s="221"/>
      <c r="L68" s="221"/>
      <c r="M68" s="221"/>
      <c r="N68" s="221"/>
      <c r="O68" s="221"/>
      <c r="P68" s="221"/>
      <c r="Q68" s="221"/>
      <c r="R68" s="221"/>
    </row>
    <row r="69" spans="2:18">
      <c r="B69" s="221"/>
      <c r="C69" s="221"/>
      <c r="D69" s="221"/>
      <c r="E69" s="221"/>
      <c r="F69" s="221"/>
      <c r="G69" s="221"/>
      <c r="H69" s="221"/>
      <c r="I69" s="221"/>
      <c r="J69" s="221"/>
      <c r="K69" s="221"/>
      <c r="L69" s="221"/>
      <c r="M69" s="221"/>
      <c r="N69" s="221"/>
      <c r="O69" s="221"/>
      <c r="P69" s="221"/>
      <c r="Q69" s="221"/>
      <c r="R69" s="221"/>
    </row>
    <row r="70" spans="2:18">
      <c r="B70" s="221"/>
      <c r="C70" s="221"/>
      <c r="D70" s="221"/>
      <c r="E70" s="221"/>
      <c r="F70" s="221"/>
      <c r="G70" s="221"/>
      <c r="H70" s="221"/>
      <c r="I70" s="221"/>
      <c r="J70" s="221"/>
      <c r="K70" s="221"/>
      <c r="L70" s="221"/>
      <c r="M70" s="221"/>
      <c r="N70" s="221"/>
      <c r="O70" s="221"/>
      <c r="P70" s="221"/>
      <c r="Q70" s="221"/>
      <c r="R70" s="221"/>
    </row>
    <row r="71" spans="2:18">
      <c r="B71" s="221"/>
      <c r="C71" s="221"/>
      <c r="D71" s="221"/>
      <c r="E71" s="221"/>
      <c r="F71" s="221"/>
      <c r="G71" s="221"/>
      <c r="H71" s="221"/>
      <c r="I71" s="221"/>
      <c r="J71" s="221"/>
      <c r="K71" s="221"/>
      <c r="L71" s="221"/>
      <c r="M71" s="221"/>
      <c r="N71" s="221"/>
      <c r="O71" s="221"/>
      <c r="P71" s="221"/>
      <c r="Q71" s="221"/>
      <c r="R71" s="221"/>
    </row>
    <row r="72" spans="2:18">
      <c r="B72" s="221"/>
      <c r="C72" s="221"/>
      <c r="D72" s="221"/>
      <c r="E72" s="221"/>
      <c r="F72" s="221"/>
      <c r="G72" s="221"/>
      <c r="H72" s="221"/>
      <c r="I72" s="221"/>
      <c r="J72" s="221"/>
      <c r="K72" s="221"/>
      <c r="L72" s="221"/>
      <c r="M72" s="221"/>
      <c r="N72" s="221"/>
      <c r="O72" s="221"/>
      <c r="P72" s="221"/>
      <c r="Q72" s="221"/>
      <c r="R72" s="221"/>
    </row>
    <row r="73" spans="2:18">
      <c r="B73" s="221"/>
      <c r="C73" s="221"/>
      <c r="D73" s="221"/>
      <c r="E73" s="221"/>
      <c r="F73" s="221"/>
      <c r="G73" s="221"/>
      <c r="H73" s="221"/>
      <c r="I73" s="221"/>
      <c r="J73" s="221"/>
      <c r="K73" s="221"/>
      <c r="L73" s="221"/>
      <c r="M73" s="221"/>
      <c r="N73" s="221"/>
      <c r="O73" s="221"/>
      <c r="P73" s="221"/>
      <c r="Q73" s="221"/>
      <c r="R73" s="221"/>
    </row>
    <row r="74" spans="2:18">
      <c r="B74" s="221"/>
      <c r="C74" s="221"/>
      <c r="D74" s="221"/>
      <c r="E74" s="221"/>
      <c r="F74" s="221"/>
      <c r="G74" s="221"/>
      <c r="H74" s="221"/>
      <c r="I74" s="221"/>
      <c r="J74" s="221"/>
      <c r="K74" s="221"/>
      <c r="L74" s="221"/>
      <c r="M74" s="221"/>
      <c r="N74" s="221"/>
      <c r="O74" s="221"/>
      <c r="P74" s="221"/>
      <c r="Q74" s="221"/>
      <c r="R74" s="221"/>
    </row>
    <row r="75" spans="2:18">
      <c r="B75" s="221"/>
      <c r="C75" s="221"/>
      <c r="D75" s="221"/>
      <c r="E75" s="221"/>
      <c r="F75" s="221"/>
      <c r="G75" s="221"/>
      <c r="H75" s="221"/>
      <c r="I75" s="221"/>
      <c r="J75" s="221"/>
      <c r="K75" s="221"/>
      <c r="L75" s="221"/>
      <c r="M75" s="221"/>
      <c r="N75" s="221"/>
      <c r="O75" s="221"/>
      <c r="P75" s="221"/>
      <c r="Q75" s="221"/>
      <c r="R75" s="221"/>
    </row>
  </sheetData>
  <hyperlinks>
    <hyperlink ref="Q12" r:id="rId1" xr:uid="{9901AC74-D3D8-4D5C-93E8-D5076DCD38EC}"/>
    <hyperlink ref="Q22" r:id="rId2" xr:uid="{4E7E131C-A41C-4DF6-9086-59299F4BD128}"/>
    <hyperlink ref="Q16" r:id="rId3" xr:uid="{EEA0D1F4-B3DB-4B03-BF60-33564FCDD6EE}"/>
    <hyperlink ref="Q25" r:id="rId4" xr:uid="{CA5C6D75-DBFB-4536-9BC2-29BE5A3B6716}"/>
    <hyperlink ref="Q33" r:id="rId5" xr:uid="{D3430013-D1F6-4F81-82F2-FEFB299E5D9A}"/>
  </hyperlinks>
  <pageMargins left="0.7" right="0.7" top="0.75" bottom="0.75" header="0.3" footer="0.3"/>
  <pageSetup orientation="portrait" r:id="rId6"/>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D90A0-8EA1-4069-A01F-88E636F1D632}">
  <sheetPr filterMode="1">
    <tabColor theme="9" tint="-0.249977111117893"/>
  </sheetPr>
  <dimension ref="A2:BR580"/>
  <sheetViews>
    <sheetView showGridLines="0" zoomScale="71" zoomScaleNormal="71" workbookViewId="0">
      <selection activeCell="B32" sqref="B32"/>
    </sheetView>
  </sheetViews>
  <sheetFormatPr defaultColWidth="9.1796875" defaultRowHeight="14.5" outlineLevelRow="1"/>
  <cols>
    <col min="1" max="1" width="2.54296875" style="24" customWidth="1"/>
    <col min="2" max="2" width="45.453125" style="20" customWidth="1"/>
    <col min="3" max="3" width="42.81640625" style="20" customWidth="1"/>
    <col min="4" max="4" width="27.1796875" style="20" bestFit="1" customWidth="1"/>
    <col min="5" max="5" width="12.1796875" style="20" customWidth="1"/>
    <col min="6" max="6" width="89.81640625" style="20" customWidth="1"/>
    <col min="7" max="7" width="19.1796875" style="24" customWidth="1"/>
    <col min="8" max="8" width="4.81640625" style="20" bestFit="1" customWidth="1"/>
    <col min="9" max="9" width="20.453125" style="20" customWidth="1"/>
    <col min="10" max="10" width="24.81640625" style="20" customWidth="1"/>
    <col min="11" max="11" width="20.453125" style="20" hidden="1" customWidth="1"/>
    <col min="12" max="13" width="20.453125" style="101" customWidth="1"/>
    <col min="14" max="15" width="20.453125" style="20" customWidth="1"/>
    <col min="16" max="16" width="22.54296875" style="20" bestFit="1" customWidth="1"/>
    <col min="17" max="17" width="40.54296875" style="20" customWidth="1"/>
    <col min="18" max="20" width="20.453125" style="20" customWidth="1"/>
    <col min="21" max="21" width="23.54296875" style="20" customWidth="1"/>
    <col min="22" max="26" width="20.453125" style="20" customWidth="1"/>
    <col min="27" max="27" width="37" style="20" bestFit="1" customWidth="1"/>
    <col min="28" max="28" width="65.81640625" style="20" bestFit="1" customWidth="1"/>
    <col min="29" max="29" width="29.81640625" style="20" bestFit="1" customWidth="1"/>
    <col min="30" max="30" width="37.7265625" style="20" bestFit="1" customWidth="1"/>
    <col min="31" max="31" width="23.1796875" style="20" bestFit="1" customWidth="1"/>
    <col min="32" max="32" width="29.81640625" style="20" bestFit="1" customWidth="1"/>
    <col min="33" max="33" width="101.7265625" style="20" bestFit="1" customWidth="1"/>
    <col min="34" max="34" width="19" style="24" customWidth="1"/>
    <col min="35" max="35" width="17.26953125" style="24" customWidth="1"/>
    <col min="36" max="36" width="16.81640625" style="24" customWidth="1"/>
    <col min="37" max="37" width="9.1796875" style="24" customWidth="1"/>
    <col min="38" max="38" width="20.81640625" style="24" customWidth="1"/>
    <col min="39" max="39" width="32.26953125" style="24" customWidth="1"/>
    <col min="40" max="40" width="34.54296875" style="24" customWidth="1"/>
    <col min="41" max="41" width="30.1796875" style="24" customWidth="1"/>
    <col min="42" max="42" width="20.7265625" style="24" customWidth="1"/>
    <col min="43" max="43" width="26.81640625" style="24" customWidth="1"/>
    <col min="44" max="44" width="23.7265625" style="24" customWidth="1"/>
    <col min="45" max="45" width="19.81640625" style="24" customWidth="1"/>
    <col min="46" max="46" width="29" style="24" customWidth="1"/>
    <col min="47" max="52" width="9.1796875" style="24"/>
    <col min="53" max="53" width="11.7265625" style="24" bestFit="1" customWidth="1"/>
    <col min="54" max="68" width="9.1796875" style="24"/>
    <col min="69" max="69" width="18.453125" style="24" customWidth="1"/>
    <col min="70" max="16384" width="9.1796875" style="24"/>
  </cols>
  <sheetData>
    <row r="2" spans="2:70" s="69" customFormat="1">
      <c r="B2" s="90" t="s">
        <v>11025</v>
      </c>
      <c r="D2" s="91"/>
      <c r="L2" s="136"/>
      <c r="M2" s="136"/>
    </row>
    <row r="3" spans="2:70" s="69" customFormat="1" hidden="1" outlineLevel="1">
      <c r="B3" s="90" t="s">
        <v>11026</v>
      </c>
      <c r="D3" s="91"/>
      <c r="L3" s="136"/>
      <c r="M3" s="136"/>
    </row>
    <row r="4" spans="2:70" s="69" customFormat="1" hidden="1" outlineLevel="1">
      <c r="B4" s="92" t="s">
        <v>11065</v>
      </c>
      <c r="L4" s="136"/>
      <c r="M4" s="136"/>
    </row>
    <row r="5" spans="2:70" s="69" customFormat="1" hidden="1" outlineLevel="1">
      <c r="B5" s="92" t="s">
        <v>11066</v>
      </c>
      <c r="D5" s="91"/>
      <c r="L5" s="136"/>
      <c r="M5" s="136"/>
    </row>
    <row r="6" spans="2:70" s="69" customFormat="1" hidden="1" outlineLevel="1">
      <c r="B6" s="90" t="s">
        <v>11027</v>
      </c>
      <c r="C6" s="93"/>
      <c r="D6" s="93"/>
      <c r="E6" s="93"/>
      <c r="F6" s="93"/>
      <c r="G6" s="93"/>
      <c r="H6" s="93"/>
      <c r="I6" s="93"/>
      <c r="J6" s="93"/>
      <c r="K6" s="93"/>
      <c r="L6" s="137"/>
      <c r="M6" s="137"/>
      <c r="N6" s="93"/>
    </row>
    <row r="7" spans="2:70" s="69" customFormat="1" hidden="1" outlineLevel="1">
      <c r="B7" s="253" t="s">
        <v>11068</v>
      </c>
      <c r="C7" s="253"/>
      <c r="D7" s="253"/>
      <c r="E7" s="253"/>
      <c r="F7" s="253"/>
      <c r="G7" s="93"/>
      <c r="H7" s="93"/>
      <c r="I7" s="93"/>
      <c r="J7" s="93"/>
      <c r="K7" s="93"/>
      <c r="L7" s="137"/>
      <c r="M7" s="137"/>
      <c r="N7" s="93"/>
    </row>
    <row r="8" spans="2:70" s="69" customFormat="1" ht="38.25" hidden="1" customHeight="1" outlineLevel="1">
      <c r="B8" s="253" t="s">
        <v>11067</v>
      </c>
      <c r="C8" s="253"/>
      <c r="D8" s="253"/>
      <c r="E8" s="253"/>
      <c r="F8" s="253"/>
      <c r="G8" s="93"/>
      <c r="H8" s="93"/>
      <c r="I8" s="93"/>
      <c r="J8" s="93"/>
      <c r="K8" s="93"/>
      <c r="L8" s="137"/>
      <c r="M8" s="137"/>
      <c r="N8" s="93"/>
    </row>
    <row r="9" spans="2:70" s="69" customFormat="1" collapsed="1">
      <c r="B9" s="94" t="s">
        <v>11028</v>
      </c>
      <c r="D9" s="91"/>
      <c r="L9" s="136"/>
      <c r="M9" s="136"/>
      <c r="N9" s="91"/>
      <c r="O9" s="91"/>
      <c r="P9" s="91"/>
      <c r="S9" s="112" t="s">
        <v>11003</v>
      </c>
      <c r="U9" s="103" t="s">
        <v>10970</v>
      </c>
    </row>
    <row r="10" spans="2:70" s="69" customFormat="1">
      <c r="B10" s="94"/>
      <c r="D10" s="91"/>
      <c r="I10" s="216" t="s">
        <v>11171</v>
      </c>
      <c r="L10" s="136"/>
      <c r="M10" s="136"/>
      <c r="N10" s="91"/>
      <c r="O10" s="91"/>
      <c r="P10" s="91"/>
      <c r="AH10" s="22"/>
      <c r="AI10" s="22"/>
      <c r="AJ10" s="22"/>
      <c r="AK10" s="22"/>
      <c r="AL10" s="22"/>
      <c r="AM10" s="22" t="s">
        <v>11077</v>
      </c>
      <c r="AN10" s="22" t="s">
        <v>11078</v>
      </c>
      <c r="AO10" s="22" t="s">
        <v>11079</v>
      </c>
      <c r="AP10" s="101"/>
      <c r="AQ10" s="22"/>
      <c r="AR10" s="22"/>
      <c r="AS10" s="69">
        <v>1</v>
      </c>
      <c r="AT10" s="69">
        <v>2</v>
      </c>
      <c r="AU10" s="69">
        <v>3</v>
      </c>
      <c r="AV10" s="69">
        <v>4</v>
      </c>
      <c r="AW10" s="69">
        <v>1</v>
      </c>
      <c r="AX10" s="69">
        <v>2</v>
      </c>
      <c r="AY10" s="69">
        <v>3</v>
      </c>
      <c r="AZ10" s="69">
        <v>4</v>
      </c>
    </row>
    <row r="11" spans="2:70" ht="26.15" customHeight="1">
      <c r="B11" s="96" t="s">
        <v>10</v>
      </c>
      <c r="C11" s="96" t="s">
        <v>10449</v>
      </c>
      <c r="D11" s="96" t="s">
        <v>2</v>
      </c>
      <c r="E11" s="96" t="s">
        <v>10448</v>
      </c>
      <c r="F11" s="96" t="s">
        <v>11031</v>
      </c>
      <c r="G11" s="96" t="s">
        <v>8</v>
      </c>
      <c r="H11" s="96" t="s">
        <v>10450</v>
      </c>
      <c r="I11" s="96" t="s">
        <v>10452</v>
      </c>
      <c r="J11" s="96" t="s">
        <v>10453</v>
      </c>
      <c r="K11" s="139" t="s">
        <v>10454</v>
      </c>
      <c r="L11" s="138" t="s">
        <v>10455</v>
      </c>
      <c r="M11" s="138" t="s">
        <v>10456</v>
      </c>
      <c r="N11" s="96" t="s">
        <v>10457</v>
      </c>
      <c r="O11" s="96" t="s">
        <v>10458</v>
      </c>
      <c r="P11" s="96" t="s">
        <v>10459</v>
      </c>
      <c r="Q11" s="96" t="s">
        <v>10460</v>
      </c>
      <c r="R11" s="96" t="s">
        <v>10461</v>
      </c>
      <c r="S11" s="96" t="s">
        <v>10462</v>
      </c>
      <c r="T11" s="96" t="s">
        <v>10463</v>
      </c>
      <c r="U11" s="96" t="s">
        <v>10467</v>
      </c>
      <c r="V11" s="96" t="s">
        <v>10468</v>
      </c>
      <c r="W11" s="96" t="s">
        <v>10469</v>
      </c>
      <c r="X11" s="96" t="s">
        <v>10470</v>
      </c>
      <c r="Y11" s="96" t="s">
        <v>10471</v>
      </c>
      <c r="Z11" s="96" t="s">
        <v>10472</v>
      </c>
      <c r="AA11" s="96" t="s">
        <v>10473</v>
      </c>
      <c r="AB11" s="96" t="s">
        <v>12</v>
      </c>
      <c r="AC11" s="96" t="s">
        <v>13</v>
      </c>
      <c r="AD11" s="96" t="s">
        <v>14</v>
      </c>
      <c r="AE11" s="96" t="s">
        <v>11004</v>
      </c>
      <c r="AF11" s="96" t="s">
        <v>17</v>
      </c>
      <c r="AG11" s="96" t="s">
        <v>19</v>
      </c>
      <c r="AH11" s="119" t="s">
        <v>10544</v>
      </c>
      <c r="AI11" s="119" t="s">
        <v>10523</v>
      </c>
      <c r="AJ11" s="119" t="s">
        <v>10506</v>
      </c>
      <c r="AK11" s="119" t="s">
        <v>10563</v>
      </c>
      <c r="AL11" s="119" t="s">
        <v>10578</v>
      </c>
      <c r="AM11" s="120" t="s">
        <v>11080</v>
      </c>
      <c r="AN11" s="120" t="s">
        <v>11081</v>
      </c>
      <c r="AO11" s="120" t="s">
        <v>11082</v>
      </c>
      <c r="AP11" s="120" t="s">
        <v>11083</v>
      </c>
      <c r="AQ11" s="120" t="s">
        <v>11084</v>
      </c>
      <c r="AR11" s="120" t="s">
        <v>11085</v>
      </c>
      <c r="AS11" s="129" t="s">
        <v>11105</v>
      </c>
      <c r="AT11" s="129" t="s">
        <v>10460</v>
      </c>
      <c r="AU11" s="129" t="s">
        <v>10460</v>
      </c>
      <c r="AV11" s="129" t="s">
        <v>10460</v>
      </c>
      <c r="AW11" s="129" t="s">
        <v>10460</v>
      </c>
      <c r="AX11" s="129" t="s">
        <v>10460</v>
      </c>
      <c r="AY11" s="129" t="s">
        <v>10460</v>
      </c>
      <c r="AZ11" s="129" t="s">
        <v>10460</v>
      </c>
      <c r="BA11" s="131" t="s">
        <v>11105</v>
      </c>
      <c r="BB11" s="131" t="s">
        <v>10460</v>
      </c>
      <c r="BC11" s="131" t="s">
        <v>10460</v>
      </c>
      <c r="BD11" s="131" t="s">
        <v>10460</v>
      </c>
      <c r="BE11" s="188" t="s">
        <v>11083</v>
      </c>
      <c r="BF11" s="188" t="s">
        <v>11083</v>
      </c>
      <c r="BG11" s="188" t="s">
        <v>11083</v>
      </c>
      <c r="BH11" s="188" t="s">
        <v>11083</v>
      </c>
      <c r="BI11" s="189" t="s">
        <v>11084</v>
      </c>
      <c r="BJ11" s="189" t="s">
        <v>11084</v>
      </c>
      <c r="BK11" s="189" t="s">
        <v>11084</v>
      </c>
      <c r="BL11" s="189" t="s">
        <v>11084</v>
      </c>
      <c r="BM11" s="190" t="s">
        <v>11085</v>
      </c>
      <c r="BN11" s="190" t="s">
        <v>11085</v>
      </c>
      <c r="BO11" s="190" t="s">
        <v>11085</v>
      </c>
      <c r="BP11" s="190" t="s">
        <v>11085</v>
      </c>
      <c r="BQ11" s="198" t="s">
        <v>11145</v>
      </c>
      <c r="BR11" s="198" t="s">
        <v>10452</v>
      </c>
    </row>
    <row r="12" spans="2:70" ht="26.15" hidden="1" customHeight="1">
      <c r="B12" s="110" t="s">
        <v>1411</v>
      </c>
      <c r="C12" s="110" t="s">
        <v>1415</v>
      </c>
      <c r="D12" s="110" t="s">
        <v>2057</v>
      </c>
      <c r="E12" s="103">
        <v>2018</v>
      </c>
      <c r="F12" s="108" t="s">
        <v>8230</v>
      </c>
      <c r="G12" s="111" t="s">
        <v>1410</v>
      </c>
      <c r="H12" s="110" t="s">
        <v>10451</v>
      </c>
      <c r="I12" s="112">
        <f>IF(Dashboard!$B$16="Current USD",'Bottom-up tagging'!BR12,'Bottom-up tagging'!BR12/'Bottom-up tagging'!BQ12)</f>
        <v>480462318.83401394</v>
      </c>
      <c r="J12" s="105" t="s">
        <v>10474</v>
      </c>
      <c r="K12" s="112"/>
      <c r="L12" s="135">
        <v>1</v>
      </c>
      <c r="M12" s="135">
        <v>1</v>
      </c>
      <c r="N12" s="112"/>
      <c r="O12" s="112"/>
      <c r="P12" s="112" t="str">
        <f>VLOOKUP(B12, 'Companies covered restructured'!$B$7:$K$470, 9, FALSE)</f>
        <v>Agri marketplaces</v>
      </c>
      <c r="Q12" s="112" t="str">
        <f>VLOOKUP(B12, 'Companies covered restructured'!$B$7:$K$470, 6, FALSE)</f>
        <v>#Cross-cutting(100)</v>
      </c>
      <c r="R12" s="112" t="str">
        <f t="shared" ref="R12:R75" si="0">IF(AE12="FUND", "#Investment Fund(100)", IF(AE12="CORPORATE_INVESTOR", "#Corporate(100)", IF(AE12="ANGEL", "#Angel Investor(100)", "N/A")))</f>
        <v>#Investment Fund(100)</v>
      </c>
      <c r="S12" s="112" t="s">
        <v>11003</v>
      </c>
      <c r="T12" s="112" t="s">
        <v>10466</v>
      </c>
      <c r="U12" s="103" t="s">
        <v>10970</v>
      </c>
      <c r="V12" s="112" t="str">
        <f>VLOOKUP(P12, 'Bottom-up Tagging Assumptions'!$B$12:$F$39, 5, FALSE)</f>
        <v>#Process Innovation(100)</v>
      </c>
      <c r="W12" s="112" t="str">
        <f>VLOOKUP(B12, 'Companies covered restructured'!$B$7:$K$470, 7, FALSE)</f>
        <v>#Farm/Household(100)</v>
      </c>
      <c r="X12" s="112" t="s">
        <v>10558</v>
      </c>
      <c r="Y12" s="211" t="s">
        <v>11163</v>
      </c>
      <c r="Z12" s="112" t="str">
        <f>VLOOKUP(P12, 'Bottom-up Tagging Assumptions'!$B$12:$F$56, 3, FALSE)</f>
        <v>#Improve price realization(P)</v>
      </c>
      <c r="AA12" s="112" t="str">
        <f>VLOOKUP(P12, 'Bottom-up Tagging Assumptions'!$B$12:$F$56, 4, FALSE)</f>
        <v>#Level 4(100)</v>
      </c>
      <c r="AB12" s="110" t="s">
        <v>1413</v>
      </c>
      <c r="AC12" s="110"/>
      <c r="AD12" s="110" t="s">
        <v>1414</v>
      </c>
      <c r="AE12" s="110" t="s">
        <v>3114</v>
      </c>
      <c r="AF12" s="112">
        <v>2000000</v>
      </c>
      <c r="AG12" s="110" t="s">
        <v>1153</v>
      </c>
      <c r="AH12" s="121">
        <f t="shared" ref="AH12:AH75" si="1">IF(ISNUMBER(SEARCH("Environmental",$Y12))=TRUE,1,0)</f>
        <v>0</v>
      </c>
      <c r="AI12" s="121">
        <f t="shared" ref="AI12:AI75" si="2">IF(ISNUMBER(SEARCH("Productivity",$Y12))=TRUE,1,0)</f>
        <v>0</v>
      </c>
      <c r="AJ12" s="121">
        <f t="shared" ref="AJ12:AJ75" si="3">IF(ISNUMBER(SEARCH("Other Economic",$Y12))=TRUE,1,0)</f>
        <v>1</v>
      </c>
      <c r="AK12" s="121">
        <f t="shared" ref="AK12:AK75" si="4">IF(ISNUMBER(SEARCH("Social",$Y12))=TRUE,1,0)</f>
        <v>1</v>
      </c>
      <c r="AL12" s="121">
        <f t="shared" ref="AL12:AL75" si="5">IF(ISNUMBER(SEARCH("Human Condition",$Y12))=TRUE,1,0)</f>
        <v>0</v>
      </c>
      <c r="AM12" s="121">
        <f t="shared" ref="AM12:AM75" si="6">IF((AI12+AH12+AK12)=3,1,IF((AI12+AH12+AL12)=3,1,0))</f>
        <v>0</v>
      </c>
      <c r="AN12" s="121">
        <f t="shared" ref="AN12:AN75" si="7">IF(AND(SUM(AI12:AJ12)&gt;0,SUM(AK12:AL12,AH12)&gt;0),1,0)</f>
        <v>1</v>
      </c>
      <c r="AO12" s="121">
        <f t="shared" ref="AO12:AO75" si="8">IF(AI12+AH12=2, 1, 0)</f>
        <v>0</v>
      </c>
      <c r="AP12" s="22">
        <f t="shared" ref="AP12:AP75" si="9">IF(AM12=1, I12, 0)</f>
        <v>0</v>
      </c>
      <c r="AQ12" s="22">
        <f t="shared" ref="AQ12:AQ75" si="10">IF(AN12=1, I12, 0)</f>
        <v>480462318.83401394</v>
      </c>
      <c r="AR12" s="22">
        <f t="shared" ref="AR12:AR75" si="11">IF(AO12=1, I12, 0)</f>
        <v>0</v>
      </c>
      <c r="AS12" s="121" t="str">
        <f t="shared" ref="AS12:AS75" si="12">IFERROR(MID($Q12,2,(FIND("~",SUBSTITUTE($Q12,")","~",AS$10))-6)),$Q12)</f>
        <v>Cross-cutting</v>
      </c>
      <c r="AT12" s="121" t="str">
        <f t="shared" ref="AT12:AV31" si="13">IFERROR(IFERROR(MID($Q12,FIND("~",SUBSTITUTE($Q12,";","~",AT$10-1))+3,(FIND("~",SUBSTITUTE($Q12,";","~",AT$10))+0-(FIND("~",SUBSTITUTE($Q12,";","~",AT$10-1))+2))-6),MID($Q12,FIND("~",SUBSTITUTE($Q12,";","~",AT$10-1))+3,(LEN($Q12)-6-FIND("~",SUBSTITUTE($Q12,";","~",AT$10-1))-1)))," ")</f>
        <v xml:space="preserve"> </v>
      </c>
      <c r="AU12" s="121" t="str">
        <f t="shared" si="13"/>
        <v xml:space="preserve"> </v>
      </c>
      <c r="AV12" s="121" t="str">
        <f t="shared" si="13"/>
        <v xml:space="preserve"> </v>
      </c>
      <c r="AW12" s="130" t="str">
        <f t="shared" ref="AW12:AZ31" si="14">IFERROR(MID($Q12,FIND("~",SUBSTITUTE($Q12,"(","~",AW$10))+1,3)," ")</f>
        <v>100</v>
      </c>
      <c r="AX12" s="130" t="str">
        <f t="shared" si="14"/>
        <v xml:space="preserve"> </v>
      </c>
      <c r="AY12" s="130" t="str">
        <f t="shared" si="14"/>
        <v xml:space="preserve"> </v>
      </c>
      <c r="AZ12" s="130" t="str">
        <f t="shared" si="14"/>
        <v xml:space="preserve"> </v>
      </c>
      <c r="BA12" s="121">
        <f t="shared" ref="BA12:BA75" si="15">IFERROR($I12*AW12/100,$I12)</f>
        <v>480462318.834014</v>
      </c>
      <c r="BB12" s="121">
        <f t="shared" ref="BB12:BB75" si="16">IFERROR($I12*AX12/100,0)</f>
        <v>0</v>
      </c>
      <c r="BC12" s="121">
        <f t="shared" ref="BC12:BC75" si="17">IFERROR($I12*AY12/100,0)</f>
        <v>0</v>
      </c>
      <c r="BD12" s="121">
        <f t="shared" ref="BD12:BD75" si="18">IFERROR($I12*AZ12/100,0)</f>
        <v>0</v>
      </c>
      <c r="BE12" s="121">
        <f t="shared" ref="BE12:BE75" si="19">IFERROR($AP12*AW12/100,$AP12)</f>
        <v>0</v>
      </c>
      <c r="BF12" s="121">
        <f t="shared" ref="BF12:BF75" si="20">IFERROR($AP12*AX12/100,$AP12)</f>
        <v>0</v>
      </c>
      <c r="BG12" s="121">
        <f t="shared" ref="BG12:BG75" si="21">IFERROR($AP12*AY12/100,$AP12)</f>
        <v>0</v>
      </c>
      <c r="BH12" s="121">
        <f t="shared" ref="BH12:BH75" si="22">IFERROR($AP12*AZ12/100,$AP12)</f>
        <v>0</v>
      </c>
      <c r="BI12" s="121">
        <f t="shared" ref="BI12:BI75" si="23">IFERROR($AQ12*AW12/100,$AQ12)</f>
        <v>480462318.834014</v>
      </c>
      <c r="BJ12" s="121">
        <f t="shared" ref="BJ12:BJ75" si="24">IFERROR($AQ12*AX12/100,$AQ12)</f>
        <v>480462318.83401394</v>
      </c>
      <c r="BK12" s="121">
        <f t="shared" ref="BK12:BK75" si="25">IFERROR($AQ12*AY12/100,$AQ12)</f>
        <v>480462318.83401394</v>
      </c>
      <c r="BL12" s="121">
        <f t="shared" ref="BL12:BL75" si="26">IFERROR($AQ12*AZ12/100,$AQ12)</f>
        <v>480462318.83401394</v>
      </c>
      <c r="BM12" s="121">
        <f t="shared" ref="BM12:BM75" si="27">IFERROR($AR12*AW12/100,$AR12)</f>
        <v>0</v>
      </c>
      <c r="BN12" s="121">
        <f t="shared" ref="BN12:BN75" si="28">IFERROR($AR12*AX12/100,$AR12)</f>
        <v>0</v>
      </c>
      <c r="BO12" s="121">
        <f t="shared" ref="BO12:BO75" si="29">IFERROR($AR12*AY12/100,$AR12)</f>
        <v>0</v>
      </c>
      <c r="BP12" s="121">
        <f t="shared" ref="BP12:BP75" si="30">IFERROR($AR12*AZ12/100,$AR12)</f>
        <v>0</v>
      </c>
      <c r="BQ12" s="199">
        <f>INDEX('GDP deflators'!$C$6:$M$36,MATCH('Bottom-up tagging'!$D12,'GDP deflators'!$B$6:$B$36,),MATCH('Bottom-up tagging'!$E12,'GDP deflators'!$C$5:$L$5,))/100</f>
        <v>1.2487972031939574</v>
      </c>
      <c r="BR12" s="24">
        <v>600000000</v>
      </c>
    </row>
    <row r="13" spans="2:70" ht="26.15" hidden="1" customHeight="1">
      <c r="B13" s="110" t="s">
        <v>1411</v>
      </c>
      <c r="C13" s="110" t="s">
        <v>1415</v>
      </c>
      <c r="D13" s="110" t="s">
        <v>2057</v>
      </c>
      <c r="E13" s="103">
        <v>2018</v>
      </c>
      <c r="F13" s="108" t="s">
        <v>8230</v>
      </c>
      <c r="G13" s="111" t="s">
        <v>627</v>
      </c>
      <c r="H13" s="110" t="s">
        <v>10451</v>
      </c>
      <c r="I13" s="112">
        <f>IF(Dashboard!$B$16="Current USD",'Bottom-up tagging'!BR13,'Bottom-up tagging'!BR13/'Bottom-up tagging'!BQ13)</f>
        <v>360346739.12551045</v>
      </c>
      <c r="J13" s="117" t="s">
        <v>10474</v>
      </c>
      <c r="K13" s="112"/>
      <c r="L13" s="135">
        <v>1</v>
      </c>
      <c r="M13" s="135">
        <v>1</v>
      </c>
      <c r="N13" s="112"/>
      <c r="O13" s="112"/>
      <c r="P13" s="112" t="str">
        <f>VLOOKUP(B13, 'Companies covered restructured'!$B$7:$K$470, 9, FALSE)</f>
        <v>Agri marketplaces</v>
      </c>
      <c r="Q13" s="112" t="str">
        <f>VLOOKUP(B13, 'Companies covered restructured'!$B$7:$K$470, 6, FALSE)</f>
        <v>#Cross-cutting(100)</v>
      </c>
      <c r="R13" s="112" t="str">
        <f t="shared" si="0"/>
        <v>#Investment Fund(100)</v>
      </c>
      <c r="S13" s="112" t="s">
        <v>11003</v>
      </c>
      <c r="T13" s="112" t="s">
        <v>10466</v>
      </c>
      <c r="U13" s="103" t="s">
        <v>10970</v>
      </c>
      <c r="V13" s="112" t="str">
        <f>VLOOKUP(P13, 'Bottom-up Tagging Assumptions'!$B$12:$F$39, 5, FALSE)</f>
        <v>#Process Innovation(100)</v>
      </c>
      <c r="W13" s="112" t="str">
        <f>VLOOKUP(B13, 'Companies covered restructured'!$B$7:$K$470, 7, FALSE)</f>
        <v>#Farm/Household(100)</v>
      </c>
      <c r="X13" s="112" t="s">
        <v>10558</v>
      </c>
      <c r="Y13" s="211" t="s">
        <v>11163</v>
      </c>
      <c r="Z13" s="112" t="str">
        <f>VLOOKUP(P13, 'Bottom-up Tagging Assumptions'!$B$12:$F$56, 3, FALSE)</f>
        <v>#Improve price realization(P)</v>
      </c>
      <c r="AA13" s="112" t="str">
        <f>VLOOKUP(P13, 'Bottom-up Tagging Assumptions'!$B$12:$F$56, 4, FALSE)</f>
        <v>#Level 4(100)</v>
      </c>
      <c r="AB13" s="110" t="s">
        <v>1845</v>
      </c>
      <c r="AC13" s="110"/>
      <c r="AD13" s="110" t="s">
        <v>1072</v>
      </c>
      <c r="AE13" s="110" t="str">
        <f>VLOOKUP(AD13,  '1.2'!$B$7:$C$2033, 2, FALSE)</f>
        <v>FUND</v>
      </c>
      <c r="AF13" s="112">
        <v>10111973</v>
      </c>
      <c r="AG13" s="110" t="s">
        <v>384</v>
      </c>
      <c r="AH13" s="121">
        <f t="shared" si="1"/>
        <v>0</v>
      </c>
      <c r="AI13" s="121">
        <f t="shared" si="2"/>
        <v>0</v>
      </c>
      <c r="AJ13" s="121">
        <f t="shared" si="3"/>
        <v>1</v>
      </c>
      <c r="AK13" s="121">
        <f t="shared" si="4"/>
        <v>1</v>
      </c>
      <c r="AL13" s="121">
        <f t="shared" si="5"/>
        <v>0</v>
      </c>
      <c r="AM13" s="121">
        <f t="shared" si="6"/>
        <v>0</v>
      </c>
      <c r="AN13" s="121">
        <f t="shared" si="7"/>
        <v>1</v>
      </c>
      <c r="AO13" s="121">
        <f t="shared" si="8"/>
        <v>0</v>
      </c>
      <c r="AP13" s="22">
        <f t="shared" si="9"/>
        <v>0</v>
      </c>
      <c r="AQ13" s="22">
        <f t="shared" si="10"/>
        <v>360346739.12551045</v>
      </c>
      <c r="AR13" s="22">
        <f t="shared" si="11"/>
        <v>0</v>
      </c>
      <c r="AS13" s="121" t="str">
        <f t="shared" si="12"/>
        <v>Cross-cutting</v>
      </c>
      <c r="AT13" s="121" t="str">
        <f t="shared" si="13"/>
        <v xml:space="preserve"> </v>
      </c>
      <c r="AU13" s="121" t="str">
        <f t="shared" si="13"/>
        <v xml:space="preserve"> </v>
      </c>
      <c r="AV13" s="121" t="str">
        <f t="shared" si="13"/>
        <v xml:space="preserve"> </v>
      </c>
      <c r="AW13" s="130" t="str">
        <f t="shared" si="14"/>
        <v>100</v>
      </c>
      <c r="AX13" s="130" t="str">
        <f t="shared" si="14"/>
        <v xml:space="preserve"> </v>
      </c>
      <c r="AY13" s="130" t="str">
        <f t="shared" si="14"/>
        <v xml:space="preserve"> </v>
      </c>
      <c r="AZ13" s="130" t="str">
        <f t="shared" si="14"/>
        <v xml:space="preserve"> </v>
      </c>
      <c r="BA13" s="121">
        <f t="shared" si="15"/>
        <v>360346739.12551045</v>
      </c>
      <c r="BB13" s="121">
        <f t="shared" si="16"/>
        <v>0</v>
      </c>
      <c r="BC13" s="121">
        <f t="shared" si="17"/>
        <v>0</v>
      </c>
      <c r="BD13" s="121">
        <f t="shared" si="18"/>
        <v>0</v>
      </c>
      <c r="BE13" s="121">
        <f t="shared" si="19"/>
        <v>0</v>
      </c>
      <c r="BF13" s="121">
        <f t="shared" si="20"/>
        <v>0</v>
      </c>
      <c r="BG13" s="121">
        <f t="shared" si="21"/>
        <v>0</v>
      </c>
      <c r="BH13" s="121">
        <f t="shared" si="22"/>
        <v>0</v>
      </c>
      <c r="BI13" s="121">
        <f t="shared" si="23"/>
        <v>360346739.12551045</v>
      </c>
      <c r="BJ13" s="121">
        <f t="shared" si="24"/>
        <v>360346739.12551045</v>
      </c>
      <c r="BK13" s="121">
        <f t="shared" si="25"/>
        <v>360346739.12551045</v>
      </c>
      <c r="BL13" s="121">
        <f t="shared" si="26"/>
        <v>360346739.12551045</v>
      </c>
      <c r="BM13" s="121">
        <f t="shared" si="27"/>
        <v>0</v>
      </c>
      <c r="BN13" s="121">
        <f t="shared" si="28"/>
        <v>0</v>
      </c>
      <c r="BO13" s="121">
        <f t="shared" si="29"/>
        <v>0</v>
      </c>
      <c r="BP13" s="121">
        <f t="shared" si="30"/>
        <v>0</v>
      </c>
      <c r="BQ13" s="199">
        <f>INDEX('GDP deflators'!$C$6:$M$36,MATCH('Bottom-up tagging'!$D13,'GDP deflators'!$B$6:$B$36,),MATCH('Bottom-up tagging'!$E13,'GDP deflators'!$C$5:$L$5,))/100</f>
        <v>1.2487972031939574</v>
      </c>
      <c r="BR13" s="24">
        <v>450000000</v>
      </c>
    </row>
    <row r="14" spans="2:70" ht="26.15" hidden="1" customHeight="1">
      <c r="B14" s="110" t="s">
        <v>1411</v>
      </c>
      <c r="C14" s="110" t="s">
        <v>1415</v>
      </c>
      <c r="D14" s="110" t="s">
        <v>2057</v>
      </c>
      <c r="E14" s="103">
        <v>2016</v>
      </c>
      <c r="F14" s="108" t="s">
        <v>8230</v>
      </c>
      <c r="G14" s="111" t="s">
        <v>1309</v>
      </c>
      <c r="H14" s="110" t="s">
        <v>10451</v>
      </c>
      <c r="I14" s="112">
        <f>IF(Dashboard!$B$16="Current USD",'Bottom-up tagging'!BR14,'Bottom-up tagging'!BR14/'Bottom-up tagging'!BQ14)</f>
        <v>172773774.08946851</v>
      </c>
      <c r="J14" s="118" t="s">
        <v>10474</v>
      </c>
      <c r="K14" s="112"/>
      <c r="L14" s="135">
        <v>1</v>
      </c>
      <c r="M14" s="135">
        <v>1</v>
      </c>
      <c r="N14" s="112"/>
      <c r="O14" s="112"/>
      <c r="P14" s="112" t="str">
        <f>VLOOKUP(B14, 'Companies covered restructured'!$B$7:$K$470, 9, FALSE)</f>
        <v>Agri marketplaces</v>
      </c>
      <c r="Q14" s="112" t="str">
        <f>VLOOKUP(B14, 'Companies covered restructured'!$B$7:$K$470, 6, FALSE)</f>
        <v>#Cross-cutting(100)</v>
      </c>
      <c r="R14" s="112" t="str">
        <f t="shared" si="0"/>
        <v>N/A</v>
      </c>
      <c r="S14" s="112" t="s">
        <v>11003</v>
      </c>
      <c r="T14" s="112" t="s">
        <v>10466</v>
      </c>
      <c r="U14" s="103" t="s">
        <v>10970</v>
      </c>
      <c r="V14" s="112" t="str">
        <f>VLOOKUP(P14, 'Bottom-up Tagging Assumptions'!$B$12:$F$39, 5, FALSE)</f>
        <v>#Process Innovation(100)</v>
      </c>
      <c r="W14" s="112" t="str">
        <f>VLOOKUP(B14, 'Companies covered restructured'!$B$7:$K$470, 7, FALSE)</f>
        <v>#Farm/Household(100)</v>
      </c>
      <c r="X14" s="112" t="s">
        <v>10558</v>
      </c>
      <c r="Y14" s="211" t="s">
        <v>11163</v>
      </c>
      <c r="Z14" s="112" t="str">
        <f>VLOOKUP(P14, 'Bottom-up Tagging Assumptions'!$B$12:$F$56, 3, FALSE)</f>
        <v>#Improve price realization(P)</v>
      </c>
      <c r="AA14" s="112" t="str">
        <f>VLOOKUP(P14, 'Bottom-up Tagging Assumptions'!$B$12:$F$56, 4, FALSE)</f>
        <v>#Level 4(100)</v>
      </c>
      <c r="AB14" s="110"/>
      <c r="AC14" s="110"/>
      <c r="AD14" s="110"/>
      <c r="AE14" s="110" t="s">
        <v>10558</v>
      </c>
      <c r="AF14" s="112"/>
      <c r="AG14" s="110" t="s">
        <v>1210</v>
      </c>
      <c r="AH14" s="121">
        <f t="shared" si="1"/>
        <v>0</v>
      </c>
      <c r="AI14" s="121">
        <f t="shared" si="2"/>
        <v>0</v>
      </c>
      <c r="AJ14" s="121">
        <f t="shared" si="3"/>
        <v>1</v>
      </c>
      <c r="AK14" s="121">
        <f t="shared" si="4"/>
        <v>1</v>
      </c>
      <c r="AL14" s="121">
        <f t="shared" si="5"/>
        <v>0</v>
      </c>
      <c r="AM14" s="121">
        <f t="shared" si="6"/>
        <v>0</v>
      </c>
      <c r="AN14" s="121">
        <f t="shared" si="7"/>
        <v>1</v>
      </c>
      <c r="AO14" s="121">
        <f t="shared" si="8"/>
        <v>0</v>
      </c>
      <c r="AP14" s="22">
        <f t="shared" si="9"/>
        <v>0</v>
      </c>
      <c r="AQ14" s="22">
        <f t="shared" si="10"/>
        <v>172773774.08946851</v>
      </c>
      <c r="AR14" s="22">
        <f t="shared" si="11"/>
        <v>0</v>
      </c>
      <c r="AS14" s="121" t="str">
        <f t="shared" si="12"/>
        <v>Cross-cutting</v>
      </c>
      <c r="AT14" s="121" t="str">
        <f t="shared" si="13"/>
        <v xml:space="preserve"> </v>
      </c>
      <c r="AU14" s="121" t="str">
        <f t="shared" si="13"/>
        <v xml:space="preserve"> </v>
      </c>
      <c r="AV14" s="121" t="str">
        <f t="shared" si="13"/>
        <v xml:space="preserve"> </v>
      </c>
      <c r="AW14" s="130" t="str">
        <f t="shared" si="14"/>
        <v>100</v>
      </c>
      <c r="AX14" s="130" t="str">
        <f t="shared" si="14"/>
        <v xml:space="preserve"> </v>
      </c>
      <c r="AY14" s="130" t="str">
        <f t="shared" si="14"/>
        <v xml:space="preserve"> </v>
      </c>
      <c r="AZ14" s="130" t="str">
        <f t="shared" si="14"/>
        <v xml:space="preserve"> </v>
      </c>
      <c r="BA14" s="121">
        <f t="shared" si="15"/>
        <v>172773774.08946851</v>
      </c>
      <c r="BB14" s="121">
        <f t="shared" si="16"/>
        <v>0</v>
      </c>
      <c r="BC14" s="121">
        <f t="shared" si="17"/>
        <v>0</v>
      </c>
      <c r="BD14" s="121">
        <f t="shared" si="18"/>
        <v>0</v>
      </c>
      <c r="BE14" s="121">
        <f t="shared" si="19"/>
        <v>0</v>
      </c>
      <c r="BF14" s="121">
        <f t="shared" si="20"/>
        <v>0</v>
      </c>
      <c r="BG14" s="121">
        <f t="shared" si="21"/>
        <v>0</v>
      </c>
      <c r="BH14" s="121">
        <f t="shared" si="22"/>
        <v>0</v>
      </c>
      <c r="BI14" s="121">
        <f t="shared" si="23"/>
        <v>172773774.08946851</v>
      </c>
      <c r="BJ14" s="121">
        <f t="shared" si="24"/>
        <v>172773774.08946851</v>
      </c>
      <c r="BK14" s="121">
        <f t="shared" si="25"/>
        <v>172773774.08946851</v>
      </c>
      <c r="BL14" s="121">
        <f t="shared" si="26"/>
        <v>172773774.08946851</v>
      </c>
      <c r="BM14" s="121">
        <f t="shared" si="27"/>
        <v>0</v>
      </c>
      <c r="BN14" s="121">
        <f t="shared" si="28"/>
        <v>0</v>
      </c>
      <c r="BO14" s="121">
        <f t="shared" si="29"/>
        <v>0</v>
      </c>
      <c r="BP14" s="121">
        <f t="shared" si="30"/>
        <v>0</v>
      </c>
      <c r="BQ14" s="199">
        <f>INDEX('GDP deflators'!$C$6:$M$36,MATCH('Bottom-up tagging'!$D14,'GDP deflators'!$B$6:$B$36,),MATCH('Bottom-up tagging'!$E14,'GDP deflators'!$C$5:$L$5,))/100</f>
        <v>1.1575830941589131</v>
      </c>
      <c r="BR14" s="24">
        <v>200000000</v>
      </c>
    </row>
    <row r="15" spans="2:70" ht="46.5" hidden="1" customHeight="1">
      <c r="B15" s="110" t="s">
        <v>2309</v>
      </c>
      <c r="C15" s="110" t="s">
        <v>2312</v>
      </c>
      <c r="D15" s="110" t="s">
        <v>2057</v>
      </c>
      <c r="E15" s="103">
        <v>2016</v>
      </c>
      <c r="F15" s="108" t="s">
        <v>10211</v>
      </c>
      <c r="G15" s="111" t="s">
        <v>1309</v>
      </c>
      <c r="H15" s="110" t="s">
        <v>10451</v>
      </c>
      <c r="I15" s="112">
        <f>IF(Dashboard!$B$16="Current USD",'Bottom-up tagging'!BR15,'Bottom-up tagging'!BR15/'Bottom-up tagging'!BQ15)</f>
        <v>86386887.044734254</v>
      </c>
      <c r="J15" s="117" t="s">
        <v>10474</v>
      </c>
      <c r="K15" s="112"/>
      <c r="L15" s="135">
        <v>1</v>
      </c>
      <c r="M15" s="135">
        <v>1</v>
      </c>
      <c r="N15" s="112"/>
      <c r="O15" s="112"/>
      <c r="P15" s="112" t="str">
        <f>VLOOKUP(B15, 'Companies covered restructured'!$B$7:$K$470, 9, FALSE)</f>
        <v>Agri marketplaces</v>
      </c>
      <c r="Q15" s="112" t="str">
        <f>VLOOKUP(B15, 'Companies covered restructured'!$B$7:$K$470, 6, FALSE)</f>
        <v>#Crops(100)</v>
      </c>
      <c r="R15" s="112" t="str">
        <f t="shared" si="0"/>
        <v>#Investment Fund(100)</v>
      </c>
      <c r="S15" s="112" t="s">
        <v>11003</v>
      </c>
      <c r="T15" s="112" t="s">
        <v>10466</v>
      </c>
      <c r="U15" s="103" t="s">
        <v>10970</v>
      </c>
      <c r="V15" s="112" t="str">
        <f>VLOOKUP(P15, 'Bottom-up Tagging Assumptions'!$B$12:$F$39, 5, FALSE)</f>
        <v>#Process Innovation(100)</v>
      </c>
      <c r="W15" s="112" t="str">
        <f>VLOOKUP(B15, 'Companies covered restructured'!$B$7:$K$470, 7, FALSE)</f>
        <v>N/A</v>
      </c>
      <c r="X15" s="112" t="str">
        <f>VLOOKUP(B15, 'Companies covered restructured'!$B$7:$K$470, 8, FALSE)</f>
        <v>N/A</v>
      </c>
      <c r="Y15" s="211" t="s">
        <v>11163</v>
      </c>
      <c r="Z15" s="112" t="str">
        <f>VLOOKUP(P15, 'Bottom-up Tagging Assumptions'!$B$12:$F$56, 3, FALSE)</f>
        <v>#Improve price realization(P)</v>
      </c>
      <c r="AA15" s="112" t="str">
        <f>VLOOKUP(P15, 'Bottom-up Tagging Assumptions'!$B$12:$F$56, 4, FALSE)</f>
        <v>#Level 4(100)</v>
      </c>
      <c r="AB15" s="110" t="s">
        <v>2496</v>
      </c>
      <c r="AC15" s="110"/>
      <c r="AD15" s="110" t="s">
        <v>2497</v>
      </c>
      <c r="AE15" s="110" t="s">
        <v>3114</v>
      </c>
      <c r="AF15" s="112">
        <v>3000000</v>
      </c>
      <c r="AG15" s="110" t="s">
        <v>1224</v>
      </c>
      <c r="AH15" s="121">
        <f t="shared" si="1"/>
        <v>0</v>
      </c>
      <c r="AI15" s="121">
        <f t="shared" si="2"/>
        <v>0</v>
      </c>
      <c r="AJ15" s="121">
        <f t="shared" si="3"/>
        <v>1</v>
      </c>
      <c r="AK15" s="121">
        <f t="shared" si="4"/>
        <v>1</v>
      </c>
      <c r="AL15" s="121">
        <f t="shared" si="5"/>
        <v>0</v>
      </c>
      <c r="AM15" s="121">
        <f t="shared" si="6"/>
        <v>0</v>
      </c>
      <c r="AN15" s="121">
        <f t="shared" si="7"/>
        <v>1</v>
      </c>
      <c r="AO15" s="121">
        <f t="shared" si="8"/>
        <v>0</v>
      </c>
      <c r="AP15" s="22">
        <f t="shared" si="9"/>
        <v>0</v>
      </c>
      <c r="AQ15" s="22">
        <f t="shared" si="10"/>
        <v>86386887.044734254</v>
      </c>
      <c r="AR15" s="22">
        <f t="shared" si="11"/>
        <v>0</v>
      </c>
      <c r="AS15" s="121" t="str">
        <f t="shared" si="12"/>
        <v>Crops</v>
      </c>
      <c r="AT15" s="121" t="str">
        <f t="shared" si="13"/>
        <v xml:space="preserve"> </v>
      </c>
      <c r="AU15" s="121" t="str">
        <f t="shared" si="13"/>
        <v xml:space="preserve"> </v>
      </c>
      <c r="AV15" s="121" t="str">
        <f t="shared" si="13"/>
        <v xml:space="preserve"> </v>
      </c>
      <c r="AW15" s="130" t="str">
        <f t="shared" si="14"/>
        <v>100</v>
      </c>
      <c r="AX15" s="130" t="str">
        <f t="shared" si="14"/>
        <v xml:space="preserve"> </v>
      </c>
      <c r="AY15" s="130" t="str">
        <f t="shared" si="14"/>
        <v xml:space="preserve"> </v>
      </c>
      <c r="AZ15" s="130" t="str">
        <f t="shared" si="14"/>
        <v xml:space="preserve"> </v>
      </c>
      <c r="BA15" s="121">
        <f t="shared" si="15"/>
        <v>86386887.044734254</v>
      </c>
      <c r="BB15" s="121">
        <f t="shared" si="16"/>
        <v>0</v>
      </c>
      <c r="BC15" s="121">
        <f t="shared" si="17"/>
        <v>0</v>
      </c>
      <c r="BD15" s="121">
        <f t="shared" si="18"/>
        <v>0</v>
      </c>
      <c r="BE15" s="121">
        <f t="shared" si="19"/>
        <v>0</v>
      </c>
      <c r="BF15" s="121">
        <f t="shared" si="20"/>
        <v>0</v>
      </c>
      <c r="BG15" s="121">
        <f t="shared" si="21"/>
        <v>0</v>
      </c>
      <c r="BH15" s="121">
        <f t="shared" si="22"/>
        <v>0</v>
      </c>
      <c r="BI15" s="121">
        <f t="shared" si="23"/>
        <v>86386887.044734254</v>
      </c>
      <c r="BJ15" s="121">
        <f t="shared" si="24"/>
        <v>86386887.044734254</v>
      </c>
      <c r="BK15" s="121">
        <f t="shared" si="25"/>
        <v>86386887.044734254</v>
      </c>
      <c r="BL15" s="121">
        <f t="shared" si="26"/>
        <v>86386887.044734254</v>
      </c>
      <c r="BM15" s="121">
        <f t="shared" si="27"/>
        <v>0</v>
      </c>
      <c r="BN15" s="121">
        <f t="shared" si="28"/>
        <v>0</v>
      </c>
      <c r="BO15" s="121">
        <f t="shared" si="29"/>
        <v>0</v>
      </c>
      <c r="BP15" s="121">
        <f t="shared" si="30"/>
        <v>0</v>
      </c>
      <c r="BQ15" s="199">
        <f>INDEX('GDP deflators'!$C$6:$M$36,MATCH('Bottom-up tagging'!$D15,'GDP deflators'!$B$6:$B$36,),MATCH('Bottom-up tagging'!$E15,'GDP deflators'!$C$5:$L$5,))/100</f>
        <v>1.1575830941589131</v>
      </c>
      <c r="BR15" s="24">
        <v>100000000</v>
      </c>
    </row>
    <row r="16" spans="2:70" ht="26.15" hidden="1" customHeight="1">
      <c r="B16" s="110" t="s">
        <v>96</v>
      </c>
      <c r="C16" s="110" t="s">
        <v>100</v>
      </c>
      <c r="D16" s="110" t="s">
        <v>3994</v>
      </c>
      <c r="E16" s="103">
        <v>2019</v>
      </c>
      <c r="F16" s="108" t="s">
        <v>8260</v>
      </c>
      <c r="G16" s="111" t="s">
        <v>95</v>
      </c>
      <c r="H16" s="110" t="s">
        <v>10451</v>
      </c>
      <c r="I16" s="112">
        <f>IF(Dashboard!$B$16="Current USD",'Bottom-up tagging'!BR16,'Bottom-up tagging'!BR16/'Bottom-up tagging'!BQ16)</f>
        <v>59291611.7450203</v>
      </c>
      <c r="J16" s="118" t="s">
        <v>10474</v>
      </c>
      <c r="K16" s="112"/>
      <c r="L16" s="135">
        <v>1</v>
      </c>
      <c r="M16" s="135">
        <v>1</v>
      </c>
      <c r="N16" s="112"/>
      <c r="O16" s="112"/>
      <c r="P16" s="112" t="str">
        <f>VLOOKUP(B16, 'Companies covered restructured'!$B$7:$K$470, 9, FALSE)</f>
        <v>Agri marketplaces</v>
      </c>
      <c r="Q16" s="112" t="str">
        <f>VLOOKUP(B16, 'Companies covered restructured'!$B$7:$K$470, 6, FALSE)</f>
        <v>#Crops(100)</v>
      </c>
      <c r="R16" s="112" t="str">
        <f t="shared" si="0"/>
        <v>#Investment Fund(100)</v>
      </c>
      <c r="S16" s="112" t="s">
        <v>11003</v>
      </c>
      <c r="T16" s="112" t="s">
        <v>10466</v>
      </c>
      <c r="U16" s="103" t="s">
        <v>10970</v>
      </c>
      <c r="V16" s="112" t="str">
        <f>VLOOKUP(P16, 'Bottom-up Tagging Assumptions'!$B$12:$F$39, 5, FALSE)</f>
        <v>#Process Innovation(100)</v>
      </c>
      <c r="W16" s="112" t="str">
        <f>VLOOKUP(B16, 'Companies covered restructured'!$B$7:$K$470, 7, FALSE)</f>
        <v>#Farm/Household(100)</v>
      </c>
      <c r="X16" s="112" t="s">
        <v>10558</v>
      </c>
      <c r="Y16" s="211" t="s">
        <v>11163</v>
      </c>
      <c r="Z16" s="112" t="str">
        <f>VLOOKUP(P16, 'Bottom-up Tagging Assumptions'!$B$12:$F$56, 3, FALSE)</f>
        <v>#Improve price realization(P)</v>
      </c>
      <c r="AA16" s="112" t="str">
        <f>VLOOKUP(P16, 'Bottom-up Tagging Assumptions'!$B$12:$F$56, 4, FALSE)</f>
        <v>#Level 4(100)</v>
      </c>
      <c r="AB16" s="110" t="s">
        <v>1071</v>
      </c>
      <c r="AC16" s="110"/>
      <c r="AD16" s="110" t="s">
        <v>1072</v>
      </c>
      <c r="AE16" s="110" t="str">
        <f>VLOOKUP(AD16,  '1.2'!$B$7:$C$2033, 2, FALSE)</f>
        <v>FUND</v>
      </c>
      <c r="AF16" s="112"/>
      <c r="AG16" s="110" t="s">
        <v>1230</v>
      </c>
      <c r="AH16" s="121">
        <f t="shared" si="1"/>
        <v>0</v>
      </c>
      <c r="AI16" s="121">
        <f t="shared" si="2"/>
        <v>0</v>
      </c>
      <c r="AJ16" s="121">
        <f t="shared" si="3"/>
        <v>1</v>
      </c>
      <c r="AK16" s="121">
        <f t="shared" si="4"/>
        <v>1</v>
      </c>
      <c r="AL16" s="121">
        <f t="shared" si="5"/>
        <v>0</v>
      </c>
      <c r="AM16" s="121">
        <f t="shared" si="6"/>
        <v>0</v>
      </c>
      <c r="AN16" s="121">
        <f t="shared" si="7"/>
        <v>1</v>
      </c>
      <c r="AO16" s="121">
        <f t="shared" si="8"/>
        <v>0</v>
      </c>
      <c r="AP16" s="22">
        <f t="shared" si="9"/>
        <v>0</v>
      </c>
      <c r="AQ16" s="22">
        <f t="shared" si="10"/>
        <v>59291611.7450203</v>
      </c>
      <c r="AR16" s="22">
        <f t="shared" si="11"/>
        <v>0</v>
      </c>
      <c r="AS16" s="121" t="str">
        <f t="shared" si="12"/>
        <v>Crops</v>
      </c>
      <c r="AT16" s="121" t="str">
        <f t="shared" si="13"/>
        <v xml:space="preserve"> </v>
      </c>
      <c r="AU16" s="121" t="str">
        <f t="shared" si="13"/>
        <v xml:space="preserve"> </v>
      </c>
      <c r="AV16" s="121" t="str">
        <f t="shared" si="13"/>
        <v xml:space="preserve"> </v>
      </c>
      <c r="AW16" s="130" t="str">
        <f t="shared" si="14"/>
        <v>100</v>
      </c>
      <c r="AX16" s="130" t="str">
        <f t="shared" si="14"/>
        <v xml:space="preserve"> </v>
      </c>
      <c r="AY16" s="130" t="str">
        <f t="shared" si="14"/>
        <v xml:space="preserve"> </v>
      </c>
      <c r="AZ16" s="130" t="str">
        <f t="shared" si="14"/>
        <v xml:space="preserve"> </v>
      </c>
      <c r="BA16" s="121">
        <f t="shared" si="15"/>
        <v>59291611.7450203</v>
      </c>
      <c r="BB16" s="121">
        <f t="shared" si="16"/>
        <v>0</v>
      </c>
      <c r="BC16" s="121">
        <f t="shared" si="17"/>
        <v>0</v>
      </c>
      <c r="BD16" s="121">
        <f t="shared" si="18"/>
        <v>0</v>
      </c>
      <c r="BE16" s="121">
        <f t="shared" si="19"/>
        <v>0</v>
      </c>
      <c r="BF16" s="121">
        <f t="shared" si="20"/>
        <v>0</v>
      </c>
      <c r="BG16" s="121">
        <f t="shared" si="21"/>
        <v>0</v>
      </c>
      <c r="BH16" s="121">
        <f t="shared" si="22"/>
        <v>0</v>
      </c>
      <c r="BI16" s="121">
        <f t="shared" si="23"/>
        <v>59291611.7450203</v>
      </c>
      <c r="BJ16" s="121">
        <f t="shared" si="24"/>
        <v>59291611.7450203</v>
      </c>
      <c r="BK16" s="121">
        <f t="shared" si="25"/>
        <v>59291611.7450203</v>
      </c>
      <c r="BL16" s="121">
        <f t="shared" si="26"/>
        <v>59291611.7450203</v>
      </c>
      <c r="BM16" s="121">
        <f t="shared" si="27"/>
        <v>0</v>
      </c>
      <c r="BN16" s="121">
        <f t="shared" si="28"/>
        <v>0</v>
      </c>
      <c r="BO16" s="121">
        <f t="shared" si="29"/>
        <v>0</v>
      </c>
      <c r="BP16" s="121">
        <f t="shared" si="30"/>
        <v>0</v>
      </c>
      <c r="BQ16" s="199">
        <f>INDEX('GDP deflators'!$C$6:$M$36,MATCH('Bottom-up tagging'!$D16,'GDP deflators'!$B$6:$B$36,),MATCH('Bottom-up tagging'!$E16,'GDP deflators'!$C$5:$L$5,))/100</f>
        <v>1.5094883975306472</v>
      </c>
      <c r="BR16" s="24">
        <v>89500000</v>
      </c>
    </row>
    <row r="17" spans="2:70" ht="26.15" hidden="1" customHeight="1">
      <c r="B17" s="110" t="s">
        <v>2309</v>
      </c>
      <c r="C17" s="110" t="s">
        <v>2312</v>
      </c>
      <c r="D17" s="110" t="s">
        <v>2057</v>
      </c>
      <c r="E17" s="103">
        <v>2015</v>
      </c>
      <c r="F17" s="108" t="s">
        <v>10211</v>
      </c>
      <c r="G17" s="111" t="s">
        <v>95</v>
      </c>
      <c r="H17" s="110" t="s">
        <v>10451</v>
      </c>
      <c r="I17" s="112">
        <f>IF(Dashboard!$B$16="Current USD",'Bottom-up tagging'!BR17,'Bottom-up tagging'!BR17/'Bottom-up tagging'!BQ17)</f>
        <v>61321878.950843439</v>
      </c>
      <c r="J17" s="118" t="s">
        <v>10474</v>
      </c>
      <c r="K17" s="112"/>
      <c r="L17" s="135">
        <v>1</v>
      </c>
      <c r="M17" s="135">
        <v>1</v>
      </c>
      <c r="N17" s="112"/>
      <c r="O17" s="112"/>
      <c r="P17" s="112" t="str">
        <f>VLOOKUP(B17, 'Companies covered restructured'!$B$7:$K$470, 9, FALSE)</f>
        <v>Agri marketplaces</v>
      </c>
      <c r="Q17" s="112" t="str">
        <f>VLOOKUP(B17, 'Companies covered restructured'!$B$7:$K$470, 6, FALSE)</f>
        <v>#Crops(100)</v>
      </c>
      <c r="R17" s="112" t="str">
        <f t="shared" si="0"/>
        <v>#Corporate(100)</v>
      </c>
      <c r="S17" s="112" t="s">
        <v>11003</v>
      </c>
      <c r="T17" s="112" t="s">
        <v>10466</v>
      </c>
      <c r="U17" s="103" t="s">
        <v>10970</v>
      </c>
      <c r="V17" s="112" t="str">
        <f>VLOOKUP(P17, 'Bottom-up Tagging Assumptions'!$B$12:$F$39, 5, FALSE)</f>
        <v>#Process Innovation(100)</v>
      </c>
      <c r="W17" s="112" t="str">
        <f>VLOOKUP(B17, 'Companies covered restructured'!$B$7:$K$470, 7, FALSE)</f>
        <v>N/A</v>
      </c>
      <c r="X17" s="112" t="str">
        <f>VLOOKUP(B17, 'Companies covered restructured'!$B$7:$K$470, 8, FALSE)</f>
        <v>N/A</v>
      </c>
      <c r="Y17" s="211" t="s">
        <v>11163</v>
      </c>
      <c r="Z17" s="112" t="str">
        <f>VLOOKUP(P17, 'Bottom-up Tagging Assumptions'!$B$12:$F$56, 3, FALSE)</f>
        <v>#Improve price realization(P)</v>
      </c>
      <c r="AA17" s="112" t="str">
        <f>VLOOKUP(P17, 'Bottom-up Tagging Assumptions'!$B$12:$F$56, 4, FALSE)</f>
        <v>#Level 4(100)</v>
      </c>
      <c r="AB17" s="110" t="s">
        <v>2721</v>
      </c>
      <c r="AC17" s="110"/>
      <c r="AD17" s="110" t="s">
        <v>2722</v>
      </c>
      <c r="AE17" s="110" t="str">
        <f>VLOOKUP(AD17,  '1.2'!$B$7:$C$2033, 2, FALSE)</f>
        <v>CORPORATE_INVESTOR</v>
      </c>
      <c r="AF17" s="112"/>
      <c r="AG17" s="110" t="s">
        <v>1238</v>
      </c>
      <c r="AH17" s="121">
        <f t="shared" si="1"/>
        <v>0</v>
      </c>
      <c r="AI17" s="121">
        <f t="shared" si="2"/>
        <v>0</v>
      </c>
      <c r="AJ17" s="121">
        <f t="shared" si="3"/>
        <v>1</v>
      </c>
      <c r="AK17" s="121">
        <f t="shared" si="4"/>
        <v>1</v>
      </c>
      <c r="AL17" s="121">
        <f t="shared" si="5"/>
        <v>0</v>
      </c>
      <c r="AM17" s="121">
        <f t="shared" si="6"/>
        <v>0</v>
      </c>
      <c r="AN17" s="121">
        <f t="shared" si="7"/>
        <v>1</v>
      </c>
      <c r="AO17" s="121">
        <f t="shared" si="8"/>
        <v>0</v>
      </c>
      <c r="AP17" s="22">
        <f t="shared" si="9"/>
        <v>0</v>
      </c>
      <c r="AQ17" s="22">
        <f t="shared" si="10"/>
        <v>61321878.950843439</v>
      </c>
      <c r="AR17" s="22">
        <f t="shared" si="11"/>
        <v>0</v>
      </c>
      <c r="AS17" s="121" t="str">
        <f t="shared" si="12"/>
        <v>Crops</v>
      </c>
      <c r="AT17" s="121" t="str">
        <f t="shared" si="13"/>
        <v xml:space="preserve"> </v>
      </c>
      <c r="AU17" s="121" t="str">
        <f t="shared" si="13"/>
        <v xml:space="preserve"> </v>
      </c>
      <c r="AV17" s="121" t="str">
        <f t="shared" si="13"/>
        <v xml:space="preserve"> </v>
      </c>
      <c r="AW17" s="130" t="str">
        <f t="shared" si="14"/>
        <v>100</v>
      </c>
      <c r="AX17" s="130" t="str">
        <f t="shared" si="14"/>
        <v xml:space="preserve"> </v>
      </c>
      <c r="AY17" s="130" t="str">
        <f t="shared" si="14"/>
        <v xml:space="preserve"> </v>
      </c>
      <c r="AZ17" s="130" t="str">
        <f t="shared" si="14"/>
        <v xml:space="preserve"> </v>
      </c>
      <c r="BA17" s="121">
        <f t="shared" si="15"/>
        <v>61321878.950843439</v>
      </c>
      <c r="BB17" s="121">
        <f t="shared" si="16"/>
        <v>0</v>
      </c>
      <c r="BC17" s="121">
        <f t="shared" si="17"/>
        <v>0</v>
      </c>
      <c r="BD17" s="121">
        <f t="shared" si="18"/>
        <v>0</v>
      </c>
      <c r="BE17" s="121">
        <f t="shared" si="19"/>
        <v>0</v>
      </c>
      <c r="BF17" s="121">
        <f t="shared" si="20"/>
        <v>0</v>
      </c>
      <c r="BG17" s="121">
        <f t="shared" si="21"/>
        <v>0</v>
      </c>
      <c r="BH17" s="121">
        <f t="shared" si="22"/>
        <v>0</v>
      </c>
      <c r="BI17" s="121">
        <f t="shared" si="23"/>
        <v>61321878.950843439</v>
      </c>
      <c r="BJ17" s="121">
        <f t="shared" si="24"/>
        <v>61321878.950843439</v>
      </c>
      <c r="BK17" s="121">
        <f t="shared" si="25"/>
        <v>61321878.950843439</v>
      </c>
      <c r="BL17" s="121">
        <f t="shared" si="26"/>
        <v>61321878.950843439</v>
      </c>
      <c r="BM17" s="121">
        <f t="shared" si="27"/>
        <v>0</v>
      </c>
      <c r="BN17" s="121">
        <f t="shared" si="28"/>
        <v>0</v>
      </c>
      <c r="BO17" s="121">
        <f t="shared" si="29"/>
        <v>0</v>
      </c>
      <c r="BP17" s="121">
        <f t="shared" si="30"/>
        <v>0</v>
      </c>
      <c r="BQ17" s="199">
        <f>INDEX('GDP deflators'!$C$6:$M$36,MATCH('Bottom-up tagging'!$D17,'GDP deflators'!$B$6:$B$36,),MATCH('Bottom-up tagging'!$E17,'GDP deflators'!$C$5:$L$5,))/100</f>
        <v>1.1415175333442258</v>
      </c>
      <c r="BR17" s="24">
        <v>70000000</v>
      </c>
    </row>
    <row r="18" spans="2:70" ht="26.15" hidden="1" customHeight="1">
      <c r="B18" s="110" t="s">
        <v>3059</v>
      </c>
      <c r="C18" s="110" t="s">
        <v>3063</v>
      </c>
      <c r="D18" s="110" t="s">
        <v>3994</v>
      </c>
      <c r="E18" s="103">
        <v>2010</v>
      </c>
      <c r="F18" s="108" t="s">
        <v>10415</v>
      </c>
      <c r="G18" s="111" t="s">
        <v>528</v>
      </c>
      <c r="H18" s="110" t="s">
        <v>10451</v>
      </c>
      <c r="I18" s="112">
        <f>IF(Dashboard!$B$16="Current USD",'Bottom-up tagging'!BR18,'Bottom-up tagging'!BR18/'Bottom-up tagging'!BQ18)</f>
        <v>55791200</v>
      </c>
      <c r="J18" s="105" t="s">
        <v>10474</v>
      </c>
      <c r="K18" s="112"/>
      <c r="L18" s="135">
        <v>1</v>
      </c>
      <c r="M18" s="135">
        <v>1</v>
      </c>
      <c r="N18" s="112"/>
      <c r="O18" s="112"/>
      <c r="P18" s="112" t="str">
        <f>VLOOKUP(B18, 'Companies covered restructured'!$B$7:$K$470, 9, FALSE)</f>
        <v>Seed development and biotech</v>
      </c>
      <c r="Q18" s="112" t="str">
        <f>VLOOKUP(B18, 'Companies covered restructured'!$B$7:$K$470, 6, FALSE)</f>
        <v>#Crops(100)</v>
      </c>
      <c r="R18" s="112" t="str">
        <f t="shared" si="0"/>
        <v>#Investment Fund(100)</v>
      </c>
      <c r="S18" s="112" t="s">
        <v>11003</v>
      </c>
      <c r="T18" s="112" t="s">
        <v>10466</v>
      </c>
      <c r="U18" s="103" t="s">
        <v>10970</v>
      </c>
      <c r="V18" s="112" t="str">
        <f>VLOOKUP(P18, 'Bottom-up Tagging Assumptions'!$B$12:$F$39, 5, FALSE)</f>
        <v>#Product Development(100)</v>
      </c>
      <c r="W18" s="112" t="str">
        <f>VLOOKUP(B18, 'Companies covered restructured'!$B$7:$K$470, 7, FALSE)</f>
        <v>#Landscape(100)</v>
      </c>
      <c r="X18" s="112" t="str">
        <f>VLOOKUP(B18, 'Companies covered restructured'!$B$7:$K$470, 8, FALSE)</f>
        <v>N/A</v>
      </c>
      <c r="Y18" s="211" t="s">
        <v>10989</v>
      </c>
      <c r="Z18" s="112" t="str">
        <f>VLOOKUP(P18, 'Bottom-up Tagging Assumptions'!$B$12:$F$56, 3, FALSE)</f>
        <v>#Increasing crop or animal yield(P); #Improved nutrition(S)</v>
      </c>
      <c r="AA18" s="112" t="str">
        <f>VLOOKUP(P18, 'Bottom-up Tagging Assumptions'!$B$12:$F$56, 4, FALSE)</f>
        <v>#Level 1(100)</v>
      </c>
      <c r="AB18" s="110" t="s">
        <v>3061</v>
      </c>
      <c r="AC18" s="110"/>
      <c r="AD18" s="110" t="s">
        <v>3062</v>
      </c>
      <c r="AE18" s="110" t="str">
        <f>VLOOKUP(AD18,  '1.2'!$B$7:$C$2033, 2, FALSE)</f>
        <v>FUND</v>
      </c>
      <c r="AF18" s="112">
        <v>4352191</v>
      </c>
      <c r="AG18" s="110" t="s">
        <v>1245</v>
      </c>
      <c r="AH18" s="121">
        <f t="shared" si="1"/>
        <v>0</v>
      </c>
      <c r="AI18" s="121">
        <f t="shared" si="2"/>
        <v>1</v>
      </c>
      <c r="AJ18" s="121">
        <f t="shared" si="3"/>
        <v>1</v>
      </c>
      <c r="AK18" s="121">
        <f t="shared" si="4"/>
        <v>0</v>
      </c>
      <c r="AL18" s="121">
        <f t="shared" si="5"/>
        <v>0</v>
      </c>
      <c r="AM18" s="121">
        <f t="shared" si="6"/>
        <v>0</v>
      </c>
      <c r="AN18" s="121">
        <f t="shared" si="7"/>
        <v>0</v>
      </c>
      <c r="AO18" s="121">
        <f t="shared" si="8"/>
        <v>0</v>
      </c>
      <c r="AP18" s="22">
        <f t="shared" si="9"/>
        <v>0</v>
      </c>
      <c r="AQ18" s="22">
        <f t="shared" si="10"/>
        <v>0</v>
      </c>
      <c r="AR18" s="22">
        <f t="shared" si="11"/>
        <v>0</v>
      </c>
      <c r="AS18" s="121" t="str">
        <f t="shared" si="12"/>
        <v>Crops</v>
      </c>
      <c r="AT18" s="121" t="str">
        <f t="shared" si="13"/>
        <v xml:space="preserve"> </v>
      </c>
      <c r="AU18" s="121" t="str">
        <f t="shared" si="13"/>
        <v xml:space="preserve"> </v>
      </c>
      <c r="AV18" s="121" t="str">
        <f t="shared" si="13"/>
        <v xml:space="preserve"> </v>
      </c>
      <c r="AW18" s="130" t="str">
        <f t="shared" si="14"/>
        <v>100</v>
      </c>
      <c r="AX18" s="130" t="str">
        <f t="shared" si="14"/>
        <v xml:space="preserve"> </v>
      </c>
      <c r="AY18" s="130" t="str">
        <f t="shared" si="14"/>
        <v xml:space="preserve"> </v>
      </c>
      <c r="AZ18" s="130" t="str">
        <f t="shared" si="14"/>
        <v xml:space="preserve"> </v>
      </c>
      <c r="BA18" s="121">
        <f t="shared" si="15"/>
        <v>55791200</v>
      </c>
      <c r="BB18" s="121">
        <f t="shared" si="16"/>
        <v>0</v>
      </c>
      <c r="BC18" s="121">
        <f t="shared" si="17"/>
        <v>0</v>
      </c>
      <c r="BD18" s="121">
        <f t="shared" si="18"/>
        <v>0</v>
      </c>
      <c r="BE18" s="121">
        <f t="shared" si="19"/>
        <v>0</v>
      </c>
      <c r="BF18" s="121">
        <f t="shared" si="20"/>
        <v>0</v>
      </c>
      <c r="BG18" s="121">
        <f t="shared" si="21"/>
        <v>0</v>
      </c>
      <c r="BH18" s="121">
        <f t="shared" si="22"/>
        <v>0</v>
      </c>
      <c r="BI18" s="121">
        <f t="shared" si="23"/>
        <v>0</v>
      </c>
      <c r="BJ18" s="121">
        <f t="shared" si="24"/>
        <v>0</v>
      </c>
      <c r="BK18" s="121">
        <f t="shared" si="25"/>
        <v>0</v>
      </c>
      <c r="BL18" s="121">
        <f t="shared" si="26"/>
        <v>0</v>
      </c>
      <c r="BM18" s="121">
        <f t="shared" si="27"/>
        <v>0</v>
      </c>
      <c r="BN18" s="121">
        <f t="shared" si="28"/>
        <v>0</v>
      </c>
      <c r="BO18" s="121">
        <f t="shared" si="29"/>
        <v>0</v>
      </c>
      <c r="BP18" s="121">
        <f t="shared" si="30"/>
        <v>0</v>
      </c>
      <c r="BQ18" s="199">
        <f>INDEX('GDP deflators'!$C$6:$M$36,MATCH('Bottom-up tagging'!$D18,'GDP deflators'!$B$6:$B$36,),MATCH('Bottom-up tagging'!$E18,'GDP deflators'!$C$5:$L$5,))/100</f>
        <v>1</v>
      </c>
      <c r="BR18" s="24">
        <v>55791200</v>
      </c>
    </row>
    <row r="19" spans="2:70" ht="26.15" hidden="1" customHeight="1">
      <c r="B19" s="110" t="s">
        <v>1411</v>
      </c>
      <c r="C19" s="110" t="s">
        <v>1415</v>
      </c>
      <c r="D19" s="110" t="s">
        <v>2057</v>
      </c>
      <c r="E19" s="103">
        <v>2015</v>
      </c>
      <c r="F19" s="108" t="s">
        <v>8230</v>
      </c>
      <c r="G19" s="111" t="s">
        <v>25</v>
      </c>
      <c r="H19" s="110" t="s">
        <v>10451</v>
      </c>
      <c r="I19" s="112">
        <f>IF(Dashboard!$B$16="Current USD",'Bottom-up tagging'!BR19,'Bottom-up tagging'!BR19/'Bottom-up tagging'!BQ19)</f>
        <v>43801342.107745312</v>
      </c>
      <c r="J19" s="117" t="s">
        <v>10474</v>
      </c>
      <c r="K19" s="112"/>
      <c r="L19" s="135">
        <v>1</v>
      </c>
      <c r="M19" s="135">
        <v>1</v>
      </c>
      <c r="N19" s="112"/>
      <c r="O19" s="112"/>
      <c r="P19" s="112" t="str">
        <f>VLOOKUP(B19, 'Companies covered restructured'!$B$7:$K$470, 9, FALSE)</f>
        <v>Agri marketplaces</v>
      </c>
      <c r="Q19" s="112" t="str">
        <f>VLOOKUP(B19, 'Companies covered restructured'!$B$7:$K$470, 6, FALSE)</f>
        <v>#Cross-cutting(100)</v>
      </c>
      <c r="R19" s="112" t="str">
        <f t="shared" si="0"/>
        <v>#Investment Fund(100)</v>
      </c>
      <c r="S19" s="112" t="s">
        <v>11003</v>
      </c>
      <c r="T19" s="112" t="s">
        <v>10466</v>
      </c>
      <c r="U19" s="103" t="s">
        <v>10970</v>
      </c>
      <c r="V19" s="112" t="str">
        <f>VLOOKUP(P19, 'Bottom-up Tagging Assumptions'!$B$12:$F$39, 5, FALSE)</f>
        <v>#Process Innovation(100)</v>
      </c>
      <c r="W19" s="112" t="str">
        <f>VLOOKUP(B19, 'Companies covered restructured'!$B$7:$K$470, 7, FALSE)</f>
        <v>#Farm/Household(100)</v>
      </c>
      <c r="X19" s="112" t="s">
        <v>10558</v>
      </c>
      <c r="Y19" s="211" t="s">
        <v>10989</v>
      </c>
      <c r="Z19" s="112" t="str">
        <f>VLOOKUP(P19, 'Bottom-up Tagging Assumptions'!$B$12:$F$56, 3, FALSE)</f>
        <v>#Improve price realization(P)</v>
      </c>
      <c r="AA19" s="112" t="str">
        <f>VLOOKUP(P19, 'Bottom-up Tagging Assumptions'!$B$12:$F$56, 4, FALSE)</f>
        <v>#Level 4(100)</v>
      </c>
      <c r="AB19" s="110" t="s">
        <v>2780</v>
      </c>
      <c r="AC19" s="110"/>
      <c r="AD19" s="110" t="s">
        <v>2781</v>
      </c>
      <c r="AE19" s="110" t="s">
        <v>3114</v>
      </c>
      <c r="AF19" s="112">
        <v>65736870</v>
      </c>
      <c r="AG19" s="110" t="s">
        <v>190</v>
      </c>
      <c r="AH19" s="121">
        <f t="shared" si="1"/>
        <v>0</v>
      </c>
      <c r="AI19" s="121">
        <f t="shared" si="2"/>
        <v>1</v>
      </c>
      <c r="AJ19" s="121">
        <f t="shared" si="3"/>
        <v>1</v>
      </c>
      <c r="AK19" s="121">
        <f t="shared" si="4"/>
        <v>0</v>
      </c>
      <c r="AL19" s="121">
        <f t="shared" si="5"/>
        <v>0</v>
      </c>
      <c r="AM19" s="121">
        <f t="shared" si="6"/>
        <v>0</v>
      </c>
      <c r="AN19" s="121">
        <f t="shared" si="7"/>
        <v>0</v>
      </c>
      <c r="AO19" s="121">
        <f t="shared" si="8"/>
        <v>0</v>
      </c>
      <c r="AP19" s="22">
        <f t="shared" si="9"/>
        <v>0</v>
      </c>
      <c r="AQ19" s="22">
        <f t="shared" si="10"/>
        <v>0</v>
      </c>
      <c r="AR19" s="22">
        <f t="shared" si="11"/>
        <v>0</v>
      </c>
      <c r="AS19" s="121" t="str">
        <f t="shared" si="12"/>
        <v>Cross-cutting</v>
      </c>
      <c r="AT19" s="121" t="str">
        <f t="shared" si="13"/>
        <v xml:space="preserve"> </v>
      </c>
      <c r="AU19" s="121" t="str">
        <f t="shared" si="13"/>
        <v xml:space="preserve"> </v>
      </c>
      <c r="AV19" s="121" t="str">
        <f t="shared" si="13"/>
        <v xml:space="preserve"> </v>
      </c>
      <c r="AW19" s="130" t="str">
        <f t="shared" si="14"/>
        <v>100</v>
      </c>
      <c r="AX19" s="130" t="str">
        <f t="shared" si="14"/>
        <v xml:space="preserve"> </v>
      </c>
      <c r="AY19" s="130" t="str">
        <f t="shared" si="14"/>
        <v xml:space="preserve"> </v>
      </c>
      <c r="AZ19" s="130" t="str">
        <f t="shared" si="14"/>
        <v xml:space="preserve"> </v>
      </c>
      <c r="BA19" s="121">
        <f t="shared" si="15"/>
        <v>43801342.107745312</v>
      </c>
      <c r="BB19" s="121">
        <f t="shared" si="16"/>
        <v>0</v>
      </c>
      <c r="BC19" s="121">
        <f t="shared" si="17"/>
        <v>0</v>
      </c>
      <c r="BD19" s="121">
        <f t="shared" si="18"/>
        <v>0</v>
      </c>
      <c r="BE19" s="121">
        <f t="shared" si="19"/>
        <v>0</v>
      </c>
      <c r="BF19" s="121">
        <f t="shared" si="20"/>
        <v>0</v>
      </c>
      <c r="BG19" s="121">
        <f t="shared" si="21"/>
        <v>0</v>
      </c>
      <c r="BH19" s="121">
        <f t="shared" si="22"/>
        <v>0</v>
      </c>
      <c r="BI19" s="121">
        <f t="shared" si="23"/>
        <v>0</v>
      </c>
      <c r="BJ19" s="121">
        <f t="shared" si="24"/>
        <v>0</v>
      </c>
      <c r="BK19" s="121">
        <f t="shared" si="25"/>
        <v>0</v>
      </c>
      <c r="BL19" s="121">
        <f t="shared" si="26"/>
        <v>0</v>
      </c>
      <c r="BM19" s="121">
        <f t="shared" si="27"/>
        <v>0</v>
      </c>
      <c r="BN19" s="121">
        <f t="shared" si="28"/>
        <v>0</v>
      </c>
      <c r="BO19" s="121">
        <f t="shared" si="29"/>
        <v>0</v>
      </c>
      <c r="BP19" s="121">
        <f t="shared" si="30"/>
        <v>0</v>
      </c>
      <c r="BQ19" s="199">
        <f>INDEX('GDP deflators'!$C$6:$M$36,MATCH('Bottom-up tagging'!$D19,'GDP deflators'!$B$6:$B$36,),MATCH('Bottom-up tagging'!$E19,'GDP deflators'!$C$5:$L$5,))/100</f>
        <v>1.1415175333442258</v>
      </c>
      <c r="BR19" s="24">
        <v>50000000</v>
      </c>
    </row>
    <row r="20" spans="2:70" ht="26.15" hidden="1" customHeight="1">
      <c r="B20" s="110" t="s">
        <v>3029</v>
      </c>
      <c r="C20" s="110" t="s">
        <v>3031</v>
      </c>
      <c r="D20" s="110" t="s">
        <v>3994</v>
      </c>
      <c r="E20" s="103">
        <v>2011</v>
      </c>
      <c r="F20" s="108" t="s">
        <v>10341</v>
      </c>
      <c r="G20" s="111" t="s">
        <v>528</v>
      </c>
      <c r="H20" s="110" t="s">
        <v>10451</v>
      </c>
      <c r="I20" s="112">
        <f>IF(Dashboard!$B$16="Current USD",'Bottom-up tagging'!BR20,'Bottom-up tagging'!BR20/'Bottom-up tagging'!BQ20)</f>
        <v>45983955.430829309</v>
      </c>
      <c r="J20" s="118" t="s">
        <v>10474</v>
      </c>
      <c r="K20" s="112"/>
      <c r="L20" s="135">
        <v>1</v>
      </c>
      <c r="M20" s="135">
        <v>1</v>
      </c>
      <c r="N20" s="112"/>
      <c r="O20" s="112"/>
      <c r="P20" s="112" t="str">
        <f>VLOOKUP(B20, 'Companies covered restructured'!$B$7:$K$470, 9, FALSE)</f>
        <v>Seed development and biotech</v>
      </c>
      <c r="Q20" s="112" t="str">
        <f>VLOOKUP(B20, 'Companies covered restructured'!$B$7:$K$470, 6, FALSE)</f>
        <v>#Crops(100)</v>
      </c>
      <c r="R20" s="112" t="str">
        <f t="shared" si="0"/>
        <v>N/A</v>
      </c>
      <c r="S20" s="112" t="s">
        <v>11003</v>
      </c>
      <c r="T20" s="112" t="s">
        <v>10466</v>
      </c>
      <c r="U20" s="103" t="s">
        <v>10970</v>
      </c>
      <c r="V20" s="112" t="str">
        <f>VLOOKUP(P20, 'Bottom-up Tagging Assumptions'!$B$12:$F$39, 5, FALSE)</f>
        <v>#Product Development(100)</v>
      </c>
      <c r="W20" s="112" t="str">
        <f>VLOOKUP(B20, 'Companies covered restructured'!$B$7:$K$470, 7, FALSE)</f>
        <v>#Landscape(100)</v>
      </c>
      <c r="X20" s="112" t="str">
        <f>VLOOKUP(B20, 'Companies covered restructured'!$B$7:$K$470, 8, FALSE)</f>
        <v>N/A</v>
      </c>
      <c r="Y20" s="212" t="str">
        <f>VLOOKUP(P20, 'Bottom-up Tagging Assumptions'!$B$12:$C$56, 2, FALSE)</f>
        <v>#Productivity(P); #Human Condition(S)</v>
      </c>
      <c r="Z20" s="112" t="str">
        <f>VLOOKUP(P20, 'Bottom-up Tagging Assumptions'!$B$12:$F$56, 3, FALSE)</f>
        <v>#Increasing crop or animal yield(P); #Improved nutrition(S)</v>
      </c>
      <c r="AA20" s="112" t="str">
        <f>VLOOKUP(P20, 'Bottom-up Tagging Assumptions'!$B$12:$F$56, 4, FALSE)</f>
        <v>#Level 1(100)</v>
      </c>
      <c r="AB20" s="110"/>
      <c r="AC20" s="110"/>
      <c r="AD20" s="110"/>
      <c r="AE20" s="110" t="s">
        <v>10558</v>
      </c>
      <c r="AF20" s="112">
        <v>65736870</v>
      </c>
      <c r="AG20" s="110" t="s">
        <v>190</v>
      </c>
      <c r="AH20" s="121">
        <f t="shared" si="1"/>
        <v>0</v>
      </c>
      <c r="AI20" s="121">
        <f t="shared" si="2"/>
        <v>1</v>
      </c>
      <c r="AJ20" s="121">
        <f t="shared" si="3"/>
        <v>0</v>
      </c>
      <c r="AK20" s="121">
        <f t="shared" si="4"/>
        <v>0</v>
      </c>
      <c r="AL20" s="121">
        <f t="shared" si="5"/>
        <v>1</v>
      </c>
      <c r="AM20" s="121">
        <f t="shared" si="6"/>
        <v>0</v>
      </c>
      <c r="AN20" s="121">
        <f t="shared" si="7"/>
        <v>1</v>
      </c>
      <c r="AO20" s="121">
        <f t="shared" si="8"/>
        <v>0</v>
      </c>
      <c r="AP20" s="22">
        <f t="shared" si="9"/>
        <v>0</v>
      </c>
      <c r="AQ20" s="22">
        <f t="shared" si="10"/>
        <v>45983955.430829309</v>
      </c>
      <c r="AR20" s="22">
        <f t="shared" si="11"/>
        <v>0</v>
      </c>
      <c r="AS20" s="121" t="str">
        <f t="shared" si="12"/>
        <v>Crops</v>
      </c>
      <c r="AT20" s="121" t="str">
        <f t="shared" si="13"/>
        <v xml:space="preserve"> </v>
      </c>
      <c r="AU20" s="121" t="str">
        <f t="shared" si="13"/>
        <v xml:space="preserve"> </v>
      </c>
      <c r="AV20" s="121" t="str">
        <f t="shared" si="13"/>
        <v xml:space="preserve"> </v>
      </c>
      <c r="AW20" s="130" t="str">
        <f t="shared" si="14"/>
        <v>100</v>
      </c>
      <c r="AX20" s="130" t="str">
        <f t="shared" si="14"/>
        <v xml:space="preserve"> </v>
      </c>
      <c r="AY20" s="130" t="str">
        <f t="shared" si="14"/>
        <v xml:space="preserve"> </v>
      </c>
      <c r="AZ20" s="130" t="str">
        <f t="shared" si="14"/>
        <v xml:space="preserve"> </v>
      </c>
      <c r="BA20" s="121">
        <f t="shared" si="15"/>
        <v>45983955.430829309</v>
      </c>
      <c r="BB20" s="121">
        <f t="shared" si="16"/>
        <v>0</v>
      </c>
      <c r="BC20" s="121">
        <f t="shared" si="17"/>
        <v>0</v>
      </c>
      <c r="BD20" s="121">
        <f t="shared" si="18"/>
        <v>0</v>
      </c>
      <c r="BE20" s="121">
        <f t="shared" si="19"/>
        <v>0</v>
      </c>
      <c r="BF20" s="121">
        <f t="shared" si="20"/>
        <v>0</v>
      </c>
      <c r="BG20" s="121">
        <f t="shared" si="21"/>
        <v>0</v>
      </c>
      <c r="BH20" s="121">
        <f t="shared" si="22"/>
        <v>0</v>
      </c>
      <c r="BI20" s="121">
        <f t="shared" si="23"/>
        <v>45983955.430829309</v>
      </c>
      <c r="BJ20" s="121">
        <f t="shared" si="24"/>
        <v>45983955.430829309</v>
      </c>
      <c r="BK20" s="121">
        <f t="shared" si="25"/>
        <v>45983955.430829309</v>
      </c>
      <c r="BL20" s="121">
        <f t="shared" si="26"/>
        <v>45983955.430829309</v>
      </c>
      <c r="BM20" s="121">
        <f t="shared" si="27"/>
        <v>0</v>
      </c>
      <c r="BN20" s="121">
        <f t="shared" si="28"/>
        <v>0</v>
      </c>
      <c r="BO20" s="121">
        <f t="shared" si="29"/>
        <v>0</v>
      </c>
      <c r="BP20" s="121">
        <f t="shared" si="30"/>
        <v>0</v>
      </c>
      <c r="BQ20" s="199">
        <f>INDEX('GDP deflators'!$C$6:$M$36,MATCH('Bottom-up tagging'!$D20,'GDP deflators'!$B$6:$B$36,),MATCH('Bottom-up tagging'!$E20,'GDP deflators'!$C$5:$L$5,))/100</f>
        <v>1.0873357790025646</v>
      </c>
      <c r="BR20" s="24">
        <v>50000000</v>
      </c>
    </row>
    <row r="21" spans="2:70" ht="26.15" hidden="1" customHeight="1">
      <c r="B21" s="110" t="s">
        <v>290</v>
      </c>
      <c r="C21" s="110" t="s">
        <v>293</v>
      </c>
      <c r="D21" s="110" t="s">
        <v>5333</v>
      </c>
      <c r="E21" s="103">
        <v>2017</v>
      </c>
      <c r="F21" s="108" t="s">
        <v>8582</v>
      </c>
      <c r="G21" s="111" t="s">
        <v>289</v>
      </c>
      <c r="H21" s="110" t="s">
        <v>10451</v>
      </c>
      <c r="I21" s="112">
        <f>IF(Dashboard!$B$16="Current USD",'Bottom-up tagging'!BR21,'Bottom-up tagging'!BR21/'Bottom-up tagging'!BQ21)</f>
        <v>7598992.0578318257</v>
      </c>
      <c r="J21" s="118" t="s">
        <v>10474</v>
      </c>
      <c r="K21" s="112"/>
      <c r="L21" s="135">
        <v>1</v>
      </c>
      <c r="M21" s="135">
        <v>1</v>
      </c>
      <c r="N21" s="112"/>
      <c r="O21" s="112"/>
      <c r="P21" s="112" t="str">
        <f>VLOOKUP(B21, 'Companies covered restructured'!$B$7:$K$470, 9, FALSE)</f>
        <v>Bio fertilizers (inputs)</v>
      </c>
      <c r="Q21" s="112" t="str">
        <f>VLOOKUP(B21, 'Companies covered restructured'!$B$7:$K$470, 6, FALSE)</f>
        <v>#Crops(100)</v>
      </c>
      <c r="R21" s="112" t="str">
        <f t="shared" si="0"/>
        <v>N/A</v>
      </c>
      <c r="S21" s="112" t="s">
        <v>11003</v>
      </c>
      <c r="T21" s="112" t="s">
        <v>10464</v>
      </c>
      <c r="U21" s="103" t="s">
        <v>10970</v>
      </c>
      <c r="V21" s="212" t="s">
        <v>10977</v>
      </c>
      <c r="W21" s="112" t="str">
        <f>VLOOKUP(B21, 'Companies covered restructured'!$B$7:$K$470, 7, FALSE)</f>
        <v>#Field/Animal Herd(100)</v>
      </c>
      <c r="X21" s="112" t="s">
        <v>10558</v>
      </c>
      <c r="Y21" s="212" t="str">
        <f>VLOOKUP(P21, 'Bottom-up Tagging Assumptions'!$B$12:$C$56, 2, FALSE)</f>
        <v>#Environmental(P); #Other economic(S)</v>
      </c>
      <c r="Z21" s="112" t="str">
        <f>VLOOKUP(P21, 'Bottom-up Tagging Assumptions'!$B$12:$F$56, 3, FALSE)</f>
        <v>#Improved soil quality(P)</v>
      </c>
      <c r="AA21" s="112" t="str">
        <f>VLOOKUP(P21, 'Bottom-up Tagging Assumptions'!$B$12:$F$56, 4, FALSE)</f>
        <v>#Level 2(100)</v>
      </c>
      <c r="AB21" s="110" t="s">
        <v>2168</v>
      </c>
      <c r="AC21" s="110"/>
      <c r="AD21" s="110"/>
      <c r="AE21" s="110" t="s">
        <v>10558</v>
      </c>
      <c r="AF21" s="112"/>
      <c r="AG21" s="110" t="s">
        <v>1260</v>
      </c>
      <c r="AH21" s="121">
        <f t="shared" si="1"/>
        <v>1</v>
      </c>
      <c r="AI21" s="121">
        <f t="shared" si="2"/>
        <v>0</v>
      </c>
      <c r="AJ21" s="121">
        <f t="shared" si="3"/>
        <v>1</v>
      </c>
      <c r="AK21" s="121">
        <f t="shared" si="4"/>
        <v>0</v>
      </c>
      <c r="AL21" s="121">
        <f t="shared" si="5"/>
        <v>0</v>
      </c>
      <c r="AM21" s="121">
        <f t="shared" si="6"/>
        <v>0</v>
      </c>
      <c r="AN21" s="121">
        <f t="shared" si="7"/>
        <v>1</v>
      </c>
      <c r="AO21" s="121">
        <f t="shared" si="8"/>
        <v>0</v>
      </c>
      <c r="AP21" s="22">
        <f t="shared" si="9"/>
        <v>0</v>
      </c>
      <c r="AQ21" s="22">
        <f t="shared" si="10"/>
        <v>7598992.0578318257</v>
      </c>
      <c r="AR21" s="22">
        <f t="shared" si="11"/>
        <v>0</v>
      </c>
      <c r="AS21" s="121" t="str">
        <f t="shared" si="12"/>
        <v>Crops</v>
      </c>
      <c r="AT21" s="121" t="str">
        <f t="shared" si="13"/>
        <v xml:space="preserve"> </v>
      </c>
      <c r="AU21" s="121" t="str">
        <f t="shared" si="13"/>
        <v xml:space="preserve"> </v>
      </c>
      <c r="AV21" s="121" t="str">
        <f t="shared" si="13"/>
        <v xml:space="preserve"> </v>
      </c>
      <c r="AW21" s="130" t="str">
        <f t="shared" si="14"/>
        <v>100</v>
      </c>
      <c r="AX21" s="130" t="str">
        <f t="shared" si="14"/>
        <v xml:space="preserve"> </v>
      </c>
      <c r="AY21" s="130" t="str">
        <f t="shared" si="14"/>
        <v xml:space="preserve"> </v>
      </c>
      <c r="AZ21" s="130" t="str">
        <f t="shared" si="14"/>
        <v xml:space="preserve"> </v>
      </c>
      <c r="BA21" s="121">
        <f t="shared" si="15"/>
        <v>7598992.0578318266</v>
      </c>
      <c r="BB21" s="121">
        <f t="shared" si="16"/>
        <v>0</v>
      </c>
      <c r="BC21" s="121">
        <f t="shared" si="17"/>
        <v>0</v>
      </c>
      <c r="BD21" s="121">
        <f t="shared" si="18"/>
        <v>0</v>
      </c>
      <c r="BE21" s="121">
        <f t="shared" si="19"/>
        <v>0</v>
      </c>
      <c r="BF21" s="121">
        <f t="shared" si="20"/>
        <v>0</v>
      </c>
      <c r="BG21" s="121">
        <f t="shared" si="21"/>
        <v>0</v>
      </c>
      <c r="BH21" s="121">
        <f t="shared" si="22"/>
        <v>0</v>
      </c>
      <c r="BI21" s="121">
        <f t="shared" si="23"/>
        <v>7598992.0578318266</v>
      </c>
      <c r="BJ21" s="121">
        <f t="shared" si="24"/>
        <v>7598992.0578318257</v>
      </c>
      <c r="BK21" s="121">
        <f t="shared" si="25"/>
        <v>7598992.0578318257</v>
      </c>
      <c r="BL21" s="121">
        <f t="shared" si="26"/>
        <v>7598992.0578318257</v>
      </c>
      <c r="BM21" s="121">
        <f t="shared" si="27"/>
        <v>0</v>
      </c>
      <c r="BN21" s="121">
        <f t="shared" si="28"/>
        <v>0</v>
      </c>
      <c r="BO21" s="121">
        <f t="shared" si="29"/>
        <v>0</v>
      </c>
      <c r="BP21" s="121">
        <f t="shared" si="30"/>
        <v>0</v>
      </c>
      <c r="BQ21" s="199">
        <f>INDEX('GDP deflators'!$C$6:$M$36,MATCH('Bottom-up tagging'!$D21,'GDP deflators'!$B$6:$B$36,),MATCH('Bottom-up tagging'!$E21,'GDP deflators'!$C$5:$L$5,))/100</f>
        <v>5.9218380092424487</v>
      </c>
      <c r="BR21" s="24">
        <v>45000000</v>
      </c>
    </row>
    <row r="22" spans="2:70" ht="26.15" hidden="1" customHeight="1">
      <c r="B22" s="110" t="s">
        <v>1120</v>
      </c>
      <c r="C22" s="110" t="s">
        <v>1124</v>
      </c>
      <c r="D22" s="110" t="s">
        <v>2057</v>
      </c>
      <c r="E22" s="103">
        <v>2017</v>
      </c>
      <c r="F22" s="108" t="s">
        <v>7809</v>
      </c>
      <c r="G22" s="111" t="s">
        <v>25</v>
      </c>
      <c r="H22" s="110" t="s">
        <v>10451</v>
      </c>
      <c r="I22" s="112">
        <f>IF(Dashboard!$B$16="Current USD",'Bottom-up tagging'!BR22,'Bottom-up tagging'!BR22/'Bottom-up tagging'!BQ22)</f>
        <v>36666218.98202391</v>
      </c>
      <c r="J22" s="105" t="s">
        <v>10474</v>
      </c>
      <c r="K22" s="112"/>
      <c r="L22" s="135">
        <v>1</v>
      </c>
      <c r="M22" s="135">
        <v>1</v>
      </c>
      <c r="N22" s="112"/>
      <c r="O22" s="112"/>
      <c r="P22" s="112" t="str">
        <f>VLOOKUP(B22, 'Companies covered restructured'!$B$7:$K$470, 9, FALSE)</f>
        <v>Agri input e-commerce platforms</v>
      </c>
      <c r="Q22" s="112" t="str">
        <f>VLOOKUP(B22, 'Companies covered restructured'!$B$7:$K$470, 6, FALSE)</f>
        <v>#Crops(100)</v>
      </c>
      <c r="R22" s="112" t="str">
        <f t="shared" si="0"/>
        <v>#Investment Fund(100)</v>
      </c>
      <c r="S22" s="112" t="s">
        <v>11003</v>
      </c>
      <c r="T22" s="112" t="s">
        <v>10466</v>
      </c>
      <c r="U22" s="103" t="s">
        <v>10970</v>
      </c>
      <c r="V22" s="112" t="str">
        <f>VLOOKUP(P22, 'Bottom-up Tagging Assumptions'!$B$12:$F$39, 5, FALSE)</f>
        <v>#Process Innovation(100)</v>
      </c>
      <c r="W22" s="112" t="str">
        <f>VLOOKUP(B22, 'Companies covered restructured'!$B$7:$K$470, 7, FALSE)</f>
        <v>#Field/Animal Herd(100)</v>
      </c>
      <c r="X22" s="112" t="s">
        <v>10558</v>
      </c>
      <c r="Y22" s="212" t="str">
        <f>VLOOKUP(P22, 'Bottom-up Tagging Assumptions'!$B$12:$C$56, 2, FALSE)</f>
        <v>#Other Economic(P); Productivity(S)</v>
      </c>
      <c r="Z22" s="112" t="str">
        <f>VLOOKUP(P22, 'Bottom-up Tagging Assumptions'!$B$12:$F$56, 3, FALSE)</f>
        <v>#Reduce cost of inputs(P)</v>
      </c>
      <c r="AA22" s="112" t="str">
        <f>VLOOKUP(P22, 'Bottom-up Tagging Assumptions'!$B$12:$F$56, 4, FALSE)</f>
        <v>#Level 1(100)</v>
      </c>
      <c r="AB22" s="110" t="s">
        <v>2064</v>
      </c>
      <c r="AC22" s="110"/>
      <c r="AD22" s="110" t="s">
        <v>2065</v>
      </c>
      <c r="AE22" s="110" t="s">
        <v>3114</v>
      </c>
      <c r="AF22" s="112">
        <v>5866696</v>
      </c>
      <c r="AG22" s="110" t="s">
        <v>165</v>
      </c>
      <c r="AH22" s="121">
        <f t="shared" si="1"/>
        <v>0</v>
      </c>
      <c r="AI22" s="121">
        <f t="shared" si="2"/>
        <v>1</v>
      </c>
      <c r="AJ22" s="121">
        <f t="shared" si="3"/>
        <v>1</v>
      </c>
      <c r="AK22" s="121">
        <f t="shared" si="4"/>
        <v>0</v>
      </c>
      <c r="AL22" s="121">
        <f t="shared" si="5"/>
        <v>0</v>
      </c>
      <c r="AM22" s="121">
        <f t="shared" si="6"/>
        <v>0</v>
      </c>
      <c r="AN22" s="121">
        <f t="shared" si="7"/>
        <v>0</v>
      </c>
      <c r="AO22" s="121">
        <f t="shared" si="8"/>
        <v>0</v>
      </c>
      <c r="AP22" s="22">
        <f t="shared" si="9"/>
        <v>0</v>
      </c>
      <c r="AQ22" s="22">
        <f t="shared" si="10"/>
        <v>0</v>
      </c>
      <c r="AR22" s="22">
        <f t="shared" si="11"/>
        <v>0</v>
      </c>
      <c r="AS22" s="121" t="str">
        <f t="shared" si="12"/>
        <v>Crops</v>
      </c>
      <c r="AT22" s="121" t="str">
        <f t="shared" si="13"/>
        <v xml:space="preserve"> </v>
      </c>
      <c r="AU22" s="121" t="str">
        <f t="shared" si="13"/>
        <v xml:space="preserve"> </v>
      </c>
      <c r="AV22" s="121" t="str">
        <f t="shared" si="13"/>
        <v xml:space="preserve"> </v>
      </c>
      <c r="AW22" s="130" t="str">
        <f t="shared" si="14"/>
        <v>100</v>
      </c>
      <c r="AX22" s="130" t="str">
        <f t="shared" si="14"/>
        <v xml:space="preserve"> </v>
      </c>
      <c r="AY22" s="130" t="str">
        <f t="shared" si="14"/>
        <v xml:space="preserve"> </v>
      </c>
      <c r="AZ22" s="130" t="str">
        <f t="shared" si="14"/>
        <v xml:space="preserve"> </v>
      </c>
      <c r="BA22" s="121">
        <f t="shared" si="15"/>
        <v>36666218.98202391</v>
      </c>
      <c r="BB22" s="121">
        <f t="shared" si="16"/>
        <v>0</v>
      </c>
      <c r="BC22" s="121">
        <f t="shared" si="17"/>
        <v>0</v>
      </c>
      <c r="BD22" s="121">
        <f t="shared" si="18"/>
        <v>0</v>
      </c>
      <c r="BE22" s="121">
        <f t="shared" si="19"/>
        <v>0</v>
      </c>
      <c r="BF22" s="121">
        <f t="shared" si="20"/>
        <v>0</v>
      </c>
      <c r="BG22" s="121">
        <f t="shared" si="21"/>
        <v>0</v>
      </c>
      <c r="BH22" s="121">
        <f t="shared" si="22"/>
        <v>0</v>
      </c>
      <c r="BI22" s="121">
        <f t="shared" si="23"/>
        <v>0</v>
      </c>
      <c r="BJ22" s="121">
        <f t="shared" si="24"/>
        <v>0</v>
      </c>
      <c r="BK22" s="121">
        <f t="shared" si="25"/>
        <v>0</v>
      </c>
      <c r="BL22" s="121">
        <f t="shared" si="26"/>
        <v>0</v>
      </c>
      <c r="BM22" s="121">
        <f t="shared" si="27"/>
        <v>0</v>
      </c>
      <c r="BN22" s="121">
        <f t="shared" si="28"/>
        <v>0</v>
      </c>
      <c r="BO22" s="121">
        <f t="shared" si="29"/>
        <v>0</v>
      </c>
      <c r="BP22" s="121">
        <f t="shared" si="30"/>
        <v>0</v>
      </c>
      <c r="BQ22" s="199">
        <f>INDEX('GDP deflators'!$C$6:$M$36,MATCH('Bottom-up tagging'!$D22,'GDP deflators'!$B$6:$B$36,),MATCH('Bottom-up tagging'!$E22,'GDP deflators'!$C$5:$L$5,))/100</f>
        <v>1.2065910592441995</v>
      </c>
      <c r="BR22" s="24">
        <v>44241132</v>
      </c>
    </row>
    <row r="23" spans="2:70" ht="26.15" hidden="1" customHeight="1">
      <c r="B23" s="110" t="s">
        <v>519</v>
      </c>
      <c r="C23" s="110" t="s">
        <v>522</v>
      </c>
      <c r="D23" s="110" t="s">
        <v>5333</v>
      </c>
      <c r="E23" s="103">
        <v>2020</v>
      </c>
      <c r="F23" s="108" t="s">
        <v>5337</v>
      </c>
      <c r="G23" s="111" t="s">
        <v>170</v>
      </c>
      <c r="H23" s="110" t="s">
        <v>10451</v>
      </c>
      <c r="I23" s="212">
        <v>0</v>
      </c>
      <c r="J23" s="105" t="s">
        <v>10474</v>
      </c>
      <c r="K23" s="112"/>
      <c r="L23" s="135">
        <v>1</v>
      </c>
      <c r="M23" s="135">
        <v>1</v>
      </c>
      <c r="N23" s="112"/>
      <c r="O23" s="112"/>
      <c r="P23" s="112" t="str">
        <f>VLOOKUP(B23, 'Companies covered restructured'!$B$7:$K$470, 9, FALSE)</f>
        <v>Biologicals</v>
      </c>
      <c r="Q23" s="112" t="str">
        <f>VLOOKUP(B23, 'Companies covered restructured'!$B$7:$K$470, 6, FALSE)</f>
        <v>#Crops(100)</v>
      </c>
      <c r="R23" s="112" t="str">
        <f t="shared" si="0"/>
        <v>N/A</v>
      </c>
      <c r="S23" s="112" t="s">
        <v>11003</v>
      </c>
      <c r="T23" s="112" t="s">
        <v>10466</v>
      </c>
      <c r="U23" s="103" t="s">
        <v>10970</v>
      </c>
      <c r="V23" s="112" t="str">
        <f>VLOOKUP(P23, 'Bottom-up Tagging Assumptions'!$B$12:$F$39, 5, FALSE)</f>
        <v>#Product Development(100)</v>
      </c>
      <c r="W23" s="112" t="str">
        <f>VLOOKUP(B23, 'Companies covered restructured'!$B$7:$K$470, 7, FALSE)</f>
        <v>#Field/Animal Herd(100)</v>
      </c>
      <c r="X23" s="112" t="s">
        <v>10558</v>
      </c>
      <c r="Y23" s="112" t="str">
        <f>VLOOKUP(P23, '[2]Bottom-up Tagging Assumptions'!$B$12:$F$56, 2, FALSE)</f>
        <v>#Other Economic(P); #Environmental(P)</v>
      </c>
      <c r="Z23" s="112" t="str">
        <f>VLOOKUP(P23, 'Bottom-up Tagging Assumptions'!$B$12:$F$56, 3, FALSE)</f>
        <v>#Waste reduction(P); #Improved biodiversity(S)</v>
      </c>
      <c r="AA23" s="112" t="str">
        <f>VLOOKUP(P23, 'Bottom-up Tagging Assumptions'!$B$12:$F$56, 4, FALSE)</f>
        <v>#Level 2(100)</v>
      </c>
      <c r="AB23" s="110" t="s">
        <v>521</v>
      </c>
      <c r="AC23" s="110"/>
      <c r="AD23" s="110"/>
      <c r="AE23" s="110" t="s">
        <v>10558</v>
      </c>
      <c r="AF23" s="112">
        <v>3160468</v>
      </c>
      <c r="AG23" s="110" t="s">
        <v>49</v>
      </c>
      <c r="AH23" s="121">
        <f t="shared" si="1"/>
        <v>1</v>
      </c>
      <c r="AI23" s="121">
        <f t="shared" si="2"/>
        <v>0</v>
      </c>
      <c r="AJ23" s="121">
        <f t="shared" si="3"/>
        <v>1</v>
      </c>
      <c r="AK23" s="121">
        <f t="shared" si="4"/>
        <v>0</v>
      </c>
      <c r="AL23" s="121">
        <f t="shared" si="5"/>
        <v>0</v>
      </c>
      <c r="AM23" s="121">
        <f t="shared" si="6"/>
        <v>0</v>
      </c>
      <c r="AN23" s="121">
        <f t="shared" si="7"/>
        <v>1</v>
      </c>
      <c r="AO23" s="121">
        <f t="shared" si="8"/>
        <v>0</v>
      </c>
      <c r="AP23" s="22">
        <f t="shared" si="9"/>
        <v>0</v>
      </c>
      <c r="AQ23" s="22">
        <f t="shared" si="10"/>
        <v>0</v>
      </c>
      <c r="AR23" s="22">
        <f t="shared" si="11"/>
        <v>0</v>
      </c>
      <c r="AS23" s="121" t="str">
        <f t="shared" si="12"/>
        <v>Crops</v>
      </c>
      <c r="AT23" s="121" t="str">
        <f t="shared" si="13"/>
        <v xml:space="preserve"> </v>
      </c>
      <c r="AU23" s="121" t="str">
        <f t="shared" si="13"/>
        <v xml:space="preserve"> </v>
      </c>
      <c r="AV23" s="121" t="str">
        <f t="shared" si="13"/>
        <v xml:space="preserve"> </v>
      </c>
      <c r="AW23" s="130" t="str">
        <f t="shared" si="14"/>
        <v>100</v>
      </c>
      <c r="AX23" s="130" t="str">
        <f t="shared" si="14"/>
        <v xml:space="preserve"> </v>
      </c>
      <c r="AY23" s="130" t="str">
        <f t="shared" si="14"/>
        <v xml:space="preserve"> </v>
      </c>
      <c r="AZ23" s="130" t="str">
        <f t="shared" si="14"/>
        <v xml:space="preserve"> </v>
      </c>
      <c r="BA23" s="121">
        <f t="shared" si="15"/>
        <v>0</v>
      </c>
      <c r="BB23" s="121">
        <f t="shared" si="16"/>
        <v>0</v>
      </c>
      <c r="BC23" s="121">
        <f t="shared" si="17"/>
        <v>0</v>
      </c>
      <c r="BD23" s="121">
        <f t="shared" si="18"/>
        <v>0</v>
      </c>
      <c r="BE23" s="121">
        <f t="shared" si="19"/>
        <v>0</v>
      </c>
      <c r="BF23" s="121">
        <f t="shared" si="20"/>
        <v>0</v>
      </c>
      <c r="BG23" s="121">
        <f t="shared" si="21"/>
        <v>0</v>
      </c>
      <c r="BH23" s="121">
        <f t="shared" si="22"/>
        <v>0</v>
      </c>
      <c r="BI23" s="121">
        <f t="shared" si="23"/>
        <v>0</v>
      </c>
      <c r="BJ23" s="121">
        <f t="shared" si="24"/>
        <v>0</v>
      </c>
      <c r="BK23" s="121">
        <f t="shared" si="25"/>
        <v>0</v>
      </c>
      <c r="BL23" s="121">
        <f t="shared" si="26"/>
        <v>0</v>
      </c>
      <c r="BM23" s="121">
        <f t="shared" si="27"/>
        <v>0</v>
      </c>
      <c r="BN23" s="121">
        <f t="shared" si="28"/>
        <v>0</v>
      </c>
      <c r="BO23" s="121">
        <f t="shared" si="29"/>
        <v>0</v>
      </c>
      <c r="BP23" s="121">
        <f t="shared" si="30"/>
        <v>0</v>
      </c>
      <c r="BQ23" s="199" t="e">
        <f>INDEX('GDP deflators'!$C$6:$M$36,MATCH('Bottom-up tagging'!$D23,'GDP deflators'!$B$6:$B$36,),MATCH('Bottom-up tagging'!$E23,'GDP deflators'!$C$5:$L$5,))/100</f>
        <v>#N/A</v>
      </c>
      <c r="BR23" s="24">
        <v>42500000</v>
      </c>
    </row>
    <row r="24" spans="2:70" ht="26.15" hidden="1" customHeight="1">
      <c r="B24" s="110" t="s">
        <v>544</v>
      </c>
      <c r="C24" s="110" t="s">
        <v>548</v>
      </c>
      <c r="D24" s="110" t="s">
        <v>5208</v>
      </c>
      <c r="E24" s="103">
        <v>2020</v>
      </c>
      <c r="F24" s="108" t="s">
        <v>6743</v>
      </c>
      <c r="G24" s="111" t="s">
        <v>25</v>
      </c>
      <c r="H24" s="110" t="s">
        <v>10451</v>
      </c>
      <c r="I24" s="212">
        <v>0</v>
      </c>
      <c r="J24" s="118" t="s">
        <v>10474</v>
      </c>
      <c r="K24" s="112"/>
      <c r="L24" s="135">
        <v>1</v>
      </c>
      <c r="M24" s="135">
        <v>1</v>
      </c>
      <c r="N24" s="112"/>
      <c r="O24" s="112"/>
      <c r="P24" s="112" t="str">
        <f>VLOOKUP(B24, 'Companies covered restructured'!$B$7:$K$470, 9, FALSE)</f>
        <v>Equipment automation</v>
      </c>
      <c r="Q24" s="112" t="str">
        <f>VLOOKUP(B24, 'Companies covered restructured'!$B$7:$K$470, 6, FALSE)</f>
        <v>#Crops(100)</v>
      </c>
      <c r="R24" s="112" t="str">
        <f t="shared" si="0"/>
        <v>#Corporate(100)</v>
      </c>
      <c r="S24" s="112" t="s">
        <v>11003</v>
      </c>
      <c r="T24" s="112" t="s">
        <v>10466</v>
      </c>
      <c r="U24" s="103" t="s">
        <v>10970</v>
      </c>
      <c r="V24" s="112" t="str">
        <f>VLOOKUP(P24, 'Bottom-up Tagging Assumptions'!$B$12:$F$39, 5, FALSE)</f>
        <v>#Science &amp; tech(100)</v>
      </c>
      <c r="W24" s="112" t="str">
        <f>VLOOKUP(B24, 'Companies covered restructured'!$B$7:$K$470, 7, FALSE)</f>
        <v>#Field/Animal Herd(100)</v>
      </c>
      <c r="X24" s="112" t="s">
        <v>10558</v>
      </c>
      <c r="Y24" s="112" t="str">
        <f>VLOOKUP(P24, '[2]Bottom-up Tagging Assumptions'!$B$12:$F$56, 2, FALSE)</f>
        <v>#Productivity(P); #Other Economic(S)</v>
      </c>
      <c r="Z24" s="112" t="str">
        <f>VLOOKUP(P24, 'Bottom-up Tagging Assumptions'!$B$12:$F$56, 3, FALSE)</f>
        <v>#Reducing human effort(P); #Increasing output per unit input(S)</v>
      </c>
      <c r="AA24" s="112" t="str">
        <f>VLOOKUP(P24, 'Bottom-up Tagging Assumptions'!$B$12:$F$56, 4, FALSE)</f>
        <v>#Level 1(100)</v>
      </c>
      <c r="AB24" s="110" t="s">
        <v>550</v>
      </c>
      <c r="AC24" s="110"/>
      <c r="AD24" s="110" t="s">
        <v>551</v>
      </c>
      <c r="AE24" s="110" t="str">
        <f>VLOOKUP(AD24,  '1.2'!$B$7:$C$2033, 2, FALSE)</f>
        <v>CORPORATE_INVESTOR</v>
      </c>
      <c r="AF24" s="112">
        <v>9059375</v>
      </c>
      <c r="AG24" s="110" t="s">
        <v>884</v>
      </c>
      <c r="AH24" s="121">
        <f t="shared" si="1"/>
        <v>0</v>
      </c>
      <c r="AI24" s="121">
        <f t="shared" si="2"/>
        <v>1</v>
      </c>
      <c r="AJ24" s="121">
        <f t="shared" si="3"/>
        <v>1</v>
      </c>
      <c r="AK24" s="121">
        <f t="shared" si="4"/>
        <v>0</v>
      </c>
      <c r="AL24" s="121">
        <f t="shared" si="5"/>
        <v>0</v>
      </c>
      <c r="AM24" s="121">
        <f t="shared" si="6"/>
        <v>0</v>
      </c>
      <c r="AN24" s="121">
        <f t="shared" si="7"/>
        <v>0</v>
      </c>
      <c r="AO24" s="121">
        <f t="shared" si="8"/>
        <v>0</v>
      </c>
      <c r="AP24" s="22">
        <f t="shared" si="9"/>
        <v>0</v>
      </c>
      <c r="AQ24" s="22">
        <f t="shared" si="10"/>
        <v>0</v>
      </c>
      <c r="AR24" s="22">
        <f t="shared" si="11"/>
        <v>0</v>
      </c>
      <c r="AS24" s="121" t="str">
        <f t="shared" si="12"/>
        <v>Crops</v>
      </c>
      <c r="AT24" s="121" t="str">
        <f t="shared" si="13"/>
        <v xml:space="preserve"> </v>
      </c>
      <c r="AU24" s="121" t="str">
        <f t="shared" si="13"/>
        <v xml:space="preserve"> </v>
      </c>
      <c r="AV24" s="121" t="str">
        <f t="shared" si="13"/>
        <v xml:space="preserve"> </v>
      </c>
      <c r="AW24" s="130" t="str">
        <f t="shared" si="14"/>
        <v>100</v>
      </c>
      <c r="AX24" s="130" t="str">
        <f t="shared" si="14"/>
        <v xml:space="preserve"> </v>
      </c>
      <c r="AY24" s="130" t="str">
        <f t="shared" si="14"/>
        <v xml:space="preserve"> </v>
      </c>
      <c r="AZ24" s="130" t="str">
        <f t="shared" si="14"/>
        <v xml:space="preserve"> </v>
      </c>
      <c r="BA24" s="121">
        <f t="shared" si="15"/>
        <v>0</v>
      </c>
      <c r="BB24" s="121">
        <f t="shared" si="16"/>
        <v>0</v>
      </c>
      <c r="BC24" s="121">
        <f t="shared" si="17"/>
        <v>0</v>
      </c>
      <c r="BD24" s="121">
        <f t="shared" si="18"/>
        <v>0</v>
      </c>
      <c r="BE24" s="121">
        <f t="shared" si="19"/>
        <v>0</v>
      </c>
      <c r="BF24" s="121">
        <f t="shared" si="20"/>
        <v>0</v>
      </c>
      <c r="BG24" s="121">
        <f t="shared" si="21"/>
        <v>0</v>
      </c>
      <c r="BH24" s="121">
        <f t="shared" si="22"/>
        <v>0</v>
      </c>
      <c r="BI24" s="121">
        <f t="shared" si="23"/>
        <v>0</v>
      </c>
      <c r="BJ24" s="121">
        <f t="shared" si="24"/>
        <v>0</v>
      </c>
      <c r="BK24" s="121">
        <f t="shared" si="25"/>
        <v>0</v>
      </c>
      <c r="BL24" s="121">
        <f t="shared" si="26"/>
        <v>0</v>
      </c>
      <c r="BM24" s="121">
        <f t="shared" si="27"/>
        <v>0</v>
      </c>
      <c r="BN24" s="121">
        <f t="shared" si="28"/>
        <v>0</v>
      </c>
      <c r="BO24" s="121">
        <f t="shared" si="29"/>
        <v>0</v>
      </c>
      <c r="BP24" s="121">
        <f t="shared" si="30"/>
        <v>0</v>
      </c>
      <c r="BQ24" s="199" t="e">
        <f>INDEX('GDP deflators'!$C$6:$M$36,MATCH('Bottom-up tagging'!$D24,'GDP deflators'!$B$6:$B$36,),MATCH('Bottom-up tagging'!$E24,'GDP deflators'!$C$5:$L$5,))/100</f>
        <v>#N/A</v>
      </c>
      <c r="BR24" s="24">
        <v>40000000</v>
      </c>
    </row>
    <row r="25" spans="2:70" ht="26.15" hidden="1" customHeight="1">
      <c r="B25" s="110" t="s">
        <v>1544</v>
      </c>
      <c r="C25" s="110" t="s">
        <v>1547</v>
      </c>
      <c r="D25" s="110" t="s">
        <v>2057</v>
      </c>
      <c r="E25" s="103">
        <v>2018</v>
      </c>
      <c r="F25" s="108" t="s">
        <v>7821</v>
      </c>
      <c r="G25" s="111" t="s">
        <v>25</v>
      </c>
      <c r="H25" s="110" t="s">
        <v>10451</v>
      </c>
      <c r="I25" s="112">
        <f>IF(Dashboard!$B$16="Current USD",'Bottom-up tagging'!BR25,'Bottom-up tagging'!BR25/'Bottom-up tagging'!BQ25)</f>
        <v>28827739.130040836</v>
      </c>
      <c r="J25" s="118" t="s">
        <v>10474</v>
      </c>
      <c r="K25" s="112"/>
      <c r="L25" s="135">
        <v>1</v>
      </c>
      <c r="M25" s="135">
        <v>1</v>
      </c>
      <c r="N25" s="112"/>
      <c r="O25" s="112"/>
      <c r="P25" s="112" t="str">
        <f>VLOOKUP(B25, 'Companies covered restructured'!$B$7:$K$470, 9, FALSE)</f>
        <v>Agri marketplaces</v>
      </c>
      <c r="Q25" s="112" t="str">
        <f>VLOOKUP(B25, 'Companies covered restructured'!$B$7:$K$470, 6, FALSE)</f>
        <v>#Crops(100)</v>
      </c>
      <c r="R25" s="112" t="str">
        <f t="shared" si="0"/>
        <v>#Corporate(100)</v>
      </c>
      <c r="S25" s="112" t="s">
        <v>11003</v>
      </c>
      <c r="T25" s="112" t="s">
        <v>10466</v>
      </c>
      <c r="U25" s="103" t="s">
        <v>10970</v>
      </c>
      <c r="V25" s="112" t="str">
        <f>VLOOKUP(P25, 'Bottom-up Tagging Assumptions'!$B$12:$F$39, 5, FALSE)</f>
        <v>#Process Innovation(100)</v>
      </c>
      <c r="W25" s="112" t="str">
        <f>VLOOKUP(B25, 'Companies covered restructured'!$B$7:$K$470, 7, FALSE)</f>
        <v>#Farm/Household(100)</v>
      </c>
      <c r="X25" s="112" t="s">
        <v>10558</v>
      </c>
      <c r="Y25" s="212" t="str">
        <f>VLOOKUP(P25, 'Bottom-up Tagging Assumptions'!$B$12:$C$56, 2, FALSE)</f>
        <v>#Other Economic(P); Social(S)</v>
      </c>
      <c r="Z25" s="112" t="str">
        <f>VLOOKUP(P25, 'Bottom-up Tagging Assumptions'!$B$12:$F$56, 3, FALSE)</f>
        <v>#Improve price realization(P)</v>
      </c>
      <c r="AA25" s="112" t="str">
        <f>VLOOKUP(P25, 'Bottom-up Tagging Assumptions'!$B$12:$F$56, 4, FALSE)</f>
        <v>#Level 4(100)</v>
      </c>
      <c r="AB25" s="110" t="s">
        <v>1832</v>
      </c>
      <c r="AC25" s="110"/>
      <c r="AD25" s="110" t="s">
        <v>1833</v>
      </c>
      <c r="AE25" s="110" t="s">
        <v>3139</v>
      </c>
      <c r="AF25" s="112">
        <v>20000000</v>
      </c>
      <c r="AG25" s="110" t="s">
        <v>1269</v>
      </c>
      <c r="AH25" s="121">
        <f t="shared" si="1"/>
        <v>0</v>
      </c>
      <c r="AI25" s="121">
        <f t="shared" si="2"/>
        <v>0</v>
      </c>
      <c r="AJ25" s="121">
        <f t="shared" si="3"/>
        <v>1</v>
      </c>
      <c r="AK25" s="121">
        <f t="shared" si="4"/>
        <v>1</v>
      </c>
      <c r="AL25" s="121">
        <f t="shared" si="5"/>
        <v>0</v>
      </c>
      <c r="AM25" s="121">
        <f t="shared" si="6"/>
        <v>0</v>
      </c>
      <c r="AN25" s="121">
        <f t="shared" si="7"/>
        <v>1</v>
      </c>
      <c r="AO25" s="121">
        <f t="shared" si="8"/>
        <v>0</v>
      </c>
      <c r="AP25" s="22">
        <f t="shared" si="9"/>
        <v>0</v>
      </c>
      <c r="AQ25" s="22">
        <f t="shared" si="10"/>
        <v>28827739.130040836</v>
      </c>
      <c r="AR25" s="22">
        <f t="shared" si="11"/>
        <v>0</v>
      </c>
      <c r="AS25" s="121" t="str">
        <f t="shared" si="12"/>
        <v>Crops</v>
      </c>
      <c r="AT25" s="121" t="str">
        <f t="shared" si="13"/>
        <v xml:space="preserve"> </v>
      </c>
      <c r="AU25" s="121" t="str">
        <f t="shared" si="13"/>
        <v xml:space="preserve"> </v>
      </c>
      <c r="AV25" s="121" t="str">
        <f t="shared" si="13"/>
        <v xml:space="preserve"> </v>
      </c>
      <c r="AW25" s="130" t="str">
        <f t="shared" si="14"/>
        <v>100</v>
      </c>
      <c r="AX25" s="130" t="str">
        <f t="shared" si="14"/>
        <v xml:space="preserve"> </v>
      </c>
      <c r="AY25" s="130" t="str">
        <f t="shared" si="14"/>
        <v xml:space="preserve"> </v>
      </c>
      <c r="AZ25" s="130" t="str">
        <f t="shared" si="14"/>
        <v xml:space="preserve"> </v>
      </c>
      <c r="BA25" s="121">
        <f t="shared" si="15"/>
        <v>28827739.130040836</v>
      </c>
      <c r="BB25" s="121">
        <f t="shared" si="16"/>
        <v>0</v>
      </c>
      <c r="BC25" s="121">
        <f t="shared" si="17"/>
        <v>0</v>
      </c>
      <c r="BD25" s="121">
        <f t="shared" si="18"/>
        <v>0</v>
      </c>
      <c r="BE25" s="121">
        <f t="shared" si="19"/>
        <v>0</v>
      </c>
      <c r="BF25" s="121">
        <f t="shared" si="20"/>
        <v>0</v>
      </c>
      <c r="BG25" s="121">
        <f t="shared" si="21"/>
        <v>0</v>
      </c>
      <c r="BH25" s="121">
        <f t="shared" si="22"/>
        <v>0</v>
      </c>
      <c r="BI25" s="121">
        <f t="shared" si="23"/>
        <v>28827739.130040836</v>
      </c>
      <c r="BJ25" s="121">
        <f t="shared" si="24"/>
        <v>28827739.130040836</v>
      </c>
      <c r="BK25" s="121">
        <f t="shared" si="25"/>
        <v>28827739.130040836</v>
      </c>
      <c r="BL25" s="121">
        <f t="shared" si="26"/>
        <v>28827739.130040836</v>
      </c>
      <c r="BM25" s="121">
        <f t="shared" si="27"/>
        <v>0</v>
      </c>
      <c r="BN25" s="121">
        <f t="shared" si="28"/>
        <v>0</v>
      </c>
      <c r="BO25" s="121">
        <f t="shared" si="29"/>
        <v>0</v>
      </c>
      <c r="BP25" s="121">
        <f t="shared" si="30"/>
        <v>0</v>
      </c>
      <c r="BQ25" s="199">
        <f>INDEX('GDP deflators'!$C$6:$M$36,MATCH('Bottom-up tagging'!$D25,'GDP deflators'!$B$6:$B$36,),MATCH('Bottom-up tagging'!$E25,'GDP deflators'!$C$5:$L$5,))/100</f>
        <v>1.2487972031939574</v>
      </c>
      <c r="BR25" s="24">
        <v>36000000</v>
      </c>
    </row>
    <row r="26" spans="2:70" ht="26.15" hidden="1" customHeight="1">
      <c r="B26" s="110" t="s">
        <v>185</v>
      </c>
      <c r="C26" s="110" t="s">
        <v>189</v>
      </c>
      <c r="D26" s="110" t="s">
        <v>3994</v>
      </c>
      <c r="E26" s="103">
        <v>2020</v>
      </c>
      <c r="F26" s="108" t="s">
        <v>6465</v>
      </c>
      <c r="G26" s="111" t="s">
        <v>95</v>
      </c>
      <c r="H26" s="110" t="s">
        <v>10451</v>
      </c>
      <c r="I26" s="212">
        <v>0</v>
      </c>
      <c r="J26" s="105" t="s">
        <v>10474</v>
      </c>
      <c r="K26" s="112"/>
      <c r="L26" s="135">
        <v>1</v>
      </c>
      <c r="M26" s="135">
        <v>1</v>
      </c>
      <c r="N26" s="112"/>
      <c r="O26" s="112"/>
      <c r="P26" s="112" t="str">
        <f>VLOOKUP(B26, 'Companies covered restructured'!$B$7:$K$470, 9, FALSE)</f>
        <v>Agri marketplaces</v>
      </c>
      <c r="Q26" s="112" t="str">
        <f>VLOOKUP(B26, 'Companies covered restructured'!$B$7:$K$470, 6, FALSE)</f>
        <v>#Crops(100)</v>
      </c>
      <c r="R26" s="112" t="str">
        <f t="shared" si="0"/>
        <v>#Investment Fund(100)</v>
      </c>
      <c r="S26" s="112" t="s">
        <v>11003</v>
      </c>
      <c r="T26" s="112" t="s">
        <v>10466</v>
      </c>
      <c r="U26" s="103" t="s">
        <v>10970</v>
      </c>
      <c r="V26" s="112" t="str">
        <f>VLOOKUP(P26, 'Bottom-up Tagging Assumptions'!$B$12:$F$39, 5, FALSE)</f>
        <v>#Process Innovation(100)</v>
      </c>
      <c r="W26" s="112" t="str">
        <f>VLOOKUP(B26, 'Companies covered restructured'!$B$7:$K$470, 7, FALSE)</f>
        <v>#Field/Animal Herd(100)</v>
      </c>
      <c r="X26" s="112" t="s">
        <v>10558</v>
      </c>
      <c r="Y26" s="112" t="str">
        <f>VLOOKUP(P26, '[2]Bottom-up Tagging Assumptions'!$B$12:$F$56, 2, FALSE)</f>
        <v>#Other Economic(P); Social(S)</v>
      </c>
      <c r="Z26" s="112" t="str">
        <f>VLOOKUP(P26, 'Bottom-up Tagging Assumptions'!$B$12:$F$56, 3, FALSE)</f>
        <v>#Improve price realization(P)</v>
      </c>
      <c r="AA26" s="112" t="str">
        <f>VLOOKUP(P26, 'Bottom-up Tagging Assumptions'!$B$12:$F$56, 4, FALSE)</f>
        <v>#Level 4(100)</v>
      </c>
      <c r="AB26" s="110" t="s">
        <v>542</v>
      </c>
      <c r="AC26" s="110"/>
      <c r="AD26" s="110" t="s">
        <v>543</v>
      </c>
      <c r="AE26" s="110" t="str">
        <f>VLOOKUP(AD26,  '1.2'!$B$7:$C$2033, 2, FALSE)</f>
        <v>FUND</v>
      </c>
      <c r="AF26" s="112">
        <v>2500000</v>
      </c>
      <c r="AG26" s="110" t="s">
        <v>169</v>
      </c>
      <c r="AH26" s="121">
        <f t="shared" si="1"/>
        <v>0</v>
      </c>
      <c r="AI26" s="121">
        <f t="shared" si="2"/>
        <v>0</v>
      </c>
      <c r="AJ26" s="121">
        <f t="shared" si="3"/>
        <v>1</v>
      </c>
      <c r="AK26" s="121">
        <f t="shared" si="4"/>
        <v>1</v>
      </c>
      <c r="AL26" s="121">
        <f t="shared" si="5"/>
        <v>0</v>
      </c>
      <c r="AM26" s="121">
        <f t="shared" si="6"/>
        <v>0</v>
      </c>
      <c r="AN26" s="121">
        <f t="shared" si="7"/>
        <v>1</v>
      </c>
      <c r="AO26" s="121">
        <f t="shared" si="8"/>
        <v>0</v>
      </c>
      <c r="AP26" s="22">
        <f t="shared" si="9"/>
        <v>0</v>
      </c>
      <c r="AQ26" s="22">
        <f t="shared" si="10"/>
        <v>0</v>
      </c>
      <c r="AR26" s="22">
        <f t="shared" si="11"/>
        <v>0</v>
      </c>
      <c r="AS26" s="121" t="str">
        <f t="shared" si="12"/>
        <v>Crops</v>
      </c>
      <c r="AT26" s="121" t="str">
        <f t="shared" si="13"/>
        <v xml:space="preserve"> </v>
      </c>
      <c r="AU26" s="121" t="str">
        <f t="shared" si="13"/>
        <v xml:space="preserve"> </v>
      </c>
      <c r="AV26" s="121" t="str">
        <f t="shared" si="13"/>
        <v xml:space="preserve"> </v>
      </c>
      <c r="AW26" s="130" t="str">
        <f t="shared" si="14"/>
        <v>100</v>
      </c>
      <c r="AX26" s="130" t="str">
        <f t="shared" si="14"/>
        <v xml:space="preserve"> </v>
      </c>
      <c r="AY26" s="130" t="str">
        <f t="shared" si="14"/>
        <v xml:space="preserve"> </v>
      </c>
      <c r="AZ26" s="130" t="str">
        <f t="shared" si="14"/>
        <v xml:space="preserve"> </v>
      </c>
      <c r="BA26" s="121">
        <f t="shared" si="15"/>
        <v>0</v>
      </c>
      <c r="BB26" s="121">
        <f t="shared" si="16"/>
        <v>0</v>
      </c>
      <c r="BC26" s="121">
        <f t="shared" si="17"/>
        <v>0</v>
      </c>
      <c r="BD26" s="121">
        <f t="shared" si="18"/>
        <v>0</v>
      </c>
      <c r="BE26" s="121">
        <f t="shared" si="19"/>
        <v>0</v>
      </c>
      <c r="BF26" s="121">
        <f t="shared" si="20"/>
        <v>0</v>
      </c>
      <c r="BG26" s="121">
        <f t="shared" si="21"/>
        <v>0</v>
      </c>
      <c r="BH26" s="121">
        <f t="shared" si="22"/>
        <v>0</v>
      </c>
      <c r="BI26" s="121">
        <f t="shared" si="23"/>
        <v>0</v>
      </c>
      <c r="BJ26" s="121">
        <f t="shared" si="24"/>
        <v>0</v>
      </c>
      <c r="BK26" s="121">
        <f t="shared" si="25"/>
        <v>0</v>
      </c>
      <c r="BL26" s="121">
        <f t="shared" si="26"/>
        <v>0</v>
      </c>
      <c r="BM26" s="121">
        <f t="shared" si="27"/>
        <v>0</v>
      </c>
      <c r="BN26" s="121">
        <f t="shared" si="28"/>
        <v>0</v>
      </c>
      <c r="BO26" s="121">
        <f t="shared" si="29"/>
        <v>0</v>
      </c>
      <c r="BP26" s="121">
        <f t="shared" si="30"/>
        <v>0</v>
      </c>
      <c r="BQ26" s="199" t="e">
        <f>INDEX('GDP deflators'!$C$6:$M$36,MATCH('Bottom-up tagging'!$D26,'GDP deflators'!$B$6:$B$36,),MATCH('Bottom-up tagging'!$E26,'GDP deflators'!$C$5:$L$5,))/100</f>
        <v>#N/A</v>
      </c>
      <c r="BR26" s="24">
        <v>35100200</v>
      </c>
    </row>
    <row r="27" spans="2:70" ht="26.15" hidden="1" customHeight="1">
      <c r="B27" s="110" t="s">
        <v>96</v>
      </c>
      <c r="C27" s="110" t="s">
        <v>100</v>
      </c>
      <c r="D27" s="110" t="s">
        <v>3994</v>
      </c>
      <c r="E27" s="103">
        <v>2018</v>
      </c>
      <c r="F27" s="108" t="s">
        <v>8260</v>
      </c>
      <c r="G27" s="111" t="s">
        <v>25</v>
      </c>
      <c r="H27" s="110" t="s">
        <v>10451</v>
      </c>
      <c r="I27" s="112">
        <f>IF(Dashboard!$B$16="Current USD",'Bottom-up tagging'!BR27,'Bottom-up tagging'!BR27/'Bottom-up tagging'!BQ27)</f>
        <v>23545853.457454648</v>
      </c>
      <c r="J27" s="117" t="s">
        <v>10474</v>
      </c>
      <c r="K27" s="112"/>
      <c r="L27" s="135">
        <v>1</v>
      </c>
      <c r="M27" s="135">
        <v>1</v>
      </c>
      <c r="N27" s="112"/>
      <c r="O27" s="112"/>
      <c r="P27" s="112" t="str">
        <f>VLOOKUP(B27, 'Companies covered restructured'!$B$7:$K$470, 9, FALSE)</f>
        <v>Agri marketplaces</v>
      </c>
      <c r="Q27" s="112" t="str">
        <f>VLOOKUP(B27, 'Companies covered restructured'!$B$7:$K$470, 6, FALSE)</f>
        <v>#Crops(100)</v>
      </c>
      <c r="R27" s="112" t="str">
        <f t="shared" si="0"/>
        <v>#Investment Fund(100)</v>
      </c>
      <c r="S27" s="112" t="s">
        <v>11003</v>
      </c>
      <c r="T27" s="112" t="s">
        <v>10466</v>
      </c>
      <c r="U27" s="103" t="s">
        <v>10970</v>
      </c>
      <c r="V27" s="112" t="str">
        <f>VLOOKUP(P27, 'Bottom-up Tagging Assumptions'!$B$12:$F$39, 5, FALSE)</f>
        <v>#Process Innovation(100)</v>
      </c>
      <c r="W27" s="112" t="str">
        <f>VLOOKUP(B27, 'Companies covered restructured'!$B$7:$K$470, 7, FALSE)</f>
        <v>#Farm/Household(100)</v>
      </c>
      <c r="X27" s="112" t="s">
        <v>10558</v>
      </c>
      <c r="Y27" s="212" t="str">
        <f>VLOOKUP(P27, 'Bottom-up Tagging Assumptions'!$B$12:$C$56, 2, FALSE)</f>
        <v>#Other Economic(P); Social(S)</v>
      </c>
      <c r="Z27" s="112" t="str">
        <f>VLOOKUP(P27, 'Bottom-up Tagging Assumptions'!$B$12:$F$56, 3, FALSE)</f>
        <v>#Improve price realization(P)</v>
      </c>
      <c r="AA27" s="112" t="str">
        <f>VLOOKUP(P27, 'Bottom-up Tagging Assumptions'!$B$12:$F$56, 4, FALSE)</f>
        <v>#Level 4(100)</v>
      </c>
      <c r="AB27" s="110" t="s">
        <v>1303</v>
      </c>
      <c r="AC27" s="110" t="s">
        <v>1304</v>
      </c>
      <c r="AD27" s="110" t="s">
        <v>1305</v>
      </c>
      <c r="AE27" s="110" t="s">
        <v>3114</v>
      </c>
      <c r="AF27" s="112">
        <v>163285834</v>
      </c>
      <c r="AG27" s="110" t="s">
        <v>101</v>
      </c>
      <c r="AH27" s="121">
        <f t="shared" si="1"/>
        <v>0</v>
      </c>
      <c r="AI27" s="121">
        <f t="shared" si="2"/>
        <v>0</v>
      </c>
      <c r="AJ27" s="121">
        <f t="shared" si="3"/>
        <v>1</v>
      </c>
      <c r="AK27" s="121">
        <f t="shared" si="4"/>
        <v>1</v>
      </c>
      <c r="AL27" s="121">
        <f t="shared" si="5"/>
        <v>0</v>
      </c>
      <c r="AM27" s="121">
        <f t="shared" si="6"/>
        <v>0</v>
      </c>
      <c r="AN27" s="121">
        <f t="shared" si="7"/>
        <v>1</v>
      </c>
      <c r="AO27" s="121">
        <f t="shared" si="8"/>
        <v>0</v>
      </c>
      <c r="AP27" s="22">
        <f t="shared" si="9"/>
        <v>0</v>
      </c>
      <c r="AQ27" s="22">
        <f t="shared" si="10"/>
        <v>23545853.457454648</v>
      </c>
      <c r="AR27" s="22">
        <f t="shared" si="11"/>
        <v>0</v>
      </c>
      <c r="AS27" s="121" t="str">
        <f t="shared" si="12"/>
        <v>Crops</v>
      </c>
      <c r="AT27" s="121" t="str">
        <f t="shared" si="13"/>
        <v xml:space="preserve"> </v>
      </c>
      <c r="AU27" s="121" t="str">
        <f t="shared" si="13"/>
        <v xml:space="preserve"> </v>
      </c>
      <c r="AV27" s="121" t="str">
        <f t="shared" si="13"/>
        <v xml:space="preserve"> </v>
      </c>
      <c r="AW27" s="130" t="str">
        <f t="shared" si="14"/>
        <v>100</v>
      </c>
      <c r="AX27" s="130" t="str">
        <f t="shared" si="14"/>
        <v xml:space="preserve"> </v>
      </c>
      <c r="AY27" s="130" t="str">
        <f t="shared" si="14"/>
        <v xml:space="preserve"> </v>
      </c>
      <c r="AZ27" s="130" t="str">
        <f t="shared" si="14"/>
        <v xml:space="preserve"> </v>
      </c>
      <c r="BA27" s="121">
        <f t="shared" si="15"/>
        <v>23545853.457454648</v>
      </c>
      <c r="BB27" s="121">
        <f t="shared" si="16"/>
        <v>0</v>
      </c>
      <c r="BC27" s="121">
        <f t="shared" si="17"/>
        <v>0</v>
      </c>
      <c r="BD27" s="121">
        <f t="shared" si="18"/>
        <v>0</v>
      </c>
      <c r="BE27" s="121">
        <f t="shared" si="19"/>
        <v>0</v>
      </c>
      <c r="BF27" s="121">
        <f t="shared" si="20"/>
        <v>0</v>
      </c>
      <c r="BG27" s="121">
        <f t="shared" si="21"/>
        <v>0</v>
      </c>
      <c r="BH27" s="121">
        <f t="shared" si="22"/>
        <v>0</v>
      </c>
      <c r="BI27" s="121">
        <f t="shared" si="23"/>
        <v>23545853.457454648</v>
      </c>
      <c r="BJ27" s="121">
        <f t="shared" si="24"/>
        <v>23545853.457454648</v>
      </c>
      <c r="BK27" s="121">
        <f t="shared" si="25"/>
        <v>23545853.457454648</v>
      </c>
      <c r="BL27" s="121">
        <f t="shared" si="26"/>
        <v>23545853.457454648</v>
      </c>
      <c r="BM27" s="121">
        <f t="shared" si="27"/>
        <v>0</v>
      </c>
      <c r="BN27" s="121">
        <f t="shared" si="28"/>
        <v>0</v>
      </c>
      <c r="BO27" s="121">
        <f t="shared" si="29"/>
        <v>0</v>
      </c>
      <c r="BP27" s="121">
        <f t="shared" si="30"/>
        <v>0</v>
      </c>
      <c r="BQ27" s="199">
        <f>INDEX('GDP deflators'!$C$6:$M$36,MATCH('Bottom-up tagging'!$D27,'GDP deflators'!$B$6:$B$36,),MATCH('Bottom-up tagging'!$E27,'GDP deflators'!$C$5:$L$5,))/100</f>
        <v>1.4753935363936217</v>
      </c>
      <c r="BR27" s="24">
        <v>34739400</v>
      </c>
    </row>
    <row r="28" spans="2:70" ht="26.15" hidden="1" customHeight="1">
      <c r="B28" s="110" t="s">
        <v>1652</v>
      </c>
      <c r="C28" s="110" t="s">
        <v>1656</v>
      </c>
      <c r="D28" s="110" t="s">
        <v>2057</v>
      </c>
      <c r="E28" s="103">
        <v>2018</v>
      </c>
      <c r="F28" s="108" t="s">
        <v>7747</v>
      </c>
      <c r="G28" s="111" t="s">
        <v>95</v>
      </c>
      <c r="H28" s="110" t="s">
        <v>10451</v>
      </c>
      <c r="I28" s="112">
        <f>IF(Dashboard!$B$16="Current USD",'Bottom-up tagging'!BR28,'Bottom-up tagging'!BR28/'Bottom-up tagging'!BQ28)</f>
        <v>25151161.389269821</v>
      </c>
      <c r="J28" s="118" t="s">
        <v>10474</v>
      </c>
      <c r="K28" s="112"/>
      <c r="L28" s="135">
        <v>1</v>
      </c>
      <c r="M28" s="135">
        <v>1</v>
      </c>
      <c r="N28" s="112"/>
      <c r="O28" s="112"/>
      <c r="P28" s="112" t="str">
        <f>VLOOKUP(B28, 'Companies covered restructured'!$B$7:$K$470, 9, FALSE)</f>
        <v>Agri marketplaces</v>
      </c>
      <c r="Q28" s="112" t="str">
        <f>VLOOKUP(B28, 'Companies covered restructured'!$B$7:$K$470, 6, FALSE)</f>
        <v>#Fisheries and Aquaculture(100)</v>
      </c>
      <c r="R28" s="112" t="str">
        <f t="shared" si="0"/>
        <v>N/A</v>
      </c>
      <c r="S28" s="112" t="s">
        <v>11003</v>
      </c>
      <c r="T28" s="112" t="s">
        <v>10466</v>
      </c>
      <c r="U28" s="103" t="s">
        <v>10970</v>
      </c>
      <c r="V28" s="112" t="str">
        <f>VLOOKUP(P28, 'Bottom-up Tagging Assumptions'!$B$12:$F$39, 5, FALSE)</f>
        <v>#Process Innovation(100)</v>
      </c>
      <c r="W28" s="112" t="str">
        <f>VLOOKUP(B28, 'Companies covered restructured'!$B$7:$K$470, 7, FALSE)</f>
        <v>#Farm/Household(100)</v>
      </c>
      <c r="X28" s="112" t="s">
        <v>10558</v>
      </c>
      <c r="Y28" s="212" t="str">
        <f>VLOOKUP(P28, 'Bottom-up Tagging Assumptions'!$B$12:$C$56, 2, FALSE)</f>
        <v>#Other Economic(P); Social(S)</v>
      </c>
      <c r="Z28" s="112" t="str">
        <f>VLOOKUP(P28, 'Bottom-up Tagging Assumptions'!$B$12:$F$56, 3, FALSE)</f>
        <v>#Improve price realization(P)</v>
      </c>
      <c r="AA28" s="112" t="str">
        <f>VLOOKUP(P28, 'Bottom-up Tagging Assumptions'!$B$12:$F$56, 4, FALSE)</f>
        <v>#Level 4(100)</v>
      </c>
      <c r="AB28" s="110" t="s">
        <v>1654</v>
      </c>
      <c r="AC28" s="110"/>
      <c r="AD28" s="110"/>
      <c r="AE28" s="110" t="s">
        <v>10558</v>
      </c>
      <c r="AF28" s="112">
        <v>567108</v>
      </c>
      <c r="AG28" s="110" t="s">
        <v>1195</v>
      </c>
      <c r="AH28" s="121">
        <f t="shared" si="1"/>
        <v>0</v>
      </c>
      <c r="AI28" s="121">
        <f t="shared" si="2"/>
        <v>0</v>
      </c>
      <c r="AJ28" s="121">
        <f t="shared" si="3"/>
        <v>1</v>
      </c>
      <c r="AK28" s="121">
        <f t="shared" si="4"/>
        <v>1</v>
      </c>
      <c r="AL28" s="121">
        <f t="shared" si="5"/>
        <v>0</v>
      </c>
      <c r="AM28" s="121">
        <f t="shared" si="6"/>
        <v>0</v>
      </c>
      <c r="AN28" s="121">
        <f t="shared" si="7"/>
        <v>1</v>
      </c>
      <c r="AO28" s="121">
        <f t="shared" si="8"/>
        <v>0</v>
      </c>
      <c r="AP28" s="22">
        <f t="shared" si="9"/>
        <v>0</v>
      </c>
      <c r="AQ28" s="22">
        <f t="shared" si="10"/>
        <v>25151161.389269821</v>
      </c>
      <c r="AR28" s="22">
        <f t="shared" si="11"/>
        <v>0</v>
      </c>
      <c r="AS28" s="121" t="str">
        <f t="shared" si="12"/>
        <v>Fisheries and Aquaculture</v>
      </c>
      <c r="AT28" s="121" t="str">
        <f t="shared" si="13"/>
        <v xml:space="preserve"> </v>
      </c>
      <c r="AU28" s="121" t="str">
        <f t="shared" si="13"/>
        <v xml:space="preserve"> </v>
      </c>
      <c r="AV28" s="121" t="str">
        <f t="shared" si="13"/>
        <v xml:space="preserve"> </v>
      </c>
      <c r="AW28" s="130" t="str">
        <f t="shared" si="14"/>
        <v>100</v>
      </c>
      <c r="AX28" s="130" t="str">
        <f t="shared" si="14"/>
        <v xml:space="preserve"> </v>
      </c>
      <c r="AY28" s="130" t="str">
        <f t="shared" si="14"/>
        <v xml:space="preserve"> </v>
      </c>
      <c r="AZ28" s="130" t="str">
        <f t="shared" si="14"/>
        <v xml:space="preserve"> </v>
      </c>
      <c r="BA28" s="121">
        <f t="shared" si="15"/>
        <v>25151161.389269818</v>
      </c>
      <c r="BB28" s="121">
        <f t="shared" si="16"/>
        <v>0</v>
      </c>
      <c r="BC28" s="121">
        <f t="shared" si="17"/>
        <v>0</v>
      </c>
      <c r="BD28" s="121">
        <f t="shared" si="18"/>
        <v>0</v>
      </c>
      <c r="BE28" s="121">
        <f t="shared" si="19"/>
        <v>0</v>
      </c>
      <c r="BF28" s="121">
        <f t="shared" si="20"/>
        <v>0</v>
      </c>
      <c r="BG28" s="121">
        <f t="shared" si="21"/>
        <v>0</v>
      </c>
      <c r="BH28" s="121">
        <f t="shared" si="22"/>
        <v>0</v>
      </c>
      <c r="BI28" s="121">
        <f t="shared" si="23"/>
        <v>25151161.389269818</v>
      </c>
      <c r="BJ28" s="121">
        <f t="shared" si="24"/>
        <v>25151161.389269821</v>
      </c>
      <c r="BK28" s="121">
        <f t="shared" si="25"/>
        <v>25151161.389269821</v>
      </c>
      <c r="BL28" s="121">
        <f t="shared" si="26"/>
        <v>25151161.389269821</v>
      </c>
      <c r="BM28" s="121">
        <f t="shared" si="27"/>
        <v>0</v>
      </c>
      <c r="BN28" s="121">
        <f t="shared" si="28"/>
        <v>0</v>
      </c>
      <c r="BO28" s="121">
        <f t="shared" si="29"/>
        <v>0</v>
      </c>
      <c r="BP28" s="121">
        <f t="shared" si="30"/>
        <v>0</v>
      </c>
      <c r="BQ28" s="199">
        <f>INDEX('GDP deflators'!$C$6:$M$36,MATCH('Bottom-up tagging'!$D28,'GDP deflators'!$B$6:$B$36,),MATCH('Bottom-up tagging'!$E28,'GDP deflators'!$C$5:$L$5,))/100</f>
        <v>1.2487972031939574</v>
      </c>
      <c r="BR28" s="24">
        <v>31408700</v>
      </c>
    </row>
    <row r="29" spans="2:70" ht="26.15" hidden="1" customHeight="1">
      <c r="B29" s="110" t="s">
        <v>1171</v>
      </c>
      <c r="C29" s="110" t="s">
        <v>1175</v>
      </c>
      <c r="D29" s="110" t="s">
        <v>3994</v>
      </c>
      <c r="E29" s="103">
        <v>2019</v>
      </c>
      <c r="F29" s="108" t="s">
        <v>8395</v>
      </c>
      <c r="G29" s="111" t="s">
        <v>95</v>
      </c>
      <c r="H29" s="110" t="s">
        <v>10451</v>
      </c>
      <c r="I29" s="112">
        <f>IF(Dashboard!$B$16="Current USD",'Bottom-up tagging'!BR29,'Bottom-up tagging'!BR29/'Bottom-up tagging'!BQ29)</f>
        <v>20657462.522408627</v>
      </c>
      <c r="J29" s="105" t="s">
        <v>10474</v>
      </c>
      <c r="K29" s="112"/>
      <c r="L29" s="135">
        <v>1</v>
      </c>
      <c r="M29" s="135">
        <v>1</v>
      </c>
      <c r="N29" s="112"/>
      <c r="O29" s="112"/>
      <c r="P29" s="112" t="str">
        <f>VLOOKUP(B29, 'Companies covered restructured'!$B$7:$K$470, 9, FALSE)</f>
        <v>Farmer engagement platforms (including marketplaces and information platforms)</v>
      </c>
      <c r="Q29" s="112" t="str">
        <f>VLOOKUP(B29, 'Companies covered restructured'!$B$7:$K$470, 6, FALSE)</f>
        <v>#Crops(100)</v>
      </c>
      <c r="R29" s="112" t="str">
        <f t="shared" si="0"/>
        <v>#Investment Fund(100)</v>
      </c>
      <c r="S29" s="112" t="s">
        <v>11003</v>
      </c>
      <c r="T29" s="112" t="s">
        <v>10466</v>
      </c>
      <c r="U29" s="213" t="s">
        <v>10970</v>
      </c>
      <c r="V29" s="112" t="str">
        <f>VLOOKUP(P29, 'Bottom-up Tagging Assumptions'!$B$12:$F$39, 5, FALSE)</f>
        <v>#Process Innovation(100)</v>
      </c>
      <c r="W29" s="112" t="str">
        <f>VLOOKUP(B29, 'Companies covered restructured'!$B$7:$K$470, 7, FALSE)</f>
        <v>#Field/Animal Herd(100)</v>
      </c>
      <c r="X29" s="112" t="s">
        <v>10558</v>
      </c>
      <c r="Y29" s="212" t="str">
        <f>VLOOKUP(P29, 'Bottom-up Tagging Assumptions'!$B$12:$C$56, 2, FALSE)</f>
        <v>#Other Economic(P); #Productivity(S)</v>
      </c>
      <c r="Z29" s="112" t="str">
        <f>VLOOKUP(P29, 'Bottom-up Tagging Assumptions'!$B$12:$F$56, 3, FALSE)</f>
        <v>#Improve price realization(P); #Increasing crop or animal yield(S)</v>
      </c>
      <c r="AA29" s="112" t="str">
        <f>VLOOKUP(P29, 'Bottom-up Tagging Assumptions'!$B$12:$F$56, 4, FALSE)</f>
        <v>#Level 4(100)</v>
      </c>
      <c r="AB29" s="110" t="s">
        <v>1173</v>
      </c>
      <c r="AC29" s="110"/>
      <c r="AD29" s="110" t="s">
        <v>1174</v>
      </c>
      <c r="AE29" s="110" t="str">
        <f>VLOOKUP(AD29,  '1.2'!$B$7:$C$2033, 2, FALSE)</f>
        <v>FUND</v>
      </c>
      <c r="AF29" s="112">
        <v>274805</v>
      </c>
      <c r="AG29" s="110" t="s">
        <v>1280</v>
      </c>
      <c r="AH29" s="121">
        <f t="shared" si="1"/>
        <v>0</v>
      </c>
      <c r="AI29" s="121">
        <f t="shared" si="2"/>
        <v>1</v>
      </c>
      <c r="AJ29" s="121">
        <f t="shared" si="3"/>
        <v>1</v>
      </c>
      <c r="AK29" s="121">
        <f t="shared" si="4"/>
        <v>0</v>
      </c>
      <c r="AL29" s="121">
        <f t="shared" si="5"/>
        <v>0</v>
      </c>
      <c r="AM29" s="121">
        <f t="shared" si="6"/>
        <v>0</v>
      </c>
      <c r="AN29" s="121">
        <f t="shared" si="7"/>
        <v>0</v>
      </c>
      <c r="AO29" s="121">
        <f t="shared" si="8"/>
        <v>0</v>
      </c>
      <c r="AP29" s="22">
        <f t="shared" si="9"/>
        <v>0</v>
      </c>
      <c r="AQ29" s="22">
        <f t="shared" si="10"/>
        <v>0</v>
      </c>
      <c r="AR29" s="22">
        <f t="shared" si="11"/>
        <v>0</v>
      </c>
      <c r="AS29" s="121" t="str">
        <f t="shared" si="12"/>
        <v>Crops</v>
      </c>
      <c r="AT29" s="121" t="str">
        <f t="shared" si="13"/>
        <v xml:space="preserve"> </v>
      </c>
      <c r="AU29" s="121" t="str">
        <f t="shared" si="13"/>
        <v xml:space="preserve"> </v>
      </c>
      <c r="AV29" s="121" t="str">
        <f t="shared" si="13"/>
        <v xml:space="preserve"> </v>
      </c>
      <c r="AW29" s="130" t="str">
        <f t="shared" si="14"/>
        <v>100</v>
      </c>
      <c r="AX29" s="130" t="str">
        <f t="shared" si="14"/>
        <v xml:space="preserve"> </v>
      </c>
      <c r="AY29" s="130" t="str">
        <f t="shared" si="14"/>
        <v xml:space="preserve"> </v>
      </c>
      <c r="AZ29" s="130" t="str">
        <f t="shared" si="14"/>
        <v xml:space="preserve"> </v>
      </c>
      <c r="BA29" s="121">
        <f t="shared" si="15"/>
        <v>20657462.522408627</v>
      </c>
      <c r="BB29" s="121">
        <f t="shared" si="16"/>
        <v>0</v>
      </c>
      <c r="BC29" s="121">
        <f t="shared" si="17"/>
        <v>0</v>
      </c>
      <c r="BD29" s="121">
        <f t="shared" si="18"/>
        <v>0</v>
      </c>
      <c r="BE29" s="121">
        <f t="shared" si="19"/>
        <v>0</v>
      </c>
      <c r="BF29" s="121">
        <f t="shared" si="20"/>
        <v>0</v>
      </c>
      <c r="BG29" s="121">
        <f t="shared" si="21"/>
        <v>0</v>
      </c>
      <c r="BH29" s="121">
        <f t="shared" si="22"/>
        <v>0</v>
      </c>
      <c r="BI29" s="121">
        <f t="shared" si="23"/>
        <v>0</v>
      </c>
      <c r="BJ29" s="121">
        <f t="shared" si="24"/>
        <v>0</v>
      </c>
      <c r="BK29" s="121">
        <f t="shared" si="25"/>
        <v>0</v>
      </c>
      <c r="BL29" s="121">
        <f t="shared" si="26"/>
        <v>0</v>
      </c>
      <c r="BM29" s="121">
        <f t="shared" si="27"/>
        <v>0</v>
      </c>
      <c r="BN29" s="121">
        <f t="shared" si="28"/>
        <v>0</v>
      </c>
      <c r="BO29" s="121">
        <f t="shared" si="29"/>
        <v>0</v>
      </c>
      <c r="BP29" s="121">
        <f t="shared" si="30"/>
        <v>0</v>
      </c>
      <c r="BQ29" s="199">
        <f>INDEX('GDP deflators'!$C$6:$M$36,MATCH('Bottom-up tagging'!$D29,'GDP deflators'!$B$6:$B$36,),MATCH('Bottom-up tagging'!$E29,'GDP deflators'!$C$5:$L$5,))/100</f>
        <v>1.5094883975306472</v>
      </c>
      <c r="BR29" s="24">
        <v>31182200</v>
      </c>
    </row>
    <row r="30" spans="2:70" ht="26.15" hidden="1" customHeight="1">
      <c r="B30" s="110" t="s">
        <v>228</v>
      </c>
      <c r="C30" s="110" t="s">
        <v>234</v>
      </c>
      <c r="D30" s="110" t="s">
        <v>11148</v>
      </c>
      <c r="E30" s="103">
        <v>2020</v>
      </c>
      <c r="F30" s="108" t="s">
        <v>7793</v>
      </c>
      <c r="G30" s="111" t="s">
        <v>95</v>
      </c>
      <c r="H30" s="110" t="s">
        <v>10451</v>
      </c>
      <c r="I30" s="212">
        <v>0</v>
      </c>
      <c r="J30" s="118" t="s">
        <v>10474</v>
      </c>
      <c r="K30" s="112"/>
      <c r="L30" s="135">
        <v>1</v>
      </c>
      <c r="M30" s="135">
        <v>1</v>
      </c>
      <c r="N30" s="112"/>
      <c r="O30" s="112"/>
      <c r="P30" s="112" t="str">
        <f>VLOOKUP(B30, 'Companies covered restructured'!$B$7:$K$470, 9, FALSE)</f>
        <v>AI/analytics based advisory algorithms (incl. weather)</v>
      </c>
      <c r="Q30" s="112" t="str">
        <f>VLOOKUP(B30, 'Companies covered restructured'!$B$7:$K$470, 6, FALSE)</f>
        <v>#Crops(100)</v>
      </c>
      <c r="R30" s="112" t="str">
        <f t="shared" si="0"/>
        <v>#Corporate(100)</v>
      </c>
      <c r="S30" s="112" t="s">
        <v>11003</v>
      </c>
      <c r="T30" s="112" t="s">
        <v>10466</v>
      </c>
      <c r="U30" s="103" t="s">
        <v>10970</v>
      </c>
      <c r="V30" s="112" t="str">
        <f>VLOOKUP(P30, 'Bottom-up Tagging Assumptions'!$B$12:$F$39, 5, FALSE)</f>
        <v>#Science &amp; tech(100)</v>
      </c>
      <c r="W30" s="112" t="str">
        <f>VLOOKUP(B30, 'Companies covered restructured'!$B$7:$K$470, 7, FALSE)</f>
        <v>#Field/Animal Herd(100)</v>
      </c>
      <c r="X30" s="112" t="s">
        <v>10558</v>
      </c>
      <c r="Y30" s="112" t="str">
        <f>VLOOKUP(P30, '[2]Bottom-up Tagging Assumptions'!$B$12:$F$56, 2, FALSE)</f>
        <v>#Other Economic(P); #Productivity(S)</v>
      </c>
      <c r="Z30" s="112" t="str">
        <f>VLOOKUP(P30, 'Bottom-up Tagging Assumptions'!$B$12:$F$56, 3, FALSE)</f>
        <v>#Increasing output per unit input(P); #Increasing crop or animal yield(S)</v>
      </c>
      <c r="AA30" s="112" t="str">
        <f>VLOOKUP(P30, 'Bottom-up Tagging Assumptions'!$B$12:$F$56, 4, FALSE)</f>
        <v>#Level 1(100)</v>
      </c>
      <c r="AB30" s="110" t="s">
        <v>230</v>
      </c>
      <c r="AC30" s="110" t="s">
        <v>231</v>
      </c>
      <c r="AD30" s="110" t="s">
        <v>232</v>
      </c>
      <c r="AE30" s="110" t="s">
        <v>3139</v>
      </c>
      <c r="AF30" s="112">
        <v>650000</v>
      </c>
      <c r="AG30" s="110" t="s">
        <v>1287</v>
      </c>
      <c r="AH30" s="121">
        <f t="shared" si="1"/>
        <v>0</v>
      </c>
      <c r="AI30" s="121">
        <f t="shared" si="2"/>
        <v>1</v>
      </c>
      <c r="AJ30" s="121">
        <f t="shared" si="3"/>
        <v>1</v>
      </c>
      <c r="AK30" s="121">
        <f t="shared" si="4"/>
        <v>0</v>
      </c>
      <c r="AL30" s="121">
        <f t="shared" si="5"/>
        <v>0</v>
      </c>
      <c r="AM30" s="121">
        <f t="shared" si="6"/>
        <v>0</v>
      </c>
      <c r="AN30" s="121">
        <f t="shared" si="7"/>
        <v>0</v>
      </c>
      <c r="AO30" s="121">
        <f t="shared" si="8"/>
        <v>0</v>
      </c>
      <c r="AP30" s="22">
        <f t="shared" si="9"/>
        <v>0</v>
      </c>
      <c r="AQ30" s="22">
        <f t="shared" si="10"/>
        <v>0</v>
      </c>
      <c r="AR30" s="22">
        <f t="shared" si="11"/>
        <v>0</v>
      </c>
      <c r="AS30" s="121" t="str">
        <f t="shared" si="12"/>
        <v>Crops</v>
      </c>
      <c r="AT30" s="121" t="str">
        <f t="shared" si="13"/>
        <v xml:space="preserve"> </v>
      </c>
      <c r="AU30" s="121" t="str">
        <f t="shared" si="13"/>
        <v xml:space="preserve"> </v>
      </c>
      <c r="AV30" s="121" t="str">
        <f t="shared" si="13"/>
        <v xml:space="preserve"> </v>
      </c>
      <c r="AW30" s="130" t="str">
        <f t="shared" si="14"/>
        <v>100</v>
      </c>
      <c r="AX30" s="130" t="str">
        <f t="shared" si="14"/>
        <v xml:space="preserve"> </v>
      </c>
      <c r="AY30" s="130" t="str">
        <f t="shared" si="14"/>
        <v xml:space="preserve"> </v>
      </c>
      <c r="AZ30" s="130" t="str">
        <f t="shared" si="14"/>
        <v xml:space="preserve"> </v>
      </c>
      <c r="BA30" s="121">
        <f t="shared" si="15"/>
        <v>0</v>
      </c>
      <c r="BB30" s="121">
        <f t="shared" si="16"/>
        <v>0</v>
      </c>
      <c r="BC30" s="121">
        <f t="shared" si="17"/>
        <v>0</v>
      </c>
      <c r="BD30" s="121">
        <f t="shared" si="18"/>
        <v>0</v>
      </c>
      <c r="BE30" s="121">
        <f t="shared" si="19"/>
        <v>0</v>
      </c>
      <c r="BF30" s="121">
        <f t="shared" si="20"/>
        <v>0</v>
      </c>
      <c r="BG30" s="121">
        <f t="shared" si="21"/>
        <v>0</v>
      </c>
      <c r="BH30" s="121">
        <f t="shared" si="22"/>
        <v>0</v>
      </c>
      <c r="BI30" s="121">
        <f t="shared" si="23"/>
        <v>0</v>
      </c>
      <c r="BJ30" s="121">
        <f t="shared" si="24"/>
        <v>0</v>
      </c>
      <c r="BK30" s="121">
        <f t="shared" si="25"/>
        <v>0</v>
      </c>
      <c r="BL30" s="121">
        <f t="shared" si="26"/>
        <v>0</v>
      </c>
      <c r="BM30" s="121">
        <f t="shared" si="27"/>
        <v>0</v>
      </c>
      <c r="BN30" s="121">
        <f t="shared" si="28"/>
        <v>0</v>
      </c>
      <c r="BO30" s="121">
        <f t="shared" si="29"/>
        <v>0</v>
      </c>
      <c r="BP30" s="121">
        <f t="shared" si="30"/>
        <v>0</v>
      </c>
      <c r="BQ30" s="199" t="e">
        <f>INDEX('GDP deflators'!$C$6:$M$36,MATCH('Bottom-up tagging'!$D30,'GDP deflators'!$B$6:$B$36,),MATCH('Bottom-up tagging'!$E30,'GDP deflators'!$C$5:$L$5,))/100</f>
        <v>#N/A</v>
      </c>
      <c r="BR30" s="24">
        <v>30000000</v>
      </c>
    </row>
    <row r="31" spans="2:70" ht="26.15" hidden="1" customHeight="1">
      <c r="B31" s="110" t="s">
        <v>628</v>
      </c>
      <c r="C31" s="110" t="s">
        <v>632</v>
      </c>
      <c r="D31" s="110" t="s">
        <v>3994</v>
      </c>
      <c r="E31" s="103">
        <v>2019</v>
      </c>
      <c r="F31" s="108" t="s">
        <v>7984</v>
      </c>
      <c r="G31" s="111" t="s">
        <v>627</v>
      </c>
      <c r="H31" s="110" t="s">
        <v>10451</v>
      </c>
      <c r="I31" s="112">
        <f>IF(Dashboard!$B$16="Current USD",'Bottom-up tagging'!BR31,'Bottom-up tagging'!BR31/'Bottom-up tagging'!BQ31)</f>
        <v>19874283.266487252</v>
      </c>
      <c r="J31" s="117" t="s">
        <v>10474</v>
      </c>
      <c r="K31" s="112"/>
      <c r="L31" s="135">
        <v>1</v>
      </c>
      <c r="M31" s="135">
        <v>1</v>
      </c>
      <c r="N31" s="112"/>
      <c r="O31" s="112"/>
      <c r="P31" s="112" t="str">
        <f>VLOOKUP(B31, 'Companies covered restructured'!$B$7:$K$470, 9, FALSE)</f>
        <v>Agri marketplaces</v>
      </c>
      <c r="Q31" s="112" t="str">
        <f>VLOOKUP(B31, 'Companies covered restructured'!$B$7:$K$470, 6, FALSE)</f>
        <v>#Livestock(100)</v>
      </c>
      <c r="R31" s="112" t="str">
        <f t="shared" si="0"/>
        <v>#Investment Fund(100)</v>
      </c>
      <c r="S31" s="112" t="s">
        <v>11003</v>
      </c>
      <c r="T31" s="112" t="s">
        <v>10466</v>
      </c>
      <c r="U31" s="116" t="s">
        <v>10970</v>
      </c>
      <c r="V31" s="112" t="str">
        <f>VLOOKUP(P31, 'Bottom-up Tagging Assumptions'!$B$12:$F$39, 5, FALSE)</f>
        <v>#Process Innovation(100)</v>
      </c>
      <c r="W31" s="112" t="str">
        <f>VLOOKUP(B31, 'Companies covered restructured'!$B$7:$K$470, 7, FALSE)</f>
        <v>#Farm/Household(100)</v>
      </c>
      <c r="X31" s="112" t="s">
        <v>10558</v>
      </c>
      <c r="Y31" s="212" t="str">
        <f>VLOOKUP(P31, 'Bottom-up Tagging Assumptions'!$B$12:$C$56, 2, FALSE)</f>
        <v>#Other Economic(P); Social(S)</v>
      </c>
      <c r="Z31" s="112" t="str">
        <f>VLOOKUP(P31, 'Bottom-up Tagging Assumptions'!$B$12:$F$56, 3, FALSE)</f>
        <v>#Improve price realization(P)</v>
      </c>
      <c r="AA31" s="112" t="str">
        <f>VLOOKUP(P31, 'Bottom-up Tagging Assumptions'!$B$12:$F$56, 4, FALSE)</f>
        <v>#Level 4(100)</v>
      </c>
      <c r="AB31" s="110" t="s">
        <v>630</v>
      </c>
      <c r="AC31" s="110"/>
      <c r="AD31" s="110" t="s">
        <v>631</v>
      </c>
      <c r="AE31" s="110" t="str">
        <f>VLOOKUP(AD31,  '1.2'!$B$7:$C$2033, 2, FALSE)</f>
        <v>FUND</v>
      </c>
      <c r="AF31" s="112">
        <v>195480</v>
      </c>
      <c r="AG31" s="110" t="s">
        <v>1294</v>
      </c>
      <c r="AH31" s="121">
        <f t="shared" si="1"/>
        <v>0</v>
      </c>
      <c r="AI31" s="121">
        <f t="shared" si="2"/>
        <v>0</v>
      </c>
      <c r="AJ31" s="121">
        <f t="shared" si="3"/>
        <v>1</v>
      </c>
      <c r="AK31" s="121">
        <f t="shared" si="4"/>
        <v>1</v>
      </c>
      <c r="AL31" s="121">
        <f t="shared" si="5"/>
        <v>0</v>
      </c>
      <c r="AM31" s="121">
        <f t="shared" si="6"/>
        <v>0</v>
      </c>
      <c r="AN31" s="121">
        <f t="shared" si="7"/>
        <v>1</v>
      </c>
      <c r="AO31" s="121">
        <f t="shared" si="8"/>
        <v>0</v>
      </c>
      <c r="AP31" s="22">
        <f t="shared" si="9"/>
        <v>0</v>
      </c>
      <c r="AQ31" s="22">
        <f t="shared" si="10"/>
        <v>19874283.266487252</v>
      </c>
      <c r="AR31" s="22">
        <f t="shared" si="11"/>
        <v>0</v>
      </c>
      <c r="AS31" s="121" t="str">
        <f t="shared" si="12"/>
        <v>Livestock</v>
      </c>
      <c r="AT31" s="121" t="str">
        <f t="shared" si="13"/>
        <v xml:space="preserve"> </v>
      </c>
      <c r="AU31" s="121" t="str">
        <f t="shared" si="13"/>
        <v xml:space="preserve"> </v>
      </c>
      <c r="AV31" s="121" t="str">
        <f t="shared" si="13"/>
        <v xml:space="preserve"> </v>
      </c>
      <c r="AW31" s="130" t="str">
        <f t="shared" si="14"/>
        <v>100</v>
      </c>
      <c r="AX31" s="130" t="str">
        <f t="shared" si="14"/>
        <v xml:space="preserve"> </v>
      </c>
      <c r="AY31" s="130" t="str">
        <f t="shared" si="14"/>
        <v xml:space="preserve"> </v>
      </c>
      <c r="AZ31" s="130" t="str">
        <f t="shared" si="14"/>
        <v xml:space="preserve"> </v>
      </c>
      <c r="BA31" s="121">
        <f t="shared" si="15"/>
        <v>19874283.266487252</v>
      </c>
      <c r="BB31" s="121">
        <f t="shared" si="16"/>
        <v>0</v>
      </c>
      <c r="BC31" s="121">
        <f t="shared" si="17"/>
        <v>0</v>
      </c>
      <c r="BD31" s="121">
        <f t="shared" si="18"/>
        <v>0</v>
      </c>
      <c r="BE31" s="121">
        <f t="shared" si="19"/>
        <v>0</v>
      </c>
      <c r="BF31" s="121">
        <f t="shared" si="20"/>
        <v>0</v>
      </c>
      <c r="BG31" s="121">
        <f t="shared" si="21"/>
        <v>0</v>
      </c>
      <c r="BH31" s="121">
        <f t="shared" si="22"/>
        <v>0</v>
      </c>
      <c r="BI31" s="121">
        <f t="shared" si="23"/>
        <v>19874283.266487252</v>
      </c>
      <c r="BJ31" s="121">
        <f t="shared" si="24"/>
        <v>19874283.266487252</v>
      </c>
      <c r="BK31" s="121">
        <f t="shared" si="25"/>
        <v>19874283.266487252</v>
      </c>
      <c r="BL31" s="121">
        <f t="shared" si="26"/>
        <v>19874283.266487252</v>
      </c>
      <c r="BM31" s="121">
        <f t="shared" si="27"/>
        <v>0</v>
      </c>
      <c r="BN31" s="121">
        <f t="shared" si="28"/>
        <v>0</v>
      </c>
      <c r="BO31" s="121">
        <f t="shared" si="29"/>
        <v>0</v>
      </c>
      <c r="BP31" s="121">
        <f t="shared" si="30"/>
        <v>0</v>
      </c>
      <c r="BQ31" s="199">
        <f>INDEX('GDP deflators'!$C$6:$M$36,MATCH('Bottom-up tagging'!$D31,'GDP deflators'!$B$6:$B$36,),MATCH('Bottom-up tagging'!$E31,'GDP deflators'!$C$5:$L$5,))/100</f>
        <v>1.5094883975306472</v>
      </c>
      <c r="BR31" s="24">
        <v>30000000</v>
      </c>
    </row>
    <row r="32" spans="2:70" ht="26.15" customHeight="1">
      <c r="B32" s="110" t="s">
        <v>473</v>
      </c>
      <c r="C32" s="110" t="s">
        <v>475</v>
      </c>
      <c r="D32" s="110" t="s">
        <v>5391</v>
      </c>
      <c r="E32" s="103">
        <v>2019</v>
      </c>
      <c r="F32" s="108" t="s">
        <v>5547</v>
      </c>
      <c r="G32" s="111" t="s">
        <v>95</v>
      </c>
      <c r="H32" s="110" t="s">
        <v>10451</v>
      </c>
      <c r="I32" s="112">
        <f>IF(Dashboard!$B$16="Current USD",'Bottom-up tagging'!BR32,'Bottom-up tagging'!BR32/'Bottom-up tagging'!BQ32)</f>
        <v>15877004.579822993</v>
      </c>
      <c r="J32" s="117" t="s">
        <v>10474</v>
      </c>
      <c r="K32" s="112"/>
      <c r="L32" s="135">
        <v>1</v>
      </c>
      <c r="M32" s="135">
        <v>1</v>
      </c>
      <c r="N32" s="112"/>
      <c r="O32" s="112"/>
      <c r="P32" s="112" t="str">
        <f>VLOOKUP(B32, 'Companies covered restructured'!$B$7:$K$470, 9, FALSE)</f>
        <v>Agri marketplaces</v>
      </c>
      <c r="Q32" s="112" t="str">
        <f>VLOOKUP(B32, 'Companies covered restructured'!$B$7:$K$470, 6, FALSE)</f>
        <v>#Crops(100)</v>
      </c>
      <c r="R32" s="112" t="str">
        <f t="shared" si="0"/>
        <v>#Investment Fund(100)</v>
      </c>
      <c r="S32" s="112" t="s">
        <v>11003</v>
      </c>
      <c r="T32" s="112" t="s">
        <v>10466</v>
      </c>
      <c r="U32" s="103" t="s">
        <v>10970</v>
      </c>
      <c r="V32" s="112" t="str">
        <f>VLOOKUP(P32, 'Bottom-up Tagging Assumptions'!$B$12:$F$39, 5, FALSE)</f>
        <v>#Process Innovation(100)</v>
      </c>
      <c r="W32" s="112" t="str">
        <f>VLOOKUP(B32, 'Companies covered restructured'!$B$7:$K$470, 7, FALSE)</f>
        <v>#Farm/Household(100)</v>
      </c>
      <c r="X32" s="112" t="s">
        <v>10558</v>
      </c>
      <c r="Y32" s="212" t="str">
        <f>VLOOKUP(P32, 'Bottom-up Tagging Assumptions'!$B$12:$C$56, 2, FALSE)</f>
        <v>#Other Economic(P); Social(S)</v>
      </c>
      <c r="Z32" s="112" t="str">
        <f>VLOOKUP(P32, 'Bottom-up Tagging Assumptions'!$B$12:$F$56, 3, FALSE)</f>
        <v>#Improve price realization(P)</v>
      </c>
      <c r="AA32" s="112" t="str">
        <f>VLOOKUP(P32, 'Bottom-up Tagging Assumptions'!$B$12:$F$56, 4, FALSE)</f>
        <v>#Level 4(100)</v>
      </c>
      <c r="AB32" s="110" t="s">
        <v>718</v>
      </c>
      <c r="AC32" s="110"/>
      <c r="AD32" s="110" t="s">
        <v>719</v>
      </c>
      <c r="AE32" s="110" t="str">
        <f>VLOOKUP(AD32,  '1.2'!$B$7:$C$2033, 2, FALSE)</f>
        <v>FUND</v>
      </c>
      <c r="AF32" s="112">
        <v>650000</v>
      </c>
      <c r="AG32" s="110" t="s">
        <v>1287</v>
      </c>
      <c r="AH32" s="121">
        <f t="shared" si="1"/>
        <v>0</v>
      </c>
      <c r="AI32" s="121">
        <f t="shared" si="2"/>
        <v>0</v>
      </c>
      <c r="AJ32" s="121">
        <f t="shared" si="3"/>
        <v>1</v>
      </c>
      <c r="AK32" s="121">
        <f t="shared" si="4"/>
        <v>1</v>
      </c>
      <c r="AL32" s="121">
        <f t="shared" si="5"/>
        <v>0</v>
      </c>
      <c r="AM32" s="121">
        <f t="shared" si="6"/>
        <v>0</v>
      </c>
      <c r="AN32" s="121">
        <f t="shared" si="7"/>
        <v>1</v>
      </c>
      <c r="AO32" s="121">
        <f t="shared" si="8"/>
        <v>0</v>
      </c>
      <c r="AP32" s="22">
        <f t="shared" si="9"/>
        <v>0</v>
      </c>
      <c r="AQ32" s="22">
        <f t="shared" si="10"/>
        <v>15877004.579822993</v>
      </c>
      <c r="AR32" s="22">
        <f t="shared" si="11"/>
        <v>0</v>
      </c>
      <c r="AS32" s="121" t="str">
        <f t="shared" si="12"/>
        <v>Crops</v>
      </c>
      <c r="AT32" s="121" t="str">
        <f t="shared" ref="AT32:AV51" si="31">IFERROR(IFERROR(MID($Q32,FIND("~",SUBSTITUTE($Q32,";","~",AT$10-1))+3,(FIND("~",SUBSTITUTE($Q32,";","~",AT$10))+0-(FIND("~",SUBSTITUTE($Q32,";","~",AT$10-1))+2))-6),MID($Q32,FIND("~",SUBSTITUTE($Q32,";","~",AT$10-1))+3,(LEN($Q32)-6-FIND("~",SUBSTITUTE($Q32,";","~",AT$10-1))-1)))," ")</f>
        <v xml:space="preserve"> </v>
      </c>
      <c r="AU32" s="121" t="str">
        <f t="shared" si="31"/>
        <v xml:space="preserve"> </v>
      </c>
      <c r="AV32" s="121" t="str">
        <f t="shared" si="31"/>
        <v xml:space="preserve"> </v>
      </c>
      <c r="AW32" s="130" t="str">
        <f t="shared" ref="AW32:AZ51" si="32">IFERROR(MID($Q32,FIND("~",SUBSTITUTE($Q32,"(","~",AW$10))+1,3)," ")</f>
        <v>100</v>
      </c>
      <c r="AX32" s="130" t="str">
        <f t="shared" si="32"/>
        <v xml:space="preserve"> </v>
      </c>
      <c r="AY32" s="130" t="str">
        <f t="shared" si="32"/>
        <v xml:space="preserve"> </v>
      </c>
      <c r="AZ32" s="130" t="str">
        <f t="shared" si="32"/>
        <v xml:space="preserve"> </v>
      </c>
      <c r="BA32" s="121">
        <f t="shared" si="15"/>
        <v>15877004.579822993</v>
      </c>
      <c r="BB32" s="121">
        <f t="shared" si="16"/>
        <v>0</v>
      </c>
      <c r="BC32" s="121">
        <f t="shared" si="17"/>
        <v>0</v>
      </c>
      <c r="BD32" s="121">
        <f t="shared" si="18"/>
        <v>0</v>
      </c>
      <c r="BE32" s="121">
        <f t="shared" si="19"/>
        <v>0</v>
      </c>
      <c r="BF32" s="121">
        <f t="shared" si="20"/>
        <v>0</v>
      </c>
      <c r="BG32" s="121">
        <f t="shared" si="21"/>
        <v>0</v>
      </c>
      <c r="BH32" s="121">
        <f t="shared" si="22"/>
        <v>0</v>
      </c>
      <c r="BI32" s="121">
        <f t="shared" si="23"/>
        <v>15877004.579822993</v>
      </c>
      <c r="BJ32" s="121">
        <f t="shared" si="24"/>
        <v>15877004.579822993</v>
      </c>
      <c r="BK32" s="121">
        <f t="shared" si="25"/>
        <v>15877004.579822993</v>
      </c>
      <c r="BL32" s="121">
        <f t="shared" si="26"/>
        <v>15877004.579822993</v>
      </c>
      <c r="BM32" s="121">
        <f t="shared" si="27"/>
        <v>0</v>
      </c>
      <c r="BN32" s="121">
        <f t="shared" si="28"/>
        <v>0</v>
      </c>
      <c r="BO32" s="121">
        <f t="shared" si="29"/>
        <v>0</v>
      </c>
      <c r="BP32" s="121">
        <f t="shared" si="30"/>
        <v>0</v>
      </c>
      <c r="BQ32" s="199">
        <f>INDEX('GDP deflators'!$C$6:$M$36,MATCH('Bottom-up tagging'!$D32,'GDP deflators'!$B$6:$B$36,),MATCH('Bottom-up tagging'!$E32,'GDP deflators'!$C$5:$L$5,))/100</f>
        <v>1.8895251839962912</v>
      </c>
      <c r="BR32" s="24">
        <v>30000000</v>
      </c>
    </row>
    <row r="33" spans="2:70" ht="26.15" hidden="1" customHeight="1">
      <c r="B33" s="110" t="s">
        <v>3095</v>
      </c>
      <c r="C33" s="110" t="s">
        <v>2979</v>
      </c>
      <c r="D33" s="110" t="s">
        <v>3994</v>
      </c>
      <c r="E33" s="103">
        <v>2010</v>
      </c>
      <c r="F33" s="108" t="s">
        <v>10129</v>
      </c>
      <c r="G33" s="111" t="s">
        <v>25</v>
      </c>
      <c r="H33" s="110" t="s">
        <v>10451</v>
      </c>
      <c r="I33" s="112">
        <f>IF(Dashboard!$B$16="Current USD",'Bottom-up tagging'!BR33,'Bottom-up tagging'!BR33/'Bottom-up tagging'!BQ33)</f>
        <v>30000000</v>
      </c>
      <c r="J33" s="118" t="s">
        <v>10474</v>
      </c>
      <c r="K33" s="112"/>
      <c r="L33" s="135">
        <v>1</v>
      </c>
      <c r="M33" s="135">
        <v>1</v>
      </c>
      <c r="N33" s="112"/>
      <c r="O33" s="112"/>
      <c r="P33" s="112" t="str">
        <f>VLOOKUP(B33, 'Companies covered restructured'!$B$7:$K$470, 9, FALSE)</f>
        <v>Seed development and biotech</v>
      </c>
      <c r="Q33" s="112" t="str">
        <f>VLOOKUP(B33, 'Companies covered restructured'!$B$7:$K$470, 6, FALSE)</f>
        <v>#Crops(100)</v>
      </c>
      <c r="R33" s="112" t="str">
        <f t="shared" si="0"/>
        <v>#Investment Fund(100)</v>
      </c>
      <c r="S33" s="112" t="s">
        <v>11003</v>
      </c>
      <c r="T33" s="112" t="s">
        <v>10466</v>
      </c>
      <c r="U33" s="103" t="s">
        <v>10970</v>
      </c>
      <c r="V33" s="112" t="str">
        <f>VLOOKUP(P33, 'Bottom-up Tagging Assumptions'!$B$12:$F$39, 5, FALSE)</f>
        <v>#Product Development(100)</v>
      </c>
      <c r="W33" s="112" t="str">
        <f>VLOOKUP(B33, 'Companies covered restructured'!$B$7:$K$470, 7, FALSE)</f>
        <v>N/A</v>
      </c>
      <c r="X33" s="112" t="str">
        <f>VLOOKUP(B33, 'Companies covered restructured'!$B$7:$K$470, 8, FALSE)</f>
        <v>N/A</v>
      </c>
      <c r="Y33" s="212" t="str">
        <f>VLOOKUP(P33, 'Bottom-up Tagging Assumptions'!$B$12:$C$56, 2, FALSE)</f>
        <v>#Productivity(P); #Human Condition(S)</v>
      </c>
      <c r="Z33" s="112" t="str">
        <f>VLOOKUP(P33, 'Bottom-up Tagging Assumptions'!$B$12:$F$56, 3, FALSE)</f>
        <v>#Increasing crop or animal yield(P); #Improved nutrition(S)</v>
      </c>
      <c r="AA33" s="112" t="str">
        <f>VLOOKUP(P33, 'Bottom-up Tagging Assumptions'!$B$12:$F$56, 4, FALSE)</f>
        <v>#Level 1(100)</v>
      </c>
      <c r="AB33" s="110" t="s">
        <v>3097</v>
      </c>
      <c r="AC33" s="110"/>
      <c r="AD33" s="110" t="s">
        <v>3098</v>
      </c>
      <c r="AE33" s="110" t="str">
        <f>VLOOKUP(AD33,  '1.2'!$B$7:$C$2033, 2, FALSE)</f>
        <v>FUND</v>
      </c>
      <c r="AF33" s="112"/>
      <c r="AG33" s="110" t="s">
        <v>1302</v>
      </c>
      <c r="AH33" s="121">
        <f t="shared" si="1"/>
        <v>0</v>
      </c>
      <c r="AI33" s="121">
        <f t="shared" si="2"/>
        <v>1</v>
      </c>
      <c r="AJ33" s="121">
        <f t="shared" si="3"/>
        <v>0</v>
      </c>
      <c r="AK33" s="121">
        <f t="shared" si="4"/>
        <v>0</v>
      </c>
      <c r="AL33" s="121">
        <f t="shared" si="5"/>
        <v>1</v>
      </c>
      <c r="AM33" s="121">
        <f t="shared" si="6"/>
        <v>0</v>
      </c>
      <c r="AN33" s="121">
        <f t="shared" si="7"/>
        <v>1</v>
      </c>
      <c r="AO33" s="121">
        <f t="shared" si="8"/>
        <v>0</v>
      </c>
      <c r="AP33" s="22">
        <f t="shared" si="9"/>
        <v>0</v>
      </c>
      <c r="AQ33" s="22">
        <f t="shared" si="10"/>
        <v>30000000</v>
      </c>
      <c r="AR33" s="22">
        <f t="shared" si="11"/>
        <v>0</v>
      </c>
      <c r="AS33" s="121" t="str">
        <f t="shared" si="12"/>
        <v>Crops</v>
      </c>
      <c r="AT33" s="121" t="str">
        <f t="shared" si="31"/>
        <v xml:space="preserve"> </v>
      </c>
      <c r="AU33" s="121" t="str">
        <f t="shared" si="31"/>
        <v xml:space="preserve"> </v>
      </c>
      <c r="AV33" s="121" t="str">
        <f t="shared" si="31"/>
        <v xml:space="preserve"> </v>
      </c>
      <c r="AW33" s="130" t="str">
        <f t="shared" si="32"/>
        <v>100</v>
      </c>
      <c r="AX33" s="130" t="str">
        <f t="shared" si="32"/>
        <v xml:space="preserve"> </v>
      </c>
      <c r="AY33" s="130" t="str">
        <f t="shared" si="32"/>
        <v xml:space="preserve"> </v>
      </c>
      <c r="AZ33" s="130" t="str">
        <f t="shared" si="32"/>
        <v xml:space="preserve"> </v>
      </c>
      <c r="BA33" s="121">
        <f t="shared" si="15"/>
        <v>30000000</v>
      </c>
      <c r="BB33" s="121">
        <f t="shared" si="16"/>
        <v>0</v>
      </c>
      <c r="BC33" s="121">
        <f t="shared" si="17"/>
        <v>0</v>
      </c>
      <c r="BD33" s="121">
        <f t="shared" si="18"/>
        <v>0</v>
      </c>
      <c r="BE33" s="121">
        <f t="shared" si="19"/>
        <v>0</v>
      </c>
      <c r="BF33" s="121">
        <f t="shared" si="20"/>
        <v>0</v>
      </c>
      <c r="BG33" s="121">
        <f t="shared" si="21"/>
        <v>0</v>
      </c>
      <c r="BH33" s="121">
        <f t="shared" si="22"/>
        <v>0</v>
      </c>
      <c r="BI33" s="121">
        <f t="shared" si="23"/>
        <v>30000000</v>
      </c>
      <c r="BJ33" s="121">
        <f t="shared" si="24"/>
        <v>30000000</v>
      </c>
      <c r="BK33" s="121">
        <f t="shared" si="25"/>
        <v>30000000</v>
      </c>
      <c r="BL33" s="121">
        <f t="shared" si="26"/>
        <v>30000000</v>
      </c>
      <c r="BM33" s="121">
        <f t="shared" si="27"/>
        <v>0</v>
      </c>
      <c r="BN33" s="121">
        <f t="shared" si="28"/>
        <v>0</v>
      </c>
      <c r="BO33" s="121">
        <f t="shared" si="29"/>
        <v>0</v>
      </c>
      <c r="BP33" s="121">
        <f t="shared" si="30"/>
        <v>0</v>
      </c>
      <c r="BQ33" s="199">
        <f>INDEX('GDP deflators'!$C$6:$M$36,MATCH('Bottom-up tagging'!$D33,'GDP deflators'!$B$6:$B$36,),MATCH('Bottom-up tagging'!$E33,'GDP deflators'!$C$5:$L$5,))/100</f>
        <v>1</v>
      </c>
      <c r="BR33" s="24">
        <v>30000000</v>
      </c>
    </row>
    <row r="34" spans="2:70" ht="26.15" hidden="1" customHeight="1">
      <c r="B34" s="110" t="s">
        <v>1120</v>
      </c>
      <c r="C34" s="110" t="s">
        <v>1124</v>
      </c>
      <c r="D34" s="110" t="s">
        <v>2057</v>
      </c>
      <c r="E34" s="103">
        <v>2018</v>
      </c>
      <c r="F34" s="108" t="s">
        <v>7809</v>
      </c>
      <c r="G34" s="111" t="s">
        <v>25</v>
      </c>
      <c r="H34" s="110" t="s">
        <v>10451</v>
      </c>
      <c r="I34" s="112">
        <f>IF(Dashboard!$B$16="Current USD",'Bottom-up tagging'!BR34,'Bottom-up tagging'!BR34/'Bottom-up tagging'!BQ34)</f>
        <v>23290891.367797658</v>
      </c>
      <c r="J34" s="105" t="s">
        <v>10474</v>
      </c>
      <c r="K34" s="112"/>
      <c r="L34" s="135">
        <v>1</v>
      </c>
      <c r="M34" s="135">
        <v>1</v>
      </c>
      <c r="N34" s="112"/>
      <c r="O34" s="112"/>
      <c r="P34" s="112" t="str">
        <f>VLOOKUP(B34, 'Companies covered restructured'!$B$7:$K$470, 9, FALSE)</f>
        <v>Agri input e-commerce platforms</v>
      </c>
      <c r="Q34" s="112" t="str">
        <f>VLOOKUP(B34, 'Companies covered restructured'!$B$7:$K$470, 6, FALSE)</f>
        <v>#Crops(100)</v>
      </c>
      <c r="R34" s="112" t="str">
        <f t="shared" si="0"/>
        <v>N/A</v>
      </c>
      <c r="S34" s="112" t="s">
        <v>11003</v>
      </c>
      <c r="T34" s="112" t="s">
        <v>10466</v>
      </c>
      <c r="U34" s="103" t="s">
        <v>10970</v>
      </c>
      <c r="V34" s="112" t="str">
        <f>VLOOKUP(P34, 'Bottom-up Tagging Assumptions'!$B$12:$F$39, 5, FALSE)</f>
        <v>#Process Innovation(100)</v>
      </c>
      <c r="W34" s="112" t="str">
        <f>VLOOKUP(B34, 'Companies covered restructured'!$B$7:$K$470, 7, FALSE)</f>
        <v>#Field/Animal Herd(100)</v>
      </c>
      <c r="X34" s="112" t="s">
        <v>10558</v>
      </c>
      <c r="Y34" s="212" t="str">
        <f>VLOOKUP(P34, 'Bottom-up Tagging Assumptions'!$B$12:$C$56, 2, FALSE)</f>
        <v>#Other Economic(P); Productivity(S)</v>
      </c>
      <c r="Z34" s="112" t="str">
        <f>VLOOKUP(P34, 'Bottom-up Tagging Assumptions'!$B$12:$F$56, 3, FALSE)</f>
        <v>#Reduce cost of inputs(P)</v>
      </c>
      <c r="AA34" s="112" t="str">
        <f>VLOOKUP(P34, 'Bottom-up Tagging Assumptions'!$B$12:$F$56, 4, FALSE)</f>
        <v>#Level 1(100)</v>
      </c>
      <c r="AB34" s="110" t="s">
        <v>1482</v>
      </c>
      <c r="AC34" s="110"/>
      <c r="AD34" s="110"/>
      <c r="AE34" s="110" t="s">
        <v>10558</v>
      </c>
      <c r="AF34" s="112">
        <v>163285834</v>
      </c>
      <c r="AG34" s="110" t="s">
        <v>101</v>
      </c>
      <c r="AH34" s="121">
        <f t="shared" si="1"/>
        <v>0</v>
      </c>
      <c r="AI34" s="121">
        <f t="shared" si="2"/>
        <v>1</v>
      </c>
      <c r="AJ34" s="121">
        <f t="shared" si="3"/>
        <v>1</v>
      </c>
      <c r="AK34" s="121">
        <f t="shared" si="4"/>
        <v>0</v>
      </c>
      <c r="AL34" s="121">
        <f t="shared" si="5"/>
        <v>0</v>
      </c>
      <c r="AM34" s="121">
        <f t="shared" si="6"/>
        <v>0</v>
      </c>
      <c r="AN34" s="121">
        <f t="shared" si="7"/>
        <v>0</v>
      </c>
      <c r="AO34" s="121">
        <f t="shared" si="8"/>
        <v>0</v>
      </c>
      <c r="AP34" s="22">
        <f t="shared" si="9"/>
        <v>0</v>
      </c>
      <c r="AQ34" s="22">
        <f t="shared" si="10"/>
        <v>0</v>
      </c>
      <c r="AR34" s="22">
        <f t="shared" si="11"/>
        <v>0</v>
      </c>
      <c r="AS34" s="121" t="str">
        <f t="shared" si="12"/>
        <v>Crops</v>
      </c>
      <c r="AT34" s="121" t="str">
        <f t="shared" si="31"/>
        <v xml:space="preserve"> </v>
      </c>
      <c r="AU34" s="121" t="str">
        <f t="shared" si="31"/>
        <v xml:space="preserve"> </v>
      </c>
      <c r="AV34" s="121" t="str">
        <f t="shared" si="31"/>
        <v xml:space="preserve"> </v>
      </c>
      <c r="AW34" s="130" t="str">
        <f t="shared" si="32"/>
        <v>100</v>
      </c>
      <c r="AX34" s="130" t="str">
        <f t="shared" si="32"/>
        <v xml:space="preserve"> </v>
      </c>
      <c r="AY34" s="130" t="str">
        <f t="shared" si="32"/>
        <v xml:space="preserve"> </v>
      </c>
      <c r="AZ34" s="130" t="str">
        <f t="shared" si="32"/>
        <v xml:space="preserve"> </v>
      </c>
      <c r="BA34" s="121">
        <f t="shared" si="15"/>
        <v>23290891.367797658</v>
      </c>
      <c r="BB34" s="121">
        <f t="shared" si="16"/>
        <v>0</v>
      </c>
      <c r="BC34" s="121">
        <f t="shared" si="17"/>
        <v>0</v>
      </c>
      <c r="BD34" s="121">
        <f t="shared" si="18"/>
        <v>0</v>
      </c>
      <c r="BE34" s="121">
        <f t="shared" si="19"/>
        <v>0</v>
      </c>
      <c r="BF34" s="121">
        <f t="shared" si="20"/>
        <v>0</v>
      </c>
      <c r="BG34" s="121">
        <f t="shared" si="21"/>
        <v>0</v>
      </c>
      <c r="BH34" s="121">
        <f t="shared" si="22"/>
        <v>0</v>
      </c>
      <c r="BI34" s="121">
        <f t="shared" si="23"/>
        <v>0</v>
      </c>
      <c r="BJ34" s="121">
        <f t="shared" si="24"/>
        <v>0</v>
      </c>
      <c r="BK34" s="121">
        <f t="shared" si="25"/>
        <v>0</v>
      </c>
      <c r="BL34" s="121">
        <f t="shared" si="26"/>
        <v>0</v>
      </c>
      <c r="BM34" s="121">
        <f t="shared" si="27"/>
        <v>0</v>
      </c>
      <c r="BN34" s="121">
        <f t="shared" si="28"/>
        <v>0</v>
      </c>
      <c r="BO34" s="121">
        <f t="shared" si="29"/>
        <v>0</v>
      </c>
      <c r="BP34" s="121">
        <f t="shared" si="30"/>
        <v>0</v>
      </c>
      <c r="BQ34" s="199">
        <f>INDEX('GDP deflators'!$C$6:$M$36,MATCH('Bottom-up tagging'!$D34,'GDP deflators'!$B$6:$B$36,),MATCH('Bottom-up tagging'!$E34,'GDP deflators'!$C$5:$L$5,))/100</f>
        <v>1.2487972031939574</v>
      </c>
      <c r="BR34" s="24">
        <v>29085600</v>
      </c>
    </row>
    <row r="35" spans="2:70" ht="26.15" hidden="1" customHeight="1">
      <c r="B35" s="110" t="s">
        <v>2849</v>
      </c>
      <c r="C35" s="110" t="s">
        <v>2852</v>
      </c>
      <c r="D35" s="110" t="s">
        <v>2057</v>
      </c>
      <c r="E35" s="103">
        <v>2011</v>
      </c>
      <c r="F35" s="108" t="s">
        <v>10033</v>
      </c>
      <c r="G35" s="111" t="s">
        <v>25</v>
      </c>
      <c r="H35" s="110" t="s">
        <v>10451</v>
      </c>
      <c r="I35" s="112">
        <f>IF(Dashboard!$B$16="Current USD",'Bottom-up tagging'!BR35,'Bottom-up tagging'!BR35/'Bottom-up tagging'!BQ35)</f>
        <v>26413094.126794811</v>
      </c>
      <c r="J35" s="118" t="s">
        <v>10474</v>
      </c>
      <c r="K35" s="112"/>
      <c r="L35" s="135">
        <v>1</v>
      </c>
      <c r="M35" s="135">
        <v>1</v>
      </c>
      <c r="N35" s="112"/>
      <c r="O35" s="112"/>
      <c r="P35" s="112" t="str">
        <f>VLOOKUP(B35, 'Companies covered restructured'!$B$7:$K$470, 9, FALSE)</f>
        <v>Agri marketplaces</v>
      </c>
      <c r="Q35" s="112" t="str">
        <f>VLOOKUP(B35, 'Companies covered restructured'!$B$7:$K$470, 6, FALSE)</f>
        <v>#Crops(100)</v>
      </c>
      <c r="R35" s="112" t="str">
        <f t="shared" si="0"/>
        <v>#Investment Fund(100)</v>
      </c>
      <c r="S35" s="112" t="s">
        <v>11003</v>
      </c>
      <c r="T35" s="112" t="s">
        <v>10466</v>
      </c>
      <c r="U35" s="103" t="s">
        <v>10970</v>
      </c>
      <c r="V35" s="112" t="str">
        <f>VLOOKUP(P35, 'Bottom-up Tagging Assumptions'!$B$12:$F$39, 5, FALSE)</f>
        <v>#Process Innovation(100)</v>
      </c>
      <c r="W35" s="112" t="str">
        <f>VLOOKUP(B35, 'Companies covered restructured'!$B$7:$K$470, 7, FALSE)</f>
        <v>N/A</v>
      </c>
      <c r="X35" s="112" t="str">
        <f>VLOOKUP(B35, 'Companies covered restructured'!$B$7:$K$470, 8, FALSE)</f>
        <v>N/A</v>
      </c>
      <c r="Y35" s="212" t="str">
        <f>VLOOKUP(P35, 'Bottom-up Tagging Assumptions'!$B$12:$C$56, 2, FALSE)</f>
        <v>#Other Economic(P); Social(S)</v>
      </c>
      <c r="Z35" s="112" t="str">
        <f>VLOOKUP(P35, 'Bottom-up Tagging Assumptions'!$B$12:$F$56, 3, FALSE)</f>
        <v>#Improve price realization(P)</v>
      </c>
      <c r="AA35" s="112" t="str">
        <f>VLOOKUP(P35, 'Bottom-up Tagging Assumptions'!$B$12:$F$56, 4, FALSE)</f>
        <v>#Level 4(100)</v>
      </c>
      <c r="AB35" s="110" t="s">
        <v>3034</v>
      </c>
      <c r="AC35" s="110"/>
      <c r="AD35" s="110" t="s">
        <v>3035</v>
      </c>
      <c r="AE35" s="110" t="s">
        <v>3114</v>
      </c>
      <c r="AF35" s="112">
        <v>6930813</v>
      </c>
      <c r="AG35" s="110" t="s">
        <v>403</v>
      </c>
      <c r="AH35" s="121">
        <f t="shared" si="1"/>
        <v>0</v>
      </c>
      <c r="AI35" s="121">
        <f t="shared" si="2"/>
        <v>0</v>
      </c>
      <c r="AJ35" s="121">
        <f t="shared" si="3"/>
        <v>1</v>
      </c>
      <c r="AK35" s="121">
        <f t="shared" si="4"/>
        <v>1</v>
      </c>
      <c r="AL35" s="121">
        <f t="shared" si="5"/>
        <v>0</v>
      </c>
      <c r="AM35" s="121">
        <f t="shared" si="6"/>
        <v>0</v>
      </c>
      <c r="AN35" s="121">
        <f t="shared" si="7"/>
        <v>1</v>
      </c>
      <c r="AO35" s="121">
        <f t="shared" si="8"/>
        <v>0</v>
      </c>
      <c r="AP35" s="22">
        <f t="shared" si="9"/>
        <v>0</v>
      </c>
      <c r="AQ35" s="22">
        <f t="shared" si="10"/>
        <v>26413094.126794811</v>
      </c>
      <c r="AR35" s="22">
        <f t="shared" si="11"/>
        <v>0</v>
      </c>
      <c r="AS35" s="121" t="str">
        <f t="shared" si="12"/>
        <v>Crops</v>
      </c>
      <c r="AT35" s="121" t="str">
        <f t="shared" si="31"/>
        <v xml:space="preserve"> </v>
      </c>
      <c r="AU35" s="121" t="str">
        <f t="shared" si="31"/>
        <v xml:space="preserve"> </v>
      </c>
      <c r="AV35" s="121" t="str">
        <f t="shared" si="31"/>
        <v xml:space="preserve"> </v>
      </c>
      <c r="AW35" s="130" t="str">
        <f t="shared" si="32"/>
        <v>100</v>
      </c>
      <c r="AX35" s="130" t="str">
        <f t="shared" si="32"/>
        <v xml:space="preserve"> </v>
      </c>
      <c r="AY35" s="130" t="str">
        <f t="shared" si="32"/>
        <v xml:space="preserve"> </v>
      </c>
      <c r="AZ35" s="130" t="str">
        <f t="shared" si="32"/>
        <v xml:space="preserve"> </v>
      </c>
      <c r="BA35" s="121">
        <f t="shared" si="15"/>
        <v>26413094.126794811</v>
      </c>
      <c r="BB35" s="121">
        <f t="shared" si="16"/>
        <v>0</v>
      </c>
      <c r="BC35" s="121">
        <f t="shared" si="17"/>
        <v>0</v>
      </c>
      <c r="BD35" s="121">
        <f t="shared" si="18"/>
        <v>0</v>
      </c>
      <c r="BE35" s="121">
        <f t="shared" si="19"/>
        <v>0</v>
      </c>
      <c r="BF35" s="121">
        <f t="shared" si="20"/>
        <v>0</v>
      </c>
      <c r="BG35" s="121">
        <f t="shared" si="21"/>
        <v>0</v>
      </c>
      <c r="BH35" s="121">
        <f t="shared" si="22"/>
        <v>0</v>
      </c>
      <c r="BI35" s="121">
        <f t="shared" si="23"/>
        <v>26413094.126794811</v>
      </c>
      <c r="BJ35" s="121">
        <f t="shared" si="24"/>
        <v>26413094.126794811</v>
      </c>
      <c r="BK35" s="121">
        <f t="shared" si="25"/>
        <v>26413094.126794811</v>
      </c>
      <c r="BL35" s="121">
        <f t="shared" si="26"/>
        <v>26413094.126794811</v>
      </c>
      <c r="BM35" s="121">
        <f t="shared" si="27"/>
        <v>0</v>
      </c>
      <c r="BN35" s="121">
        <f t="shared" si="28"/>
        <v>0</v>
      </c>
      <c r="BO35" s="121">
        <f t="shared" si="29"/>
        <v>0</v>
      </c>
      <c r="BP35" s="121">
        <f t="shared" si="30"/>
        <v>0</v>
      </c>
      <c r="BQ35" s="199">
        <f>INDEX('GDP deflators'!$C$6:$M$36,MATCH('Bottom-up tagging'!$D35,'GDP deflators'!$B$6:$B$36,),MATCH('Bottom-up tagging'!$E35,'GDP deflators'!$C$5:$L$5,))/100</f>
        <v>1.0807559638021109</v>
      </c>
      <c r="BR35" s="24">
        <v>28546109</v>
      </c>
    </row>
    <row r="36" spans="2:70" ht="26.15" customHeight="1">
      <c r="B36" s="110" t="s">
        <v>251</v>
      </c>
      <c r="C36" s="110" t="s">
        <v>256</v>
      </c>
      <c r="D36" s="110" t="s">
        <v>5391</v>
      </c>
      <c r="E36" s="103">
        <v>2020</v>
      </c>
      <c r="F36" s="108" t="s">
        <v>7527</v>
      </c>
      <c r="G36" s="111" t="s">
        <v>25</v>
      </c>
      <c r="H36" s="110" t="s">
        <v>10451</v>
      </c>
      <c r="I36" s="212">
        <v>0</v>
      </c>
      <c r="J36" s="105" t="s">
        <v>10474</v>
      </c>
      <c r="K36" s="112"/>
      <c r="L36" s="135">
        <v>1</v>
      </c>
      <c r="M36" s="135">
        <v>1</v>
      </c>
      <c r="N36" s="112"/>
      <c r="O36" s="112"/>
      <c r="P36" s="112" t="str">
        <f>VLOOKUP(B36, 'Companies covered restructured'!$B$7:$K$470, 9, FALSE)</f>
        <v>Agroforestry</v>
      </c>
      <c r="Q36" s="112" t="str">
        <f>VLOOKUP(B36, 'Companies covered restructured'!$B$7:$K$470, 6, FALSE)</f>
        <v>#Crops(100)</v>
      </c>
      <c r="R36" s="112" t="str">
        <f t="shared" si="0"/>
        <v>#Investment Fund(100)</v>
      </c>
      <c r="S36" s="112" t="s">
        <v>11003</v>
      </c>
      <c r="T36" s="112" t="s">
        <v>10466</v>
      </c>
      <c r="U36" s="103" t="s">
        <v>10970</v>
      </c>
      <c r="V36" s="212" t="s">
        <v>10977</v>
      </c>
      <c r="W36" s="112" t="str">
        <f>VLOOKUP(B36, 'Companies covered restructured'!$B$7:$K$470, 7, FALSE)</f>
        <v>#Field/Animal Herd(100)</v>
      </c>
      <c r="X36" s="112" t="str">
        <f>VLOOKUP(B36, 'Companies covered restructured'!$B$7:$K$470, 8, FALSE)</f>
        <v>#Small(100)</v>
      </c>
      <c r="Y36" s="112" t="str">
        <f>VLOOKUP(P36, '[2]Bottom-up Tagging Assumptions'!$B$12:$F$56, 2, FALSE)</f>
        <v>#Environmental(P); Productivity(S)</v>
      </c>
      <c r="Z36" s="112" t="str">
        <f>VLOOKUP(P36, 'Bottom-up Tagging Assumptions'!$B$12:$F$56, 3, FALSE)</f>
        <v>#Increasing forest cover(P)</v>
      </c>
      <c r="AA36" s="112" t="str">
        <f>VLOOKUP(P36, 'Bottom-up Tagging Assumptions'!$B$12:$F$56, 4, FALSE)</f>
        <v>#Level 3(100)</v>
      </c>
      <c r="AB36" s="110" t="s">
        <v>253</v>
      </c>
      <c r="AC36" s="110"/>
      <c r="AD36" s="110" t="s">
        <v>254</v>
      </c>
      <c r="AE36" s="110" t="s">
        <v>3114</v>
      </c>
      <c r="AF36" s="112">
        <v>94500000</v>
      </c>
      <c r="AG36" s="110" t="s">
        <v>633</v>
      </c>
      <c r="AH36" s="121">
        <f t="shared" si="1"/>
        <v>1</v>
      </c>
      <c r="AI36" s="121">
        <f t="shared" si="2"/>
        <v>1</v>
      </c>
      <c r="AJ36" s="121">
        <f t="shared" si="3"/>
        <v>0</v>
      </c>
      <c r="AK36" s="121">
        <f t="shared" si="4"/>
        <v>0</v>
      </c>
      <c r="AL36" s="121">
        <f t="shared" si="5"/>
        <v>0</v>
      </c>
      <c r="AM36" s="121">
        <f t="shared" si="6"/>
        <v>0</v>
      </c>
      <c r="AN36" s="121">
        <f t="shared" si="7"/>
        <v>1</v>
      </c>
      <c r="AO36" s="121">
        <f t="shared" si="8"/>
        <v>1</v>
      </c>
      <c r="AP36" s="22">
        <f t="shared" si="9"/>
        <v>0</v>
      </c>
      <c r="AQ36" s="22">
        <f t="shared" si="10"/>
        <v>0</v>
      </c>
      <c r="AR36" s="22">
        <f t="shared" si="11"/>
        <v>0</v>
      </c>
      <c r="AS36" s="121" t="str">
        <f t="shared" si="12"/>
        <v>Crops</v>
      </c>
      <c r="AT36" s="121" t="str">
        <f t="shared" si="31"/>
        <v xml:space="preserve"> </v>
      </c>
      <c r="AU36" s="121" t="str">
        <f t="shared" si="31"/>
        <v xml:space="preserve"> </v>
      </c>
      <c r="AV36" s="121" t="str">
        <f t="shared" si="31"/>
        <v xml:space="preserve"> </v>
      </c>
      <c r="AW36" s="130" t="str">
        <f t="shared" si="32"/>
        <v>100</v>
      </c>
      <c r="AX36" s="130" t="str">
        <f t="shared" si="32"/>
        <v xml:space="preserve"> </v>
      </c>
      <c r="AY36" s="130" t="str">
        <f t="shared" si="32"/>
        <v xml:space="preserve"> </v>
      </c>
      <c r="AZ36" s="130" t="str">
        <f t="shared" si="32"/>
        <v xml:space="preserve"> </v>
      </c>
      <c r="BA36" s="121">
        <f t="shared" si="15"/>
        <v>0</v>
      </c>
      <c r="BB36" s="121">
        <f t="shared" si="16"/>
        <v>0</v>
      </c>
      <c r="BC36" s="121">
        <f t="shared" si="17"/>
        <v>0</v>
      </c>
      <c r="BD36" s="121">
        <f t="shared" si="18"/>
        <v>0</v>
      </c>
      <c r="BE36" s="121">
        <f t="shared" si="19"/>
        <v>0</v>
      </c>
      <c r="BF36" s="121">
        <f t="shared" si="20"/>
        <v>0</v>
      </c>
      <c r="BG36" s="121">
        <f t="shared" si="21"/>
        <v>0</v>
      </c>
      <c r="BH36" s="121">
        <f t="shared" si="22"/>
        <v>0</v>
      </c>
      <c r="BI36" s="121">
        <f t="shared" si="23"/>
        <v>0</v>
      </c>
      <c r="BJ36" s="121">
        <f t="shared" si="24"/>
        <v>0</v>
      </c>
      <c r="BK36" s="121">
        <f t="shared" si="25"/>
        <v>0</v>
      </c>
      <c r="BL36" s="121">
        <f t="shared" si="26"/>
        <v>0</v>
      </c>
      <c r="BM36" s="121">
        <f t="shared" si="27"/>
        <v>0</v>
      </c>
      <c r="BN36" s="121">
        <f t="shared" si="28"/>
        <v>0</v>
      </c>
      <c r="BO36" s="121">
        <f t="shared" si="29"/>
        <v>0</v>
      </c>
      <c r="BP36" s="121">
        <f t="shared" si="30"/>
        <v>0</v>
      </c>
      <c r="BQ36" s="199" t="e">
        <f>INDEX('GDP deflators'!$C$6:$M$36,MATCH('Bottom-up tagging'!$D36,'GDP deflators'!$B$6:$B$36,),MATCH('Bottom-up tagging'!$E36,'GDP deflators'!$C$5:$L$5,))/100</f>
        <v>#N/A</v>
      </c>
      <c r="BR36" s="24">
        <v>28000000</v>
      </c>
    </row>
    <row r="37" spans="2:70" ht="26.15" hidden="1" customHeight="1">
      <c r="B37" s="110" t="s">
        <v>1544</v>
      </c>
      <c r="C37" s="110" t="s">
        <v>1547</v>
      </c>
      <c r="D37" s="110" t="s">
        <v>2057</v>
      </c>
      <c r="E37" s="103">
        <v>2018</v>
      </c>
      <c r="F37" s="108" t="s">
        <v>7821</v>
      </c>
      <c r="G37" s="111" t="s">
        <v>25</v>
      </c>
      <c r="H37" s="110" t="s">
        <v>10451</v>
      </c>
      <c r="I37" s="112">
        <f>IF(Dashboard!$B$16="Current USD",'Bottom-up tagging'!BR37,'Bottom-up tagging'!BR37/'Bottom-up tagging'!BQ37)</f>
        <v>21308984.30260735</v>
      </c>
      <c r="J37" s="118" t="s">
        <v>10474</v>
      </c>
      <c r="K37" s="112"/>
      <c r="L37" s="135">
        <v>1</v>
      </c>
      <c r="M37" s="135">
        <v>1</v>
      </c>
      <c r="N37" s="112"/>
      <c r="O37" s="112"/>
      <c r="P37" s="112" t="str">
        <f>VLOOKUP(B37, 'Companies covered restructured'!$B$7:$K$470, 9, FALSE)</f>
        <v>Agri marketplaces</v>
      </c>
      <c r="Q37" s="112" t="str">
        <f>VLOOKUP(B37, 'Companies covered restructured'!$B$7:$K$470, 6, FALSE)</f>
        <v>#Crops(100)</v>
      </c>
      <c r="R37" s="112" t="str">
        <f t="shared" si="0"/>
        <v>N/A</v>
      </c>
      <c r="S37" s="112" t="s">
        <v>11003</v>
      </c>
      <c r="T37" s="112" t="s">
        <v>10466</v>
      </c>
      <c r="U37" s="103" t="s">
        <v>10970</v>
      </c>
      <c r="V37" s="112" t="str">
        <f>VLOOKUP(P37, 'Bottom-up Tagging Assumptions'!$B$12:$F$39, 5, FALSE)</f>
        <v>#Process Innovation(100)</v>
      </c>
      <c r="W37" s="112" t="str">
        <f>VLOOKUP(B37, 'Companies covered restructured'!$B$7:$K$470, 7, FALSE)</f>
        <v>#Farm/Household(100)</v>
      </c>
      <c r="X37" s="112" t="s">
        <v>10558</v>
      </c>
      <c r="Y37" s="212" t="str">
        <f>VLOOKUP(P37, 'Bottom-up Tagging Assumptions'!$B$12:$C$56, 2, FALSE)</f>
        <v>#Other Economic(P); Social(S)</v>
      </c>
      <c r="Z37" s="112" t="str">
        <f>VLOOKUP(P37, 'Bottom-up Tagging Assumptions'!$B$12:$F$56, 3, FALSE)</f>
        <v>#Improve price realization(P)</v>
      </c>
      <c r="AA37" s="112" t="str">
        <f>VLOOKUP(P37, 'Bottom-up Tagging Assumptions'!$B$12:$F$56, 4, FALSE)</f>
        <v>#Level 4(100)</v>
      </c>
      <c r="AB37" s="110" t="s">
        <v>1546</v>
      </c>
      <c r="AC37" s="110"/>
      <c r="AD37" s="110"/>
      <c r="AE37" s="110" t="s">
        <v>10558</v>
      </c>
      <c r="AF37" s="112"/>
      <c r="AG37" s="110" t="s">
        <v>435</v>
      </c>
      <c r="AH37" s="121">
        <f t="shared" si="1"/>
        <v>0</v>
      </c>
      <c r="AI37" s="121">
        <f t="shared" si="2"/>
        <v>0</v>
      </c>
      <c r="AJ37" s="121">
        <f t="shared" si="3"/>
        <v>1</v>
      </c>
      <c r="AK37" s="121">
        <f t="shared" si="4"/>
        <v>1</v>
      </c>
      <c r="AL37" s="121">
        <f t="shared" si="5"/>
        <v>0</v>
      </c>
      <c r="AM37" s="121">
        <f t="shared" si="6"/>
        <v>0</v>
      </c>
      <c r="AN37" s="121">
        <f t="shared" si="7"/>
        <v>1</v>
      </c>
      <c r="AO37" s="121">
        <f t="shared" si="8"/>
        <v>0</v>
      </c>
      <c r="AP37" s="22">
        <f t="shared" si="9"/>
        <v>0</v>
      </c>
      <c r="AQ37" s="22">
        <f t="shared" si="10"/>
        <v>21308984.30260735</v>
      </c>
      <c r="AR37" s="22">
        <f t="shared" si="11"/>
        <v>0</v>
      </c>
      <c r="AS37" s="121" t="str">
        <f t="shared" si="12"/>
        <v>Crops</v>
      </c>
      <c r="AT37" s="121" t="str">
        <f t="shared" si="31"/>
        <v xml:space="preserve"> </v>
      </c>
      <c r="AU37" s="121" t="str">
        <f t="shared" si="31"/>
        <v xml:space="preserve"> </v>
      </c>
      <c r="AV37" s="121" t="str">
        <f t="shared" si="31"/>
        <v xml:space="preserve"> </v>
      </c>
      <c r="AW37" s="130" t="str">
        <f t="shared" si="32"/>
        <v>100</v>
      </c>
      <c r="AX37" s="130" t="str">
        <f t="shared" si="32"/>
        <v xml:space="preserve"> </v>
      </c>
      <c r="AY37" s="130" t="str">
        <f t="shared" si="32"/>
        <v xml:space="preserve"> </v>
      </c>
      <c r="AZ37" s="130" t="str">
        <f t="shared" si="32"/>
        <v xml:space="preserve"> </v>
      </c>
      <c r="BA37" s="121">
        <f t="shared" si="15"/>
        <v>21308984.30260735</v>
      </c>
      <c r="BB37" s="121">
        <f t="shared" si="16"/>
        <v>0</v>
      </c>
      <c r="BC37" s="121">
        <f t="shared" si="17"/>
        <v>0</v>
      </c>
      <c r="BD37" s="121">
        <f t="shared" si="18"/>
        <v>0</v>
      </c>
      <c r="BE37" s="121">
        <f t="shared" si="19"/>
        <v>0</v>
      </c>
      <c r="BF37" s="121">
        <f t="shared" si="20"/>
        <v>0</v>
      </c>
      <c r="BG37" s="121">
        <f t="shared" si="21"/>
        <v>0</v>
      </c>
      <c r="BH37" s="121">
        <f t="shared" si="22"/>
        <v>0</v>
      </c>
      <c r="BI37" s="121">
        <f t="shared" si="23"/>
        <v>21308984.30260735</v>
      </c>
      <c r="BJ37" s="121">
        <f t="shared" si="24"/>
        <v>21308984.30260735</v>
      </c>
      <c r="BK37" s="121">
        <f t="shared" si="25"/>
        <v>21308984.30260735</v>
      </c>
      <c r="BL37" s="121">
        <f t="shared" si="26"/>
        <v>21308984.30260735</v>
      </c>
      <c r="BM37" s="121">
        <f t="shared" si="27"/>
        <v>0</v>
      </c>
      <c r="BN37" s="121">
        <f t="shared" si="28"/>
        <v>0</v>
      </c>
      <c r="BO37" s="121">
        <f t="shared" si="29"/>
        <v>0</v>
      </c>
      <c r="BP37" s="121">
        <f t="shared" si="30"/>
        <v>0</v>
      </c>
      <c r="BQ37" s="199">
        <f>INDEX('GDP deflators'!$C$6:$M$36,MATCH('Bottom-up tagging'!$D37,'GDP deflators'!$B$6:$B$36,),MATCH('Bottom-up tagging'!$E37,'GDP deflators'!$C$5:$L$5,))/100</f>
        <v>1.2487972031939574</v>
      </c>
      <c r="BR37" s="24">
        <v>26610600</v>
      </c>
    </row>
    <row r="38" spans="2:70" ht="26.15" hidden="1" customHeight="1">
      <c r="B38" s="110" t="s">
        <v>770</v>
      </c>
      <c r="C38" s="110" t="s">
        <v>775</v>
      </c>
      <c r="D38" s="110" t="s">
        <v>3994</v>
      </c>
      <c r="E38" s="103">
        <v>2019</v>
      </c>
      <c r="F38" s="108" t="s">
        <v>8377</v>
      </c>
      <c r="G38" s="111" t="s">
        <v>528</v>
      </c>
      <c r="H38" s="110" t="s">
        <v>10451</v>
      </c>
      <c r="I38" s="112">
        <f>IF(Dashboard!$B$16="Current USD",'Bottom-up tagging'!BR38,'Bottom-up tagging'!BR38/'Bottom-up tagging'!BQ38)</f>
        <v>17224378.830955617</v>
      </c>
      <c r="J38" s="118" t="s">
        <v>10474</v>
      </c>
      <c r="K38" s="112"/>
      <c r="L38" s="135">
        <v>1</v>
      </c>
      <c r="M38" s="135">
        <v>1</v>
      </c>
      <c r="N38" s="112"/>
      <c r="O38" s="112"/>
      <c r="P38" s="112" t="str">
        <f>VLOOKUP(B38, 'Companies covered restructured'!$B$7:$K$470, 9, FALSE)</f>
        <v>Seed development and biotech</v>
      </c>
      <c r="Q38" s="112" t="str">
        <f>VLOOKUP(B38, 'Companies covered restructured'!$B$7:$K$470, 6, FALSE)</f>
        <v>#Crops(100)</v>
      </c>
      <c r="R38" s="112" t="str">
        <f t="shared" si="0"/>
        <v>#Investment Fund(100)</v>
      </c>
      <c r="S38" s="112" t="s">
        <v>11003</v>
      </c>
      <c r="T38" s="112" t="s">
        <v>10466</v>
      </c>
      <c r="U38" s="116" t="s">
        <v>10970</v>
      </c>
      <c r="V38" s="112" t="str">
        <f>VLOOKUP(P38, 'Bottom-up Tagging Assumptions'!$B$12:$F$39, 5, FALSE)</f>
        <v>#Product Development(100)</v>
      </c>
      <c r="W38" s="112" t="str">
        <f>VLOOKUP(B38, 'Companies covered restructured'!$B$7:$K$470, 7, FALSE)</f>
        <v>#Field/Animal Herd(100)</v>
      </c>
      <c r="X38" s="112" t="s">
        <v>10558</v>
      </c>
      <c r="Y38" s="212" t="str">
        <f>VLOOKUP(P38, 'Bottom-up Tagging Assumptions'!$B$12:$C$56, 2, FALSE)</f>
        <v>#Productivity(P); #Human Condition(S)</v>
      </c>
      <c r="Z38" s="112" t="str">
        <f>VLOOKUP(P38, 'Bottom-up Tagging Assumptions'!$B$12:$F$56, 3, FALSE)</f>
        <v>#Increasing crop or animal yield(P); #Improved nutrition(S)</v>
      </c>
      <c r="AA38" s="112" t="str">
        <f>VLOOKUP(P38, 'Bottom-up Tagging Assumptions'!$B$12:$F$56, 4, FALSE)</f>
        <v>#Level 1(100)</v>
      </c>
      <c r="AB38" s="110" t="s">
        <v>772</v>
      </c>
      <c r="AC38" s="110"/>
      <c r="AD38" s="110" t="s">
        <v>773</v>
      </c>
      <c r="AE38" s="110" t="str">
        <f>VLOOKUP(AD38,  '1.2'!$B$7:$C$2033, 2, FALSE)</f>
        <v>FUND</v>
      </c>
      <c r="AF38" s="112">
        <v>778495</v>
      </c>
      <c r="AG38" s="110" t="s">
        <v>1328</v>
      </c>
      <c r="AH38" s="121">
        <f t="shared" si="1"/>
        <v>0</v>
      </c>
      <c r="AI38" s="121">
        <f t="shared" si="2"/>
        <v>1</v>
      </c>
      <c r="AJ38" s="121">
        <f t="shared" si="3"/>
        <v>0</v>
      </c>
      <c r="AK38" s="121">
        <f t="shared" si="4"/>
        <v>0</v>
      </c>
      <c r="AL38" s="121">
        <f t="shared" si="5"/>
        <v>1</v>
      </c>
      <c r="AM38" s="121">
        <f t="shared" si="6"/>
        <v>0</v>
      </c>
      <c r="AN38" s="121">
        <f t="shared" si="7"/>
        <v>1</v>
      </c>
      <c r="AO38" s="121">
        <f t="shared" si="8"/>
        <v>0</v>
      </c>
      <c r="AP38" s="22">
        <f t="shared" si="9"/>
        <v>0</v>
      </c>
      <c r="AQ38" s="22">
        <f t="shared" si="10"/>
        <v>17224378.830955617</v>
      </c>
      <c r="AR38" s="22">
        <f t="shared" si="11"/>
        <v>0</v>
      </c>
      <c r="AS38" s="121" t="str">
        <f t="shared" si="12"/>
        <v>Crops</v>
      </c>
      <c r="AT38" s="121" t="str">
        <f t="shared" si="31"/>
        <v xml:space="preserve"> </v>
      </c>
      <c r="AU38" s="121" t="str">
        <f t="shared" si="31"/>
        <v xml:space="preserve"> </v>
      </c>
      <c r="AV38" s="121" t="str">
        <f t="shared" si="31"/>
        <v xml:space="preserve"> </v>
      </c>
      <c r="AW38" s="130" t="str">
        <f t="shared" si="32"/>
        <v>100</v>
      </c>
      <c r="AX38" s="130" t="str">
        <f t="shared" si="32"/>
        <v xml:space="preserve"> </v>
      </c>
      <c r="AY38" s="130" t="str">
        <f t="shared" si="32"/>
        <v xml:space="preserve"> </v>
      </c>
      <c r="AZ38" s="130" t="str">
        <f t="shared" si="32"/>
        <v xml:space="preserve"> </v>
      </c>
      <c r="BA38" s="121">
        <f t="shared" si="15"/>
        <v>17224378.830955617</v>
      </c>
      <c r="BB38" s="121">
        <f t="shared" si="16"/>
        <v>0</v>
      </c>
      <c r="BC38" s="121">
        <f t="shared" si="17"/>
        <v>0</v>
      </c>
      <c r="BD38" s="121">
        <f t="shared" si="18"/>
        <v>0</v>
      </c>
      <c r="BE38" s="121">
        <f t="shared" si="19"/>
        <v>0</v>
      </c>
      <c r="BF38" s="121">
        <f t="shared" si="20"/>
        <v>0</v>
      </c>
      <c r="BG38" s="121">
        <f t="shared" si="21"/>
        <v>0</v>
      </c>
      <c r="BH38" s="121">
        <f t="shared" si="22"/>
        <v>0</v>
      </c>
      <c r="BI38" s="121">
        <f t="shared" si="23"/>
        <v>17224378.830955617</v>
      </c>
      <c r="BJ38" s="121">
        <f t="shared" si="24"/>
        <v>17224378.830955617</v>
      </c>
      <c r="BK38" s="121">
        <f t="shared" si="25"/>
        <v>17224378.830955617</v>
      </c>
      <c r="BL38" s="121">
        <f t="shared" si="26"/>
        <v>17224378.830955617</v>
      </c>
      <c r="BM38" s="121">
        <f t="shared" si="27"/>
        <v>0</v>
      </c>
      <c r="BN38" s="121">
        <f t="shared" si="28"/>
        <v>0</v>
      </c>
      <c r="BO38" s="121">
        <f t="shared" si="29"/>
        <v>0</v>
      </c>
      <c r="BP38" s="121">
        <f t="shared" si="30"/>
        <v>0</v>
      </c>
      <c r="BQ38" s="199">
        <f>INDEX('GDP deflators'!$C$6:$M$36,MATCH('Bottom-up tagging'!$D38,'GDP deflators'!$B$6:$B$36,),MATCH('Bottom-up tagging'!$E38,'GDP deflators'!$C$5:$L$5,))/100</f>
        <v>1.5094883975306472</v>
      </c>
      <c r="BR38" s="24">
        <v>26000000</v>
      </c>
    </row>
    <row r="39" spans="2:70" ht="26.15" hidden="1" customHeight="1">
      <c r="B39" s="110" t="s">
        <v>628</v>
      </c>
      <c r="C39" s="110" t="s">
        <v>632</v>
      </c>
      <c r="D39" s="110" t="s">
        <v>3994</v>
      </c>
      <c r="E39" s="103">
        <v>2018</v>
      </c>
      <c r="F39" s="108" t="s">
        <v>7984</v>
      </c>
      <c r="G39" s="111" t="s">
        <v>1309</v>
      </c>
      <c r="H39" s="110" t="s">
        <v>10451</v>
      </c>
      <c r="I39" s="112">
        <f>IF(Dashboard!$B$16="Current USD",'Bottom-up tagging'!BR39,'Bottom-up tagging'!BR39/'Bottom-up tagging'!BQ39)</f>
        <v>16944631.641201813</v>
      </c>
      <c r="J39" s="117" t="s">
        <v>10474</v>
      </c>
      <c r="K39" s="112"/>
      <c r="L39" s="135">
        <v>1</v>
      </c>
      <c r="M39" s="135">
        <v>1</v>
      </c>
      <c r="N39" s="112"/>
      <c r="O39" s="112"/>
      <c r="P39" s="112" t="str">
        <f>VLOOKUP(B39, 'Companies covered restructured'!$B$7:$K$470, 9, FALSE)</f>
        <v>Agri marketplaces</v>
      </c>
      <c r="Q39" s="112" t="str">
        <f>VLOOKUP(B39, 'Companies covered restructured'!$B$7:$K$470, 6, FALSE)</f>
        <v>#Livestock(100)</v>
      </c>
      <c r="R39" s="112" t="str">
        <f t="shared" si="0"/>
        <v>#Corporate(100)</v>
      </c>
      <c r="S39" s="112" t="s">
        <v>11003</v>
      </c>
      <c r="T39" s="112" t="s">
        <v>10466</v>
      </c>
      <c r="U39" s="103" t="s">
        <v>10970</v>
      </c>
      <c r="V39" s="112" t="str">
        <f>VLOOKUP(P39, 'Bottom-up Tagging Assumptions'!$B$12:$F$39, 5, FALSE)</f>
        <v>#Process Innovation(100)</v>
      </c>
      <c r="W39" s="112" t="str">
        <f>VLOOKUP(B39, 'Companies covered restructured'!$B$7:$K$470, 7, FALSE)</f>
        <v>#Farm/Household(100)</v>
      </c>
      <c r="X39" s="112" t="s">
        <v>10558</v>
      </c>
      <c r="Y39" s="212" t="str">
        <f>VLOOKUP(P39, 'Bottom-up Tagging Assumptions'!$B$12:$C$56, 2, FALSE)</f>
        <v>#Other Economic(P); Social(S)</v>
      </c>
      <c r="Z39" s="112" t="str">
        <f>VLOOKUP(P39, 'Bottom-up Tagging Assumptions'!$B$12:$F$56, 3, FALSE)</f>
        <v>#Improve price realization(P)</v>
      </c>
      <c r="AA39" s="112" t="str">
        <f>VLOOKUP(P39, 'Bottom-up Tagging Assumptions'!$B$12:$F$56, 4, FALSE)</f>
        <v>#Level 4(100)</v>
      </c>
      <c r="AB39" s="110" t="s">
        <v>1310</v>
      </c>
      <c r="AC39" s="110"/>
      <c r="AD39" s="110" t="s">
        <v>1311</v>
      </c>
      <c r="AE39" s="110" t="str">
        <f>VLOOKUP(AD39,  '1.2'!$B$7:$C$2033, 2, FALSE)</f>
        <v>CORPORATE_INVESTOR</v>
      </c>
      <c r="AF39" s="112">
        <v>101208</v>
      </c>
      <c r="AG39" s="110" t="s">
        <v>1062</v>
      </c>
      <c r="AH39" s="121">
        <f t="shared" si="1"/>
        <v>0</v>
      </c>
      <c r="AI39" s="121">
        <f t="shared" si="2"/>
        <v>0</v>
      </c>
      <c r="AJ39" s="121">
        <f t="shared" si="3"/>
        <v>1</v>
      </c>
      <c r="AK39" s="121">
        <f t="shared" si="4"/>
        <v>1</v>
      </c>
      <c r="AL39" s="121">
        <f t="shared" si="5"/>
        <v>0</v>
      </c>
      <c r="AM39" s="121">
        <f t="shared" si="6"/>
        <v>0</v>
      </c>
      <c r="AN39" s="121">
        <f t="shared" si="7"/>
        <v>1</v>
      </c>
      <c r="AO39" s="121">
        <f t="shared" si="8"/>
        <v>0</v>
      </c>
      <c r="AP39" s="22">
        <f t="shared" si="9"/>
        <v>0</v>
      </c>
      <c r="AQ39" s="22">
        <f t="shared" si="10"/>
        <v>16944631.641201813</v>
      </c>
      <c r="AR39" s="22">
        <f t="shared" si="11"/>
        <v>0</v>
      </c>
      <c r="AS39" s="121" t="str">
        <f t="shared" si="12"/>
        <v>Livestock</v>
      </c>
      <c r="AT39" s="121" t="str">
        <f t="shared" si="31"/>
        <v xml:space="preserve"> </v>
      </c>
      <c r="AU39" s="121" t="str">
        <f t="shared" si="31"/>
        <v xml:space="preserve"> </v>
      </c>
      <c r="AV39" s="121" t="str">
        <f t="shared" si="31"/>
        <v xml:space="preserve"> </v>
      </c>
      <c r="AW39" s="130" t="str">
        <f t="shared" si="32"/>
        <v>100</v>
      </c>
      <c r="AX39" s="130" t="str">
        <f t="shared" si="32"/>
        <v xml:space="preserve"> </v>
      </c>
      <c r="AY39" s="130" t="str">
        <f t="shared" si="32"/>
        <v xml:space="preserve"> </v>
      </c>
      <c r="AZ39" s="130" t="str">
        <f t="shared" si="32"/>
        <v xml:space="preserve"> </v>
      </c>
      <c r="BA39" s="121">
        <f t="shared" si="15"/>
        <v>16944631.641201813</v>
      </c>
      <c r="BB39" s="121">
        <f t="shared" si="16"/>
        <v>0</v>
      </c>
      <c r="BC39" s="121">
        <f t="shared" si="17"/>
        <v>0</v>
      </c>
      <c r="BD39" s="121">
        <f t="shared" si="18"/>
        <v>0</v>
      </c>
      <c r="BE39" s="121">
        <f t="shared" si="19"/>
        <v>0</v>
      </c>
      <c r="BF39" s="121">
        <f t="shared" si="20"/>
        <v>0</v>
      </c>
      <c r="BG39" s="121">
        <f t="shared" si="21"/>
        <v>0</v>
      </c>
      <c r="BH39" s="121">
        <f t="shared" si="22"/>
        <v>0</v>
      </c>
      <c r="BI39" s="121">
        <f t="shared" si="23"/>
        <v>16944631.641201813</v>
      </c>
      <c r="BJ39" s="121">
        <f t="shared" si="24"/>
        <v>16944631.641201813</v>
      </c>
      <c r="BK39" s="121">
        <f t="shared" si="25"/>
        <v>16944631.641201813</v>
      </c>
      <c r="BL39" s="121">
        <f t="shared" si="26"/>
        <v>16944631.641201813</v>
      </c>
      <c r="BM39" s="121">
        <f t="shared" si="27"/>
        <v>0</v>
      </c>
      <c r="BN39" s="121">
        <f t="shared" si="28"/>
        <v>0</v>
      </c>
      <c r="BO39" s="121">
        <f t="shared" si="29"/>
        <v>0</v>
      </c>
      <c r="BP39" s="121">
        <f t="shared" si="30"/>
        <v>0</v>
      </c>
      <c r="BQ39" s="199">
        <f>INDEX('GDP deflators'!$C$6:$M$36,MATCH('Bottom-up tagging'!$D39,'GDP deflators'!$B$6:$B$36,),MATCH('Bottom-up tagging'!$E39,'GDP deflators'!$C$5:$L$5,))/100</f>
        <v>1.4753935363936217</v>
      </c>
      <c r="BR39" s="24">
        <v>25000000</v>
      </c>
    </row>
    <row r="40" spans="2:70" ht="26.15" hidden="1" customHeight="1">
      <c r="B40" s="110" t="s">
        <v>628</v>
      </c>
      <c r="C40" s="110" t="s">
        <v>632</v>
      </c>
      <c r="D40" s="110" t="s">
        <v>3994</v>
      </c>
      <c r="E40" s="103">
        <v>2018</v>
      </c>
      <c r="F40" s="108" t="s">
        <v>7984</v>
      </c>
      <c r="G40" s="111" t="s">
        <v>95</v>
      </c>
      <c r="H40" s="110" t="s">
        <v>10451</v>
      </c>
      <c r="I40" s="112">
        <f>IF(Dashboard!$B$16="Current USD",'Bottom-up tagging'!BR40,'Bottom-up tagging'!BR40/'Bottom-up tagging'!BQ40)</f>
        <v>16944631.641201813</v>
      </c>
      <c r="J40" s="105" t="s">
        <v>10474</v>
      </c>
      <c r="K40" s="112"/>
      <c r="L40" s="135">
        <v>1</v>
      </c>
      <c r="M40" s="135">
        <v>1</v>
      </c>
      <c r="N40" s="112"/>
      <c r="O40" s="112"/>
      <c r="P40" s="112" t="str">
        <f>VLOOKUP(B40, 'Companies covered restructured'!$B$7:$K$470, 9, FALSE)</f>
        <v>Agri marketplaces</v>
      </c>
      <c r="Q40" s="112" t="str">
        <f>VLOOKUP(B40, 'Companies covered restructured'!$B$7:$K$470, 6, FALSE)</f>
        <v>#Livestock(100)</v>
      </c>
      <c r="R40" s="112" t="str">
        <f t="shared" si="0"/>
        <v>#Investment Fund(100)</v>
      </c>
      <c r="S40" s="112" t="s">
        <v>11003</v>
      </c>
      <c r="T40" s="112" t="s">
        <v>10466</v>
      </c>
      <c r="U40" s="103" t="s">
        <v>10970</v>
      </c>
      <c r="V40" s="112" t="str">
        <f>VLOOKUP(P40, 'Bottom-up Tagging Assumptions'!$B$12:$F$39, 5, FALSE)</f>
        <v>#Process Innovation(100)</v>
      </c>
      <c r="W40" s="112" t="str">
        <f>VLOOKUP(B40, 'Companies covered restructured'!$B$7:$K$470, 7, FALSE)</f>
        <v>#Farm/Household(100)</v>
      </c>
      <c r="X40" s="112" t="s">
        <v>10558</v>
      </c>
      <c r="Y40" s="212" t="str">
        <f>VLOOKUP(P40, 'Bottom-up Tagging Assumptions'!$B$12:$C$56, 2, FALSE)</f>
        <v>#Other Economic(P); Social(S)</v>
      </c>
      <c r="Z40" s="112" t="str">
        <f>VLOOKUP(P40, 'Bottom-up Tagging Assumptions'!$B$12:$F$56, 3, FALSE)</f>
        <v>#Improve price realization(P)</v>
      </c>
      <c r="AA40" s="112" t="str">
        <f>VLOOKUP(P40, 'Bottom-up Tagging Assumptions'!$B$12:$F$56, 4, FALSE)</f>
        <v>#Level 4(100)</v>
      </c>
      <c r="AB40" s="110" t="s">
        <v>1430</v>
      </c>
      <c r="AC40" s="110" t="s">
        <v>1431</v>
      </c>
      <c r="AD40" s="110" t="s">
        <v>1432</v>
      </c>
      <c r="AE40" s="110" t="s">
        <v>3114</v>
      </c>
      <c r="AF40" s="112">
        <v>400000</v>
      </c>
      <c r="AG40" s="110" t="s">
        <v>518</v>
      </c>
      <c r="AH40" s="121">
        <f t="shared" si="1"/>
        <v>0</v>
      </c>
      <c r="AI40" s="121">
        <f t="shared" si="2"/>
        <v>0</v>
      </c>
      <c r="AJ40" s="121">
        <f t="shared" si="3"/>
        <v>1</v>
      </c>
      <c r="AK40" s="121">
        <f t="shared" si="4"/>
        <v>1</v>
      </c>
      <c r="AL40" s="121">
        <f t="shared" si="5"/>
        <v>0</v>
      </c>
      <c r="AM40" s="121">
        <f t="shared" si="6"/>
        <v>0</v>
      </c>
      <c r="AN40" s="121">
        <f t="shared" si="7"/>
        <v>1</v>
      </c>
      <c r="AO40" s="121">
        <f t="shared" si="8"/>
        <v>0</v>
      </c>
      <c r="AP40" s="22">
        <f t="shared" si="9"/>
        <v>0</v>
      </c>
      <c r="AQ40" s="22">
        <f t="shared" si="10"/>
        <v>16944631.641201813</v>
      </c>
      <c r="AR40" s="22">
        <f t="shared" si="11"/>
        <v>0</v>
      </c>
      <c r="AS40" s="121" t="str">
        <f t="shared" si="12"/>
        <v>Livestock</v>
      </c>
      <c r="AT40" s="121" t="str">
        <f t="shared" si="31"/>
        <v xml:space="preserve"> </v>
      </c>
      <c r="AU40" s="121" t="str">
        <f t="shared" si="31"/>
        <v xml:space="preserve"> </v>
      </c>
      <c r="AV40" s="121" t="str">
        <f t="shared" si="31"/>
        <v xml:space="preserve"> </v>
      </c>
      <c r="AW40" s="130" t="str">
        <f t="shared" si="32"/>
        <v>100</v>
      </c>
      <c r="AX40" s="130" t="str">
        <f t="shared" si="32"/>
        <v xml:space="preserve"> </v>
      </c>
      <c r="AY40" s="130" t="str">
        <f t="shared" si="32"/>
        <v xml:space="preserve"> </v>
      </c>
      <c r="AZ40" s="130" t="str">
        <f t="shared" si="32"/>
        <v xml:space="preserve"> </v>
      </c>
      <c r="BA40" s="121">
        <f t="shared" si="15"/>
        <v>16944631.641201813</v>
      </c>
      <c r="BB40" s="121">
        <f t="shared" si="16"/>
        <v>0</v>
      </c>
      <c r="BC40" s="121">
        <f t="shared" si="17"/>
        <v>0</v>
      </c>
      <c r="BD40" s="121">
        <f t="shared" si="18"/>
        <v>0</v>
      </c>
      <c r="BE40" s="121">
        <f t="shared" si="19"/>
        <v>0</v>
      </c>
      <c r="BF40" s="121">
        <f t="shared" si="20"/>
        <v>0</v>
      </c>
      <c r="BG40" s="121">
        <f t="shared" si="21"/>
        <v>0</v>
      </c>
      <c r="BH40" s="121">
        <f t="shared" si="22"/>
        <v>0</v>
      </c>
      <c r="BI40" s="121">
        <f t="shared" si="23"/>
        <v>16944631.641201813</v>
      </c>
      <c r="BJ40" s="121">
        <f t="shared" si="24"/>
        <v>16944631.641201813</v>
      </c>
      <c r="BK40" s="121">
        <f t="shared" si="25"/>
        <v>16944631.641201813</v>
      </c>
      <c r="BL40" s="121">
        <f t="shared" si="26"/>
        <v>16944631.641201813</v>
      </c>
      <c r="BM40" s="121">
        <f t="shared" si="27"/>
        <v>0</v>
      </c>
      <c r="BN40" s="121">
        <f t="shared" si="28"/>
        <v>0</v>
      </c>
      <c r="BO40" s="121">
        <f t="shared" si="29"/>
        <v>0</v>
      </c>
      <c r="BP40" s="121">
        <f t="shared" si="30"/>
        <v>0</v>
      </c>
      <c r="BQ40" s="199">
        <f>INDEX('GDP deflators'!$C$6:$M$36,MATCH('Bottom-up tagging'!$D40,'GDP deflators'!$B$6:$B$36,),MATCH('Bottom-up tagging'!$E40,'GDP deflators'!$C$5:$L$5,))/100</f>
        <v>1.4753935363936217</v>
      </c>
      <c r="BR40" s="24">
        <v>25000000</v>
      </c>
    </row>
    <row r="41" spans="2:70" ht="26.15" hidden="1" customHeight="1">
      <c r="B41" s="110" t="s">
        <v>26</v>
      </c>
      <c r="C41" s="110" t="s">
        <v>31</v>
      </c>
      <c r="D41" s="110" t="s">
        <v>5333</v>
      </c>
      <c r="E41" s="103">
        <v>2020</v>
      </c>
      <c r="F41" s="108" t="s">
        <v>8076</v>
      </c>
      <c r="G41" s="111" t="s">
        <v>25</v>
      </c>
      <c r="H41" s="110" t="s">
        <v>10451</v>
      </c>
      <c r="I41" s="212">
        <v>0</v>
      </c>
      <c r="J41" s="117" t="s">
        <v>10474</v>
      </c>
      <c r="K41" s="112"/>
      <c r="L41" s="135">
        <v>1</v>
      </c>
      <c r="M41" s="135">
        <v>1</v>
      </c>
      <c r="N41" s="112"/>
      <c r="O41" s="112"/>
      <c r="P41" s="112" t="str">
        <f>VLOOKUP(B41, 'Companies covered restructured'!$B$7:$K$470, 9, FALSE)</f>
        <v>Agri input e-commerce platforms</v>
      </c>
      <c r="Q41" s="112" t="str">
        <f>VLOOKUP(B41, 'Companies covered restructured'!$B$7:$K$470, 6, FALSE)</f>
        <v>#Crops(100)</v>
      </c>
      <c r="R41" s="112" t="str">
        <f t="shared" si="0"/>
        <v>#Investment Fund(100)</v>
      </c>
      <c r="S41" s="112" t="s">
        <v>11003</v>
      </c>
      <c r="T41" s="112" t="s">
        <v>10466</v>
      </c>
      <c r="U41" s="103" t="s">
        <v>10970</v>
      </c>
      <c r="V41" s="112" t="str">
        <f>VLOOKUP(P41, 'Bottom-up Tagging Assumptions'!$B$12:$F$39, 5, FALSE)</f>
        <v>#Process Innovation(100)</v>
      </c>
      <c r="W41" s="112" t="str">
        <f>VLOOKUP(B41, 'Companies covered restructured'!$B$7:$K$470, 7, FALSE)</f>
        <v>#Field/Animal Herd(100)</v>
      </c>
      <c r="X41" s="112" t="s">
        <v>10558</v>
      </c>
      <c r="Y41" s="112" t="str">
        <f>VLOOKUP(P41, '[2]Bottom-up Tagging Assumptions'!$B$12:$F$56, 2, FALSE)</f>
        <v>#Other Economic(P); Productivity(S)</v>
      </c>
      <c r="Z41" s="112" t="str">
        <f>VLOOKUP(P41, 'Bottom-up Tagging Assumptions'!$B$12:$F$56, 3, FALSE)</f>
        <v>#Reduce cost of inputs(P)</v>
      </c>
      <c r="AA41" s="112" t="str">
        <f>VLOOKUP(P41, 'Bottom-up Tagging Assumptions'!$B$12:$F$56, 4, FALSE)</f>
        <v>#Level 1(100)</v>
      </c>
      <c r="AB41" s="110" t="s">
        <v>587</v>
      </c>
      <c r="AC41" s="110"/>
      <c r="AD41" s="110" t="s">
        <v>588</v>
      </c>
      <c r="AE41" s="110" t="str">
        <f>VLOOKUP(AD41,  '1.2'!$B$7:$C$2033, 2, FALSE)</f>
        <v>FUND</v>
      </c>
      <c r="AF41" s="112">
        <v>15568800</v>
      </c>
      <c r="AG41" s="110" t="s">
        <v>1335</v>
      </c>
      <c r="AH41" s="121">
        <f t="shared" si="1"/>
        <v>0</v>
      </c>
      <c r="AI41" s="121">
        <f t="shared" si="2"/>
        <v>1</v>
      </c>
      <c r="AJ41" s="121">
        <f t="shared" si="3"/>
        <v>1</v>
      </c>
      <c r="AK41" s="121">
        <f t="shared" si="4"/>
        <v>0</v>
      </c>
      <c r="AL41" s="121">
        <f t="shared" si="5"/>
        <v>0</v>
      </c>
      <c r="AM41" s="121">
        <f t="shared" si="6"/>
        <v>0</v>
      </c>
      <c r="AN41" s="121">
        <f t="shared" si="7"/>
        <v>0</v>
      </c>
      <c r="AO41" s="121">
        <f t="shared" si="8"/>
        <v>0</v>
      </c>
      <c r="AP41" s="22">
        <f t="shared" si="9"/>
        <v>0</v>
      </c>
      <c r="AQ41" s="22">
        <f t="shared" si="10"/>
        <v>0</v>
      </c>
      <c r="AR41" s="22">
        <f t="shared" si="11"/>
        <v>0</v>
      </c>
      <c r="AS41" s="121" t="str">
        <f t="shared" si="12"/>
        <v>Crops</v>
      </c>
      <c r="AT41" s="121" t="str">
        <f t="shared" si="31"/>
        <v xml:space="preserve"> </v>
      </c>
      <c r="AU41" s="121" t="str">
        <f t="shared" si="31"/>
        <v xml:space="preserve"> </v>
      </c>
      <c r="AV41" s="121" t="str">
        <f t="shared" si="31"/>
        <v xml:space="preserve"> </v>
      </c>
      <c r="AW41" s="130" t="str">
        <f t="shared" si="32"/>
        <v>100</v>
      </c>
      <c r="AX41" s="130" t="str">
        <f t="shared" si="32"/>
        <v xml:space="preserve"> </v>
      </c>
      <c r="AY41" s="130" t="str">
        <f t="shared" si="32"/>
        <v xml:space="preserve"> </v>
      </c>
      <c r="AZ41" s="130" t="str">
        <f t="shared" si="32"/>
        <v xml:space="preserve"> </v>
      </c>
      <c r="BA41" s="121">
        <f t="shared" si="15"/>
        <v>0</v>
      </c>
      <c r="BB41" s="121">
        <f t="shared" si="16"/>
        <v>0</v>
      </c>
      <c r="BC41" s="121">
        <f t="shared" si="17"/>
        <v>0</v>
      </c>
      <c r="BD41" s="121">
        <f t="shared" si="18"/>
        <v>0</v>
      </c>
      <c r="BE41" s="121">
        <f t="shared" si="19"/>
        <v>0</v>
      </c>
      <c r="BF41" s="121">
        <f t="shared" si="20"/>
        <v>0</v>
      </c>
      <c r="BG41" s="121">
        <f t="shared" si="21"/>
        <v>0</v>
      </c>
      <c r="BH41" s="121">
        <f t="shared" si="22"/>
        <v>0</v>
      </c>
      <c r="BI41" s="121">
        <f t="shared" si="23"/>
        <v>0</v>
      </c>
      <c r="BJ41" s="121">
        <f t="shared" si="24"/>
        <v>0</v>
      </c>
      <c r="BK41" s="121">
        <f t="shared" si="25"/>
        <v>0</v>
      </c>
      <c r="BL41" s="121">
        <f t="shared" si="26"/>
        <v>0</v>
      </c>
      <c r="BM41" s="121">
        <f t="shared" si="27"/>
        <v>0</v>
      </c>
      <c r="BN41" s="121">
        <f t="shared" si="28"/>
        <v>0</v>
      </c>
      <c r="BO41" s="121">
        <f t="shared" si="29"/>
        <v>0</v>
      </c>
      <c r="BP41" s="121">
        <f t="shared" si="30"/>
        <v>0</v>
      </c>
      <c r="BQ41" s="199" t="e">
        <f>INDEX('GDP deflators'!$C$6:$M$36,MATCH('Bottom-up tagging'!$D41,'GDP deflators'!$B$6:$B$36,),MATCH('Bottom-up tagging'!$E41,'GDP deflators'!$C$5:$L$5,))/100</f>
        <v>#N/A</v>
      </c>
      <c r="BR41" s="24">
        <v>23000000</v>
      </c>
    </row>
    <row r="42" spans="2:70" ht="26.15" hidden="1" customHeight="1">
      <c r="B42" s="110" t="s">
        <v>2359</v>
      </c>
      <c r="C42" s="110" t="s">
        <v>2361</v>
      </c>
      <c r="D42" s="110" t="s">
        <v>2057</v>
      </c>
      <c r="E42" s="103">
        <v>2016</v>
      </c>
      <c r="F42" s="108" t="s">
        <v>9629</v>
      </c>
      <c r="G42" s="111" t="s">
        <v>109</v>
      </c>
      <c r="H42" s="110" t="s">
        <v>10451</v>
      </c>
      <c r="I42" s="112">
        <f>IF(Dashboard!$B$16="Current USD",'Bottom-up tagging'!BR42,'Bottom-up tagging'!BR42/'Bottom-up tagging'!BQ42)</f>
        <v>19437049.585065205</v>
      </c>
      <c r="J42" s="118" t="s">
        <v>10474</v>
      </c>
      <c r="K42" s="112"/>
      <c r="L42" s="135">
        <v>1</v>
      </c>
      <c r="M42" s="135">
        <v>1</v>
      </c>
      <c r="N42" s="112"/>
      <c r="O42" s="112"/>
      <c r="P42" s="112" t="str">
        <f>VLOOKUP(B42, 'Companies covered restructured'!$B$7:$K$470, 9, FALSE)</f>
        <v xml:space="preserve">Agriculture financing systems </v>
      </c>
      <c r="Q42" s="112" t="str">
        <f>VLOOKUP(B42, 'Companies covered restructured'!$B$7:$K$470, 6, FALSE)</f>
        <v>#Cross-cutting(100)</v>
      </c>
      <c r="R42" s="112" t="str">
        <f t="shared" si="0"/>
        <v>N/A</v>
      </c>
      <c r="S42" s="112" t="s">
        <v>11003</v>
      </c>
      <c r="T42" s="112" t="s">
        <v>10466</v>
      </c>
      <c r="U42" s="213" t="s">
        <v>10970</v>
      </c>
      <c r="V42" s="112" t="str">
        <f>VLOOKUP(P42, 'Bottom-up Tagging Assumptions'!$B$12:$F$39, 5, FALSE)</f>
        <v>#Process Innovation(100)</v>
      </c>
      <c r="W42" s="112" t="str">
        <f>VLOOKUP(B42, 'Companies covered restructured'!$B$7:$K$470, 7, FALSE)</f>
        <v>#Farm/Household(100)</v>
      </c>
      <c r="X42" s="112" t="str">
        <f>VLOOKUP(B42, 'Companies covered restructured'!$B$7:$K$470, 8, FALSE)</f>
        <v>N/A</v>
      </c>
      <c r="Y42" s="212" t="str">
        <f>VLOOKUP(P42, 'Bottom-up Tagging Assumptions'!$B$12:$C$56, 2, FALSE)</f>
        <v>#Other Economic(P); Social(S)</v>
      </c>
      <c r="Z42" s="112" t="str">
        <f>VLOOKUP(P42, 'Bottom-up Tagging Assumptions'!$B$12:$F$56, 3, FALSE)</f>
        <v>NA</v>
      </c>
      <c r="AA42" s="112" t="str">
        <f>VLOOKUP(P42, 'Bottom-up Tagging Assumptions'!$B$12:$F$56, 4, FALSE)</f>
        <v>#Level 1(100)</v>
      </c>
      <c r="AB42" s="110"/>
      <c r="AC42" s="110"/>
      <c r="AD42" s="110"/>
      <c r="AE42" s="110" t="s">
        <v>10558</v>
      </c>
      <c r="AF42" s="112">
        <v>46450000</v>
      </c>
      <c r="AG42" s="110" t="s">
        <v>476</v>
      </c>
      <c r="AH42" s="121">
        <f t="shared" si="1"/>
        <v>0</v>
      </c>
      <c r="AI42" s="121">
        <f t="shared" si="2"/>
        <v>0</v>
      </c>
      <c r="AJ42" s="121">
        <f t="shared" si="3"/>
        <v>1</v>
      </c>
      <c r="AK42" s="121">
        <f t="shared" si="4"/>
        <v>1</v>
      </c>
      <c r="AL42" s="121">
        <f t="shared" si="5"/>
        <v>0</v>
      </c>
      <c r="AM42" s="121">
        <f t="shared" si="6"/>
        <v>0</v>
      </c>
      <c r="AN42" s="121">
        <f t="shared" si="7"/>
        <v>1</v>
      </c>
      <c r="AO42" s="121">
        <f t="shared" si="8"/>
        <v>0</v>
      </c>
      <c r="AP42" s="22">
        <f t="shared" si="9"/>
        <v>0</v>
      </c>
      <c r="AQ42" s="22">
        <f t="shared" si="10"/>
        <v>19437049.585065205</v>
      </c>
      <c r="AR42" s="22">
        <f t="shared" si="11"/>
        <v>0</v>
      </c>
      <c r="AS42" s="121" t="str">
        <f t="shared" si="12"/>
        <v>Cross-cutting</v>
      </c>
      <c r="AT42" s="121" t="str">
        <f t="shared" si="31"/>
        <v xml:space="preserve"> </v>
      </c>
      <c r="AU42" s="121" t="str">
        <f t="shared" si="31"/>
        <v xml:space="preserve"> </v>
      </c>
      <c r="AV42" s="121" t="str">
        <f t="shared" si="31"/>
        <v xml:space="preserve"> </v>
      </c>
      <c r="AW42" s="130" t="str">
        <f t="shared" si="32"/>
        <v>100</v>
      </c>
      <c r="AX42" s="130" t="str">
        <f t="shared" si="32"/>
        <v xml:space="preserve"> </v>
      </c>
      <c r="AY42" s="130" t="str">
        <f t="shared" si="32"/>
        <v xml:space="preserve"> </v>
      </c>
      <c r="AZ42" s="130" t="str">
        <f t="shared" si="32"/>
        <v xml:space="preserve"> </v>
      </c>
      <c r="BA42" s="121">
        <f t="shared" si="15"/>
        <v>19437049.585065205</v>
      </c>
      <c r="BB42" s="121">
        <f t="shared" si="16"/>
        <v>0</v>
      </c>
      <c r="BC42" s="121">
        <f t="shared" si="17"/>
        <v>0</v>
      </c>
      <c r="BD42" s="121">
        <f t="shared" si="18"/>
        <v>0</v>
      </c>
      <c r="BE42" s="121">
        <f t="shared" si="19"/>
        <v>0</v>
      </c>
      <c r="BF42" s="121">
        <f t="shared" si="20"/>
        <v>0</v>
      </c>
      <c r="BG42" s="121">
        <f t="shared" si="21"/>
        <v>0</v>
      </c>
      <c r="BH42" s="121">
        <f t="shared" si="22"/>
        <v>0</v>
      </c>
      <c r="BI42" s="121">
        <f t="shared" si="23"/>
        <v>19437049.585065205</v>
      </c>
      <c r="BJ42" s="121">
        <f t="shared" si="24"/>
        <v>19437049.585065205</v>
      </c>
      <c r="BK42" s="121">
        <f t="shared" si="25"/>
        <v>19437049.585065205</v>
      </c>
      <c r="BL42" s="121">
        <f t="shared" si="26"/>
        <v>19437049.585065205</v>
      </c>
      <c r="BM42" s="121">
        <f t="shared" si="27"/>
        <v>0</v>
      </c>
      <c r="BN42" s="121">
        <f t="shared" si="28"/>
        <v>0</v>
      </c>
      <c r="BO42" s="121">
        <f t="shared" si="29"/>
        <v>0</v>
      </c>
      <c r="BP42" s="121">
        <f t="shared" si="30"/>
        <v>0</v>
      </c>
      <c r="BQ42" s="199">
        <f>INDEX('GDP deflators'!$C$6:$M$36,MATCH('Bottom-up tagging'!$D42,'GDP deflators'!$B$6:$B$36,),MATCH('Bottom-up tagging'!$E42,'GDP deflators'!$C$5:$L$5,))/100</f>
        <v>1.1575830941589131</v>
      </c>
      <c r="BR42" s="24">
        <v>22500000</v>
      </c>
    </row>
    <row r="43" spans="2:70" ht="26.15" hidden="1" customHeight="1">
      <c r="B43" s="110" t="s">
        <v>452</v>
      </c>
      <c r="C43" s="110" t="s">
        <v>456</v>
      </c>
      <c r="D43" s="110" t="s">
        <v>7086</v>
      </c>
      <c r="E43" s="103">
        <v>2020</v>
      </c>
      <c r="F43" s="108" t="s">
        <v>7089</v>
      </c>
      <c r="G43" s="111" t="s">
        <v>109</v>
      </c>
      <c r="H43" s="110" t="s">
        <v>10451</v>
      </c>
      <c r="I43" s="212">
        <v>0</v>
      </c>
      <c r="J43" s="118" t="s">
        <v>10474</v>
      </c>
      <c r="K43" s="112"/>
      <c r="L43" s="135">
        <v>1</v>
      </c>
      <c r="M43" s="135">
        <v>1</v>
      </c>
      <c r="N43" s="112"/>
      <c r="O43" s="112"/>
      <c r="P43" s="112" t="str">
        <f>VLOOKUP(B43, 'Companies covered restructured'!$B$7:$K$470, 9, FALSE)</f>
        <v xml:space="preserve">Hydroponics </v>
      </c>
      <c r="Q43" s="112" t="str">
        <f>VLOOKUP(B43, 'Companies covered restructured'!$B$7:$K$470, 6, FALSE)</f>
        <v>#Crops(100)</v>
      </c>
      <c r="R43" s="112" t="str">
        <f t="shared" si="0"/>
        <v>N/A</v>
      </c>
      <c r="S43" s="112" t="s">
        <v>11003</v>
      </c>
      <c r="T43" s="112" t="s">
        <v>10466</v>
      </c>
      <c r="U43" s="103" t="s">
        <v>10970</v>
      </c>
      <c r="V43" s="112" t="str">
        <f>VLOOKUP(P43, 'Bottom-up Tagging Assumptions'!$B$12:$F$39, 5, FALSE)</f>
        <v>#Science &amp; tech(100)</v>
      </c>
      <c r="W43" s="112" t="str">
        <f>VLOOKUP(B43, 'Companies covered restructured'!$B$7:$K$470, 7, FALSE)</f>
        <v>#Field/Animal Herd(100)</v>
      </c>
      <c r="X43" s="112" t="s">
        <v>10558</v>
      </c>
      <c r="Y43" s="112" t="str">
        <f>VLOOKUP(P43, '[2]Bottom-up Tagging Assumptions'!$B$12:$F$56, 2, FALSE)</f>
        <v>#Human Condition(P); #Environmental(S); #Productivity(S)</v>
      </c>
      <c r="Z43" s="112" t="str">
        <f>VLOOKUP(P43, 'Bottom-up Tagging Assumptions'!$B$12:$F$56, 3, FALSE)</f>
        <v>#Food security(P); #Reducing production variability(S)</v>
      </c>
      <c r="AA43" s="112" t="str">
        <f>VLOOKUP(P43, 'Bottom-up Tagging Assumptions'!$B$12:$F$56, 4, FALSE)</f>
        <v>#Level 2(100)</v>
      </c>
      <c r="AB43" s="110" t="s">
        <v>454</v>
      </c>
      <c r="AC43" s="110"/>
      <c r="AD43" s="110"/>
      <c r="AE43" s="110" t="s">
        <v>10558</v>
      </c>
      <c r="AF43" s="112"/>
      <c r="AG43" s="110" t="s">
        <v>1346</v>
      </c>
      <c r="AH43" s="121">
        <f t="shared" si="1"/>
        <v>1</v>
      </c>
      <c r="AI43" s="121">
        <f t="shared" si="2"/>
        <v>1</v>
      </c>
      <c r="AJ43" s="121">
        <f t="shared" si="3"/>
        <v>0</v>
      </c>
      <c r="AK43" s="121">
        <f t="shared" si="4"/>
        <v>0</v>
      </c>
      <c r="AL43" s="121">
        <f t="shared" si="5"/>
        <v>1</v>
      </c>
      <c r="AM43" s="121">
        <f t="shared" si="6"/>
        <v>1</v>
      </c>
      <c r="AN43" s="121">
        <f t="shared" si="7"/>
        <v>1</v>
      </c>
      <c r="AO43" s="121">
        <f t="shared" si="8"/>
        <v>1</v>
      </c>
      <c r="AP43" s="22">
        <f t="shared" si="9"/>
        <v>0</v>
      </c>
      <c r="AQ43" s="22">
        <f t="shared" si="10"/>
        <v>0</v>
      </c>
      <c r="AR43" s="22">
        <f t="shared" si="11"/>
        <v>0</v>
      </c>
      <c r="AS43" s="121" t="str">
        <f t="shared" si="12"/>
        <v>Crops</v>
      </c>
      <c r="AT43" s="121" t="str">
        <f t="shared" si="31"/>
        <v xml:space="preserve"> </v>
      </c>
      <c r="AU43" s="121" t="str">
        <f t="shared" si="31"/>
        <v xml:space="preserve"> </v>
      </c>
      <c r="AV43" s="121" t="str">
        <f t="shared" si="31"/>
        <v xml:space="preserve"> </v>
      </c>
      <c r="AW43" s="130" t="str">
        <f t="shared" si="32"/>
        <v>100</v>
      </c>
      <c r="AX43" s="130" t="str">
        <f t="shared" si="32"/>
        <v xml:space="preserve"> </v>
      </c>
      <c r="AY43" s="130" t="str">
        <f t="shared" si="32"/>
        <v xml:space="preserve"> </v>
      </c>
      <c r="AZ43" s="130" t="str">
        <f t="shared" si="32"/>
        <v xml:space="preserve"> </v>
      </c>
      <c r="BA43" s="121">
        <f t="shared" si="15"/>
        <v>0</v>
      </c>
      <c r="BB43" s="121">
        <f t="shared" si="16"/>
        <v>0</v>
      </c>
      <c r="BC43" s="121">
        <f t="shared" si="17"/>
        <v>0</v>
      </c>
      <c r="BD43" s="121">
        <f t="shared" si="18"/>
        <v>0</v>
      </c>
      <c r="BE43" s="121">
        <f t="shared" si="19"/>
        <v>0</v>
      </c>
      <c r="BF43" s="121">
        <f t="shared" si="20"/>
        <v>0</v>
      </c>
      <c r="BG43" s="121">
        <f t="shared" si="21"/>
        <v>0</v>
      </c>
      <c r="BH43" s="121">
        <f t="shared" si="22"/>
        <v>0</v>
      </c>
      <c r="BI43" s="121">
        <f t="shared" si="23"/>
        <v>0</v>
      </c>
      <c r="BJ43" s="121">
        <f t="shared" si="24"/>
        <v>0</v>
      </c>
      <c r="BK43" s="121">
        <f t="shared" si="25"/>
        <v>0</v>
      </c>
      <c r="BL43" s="121">
        <f t="shared" si="26"/>
        <v>0</v>
      </c>
      <c r="BM43" s="121">
        <f t="shared" si="27"/>
        <v>0</v>
      </c>
      <c r="BN43" s="121">
        <f t="shared" si="28"/>
        <v>0</v>
      </c>
      <c r="BO43" s="121">
        <f t="shared" si="29"/>
        <v>0</v>
      </c>
      <c r="BP43" s="121">
        <f t="shared" si="30"/>
        <v>0</v>
      </c>
      <c r="BQ43" s="199" t="e">
        <f>INDEX('GDP deflators'!$C$6:$M$36,MATCH('Bottom-up tagging'!$D43,'GDP deflators'!$B$6:$B$36,),MATCH('Bottom-up tagging'!$E43,'GDP deflators'!$C$5:$L$5,))/100</f>
        <v>#N/A</v>
      </c>
      <c r="BR43" s="24">
        <v>20600000</v>
      </c>
    </row>
    <row r="44" spans="2:70" ht="26.15" hidden="1" customHeight="1">
      <c r="B44" s="110" t="s">
        <v>544</v>
      </c>
      <c r="C44" s="110" t="s">
        <v>548</v>
      </c>
      <c r="D44" s="110" t="s">
        <v>5208</v>
      </c>
      <c r="E44" s="103">
        <v>2020</v>
      </c>
      <c r="F44" s="108" t="s">
        <v>6743</v>
      </c>
      <c r="G44" s="111" t="s">
        <v>289</v>
      </c>
      <c r="H44" s="110" t="s">
        <v>10451</v>
      </c>
      <c r="I44" s="212">
        <v>0</v>
      </c>
      <c r="J44" s="118" t="s">
        <v>10474</v>
      </c>
      <c r="K44" s="112"/>
      <c r="L44" s="135">
        <v>1</v>
      </c>
      <c r="M44" s="135">
        <v>1</v>
      </c>
      <c r="N44" s="112"/>
      <c r="O44" s="112"/>
      <c r="P44" s="112" t="str">
        <f>VLOOKUP(B44, 'Companies covered restructured'!$B$7:$K$470, 9, FALSE)</f>
        <v>Equipment automation</v>
      </c>
      <c r="Q44" s="112" t="str">
        <f>VLOOKUP(B44, 'Companies covered restructured'!$B$7:$K$470, 6, FALSE)</f>
        <v>#Crops(100)</v>
      </c>
      <c r="R44" s="112" t="str">
        <f t="shared" si="0"/>
        <v>N/A</v>
      </c>
      <c r="S44" s="112" t="s">
        <v>11003</v>
      </c>
      <c r="T44" s="112" t="s">
        <v>10464</v>
      </c>
      <c r="U44" s="103" t="s">
        <v>10970</v>
      </c>
      <c r="V44" s="112" t="str">
        <f>VLOOKUP(P44, 'Bottom-up Tagging Assumptions'!$B$12:$F$39, 5, FALSE)</f>
        <v>#Science &amp; tech(100)</v>
      </c>
      <c r="W44" s="112" t="str">
        <f>VLOOKUP(B44, 'Companies covered restructured'!$B$7:$K$470, 7, FALSE)</f>
        <v>#Field/Animal Herd(100)</v>
      </c>
      <c r="X44" s="112" t="s">
        <v>10558</v>
      </c>
      <c r="Y44" s="112" t="str">
        <f>VLOOKUP(P44, '[2]Bottom-up Tagging Assumptions'!$B$12:$F$56, 2, FALSE)</f>
        <v>#Productivity(P); #Other Economic(S)</v>
      </c>
      <c r="Z44" s="112" t="str">
        <f>VLOOKUP(P44, 'Bottom-up Tagging Assumptions'!$B$12:$F$56, 3, FALSE)</f>
        <v>#Reducing human effort(P); #Increasing output per unit input(S)</v>
      </c>
      <c r="AA44" s="112" t="str">
        <f>VLOOKUP(P44, 'Bottom-up Tagging Assumptions'!$B$12:$F$56, 4, FALSE)</f>
        <v>#Level 1(100)</v>
      </c>
      <c r="AB44" s="110" t="s">
        <v>546</v>
      </c>
      <c r="AC44" s="110"/>
      <c r="AD44" s="110"/>
      <c r="AE44" s="110" t="s">
        <v>10558</v>
      </c>
      <c r="AF44" s="112">
        <v>300000</v>
      </c>
      <c r="AG44" s="110" t="s">
        <v>1352</v>
      </c>
      <c r="AH44" s="121">
        <f t="shared" si="1"/>
        <v>0</v>
      </c>
      <c r="AI44" s="121">
        <f t="shared" si="2"/>
        <v>1</v>
      </c>
      <c r="AJ44" s="121">
        <f t="shared" si="3"/>
        <v>1</v>
      </c>
      <c r="AK44" s="121">
        <f t="shared" si="4"/>
        <v>0</v>
      </c>
      <c r="AL44" s="121">
        <f t="shared" si="5"/>
        <v>0</v>
      </c>
      <c r="AM44" s="121">
        <f t="shared" si="6"/>
        <v>0</v>
      </c>
      <c r="AN44" s="121">
        <f t="shared" si="7"/>
        <v>0</v>
      </c>
      <c r="AO44" s="121">
        <f t="shared" si="8"/>
        <v>0</v>
      </c>
      <c r="AP44" s="22">
        <f t="shared" si="9"/>
        <v>0</v>
      </c>
      <c r="AQ44" s="22">
        <f t="shared" si="10"/>
        <v>0</v>
      </c>
      <c r="AR44" s="22">
        <f t="shared" si="11"/>
        <v>0</v>
      </c>
      <c r="AS44" s="121" t="str">
        <f t="shared" si="12"/>
        <v>Crops</v>
      </c>
      <c r="AT44" s="121" t="str">
        <f t="shared" si="31"/>
        <v xml:space="preserve"> </v>
      </c>
      <c r="AU44" s="121" t="str">
        <f t="shared" si="31"/>
        <v xml:space="preserve"> </v>
      </c>
      <c r="AV44" s="121" t="str">
        <f t="shared" si="31"/>
        <v xml:space="preserve"> </v>
      </c>
      <c r="AW44" s="130" t="str">
        <f t="shared" si="32"/>
        <v>100</v>
      </c>
      <c r="AX44" s="130" t="str">
        <f t="shared" si="32"/>
        <v xml:space="preserve"> </v>
      </c>
      <c r="AY44" s="130" t="str">
        <f t="shared" si="32"/>
        <v xml:space="preserve"> </v>
      </c>
      <c r="AZ44" s="130" t="str">
        <f t="shared" si="32"/>
        <v xml:space="preserve"> </v>
      </c>
      <c r="BA44" s="121">
        <f t="shared" si="15"/>
        <v>0</v>
      </c>
      <c r="BB44" s="121">
        <f t="shared" si="16"/>
        <v>0</v>
      </c>
      <c r="BC44" s="121">
        <f t="shared" si="17"/>
        <v>0</v>
      </c>
      <c r="BD44" s="121">
        <f t="shared" si="18"/>
        <v>0</v>
      </c>
      <c r="BE44" s="121">
        <f t="shared" si="19"/>
        <v>0</v>
      </c>
      <c r="BF44" s="121">
        <f t="shared" si="20"/>
        <v>0</v>
      </c>
      <c r="BG44" s="121">
        <f t="shared" si="21"/>
        <v>0</v>
      </c>
      <c r="BH44" s="121">
        <f t="shared" si="22"/>
        <v>0</v>
      </c>
      <c r="BI44" s="121">
        <f t="shared" si="23"/>
        <v>0</v>
      </c>
      <c r="BJ44" s="121">
        <f t="shared" si="24"/>
        <v>0</v>
      </c>
      <c r="BK44" s="121">
        <f t="shared" si="25"/>
        <v>0</v>
      </c>
      <c r="BL44" s="121">
        <f t="shared" si="26"/>
        <v>0</v>
      </c>
      <c r="BM44" s="121">
        <f t="shared" si="27"/>
        <v>0</v>
      </c>
      <c r="BN44" s="121">
        <f t="shared" si="28"/>
        <v>0</v>
      </c>
      <c r="BO44" s="121">
        <f t="shared" si="29"/>
        <v>0</v>
      </c>
      <c r="BP44" s="121">
        <f t="shared" si="30"/>
        <v>0</v>
      </c>
      <c r="BQ44" s="199" t="e">
        <f>INDEX('GDP deflators'!$C$6:$M$36,MATCH('Bottom-up tagging'!$D44,'GDP deflators'!$B$6:$B$36,),MATCH('Bottom-up tagging'!$E44,'GDP deflators'!$C$5:$L$5,))/100</f>
        <v>#N/A</v>
      </c>
      <c r="BR44" s="24">
        <v>20000000</v>
      </c>
    </row>
    <row r="45" spans="2:70" ht="26.15" hidden="1" customHeight="1">
      <c r="B45" s="110" t="s">
        <v>228</v>
      </c>
      <c r="C45" s="110" t="s">
        <v>234</v>
      </c>
      <c r="D45" s="110" t="s">
        <v>11148</v>
      </c>
      <c r="E45" s="103">
        <v>2018</v>
      </c>
      <c r="F45" s="108" t="s">
        <v>7793</v>
      </c>
      <c r="G45" s="111" t="s">
        <v>25</v>
      </c>
      <c r="H45" s="110" t="s">
        <v>10451</v>
      </c>
      <c r="I45" s="112">
        <f>IF(Dashboard!$B$16="Current USD",'Bottom-up tagging'!BR45,'Bottom-up tagging'!BR45/'Bottom-up tagging'!BQ45)</f>
        <v>11852958.318831263</v>
      </c>
      <c r="J45" s="118" t="s">
        <v>10474</v>
      </c>
      <c r="K45" s="112"/>
      <c r="L45" s="135">
        <v>1</v>
      </c>
      <c r="M45" s="135">
        <v>1</v>
      </c>
      <c r="N45" s="112"/>
      <c r="O45" s="112"/>
      <c r="P45" s="112" t="str">
        <f>VLOOKUP(B45, 'Companies covered restructured'!$B$7:$K$470, 9, FALSE)</f>
        <v>AI/analytics based advisory algorithms (incl. weather)</v>
      </c>
      <c r="Q45" s="112" t="str">
        <f>VLOOKUP(B45, 'Companies covered restructured'!$B$7:$K$470, 6, FALSE)</f>
        <v>#Crops(100)</v>
      </c>
      <c r="R45" s="112" t="str">
        <f t="shared" si="0"/>
        <v>#Investment Fund(100)</v>
      </c>
      <c r="S45" s="112" t="s">
        <v>11003</v>
      </c>
      <c r="T45" s="112" t="s">
        <v>10466</v>
      </c>
      <c r="U45" s="103" t="s">
        <v>10970</v>
      </c>
      <c r="V45" s="112" t="str">
        <f>VLOOKUP(P45, 'Bottom-up Tagging Assumptions'!$B$12:$F$39, 5, FALSE)</f>
        <v>#Science &amp; tech(100)</v>
      </c>
      <c r="W45" s="112" t="str">
        <f>VLOOKUP(B45, 'Companies covered restructured'!$B$7:$K$470, 7, FALSE)</f>
        <v>#Field/Animal Herd(100)</v>
      </c>
      <c r="X45" s="112" t="s">
        <v>10558</v>
      </c>
      <c r="Y45" s="212" t="str">
        <f>VLOOKUP(P45, 'Bottom-up Tagging Assumptions'!$B$12:$C$56, 2, FALSE)</f>
        <v>#Other Economic(P); #Productivity(S)</v>
      </c>
      <c r="Z45" s="112" t="str">
        <f>VLOOKUP(P45, 'Bottom-up Tagging Assumptions'!$B$12:$F$56, 3, FALSE)</f>
        <v>#Increasing output per unit input(P); #Increasing crop or animal yield(S)</v>
      </c>
      <c r="AA45" s="112" t="str">
        <f>VLOOKUP(P45, 'Bottom-up Tagging Assumptions'!$B$12:$F$56, 4, FALSE)</f>
        <v>#Level 1(100)</v>
      </c>
      <c r="AB45" s="110" t="s">
        <v>1358</v>
      </c>
      <c r="AC45" s="110" t="s">
        <v>1359</v>
      </c>
      <c r="AD45" s="110" t="s">
        <v>1360</v>
      </c>
      <c r="AE45" s="110" t="str">
        <f>VLOOKUP(AD45,  '1.2'!$B$7:$C$2033, 2, FALSE)</f>
        <v>FUND</v>
      </c>
      <c r="AF45" s="112"/>
      <c r="AG45" s="110" t="s">
        <v>1357</v>
      </c>
      <c r="AH45" s="121">
        <f t="shared" si="1"/>
        <v>0</v>
      </c>
      <c r="AI45" s="121">
        <f t="shared" si="2"/>
        <v>1</v>
      </c>
      <c r="AJ45" s="121">
        <f t="shared" si="3"/>
        <v>1</v>
      </c>
      <c r="AK45" s="121">
        <f t="shared" si="4"/>
        <v>0</v>
      </c>
      <c r="AL45" s="121">
        <f t="shared" si="5"/>
        <v>0</v>
      </c>
      <c r="AM45" s="121">
        <f t="shared" si="6"/>
        <v>0</v>
      </c>
      <c r="AN45" s="121">
        <f t="shared" si="7"/>
        <v>0</v>
      </c>
      <c r="AO45" s="121">
        <f t="shared" si="8"/>
        <v>0</v>
      </c>
      <c r="AP45" s="22">
        <f t="shared" si="9"/>
        <v>0</v>
      </c>
      <c r="AQ45" s="22">
        <f t="shared" si="10"/>
        <v>0</v>
      </c>
      <c r="AR45" s="22">
        <f t="shared" si="11"/>
        <v>0</v>
      </c>
      <c r="AS45" s="121" t="str">
        <f t="shared" si="12"/>
        <v>Crops</v>
      </c>
      <c r="AT45" s="121" t="str">
        <f t="shared" si="31"/>
        <v xml:space="preserve"> </v>
      </c>
      <c r="AU45" s="121" t="str">
        <f t="shared" si="31"/>
        <v xml:space="preserve"> </v>
      </c>
      <c r="AV45" s="121" t="str">
        <f t="shared" si="31"/>
        <v xml:space="preserve"> </v>
      </c>
      <c r="AW45" s="130" t="str">
        <f t="shared" si="32"/>
        <v>100</v>
      </c>
      <c r="AX45" s="130" t="str">
        <f t="shared" si="32"/>
        <v xml:space="preserve"> </v>
      </c>
      <c r="AY45" s="130" t="str">
        <f t="shared" si="32"/>
        <v xml:space="preserve"> </v>
      </c>
      <c r="AZ45" s="130" t="str">
        <f t="shared" si="32"/>
        <v xml:space="preserve"> </v>
      </c>
      <c r="BA45" s="121">
        <f t="shared" si="15"/>
        <v>11852958.318831263</v>
      </c>
      <c r="BB45" s="121">
        <f t="shared" si="16"/>
        <v>0</v>
      </c>
      <c r="BC45" s="121">
        <f t="shared" si="17"/>
        <v>0</v>
      </c>
      <c r="BD45" s="121">
        <f t="shared" si="18"/>
        <v>0</v>
      </c>
      <c r="BE45" s="121">
        <f t="shared" si="19"/>
        <v>0</v>
      </c>
      <c r="BF45" s="121">
        <f t="shared" si="20"/>
        <v>0</v>
      </c>
      <c r="BG45" s="121">
        <f t="shared" si="21"/>
        <v>0</v>
      </c>
      <c r="BH45" s="121">
        <f t="shared" si="22"/>
        <v>0</v>
      </c>
      <c r="BI45" s="121">
        <f t="shared" si="23"/>
        <v>0</v>
      </c>
      <c r="BJ45" s="121">
        <f t="shared" si="24"/>
        <v>0</v>
      </c>
      <c r="BK45" s="121">
        <f t="shared" si="25"/>
        <v>0</v>
      </c>
      <c r="BL45" s="121">
        <f t="shared" si="26"/>
        <v>0</v>
      </c>
      <c r="BM45" s="121">
        <f t="shared" si="27"/>
        <v>0</v>
      </c>
      <c r="BN45" s="121">
        <f t="shared" si="28"/>
        <v>0</v>
      </c>
      <c r="BO45" s="121">
        <f t="shared" si="29"/>
        <v>0</v>
      </c>
      <c r="BP45" s="121">
        <f t="shared" si="30"/>
        <v>0</v>
      </c>
      <c r="BQ45" s="199">
        <f>INDEX('GDP deflators'!$C$6:$M$36,MATCH('Bottom-up tagging'!$D45,'GDP deflators'!$B$6:$B$36,),MATCH('Bottom-up tagging'!$E45,'GDP deflators'!$C$5:$L$5,))/100</f>
        <v>1.6873424728259787</v>
      </c>
      <c r="BR45" s="24">
        <v>20000000</v>
      </c>
    </row>
    <row r="46" spans="2:70" ht="26.15" hidden="1" customHeight="1">
      <c r="B46" s="110" t="s">
        <v>2185</v>
      </c>
      <c r="C46" s="110" t="s">
        <v>2187</v>
      </c>
      <c r="D46" s="110" t="s">
        <v>6213</v>
      </c>
      <c r="E46" s="103">
        <v>2017</v>
      </c>
      <c r="F46" s="108" t="s">
        <v>9533</v>
      </c>
      <c r="G46" s="111" t="s">
        <v>528</v>
      </c>
      <c r="H46" s="110" t="s">
        <v>10451</v>
      </c>
      <c r="I46" s="112">
        <f>IF(Dashboard!$B$16="Current USD",'Bottom-up tagging'!BR46,'Bottom-up tagging'!BR46/'Bottom-up tagging'!BQ46)</f>
        <v>12046326.007631375</v>
      </c>
      <c r="J46" s="105" t="s">
        <v>10474</v>
      </c>
      <c r="K46" s="112"/>
      <c r="L46" s="135">
        <v>1</v>
      </c>
      <c r="M46" s="135">
        <v>1</v>
      </c>
      <c r="N46" s="112"/>
      <c r="O46" s="112"/>
      <c r="P46" s="112" t="str">
        <f>VLOOKUP(B46, 'Companies covered restructured'!$B$7:$K$470, 9, FALSE)</f>
        <v>Farmer engagement platforms (including marketplaces and information platforms)</v>
      </c>
      <c r="Q46" s="112" t="str">
        <f>VLOOKUP(B46, 'Companies covered restructured'!$B$7:$K$470, 6, FALSE)</f>
        <v>#Crops(100)</v>
      </c>
      <c r="R46" s="112" t="str">
        <f t="shared" si="0"/>
        <v>N/A</v>
      </c>
      <c r="S46" s="112" t="s">
        <v>11003</v>
      </c>
      <c r="T46" s="112" t="s">
        <v>10466</v>
      </c>
      <c r="U46" s="103" t="s">
        <v>10970</v>
      </c>
      <c r="V46" s="112" t="str">
        <f>VLOOKUP(P46, 'Bottom-up Tagging Assumptions'!$B$12:$F$39, 5, FALSE)</f>
        <v>#Process Innovation(100)</v>
      </c>
      <c r="W46" s="112" t="str">
        <f>VLOOKUP(B46, 'Companies covered restructured'!$B$7:$K$470, 7, FALSE)</f>
        <v>#Farm/Household(100)</v>
      </c>
      <c r="X46" s="112" t="str">
        <f>VLOOKUP(B46, 'Companies covered restructured'!$B$7:$K$470, 8, FALSE)</f>
        <v>N/A</v>
      </c>
      <c r="Y46" s="212" t="str">
        <f>VLOOKUP(P46, 'Bottom-up Tagging Assumptions'!$B$12:$C$56, 2, FALSE)</f>
        <v>#Other Economic(P); #Productivity(S)</v>
      </c>
      <c r="Z46" s="112" t="str">
        <f>VLOOKUP(P46, 'Bottom-up Tagging Assumptions'!$B$12:$F$56, 3, FALSE)</f>
        <v>#Improve price realization(P); #Increasing crop or animal yield(S)</v>
      </c>
      <c r="AA46" s="112" t="str">
        <f>VLOOKUP(P46, 'Bottom-up Tagging Assumptions'!$B$12:$F$56, 4, FALSE)</f>
        <v>#Level 4(100)</v>
      </c>
      <c r="AB46" s="110"/>
      <c r="AC46" s="110"/>
      <c r="AD46" s="110"/>
      <c r="AE46" s="110" t="s">
        <v>10558</v>
      </c>
      <c r="AF46" s="112">
        <v>60000000</v>
      </c>
      <c r="AG46" s="110" t="s">
        <v>235</v>
      </c>
      <c r="AH46" s="121">
        <f t="shared" si="1"/>
        <v>0</v>
      </c>
      <c r="AI46" s="121">
        <f t="shared" si="2"/>
        <v>1</v>
      </c>
      <c r="AJ46" s="121">
        <f t="shared" si="3"/>
        <v>1</v>
      </c>
      <c r="AK46" s="121">
        <f t="shared" si="4"/>
        <v>0</v>
      </c>
      <c r="AL46" s="121">
        <f t="shared" si="5"/>
        <v>0</v>
      </c>
      <c r="AM46" s="121">
        <f t="shared" si="6"/>
        <v>0</v>
      </c>
      <c r="AN46" s="121">
        <f t="shared" si="7"/>
        <v>0</v>
      </c>
      <c r="AO46" s="121">
        <f t="shared" si="8"/>
        <v>0</v>
      </c>
      <c r="AP46" s="22">
        <f t="shared" si="9"/>
        <v>0</v>
      </c>
      <c r="AQ46" s="22">
        <f t="shared" si="10"/>
        <v>0</v>
      </c>
      <c r="AR46" s="22">
        <f t="shared" si="11"/>
        <v>0</v>
      </c>
      <c r="AS46" s="121" t="str">
        <f t="shared" si="12"/>
        <v>Crops</v>
      </c>
      <c r="AT46" s="121" t="str">
        <f t="shared" si="31"/>
        <v xml:space="preserve"> </v>
      </c>
      <c r="AU46" s="121" t="str">
        <f t="shared" si="31"/>
        <v xml:space="preserve"> </v>
      </c>
      <c r="AV46" s="121" t="str">
        <f t="shared" si="31"/>
        <v xml:space="preserve"> </v>
      </c>
      <c r="AW46" s="130" t="str">
        <f t="shared" si="32"/>
        <v>100</v>
      </c>
      <c r="AX46" s="130" t="str">
        <f t="shared" si="32"/>
        <v xml:space="preserve"> </v>
      </c>
      <c r="AY46" s="130" t="str">
        <f t="shared" si="32"/>
        <v xml:space="preserve"> </v>
      </c>
      <c r="AZ46" s="130" t="str">
        <f t="shared" si="32"/>
        <v xml:space="preserve"> </v>
      </c>
      <c r="BA46" s="121">
        <f t="shared" si="15"/>
        <v>12046326.007631373</v>
      </c>
      <c r="BB46" s="121">
        <f t="shared" si="16"/>
        <v>0</v>
      </c>
      <c r="BC46" s="121">
        <f t="shared" si="17"/>
        <v>0</v>
      </c>
      <c r="BD46" s="121">
        <f t="shared" si="18"/>
        <v>0</v>
      </c>
      <c r="BE46" s="121">
        <f t="shared" si="19"/>
        <v>0</v>
      </c>
      <c r="BF46" s="121">
        <f t="shared" si="20"/>
        <v>0</v>
      </c>
      <c r="BG46" s="121">
        <f t="shared" si="21"/>
        <v>0</v>
      </c>
      <c r="BH46" s="121">
        <f t="shared" si="22"/>
        <v>0</v>
      </c>
      <c r="BI46" s="121">
        <f t="shared" si="23"/>
        <v>0</v>
      </c>
      <c r="BJ46" s="121">
        <f t="shared" si="24"/>
        <v>0</v>
      </c>
      <c r="BK46" s="121">
        <f t="shared" si="25"/>
        <v>0</v>
      </c>
      <c r="BL46" s="121">
        <f t="shared" si="26"/>
        <v>0</v>
      </c>
      <c r="BM46" s="121">
        <f t="shared" si="27"/>
        <v>0</v>
      </c>
      <c r="BN46" s="121">
        <f t="shared" si="28"/>
        <v>0</v>
      </c>
      <c r="BO46" s="121">
        <f t="shared" si="29"/>
        <v>0</v>
      </c>
      <c r="BP46" s="121">
        <f t="shared" si="30"/>
        <v>0</v>
      </c>
      <c r="BQ46" s="199">
        <f>INDEX('GDP deflators'!$C$6:$M$36,MATCH('Bottom-up tagging'!$D46,'GDP deflators'!$B$6:$B$36,),MATCH('Bottom-up tagging'!$E46,'GDP deflators'!$C$5:$L$5,))/100</f>
        <v>1.6602572425260578</v>
      </c>
      <c r="BR46" s="24">
        <v>20000000</v>
      </c>
    </row>
    <row r="47" spans="2:70" ht="26.15" hidden="1" customHeight="1">
      <c r="B47" s="110" t="s">
        <v>2246</v>
      </c>
      <c r="C47" s="110" t="s">
        <v>2250</v>
      </c>
      <c r="D47" s="110" t="s">
        <v>2057</v>
      </c>
      <c r="E47" s="103">
        <v>2016</v>
      </c>
      <c r="F47" s="108" t="s">
        <v>9404</v>
      </c>
      <c r="G47" s="111" t="s">
        <v>109</v>
      </c>
      <c r="H47" s="110" t="s">
        <v>10451</v>
      </c>
      <c r="I47" s="112">
        <f>IF(Dashboard!$B$16="Current USD",'Bottom-up tagging'!BR47,'Bottom-up tagging'!BR47/'Bottom-up tagging'!BQ47)</f>
        <v>17277377.408946849</v>
      </c>
      <c r="J47" s="105" t="s">
        <v>10474</v>
      </c>
      <c r="K47" s="112"/>
      <c r="L47" s="135">
        <v>1</v>
      </c>
      <c r="M47" s="135">
        <v>1</v>
      </c>
      <c r="N47" s="112"/>
      <c r="O47" s="112"/>
      <c r="P47" s="112" t="str">
        <f>VLOOKUP(B47, 'Companies covered restructured'!$B$7:$K$470, 9, FALSE)</f>
        <v>Agri marketplaces</v>
      </c>
      <c r="Q47" s="112" t="str">
        <f>VLOOKUP(B47, 'Companies covered restructured'!$B$7:$K$470, 6, FALSE)</f>
        <v>#Fisheries and Aquaculture(100)</v>
      </c>
      <c r="R47" s="112" t="str">
        <f t="shared" si="0"/>
        <v>#Investment Fund(100)</v>
      </c>
      <c r="S47" s="112" t="s">
        <v>11003</v>
      </c>
      <c r="T47" s="112" t="s">
        <v>10466</v>
      </c>
      <c r="U47" s="103" t="s">
        <v>10970</v>
      </c>
      <c r="V47" s="112" t="str">
        <f>VLOOKUP(P47, 'Bottom-up Tagging Assumptions'!$B$12:$F$39, 5, FALSE)</f>
        <v>#Process Innovation(100)</v>
      </c>
      <c r="W47" s="112" t="str">
        <f>VLOOKUP(B47, 'Companies covered restructured'!$B$7:$K$470, 7, FALSE)</f>
        <v>#Field/Animal Herd(100)</v>
      </c>
      <c r="X47" s="112" t="str">
        <f>VLOOKUP(B47, 'Companies covered restructured'!$B$7:$K$470, 8, FALSE)</f>
        <v>N/A</v>
      </c>
      <c r="Y47" s="212" t="str">
        <f>VLOOKUP(P47, 'Bottom-up Tagging Assumptions'!$B$12:$C$56, 2, FALSE)</f>
        <v>#Other Economic(P); Social(S)</v>
      </c>
      <c r="Z47" s="112" t="str">
        <f>VLOOKUP(P47, 'Bottom-up Tagging Assumptions'!$B$12:$F$56, 3, FALSE)</f>
        <v>#Improve price realization(P)</v>
      </c>
      <c r="AA47" s="112" t="str">
        <f>VLOOKUP(P47, 'Bottom-up Tagging Assumptions'!$B$12:$F$56, 4, FALSE)</f>
        <v>#Level 4(100)</v>
      </c>
      <c r="AB47" s="110" t="s">
        <v>2248</v>
      </c>
      <c r="AC47" s="110"/>
      <c r="AD47" s="110" t="s">
        <v>2249</v>
      </c>
      <c r="AE47" s="110" t="s">
        <v>3114</v>
      </c>
      <c r="AF47" s="112">
        <v>100000</v>
      </c>
      <c r="AG47" s="110" t="s">
        <v>1366</v>
      </c>
      <c r="AH47" s="121">
        <f t="shared" si="1"/>
        <v>0</v>
      </c>
      <c r="AI47" s="121">
        <f t="shared" si="2"/>
        <v>0</v>
      </c>
      <c r="AJ47" s="121">
        <f t="shared" si="3"/>
        <v>1</v>
      </c>
      <c r="AK47" s="121">
        <f t="shared" si="4"/>
        <v>1</v>
      </c>
      <c r="AL47" s="121">
        <f t="shared" si="5"/>
        <v>0</v>
      </c>
      <c r="AM47" s="121">
        <f t="shared" si="6"/>
        <v>0</v>
      </c>
      <c r="AN47" s="121">
        <f t="shared" si="7"/>
        <v>1</v>
      </c>
      <c r="AO47" s="121">
        <f t="shared" si="8"/>
        <v>0</v>
      </c>
      <c r="AP47" s="22">
        <f t="shared" si="9"/>
        <v>0</v>
      </c>
      <c r="AQ47" s="22">
        <f t="shared" si="10"/>
        <v>17277377.408946849</v>
      </c>
      <c r="AR47" s="22">
        <f t="shared" si="11"/>
        <v>0</v>
      </c>
      <c r="AS47" s="121" t="str">
        <f t="shared" si="12"/>
        <v>Fisheries and Aquaculture</v>
      </c>
      <c r="AT47" s="121" t="str">
        <f t="shared" si="31"/>
        <v xml:space="preserve"> </v>
      </c>
      <c r="AU47" s="121" t="str">
        <f t="shared" si="31"/>
        <v xml:space="preserve"> </v>
      </c>
      <c r="AV47" s="121" t="str">
        <f t="shared" si="31"/>
        <v xml:space="preserve"> </v>
      </c>
      <c r="AW47" s="130" t="str">
        <f t="shared" si="32"/>
        <v>100</v>
      </c>
      <c r="AX47" s="130" t="str">
        <f t="shared" si="32"/>
        <v xml:space="preserve"> </v>
      </c>
      <c r="AY47" s="130" t="str">
        <f t="shared" si="32"/>
        <v xml:space="preserve"> </v>
      </c>
      <c r="AZ47" s="130" t="str">
        <f t="shared" si="32"/>
        <v xml:space="preserve"> </v>
      </c>
      <c r="BA47" s="121">
        <f t="shared" si="15"/>
        <v>17277377.408946849</v>
      </c>
      <c r="BB47" s="121">
        <f t="shared" si="16"/>
        <v>0</v>
      </c>
      <c r="BC47" s="121">
        <f t="shared" si="17"/>
        <v>0</v>
      </c>
      <c r="BD47" s="121">
        <f t="shared" si="18"/>
        <v>0</v>
      </c>
      <c r="BE47" s="121">
        <f t="shared" si="19"/>
        <v>0</v>
      </c>
      <c r="BF47" s="121">
        <f t="shared" si="20"/>
        <v>0</v>
      </c>
      <c r="BG47" s="121">
        <f t="shared" si="21"/>
        <v>0</v>
      </c>
      <c r="BH47" s="121">
        <f t="shared" si="22"/>
        <v>0</v>
      </c>
      <c r="BI47" s="121">
        <f t="shared" si="23"/>
        <v>17277377.408946849</v>
      </c>
      <c r="BJ47" s="121">
        <f t="shared" si="24"/>
        <v>17277377.408946849</v>
      </c>
      <c r="BK47" s="121">
        <f t="shared" si="25"/>
        <v>17277377.408946849</v>
      </c>
      <c r="BL47" s="121">
        <f t="shared" si="26"/>
        <v>17277377.408946849</v>
      </c>
      <c r="BM47" s="121">
        <f t="shared" si="27"/>
        <v>0</v>
      </c>
      <c r="BN47" s="121">
        <f t="shared" si="28"/>
        <v>0</v>
      </c>
      <c r="BO47" s="121">
        <f t="shared" si="29"/>
        <v>0</v>
      </c>
      <c r="BP47" s="121">
        <f t="shared" si="30"/>
        <v>0</v>
      </c>
      <c r="BQ47" s="199">
        <f>INDEX('GDP deflators'!$C$6:$M$36,MATCH('Bottom-up tagging'!$D47,'GDP deflators'!$B$6:$B$36,),MATCH('Bottom-up tagging'!$E47,'GDP deflators'!$C$5:$L$5,))/100</f>
        <v>1.1575830941589131</v>
      </c>
      <c r="BR47" s="24">
        <v>20000000</v>
      </c>
    </row>
    <row r="48" spans="2:70" ht="26.15" hidden="1" customHeight="1">
      <c r="B48" s="110" t="s">
        <v>1265</v>
      </c>
      <c r="C48" s="110" t="s">
        <v>1268</v>
      </c>
      <c r="D48" s="110" t="s">
        <v>2057</v>
      </c>
      <c r="E48" s="103">
        <v>2014</v>
      </c>
      <c r="F48" s="108" t="s">
        <v>8390</v>
      </c>
      <c r="G48" s="111" t="s">
        <v>25</v>
      </c>
      <c r="H48" s="110" t="s">
        <v>10451</v>
      </c>
      <c r="I48" s="112">
        <f>IF(Dashboard!$B$16="Current USD",'Bottom-up tagging'!BR48,'Bottom-up tagging'!BR48/'Bottom-up tagging'!BQ48)</f>
        <v>17519934.377565309</v>
      </c>
      <c r="J48" s="118" t="s">
        <v>10474</v>
      </c>
      <c r="K48" s="112"/>
      <c r="L48" s="135">
        <v>1</v>
      </c>
      <c r="M48" s="135">
        <v>1</v>
      </c>
      <c r="N48" s="112"/>
      <c r="O48" s="112"/>
      <c r="P48" s="112" t="str">
        <f>VLOOKUP(B48, 'Companies covered restructured'!$B$7:$K$470, 9, FALSE)</f>
        <v>Agri marketplaces</v>
      </c>
      <c r="Q48" s="112" t="str">
        <f>VLOOKUP(B48, 'Companies covered restructured'!$B$7:$K$470, 6, FALSE)</f>
        <v>#Crops(100)</v>
      </c>
      <c r="R48" s="112" t="str">
        <f t="shared" si="0"/>
        <v>N/A</v>
      </c>
      <c r="S48" s="112" t="s">
        <v>11003</v>
      </c>
      <c r="T48" s="112" t="s">
        <v>10466</v>
      </c>
      <c r="U48" s="213" t="s">
        <v>10970</v>
      </c>
      <c r="V48" s="112" t="str">
        <f>VLOOKUP(P48, 'Bottom-up Tagging Assumptions'!$B$12:$F$39, 5, FALSE)</f>
        <v>#Process Innovation(100)</v>
      </c>
      <c r="W48" s="112" t="str">
        <f>VLOOKUP(B48, 'Companies covered restructured'!$B$7:$K$470, 7, FALSE)</f>
        <v>#Farm/Household(100)</v>
      </c>
      <c r="X48" s="112" t="s">
        <v>10558</v>
      </c>
      <c r="Y48" s="212" t="str">
        <f>VLOOKUP(P48, 'Bottom-up Tagging Assumptions'!$B$12:$C$56, 2, FALSE)</f>
        <v>#Other Economic(P); Social(S)</v>
      </c>
      <c r="Z48" s="112" t="str">
        <f>VLOOKUP(P48, 'Bottom-up Tagging Assumptions'!$B$12:$F$56, 3, FALSE)</f>
        <v>#Improve price realization(P)</v>
      </c>
      <c r="AA48" s="112" t="str">
        <f>VLOOKUP(P48, 'Bottom-up Tagging Assumptions'!$B$12:$F$56, 4, FALSE)</f>
        <v>#Level 4(100)</v>
      </c>
      <c r="AB48" s="110" t="s">
        <v>2858</v>
      </c>
      <c r="AC48" s="110"/>
      <c r="AD48" s="110"/>
      <c r="AE48" s="110" t="s">
        <v>10558</v>
      </c>
      <c r="AF48" s="112">
        <v>100000</v>
      </c>
      <c r="AG48" s="110" t="s">
        <v>1372</v>
      </c>
      <c r="AH48" s="121">
        <f t="shared" si="1"/>
        <v>0</v>
      </c>
      <c r="AI48" s="121">
        <f t="shared" si="2"/>
        <v>0</v>
      </c>
      <c r="AJ48" s="121">
        <f t="shared" si="3"/>
        <v>1</v>
      </c>
      <c r="AK48" s="121">
        <f t="shared" si="4"/>
        <v>1</v>
      </c>
      <c r="AL48" s="121">
        <f t="shared" si="5"/>
        <v>0</v>
      </c>
      <c r="AM48" s="121">
        <f t="shared" si="6"/>
        <v>0</v>
      </c>
      <c r="AN48" s="121">
        <f t="shared" si="7"/>
        <v>1</v>
      </c>
      <c r="AO48" s="121">
        <f t="shared" si="8"/>
        <v>0</v>
      </c>
      <c r="AP48" s="22">
        <f t="shared" si="9"/>
        <v>0</v>
      </c>
      <c r="AQ48" s="22">
        <f t="shared" si="10"/>
        <v>17519934.377565309</v>
      </c>
      <c r="AR48" s="22">
        <f t="shared" si="11"/>
        <v>0</v>
      </c>
      <c r="AS48" s="121" t="str">
        <f t="shared" si="12"/>
        <v>Crops</v>
      </c>
      <c r="AT48" s="121" t="str">
        <f t="shared" si="31"/>
        <v xml:space="preserve"> </v>
      </c>
      <c r="AU48" s="121" t="str">
        <f t="shared" si="31"/>
        <v xml:space="preserve"> </v>
      </c>
      <c r="AV48" s="121" t="str">
        <f t="shared" si="31"/>
        <v xml:space="preserve"> </v>
      </c>
      <c r="AW48" s="130" t="str">
        <f t="shared" si="32"/>
        <v>100</v>
      </c>
      <c r="AX48" s="130" t="str">
        <f t="shared" si="32"/>
        <v xml:space="preserve"> </v>
      </c>
      <c r="AY48" s="130" t="str">
        <f t="shared" si="32"/>
        <v xml:space="preserve"> </v>
      </c>
      <c r="AZ48" s="130" t="str">
        <f t="shared" si="32"/>
        <v xml:space="preserve"> </v>
      </c>
      <c r="BA48" s="121">
        <f t="shared" si="15"/>
        <v>17519934.377565309</v>
      </c>
      <c r="BB48" s="121">
        <f t="shared" si="16"/>
        <v>0</v>
      </c>
      <c r="BC48" s="121">
        <f t="shared" si="17"/>
        <v>0</v>
      </c>
      <c r="BD48" s="121">
        <f t="shared" si="18"/>
        <v>0</v>
      </c>
      <c r="BE48" s="121">
        <f t="shared" si="19"/>
        <v>0</v>
      </c>
      <c r="BF48" s="121">
        <f t="shared" si="20"/>
        <v>0</v>
      </c>
      <c r="BG48" s="121">
        <f t="shared" si="21"/>
        <v>0</v>
      </c>
      <c r="BH48" s="121">
        <f t="shared" si="22"/>
        <v>0</v>
      </c>
      <c r="BI48" s="121">
        <f t="shared" si="23"/>
        <v>17519934.377565309</v>
      </c>
      <c r="BJ48" s="121">
        <f t="shared" si="24"/>
        <v>17519934.377565309</v>
      </c>
      <c r="BK48" s="121">
        <f t="shared" si="25"/>
        <v>17519934.377565309</v>
      </c>
      <c r="BL48" s="121">
        <f t="shared" si="26"/>
        <v>17519934.377565309</v>
      </c>
      <c r="BM48" s="121">
        <f t="shared" si="27"/>
        <v>0</v>
      </c>
      <c r="BN48" s="121">
        <f t="shared" si="28"/>
        <v>0</v>
      </c>
      <c r="BO48" s="121">
        <f t="shared" si="29"/>
        <v>0</v>
      </c>
      <c r="BP48" s="121">
        <f t="shared" si="30"/>
        <v>0</v>
      </c>
      <c r="BQ48" s="199">
        <f>INDEX('GDP deflators'!$C$6:$M$36,MATCH('Bottom-up tagging'!$D48,'GDP deflators'!$B$6:$B$36,),MATCH('Bottom-up tagging'!$E48,'GDP deflators'!$C$5:$L$5,))/100</f>
        <v>1.1415567871995269</v>
      </c>
      <c r="BR48" s="24">
        <v>20000000</v>
      </c>
    </row>
    <row r="49" spans="1:70" ht="26.15" hidden="1" customHeight="1">
      <c r="B49" s="110" t="s">
        <v>432</v>
      </c>
      <c r="C49" s="110" t="s">
        <v>434</v>
      </c>
      <c r="D49" s="110" t="s">
        <v>2057</v>
      </c>
      <c r="E49" s="103">
        <v>2020</v>
      </c>
      <c r="F49" s="108" t="s">
        <v>8559</v>
      </c>
      <c r="G49" s="111" t="s">
        <v>170</v>
      </c>
      <c r="H49" s="110" t="s">
        <v>10451</v>
      </c>
      <c r="I49" s="212">
        <v>0</v>
      </c>
      <c r="J49" s="117" t="s">
        <v>10474</v>
      </c>
      <c r="K49" s="112"/>
      <c r="L49" s="135">
        <v>1</v>
      </c>
      <c r="M49" s="135">
        <v>1</v>
      </c>
      <c r="N49" s="112"/>
      <c r="O49" s="112"/>
      <c r="P49" s="112" t="str">
        <f>VLOOKUP(B49, 'Companies covered restructured'!$B$7:$K$470, 9, FALSE)</f>
        <v>Seed development and biotech</v>
      </c>
      <c r="Q49" s="112" t="str">
        <f>VLOOKUP(B49, 'Companies covered restructured'!$B$7:$K$470, 6, FALSE)</f>
        <v>#Crops(100)</v>
      </c>
      <c r="R49" s="112" t="str">
        <f t="shared" si="0"/>
        <v>N/A</v>
      </c>
      <c r="S49" s="112" t="s">
        <v>11003</v>
      </c>
      <c r="T49" s="112" t="s">
        <v>10466</v>
      </c>
      <c r="U49" s="103" t="s">
        <v>10970</v>
      </c>
      <c r="V49" s="112" t="str">
        <f>VLOOKUP(P49, 'Bottom-up Tagging Assumptions'!$B$12:$F$39, 5, FALSE)</f>
        <v>#Product Development(100)</v>
      </c>
      <c r="W49" s="112" t="str">
        <f>VLOOKUP(B49, 'Companies covered restructured'!$B$7:$K$470, 7, FALSE)</f>
        <v>#Field/Animal Herd(100)</v>
      </c>
      <c r="X49" s="112" t="s">
        <v>10558</v>
      </c>
      <c r="Y49" s="112" t="str">
        <f>VLOOKUP(P49, '[2]Bottom-up Tagging Assumptions'!$B$12:$F$56, 2, FALSE)</f>
        <v>#Productivity(P); #Human Condition(S)</v>
      </c>
      <c r="Z49" s="112" t="str">
        <f>VLOOKUP(P49, 'Bottom-up Tagging Assumptions'!$B$12:$F$56, 3, FALSE)</f>
        <v>#Increasing crop or animal yield(P); #Improved nutrition(S)</v>
      </c>
      <c r="AA49" s="112" t="str">
        <f>VLOOKUP(P49, 'Bottom-up Tagging Assumptions'!$B$12:$F$56, 4, FALSE)</f>
        <v>#Level 1(100)</v>
      </c>
      <c r="AB49" s="110"/>
      <c r="AC49" s="110"/>
      <c r="AD49" s="110"/>
      <c r="AE49" s="110" t="s">
        <v>10558</v>
      </c>
      <c r="AF49" s="112">
        <v>100000</v>
      </c>
      <c r="AG49" s="110" t="s">
        <v>1377</v>
      </c>
      <c r="AH49" s="121">
        <f t="shared" si="1"/>
        <v>0</v>
      </c>
      <c r="AI49" s="121">
        <f t="shared" si="2"/>
        <v>1</v>
      </c>
      <c r="AJ49" s="121">
        <f t="shared" si="3"/>
        <v>0</v>
      </c>
      <c r="AK49" s="121">
        <f t="shared" si="4"/>
        <v>0</v>
      </c>
      <c r="AL49" s="121">
        <f t="shared" si="5"/>
        <v>1</v>
      </c>
      <c r="AM49" s="121">
        <f t="shared" si="6"/>
        <v>0</v>
      </c>
      <c r="AN49" s="121">
        <f t="shared" si="7"/>
        <v>1</v>
      </c>
      <c r="AO49" s="121">
        <f t="shared" si="8"/>
        <v>0</v>
      </c>
      <c r="AP49" s="22">
        <f t="shared" si="9"/>
        <v>0</v>
      </c>
      <c r="AQ49" s="22">
        <f t="shared" si="10"/>
        <v>0</v>
      </c>
      <c r="AR49" s="22">
        <f t="shared" si="11"/>
        <v>0</v>
      </c>
      <c r="AS49" s="121" t="str">
        <f t="shared" si="12"/>
        <v>Crops</v>
      </c>
      <c r="AT49" s="121" t="str">
        <f t="shared" si="31"/>
        <v xml:space="preserve"> </v>
      </c>
      <c r="AU49" s="121" t="str">
        <f t="shared" si="31"/>
        <v xml:space="preserve"> </v>
      </c>
      <c r="AV49" s="121" t="str">
        <f t="shared" si="31"/>
        <v xml:space="preserve"> </v>
      </c>
      <c r="AW49" s="130" t="str">
        <f t="shared" si="32"/>
        <v>100</v>
      </c>
      <c r="AX49" s="130" t="str">
        <f t="shared" si="32"/>
        <v xml:space="preserve"> </v>
      </c>
      <c r="AY49" s="130" t="str">
        <f t="shared" si="32"/>
        <v xml:space="preserve"> </v>
      </c>
      <c r="AZ49" s="130" t="str">
        <f t="shared" si="32"/>
        <v xml:space="preserve"> </v>
      </c>
      <c r="BA49" s="121">
        <f t="shared" si="15"/>
        <v>0</v>
      </c>
      <c r="BB49" s="121">
        <f t="shared" si="16"/>
        <v>0</v>
      </c>
      <c r="BC49" s="121">
        <f t="shared" si="17"/>
        <v>0</v>
      </c>
      <c r="BD49" s="121">
        <f t="shared" si="18"/>
        <v>0</v>
      </c>
      <c r="BE49" s="121">
        <f t="shared" si="19"/>
        <v>0</v>
      </c>
      <c r="BF49" s="121">
        <f t="shared" si="20"/>
        <v>0</v>
      </c>
      <c r="BG49" s="121">
        <f t="shared" si="21"/>
        <v>0</v>
      </c>
      <c r="BH49" s="121">
        <f t="shared" si="22"/>
        <v>0</v>
      </c>
      <c r="BI49" s="121">
        <f t="shared" si="23"/>
        <v>0</v>
      </c>
      <c r="BJ49" s="121">
        <f t="shared" si="24"/>
        <v>0</v>
      </c>
      <c r="BK49" s="121">
        <f t="shared" si="25"/>
        <v>0</v>
      </c>
      <c r="BL49" s="121">
        <f t="shared" si="26"/>
        <v>0</v>
      </c>
      <c r="BM49" s="121">
        <f t="shared" si="27"/>
        <v>0</v>
      </c>
      <c r="BN49" s="121">
        <f t="shared" si="28"/>
        <v>0</v>
      </c>
      <c r="BO49" s="121">
        <f t="shared" si="29"/>
        <v>0</v>
      </c>
      <c r="BP49" s="121">
        <f t="shared" si="30"/>
        <v>0</v>
      </c>
      <c r="BQ49" s="199" t="e">
        <f>INDEX('GDP deflators'!$C$6:$M$36,MATCH('Bottom-up tagging'!$D49,'GDP deflators'!$B$6:$B$36,),MATCH('Bottom-up tagging'!$E49,'GDP deflators'!$C$5:$L$5,))/100</f>
        <v>#N/A</v>
      </c>
      <c r="BR49" s="24">
        <v>19520500</v>
      </c>
    </row>
    <row r="50" spans="1:70" ht="26.15" hidden="1" customHeight="1">
      <c r="B50" s="110" t="s">
        <v>290</v>
      </c>
      <c r="C50" s="110" t="s">
        <v>293</v>
      </c>
      <c r="D50" s="110" t="s">
        <v>5333</v>
      </c>
      <c r="E50" s="103">
        <v>2020</v>
      </c>
      <c r="F50" s="108" t="s">
        <v>8582</v>
      </c>
      <c r="G50" s="111" t="s">
        <v>289</v>
      </c>
      <c r="H50" s="110" t="s">
        <v>10451</v>
      </c>
      <c r="I50" s="212">
        <v>0</v>
      </c>
      <c r="J50" s="105" t="s">
        <v>10474</v>
      </c>
      <c r="K50" s="112"/>
      <c r="L50" s="135">
        <v>1</v>
      </c>
      <c r="M50" s="135">
        <v>1</v>
      </c>
      <c r="N50" s="112"/>
      <c r="O50" s="112"/>
      <c r="P50" s="112" t="str">
        <f>VLOOKUP(B50, 'Companies covered restructured'!$B$7:$K$470, 9, FALSE)</f>
        <v>Bio fertilizers (inputs)</v>
      </c>
      <c r="Q50" s="112" t="str">
        <f>VLOOKUP(B50, 'Companies covered restructured'!$B$7:$K$470, 6, FALSE)</f>
        <v>#Crops(100)</v>
      </c>
      <c r="R50" s="112" t="str">
        <f t="shared" si="0"/>
        <v>N/A</v>
      </c>
      <c r="S50" s="112" t="s">
        <v>11003</v>
      </c>
      <c r="T50" s="112" t="s">
        <v>10464</v>
      </c>
      <c r="U50" s="103" t="s">
        <v>10970</v>
      </c>
      <c r="V50" s="212" t="s">
        <v>10977</v>
      </c>
      <c r="W50" s="112" t="str">
        <f>VLOOKUP(B50, 'Companies covered restructured'!$B$7:$K$470, 7, FALSE)</f>
        <v>#Field/Animal Herd(100)</v>
      </c>
      <c r="X50" s="112" t="s">
        <v>10558</v>
      </c>
      <c r="Y50" s="112" t="str">
        <f>VLOOKUP(P50, '[2]Bottom-up Tagging Assumptions'!$B$12:$F$56, 2, FALSE)</f>
        <v>#Environmental(P); #Other economic(S)</v>
      </c>
      <c r="Z50" s="112" t="str">
        <f>VLOOKUP(P50, 'Bottom-up Tagging Assumptions'!$B$12:$F$56, 3, FALSE)</f>
        <v>#Improved soil quality(P)</v>
      </c>
      <c r="AA50" s="112" t="str">
        <f>VLOOKUP(P50, 'Bottom-up Tagging Assumptions'!$B$12:$F$56, 4, FALSE)</f>
        <v>#Level 2(100)</v>
      </c>
      <c r="AB50" s="110"/>
      <c r="AC50" s="110"/>
      <c r="AD50" s="110"/>
      <c r="AE50" s="110" t="s">
        <v>10558</v>
      </c>
      <c r="AF50" s="112">
        <v>751549</v>
      </c>
      <c r="AG50" s="110" t="s">
        <v>397</v>
      </c>
      <c r="AH50" s="121">
        <f t="shared" si="1"/>
        <v>1</v>
      </c>
      <c r="AI50" s="121">
        <f t="shared" si="2"/>
        <v>0</v>
      </c>
      <c r="AJ50" s="121">
        <f t="shared" si="3"/>
        <v>1</v>
      </c>
      <c r="AK50" s="121">
        <f t="shared" si="4"/>
        <v>0</v>
      </c>
      <c r="AL50" s="121">
        <f t="shared" si="5"/>
        <v>0</v>
      </c>
      <c r="AM50" s="121">
        <f t="shared" si="6"/>
        <v>0</v>
      </c>
      <c r="AN50" s="121">
        <f t="shared" si="7"/>
        <v>1</v>
      </c>
      <c r="AO50" s="121">
        <f t="shared" si="8"/>
        <v>0</v>
      </c>
      <c r="AP50" s="22">
        <f t="shared" si="9"/>
        <v>0</v>
      </c>
      <c r="AQ50" s="22">
        <f t="shared" si="10"/>
        <v>0</v>
      </c>
      <c r="AR50" s="22">
        <f t="shared" si="11"/>
        <v>0</v>
      </c>
      <c r="AS50" s="121" t="str">
        <f t="shared" si="12"/>
        <v>Crops</v>
      </c>
      <c r="AT50" s="121" t="str">
        <f t="shared" si="31"/>
        <v xml:space="preserve"> </v>
      </c>
      <c r="AU50" s="121" t="str">
        <f t="shared" si="31"/>
        <v xml:space="preserve"> </v>
      </c>
      <c r="AV50" s="121" t="str">
        <f t="shared" si="31"/>
        <v xml:space="preserve"> </v>
      </c>
      <c r="AW50" s="130" t="str">
        <f t="shared" si="32"/>
        <v>100</v>
      </c>
      <c r="AX50" s="130" t="str">
        <f t="shared" si="32"/>
        <v xml:space="preserve"> </v>
      </c>
      <c r="AY50" s="130" t="str">
        <f t="shared" si="32"/>
        <v xml:space="preserve"> </v>
      </c>
      <c r="AZ50" s="130" t="str">
        <f t="shared" si="32"/>
        <v xml:space="preserve"> </v>
      </c>
      <c r="BA50" s="121">
        <f t="shared" si="15"/>
        <v>0</v>
      </c>
      <c r="BB50" s="121">
        <f t="shared" si="16"/>
        <v>0</v>
      </c>
      <c r="BC50" s="121">
        <f t="shared" si="17"/>
        <v>0</v>
      </c>
      <c r="BD50" s="121">
        <f t="shared" si="18"/>
        <v>0</v>
      </c>
      <c r="BE50" s="121">
        <f t="shared" si="19"/>
        <v>0</v>
      </c>
      <c r="BF50" s="121">
        <f t="shared" si="20"/>
        <v>0</v>
      </c>
      <c r="BG50" s="121">
        <f t="shared" si="21"/>
        <v>0</v>
      </c>
      <c r="BH50" s="121">
        <f t="shared" si="22"/>
        <v>0</v>
      </c>
      <c r="BI50" s="121">
        <f t="shared" si="23"/>
        <v>0</v>
      </c>
      <c r="BJ50" s="121">
        <f t="shared" si="24"/>
        <v>0</v>
      </c>
      <c r="BK50" s="121">
        <f t="shared" si="25"/>
        <v>0</v>
      </c>
      <c r="BL50" s="121">
        <f t="shared" si="26"/>
        <v>0</v>
      </c>
      <c r="BM50" s="121">
        <f t="shared" si="27"/>
        <v>0</v>
      </c>
      <c r="BN50" s="121">
        <f t="shared" si="28"/>
        <v>0</v>
      </c>
      <c r="BO50" s="121">
        <f t="shared" si="29"/>
        <v>0</v>
      </c>
      <c r="BP50" s="121">
        <f t="shared" si="30"/>
        <v>0</v>
      </c>
      <c r="BQ50" s="199" t="e">
        <f>INDEX('GDP deflators'!$C$6:$M$36,MATCH('Bottom-up tagging'!$D50,'GDP deflators'!$B$6:$B$36,),MATCH('Bottom-up tagging'!$E50,'GDP deflators'!$C$5:$L$5,))/100</f>
        <v>#N/A</v>
      </c>
      <c r="BR50" s="24">
        <v>17000000</v>
      </c>
    </row>
    <row r="51" spans="1:70" ht="26.15" hidden="1" customHeight="1">
      <c r="B51" s="110" t="s">
        <v>485</v>
      </c>
      <c r="C51" s="110" t="s">
        <v>489</v>
      </c>
      <c r="D51" s="110" t="s">
        <v>5277</v>
      </c>
      <c r="E51" s="103">
        <v>2020</v>
      </c>
      <c r="F51" s="108" t="s">
        <v>7888</v>
      </c>
      <c r="G51" s="111" t="s">
        <v>109</v>
      </c>
      <c r="H51" s="110" t="s">
        <v>10451</v>
      </c>
      <c r="I51" s="212">
        <v>0</v>
      </c>
      <c r="J51" s="105" t="s">
        <v>10474</v>
      </c>
      <c r="K51" s="112"/>
      <c r="L51" s="135">
        <v>1</v>
      </c>
      <c r="M51" s="135">
        <v>1</v>
      </c>
      <c r="N51" s="112"/>
      <c r="O51" s="112"/>
      <c r="P51" s="112" t="str">
        <f>VLOOKUP(B51, 'Companies covered restructured'!$B$7:$K$470, 9, FALSE)</f>
        <v>Agri marketplaces</v>
      </c>
      <c r="Q51" s="112" t="str">
        <f>VLOOKUP(B51, 'Companies covered restructured'!$B$7:$K$470, 6, FALSE)</f>
        <v>#Crops(100)</v>
      </c>
      <c r="R51" s="112" t="str">
        <f t="shared" si="0"/>
        <v>#Investment Fund(100)</v>
      </c>
      <c r="S51" s="112" t="s">
        <v>11003</v>
      </c>
      <c r="T51" s="112" t="s">
        <v>10466</v>
      </c>
      <c r="U51" s="103" t="s">
        <v>10970</v>
      </c>
      <c r="V51" s="112" t="str">
        <f>VLOOKUP(P51, 'Bottom-up Tagging Assumptions'!$B$12:$F$39, 5, FALSE)</f>
        <v>#Process Innovation(100)</v>
      </c>
      <c r="W51" s="112" t="str">
        <f>VLOOKUP(B51, 'Companies covered restructured'!$B$7:$K$470, 7, FALSE)</f>
        <v>#Farm/Household(100)</v>
      </c>
      <c r="X51" s="112" t="s">
        <v>10558</v>
      </c>
      <c r="Y51" s="112" t="str">
        <f>VLOOKUP(P51, '[2]Bottom-up Tagging Assumptions'!$B$12:$F$56, 2, FALSE)</f>
        <v>#Other Economic(P); Social(S)</v>
      </c>
      <c r="Z51" s="112" t="str">
        <f>VLOOKUP(P51, 'Bottom-up Tagging Assumptions'!$B$12:$F$56, 3, FALSE)</f>
        <v>#Improve price realization(P)</v>
      </c>
      <c r="AA51" s="112" t="str">
        <f>VLOOKUP(P51, 'Bottom-up Tagging Assumptions'!$B$12:$F$56, 4, FALSE)</f>
        <v>#Level 4(100)</v>
      </c>
      <c r="AB51" s="110" t="s">
        <v>487</v>
      </c>
      <c r="AC51" s="110"/>
      <c r="AD51" s="110" t="s">
        <v>488</v>
      </c>
      <c r="AE51" s="110" t="s">
        <v>3114</v>
      </c>
      <c r="AF51" s="112">
        <v>14260613</v>
      </c>
      <c r="AG51" s="110" t="s">
        <v>390</v>
      </c>
      <c r="AH51" s="121">
        <f t="shared" si="1"/>
        <v>0</v>
      </c>
      <c r="AI51" s="121">
        <f t="shared" si="2"/>
        <v>0</v>
      </c>
      <c r="AJ51" s="121">
        <f t="shared" si="3"/>
        <v>1</v>
      </c>
      <c r="AK51" s="121">
        <f t="shared" si="4"/>
        <v>1</v>
      </c>
      <c r="AL51" s="121">
        <f t="shared" si="5"/>
        <v>0</v>
      </c>
      <c r="AM51" s="121">
        <f t="shared" si="6"/>
        <v>0</v>
      </c>
      <c r="AN51" s="121">
        <f t="shared" si="7"/>
        <v>1</v>
      </c>
      <c r="AO51" s="121">
        <f t="shared" si="8"/>
        <v>0</v>
      </c>
      <c r="AP51" s="22">
        <f t="shared" si="9"/>
        <v>0</v>
      </c>
      <c r="AQ51" s="22">
        <f t="shared" si="10"/>
        <v>0</v>
      </c>
      <c r="AR51" s="22">
        <f t="shared" si="11"/>
        <v>0</v>
      </c>
      <c r="AS51" s="121" t="str">
        <f t="shared" si="12"/>
        <v>Crops</v>
      </c>
      <c r="AT51" s="121" t="str">
        <f t="shared" si="31"/>
        <v xml:space="preserve"> </v>
      </c>
      <c r="AU51" s="121" t="str">
        <f t="shared" si="31"/>
        <v xml:space="preserve"> </v>
      </c>
      <c r="AV51" s="121" t="str">
        <f t="shared" si="31"/>
        <v xml:space="preserve"> </v>
      </c>
      <c r="AW51" s="130" t="str">
        <f t="shared" si="32"/>
        <v>100</v>
      </c>
      <c r="AX51" s="130" t="str">
        <f t="shared" si="32"/>
        <v xml:space="preserve"> </v>
      </c>
      <c r="AY51" s="130" t="str">
        <f t="shared" si="32"/>
        <v xml:space="preserve"> </v>
      </c>
      <c r="AZ51" s="130" t="str">
        <f t="shared" si="32"/>
        <v xml:space="preserve"> </v>
      </c>
      <c r="BA51" s="121">
        <f t="shared" si="15"/>
        <v>0</v>
      </c>
      <c r="BB51" s="121">
        <f t="shared" si="16"/>
        <v>0</v>
      </c>
      <c r="BC51" s="121">
        <f t="shared" si="17"/>
        <v>0</v>
      </c>
      <c r="BD51" s="121">
        <f t="shared" si="18"/>
        <v>0</v>
      </c>
      <c r="BE51" s="121">
        <f t="shared" si="19"/>
        <v>0</v>
      </c>
      <c r="BF51" s="121">
        <f t="shared" si="20"/>
        <v>0</v>
      </c>
      <c r="BG51" s="121">
        <f t="shared" si="21"/>
        <v>0</v>
      </c>
      <c r="BH51" s="121">
        <f t="shared" si="22"/>
        <v>0</v>
      </c>
      <c r="BI51" s="121">
        <f t="shared" si="23"/>
        <v>0</v>
      </c>
      <c r="BJ51" s="121">
        <f t="shared" si="24"/>
        <v>0</v>
      </c>
      <c r="BK51" s="121">
        <f t="shared" si="25"/>
        <v>0</v>
      </c>
      <c r="BL51" s="121">
        <f t="shared" si="26"/>
        <v>0</v>
      </c>
      <c r="BM51" s="121">
        <f t="shared" si="27"/>
        <v>0</v>
      </c>
      <c r="BN51" s="121">
        <f t="shared" si="28"/>
        <v>0</v>
      </c>
      <c r="BO51" s="121">
        <f t="shared" si="29"/>
        <v>0</v>
      </c>
      <c r="BP51" s="121">
        <f t="shared" si="30"/>
        <v>0</v>
      </c>
      <c r="BQ51" s="199" t="e">
        <f>INDEX('GDP deflators'!$C$6:$M$36,MATCH('Bottom-up tagging'!$D51,'GDP deflators'!$B$6:$B$36,),MATCH('Bottom-up tagging'!$E51,'GDP deflators'!$C$5:$L$5,))/100</f>
        <v>#N/A</v>
      </c>
      <c r="BR51" s="24">
        <v>17000000</v>
      </c>
    </row>
    <row r="52" spans="1:70" ht="26.15" hidden="1" customHeight="1">
      <c r="B52" s="110" t="s">
        <v>185</v>
      </c>
      <c r="C52" s="110" t="s">
        <v>189</v>
      </c>
      <c r="D52" s="110" t="s">
        <v>3994</v>
      </c>
      <c r="E52" s="103">
        <v>2019</v>
      </c>
      <c r="F52" s="108" t="s">
        <v>6465</v>
      </c>
      <c r="G52" s="111" t="s">
        <v>25</v>
      </c>
      <c r="H52" s="110" t="s">
        <v>10451</v>
      </c>
      <c r="I52" s="112">
        <f>IF(Dashboard!$B$16="Current USD",'Bottom-up tagging'!BR52,'Bottom-up tagging'!BR52/'Bottom-up tagging'!BQ52)</f>
        <v>11245995.681563588</v>
      </c>
      <c r="J52" s="105" t="s">
        <v>10474</v>
      </c>
      <c r="K52" s="112"/>
      <c r="L52" s="135">
        <v>1</v>
      </c>
      <c r="M52" s="135">
        <v>1</v>
      </c>
      <c r="N52" s="112"/>
      <c r="O52" s="112"/>
      <c r="P52" s="112" t="str">
        <f>VLOOKUP(B52, 'Companies covered restructured'!$B$7:$K$470, 9, FALSE)</f>
        <v>Agri marketplaces</v>
      </c>
      <c r="Q52" s="112" t="str">
        <f>VLOOKUP(B52, 'Companies covered restructured'!$B$7:$K$470, 6, FALSE)</f>
        <v>#Crops(100)</v>
      </c>
      <c r="R52" s="112" t="str">
        <f t="shared" si="0"/>
        <v>#Corporate(100)</v>
      </c>
      <c r="S52" s="112" t="s">
        <v>11003</v>
      </c>
      <c r="T52" s="112" t="s">
        <v>10466</v>
      </c>
      <c r="U52" s="103" t="s">
        <v>10970</v>
      </c>
      <c r="V52" s="112" t="str">
        <f>VLOOKUP(P52, 'Bottom-up Tagging Assumptions'!$B$12:$F$39, 5, FALSE)</f>
        <v>#Process Innovation(100)</v>
      </c>
      <c r="W52" s="112" t="str">
        <f>VLOOKUP(B52, 'Companies covered restructured'!$B$7:$K$470, 7, FALSE)</f>
        <v>#Field/Animal Herd(100)</v>
      </c>
      <c r="X52" s="112" t="s">
        <v>10558</v>
      </c>
      <c r="Y52" s="212" t="str">
        <f>VLOOKUP(P52, 'Bottom-up Tagging Assumptions'!$B$12:$C$56, 2, FALSE)</f>
        <v>#Other Economic(P); Social(S)</v>
      </c>
      <c r="Z52" s="112" t="str">
        <f>VLOOKUP(P52, 'Bottom-up Tagging Assumptions'!$B$12:$F$56, 3, FALSE)</f>
        <v>#Improve price realization(P)</v>
      </c>
      <c r="AA52" s="112" t="str">
        <f>VLOOKUP(P52, 'Bottom-up Tagging Assumptions'!$B$12:$F$56, 4, FALSE)</f>
        <v>#Level 4(100)</v>
      </c>
      <c r="AB52" s="110" t="s">
        <v>1254</v>
      </c>
      <c r="AC52" s="110"/>
      <c r="AD52" s="110" t="s">
        <v>813</v>
      </c>
      <c r="AE52" s="110" t="str">
        <f>VLOOKUP(AD52,  '1.2'!$B$7:$C$2033, 2, FALSE)</f>
        <v>CORPORATE_INVESTOR</v>
      </c>
      <c r="AF52" s="112"/>
      <c r="AG52" s="110" t="s">
        <v>968</v>
      </c>
      <c r="AH52" s="121">
        <f t="shared" si="1"/>
        <v>0</v>
      </c>
      <c r="AI52" s="121">
        <f t="shared" si="2"/>
        <v>0</v>
      </c>
      <c r="AJ52" s="121">
        <f t="shared" si="3"/>
        <v>1</v>
      </c>
      <c r="AK52" s="121">
        <f t="shared" si="4"/>
        <v>1</v>
      </c>
      <c r="AL52" s="121">
        <f t="shared" si="5"/>
        <v>0</v>
      </c>
      <c r="AM52" s="121">
        <f t="shared" si="6"/>
        <v>0</v>
      </c>
      <c r="AN52" s="121">
        <f t="shared" si="7"/>
        <v>1</v>
      </c>
      <c r="AO52" s="121">
        <f t="shared" si="8"/>
        <v>0</v>
      </c>
      <c r="AP52" s="22">
        <f t="shared" si="9"/>
        <v>0</v>
      </c>
      <c r="AQ52" s="22">
        <f t="shared" si="10"/>
        <v>11245995.681563588</v>
      </c>
      <c r="AR52" s="22">
        <f t="shared" si="11"/>
        <v>0</v>
      </c>
      <c r="AS52" s="121" t="str">
        <f t="shared" si="12"/>
        <v>Crops</v>
      </c>
      <c r="AT52" s="121" t="str">
        <f t="shared" ref="AT52:AV71" si="33">IFERROR(IFERROR(MID($Q52,FIND("~",SUBSTITUTE($Q52,";","~",AT$10-1))+3,(FIND("~",SUBSTITUTE($Q52,";","~",AT$10))+0-(FIND("~",SUBSTITUTE($Q52,";","~",AT$10-1))+2))-6),MID($Q52,FIND("~",SUBSTITUTE($Q52,";","~",AT$10-1))+3,(LEN($Q52)-6-FIND("~",SUBSTITUTE($Q52,";","~",AT$10-1))-1)))," ")</f>
        <v xml:space="preserve"> </v>
      </c>
      <c r="AU52" s="121" t="str">
        <f t="shared" si="33"/>
        <v xml:space="preserve"> </v>
      </c>
      <c r="AV52" s="121" t="str">
        <f t="shared" si="33"/>
        <v xml:space="preserve"> </v>
      </c>
      <c r="AW52" s="130" t="str">
        <f t="shared" ref="AW52:AZ71" si="34">IFERROR(MID($Q52,FIND("~",SUBSTITUTE($Q52,"(","~",AW$10))+1,3)," ")</f>
        <v>100</v>
      </c>
      <c r="AX52" s="130" t="str">
        <f t="shared" si="34"/>
        <v xml:space="preserve"> </v>
      </c>
      <c r="AY52" s="130" t="str">
        <f t="shared" si="34"/>
        <v xml:space="preserve"> </v>
      </c>
      <c r="AZ52" s="130" t="str">
        <f t="shared" si="34"/>
        <v xml:space="preserve"> </v>
      </c>
      <c r="BA52" s="121">
        <f t="shared" si="15"/>
        <v>11245995.681563588</v>
      </c>
      <c r="BB52" s="121">
        <f t="shared" si="16"/>
        <v>0</v>
      </c>
      <c r="BC52" s="121">
        <f t="shared" si="17"/>
        <v>0</v>
      </c>
      <c r="BD52" s="121">
        <f t="shared" si="18"/>
        <v>0</v>
      </c>
      <c r="BE52" s="121">
        <f t="shared" si="19"/>
        <v>0</v>
      </c>
      <c r="BF52" s="121">
        <f t="shared" si="20"/>
        <v>0</v>
      </c>
      <c r="BG52" s="121">
        <f t="shared" si="21"/>
        <v>0</v>
      </c>
      <c r="BH52" s="121">
        <f t="shared" si="22"/>
        <v>0</v>
      </c>
      <c r="BI52" s="121">
        <f t="shared" si="23"/>
        <v>11245995.681563588</v>
      </c>
      <c r="BJ52" s="121">
        <f t="shared" si="24"/>
        <v>11245995.681563588</v>
      </c>
      <c r="BK52" s="121">
        <f t="shared" si="25"/>
        <v>11245995.681563588</v>
      </c>
      <c r="BL52" s="121">
        <f t="shared" si="26"/>
        <v>11245995.681563588</v>
      </c>
      <c r="BM52" s="121">
        <f t="shared" si="27"/>
        <v>0</v>
      </c>
      <c r="BN52" s="121">
        <f t="shared" si="28"/>
        <v>0</v>
      </c>
      <c r="BO52" s="121">
        <f t="shared" si="29"/>
        <v>0</v>
      </c>
      <c r="BP52" s="121">
        <f t="shared" si="30"/>
        <v>0</v>
      </c>
      <c r="BQ52" s="199">
        <f>INDEX('GDP deflators'!$C$6:$M$36,MATCH('Bottom-up tagging'!$D52,'GDP deflators'!$B$6:$B$36,),MATCH('Bottom-up tagging'!$E52,'GDP deflators'!$C$5:$L$5,))/100</f>
        <v>1.5094883975306472</v>
      </c>
      <c r="BR52" s="24">
        <v>16975700</v>
      </c>
    </row>
    <row r="53" spans="1:70" ht="26.15" hidden="1" customHeight="1">
      <c r="B53" s="110" t="s">
        <v>290</v>
      </c>
      <c r="C53" s="110" t="s">
        <v>293</v>
      </c>
      <c r="D53" s="110" t="s">
        <v>5333</v>
      </c>
      <c r="E53" s="103">
        <v>2019</v>
      </c>
      <c r="F53" s="108" t="s">
        <v>8582</v>
      </c>
      <c r="G53" s="111" t="s">
        <v>289</v>
      </c>
      <c r="H53" s="110" t="s">
        <v>10451</v>
      </c>
      <c r="I53" s="112">
        <f>IF(Dashboard!$B$16="Current USD",'Bottom-up tagging'!BR53,'Bottom-up tagging'!BR53/'Bottom-up tagging'!BQ53)</f>
        <v>1267430.6793892544</v>
      </c>
      <c r="J53" s="118" t="s">
        <v>10474</v>
      </c>
      <c r="K53" s="112"/>
      <c r="L53" s="135">
        <v>1</v>
      </c>
      <c r="M53" s="135">
        <v>1</v>
      </c>
      <c r="N53" s="112"/>
      <c r="O53" s="112"/>
      <c r="P53" s="112" t="str">
        <f>VLOOKUP(B53, 'Companies covered restructured'!$B$7:$K$470, 9, FALSE)</f>
        <v>Bio fertilizers (inputs)</v>
      </c>
      <c r="Q53" s="112" t="str">
        <f>VLOOKUP(B53, 'Companies covered restructured'!$B$7:$K$470, 6, FALSE)</f>
        <v>#Crops(100)</v>
      </c>
      <c r="R53" s="112" t="str">
        <f t="shared" si="0"/>
        <v>N/A</v>
      </c>
      <c r="S53" s="112" t="s">
        <v>11003</v>
      </c>
      <c r="T53" s="112" t="s">
        <v>10464</v>
      </c>
      <c r="U53" s="103" t="s">
        <v>10970</v>
      </c>
      <c r="V53" s="212" t="s">
        <v>10977</v>
      </c>
      <c r="W53" s="112" t="str">
        <f>VLOOKUP(B53, 'Companies covered restructured'!$B$7:$K$470, 7, FALSE)</f>
        <v>#Field/Animal Herd(100)</v>
      </c>
      <c r="X53" s="112" t="s">
        <v>10558</v>
      </c>
      <c r="Y53" s="212" t="str">
        <f>VLOOKUP(P53, 'Bottom-up Tagging Assumptions'!$B$12:$C$56, 2, FALSE)</f>
        <v>#Environmental(P); #Other economic(S)</v>
      </c>
      <c r="Z53" s="112" t="str">
        <f>VLOOKUP(P53, 'Bottom-up Tagging Assumptions'!$B$12:$F$56, 3, FALSE)</f>
        <v>#Improved soil quality(P)</v>
      </c>
      <c r="AA53" s="112" t="str">
        <f>VLOOKUP(P53, 'Bottom-up Tagging Assumptions'!$B$12:$F$56, 4, FALSE)</f>
        <v>#Level 2(100)</v>
      </c>
      <c r="AB53" s="110"/>
      <c r="AC53" s="110"/>
      <c r="AD53" s="110"/>
      <c r="AE53" s="110" t="s">
        <v>10558</v>
      </c>
      <c r="AF53" s="112"/>
      <c r="AG53" s="110" t="s">
        <v>1386</v>
      </c>
      <c r="AH53" s="121">
        <f t="shared" si="1"/>
        <v>1</v>
      </c>
      <c r="AI53" s="121">
        <f t="shared" si="2"/>
        <v>0</v>
      </c>
      <c r="AJ53" s="121">
        <f t="shared" si="3"/>
        <v>1</v>
      </c>
      <c r="AK53" s="121">
        <f t="shared" si="4"/>
        <v>0</v>
      </c>
      <c r="AL53" s="121">
        <f t="shared" si="5"/>
        <v>0</v>
      </c>
      <c r="AM53" s="121">
        <f t="shared" si="6"/>
        <v>0</v>
      </c>
      <c r="AN53" s="121">
        <f t="shared" si="7"/>
        <v>1</v>
      </c>
      <c r="AO53" s="121">
        <f t="shared" si="8"/>
        <v>0</v>
      </c>
      <c r="AP53" s="22">
        <f t="shared" si="9"/>
        <v>0</v>
      </c>
      <c r="AQ53" s="22">
        <f t="shared" si="10"/>
        <v>1267430.6793892544</v>
      </c>
      <c r="AR53" s="22">
        <f t="shared" si="11"/>
        <v>0</v>
      </c>
      <c r="AS53" s="121" t="str">
        <f t="shared" si="12"/>
        <v>Crops</v>
      </c>
      <c r="AT53" s="121" t="str">
        <f t="shared" si="33"/>
        <v xml:space="preserve"> </v>
      </c>
      <c r="AU53" s="121" t="str">
        <f t="shared" si="33"/>
        <v xml:space="preserve"> </v>
      </c>
      <c r="AV53" s="121" t="str">
        <f t="shared" si="33"/>
        <v xml:space="preserve"> </v>
      </c>
      <c r="AW53" s="130" t="str">
        <f t="shared" si="34"/>
        <v>100</v>
      </c>
      <c r="AX53" s="130" t="str">
        <f t="shared" si="34"/>
        <v xml:space="preserve"> </v>
      </c>
      <c r="AY53" s="130" t="str">
        <f t="shared" si="34"/>
        <v xml:space="preserve"> </v>
      </c>
      <c r="AZ53" s="130" t="str">
        <f t="shared" si="34"/>
        <v xml:space="preserve"> </v>
      </c>
      <c r="BA53" s="121">
        <f t="shared" si="15"/>
        <v>1267430.6793892544</v>
      </c>
      <c r="BB53" s="121">
        <f t="shared" si="16"/>
        <v>0</v>
      </c>
      <c r="BC53" s="121">
        <f t="shared" si="17"/>
        <v>0</v>
      </c>
      <c r="BD53" s="121">
        <f t="shared" si="18"/>
        <v>0</v>
      </c>
      <c r="BE53" s="121">
        <f t="shared" si="19"/>
        <v>0</v>
      </c>
      <c r="BF53" s="121">
        <f t="shared" si="20"/>
        <v>0</v>
      </c>
      <c r="BG53" s="121">
        <f t="shared" si="21"/>
        <v>0</v>
      </c>
      <c r="BH53" s="121">
        <f t="shared" si="22"/>
        <v>0</v>
      </c>
      <c r="BI53" s="121">
        <f t="shared" si="23"/>
        <v>1267430.6793892544</v>
      </c>
      <c r="BJ53" s="121">
        <f t="shared" si="24"/>
        <v>1267430.6793892544</v>
      </c>
      <c r="BK53" s="121">
        <f t="shared" si="25"/>
        <v>1267430.6793892544</v>
      </c>
      <c r="BL53" s="121">
        <f t="shared" si="26"/>
        <v>1267430.6793892544</v>
      </c>
      <c r="BM53" s="121">
        <f t="shared" si="27"/>
        <v>0</v>
      </c>
      <c r="BN53" s="121">
        <f t="shared" si="28"/>
        <v>0</v>
      </c>
      <c r="BO53" s="121">
        <f t="shared" si="29"/>
        <v>0</v>
      </c>
      <c r="BP53" s="121">
        <f t="shared" si="30"/>
        <v>0</v>
      </c>
      <c r="BQ53" s="199">
        <f>INDEX('GDP deflators'!$C$6:$M$36,MATCH('Bottom-up tagging'!$D53,'GDP deflators'!$B$6:$B$36,),MATCH('Bottom-up tagging'!$E53,'GDP deflators'!$C$5:$L$5,))/100</f>
        <v>12.623964576674149</v>
      </c>
      <c r="BR53" s="24">
        <v>16000000</v>
      </c>
    </row>
    <row r="54" spans="1:70" ht="26.15" hidden="1" customHeight="1">
      <c r="B54" s="110" t="s">
        <v>2668</v>
      </c>
      <c r="C54" s="110" t="s">
        <v>2670</v>
      </c>
      <c r="D54" s="110" t="s">
        <v>2057</v>
      </c>
      <c r="E54" s="103">
        <v>2015</v>
      </c>
      <c r="F54" s="108" t="s">
        <v>9594</v>
      </c>
      <c r="G54" s="111" t="s">
        <v>25</v>
      </c>
      <c r="H54" s="110" t="s">
        <v>10451</v>
      </c>
      <c r="I54" s="112">
        <f>IF(Dashboard!$B$16="Current USD",'Bottom-up tagging'!BR54,'Bottom-up tagging'!BR54/'Bottom-up tagging'!BQ54)</f>
        <v>14016429.4744785</v>
      </c>
      <c r="J54" s="105" t="s">
        <v>10474</v>
      </c>
      <c r="K54" s="112"/>
      <c r="L54" s="135">
        <v>1</v>
      </c>
      <c r="M54" s="135">
        <v>1</v>
      </c>
      <c r="N54" s="112"/>
      <c r="O54" s="112"/>
      <c r="P54" s="112" t="str">
        <f>VLOOKUP(B54, 'Companies covered restructured'!$B$7:$K$470, 9, FALSE)</f>
        <v>Agri input e-commerce platforms</v>
      </c>
      <c r="Q54" s="112" t="str">
        <f>VLOOKUP(B54, 'Companies covered restructured'!$B$7:$K$470, 6, FALSE)</f>
        <v>#Crops(100)</v>
      </c>
      <c r="R54" s="112" t="str">
        <f t="shared" si="0"/>
        <v>N/A</v>
      </c>
      <c r="S54" s="112" t="s">
        <v>11003</v>
      </c>
      <c r="T54" s="112" t="s">
        <v>10466</v>
      </c>
      <c r="U54" s="103" t="s">
        <v>10970</v>
      </c>
      <c r="V54" s="112" t="str">
        <f>VLOOKUP(P54, 'Bottom-up Tagging Assumptions'!$B$12:$F$39, 5, FALSE)</f>
        <v>#Process Innovation(100)</v>
      </c>
      <c r="W54" s="112" t="str">
        <f>VLOOKUP(B54, 'Companies covered restructured'!$B$7:$K$470, 7, FALSE)</f>
        <v>#Landscape(100)</v>
      </c>
      <c r="X54" s="112" t="str">
        <f>VLOOKUP(B54, 'Companies covered restructured'!$B$7:$K$470, 8, FALSE)</f>
        <v>N/A</v>
      </c>
      <c r="Y54" s="212" t="str">
        <f>VLOOKUP(P54, 'Bottom-up Tagging Assumptions'!$B$12:$C$56, 2, FALSE)</f>
        <v>#Other Economic(P); Productivity(S)</v>
      </c>
      <c r="Z54" s="112" t="str">
        <f>VLOOKUP(P54, 'Bottom-up Tagging Assumptions'!$B$12:$F$56, 3, FALSE)</f>
        <v>#Reduce cost of inputs(P)</v>
      </c>
      <c r="AA54" s="112" t="str">
        <f>VLOOKUP(P54, 'Bottom-up Tagging Assumptions'!$B$12:$F$56, 4, FALSE)</f>
        <v>#Level 1(100)</v>
      </c>
      <c r="AB54" s="110"/>
      <c r="AC54" s="110"/>
      <c r="AD54" s="110"/>
      <c r="AE54" s="110" t="s">
        <v>10558</v>
      </c>
      <c r="AF54" s="112">
        <v>720349</v>
      </c>
      <c r="AG54" s="110" t="s">
        <v>1390</v>
      </c>
      <c r="AH54" s="121">
        <f t="shared" si="1"/>
        <v>0</v>
      </c>
      <c r="AI54" s="121">
        <f t="shared" si="2"/>
        <v>1</v>
      </c>
      <c r="AJ54" s="121">
        <f t="shared" si="3"/>
        <v>1</v>
      </c>
      <c r="AK54" s="121">
        <f t="shared" si="4"/>
        <v>0</v>
      </c>
      <c r="AL54" s="121">
        <f t="shared" si="5"/>
        <v>0</v>
      </c>
      <c r="AM54" s="121">
        <f t="shared" si="6"/>
        <v>0</v>
      </c>
      <c r="AN54" s="121">
        <f t="shared" si="7"/>
        <v>0</v>
      </c>
      <c r="AO54" s="121">
        <f t="shared" si="8"/>
        <v>0</v>
      </c>
      <c r="AP54" s="22">
        <f t="shared" si="9"/>
        <v>0</v>
      </c>
      <c r="AQ54" s="22">
        <f t="shared" si="10"/>
        <v>0</v>
      </c>
      <c r="AR54" s="22">
        <f t="shared" si="11"/>
        <v>0</v>
      </c>
      <c r="AS54" s="121" t="str">
        <f t="shared" si="12"/>
        <v>Crops</v>
      </c>
      <c r="AT54" s="121" t="str">
        <f t="shared" si="33"/>
        <v xml:space="preserve"> </v>
      </c>
      <c r="AU54" s="121" t="str">
        <f t="shared" si="33"/>
        <v xml:space="preserve"> </v>
      </c>
      <c r="AV54" s="121" t="str">
        <f t="shared" si="33"/>
        <v xml:space="preserve"> </v>
      </c>
      <c r="AW54" s="130" t="str">
        <f t="shared" si="34"/>
        <v>100</v>
      </c>
      <c r="AX54" s="130" t="str">
        <f t="shared" si="34"/>
        <v xml:space="preserve"> </v>
      </c>
      <c r="AY54" s="130" t="str">
        <f t="shared" si="34"/>
        <v xml:space="preserve"> </v>
      </c>
      <c r="AZ54" s="130" t="str">
        <f t="shared" si="34"/>
        <v xml:space="preserve"> </v>
      </c>
      <c r="BA54" s="121">
        <f t="shared" si="15"/>
        <v>14016429.4744785</v>
      </c>
      <c r="BB54" s="121">
        <f t="shared" si="16"/>
        <v>0</v>
      </c>
      <c r="BC54" s="121">
        <f t="shared" si="17"/>
        <v>0</v>
      </c>
      <c r="BD54" s="121">
        <f t="shared" si="18"/>
        <v>0</v>
      </c>
      <c r="BE54" s="121">
        <f t="shared" si="19"/>
        <v>0</v>
      </c>
      <c r="BF54" s="121">
        <f t="shared" si="20"/>
        <v>0</v>
      </c>
      <c r="BG54" s="121">
        <f t="shared" si="21"/>
        <v>0</v>
      </c>
      <c r="BH54" s="121">
        <f t="shared" si="22"/>
        <v>0</v>
      </c>
      <c r="BI54" s="121">
        <f t="shared" si="23"/>
        <v>0</v>
      </c>
      <c r="BJ54" s="121">
        <f t="shared" si="24"/>
        <v>0</v>
      </c>
      <c r="BK54" s="121">
        <f t="shared" si="25"/>
        <v>0</v>
      </c>
      <c r="BL54" s="121">
        <f t="shared" si="26"/>
        <v>0</v>
      </c>
      <c r="BM54" s="121">
        <f t="shared" si="27"/>
        <v>0</v>
      </c>
      <c r="BN54" s="121">
        <f t="shared" si="28"/>
        <v>0</v>
      </c>
      <c r="BO54" s="121">
        <f t="shared" si="29"/>
        <v>0</v>
      </c>
      <c r="BP54" s="121">
        <f t="shared" si="30"/>
        <v>0</v>
      </c>
      <c r="BQ54" s="199">
        <f>INDEX('GDP deflators'!$C$6:$M$36,MATCH('Bottom-up tagging'!$D54,'GDP deflators'!$B$6:$B$36,),MATCH('Bottom-up tagging'!$E54,'GDP deflators'!$C$5:$L$5,))/100</f>
        <v>1.1415175333442258</v>
      </c>
      <c r="BR54" s="24">
        <v>16000000</v>
      </c>
    </row>
    <row r="55" spans="1:70" ht="26.15" hidden="1" customHeight="1">
      <c r="B55" s="110" t="s">
        <v>96</v>
      </c>
      <c r="C55" s="110" t="s">
        <v>100</v>
      </c>
      <c r="D55" s="110" t="s">
        <v>3994</v>
      </c>
      <c r="E55" s="103">
        <v>2019</v>
      </c>
      <c r="F55" s="108" t="s">
        <v>8260</v>
      </c>
      <c r="G55" s="111" t="s">
        <v>95</v>
      </c>
      <c r="H55" s="110" t="s">
        <v>10451</v>
      </c>
      <c r="I55" s="112">
        <f>IF(Dashboard!$B$16="Current USD",'Bottom-up tagging'!BR55,'Bottom-up tagging'!BR55/'Bottom-up tagging'!BQ55)</f>
        <v>10060759.675161177</v>
      </c>
      <c r="J55" s="117" t="s">
        <v>10474</v>
      </c>
      <c r="K55" s="112"/>
      <c r="L55" s="135">
        <v>1</v>
      </c>
      <c r="M55" s="135">
        <v>1</v>
      </c>
      <c r="N55" s="112"/>
      <c r="O55" s="112"/>
      <c r="P55" s="112" t="str">
        <f>VLOOKUP(B55, 'Companies covered restructured'!$B$7:$K$470, 9, FALSE)</f>
        <v>Agri marketplaces</v>
      </c>
      <c r="Q55" s="112" t="str">
        <f>VLOOKUP(B55, 'Companies covered restructured'!$B$7:$K$470, 6, FALSE)</f>
        <v>#Crops(100)</v>
      </c>
      <c r="R55" s="112" t="str">
        <f t="shared" si="0"/>
        <v>#Corporate(100)</v>
      </c>
      <c r="S55" s="112" t="s">
        <v>11003</v>
      </c>
      <c r="T55" s="112" t="s">
        <v>10466</v>
      </c>
      <c r="U55" s="103" t="s">
        <v>10970</v>
      </c>
      <c r="V55" s="112" t="str">
        <f>VLOOKUP(P55, 'Bottom-up Tagging Assumptions'!$B$12:$F$39, 5, FALSE)</f>
        <v>#Process Innovation(100)</v>
      </c>
      <c r="W55" s="112" t="str">
        <f>VLOOKUP(B55, 'Companies covered restructured'!$B$7:$K$470, 7, FALSE)</f>
        <v>#Farm/Household(100)</v>
      </c>
      <c r="X55" s="112" t="s">
        <v>10558</v>
      </c>
      <c r="Y55" s="212" t="str">
        <f>VLOOKUP(P55, 'Bottom-up Tagging Assumptions'!$B$12:$C$56, 2, FALSE)</f>
        <v>#Other Economic(P); Social(S)</v>
      </c>
      <c r="Z55" s="112" t="str">
        <f>VLOOKUP(P55, 'Bottom-up Tagging Assumptions'!$B$12:$F$56, 3, FALSE)</f>
        <v>#Improve price realization(P)</v>
      </c>
      <c r="AA55" s="112" t="str">
        <f>VLOOKUP(P55, 'Bottom-up Tagging Assumptions'!$B$12:$F$56, 4, FALSE)</f>
        <v>#Level 4(100)</v>
      </c>
      <c r="AB55" s="110" t="s">
        <v>647</v>
      </c>
      <c r="AC55" s="110" t="s">
        <v>648</v>
      </c>
      <c r="AD55" s="110" t="s">
        <v>649</v>
      </c>
      <c r="AE55" s="110" t="str">
        <f>VLOOKUP(AD55,  '1.2'!$B$7:$C$2033, 2, FALSE)</f>
        <v>CORPORATE_INVESTOR</v>
      </c>
      <c r="AF55" s="112">
        <v>14000000</v>
      </c>
      <c r="AG55" s="110" t="s">
        <v>272</v>
      </c>
      <c r="AH55" s="121">
        <f t="shared" si="1"/>
        <v>0</v>
      </c>
      <c r="AI55" s="121">
        <f t="shared" si="2"/>
        <v>0</v>
      </c>
      <c r="AJ55" s="121">
        <f t="shared" si="3"/>
        <v>1</v>
      </c>
      <c r="AK55" s="121">
        <f t="shared" si="4"/>
        <v>1</v>
      </c>
      <c r="AL55" s="121">
        <f t="shared" si="5"/>
        <v>0</v>
      </c>
      <c r="AM55" s="121">
        <f t="shared" si="6"/>
        <v>0</v>
      </c>
      <c r="AN55" s="121">
        <f t="shared" si="7"/>
        <v>1</v>
      </c>
      <c r="AO55" s="121">
        <f t="shared" si="8"/>
        <v>0</v>
      </c>
      <c r="AP55" s="22">
        <f t="shared" si="9"/>
        <v>0</v>
      </c>
      <c r="AQ55" s="22">
        <f t="shared" si="10"/>
        <v>10060759.675161177</v>
      </c>
      <c r="AR55" s="22">
        <f t="shared" si="11"/>
        <v>0</v>
      </c>
      <c r="AS55" s="121" t="str">
        <f t="shared" si="12"/>
        <v>Crops</v>
      </c>
      <c r="AT55" s="121" t="str">
        <f t="shared" si="33"/>
        <v xml:space="preserve"> </v>
      </c>
      <c r="AU55" s="121" t="str">
        <f t="shared" si="33"/>
        <v xml:space="preserve"> </v>
      </c>
      <c r="AV55" s="121" t="str">
        <f t="shared" si="33"/>
        <v xml:space="preserve"> </v>
      </c>
      <c r="AW55" s="130" t="str">
        <f t="shared" si="34"/>
        <v>100</v>
      </c>
      <c r="AX55" s="130" t="str">
        <f t="shared" si="34"/>
        <v xml:space="preserve"> </v>
      </c>
      <c r="AY55" s="130" t="str">
        <f t="shared" si="34"/>
        <v xml:space="preserve"> </v>
      </c>
      <c r="AZ55" s="130" t="str">
        <f t="shared" si="34"/>
        <v xml:space="preserve"> </v>
      </c>
      <c r="BA55" s="121">
        <f t="shared" si="15"/>
        <v>10060759.675161177</v>
      </c>
      <c r="BB55" s="121">
        <f t="shared" si="16"/>
        <v>0</v>
      </c>
      <c r="BC55" s="121">
        <f t="shared" si="17"/>
        <v>0</v>
      </c>
      <c r="BD55" s="121">
        <f t="shared" si="18"/>
        <v>0</v>
      </c>
      <c r="BE55" s="121">
        <f t="shared" si="19"/>
        <v>0</v>
      </c>
      <c r="BF55" s="121">
        <f t="shared" si="20"/>
        <v>0</v>
      </c>
      <c r="BG55" s="121">
        <f t="shared" si="21"/>
        <v>0</v>
      </c>
      <c r="BH55" s="121">
        <f t="shared" si="22"/>
        <v>0</v>
      </c>
      <c r="BI55" s="121">
        <f t="shared" si="23"/>
        <v>10060759.675161177</v>
      </c>
      <c r="BJ55" s="121">
        <f t="shared" si="24"/>
        <v>10060759.675161177</v>
      </c>
      <c r="BK55" s="121">
        <f t="shared" si="25"/>
        <v>10060759.675161177</v>
      </c>
      <c r="BL55" s="121">
        <f t="shared" si="26"/>
        <v>10060759.675161177</v>
      </c>
      <c r="BM55" s="121">
        <f t="shared" si="27"/>
        <v>0</v>
      </c>
      <c r="BN55" s="121">
        <f t="shared" si="28"/>
        <v>0</v>
      </c>
      <c r="BO55" s="121">
        <f t="shared" si="29"/>
        <v>0</v>
      </c>
      <c r="BP55" s="121">
        <f t="shared" si="30"/>
        <v>0</v>
      </c>
      <c r="BQ55" s="199">
        <f>INDEX('GDP deflators'!$C$6:$M$36,MATCH('Bottom-up tagging'!$D55,'GDP deflators'!$B$6:$B$36,),MATCH('Bottom-up tagging'!$E55,'GDP deflators'!$C$5:$L$5,))/100</f>
        <v>1.5094883975306472</v>
      </c>
      <c r="BR55" s="24">
        <v>15186600</v>
      </c>
    </row>
    <row r="56" spans="1:70" s="53" customFormat="1" ht="26.15" hidden="1" customHeight="1">
      <c r="A56" s="24"/>
      <c r="B56" s="110" t="s">
        <v>2309</v>
      </c>
      <c r="C56" s="110" t="s">
        <v>2312</v>
      </c>
      <c r="D56" s="110" t="s">
        <v>2057</v>
      </c>
      <c r="E56" s="103">
        <v>2016</v>
      </c>
      <c r="F56" s="108" t="s">
        <v>10211</v>
      </c>
      <c r="G56" s="111" t="s">
        <v>1309</v>
      </c>
      <c r="H56" s="110" t="s">
        <v>10451</v>
      </c>
      <c r="I56" s="112">
        <f>IF(Dashboard!$B$16="Current USD",'Bottom-up tagging'!BR56,'Bottom-up tagging'!BR56/'Bottom-up tagging'!BQ56)</f>
        <v>12974619.339022726</v>
      </c>
      <c r="J56" s="117" t="s">
        <v>10474</v>
      </c>
      <c r="K56" s="112"/>
      <c r="L56" s="135">
        <v>1</v>
      </c>
      <c r="M56" s="135">
        <v>1</v>
      </c>
      <c r="N56" s="112"/>
      <c r="O56" s="112"/>
      <c r="P56" s="112" t="str">
        <f>VLOOKUP(B56, 'Companies covered restructured'!$B$7:$K$470, 9, FALSE)</f>
        <v>Agri marketplaces</v>
      </c>
      <c r="Q56" s="112" t="str">
        <f>VLOOKUP(B56, 'Companies covered restructured'!$B$7:$K$470, 6, FALSE)</f>
        <v>#Crops(100)</v>
      </c>
      <c r="R56" s="112" t="str">
        <f t="shared" si="0"/>
        <v>N/A</v>
      </c>
      <c r="S56" s="112" t="s">
        <v>11003</v>
      </c>
      <c r="T56" s="112" t="s">
        <v>10466</v>
      </c>
      <c r="U56" s="103" t="s">
        <v>10970</v>
      </c>
      <c r="V56" s="112" t="str">
        <f>VLOOKUP(P56, 'Bottom-up Tagging Assumptions'!$B$12:$F$39, 5, FALSE)</f>
        <v>#Process Innovation(100)</v>
      </c>
      <c r="W56" s="112" t="str">
        <f>VLOOKUP(B56, 'Companies covered restructured'!$B$7:$K$470, 7, FALSE)</f>
        <v>N/A</v>
      </c>
      <c r="X56" s="112" t="str">
        <f>VLOOKUP(B56, 'Companies covered restructured'!$B$7:$K$470, 8, FALSE)</f>
        <v>N/A</v>
      </c>
      <c r="Y56" s="212" t="str">
        <f>VLOOKUP(P56, 'Bottom-up Tagging Assumptions'!$B$12:$C$56, 2, FALSE)</f>
        <v>#Other Economic(P); Social(S)</v>
      </c>
      <c r="Z56" s="112" t="str">
        <f>VLOOKUP(P56, 'Bottom-up Tagging Assumptions'!$B$12:$F$56, 3, FALSE)</f>
        <v>#Improve price realization(P)</v>
      </c>
      <c r="AA56" s="112" t="str">
        <f>VLOOKUP(P56, 'Bottom-up Tagging Assumptions'!$B$12:$F$56, 4, FALSE)</f>
        <v>#Level 4(100)</v>
      </c>
      <c r="AB56" s="110" t="s">
        <v>2311</v>
      </c>
      <c r="AC56" s="110"/>
      <c r="AD56" s="110"/>
      <c r="AE56" s="110" t="s">
        <v>10558</v>
      </c>
      <c r="AF56" s="112">
        <v>75000</v>
      </c>
      <c r="AG56" s="110" t="s">
        <v>1398</v>
      </c>
      <c r="AH56" s="121">
        <f t="shared" si="1"/>
        <v>0</v>
      </c>
      <c r="AI56" s="121">
        <f t="shared" si="2"/>
        <v>0</v>
      </c>
      <c r="AJ56" s="121">
        <f t="shared" si="3"/>
        <v>1</v>
      </c>
      <c r="AK56" s="121">
        <f t="shared" si="4"/>
        <v>1</v>
      </c>
      <c r="AL56" s="121">
        <f t="shared" si="5"/>
        <v>0</v>
      </c>
      <c r="AM56" s="121">
        <f t="shared" si="6"/>
        <v>0</v>
      </c>
      <c r="AN56" s="121">
        <f t="shared" si="7"/>
        <v>1</v>
      </c>
      <c r="AO56" s="121">
        <f t="shared" si="8"/>
        <v>0</v>
      </c>
      <c r="AP56" s="22">
        <f t="shared" si="9"/>
        <v>0</v>
      </c>
      <c r="AQ56" s="22">
        <f t="shared" si="10"/>
        <v>12974619.339022726</v>
      </c>
      <c r="AR56" s="22">
        <f t="shared" si="11"/>
        <v>0</v>
      </c>
      <c r="AS56" s="121" t="str">
        <f t="shared" si="12"/>
        <v>Crops</v>
      </c>
      <c r="AT56" s="121" t="str">
        <f t="shared" si="33"/>
        <v xml:space="preserve"> </v>
      </c>
      <c r="AU56" s="121" t="str">
        <f t="shared" si="33"/>
        <v xml:space="preserve"> </v>
      </c>
      <c r="AV56" s="121" t="str">
        <f t="shared" si="33"/>
        <v xml:space="preserve"> </v>
      </c>
      <c r="AW56" s="130" t="str">
        <f t="shared" si="34"/>
        <v>100</v>
      </c>
      <c r="AX56" s="130" t="str">
        <f t="shared" si="34"/>
        <v xml:space="preserve"> </v>
      </c>
      <c r="AY56" s="130" t="str">
        <f t="shared" si="34"/>
        <v xml:space="preserve"> </v>
      </c>
      <c r="AZ56" s="130" t="str">
        <f t="shared" si="34"/>
        <v xml:space="preserve"> </v>
      </c>
      <c r="BA56" s="121">
        <f t="shared" si="15"/>
        <v>12974619.339022728</v>
      </c>
      <c r="BB56" s="121">
        <f t="shared" si="16"/>
        <v>0</v>
      </c>
      <c r="BC56" s="121">
        <f t="shared" si="17"/>
        <v>0</v>
      </c>
      <c r="BD56" s="121">
        <f t="shared" si="18"/>
        <v>0</v>
      </c>
      <c r="BE56" s="121">
        <f t="shared" si="19"/>
        <v>0</v>
      </c>
      <c r="BF56" s="121">
        <f t="shared" si="20"/>
        <v>0</v>
      </c>
      <c r="BG56" s="121">
        <f t="shared" si="21"/>
        <v>0</v>
      </c>
      <c r="BH56" s="121">
        <f t="shared" si="22"/>
        <v>0</v>
      </c>
      <c r="BI56" s="121">
        <f t="shared" si="23"/>
        <v>12974619.339022728</v>
      </c>
      <c r="BJ56" s="121">
        <f t="shared" si="24"/>
        <v>12974619.339022726</v>
      </c>
      <c r="BK56" s="121">
        <f t="shared" si="25"/>
        <v>12974619.339022726</v>
      </c>
      <c r="BL56" s="121">
        <f t="shared" si="26"/>
        <v>12974619.339022726</v>
      </c>
      <c r="BM56" s="121">
        <f t="shared" si="27"/>
        <v>0</v>
      </c>
      <c r="BN56" s="121">
        <f t="shared" si="28"/>
        <v>0</v>
      </c>
      <c r="BO56" s="121">
        <f t="shared" si="29"/>
        <v>0</v>
      </c>
      <c r="BP56" s="121">
        <f t="shared" si="30"/>
        <v>0</v>
      </c>
      <c r="BQ56" s="199">
        <f>INDEX('GDP deflators'!$C$6:$M$36,MATCH('Bottom-up tagging'!$D56,'GDP deflators'!$B$6:$B$36,),MATCH('Bottom-up tagging'!$E56,'GDP deflators'!$C$5:$L$5,))/100</f>
        <v>1.1575830941589131</v>
      </c>
      <c r="BR56" s="53">
        <v>15019200</v>
      </c>
    </row>
    <row r="57" spans="1:70" ht="26.15" hidden="1" customHeight="1">
      <c r="B57" s="110" t="s">
        <v>2758</v>
      </c>
      <c r="C57" s="110" t="s">
        <v>2760</v>
      </c>
      <c r="D57" s="110" t="s">
        <v>2057</v>
      </c>
      <c r="E57" s="103">
        <v>2015</v>
      </c>
      <c r="F57" s="108" t="s">
        <v>9599</v>
      </c>
      <c r="G57" s="111" t="s">
        <v>109</v>
      </c>
      <c r="H57" s="110" t="s">
        <v>10451</v>
      </c>
      <c r="I57" s="112">
        <f>IF(Dashboard!$B$16="Current USD",'Bottom-up tagging'!BR57,'Bottom-up tagging'!BR57/'Bottom-up tagging'!BQ57)</f>
        <v>13140402.632323593</v>
      </c>
      <c r="J57" s="105" t="s">
        <v>10474</v>
      </c>
      <c r="K57" s="112"/>
      <c r="L57" s="135">
        <v>1</v>
      </c>
      <c r="M57" s="135">
        <v>1</v>
      </c>
      <c r="N57" s="112"/>
      <c r="O57" s="112"/>
      <c r="P57" s="112" t="str">
        <f>VLOOKUP(B57, 'Companies covered restructured'!$B$7:$K$470, 9, FALSE)</f>
        <v>Agri marketplaces</v>
      </c>
      <c r="Q57" s="112" t="str">
        <f>VLOOKUP(B57, 'Companies covered restructured'!$B$7:$K$470, 6, FALSE)</f>
        <v>#Crops(100)</v>
      </c>
      <c r="R57" s="112" t="str">
        <f t="shared" si="0"/>
        <v>N/A</v>
      </c>
      <c r="S57" s="112" t="s">
        <v>11003</v>
      </c>
      <c r="T57" s="112" t="s">
        <v>10466</v>
      </c>
      <c r="U57" s="103" t="s">
        <v>10970</v>
      </c>
      <c r="V57" s="112" t="str">
        <f>VLOOKUP(P57, 'Bottom-up Tagging Assumptions'!$B$12:$F$39, 5, FALSE)</f>
        <v>#Process Innovation(100)</v>
      </c>
      <c r="W57" s="112" t="str">
        <f>VLOOKUP(B57, 'Companies covered restructured'!$B$7:$K$470, 7, FALSE)</f>
        <v>N/A</v>
      </c>
      <c r="X57" s="112" t="str">
        <f>VLOOKUP(B57, 'Companies covered restructured'!$B$7:$K$470, 8, FALSE)</f>
        <v>N/A</v>
      </c>
      <c r="Y57" s="212" t="str">
        <f>VLOOKUP(P57, 'Bottom-up Tagging Assumptions'!$B$12:$C$56, 2, FALSE)</f>
        <v>#Other Economic(P); Social(S)</v>
      </c>
      <c r="Z57" s="112" t="str">
        <f>VLOOKUP(P57, 'Bottom-up Tagging Assumptions'!$B$12:$F$56, 3, FALSE)</f>
        <v>#Improve price realization(P)</v>
      </c>
      <c r="AA57" s="112" t="str">
        <f>VLOOKUP(P57, 'Bottom-up Tagging Assumptions'!$B$12:$F$56, 4, FALSE)</f>
        <v>#Level 4(100)</v>
      </c>
      <c r="AB57" s="110"/>
      <c r="AC57" s="110"/>
      <c r="AD57" s="110"/>
      <c r="AE57" s="110" t="s">
        <v>10558</v>
      </c>
      <c r="AF57" s="112">
        <v>3574388</v>
      </c>
      <c r="AG57" s="110" t="s">
        <v>626</v>
      </c>
      <c r="AH57" s="121">
        <f t="shared" si="1"/>
        <v>0</v>
      </c>
      <c r="AI57" s="121">
        <f t="shared" si="2"/>
        <v>0</v>
      </c>
      <c r="AJ57" s="121">
        <f t="shared" si="3"/>
        <v>1</v>
      </c>
      <c r="AK57" s="121">
        <f t="shared" si="4"/>
        <v>1</v>
      </c>
      <c r="AL57" s="121">
        <f t="shared" si="5"/>
        <v>0</v>
      </c>
      <c r="AM57" s="121">
        <f t="shared" si="6"/>
        <v>0</v>
      </c>
      <c r="AN57" s="121">
        <f t="shared" si="7"/>
        <v>1</v>
      </c>
      <c r="AO57" s="121">
        <f t="shared" si="8"/>
        <v>0</v>
      </c>
      <c r="AP57" s="22">
        <f t="shared" si="9"/>
        <v>0</v>
      </c>
      <c r="AQ57" s="22">
        <f t="shared" si="10"/>
        <v>13140402.632323593</v>
      </c>
      <c r="AR57" s="22">
        <f t="shared" si="11"/>
        <v>0</v>
      </c>
      <c r="AS57" s="121" t="str">
        <f t="shared" si="12"/>
        <v>Crops</v>
      </c>
      <c r="AT57" s="121" t="str">
        <f t="shared" si="33"/>
        <v xml:space="preserve"> </v>
      </c>
      <c r="AU57" s="121" t="str">
        <f t="shared" si="33"/>
        <v xml:space="preserve"> </v>
      </c>
      <c r="AV57" s="121" t="str">
        <f t="shared" si="33"/>
        <v xml:space="preserve"> </v>
      </c>
      <c r="AW57" s="130" t="str">
        <f t="shared" si="34"/>
        <v>100</v>
      </c>
      <c r="AX57" s="130" t="str">
        <f t="shared" si="34"/>
        <v xml:space="preserve"> </v>
      </c>
      <c r="AY57" s="130" t="str">
        <f t="shared" si="34"/>
        <v xml:space="preserve"> </v>
      </c>
      <c r="AZ57" s="130" t="str">
        <f t="shared" si="34"/>
        <v xml:space="preserve"> </v>
      </c>
      <c r="BA57" s="121">
        <f t="shared" si="15"/>
        <v>13140402.632323595</v>
      </c>
      <c r="BB57" s="121">
        <f t="shared" si="16"/>
        <v>0</v>
      </c>
      <c r="BC57" s="121">
        <f t="shared" si="17"/>
        <v>0</v>
      </c>
      <c r="BD57" s="121">
        <f t="shared" si="18"/>
        <v>0</v>
      </c>
      <c r="BE57" s="121">
        <f t="shared" si="19"/>
        <v>0</v>
      </c>
      <c r="BF57" s="121">
        <f t="shared" si="20"/>
        <v>0</v>
      </c>
      <c r="BG57" s="121">
        <f t="shared" si="21"/>
        <v>0</v>
      </c>
      <c r="BH57" s="121">
        <f t="shared" si="22"/>
        <v>0</v>
      </c>
      <c r="BI57" s="121">
        <f t="shared" si="23"/>
        <v>13140402.632323595</v>
      </c>
      <c r="BJ57" s="121">
        <f t="shared" si="24"/>
        <v>13140402.632323593</v>
      </c>
      <c r="BK57" s="121">
        <f t="shared" si="25"/>
        <v>13140402.632323593</v>
      </c>
      <c r="BL57" s="121">
        <f t="shared" si="26"/>
        <v>13140402.632323593</v>
      </c>
      <c r="BM57" s="121">
        <f t="shared" si="27"/>
        <v>0</v>
      </c>
      <c r="BN57" s="121">
        <f t="shared" si="28"/>
        <v>0</v>
      </c>
      <c r="BO57" s="121">
        <f t="shared" si="29"/>
        <v>0</v>
      </c>
      <c r="BP57" s="121">
        <f t="shared" si="30"/>
        <v>0</v>
      </c>
      <c r="BQ57" s="199">
        <f>INDEX('GDP deflators'!$C$6:$M$36,MATCH('Bottom-up tagging'!$D57,'GDP deflators'!$B$6:$B$36,),MATCH('Bottom-up tagging'!$E57,'GDP deflators'!$C$5:$L$5,))/100</f>
        <v>1.1415175333442258</v>
      </c>
      <c r="BR57" s="24">
        <v>15000000</v>
      </c>
    </row>
    <row r="58" spans="1:70" ht="26.15" hidden="1" customHeight="1">
      <c r="B58" s="110" t="s">
        <v>1137</v>
      </c>
      <c r="C58" s="110" t="s">
        <v>1142</v>
      </c>
      <c r="D58" s="110" t="s">
        <v>2057</v>
      </c>
      <c r="E58" s="103">
        <v>2019</v>
      </c>
      <c r="F58" s="108" t="s">
        <v>5758</v>
      </c>
      <c r="G58" s="111" t="s">
        <v>109</v>
      </c>
      <c r="H58" s="110" t="s">
        <v>10451</v>
      </c>
      <c r="I58" s="112">
        <f>IF(Dashboard!$B$16="Current USD",'Bottom-up tagging'!BR58,'Bottom-up tagging'!BR58/'Bottom-up tagging'!BQ58)</f>
        <v>11740488.268104892</v>
      </c>
      <c r="J58" s="105" t="s">
        <v>10474</v>
      </c>
      <c r="K58" s="112"/>
      <c r="L58" s="135">
        <v>1</v>
      </c>
      <c r="M58" s="135">
        <v>1</v>
      </c>
      <c r="N58" s="112"/>
      <c r="O58" s="112"/>
      <c r="P58" s="112" t="str">
        <f>VLOOKUP(B58, 'Companies covered restructured'!$B$7:$K$470, 9, FALSE)</f>
        <v>AI/analytics based advisory algorithms (incl. weather)</v>
      </c>
      <c r="Q58" s="112" t="str">
        <f>VLOOKUP(B58, 'Companies covered restructured'!$B$7:$K$470, 6, FALSE)</f>
        <v>#Crops(100)</v>
      </c>
      <c r="R58" s="112" t="str">
        <f t="shared" si="0"/>
        <v>#Investment Fund(100)</v>
      </c>
      <c r="S58" s="112" t="s">
        <v>11003</v>
      </c>
      <c r="T58" s="112" t="s">
        <v>10466</v>
      </c>
      <c r="U58" s="103" t="s">
        <v>10970</v>
      </c>
      <c r="V58" s="112" t="str">
        <f>VLOOKUP(P58, 'Bottom-up Tagging Assumptions'!$B$12:$F$39, 5, FALSE)</f>
        <v>#Science &amp; tech(100)</v>
      </c>
      <c r="W58" s="112" t="str">
        <f>VLOOKUP(B58, 'Companies covered restructured'!$B$7:$K$470, 7, FALSE)</f>
        <v>#Field/Animal Herd(100)</v>
      </c>
      <c r="X58" s="112" t="s">
        <v>10558</v>
      </c>
      <c r="Y58" s="212" t="str">
        <f>VLOOKUP(P58, 'Bottom-up Tagging Assumptions'!$B$12:$C$56, 2, FALSE)</f>
        <v>#Other Economic(P); #Productivity(S)</v>
      </c>
      <c r="Z58" s="112" t="str">
        <f>VLOOKUP(P58, 'Bottom-up Tagging Assumptions'!$B$12:$F$56, 3, FALSE)</f>
        <v>#Increasing output per unit input(P); #Increasing crop or animal yield(S)</v>
      </c>
      <c r="AA58" s="112" t="str">
        <f>VLOOKUP(P58, 'Bottom-up Tagging Assumptions'!$B$12:$F$56, 4, FALSE)</f>
        <v>#Level 1(100)</v>
      </c>
      <c r="AB58" s="110" t="s">
        <v>1139</v>
      </c>
      <c r="AC58" s="110"/>
      <c r="AD58" s="110" t="s">
        <v>1140</v>
      </c>
      <c r="AE58" s="110" t="str">
        <f>VLOOKUP(AD58,  '1.2'!$B$7:$C$2033, 2, FALSE)</f>
        <v>FUND</v>
      </c>
      <c r="AF58" s="112">
        <v>883280</v>
      </c>
      <c r="AG58" s="110" t="s">
        <v>152</v>
      </c>
      <c r="AH58" s="121">
        <f t="shared" si="1"/>
        <v>0</v>
      </c>
      <c r="AI58" s="121">
        <f t="shared" si="2"/>
        <v>1</v>
      </c>
      <c r="AJ58" s="121">
        <f t="shared" si="3"/>
        <v>1</v>
      </c>
      <c r="AK58" s="121">
        <f t="shared" si="4"/>
        <v>0</v>
      </c>
      <c r="AL58" s="121">
        <f t="shared" si="5"/>
        <v>0</v>
      </c>
      <c r="AM58" s="121">
        <f t="shared" si="6"/>
        <v>0</v>
      </c>
      <c r="AN58" s="121">
        <f t="shared" si="7"/>
        <v>0</v>
      </c>
      <c r="AO58" s="121">
        <f t="shared" si="8"/>
        <v>0</v>
      </c>
      <c r="AP58" s="22">
        <f t="shared" si="9"/>
        <v>0</v>
      </c>
      <c r="AQ58" s="22">
        <f t="shared" si="10"/>
        <v>0</v>
      </c>
      <c r="AR58" s="22">
        <f t="shared" si="11"/>
        <v>0</v>
      </c>
      <c r="AS58" s="121" t="str">
        <f t="shared" si="12"/>
        <v>Crops</v>
      </c>
      <c r="AT58" s="121" t="str">
        <f t="shared" si="33"/>
        <v xml:space="preserve"> </v>
      </c>
      <c r="AU58" s="121" t="str">
        <f t="shared" si="33"/>
        <v xml:space="preserve"> </v>
      </c>
      <c r="AV58" s="121" t="str">
        <f t="shared" si="33"/>
        <v xml:space="preserve"> </v>
      </c>
      <c r="AW58" s="130" t="str">
        <f t="shared" si="34"/>
        <v>100</v>
      </c>
      <c r="AX58" s="130" t="str">
        <f t="shared" si="34"/>
        <v xml:space="preserve"> </v>
      </c>
      <c r="AY58" s="130" t="str">
        <f t="shared" si="34"/>
        <v xml:space="preserve"> </v>
      </c>
      <c r="AZ58" s="130" t="str">
        <f t="shared" si="34"/>
        <v xml:space="preserve"> </v>
      </c>
      <c r="BA58" s="121">
        <f t="shared" si="15"/>
        <v>11740488.268104892</v>
      </c>
      <c r="BB58" s="121">
        <f t="shared" si="16"/>
        <v>0</v>
      </c>
      <c r="BC58" s="121">
        <f t="shared" si="17"/>
        <v>0</v>
      </c>
      <c r="BD58" s="121">
        <f t="shared" si="18"/>
        <v>0</v>
      </c>
      <c r="BE58" s="121">
        <f t="shared" si="19"/>
        <v>0</v>
      </c>
      <c r="BF58" s="121">
        <f t="shared" si="20"/>
        <v>0</v>
      </c>
      <c r="BG58" s="121">
        <f t="shared" si="21"/>
        <v>0</v>
      </c>
      <c r="BH58" s="121">
        <f t="shared" si="22"/>
        <v>0</v>
      </c>
      <c r="BI58" s="121">
        <f t="shared" si="23"/>
        <v>0</v>
      </c>
      <c r="BJ58" s="121">
        <f t="shared" si="24"/>
        <v>0</v>
      </c>
      <c r="BK58" s="121">
        <f t="shared" si="25"/>
        <v>0</v>
      </c>
      <c r="BL58" s="121">
        <f t="shared" si="26"/>
        <v>0</v>
      </c>
      <c r="BM58" s="121">
        <f t="shared" si="27"/>
        <v>0</v>
      </c>
      <c r="BN58" s="121">
        <f t="shared" si="28"/>
        <v>0</v>
      </c>
      <c r="BO58" s="121">
        <f t="shared" si="29"/>
        <v>0</v>
      </c>
      <c r="BP58" s="121">
        <f t="shared" si="30"/>
        <v>0</v>
      </c>
      <c r="BQ58" s="199">
        <f>INDEX('GDP deflators'!$C$6:$M$36,MATCH('Bottom-up tagging'!$D58,'GDP deflators'!$B$6:$B$36,),MATCH('Bottom-up tagging'!$E58,'GDP deflators'!$C$5:$L$5,))/100</f>
        <v>1.2685503072696345</v>
      </c>
      <c r="BR58" s="24">
        <v>14893400</v>
      </c>
    </row>
    <row r="59" spans="1:70" ht="26.15" hidden="1" customHeight="1">
      <c r="B59" s="110" t="s">
        <v>1748</v>
      </c>
      <c r="C59" s="110" t="s">
        <v>1752</v>
      </c>
      <c r="D59" s="110" t="s">
        <v>2057</v>
      </c>
      <c r="E59" s="103">
        <v>2017</v>
      </c>
      <c r="F59" s="108" t="s">
        <v>7602</v>
      </c>
      <c r="G59" s="111" t="s">
        <v>25</v>
      </c>
      <c r="H59" s="110" t="s">
        <v>10451</v>
      </c>
      <c r="I59" s="112">
        <f>IF(Dashboard!$B$16="Current USD",'Bottom-up tagging'!BR59,'Bottom-up tagging'!BR59/'Bottom-up tagging'!BQ59)</f>
        <v>11920691.67909272</v>
      </c>
      <c r="J59" s="118" t="s">
        <v>10474</v>
      </c>
      <c r="K59" s="112"/>
      <c r="L59" s="135">
        <v>1</v>
      </c>
      <c r="M59" s="135">
        <v>1</v>
      </c>
      <c r="N59" s="112"/>
      <c r="O59" s="112"/>
      <c r="P59" s="112" t="str">
        <f>VLOOKUP(B59, 'Companies covered restructured'!$B$7:$K$470, 9, FALSE)</f>
        <v>Farmer financing services</v>
      </c>
      <c r="Q59" s="112" t="str">
        <f>VLOOKUP(B59, 'Companies covered restructured'!$B$7:$K$470, 6, FALSE)</f>
        <v>#Crops(100)</v>
      </c>
      <c r="R59" s="112" t="str">
        <f t="shared" si="0"/>
        <v>#Investment Fund(100)</v>
      </c>
      <c r="S59" s="112" t="s">
        <v>11003</v>
      </c>
      <c r="T59" s="112" t="s">
        <v>10466</v>
      </c>
      <c r="U59" s="116" t="s">
        <v>10970</v>
      </c>
      <c r="V59" s="112" t="str">
        <f>VLOOKUP(P59, 'Bottom-up Tagging Assumptions'!$B$12:$F$39, 5, FALSE)</f>
        <v>#Process Innovation(100)</v>
      </c>
      <c r="W59" s="112" t="str">
        <f>VLOOKUP(B59, 'Companies covered restructured'!$B$7:$K$470, 7, FALSE)</f>
        <v>#Field/Animal Herd(100)</v>
      </c>
      <c r="X59" s="112" t="s">
        <v>10558</v>
      </c>
      <c r="Y59" s="212" t="str">
        <f>VLOOKUP(P59, 'Bottom-up Tagging Assumptions'!$B$12:$C$56, 2, FALSE)</f>
        <v>#Other Economic(P); Social(S)</v>
      </c>
      <c r="Z59" s="112" t="str">
        <f>VLOOKUP(P59, 'Bottom-up Tagging Assumptions'!$B$12:$F$56, 3, FALSE)</f>
        <v>NA</v>
      </c>
      <c r="AA59" s="112" t="str">
        <f>VLOOKUP(P59, 'Bottom-up Tagging Assumptions'!$B$12:$F$56, 4, FALSE)</f>
        <v>#Level 1(100)</v>
      </c>
      <c r="AB59" s="110" t="s">
        <v>2213</v>
      </c>
      <c r="AC59" s="110"/>
      <c r="AD59" s="110" t="s">
        <v>2214</v>
      </c>
      <c r="AE59" s="110" t="s">
        <v>3114</v>
      </c>
      <c r="AF59" s="112">
        <v>1070000</v>
      </c>
      <c r="AG59" s="110" t="s">
        <v>834</v>
      </c>
      <c r="AH59" s="121">
        <f t="shared" si="1"/>
        <v>0</v>
      </c>
      <c r="AI59" s="121">
        <f t="shared" si="2"/>
        <v>0</v>
      </c>
      <c r="AJ59" s="121">
        <f t="shared" si="3"/>
        <v>1</v>
      </c>
      <c r="AK59" s="121">
        <f t="shared" si="4"/>
        <v>1</v>
      </c>
      <c r="AL59" s="121">
        <f t="shared" si="5"/>
        <v>0</v>
      </c>
      <c r="AM59" s="121">
        <f t="shared" si="6"/>
        <v>0</v>
      </c>
      <c r="AN59" s="121">
        <f t="shared" si="7"/>
        <v>1</v>
      </c>
      <c r="AO59" s="121">
        <f t="shared" si="8"/>
        <v>0</v>
      </c>
      <c r="AP59" s="22">
        <f t="shared" si="9"/>
        <v>0</v>
      </c>
      <c r="AQ59" s="22">
        <f t="shared" si="10"/>
        <v>11920691.67909272</v>
      </c>
      <c r="AR59" s="22">
        <f t="shared" si="11"/>
        <v>0</v>
      </c>
      <c r="AS59" s="121" t="str">
        <f t="shared" si="12"/>
        <v>Crops</v>
      </c>
      <c r="AT59" s="121" t="str">
        <f t="shared" si="33"/>
        <v xml:space="preserve"> </v>
      </c>
      <c r="AU59" s="121" t="str">
        <f t="shared" si="33"/>
        <v xml:space="preserve"> </v>
      </c>
      <c r="AV59" s="121" t="str">
        <f t="shared" si="33"/>
        <v xml:space="preserve"> </v>
      </c>
      <c r="AW59" s="130" t="str">
        <f t="shared" si="34"/>
        <v>100</v>
      </c>
      <c r="AX59" s="130" t="str">
        <f t="shared" si="34"/>
        <v xml:space="preserve"> </v>
      </c>
      <c r="AY59" s="130" t="str">
        <f t="shared" si="34"/>
        <v xml:space="preserve"> </v>
      </c>
      <c r="AZ59" s="130" t="str">
        <f t="shared" si="34"/>
        <v xml:space="preserve"> </v>
      </c>
      <c r="BA59" s="121">
        <f t="shared" si="15"/>
        <v>11920691.67909272</v>
      </c>
      <c r="BB59" s="121">
        <f t="shared" si="16"/>
        <v>0</v>
      </c>
      <c r="BC59" s="121">
        <f t="shared" si="17"/>
        <v>0</v>
      </c>
      <c r="BD59" s="121">
        <f t="shared" si="18"/>
        <v>0</v>
      </c>
      <c r="BE59" s="121">
        <f t="shared" si="19"/>
        <v>0</v>
      </c>
      <c r="BF59" s="121">
        <f t="shared" si="20"/>
        <v>0</v>
      </c>
      <c r="BG59" s="121">
        <f t="shared" si="21"/>
        <v>0</v>
      </c>
      <c r="BH59" s="121">
        <f t="shared" si="22"/>
        <v>0</v>
      </c>
      <c r="BI59" s="121">
        <f t="shared" si="23"/>
        <v>11920691.67909272</v>
      </c>
      <c r="BJ59" s="121">
        <f t="shared" si="24"/>
        <v>11920691.67909272</v>
      </c>
      <c r="BK59" s="121">
        <f t="shared" si="25"/>
        <v>11920691.67909272</v>
      </c>
      <c r="BL59" s="121">
        <f t="shared" si="26"/>
        <v>11920691.67909272</v>
      </c>
      <c r="BM59" s="121">
        <f t="shared" si="27"/>
        <v>0</v>
      </c>
      <c r="BN59" s="121">
        <f t="shared" si="28"/>
        <v>0</v>
      </c>
      <c r="BO59" s="121">
        <f t="shared" si="29"/>
        <v>0</v>
      </c>
      <c r="BP59" s="121">
        <f t="shared" si="30"/>
        <v>0</v>
      </c>
      <c r="BQ59" s="199">
        <f>INDEX('GDP deflators'!$C$6:$M$36,MATCH('Bottom-up tagging'!$D59,'GDP deflators'!$B$6:$B$36,),MATCH('Bottom-up tagging'!$E59,'GDP deflators'!$C$5:$L$5,))/100</f>
        <v>1.2065910592441995</v>
      </c>
      <c r="BR59" s="24">
        <v>14383400</v>
      </c>
    </row>
    <row r="60" spans="1:70" ht="26.15" hidden="1" customHeight="1">
      <c r="B60" s="110" t="s">
        <v>411</v>
      </c>
      <c r="C60" s="110" t="s">
        <v>416</v>
      </c>
      <c r="D60" s="110" t="s">
        <v>2057</v>
      </c>
      <c r="E60" s="103">
        <v>2020</v>
      </c>
      <c r="F60" s="108" t="s">
        <v>5680</v>
      </c>
      <c r="G60" s="111" t="s">
        <v>109</v>
      </c>
      <c r="H60" s="110" t="s">
        <v>10451</v>
      </c>
      <c r="I60" s="212">
        <v>0</v>
      </c>
      <c r="J60" s="118" t="s">
        <v>10474</v>
      </c>
      <c r="K60" s="112"/>
      <c r="L60" s="135">
        <v>1</v>
      </c>
      <c r="M60" s="135">
        <v>1</v>
      </c>
      <c r="N60" s="112"/>
      <c r="O60" s="112"/>
      <c r="P60" s="112" t="str">
        <f>VLOOKUP(B60, 'Companies covered restructured'!$B$7:$K$470, 9, FALSE)</f>
        <v>Equipment automation</v>
      </c>
      <c r="Q60" s="112" t="str">
        <f>VLOOKUP(B60, 'Companies covered restructured'!$B$7:$K$470, 6, FALSE)</f>
        <v>#Crops(100)</v>
      </c>
      <c r="R60" s="112" t="str">
        <f t="shared" si="0"/>
        <v>#Investment Fund(100)</v>
      </c>
      <c r="S60" s="112" t="s">
        <v>11003</v>
      </c>
      <c r="T60" s="112" t="s">
        <v>10466</v>
      </c>
      <c r="U60" s="103" t="s">
        <v>10970</v>
      </c>
      <c r="V60" s="112" t="str">
        <f>VLOOKUP(P60, 'Bottom-up Tagging Assumptions'!$B$12:$F$39, 5, FALSE)</f>
        <v>#Science &amp; tech(100)</v>
      </c>
      <c r="W60" s="112" t="str">
        <f>VLOOKUP(B60, 'Companies covered restructured'!$B$7:$K$470, 7, FALSE)</f>
        <v>#Field/Animal Herd(100)</v>
      </c>
      <c r="X60" s="112" t="s">
        <v>10558</v>
      </c>
      <c r="Y60" s="112" t="str">
        <f>VLOOKUP(P60, '[2]Bottom-up Tagging Assumptions'!$B$12:$F$56, 2, FALSE)</f>
        <v>#Productivity(P); #Other Economic(S)</v>
      </c>
      <c r="Z60" s="112" t="str">
        <f>VLOOKUP(P60, 'Bottom-up Tagging Assumptions'!$B$12:$F$56, 3, FALSE)</f>
        <v>#Reducing human effort(P); #Increasing output per unit input(S)</v>
      </c>
      <c r="AA60" s="112" t="str">
        <f>VLOOKUP(P60, 'Bottom-up Tagging Assumptions'!$B$12:$F$56, 4, FALSE)</f>
        <v>#Level 1(100)</v>
      </c>
      <c r="AB60" s="110" t="s">
        <v>413</v>
      </c>
      <c r="AC60" s="110"/>
      <c r="AD60" s="110" t="s">
        <v>414</v>
      </c>
      <c r="AE60" s="110" t="str">
        <f>VLOOKUP(AD60,  '1.2'!$B$7:$C$2033, 2, FALSE)</f>
        <v>FUND</v>
      </c>
      <c r="AF60" s="115"/>
      <c r="AG60" s="114" t="s">
        <v>672</v>
      </c>
      <c r="AH60" s="121">
        <f t="shared" si="1"/>
        <v>0</v>
      </c>
      <c r="AI60" s="121">
        <f t="shared" si="2"/>
        <v>1</v>
      </c>
      <c r="AJ60" s="121">
        <f t="shared" si="3"/>
        <v>1</v>
      </c>
      <c r="AK60" s="121">
        <f t="shared" si="4"/>
        <v>0</v>
      </c>
      <c r="AL60" s="121">
        <f t="shared" si="5"/>
        <v>0</v>
      </c>
      <c r="AM60" s="121">
        <f t="shared" si="6"/>
        <v>0</v>
      </c>
      <c r="AN60" s="121">
        <f t="shared" si="7"/>
        <v>0</v>
      </c>
      <c r="AO60" s="121">
        <f t="shared" si="8"/>
        <v>0</v>
      </c>
      <c r="AP60" s="22">
        <f t="shared" si="9"/>
        <v>0</v>
      </c>
      <c r="AQ60" s="22">
        <f t="shared" si="10"/>
        <v>0</v>
      </c>
      <c r="AR60" s="22">
        <f t="shared" si="11"/>
        <v>0</v>
      </c>
      <c r="AS60" s="121" t="str">
        <f t="shared" si="12"/>
        <v>Crops</v>
      </c>
      <c r="AT60" s="121" t="str">
        <f t="shared" si="33"/>
        <v xml:space="preserve"> </v>
      </c>
      <c r="AU60" s="121" t="str">
        <f t="shared" si="33"/>
        <v xml:space="preserve"> </v>
      </c>
      <c r="AV60" s="121" t="str">
        <f t="shared" si="33"/>
        <v xml:space="preserve"> </v>
      </c>
      <c r="AW60" s="130" t="str">
        <f t="shared" si="34"/>
        <v>100</v>
      </c>
      <c r="AX60" s="130" t="str">
        <f t="shared" si="34"/>
        <v xml:space="preserve"> </v>
      </c>
      <c r="AY60" s="130" t="str">
        <f t="shared" si="34"/>
        <v xml:space="preserve"> </v>
      </c>
      <c r="AZ60" s="130" t="str">
        <f t="shared" si="34"/>
        <v xml:space="preserve"> </v>
      </c>
      <c r="BA60" s="121">
        <f t="shared" si="15"/>
        <v>0</v>
      </c>
      <c r="BB60" s="121">
        <f t="shared" si="16"/>
        <v>0</v>
      </c>
      <c r="BC60" s="121">
        <f t="shared" si="17"/>
        <v>0</v>
      </c>
      <c r="BD60" s="121">
        <f t="shared" si="18"/>
        <v>0</v>
      </c>
      <c r="BE60" s="121">
        <f t="shared" si="19"/>
        <v>0</v>
      </c>
      <c r="BF60" s="121">
        <f t="shared" si="20"/>
        <v>0</v>
      </c>
      <c r="BG60" s="121">
        <f t="shared" si="21"/>
        <v>0</v>
      </c>
      <c r="BH60" s="121">
        <f t="shared" si="22"/>
        <v>0</v>
      </c>
      <c r="BI60" s="121">
        <f t="shared" si="23"/>
        <v>0</v>
      </c>
      <c r="BJ60" s="121">
        <f t="shared" si="24"/>
        <v>0</v>
      </c>
      <c r="BK60" s="121">
        <f t="shared" si="25"/>
        <v>0</v>
      </c>
      <c r="BL60" s="121">
        <f t="shared" si="26"/>
        <v>0</v>
      </c>
      <c r="BM60" s="121">
        <f t="shared" si="27"/>
        <v>0</v>
      </c>
      <c r="BN60" s="121">
        <f t="shared" si="28"/>
        <v>0</v>
      </c>
      <c r="BO60" s="121">
        <f t="shared" si="29"/>
        <v>0</v>
      </c>
      <c r="BP60" s="121">
        <f t="shared" si="30"/>
        <v>0</v>
      </c>
      <c r="BQ60" s="199" t="e">
        <f>INDEX('GDP deflators'!$C$6:$M$36,MATCH('Bottom-up tagging'!$D60,'GDP deflators'!$B$6:$B$36,),MATCH('Bottom-up tagging'!$E60,'GDP deflators'!$C$5:$L$5,))/100</f>
        <v>#N/A</v>
      </c>
      <c r="BR60" s="24">
        <v>14100500</v>
      </c>
    </row>
    <row r="61" spans="1:70" ht="26.15" hidden="1" customHeight="1">
      <c r="B61" s="110" t="s">
        <v>266</v>
      </c>
      <c r="C61" s="110" t="s">
        <v>271</v>
      </c>
      <c r="D61" s="110" t="s">
        <v>7133</v>
      </c>
      <c r="E61" s="103">
        <v>2020</v>
      </c>
      <c r="F61" s="108" t="s">
        <v>8651</v>
      </c>
      <c r="G61" s="111" t="s">
        <v>25</v>
      </c>
      <c r="H61" s="110" t="s">
        <v>10451</v>
      </c>
      <c r="I61" s="212">
        <v>0</v>
      </c>
      <c r="J61" s="105" t="s">
        <v>10474</v>
      </c>
      <c r="K61" s="112"/>
      <c r="L61" s="135">
        <v>1</v>
      </c>
      <c r="M61" s="135">
        <v>1</v>
      </c>
      <c r="N61" s="112"/>
      <c r="O61" s="112"/>
      <c r="P61" s="112" t="str">
        <f>VLOOKUP(B61, 'Companies covered restructured'!$B$7:$K$470, 9, FALSE)</f>
        <v>Irrigation systems</v>
      </c>
      <c r="Q61" s="112" t="str">
        <f>VLOOKUP(B61, 'Companies covered restructured'!$B$7:$K$470, 6, FALSE)</f>
        <v>#Crops(100)</v>
      </c>
      <c r="R61" s="112" t="str">
        <f t="shared" si="0"/>
        <v>#Investment Fund(100)</v>
      </c>
      <c r="S61" s="112" t="s">
        <v>11003</v>
      </c>
      <c r="T61" s="112" t="s">
        <v>10466</v>
      </c>
      <c r="U61" s="103" t="s">
        <v>10970</v>
      </c>
      <c r="V61" s="212" t="s">
        <v>10977</v>
      </c>
      <c r="W61" s="112" t="str">
        <f>VLOOKUP(B61, 'Companies covered restructured'!$B$7:$K$470, 7, FALSE)</f>
        <v>#Field/Animal Herd(100)</v>
      </c>
      <c r="X61" s="112" t="s">
        <v>10558</v>
      </c>
      <c r="Y61" s="112" t="str">
        <f>VLOOKUP(P61, '[2]Bottom-up Tagging Assumptions'!$B$12:$F$56, 2, FALSE)</f>
        <v>#Other Economic(P); Environmental(S)</v>
      </c>
      <c r="Z61" s="112" t="str">
        <f>VLOOKUP(P61, 'Bottom-up Tagging Assumptions'!$B$12:$F$56, 3, FALSE)</f>
        <v>#Waste reduction(P)</v>
      </c>
      <c r="AA61" s="112" t="str">
        <f>VLOOKUP(P61, 'Bottom-up Tagging Assumptions'!$B$12:$F$56, 4, FALSE)</f>
        <v>#Level 1(100)</v>
      </c>
      <c r="AB61" s="110" t="s">
        <v>268</v>
      </c>
      <c r="AC61" s="110"/>
      <c r="AD61" s="110" t="s">
        <v>269</v>
      </c>
      <c r="AE61" s="110" t="s">
        <v>3114</v>
      </c>
      <c r="AF61" s="112">
        <v>1303000000</v>
      </c>
      <c r="AG61" s="110" t="s">
        <v>1416</v>
      </c>
      <c r="AH61" s="121">
        <f t="shared" si="1"/>
        <v>1</v>
      </c>
      <c r="AI61" s="121">
        <f t="shared" si="2"/>
        <v>0</v>
      </c>
      <c r="AJ61" s="121">
        <f t="shared" si="3"/>
        <v>1</v>
      </c>
      <c r="AK61" s="121">
        <f t="shared" si="4"/>
        <v>0</v>
      </c>
      <c r="AL61" s="121">
        <f t="shared" si="5"/>
        <v>0</v>
      </c>
      <c r="AM61" s="121">
        <f t="shared" si="6"/>
        <v>0</v>
      </c>
      <c r="AN61" s="121">
        <f t="shared" si="7"/>
        <v>1</v>
      </c>
      <c r="AO61" s="121">
        <f t="shared" si="8"/>
        <v>0</v>
      </c>
      <c r="AP61" s="22">
        <f t="shared" si="9"/>
        <v>0</v>
      </c>
      <c r="AQ61" s="22">
        <f t="shared" si="10"/>
        <v>0</v>
      </c>
      <c r="AR61" s="22">
        <f t="shared" si="11"/>
        <v>0</v>
      </c>
      <c r="AS61" s="121" t="str">
        <f t="shared" si="12"/>
        <v>Crops</v>
      </c>
      <c r="AT61" s="121" t="str">
        <f t="shared" si="33"/>
        <v xml:space="preserve"> </v>
      </c>
      <c r="AU61" s="121" t="str">
        <f t="shared" si="33"/>
        <v xml:space="preserve"> </v>
      </c>
      <c r="AV61" s="121" t="str">
        <f t="shared" si="33"/>
        <v xml:space="preserve"> </v>
      </c>
      <c r="AW61" s="130" t="str">
        <f t="shared" si="34"/>
        <v>100</v>
      </c>
      <c r="AX61" s="130" t="str">
        <f t="shared" si="34"/>
        <v xml:space="preserve"> </v>
      </c>
      <c r="AY61" s="130" t="str">
        <f t="shared" si="34"/>
        <v xml:space="preserve"> </v>
      </c>
      <c r="AZ61" s="130" t="str">
        <f t="shared" si="34"/>
        <v xml:space="preserve"> </v>
      </c>
      <c r="BA61" s="121">
        <f t="shared" si="15"/>
        <v>0</v>
      </c>
      <c r="BB61" s="121">
        <f t="shared" si="16"/>
        <v>0</v>
      </c>
      <c r="BC61" s="121">
        <f t="shared" si="17"/>
        <v>0</v>
      </c>
      <c r="BD61" s="121">
        <f t="shared" si="18"/>
        <v>0</v>
      </c>
      <c r="BE61" s="121">
        <f t="shared" si="19"/>
        <v>0</v>
      </c>
      <c r="BF61" s="121">
        <f t="shared" si="20"/>
        <v>0</v>
      </c>
      <c r="BG61" s="121">
        <f t="shared" si="21"/>
        <v>0</v>
      </c>
      <c r="BH61" s="121">
        <f t="shared" si="22"/>
        <v>0</v>
      </c>
      <c r="BI61" s="121">
        <f t="shared" si="23"/>
        <v>0</v>
      </c>
      <c r="BJ61" s="121">
        <f t="shared" si="24"/>
        <v>0</v>
      </c>
      <c r="BK61" s="121">
        <f t="shared" si="25"/>
        <v>0</v>
      </c>
      <c r="BL61" s="121">
        <f t="shared" si="26"/>
        <v>0</v>
      </c>
      <c r="BM61" s="121">
        <f t="shared" si="27"/>
        <v>0</v>
      </c>
      <c r="BN61" s="121">
        <f t="shared" si="28"/>
        <v>0</v>
      </c>
      <c r="BO61" s="121">
        <f t="shared" si="29"/>
        <v>0</v>
      </c>
      <c r="BP61" s="121">
        <f t="shared" si="30"/>
        <v>0</v>
      </c>
      <c r="BQ61" s="199" t="e">
        <f>INDEX('GDP deflators'!$C$6:$M$36,MATCH('Bottom-up tagging'!$D61,'GDP deflators'!$B$6:$B$36,),MATCH('Bottom-up tagging'!$E61,'GDP deflators'!$C$5:$L$5,))/100</f>
        <v>#N/A</v>
      </c>
      <c r="BR61" s="24">
        <v>14000000</v>
      </c>
    </row>
    <row r="62" spans="1:70" ht="26.15" hidden="1" customHeight="1">
      <c r="B62" s="110" t="s">
        <v>303</v>
      </c>
      <c r="C62" s="110" t="s">
        <v>306</v>
      </c>
      <c r="D62" s="110" t="s">
        <v>3994</v>
      </c>
      <c r="E62" s="103">
        <v>2018</v>
      </c>
      <c r="F62" s="108" t="s">
        <v>8813</v>
      </c>
      <c r="G62" s="111" t="s">
        <v>25</v>
      </c>
      <c r="H62" s="110" t="s">
        <v>10451</v>
      </c>
      <c r="I62" s="112">
        <f>IF(Dashboard!$B$16="Current USD",'Bottom-up tagging'!BR62,'Bottom-up tagging'!BR62/'Bottom-up tagging'!BQ62)</f>
        <v>9488993.7190730143</v>
      </c>
      <c r="J62" s="105" t="s">
        <v>10474</v>
      </c>
      <c r="K62" s="112"/>
      <c r="L62" s="135">
        <v>1</v>
      </c>
      <c r="M62" s="135">
        <v>1</v>
      </c>
      <c r="N62" s="112"/>
      <c r="O62" s="112"/>
      <c r="P62" s="112" t="str">
        <f>VLOOKUP(B62, 'Companies covered restructured'!$B$7:$K$470, 9, FALSE)</f>
        <v>Animal and fish monitoring systems</v>
      </c>
      <c r="Q62" s="112" t="str">
        <f>VLOOKUP(B62, 'Companies covered restructured'!$B$7:$K$470, 6, FALSE)</f>
        <v>#Livestock(100)</v>
      </c>
      <c r="R62" s="112" t="str">
        <f t="shared" si="0"/>
        <v>#Investment Fund(100)</v>
      </c>
      <c r="S62" s="112" t="s">
        <v>11003</v>
      </c>
      <c r="T62" s="112" t="s">
        <v>10466</v>
      </c>
      <c r="U62" s="103" t="s">
        <v>10970</v>
      </c>
      <c r="V62" s="112" t="str">
        <f>VLOOKUP(P62, 'Bottom-up Tagging Assumptions'!$B$12:$F$39, 5, FALSE)</f>
        <v>#Product Development(100)</v>
      </c>
      <c r="W62" s="112" t="str">
        <f>VLOOKUP(B62, 'Companies covered restructured'!$B$7:$K$470, 7, FALSE)</f>
        <v>#Field/Animal Herd(100)</v>
      </c>
      <c r="X62" s="112" t="s">
        <v>10558</v>
      </c>
      <c r="Y62" s="212" t="str">
        <f>VLOOKUP(P62, 'Bottom-up Tagging Assumptions'!$B$12:$C$56, 2, FALSE)</f>
        <v>#Productivity(P); Other economic(S)</v>
      </c>
      <c r="Z62" s="112" t="str">
        <f>VLOOKUP(P62, 'Bottom-up Tagging Assumptions'!$B$12:$F$56, 3, FALSE)</f>
        <v>#Increasing crop or animal yield(P)</v>
      </c>
      <c r="AA62" s="112" t="str">
        <f>VLOOKUP(P62, 'Bottom-up Tagging Assumptions'!$B$12:$F$56, 4, FALSE)</f>
        <v>#Level 2(100)</v>
      </c>
      <c r="AB62" s="110" t="s">
        <v>1628</v>
      </c>
      <c r="AC62" s="110" t="s">
        <v>1629</v>
      </c>
      <c r="AD62" s="110" t="s">
        <v>1630</v>
      </c>
      <c r="AE62" s="110" t="s">
        <v>3114</v>
      </c>
      <c r="AF62" s="112">
        <v>2800000</v>
      </c>
      <c r="AG62" s="110" t="s">
        <v>1423</v>
      </c>
      <c r="AH62" s="121">
        <f t="shared" si="1"/>
        <v>0</v>
      </c>
      <c r="AI62" s="121">
        <f t="shared" si="2"/>
        <v>1</v>
      </c>
      <c r="AJ62" s="121">
        <f t="shared" si="3"/>
        <v>1</v>
      </c>
      <c r="AK62" s="121">
        <f t="shared" si="4"/>
        <v>0</v>
      </c>
      <c r="AL62" s="121">
        <f t="shared" si="5"/>
        <v>0</v>
      </c>
      <c r="AM62" s="121">
        <f t="shared" si="6"/>
        <v>0</v>
      </c>
      <c r="AN62" s="121">
        <f t="shared" si="7"/>
        <v>0</v>
      </c>
      <c r="AO62" s="121">
        <f t="shared" si="8"/>
        <v>0</v>
      </c>
      <c r="AP62" s="22">
        <f t="shared" si="9"/>
        <v>0</v>
      </c>
      <c r="AQ62" s="22">
        <f t="shared" si="10"/>
        <v>0</v>
      </c>
      <c r="AR62" s="22">
        <f t="shared" si="11"/>
        <v>0</v>
      </c>
      <c r="AS62" s="121" t="str">
        <f t="shared" si="12"/>
        <v>Livestock</v>
      </c>
      <c r="AT62" s="121" t="str">
        <f t="shared" si="33"/>
        <v xml:space="preserve"> </v>
      </c>
      <c r="AU62" s="121" t="str">
        <f t="shared" si="33"/>
        <v xml:space="preserve"> </v>
      </c>
      <c r="AV62" s="121" t="str">
        <f t="shared" si="33"/>
        <v xml:space="preserve"> </v>
      </c>
      <c r="AW62" s="130" t="str">
        <f t="shared" si="34"/>
        <v>100</v>
      </c>
      <c r="AX62" s="130" t="str">
        <f t="shared" si="34"/>
        <v xml:space="preserve"> </v>
      </c>
      <c r="AY62" s="130" t="str">
        <f t="shared" si="34"/>
        <v xml:space="preserve"> </v>
      </c>
      <c r="AZ62" s="130" t="str">
        <f t="shared" si="34"/>
        <v xml:space="preserve"> </v>
      </c>
      <c r="BA62" s="121">
        <f t="shared" si="15"/>
        <v>9488993.7190730143</v>
      </c>
      <c r="BB62" s="121">
        <f t="shared" si="16"/>
        <v>0</v>
      </c>
      <c r="BC62" s="121">
        <f t="shared" si="17"/>
        <v>0</v>
      </c>
      <c r="BD62" s="121">
        <f t="shared" si="18"/>
        <v>0</v>
      </c>
      <c r="BE62" s="121">
        <f t="shared" si="19"/>
        <v>0</v>
      </c>
      <c r="BF62" s="121">
        <f t="shared" si="20"/>
        <v>0</v>
      </c>
      <c r="BG62" s="121">
        <f t="shared" si="21"/>
        <v>0</v>
      </c>
      <c r="BH62" s="121">
        <f t="shared" si="22"/>
        <v>0</v>
      </c>
      <c r="BI62" s="121">
        <f t="shared" si="23"/>
        <v>0</v>
      </c>
      <c r="BJ62" s="121">
        <f t="shared" si="24"/>
        <v>0</v>
      </c>
      <c r="BK62" s="121">
        <f t="shared" si="25"/>
        <v>0</v>
      </c>
      <c r="BL62" s="121">
        <f t="shared" si="26"/>
        <v>0</v>
      </c>
      <c r="BM62" s="121">
        <f t="shared" si="27"/>
        <v>0</v>
      </c>
      <c r="BN62" s="121">
        <f t="shared" si="28"/>
        <v>0</v>
      </c>
      <c r="BO62" s="121">
        <f t="shared" si="29"/>
        <v>0</v>
      </c>
      <c r="BP62" s="121">
        <f t="shared" si="30"/>
        <v>0</v>
      </c>
      <c r="BQ62" s="199">
        <f>INDEX('GDP deflators'!$C$6:$M$36,MATCH('Bottom-up tagging'!$D62,'GDP deflators'!$B$6:$B$36,),MATCH('Bottom-up tagging'!$E62,'GDP deflators'!$C$5:$L$5,))/100</f>
        <v>1.4753935363936217</v>
      </c>
      <c r="BR62" s="24">
        <v>14000000</v>
      </c>
    </row>
    <row r="63" spans="1:70" ht="26.15" hidden="1" customHeight="1">
      <c r="B63" s="110" t="s">
        <v>74</v>
      </c>
      <c r="C63" s="110" t="s">
        <v>80</v>
      </c>
      <c r="D63" s="110" t="s">
        <v>3994</v>
      </c>
      <c r="E63" s="103">
        <v>2019</v>
      </c>
      <c r="F63" s="108" t="s">
        <v>8707</v>
      </c>
      <c r="G63" s="111" t="s">
        <v>25</v>
      </c>
      <c r="H63" s="110" t="s">
        <v>10451</v>
      </c>
      <c r="I63" s="112">
        <f>IF(Dashboard!$B$16="Current USD",'Bottom-up tagging'!BR63,'Bottom-up tagging'!BR63/'Bottom-up tagging'!BQ63)</f>
        <v>8581914.2573018614</v>
      </c>
      <c r="J63" s="117" t="s">
        <v>10474</v>
      </c>
      <c r="K63" s="112"/>
      <c r="L63" s="135">
        <v>1</v>
      </c>
      <c r="M63" s="135">
        <v>1</v>
      </c>
      <c r="N63" s="112"/>
      <c r="O63" s="112"/>
      <c r="P63" s="112" t="str">
        <f>VLOOKUP(B63, 'Companies covered restructured'!$B$7:$K$470, 9, FALSE)</f>
        <v>Agri marketplaces</v>
      </c>
      <c r="Q63" s="112" t="str">
        <f>VLOOKUP(B63, 'Companies covered restructured'!$B$7:$K$470, 6, FALSE)</f>
        <v>#Crops(100)</v>
      </c>
      <c r="R63" s="112" t="str">
        <f t="shared" si="0"/>
        <v>#Investment Fund(100)</v>
      </c>
      <c r="S63" s="112" t="s">
        <v>11003</v>
      </c>
      <c r="T63" s="112" t="s">
        <v>10466</v>
      </c>
      <c r="U63" s="103" t="s">
        <v>10970</v>
      </c>
      <c r="V63" s="112" t="str">
        <f>VLOOKUP(P63, 'Bottom-up Tagging Assumptions'!$B$12:$F$39, 5, FALSE)</f>
        <v>#Process Innovation(100)</v>
      </c>
      <c r="W63" s="112" t="str">
        <f>VLOOKUP(B63, 'Companies covered restructured'!$B$7:$K$470, 7, FALSE)</f>
        <v>#Farm/Household(100)</v>
      </c>
      <c r="X63" s="112" t="s">
        <v>10558</v>
      </c>
      <c r="Y63" s="212" t="str">
        <f>VLOOKUP(P63, 'Bottom-up Tagging Assumptions'!$B$12:$C$56, 2, FALSE)</f>
        <v>#Other Economic(P); Social(S)</v>
      </c>
      <c r="Z63" s="112" t="str">
        <f>VLOOKUP(P63, 'Bottom-up Tagging Assumptions'!$B$12:$F$56, 3, FALSE)</f>
        <v>#Improve price realization(P)</v>
      </c>
      <c r="AA63" s="112" t="str">
        <f>VLOOKUP(P63, 'Bottom-up Tagging Assumptions'!$B$12:$F$56, 4, FALSE)</f>
        <v>#Level 4(100)</v>
      </c>
      <c r="AB63" s="110" t="s">
        <v>974</v>
      </c>
      <c r="AC63" s="110" t="s">
        <v>975</v>
      </c>
      <c r="AD63" s="110" t="s">
        <v>78</v>
      </c>
      <c r="AE63" s="110" t="str">
        <f>VLOOKUP(AD63,  '1.2'!$B$7:$C$2033, 2, FALSE)</f>
        <v>FUND</v>
      </c>
      <c r="AF63" s="112">
        <v>94500000</v>
      </c>
      <c r="AG63" s="110" t="s">
        <v>633</v>
      </c>
      <c r="AH63" s="121">
        <f t="shared" si="1"/>
        <v>0</v>
      </c>
      <c r="AI63" s="121">
        <f t="shared" si="2"/>
        <v>0</v>
      </c>
      <c r="AJ63" s="121">
        <f t="shared" si="3"/>
        <v>1</v>
      </c>
      <c r="AK63" s="121">
        <f t="shared" si="4"/>
        <v>1</v>
      </c>
      <c r="AL63" s="121">
        <f t="shared" si="5"/>
        <v>0</v>
      </c>
      <c r="AM63" s="121">
        <f t="shared" si="6"/>
        <v>0</v>
      </c>
      <c r="AN63" s="121">
        <f t="shared" si="7"/>
        <v>1</v>
      </c>
      <c r="AO63" s="121">
        <f t="shared" si="8"/>
        <v>0</v>
      </c>
      <c r="AP63" s="22">
        <f t="shared" si="9"/>
        <v>0</v>
      </c>
      <c r="AQ63" s="22">
        <f t="shared" si="10"/>
        <v>8581914.2573018614</v>
      </c>
      <c r="AR63" s="22">
        <f t="shared" si="11"/>
        <v>0</v>
      </c>
      <c r="AS63" s="121" t="str">
        <f t="shared" si="12"/>
        <v>Crops</v>
      </c>
      <c r="AT63" s="121" t="str">
        <f t="shared" si="33"/>
        <v xml:space="preserve"> </v>
      </c>
      <c r="AU63" s="121" t="str">
        <f t="shared" si="33"/>
        <v xml:space="preserve"> </v>
      </c>
      <c r="AV63" s="121" t="str">
        <f t="shared" si="33"/>
        <v xml:space="preserve"> </v>
      </c>
      <c r="AW63" s="130" t="str">
        <f t="shared" si="34"/>
        <v>100</v>
      </c>
      <c r="AX63" s="130" t="str">
        <f t="shared" si="34"/>
        <v xml:space="preserve"> </v>
      </c>
      <c r="AY63" s="130" t="str">
        <f t="shared" si="34"/>
        <v xml:space="preserve"> </v>
      </c>
      <c r="AZ63" s="130" t="str">
        <f t="shared" si="34"/>
        <v xml:space="preserve"> </v>
      </c>
      <c r="BA63" s="121">
        <f t="shared" si="15"/>
        <v>8581914.2573018614</v>
      </c>
      <c r="BB63" s="121">
        <f t="shared" si="16"/>
        <v>0</v>
      </c>
      <c r="BC63" s="121">
        <f t="shared" si="17"/>
        <v>0</v>
      </c>
      <c r="BD63" s="121">
        <f t="shared" si="18"/>
        <v>0</v>
      </c>
      <c r="BE63" s="121">
        <f t="shared" si="19"/>
        <v>0</v>
      </c>
      <c r="BF63" s="121">
        <f t="shared" si="20"/>
        <v>0</v>
      </c>
      <c r="BG63" s="121">
        <f t="shared" si="21"/>
        <v>0</v>
      </c>
      <c r="BH63" s="121">
        <f t="shared" si="22"/>
        <v>0</v>
      </c>
      <c r="BI63" s="121">
        <f t="shared" si="23"/>
        <v>8581914.2573018614</v>
      </c>
      <c r="BJ63" s="121">
        <f t="shared" si="24"/>
        <v>8581914.2573018614</v>
      </c>
      <c r="BK63" s="121">
        <f t="shared" si="25"/>
        <v>8581914.2573018614</v>
      </c>
      <c r="BL63" s="121">
        <f t="shared" si="26"/>
        <v>8581914.2573018614</v>
      </c>
      <c r="BM63" s="121">
        <f t="shared" si="27"/>
        <v>0</v>
      </c>
      <c r="BN63" s="121">
        <f t="shared" si="28"/>
        <v>0</v>
      </c>
      <c r="BO63" s="121">
        <f t="shared" si="29"/>
        <v>0</v>
      </c>
      <c r="BP63" s="121">
        <f t="shared" si="30"/>
        <v>0</v>
      </c>
      <c r="BQ63" s="199">
        <f>INDEX('GDP deflators'!$C$6:$M$36,MATCH('Bottom-up tagging'!$D63,'GDP deflators'!$B$6:$B$36,),MATCH('Bottom-up tagging'!$E63,'GDP deflators'!$C$5:$L$5,))/100</f>
        <v>1.5094883975306472</v>
      </c>
      <c r="BR63" s="24">
        <v>12954300</v>
      </c>
    </row>
    <row r="64" spans="1:70" ht="26.15" hidden="1" customHeight="1">
      <c r="B64" s="110" t="s">
        <v>419</v>
      </c>
      <c r="C64" s="110" t="s">
        <v>423</v>
      </c>
      <c r="D64" s="110" t="s">
        <v>3994</v>
      </c>
      <c r="E64" s="103">
        <v>2020</v>
      </c>
      <c r="F64" s="108" t="s">
        <v>5229</v>
      </c>
      <c r="G64" s="111" t="s">
        <v>109</v>
      </c>
      <c r="H64" s="110" t="s">
        <v>10451</v>
      </c>
      <c r="I64" s="212">
        <v>0</v>
      </c>
      <c r="J64" s="117" t="s">
        <v>10474</v>
      </c>
      <c r="K64" s="112"/>
      <c r="L64" s="135">
        <v>1</v>
      </c>
      <c r="M64" s="135">
        <v>1</v>
      </c>
      <c r="N64" s="112"/>
      <c r="O64" s="112"/>
      <c r="P64" s="112" t="str">
        <f>VLOOKUP(B64, 'Companies covered restructured'!$B$7:$K$470, 9, FALSE)</f>
        <v>Agri marketplaces</v>
      </c>
      <c r="Q64" s="112" t="str">
        <f>VLOOKUP(B64, 'Companies covered restructured'!$B$7:$K$470, 6, FALSE)</f>
        <v>#Crops(100)</v>
      </c>
      <c r="R64" s="112" t="str">
        <f t="shared" si="0"/>
        <v>#Investment Fund(100)</v>
      </c>
      <c r="S64" s="112" t="s">
        <v>11003</v>
      </c>
      <c r="T64" s="112" t="s">
        <v>10466</v>
      </c>
      <c r="U64" s="103" t="s">
        <v>10970</v>
      </c>
      <c r="V64" s="112" t="str">
        <f>VLOOKUP(P64, 'Bottom-up Tagging Assumptions'!$B$12:$F$39, 5, FALSE)</f>
        <v>#Process Innovation(100)</v>
      </c>
      <c r="W64" s="112" t="str">
        <f>VLOOKUP(B64, 'Companies covered restructured'!$B$7:$K$470, 7, FALSE)</f>
        <v>#Farm/Household(100)</v>
      </c>
      <c r="X64" s="112" t="s">
        <v>10558</v>
      </c>
      <c r="Y64" s="112" t="str">
        <f>VLOOKUP(P64, '[2]Bottom-up Tagging Assumptions'!$B$12:$F$56, 2, FALSE)</f>
        <v>#Other Economic(P); Social(S)</v>
      </c>
      <c r="Z64" s="112" t="str">
        <f>VLOOKUP(P64, 'Bottom-up Tagging Assumptions'!$B$12:$F$56, 3, FALSE)</f>
        <v>#Improve price realization(P)</v>
      </c>
      <c r="AA64" s="112" t="str">
        <f>VLOOKUP(P64, 'Bottom-up Tagging Assumptions'!$B$12:$F$56, 4, FALSE)</f>
        <v>#Level 4(100)</v>
      </c>
      <c r="AB64" s="110" t="s">
        <v>421</v>
      </c>
      <c r="AC64" s="110"/>
      <c r="AD64" s="110" t="s">
        <v>422</v>
      </c>
      <c r="AE64" s="110" t="str">
        <f>VLOOKUP(AD64,  '1.2'!$B$7:$C$2033, 2, FALSE)</f>
        <v>FUND</v>
      </c>
      <c r="AF64" s="112">
        <v>1475750</v>
      </c>
      <c r="AG64" s="110" t="s">
        <v>1438</v>
      </c>
      <c r="AH64" s="121">
        <f t="shared" si="1"/>
        <v>0</v>
      </c>
      <c r="AI64" s="121">
        <f t="shared" si="2"/>
        <v>0</v>
      </c>
      <c r="AJ64" s="121">
        <f t="shared" si="3"/>
        <v>1</v>
      </c>
      <c r="AK64" s="121">
        <f t="shared" si="4"/>
        <v>1</v>
      </c>
      <c r="AL64" s="121">
        <f t="shared" si="5"/>
        <v>0</v>
      </c>
      <c r="AM64" s="121">
        <f t="shared" si="6"/>
        <v>0</v>
      </c>
      <c r="AN64" s="121">
        <f t="shared" si="7"/>
        <v>1</v>
      </c>
      <c r="AO64" s="121">
        <f t="shared" si="8"/>
        <v>0</v>
      </c>
      <c r="AP64" s="22">
        <f t="shared" si="9"/>
        <v>0</v>
      </c>
      <c r="AQ64" s="22">
        <f t="shared" si="10"/>
        <v>0</v>
      </c>
      <c r="AR64" s="22">
        <f t="shared" si="11"/>
        <v>0</v>
      </c>
      <c r="AS64" s="121" t="str">
        <f t="shared" si="12"/>
        <v>Crops</v>
      </c>
      <c r="AT64" s="121" t="str">
        <f t="shared" si="33"/>
        <v xml:space="preserve"> </v>
      </c>
      <c r="AU64" s="121" t="str">
        <f t="shared" si="33"/>
        <v xml:space="preserve"> </v>
      </c>
      <c r="AV64" s="121" t="str">
        <f t="shared" si="33"/>
        <v xml:space="preserve"> </v>
      </c>
      <c r="AW64" s="130" t="str">
        <f t="shared" si="34"/>
        <v>100</v>
      </c>
      <c r="AX64" s="130" t="str">
        <f t="shared" si="34"/>
        <v xml:space="preserve"> </v>
      </c>
      <c r="AY64" s="130" t="str">
        <f t="shared" si="34"/>
        <v xml:space="preserve"> </v>
      </c>
      <c r="AZ64" s="130" t="str">
        <f t="shared" si="34"/>
        <v xml:space="preserve"> </v>
      </c>
      <c r="BA64" s="121">
        <f t="shared" si="15"/>
        <v>0</v>
      </c>
      <c r="BB64" s="121">
        <f t="shared" si="16"/>
        <v>0</v>
      </c>
      <c r="BC64" s="121">
        <f t="shared" si="17"/>
        <v>0</v>
      </c>
      <c r="BD64" s="121">
        <f t="shared" si="18"/>
        <v>0</v>
      </c>
      <c r="BE64" s="121">
        <f t="shared" si="19"/>
        <v>0</v>
      </c>
      <c r="BF64" s="121">
        <f t="shared" si="20"/>
        <v>0</v>
      </c>
      <c r="BG64" s="121">
        <f t="shared" si="21"/>
        <v>0</v>
      </c>
      <c r="BH64" s="121">
        <f t="shared" si="22"/>
        <v>0</v>
      </c>
      <c r="BI64" s="121">
        <f t="shared" si="23"/>
        <v>0</v>
      </c>
      <c r="BJ64" s="121">
        <f t="shared" si="24"/>
        <v>0</v>
      </c>
      <c r="BK64" s="121">
        <f t="shared" si="25"/>
        <v>0</v>
      </c>
      <c r="BL64" s="121">
        <f t="shared" si="26"/>
        <v>0</v>
      </c>
      <c r="BM64" s="121">
        <f t="shared" si="27"/>
        <v>0</v>
      </c>
      <c r="BN64" s="121">
        <f t="shared" si="28"/>
        <v>0</v>
      </c>
      <c r="BO64" s="121">
        <f t="shared" si="29"/>
        <v>0</v>
      </c>
      <c r="BP64" s="121">
        <f t="shared" si="30"/>
        <v>0</v>
      </c>
      <c r="BQ64" s="199" t="e">
        <f>INDEX('GDP deflators'!$C$6:$M$36,MATCH('Bottom-up tagging'!$D64,'GDP deflators'!$B$6:$B$36,),MATCH('Bottom-up tagging'!$E64,'GDP deflators'!$C$5:$L$5,))/100</f>
        <v>#N/A</v>
      </c>
      <c r="BR64" s="24">
        <v>12000000</v>
      </c>
    </row>
    <row r="65" spans="2:70" ht="26.15" hidden="1" customHeight="1">
      <c r="B65" s="110" t="s">
        <v>458</v>
      </c>
      <c r="C65" s="110" t="s">
        <v>463</v>
      </c>
      <c r="D65" s="110" t="s">
        <v>3994</v>
      </c>
      <c r="E65" s="103">
        <v>2020</v>
      </c>
      <c r="F65" s="108" t="s">
        <v>8465</v>
      </c>
      <c r="G65" s="111" t="s">
        <v>109</v>
      </c>
      <c r="H65" s="110" t="s">
        <v>10451</v>
      </c>
      <c r="I65" s="212">
        <v>0</v>
      </c>
      <c r="J65" s="117" t="s">
        <v>10474</v>
      </c>
      <c r="K65" s="112"/>
      <c r="L65" s="135">
        <v>1</v>
      </c>
      <c r="M65" s="135">
        <v>1</v>
      </c>
      <c r="N65" s="112"/>
      <c r="O65" s="112"/>
      <c r="P65" s="112" t="str">
        <f>VLOOKUP(B65, 'Companies covered restructured'!$B$7:$K$470, 9, FALSE)</f>
        <v>Farmer engagement platforms (including marketplaces and information platforms)</v>
      </c>
      <c r="Q65" s="112" t="str">
        <f>VLOOKUP(B65, 'Companies covered restructured'!$B$7:$K$470, 6, FALSE)</f>
        <v>#Crops(100)</v>
      </c>
      <c r="R65" s="112" t="str">
        <f t="shared" si="0"/>
        <v>#Investment Fund(100)</v>
      </c>
      <c r="S65" s="112" t="s">
        <v>11003</v>
      </c>
      <c r="T65" s="112" t="s">
        <v>10466</v>
      </c>
      <c r="U65" s="103" t="s">
        <v>10970</v>
      </c>
      <c r="V65" s="112" t="str">
        <f>VLOOKUP(P65, 'Bottom-up Tagging Assumptions'!$B$12:$F$39, 5, FALSE)</f>
        <v>#Process Innovation(100)</v>
      </c>
      <c r="W65" s="112" t="str">
        <f>VLOOKUP(B65, 'Companies covered restructured'!$B$7:$K$470, 7, FALSE)</f>
        <v>#Field/Animal Herd(100)</v>
      </c>
      <c r="X65" s="112" t="s">
        <v>10558</v>
      </c>
      <c r="Y65" s="112" t="str">
        <f>VLOOKUP(P65, '[2]Bottom-up Tagging Assumptions'!$B$12:$F$56, 2, FALSE)</f>
        <v>#Other Economic(P); #Productivity(S)</v>
      </c>
      <c r="Z65" s="112" t="str">
        <f>VLOOKUP(P65, 'Bottom-up Tagging Assumptions'!$B$12:$F$56, 3, FALSE)</f>
        <v>#Improve price realization(P); #Increasing crop or animal yield(S)</v>
      </c>
      <c r="AA65" s="112" t="str">
        <f>VLOOKUP(P65, 'Bottom-up Tagging Assumptions'!$B$12:$F$56, 4, FALSE)</f>
        <v>#Level 4(100)</v>
      </c>
      <c r="AB65" s="110" t="s">
        <v>460</v>
      </c>
      <c r="AC65" s="110"/>
      <c r="AD65" s="110" t="s">
        <v>461</v>
      </c>
      <c r="AE65" s="110" t="str">
        <f>VLOOKUP(AD65,  '1.2'!$B$7:$C$2033, 2, FALSE)</f>
        <v>FUND</v>
      </c>
      <c r="AF65" s="112">
        <v>100000</v>
      </c>
      <c r="AG65" s="110" t="s">
        <v>1017</v>
      </c>
      <c r="AH65" s="121">
        <f t="shared" si="1"/>
        <v>0</v>
      </c>
      <c r="AI65" s="121">
        <f t="shared" si="2"/>
        <v>1</v>
      </c>
      <c r="AJ65" s="121">
        <f t="shared" si="3"/>
        <v>1</v>
      </c>
      <c r="AK65" s="121">
        <f t="shared" si="4"/>
        <v>0</v>
      </c>
      <c r="AL65" s="121">
        <f t="shared" si="5"/>
        <v>0</v>
      </c>
      <c r="AM65" s="121">
        <f t="shared" si="6"/>
        <v>0</v>
      </c>
      <c r="AN65" s="121">
        <f t="shared" si="7"/>
        <v>0</v>
      </c>
      <c r="AO65" s="121">
        <f t="shared" si="8"/>
        <v>0</v>
      </c>
      <c r="AP65" s="22">
        <f t="shared" si="9"/>
        <v>0</v>
      </c>
      <c r="AQ65" s="22">
        <f t="shared" si="10"/>
        <v>0</v>
      </c>
      <c r="AR65" s="22">
        <f t="shared" si="11"/>
        <v>0</v>
      </c>
      <c r="AS65" s="121" t="str">
        <f t="shared" si="12"/>
        <v>Crops</v>
      </c>
      <c r="AT65" s="121" t="str">
        <f t="shared" si="33"/>
        <v xml:space="preserve"> </v>
      </c>
      <c r="AU65" s="121" t="str">
        <f t="shared" si="33"/>
        <v xml:space="preserve"> </v>
      </c>
      <c r="AV65" s="121" t="str">
        <f t="shared" si="33"/>
        <v xml:space="preserve"> </v>
      </c>
      <c r="AW65" s="130" t="str">
        <f t="shared" si="34"/>
        <v>100</v>
      </c>
      <c r="AX65" s="130" t="str">
        <f t="shared" si="34"/>
        <v xml:space="preserve"> </v>
      </c>
      <c r="AY65" s="130" t="str">
        <f t="shared" si="34"/>
        <v xml:space="preserve"> </v>
      </c>
      <c r="AZ65" s="130" t="str">
        <f t="shared" si="34"/>
        <v xml:space="preserve"> </v>
      </c>
      <c r="BA65" s="121">
        <f t="shared" si="15"/>
        <v>0</v>
      </c>
      <c r="BB65" s="121">
        <f t="shared" si="16"/>
        <v>0</v>
      </c>
      <c r="BC65" s="121">
        <f t="shared" si="17"/>
        <v>0</v>
      </c>
      <c r="BD65" s="121">
        <f t="shared" si="18"/>
        <v>0</v>
      </c>
      <c r="BE65" s="121">
        <f t="shared" si="19"/>
        <v>0</v>
      </c>
      <c r="BF65" s="121">
        <f t="shared" si="20"/>
        <v>0</v>
      </c>
      <c r="BG65" s="121">
        <f t="shared" si="21"/>
        <v>0</v>
      </c>
      <c r="BH65" s="121">
        <f t="shared" si="22"/>
        <v>0</v>
      </c>
      <c r="BI65" s="121">
        <f t="shared" si="23"/>
        <v>0</v>
      </c>
      <c r="BJ65" s="121">
        <f t="shared" si="24"/>
        <v>0</v>
      </c>
      <c r="BK65" s="121">
        <f t="shared" si="25"/>
        <v>0</v>
      </c>
      <c r="BL65" s="121">
        <f t="shared" si="26"/>
        <v>0</v>
      </c>
      <c r="BM65" s="121">
        <f t="shared" si="27"/>
        <v>0</v>
      </c>
      <c r="BN65" s="121">
        <f t="shared" si="28"/>
        <v>0</v>
      </c>
      <c r="BO65" s="121">
        <f t="shared" si="29"/>
        <v>0</v>
      </c>
      <c r="BP65" s="121">
        <f t="shared" si="30"/>
        <v>0</v>
      </c>
      <c r="BQ65" s="199" t="e">
        <f>INDEX('GDP deflators'!$C$6:$M$36,MATCH('Bottom-up tagging'!$D65,'GDP deflators'!$B$6:$B$36,),MATCH('Bottom-up tagging'!$E65,'GDP deflators'!$C$5:$L$5,))/100</f>
        <v>#N/A</v>
      </c>
      <c r="BR65" s="24">
        <v>12000000</v>
      </c>
    </row>
    <row r="66" spans="2:70" ht="26.15" hidden="1" customHeight="1">
      <c r="B66" s="110" t="s">
        <v>74</v>
      </c>
      <c r="C66" s="110" t="s">
        <v>80</v>
      </c>
      <c r="D66" s="110" t="s">
        <v>3994</v>
      </c>
      <c r="E66" s="103">
        <v>2020</v>
      </c>
      <c r="F66" s="108" t="s">
        <v>8707</v>
      </c>
      <c r="G66" s="111" t="s">
        <v>25</v>
      </c>
      <c r="H66" s="110" t="s">
        <v>10451</v>
      </c>
      <c r="I66" s="212">
        <v>0</v>
      </c>
      <c r="J66" s="117" t="s">
        <v>10474</v>
      </c>
      <c r="K66" s="112"/>
      <c r="L66" s="135">
        <v>1</v>
      </c>
      <c r="M66" s="135">
        <v>1</v>
      </c>
      <c r="N66" s="112"/>
      <c r="O66" s="112"/>
      <c r="P66" s="112" t="str">
        <f>VLOOKUP(B66, 'Companies covered restructured'!$B$7:$K$470, 9, FALSE)</f>
        <v>Agri marketplaces</v>
      </c>
      <c r="Q66" s="112" t="str">
        <f>VLOOKUP(B66, 'Companies covered restructured'!$B$7:$K$470, 6, FALSE)</f>
        <v>#Crops(100)</v>
      </c>
      <c r="R66" s="112" t="str">
        <f t="shared" si="0"/>
        <v>#Investment Fund(100)</v>
      </c>
      <c r="S66" s="112" t="s">
        <v>11003</v>
      </c>
      <c r="T66" s="112" t="s">
        <v>10466</v>
      </c>
      <c r="U66" s="103" t="s">
        <v>10970</v>
      </c>
      <c r="V66" s="112" t="str">
        <f>VLOOKUP(P66, 'Bottom-up Tagging Assumptions'!$B$12:$F$39, 5, FALSE)</f>
        <v>#Process Innovation(100)</v>
      </c>
      <c r="W66" s="112" t="str">
        <f>VLOOKUP(B66, 'Companies covered restructured'!$B$7:$K$470, 7, FALSE)</f>
        <v>#Farm/Household(100)</v>
      </c>
      <c r="X66" s="112" t="s">
        <v>10558</v>
      </c>
      <c r="Y66" s="112" t="str">
        <f>VLOOKUP(P66, '[2]Bottom-up Tagging Assumptions'!$B$12:$F$56, 2, FALSE)</f>
        <v>#Other Economic(P); Social(S)</v>
      </c>
      <c r="Z66" s="112" t="str">
        <f>VLOOKUP(P66, 'Bottom-up Tagging Assumptions'!$B$12:$F$56, 3, FALSE)</f>
        <v>#Improve price realization(P)</v>
      </c>
      <c r="AA66" s="112" t="str">
        <f>VLOOKUP(P66, 'Bottom-up Tagging Assumptions'!$B$12:$F$56, 4, FALSE)</f>
        <v>#Level 4(100)</v>
      </c>
      <c r="AB66" s="110" t="s">
        <v>76</v>
      </c>
      <c r="AC66" s="110" t="s">
        <v>77</v>
      </c>
      <c r="AD66" s="110" t="s">
        <v>78</v>
      </c>
      <c r="AE66" s="110" t="str">
        <f>VLOOKUP(AD66,  '1.2'!$B$7:$C$2033, 2, FALSE)</f>
        <v>FUND</v>
      </c>
      <c r="AF66" s="112"/>
      <c r="AG66" s="110" t="s">
        <v>1447</v>
      </c>
      <c r="AH66" s="121">
        <f t="shared" si="1"/>
        <v>0</v>
      </c>
      <c r="AI66" s="121">
        <f t="shared" si="2"/>
        <v>0</v>
      </c>
      <c r="AJ66" s="121">
        <f t="shared" si="3"/>
        <v>1</v>
      </c>
      <c r="AK66" s="121">
        <f t="shared" si="4"/>
        <v>1</v>
      </c>
      <c r="AL66" s="121">
        <f t="shared" si="5"/>
        <v>0</v>
      </c>
      <c r="AM66" s="121">
        <f t="shared" si="6"/>
        <v>0</v>
      </c>
      <c r="AN66" s="121">
        <f t="shared" si="7"/>
        <v>1</v>
      </c>
      <c r="AO66" s="121">
        <f t="shared" si="8"/>
        <v>0</v>
      </c>
      <c r="AP66" s="22">
        <f t="shared" si="9"/>
        <v>0</v>
      </c>
      <c r="AQ66" s="22">
        <f t="shared" si="10"/>
        <v>0</v>
      </c>
      <c r="AR66" s="22">
        <f t="shared" si="11"/>
        <v>0</v>
      </c>
      <c r="AS66" s="121" t="str">
        <f t="shared" si="12"/>
        <v>Crops</v>
      </c>
      <c r="AT66" s="121" t="str">
        <f t="shared" si="33"/>
        <v xml:space="preserve"> </v>
      </c>
      <c r="AU66" s="121" t="str">
        <f t="shared" si="33"/>
        <v xml:space="preserve"> </v>
      </c>
      <c r="AV66" s="121" t="str">
        <f t="shared" si="33"/>
        <v xml:space="preserve"> </v>
      </c>
      <c r="AW66" s="130" t="str">
        <f t="shared" si="34"/>
        <v>100</v>
      </c>
      <c r="AX66" s="130" t="str">
        <f t="shared" si="34"/>
        <v xml:space="preserve"> </v>
      </c>
      <c r="AY66" s="130" t="str">
        <f t="shared" si="34"/>
        <v xml:space="preserve"> </v>
      </c>
      <c r="AZ66" s="130" t="str">
        <f t="shared" si="34"/>
        <v xml:space="preserve"> </v>
      </c>
      <c r="BA66" s="121">
        <f t="shared" si="15"/>
        <v>0</v>
      </c>
      <c r="BB66" s="121">
        <f t="shared" si="16"/>
        <v>0</v>
      </c>
      <c r="BC66" s="121">
        <f t="shared" si="17"/>
        <v>0</v>
      </c>
      <c r="BD66" s="121">
        <f t="shared" si="18"/>
        <v>0</v>
      </c>
      <c r="BE66" s="121">
        <f t="shared" si="19"/>
        <v>0</v>
      </c>
      <c r="BF66" s="121">
        <f t="shared" si="20"/>
        <v>0</v>
      </c>
      <c r="BG66" s="121">
        <f t="shared" si="21"/>
        <v>0</v>
      </c>
      <c r="BH66" s="121">
        <f t="shared" si="22"/>
        <v>0</v>
      </c>
      <c r="BI66" s="121">
        <f t="shared" si="23"/>
        <v>0</v>
      </c>
      <c r="BJ66" s="121">
        <f t="shared" si="24"/>
        <v>0</v>
      </c>
      <c r="BK66" s="121">
        <f t="shared" si="25"/>
        <v>0</v>
      </c>
      <c r="BL66" s="121">
        <f t="shared" si="26"/>
        <v>0</v>
      </c>
      <c r="BM66" s="121">
        <f t="shared" si="27"/>
        <v>0</v>
      </c>
      <c r="BN66" s="121">
        <f t="shared" si="28"/>
        <v>0</v>
      </c>
      <c r="BO66" s="121">
        <f t="shared" si="29"/>
        <v>0</v>
      </c>
      <c r="BP66" s="121">
        <f t="shared" si="30"/>
        <v>0</v>
      </c>
      <c r="BQ66" s="199" t="e">
        <f>INDEX('GDP deflators'!$C$6:$M$36,MATCH('Bottom-up tagging'!$D66,'GDP deflators'!$B$6:$B$36,),MATCH('Bottom-up tagging'!$E66,'GDP deflators'!$C$5:$L$5,))/100</f>
        <v>#N/A</v>
      </c>
      <c r="BR66" s="24">
        <v>11000000</v>
      </c>
    </row>
    <row r="67" spans="2:70" ht="26.15" hidden="1" customHeight="1">
      <c r="B67" s="110" t="s">
        <v>1171</v>
      </c>
      <c r="C67" s="110" t="s">
        <v>1175</v>
      </c>
      <c r="D67" s="110" t="s">
        <v>3994</v>
      </c>
      <c r="E67" s="103">
        <v>2017</v>
      </c>
      <c r="F67" s="108" t="s">
        <v>8395</v>
      </c>
      <c r="G67" s="111" t="s">
        <v>25</v>
      </c>
      <c r="H67" s="110" t="s">
        <v>10451</v>
      </c>
      <c r="I67" s="112">
        <f>IF(Dashboard!$B$16="Current USD",'Bottom-up tagging'!BR67,'Bottom-up tagging'!BR67/'Bottom-up tagging'!BQ67)</f>
        <v>7526983.353930369</v>
      </c>
      <c r="J67" s="118" t="s">
        <v>10474</v>
      </c>
      <c r="K67" s="112"/>
      <c r="L67" s="135">
        <v>1</v>
      </c>
      <c r="M67" s="135">
        <v>1</v>
      </c>
      <c r="N67" s="112"/>
      <c r="O67" s="112"/>
      <c r="P67" s="112" t="str">
        <f>VLOOKUP(B67, 'Companies covered restructured'!$B$7:$K$470, 9, FALSE)</f>
        <v>Farmer engagement platforms (including marketplaces and information platforms)</v>
      </c>
      <c r="Q67" s="112" t="str">
        <f>VLOOKUP(B67, 'Companies covered restructured'!$B$7:$K$470, 6, FALSE)</f>
        <v>#Crops(100)</v>
      </c>
      <c r="R67" s="112" t="str">
        <f t="shared" si="0"/>
        <v>#Investment Fund(100)</v>
      </c>
      <c r="S67" s="112" t="s">
        <v>11003</v>
      </c>
      <c r="T67" s="112" t="s">
        <v>10466</v>
      </c>
      <c r="U67" s="103" t="s">
        <v>10970</v>
      </c>
      <c r="V67" s="112" t="str">
        <f>VLOOKUP(P67, 'Bottom-up Tagging Assumptions'!$B$12:$F$39, 5, FALSE)</f>
        <v>#Process Innovation(100)</v>
      </c>
      <c r="W67" s="112" t="str">
        <f>VLOOKUP(B67, 'Companies covered restructured'!$B$7:$K$470, 7, FALSE)</f>
        <v>#Field/Animal Herd(100)</v>
      </c>
      <c r="X67" s="112" t="s">
        <v>10558</v>
      </c>
      <c r="Y67" s="212" t="str">
        <f>VLOOKUP(P67, 'Bottom-up Tagging Assumptions'!$B$12:$C$56, 2, FALSE)</f>
        <v>#Other Economic(P); #Productivity(S)</v>
      </c>
      <c r="Z67" s="112" t="str">
        <f>VLOOKUP(P67, 'Bottom-up Tagging Assumptions'!$B$12:$F$56, 3, FALSE)</f>
        <v>#Improve price realization(P); #Increasing crop or animal yield(S)</v>
      </c>
      <c r="AA67" s="112" t="str">
        <f>VLOOKUP(P67, 'Bottom-up Tagging Assumptions'!$B$12:$F$56, 4, FALSE)</f>
        <v>#Level 4(100)</v>
      </c>
      <c r="AB67" s="110" t="s">
        <v>2178</v>
      </c>
      <c r="AC67" s="110"/>
      <c r="AD67" s="110" t="s">
        <v>1308</v>
      </c>
      <c r="AE67" s="110" t="str">
        <f>VLOOKUP(AD67,  '1.2'!$B$7:$C$2033, 2, FALSE)</f>
        <v>FUND</v>
      </c>
      <c r="AF67" s="112">
        <v>114859</v>
      </c>
      <c r="AG67" s="110" t="s">
        <v>1452</v>
      </c>
      <c r="AH67" s="121">
        <f t="shared" si="1"/>
        <v>0</v>
      </c>
      <c r="AI67" s="121">
        <f t="shared" si="2"/>
        <v>1</v>
      </c>
      <c r="AJ67" s="121">
        <f t="shared" si="3"/>
        <v>1</v>
      </c>
      <c r="AK67" s="121">
        <f t="shared" si="4"/>
        <v>0</v>
      </c>
      <c r="AL67" s="121">
        <f t="shared" si="5"/>
        <v>0</v>
      </c>
      <c r="AM67" s="121">
        <f t="shared" si="6"/>
        <v>0</v>
      </c>
      <c r="AN67" s="121">
        <f t="shared" si="7"/>
        <v>0</v>
      </c>
      <c r="AO67" s="121">
        <f t="shared" si="8"/>
        <v>0</v>
      </c>
      <c r="AP67" s="22">
        <f t="shared" si="9"/>
        <v>0</v>
      </c>
      <c r="AQ67" s="22">
        <f t="shared" si="10"/>
        <v>0</v>
      </c>
      <c r="AR67" s="22">
        <f t="shared" si="11"/>
        <v>0</v>
      </c>
      <c r="AS67" s="121" t="str">
        <f t="shared" si="12"/>
        <v>Crops</v>
      </c>
      <c r="AT67" s="121" t="str">
        <f t="shared" si="33"/>
        <v xml:space="preserve"> </v>
      </c>
      <c r="AU67" s="121" t="str">
        <f t="shared" si="33"/>
        <v xml:space="preserve"> </v>
      </c>
      <c r="AV67" s="121" t="str">
        <f t="shared" si="33"/>
        <v xml:space="preserve"> </v>
      </c>
      <c r="AW67" s="130" t="str">
        <f t="shared" si="34"/>
        <v>100</v>
      </c>
      <c r="AX67" s="130" t="str">
        <f t="shared" si="34"/>
        <v xml:space="preserve"> </v>
      </c>
      <c r="AY67" s="130" t="str">
        <f t="shared" si="34"/>
        <v xml:space="preserve"> </v>
      </c>
      <c r="AZ67" s="130" t="str">
        <f t="shared" si="34"/>
        <v xml:space="preserve"> </v>
      </c>
      <c r="BA67" s="121">
        <f t="shared" si="15"/>
        <v>7526983.3539303681</v>
      </c>
      <c r="BB67" s="121">
        <f t="shared" si="16"/>
        <v>0</v>
      </c>
      <c r="BC67" s="121">
        <f t="shared" si="17"/>
        <v>0</v>
      </c>
      <c r="BD67" s="121">
        <f t="shared" si="18"/>
        <v>0</v>
      </c>
      <c r="BE67" s="121">
        <f t="shared" si="19"/>
        <v>0</v>
      </c>
      <c r="BF67" s="121">
        <f t="shared" si="20"/>
        <v>0</v>
      </c>
      <c r="BG67" s="121">
        <f t="shared" si="21"/>
        <v>0</v>
      </c>
      <c r="BH67" s="121">
        <f t="shared" si="22"/>
        <v>0</v>
      </c>
      <c r="BI67" s="121">
        <f t="shared" si="23"/>
        <v>0</v>
      </c>
      <c r="BJ67" s="121">
        <f t="shared" si="24"/>
        <v>0</v>
      </c>
      <c r="BK67" s="121">
        <f t="shared" si="25"/>
        <v>0</v>
      </c>
      <c r="BL67" s="121">
        <f t="shared" si="26"/>
        <v>0</v>
      </c>
      <c r="BM67" s="121">
        <f t="shared" si="27"/>
        <v>0</v>
      </c>
      <c r="BN67" s="121">
        <f t="shared" si="28"/>
        <v>0</v>
      </c>
      <c r="BO67" s="121">
        <f t="shared" si="29"/>
        <v>0</v>
      </c>
      <c r="BP67" s="121">
        <f t="shared" si="30"/>
        <v>0</v>
      </c>
      <c r="BQ67" s="199">
        <f>INDEX('GDP deflators'!$C$6:$M$36,MATCH('Bottom-up tagging'!$D67,'GDP deflators'!$B$6:$B$36,),MATCH('Bottom-up tagging'!$E67,'GDP deflators'!$C$5:$L$5,))/100</f>
        <v>1.4111098032990623</v>
      </c>
      <c r="BR67" s="24">
        <v>10621400</v>
      </c>
    </row>
    <row r="68" spans="2:70" ht="26.15" hidden="1" customHeight="1">
      <c r="B68" s="110" t="s">
        <v>628</v>
      </c>
      <c r="C68" s="110" t="s">
        <v>632</v>
      </c>
      <c r="D68" s="110" t="s">
        <v>3994</v>
      </c>
      <c r="E68" s="103">
        <v>2017</v>
      </c>
      <c r="F68" s="108" t="s">
        <v>7984</v>
      </c>
      <c r="G68" s="111" t="s">
        <v>25</v>
      </c>
      <c r="H68" s="110" t="s">
        <v>10451</v>
      </c>
      <c r="I68" s="112">
        <f>IF(Dashboard!$B$16="Current USD",'Bottom-up tagging'!BR68,'Bottom-up tagging'!BR68/'Bottom-up tagging'!BQ68)</f>
        <v>7283274.4666446391</v>
      </c>
      <c r="J68" s="118" t="s">
        <v>10474</v>
      </c>
      <c r="K68" s="112"/>
      <c r="L68" s="135">
        <v>1</v>
      </c>
      <c r="M68" s="135">
        <v>1</v>
      </c>
      <c r="N68" s="112"/>
      <c r="O68" s="112"/>
      <c r="P68" s="112" t="str">
        <f>VLOOKUP(B68, 'Companies covered restructured'!$B$7:$K$470, 9, FALSE)</f>
        <v>Agri marketplaces</v>
      </c>
      <c r="Q68" s="112" t="str">
        <f>VLOOKUP(B68, 'Companies covered restructured'!$B$7:$K$470, 6, FALSE)</f>
        <v>#Livestock(100)</v>
      </c>
      <c r="R68" s="112" t="str">
        <f t="shared" si="0"/>
        <v>#Investment Fund(100)</v>
      </c>
      <c r="S68" s="112" t="s">
        <v>11003</v>
      </c>
      <c r="T68" s="112" t="s">
        <v>10466</v>
      </c>
      <c r="U68" s="103" t="s">
        <v>10970</v>
      </c>
      <c r="V68" s="112" t="str">
        <f>VLOOKUP(P68, 'Bottom-up Tagging Assumptions'!$B$12:$F$39, 5, FALSE)</f>
        <v>#Process Innovation(100)</v>
      </c>
      <c r="W68" s="112" t="str">
        <f>VLOOKUP(B68, 'Companies covered restructured'!$B$7:$K$470, 7, FALSE)</f>
        <v>#Farm/Household(100)</v>
      </c>
      <c r="X68" s="112" t="s">
        <v>10558</v>
      </c>
      <c r="Y68" s="212" t="str">
        <f>VLOOKUP(P68, 'Bottom-up Tagging Assumptions'!$B$12:$C$56, 2, FALSE)</f>
        <v>#Other Economic(P); Social(S)</v>
      </c>
      <c r="Z68" s="112" t="str">
        <f>VLOOKUP(P68, 'Bottom-up Tagging Assumptions'!$B$12:$F$56, 3, FALSE)</f>
        <v>#Improve price realization(P)</v>
      </c>
      <c r="AA68" s="112" t="str">
        <f>VLOOKUP(P68, 'Bottom-up Tagging Assumptions'!$B$12:$F$56, 4, FALSE)</f>
        <v>#Level 4(100)</v>
      </c>
      <c r="AB68" s="110" t="s">
        <v>2163</v>
      </c>
      <c r="AC68" s="110" t="s">
        <v>1431</v>
      </c>
      <c r="AD68" s="110" t="s">
        <v>2164</v>
      </c>
      <c r="AE68" s="110" t="str">
        <f>VLOOKUP(AD68,  '1.2'!$B$7:$C$2033, 2, FALSE)</f>
        <v>FUND</v>
      </c>
      <c r="AF68" s="112"/>
      <c r="AG68" s="110" t="s">
        <v>1456</v>
      </c>
      <c r="AH68" s="121">
        <f t="shared" si="1"/>
        <v>0</v>
      </c>
      <c r="AI68" s="121">
        <f t="shared" si="2"/>
        <v>0</v>
      </c>
      <c r="AJ68" s="121">
        <f t="shared" si="3"/>
        <v>1</v>
      </c>
      <c r="AK68" s="121">
        <f t="shared" si="4"/>
        <v>1</v>
      </c>
      <c r="AL68" s="121">
        <f t="shared" si="5"/>
        <v>0</v>
      </c>
      <c r="AM68" s="121">
        <f t="shared" si="6"/>
        <v>0</v>
      </c>
      <c r="AN68" s="121">
        <f t="shared" si="7"/>
        <v>1</v>
      </c>
      <c r="AO68" s="121">
        <f t="shared" si="8"/>
        <v>0</v>
      </c>
      <c r="AP68" s="22">
        <f t="shared" si="9"/>
        <v>0</v>
      </c>
      <c r="AQ68" s="22">
        <f t="shared" si="10"/>
        <v>7283274.4666446391</v>
      </c>
      <c r="AR68" s="22">
        <f t="shared" si="11"/>
        <v>0</v>
      </c>
      <c r="AS68" s="121" t="str">
        <f t="shared" si="12"/>
        <v>Livestock</v>
      </c>
      <c r="AT68" s="121" t="str">
        <f t="shared" si="33"/>
        <v xml:space="preserve"> </v>
      </c>
      <c r="AU68" s="121" t="str">
        <f t="shared" si="33"/>
        <v xml:space="preserve"> </v>
      </c>
      <c r="AV68" s="121" t="str">
        <f t="shared" si="33"/>
        <v xml:space="preserve"> </v>
      </c>
      <c r="AW68" s="130" t="str">
        <f t="shared" si="34"/>
        <v>100</v>
      </c>
      <c r="AX68" s="130" t="str">
        <f t="shared" si="34"/>
        <v xml:space="preserve"> </v>
      </c>
      <c r="AY68" s="130" t="str">
        <f t="shared" si="34"/>
        <v xml:space="preserve"> </v>
      </c>
      <c r="AZ68" s="130" t="str">
        <f t="shared" si="34"/>
        <v xml:space="preserve"> </v>
      </c>
      <c r="BA68" s="121">
        <f t="shared" si="15"/>
        <v>7283274.4666446391</v>
      </c>
      <c r="BB68" s="121">
        <f t="shared" si="16"/>
        <v>0</v>
      </c>
      <c r="BC68" s="121">
        <f t="shared" si="17"/>
        <v>0</v>
      </c>
      <c r="BD68" s="121">
        <f t="shared" si="18"/>
        <v>0</v>
      </c>
      <c r="BE68" s="121">
        <f t="shared" si="19"/>
        <v>0</v>
      </c>
      <c r="BF68" s="121">
        <f t="shared" si="20"/>
        <v>0</v>
      </c>
      <c r="BG68" s="121">
        <f t="shared" si="21"/>
        <v>0</v>
      </c>
      <c r="BH68" s="121">
        <f t="shared" si="22"/>
        <v>0</v>
      </c>
      <c r="BI68" s="121">
        <f t="shared" si="23"/>
        <v>7283274.4666446391</v>
      </c>
      <c r="BJ68" s="121">
        <f t="shared" si="24"/>
        <v>7283274.4666446391</v>
      </c>
      <c r="BK68" s="121">
        <f t="shared" si="25"/>
        <v>7283274.4666446391</v>
      </c>
      <c r="BL68" s="121">
        <f t="shared" si="26"/>
        <v>7283274.4666446391</v>
      </c>
      <c r="BM68" s="121">
        <f t="shared" si="27"/>
        <v>0</v>
      </c>
      <c r="BN68" s="121">
        <f t="shared" si="28"/>
        <v>0</v>
      </c>
      <c r="BO68" s="121">
        <f t="shared" si="29"/>
        <v>0</v>
      </c>
      <c r="BP68" s="121">
        <f t="shared" si="30"/>
        <v>0</v>
      </c>
      <c r="BQ68" s="199">
        <f>INDEX('GDP deflators'!$C$6:$M$36,MATCH('Bottom-up tagging'!$D68,'GDP deflators'!$B$6:$B$36,),MATCH('Bottom-up tagging'!$E68,'GDP deflators'!$C$5:$L$5,))/100</f>
        <v>1.4111098032990623</v>
      </c>
      <c r="BR68" s="24">
        <v>10277500</v>
      </c>
    </row>
    <row r="69" spans="2:70" ht="26.15" hidden="1" customHeight="1">
      <c r="B69" s="110" t="s">
        <v>1652</v>
      </c>
      <c r="C69" s="110" t="s">
        <v>1656</v>
      </c>
      <c r="D69" s="110" t="s">
        <v>2057</v>
      </c>
      <c r="E69" s="103">
        <v>2017</v>
      </c>
      <c r="F69" s="108" t="s">
        <v>7747</v>
      </c>
      <c r="G69" s="111" t="s">
        <v>25</v>
      </c>
      <c r="H69" s="110" t="s">
        <v>10451</v>
      </c>
      <c r="I69" s="112">
        <f>IF(Dashboard!$B$16="Current USD",'Bottom-up tagging'!BR69,'Bottom-up tagging'!BR69/'Bottom-up tagging'!BQ69)</f>
        <v>8435252.2936605942</v>
      </c>
      <c r="J69" s="118" t="s">
        <v>10474</v>
      </c>
      <c r="K69" s="112"/>
      <c r="L69" s="135">
        <v>1</v>
      </c>
      <c r="M69" s="135">
        <v>1</v>
      </c>
      <c r="N69" s="112"/>
      <c r="O69" s="112"/>
      <c r="P69" s="112" t="str">
        <f>VLOOKUP(B69, 'Companies covered restructured'!$B$7:$K$470, 9, FALSE)</f>
        <v>Agri marketplaces</v>
      </c>
      <c r="Q69" s="112" t="str">
        <f>VLOOKUP(B69, 'Companies covered restructured'!$B$7:$K$470, 6, FALSE)</f>
        <v>#Fisheries and Aquaculture(100)</v>
      </c>
      <c r="R69" s="112" t="str">
        <f t="shared" si="0"/>
        <v>N/A</v>
      </c>
      <c r="S69" s="112" t="s">
        <v>11003</v>
      </c>
      <c r="T69" s="112" t="s">
        <v>10466</v>
      </c>
      <c r="U69" s="103" t="s">
        <v>10970</v>
      </c>
      <c r="V69" s="112" t="str">
        <f>VLOOKUP(P69, 'Bottom-up Tagging Assumptions'!$B$12:$F$39, 5, FALSE)</f>
        <v>#Process Innovation(100)</v>
      </c>
      <c r="W69" s="112" t="str">
        <f>VLOOKUP(B69, 'Companies covered restructured'!$B$7:$K$470, 7, FALSE)</f>
        <v>#Farm/Household(100)</v>
      </c>
      <c r="X69" s="112" t="s">
        <v>10558</v>
      </c>
      <c r="Y69" s="212" t="str">
        <f>VLOOKUP(P69, 'Bottom-up Tagging Assumptions'!$B$12:$C$56, 2, FALSE)</f>
        <v>#Other Economic(P); Social(S)</v>
      </c>
      <c r="Z69" s="112" t="str">
        <f>VLOOKUP(P69, 'Bottom-up Tagging Assumptions'!$B$12:$F$56, 3, FALSE)</f>
        <v>#Improve price realization(P)</v>
      </c>
      <c r="AA69" s="112" t="str">
        <f>VLOOKUP(P69, 'Bottom-up Tagging Assumptions'!$B$12:$F$56, 4, FALSE)</f>
        <v>#Level 4(100)</v>
      </c>
      <c r="AB69" s="110" t="s">
        <v>2138</v>
      </c>
      <c r="AC69" s="110"/>
      <c r="AD69" s="110"/>
      <c r="AE69" s="110" t="s">
        <v>10558</v>
      </c>
      <c r="AF69" s="112"/>
      <c r="AG69" s="110" t="s">
        <v>1461</v>
      </c>
      <c r="AH69" s="121">
        <f t="shared" si="1"/>
        <v>0</v>
      </c>
      <c r="AI69" s="121">
        <f t="shared" si="2"/>
        <v>0</v>
      </c>
      <c r="AJ69" s="121">
        <f t="shared" si="3"/>
        <v>1</v>
      </c>
      <c r="AK69" s="121">
        <f t="shared" si="4"/>
        <v>1</v>
      </c>
      <c r="AL69" s="121">
        <f t="shared" si="5"/>
        <v>0</v>
      </c>
      <c r="AM69" s="121">
        <f t="shared" si="6"/>
        <v>0</v>
      </c>
      <c r="AN69" s="121">
        <f t="shared" si="7"/>
        <v>1</v>
      </c>
      <c r="AO69" s="121">
        <f t="shared" si="8"/>
        <v>0</v>
      </c>
      <c r="AP69" s="22">
        <f t="shared" si="9"/>
        <v>0</v>
      </c>
      <c r="AQ69" s="22">
        <f t="shared" si="10"/>
        <v>8435252.2936605942</v>
      </c>
      <c r="AR69" s="22">
        <f t="shared" si="11"/>
        <v>0</v>
      </c>
      <c r="AS69" s="121" t="str">
        <f t="shared" si="12"/>
        <v>Fisheries and Aquaculture</v>
      </c>
      <c r="AT69" s="121" t="str">
        <f t="shared" si="33"/>
        <v xml:space="preserve"> </v>
      </c>
      <c r="AU69" s="121" t="str">
        <f t="shared" si="33"/>
        <v xml:space="preserve"> </v>
      </c>
      <c r="AV69" s="121" t="str">
        <f t="shared" si="33"/>
        <v xml:space="preserve"> </v>
      </c>
      <c r="AW69" s="130" t="str">
        <f t="shared" si="34"/>
        <v>100</v>
      </c>
      <c r="AX69" s="130" t="str">
        <f t="shared" si="34"/>
        <v xml:space="preserve"> </v>
      </c>
      <c r="AY69" s="130" t="str">
        <f t="shared" si="34"/>
        <v xml:space="preserve"> </v>
      </c>
      <c r="AZ69" s="130" t="str">
        <f t="shared" si="34"/>
        <v xml:space="preserve"> </v>
      </c>
      <c r="BA69" s="121">
        <f t="shared" si="15"/>
        <v>8435252.2936605942</v>
      </c>
      <c r="BB69" s="121">
        <f t="shared" si="16"/>
        <v>0</v>
      </c>
      <c r="BC69" s="121">
        <f t="shared" si="17"/>
        <v>0</v>
      </c>
      <c r="BD69" s="121">
        <f t="shared" si="18"/>
        <v>0</v>
      </c>
      <c r="BE69" s="121">
        <f t="shared" si="19"/>
        <v>0</v>
      </c>
      <c r="BF69" s="121">
        <f t="shared" si="20"/>
        <v>0</v>
      </c>
      <c r="BG69" s="121">
        <f t="shared" si="21"/>
        <v>0</v>
      </c>
      <c r="BH69" s="121">
        <f t="shared" si="22"/>
        <v>0</v>
      </c>
      <c r="BI69" s="121">
        <f t="shared" si="23"/>
        <v>8435252.2936605942</v>
      </c>
      <c r="BJ69" s="121">
        <f t="shared" si="24"/>
        <v>8435252.2936605942</v>
      </c>
      <c r="BK69" s="121">
        <f t="shared" si="25"/>
        <v>8435252.2936605942</v>
      </c>
      <c r="BL69" s="121">
        <f t="shared" si="26"/>
        <v>8435252.2936605942</v>
      </c>
      <c r="BM69" s="121">
        <f t="shared" si="27"/>
        <v>0</v>
      </c>
      <c r="BN69" s="121">
        <f t="shared" si="28"/>
        <v>0</v>
      </c>
      <c r="BO69" s="121">
        <f t="shared" si="29"/>
        <v>0</v>
      </c>
      <c r="BP69" s="121">
        <f t="shared" si="30"/>
        <v>0</v>
      </c>
      <c r="BQ69" s="199">
        <f>INDEX('GDP deflators'!$C$6:$M$36,MATCH('Bottom-up tagging'!$D69,'GDP deflators'!$B$6:$B$36,),MATCH('Bottom-up tagging'!$E69,'GDP deflators'!$C$5:$L$5,))/100</f>
        <v>1.2065910592441995</v>
      </c>
      <c r="BR69" s="24">
        <v>10177900</v>
      </c>
    </row>
    <row r="70" spans="2:70" ht="26.15" hidden="1" customHeight="1">
      <c r="B70" s="110" t="s">
        <v>493</v>
      </c>
      <c r="C70" s="110" t="s">
        <v>498</v>
      </c>
      <c r="D70" s="110" t="s">
        <v>5277</v>
      </c>
      <c r="E70" s="103">
        <v>2020</v>
      </c>
      <c r="F70" s="108" t="s">
        <v>5282</v>
      </c>
      <c r="G70" s="111" t="s">
        <v>109</v>
      </c>
      <c r="H70" s="110" t="s">
        <v>10451</v>
      </c>
      <c r="I70" s="212">
        <v>0</v>
      </c>
      <c r="J70" s="105" t="s">
        <v>10474</v>
      </c>
      <c r="K70" s="112"/>
      <c r="L70" s="135">
        <v>1</v>
      </c>
      <c r="M70" s="135">
        <v>1</v>
      </c>
      <c r="N70" s="112"/>
      <c r="O70" s="112"/>
      <c r="P70" s="112" t="str">
        <f>VLOOKUP(B70, 'Companies covered restructured'!$B$7:$K$470, 9, FALSE)</f>
        <v>Agri marketplaces</v>
      </c>
      <c r="Q70" s="112" t="str">
        <f>VLOOKUP(B70, 'Companies covered restructured'!$B$7:$K$470, 6, FALSE)</f>
        <v>#Crops(100)</v>
      </c>
      <c r="R70" s="112" t="str">
        <f t="shared" si="0"/>
        <v>#Investment Fund(100)</v>
      </c>
      <c r="S70" s="112" t="s">
        <v>11003</v>
      </c>
      <c r="T70" s="112" t="s">
        <v>10466</v>
      </c>
      <c r="U70" s="116" t="s">
        <v>10970</v>
      </c>
      <c r="V70" s="112" t="str">
        <f>VLOOKUP(P70, 'Bottom-up Tagging Assumptions'!$B$12:$F$39, 5, FALSE)</f>
        <v>#Process Innovation(100)</v>
      </c>
      <c r="W70" s="112" t="str">
        <f>VLOOKUP(B70, 'Companies covered restructured'!$B$7:$K$470, 7, FALSE)</f>
        <v>#Farm/Household(100)</v>
      </c>
      <c r="X70" s="112" t="s">
        <v>10558</v>
      </c>
      <c r="Y70" s="112" t="str">
        <f>VLOOKUP(P70, '[2]Bottom-up Tagging Assumptions'!$B$12:$F$56, 2, FALSE)</f>
        <v>#Other Economic(P); Social(S)</v>
      </c>
      <c r="Z70" s="112" t="str">
        <f>VLOOKUP(P70, 'Bottom-up Tagging Assumptions'!$B$12:$F$56, 3, FALSE)</f>
        <v>#Improve price realization(P)</v>
      </c>
      <c r="AA70" s="112" t="str">
        <f>VLOOKUP(P70, 'Bottom-up Tagging Assumptions'!$B$12:$F$56, 4, FALSE)</f>
        <v>#Level 4(100)</v>
      </c>
      <c r="AB70" s="110" t="s">
        <v>495</v>
      </c>
      <c r="AC70" s="110"/>
      <c r="AD70" s="110" t="s">
        <v>496</v>
      </c>
      <c r="AE70" s="110" t="str">
        <f>VLOOKUP(AD70,  '1.2'!$B$7:$C$2033, 2, FALSE)</f>
        <v>FUND</v>
      </c>
      <c r="AF70" s="112">
        <v>2740519</v>
      </c>
      <c r="AG70" s="110" t="s">
        <v>752</v>
      </c>
      <c r="AH70" s="121">
        <f t="shared" si="1"/>
        <v>0</v>
      </c>
      <c r="AI70" s="121">
        <f t="shared" si="2"/>
        <v>0</v>
      </c>
      <c r="AJ70" s="121">
        <f t="shared" si="3"/>
        <v>1</v>
      </c>
      <c r="AK70" s="121">
        <f t="shared" si="4"/>
        <v>1</v>
      </c>
      <c r="AL70" s="121">
        <f t="shared" si="5"/>
        <v>0</v>
      </c>
      <c r="AM70" s="121">
        <f t="shared" si="6"/>
        <v>0</v>
      </c>
      <c r="AN70" s="121">
        <f t="shared" si="7"/>
        <v>1</v>
      </c>
      <c r="AO70" s="121">
        <f t="shared" si="8"/>
        <v>0</v>
      </c>
      <c r="AP70" s="22">
        <f t="shared" si="9"/>
        <v>0</v>
      </c>
      <c r="AQ70" s="22">
        <f t="shared" si="10"/>
        <v>0</v>
      </c>
      <c r="AR70" s="22">
        <f t="shared" si="11"/>
        <v>0</v>
      </c>
      <c r="AS70" s="121" t="str">
        <f t="shared" si="12"/>
        <v>Crops</v>
      </c>
      <c r="AT70" s="121" t="str">
        <f t="shared" si="33"/>
        <v xml:space="preserve"> </v>
      </c>
      <c r="AU70" s="121" t="str">
        <f t="shared" si="33"/>
        <v xml:space="preserve"> </v>
      </c>
      <c r="AV70" s="121" t="str">
        <f t="shared" si="33"/>
        <v xml:space="preserve"> </v>
      </c>
      <c r="AW70" s="130" t="str">
        <f t="shared" si="34"/>
        <v>100</v>
      </c>
      <c r="AX70" s="130" t="str">
        <f t="shared" si="34"/>
        <v xml:space="preserve"> </v>
      </c>
      <c r="AY70" s="130" t="str">
        <f t="shared" si="34"/>
        <v xml:space="preserve"> </v>
      </c>
      <c r="AZ70" s="130" t="str">
        <f t="shared" si="34"/>
        <v xml:space="preserve"> </v>
      </c>
      <c r="BA70" s="121">
        <f t="shared" si="15"/>
        <v>0</v>
      </c>
      <c r="BB70" s="121">
        <f t="shared" si="16"/>
        <v>0</v>
      </c>
      <c r="BC70" s="121">
        <f t="shared" si="17"/>
        <v>0</v>
      </c>
      <c r="BD70" s="121">
        <f t="shared" si="18"/>
        <v>0</v>
      </c>
      <c r="BE70" s="121">
        <f t="shared" si="19"/>
        <v>0</v>
      </c>
      <c r="BF70" s="121">
        <f t="shared" si="20"/>
        <v>0</v>
      </c>
      <c r="BG70" s="121">
        <f t="shared" si="21"/>
        <v>0</v>
      </c>
      <c r="BH70" s="121">
        <f t="shared" si="22"/>
        <v>0</v>
      </c>
      <c r="BI70" s="121">
        <f t="shared" si="23"/>
        <v>0</v>
      </c>
      <c r="BJ70" s="121">
        <f t="shared" si="24"/>
        <v>0</v>
      </c>
      <c r="BK70" s="121">
        <f t="shared" si="25"/>
        <v>0</v>
      </c>
      <c r="BL70" s="121">
        <f t="shared" si="26"/>
        <v>0</v>
      </c>
      <c r="BM70" s="121">
        <f t="shared" si="27"/>
        <v>0</v>
      </c>
      <c r="BN70" s="121">
        <f t="shared" si="28"/>
        <v>0</v>
      </c>
      <c r="BO70" s="121">
        <f t="shared" si="29"/>
        <v>0</v>
      </c>
      <c r="BP70" s="121">
        <f t="shared" si="30"/>
        <v>0</v>
      </c>
      <c r="BQ70" s="199" t="e">
        <f>INDEX('GDP deflators'!$C$6:$M$36,MATCH('Bottom-up tagging'!$D70,'GDP deflators'!$B$6:$B$36,),MATCH('Bottom-up tagging'!$E70,'GDP deflators'!$C$5:$L$5,))/100</f>
        <v>#N/A</v>
      </c>
      <c r="BR70" s="24">
        <v>10000000</v>
      </c>
    </row>
    <row r="71" spans="2:70" ht="26.15" hidden="1" customHeight="1">
      <c r="B71" s="110" t="s">
        <v>485</v>
      </c>
      <c r="C71" s="110" t="s">
        <v>489</v>
      </c>
      <c r="D71" s="110" t="s">
        <v>5277</v>
      </c>
      <c r="E71" s="103">
        <v>2019</v>
      </c>
      <c r="F71" s="108" t="s">
        <v>7888</v>
      </c>
      <c r="G71" s="111" t="s">
        <v>109</v>
      </c>
      <c r="H71" s="110" t="s">
        <v>10451</v>
      </c>
      <c r="I71" s="112">
        <f>IF(Dashboard!$B$16="Current USD",'Bottom-up tagging'!BR71,'Bottom-up tagging'!BR71/'Bottom-up tagging'!BQ71)</f>
        <v>6915045.3701887047</v>
      </c>
      <c r="J71" s="105" t="s">
        <v>10474</v>
      </c>
      <c r="K71" s="112"/>
      <c r="L71" s="135">
        <v>1</v>
      </c>
      <c r="M71" s="135">
        <v>1</v>
      </c>
      <c r="N71" s="112"/>
      <c r="O71" s="112"/>
      <c r="P71" s="112" t="str">
        <f>VLOOKUP(B71, 'Companies covered restructured'!$B$7:$K$470, 9, FALSE)</f>
        <v>Agri marketplaces</v>
      </c>
      <c r="Q71" s="112" t="str">
        <f>VLOOKUP(B71, 'Companies covered restructured'!$B$7:$K$470, 6, FALSE)</f>
        <v>#Crops(100)</v>
      </c>
      <c r="R71" s="112" t="str">
        <f t="shared" si="0"/>
        <v>#Investment Fund(100)</v>
      </c>
      <c r="S71" s="112" t="s">
        <v>11003</v>
      </c>
      <c r="T71" s="112" t="s">
        <v>10466</v>
      </c>
      <c r="U71" s="116" t="s">
        <v>10970</v>
      </c>
      <c r="V71" s="112" t="str">
        <f>VLOOKUP(P71, 'Bottom-up Tagging Assumptions'!$B$12:$F$39, 5, FALSE)</f>
        <v>#Process Innovation(100)</v>
      </c>
      <c r="W71" s="112" t="str">
        <f>VLOOKUP(B71, 'Companies covered restructured'!$B$7:$K$470, 7, FALSE)</f>
        <v>#Farm/Household(100)</v>
      </c>
      <c r="X71" s="112" t="s">
        <v>10558</v>
      </c>
      <c r="Y71" s="212" t="str">
        <f>VLOOKUP(P71, 'Bottom-up Tagging Assumptions'!$B$12:$C$56, 2, FALSE)</f>
        <v>#Other Economic(P); Social(S)</v>
      </c>
      <c r="Z71" s="112" t="str">
        <f>VLOOKUP(P71, 'Bottom-up Tagging Assumptions'!$B$12:$F$56, 3, FALSE)</f>
        <v>#Improve price realization(P)</v>
      </c>
      <c r="AA71" s="112" t="str">
        <f>VLOOKUP(P71, 'Bottom-up Tagging Assumptions'!$B$12:$F$56, 4, FALSE)</f>
        <v>#Level 4(100)</v>
      </c>
      <c r="AB71" s="110" t="s">
        <v>1004</v>
      </c>
      <c r="AC71" s="110"/>
      <c r="AD71" s="110" t="s">
        <v>924</v>
      </c>
      <c r="AE71" s="110" t="str">
        <f>VLOOKUP(AD71,  '1.2'!$B$7:$C$2033, 2, FALSE)</f>
        <v>FUND</v>
      </c>
      <c r="AF71" s="112">
        <v>732942</v>
      </c>
      <c r="AG71" s="110" t="s">
        <v>1465</v>
      </c>
      <c r="AH71" s="121">
        <f t="shared" si="1"/>
        <v>0</v>
      </c>
      <c r="AI71" s="121">
        <f t="shared" si="2"/>
        <v>0</v>
      </c>
      <c r="AJ71" s="121">
        <f t="shared" si="3"/>
        <v>1</v>
      </c>
      <c r="AK71" s="121">
        <f t="shared" si="4"/>
        <v>1</v>
      </c>
      <c r="AL71" s="121">
        <f t="shared" si="5"/>
        <v>0</v>
      </c>
      <c r="AM71" s="121">
        <f t="shared" si="6"/>
        <v>0</v>
      </c>
      <c r="AN71" s="121">
        <f t="shared" si="7"/>
        <v>1</v>
      </c>
      <c r="AO71" s="121">
        <f t="shared" si="8"/>
        <v>0</v>
      </c>
      <c r="AP71" s="22">
        <f t="shared" si="9"/>
        <v>0</v>
      </c>
      <c r="AQ71" s="22">
        <f t="shared" si="10"/>
        <v>6915045.3701887047</v>
      </c>
      <c r="AR71" s="22">
        <f t="shared" si="11"/>
        <v>0</v>
      </c>
      <c r="AS71" s="121" t="str">
        <f t="shared" si="12"/>
        <v>Crops</v>
      </c>
      <c r="AT71" s="121" t="str">
        <f t="shared" si="33"/>
        <v xml:space="preserve"> </v>
      </c>
      <c r="AU71" s="121" t="str">
        <f t="shared" si="33"/>
        <v xml:space="preserve"> </v>
      </c>
      <c r="AV71" s="121" t="str">
        <f t="shared" si="33"/>
        <v xml:space="preserve"> </v>
      </c>
      <c r="AW71" s="130" t="str">
        <f t="shared" si="34"/>
        <v>100</v>
      </c>
      <c r="AX71" s="130" t="str">
        <f t="shared" si="34"/>
        <v xml:space="preserve"> </v>
      </c>
      <c r="AY71" s="130" t="str">
        <f t="shared" si="34"/>
        <v xml:space="preserve"> </v>
      </c>
      <c r="AZ71" s="130" t="str">
        <f t="shared" si="34"/>
        <v xml:space="preserve"> </v>
      </c>
      <c r="BA71" s="121">
        <f t="shared" si="15"/>
        <v>6915045.3701887047</v>
      </c>
      <c r="BB71" s="121">
        <f t="shared" si="16"/>
        <v>0</v>
      </c>
      <c r="BC71" s="121">
        <f t="shared" si="17"/>
        <v>0</v>
      </c>
      <c r="BD71" s="121">
        <f t="shared" si="18"/>
        <v>0</v>
      </c>
      <c r="BE71" s="121">
        <f t="shared" si="19"/>
        <v>0</v>
      </c>
      <c r="BF71" s="121">
        <f t="shared" si="20"/>
        <v>0</v>
      </c>
      <c r="BG71" s="121">
        <f t="shared" si="21"/>
        <v>0</v>
      </c>
      <c r="BH71" s="121">
        <f t="shared" si="22"/>
        <v>0</v>
      </c>
      <c r="BI71" s="121">
        <f t="shared" si="23"/>
        <v>6915045.3701887047</v>
      </c>
      <c r="BJ71" s="121">
        <f t="shared" si="24"/>
        <v>6915045.3701887047</v>
      </c>
      <c r="BK71" s="121">
        <f t="shared" si="25"/>
        <v>6915045.3701887047</v>
      </c>
      <c r="BL71" s="121">
        <f t="shared" si="26"/>
        <v>6915045.3701887047</v>
      </c>
      <c r="BM71" s="121">
        <f t="shared" si="27"/>
        <v>0</v>
      </c>
      <c r="BN71" s="121">
        <f t="shared" si="28"/>
        <v>0</v>
      </c>
      <c r="BO71" s="121">
        <f t="shared" si="29"/>
        <v>0</v>
      </c>
      <c r="BP71" s="121">
        <f t="shared" si="30"/>
        <v>0</v>
      </c>
      <c r="BQ71" s="199">
        <f>INDEX('GDP deflators'!$C$6:$M$36,MATCH('Bottom-up tagging'!$D71,'GDP deflators'!$B$6:$B$36,),MATCH('Bottom-up tagging'!$E71,'GDP deflators'!$C$5:$L$5,))/100</f>
        <v>1.446122109785537</v>
      </c>
      <c r="BR71" s="24">
        <v>10000000</v>
      </c>
    </row>
    <row r="72" spans="2:70" ht="26.15" customHeight="1">
      <c r="B72" s="110" t="s">
        <v>473</v>
      </c>
      <c r="C72" s="110" t="s">
        <v>475</v>
      </c>
      <c r="D72" s="110" t="s">
        <v>5391</v>
      </c>
      <c r="E72" s="103">
        <v>2018</v>
      </c>
      <c r="F72" s="108" t="s">
        <v>5547</v>
      </c>
      <c r="G72" s="111" t="s">
        <v>25</v>
      </c>
      <c r="H72" s="110" t="s">
        <v>10451</v>
      </c>
      <c r="I72" s="112">
        <f>IF(Dashboard!$B$16="Current USD",'Bottom-up tagging'!BR72,'Bottom-up tagging'!BR72/'Bottom-up tagging'!BQ72)</f>
        <v>5501967.172408022</v>
      </c>
      <c r="J72" s="118" t="s">
        <v>10474</v>
      </c>
      <c r="K72" s="112"/>
      <c r="L72" s="135">
        <v>1</v>
      </c>
      <c r="M72" s="135">
        <v>1</v>
      </c>
      <c r="N72" s="112"/>
      <c r="O72" s="112"/>
      <c r="P72" s="112" t="str">
        <f>VLOOKUP(B72, 'Companies covered restructured'!$B$7:$K$470, 9, FALSE)</f>
        <v>Agri marketplaces</v>
      </c>
      <c r="Q72" s="112" t="str">
        <f>VLOOKUP(B72, 'Companies covered restructured'!$B$7:$K$470, 6, FALSE)</f>
        <v>#Crops(100)</v>
      </c>
      <c r="R72" s="112" t="str">
        <f t="shared" si="0"/>
        <v>#Investment Fund(100)</v>
      </c>
      <c r="S72" s="112" t="s">
        <v>11003</v>
      </c>
      <c r="T72" s="112" t="s">
        <v>10466</v>
      </c>
      <c r="U72" s="103" t="s">
        <v>10970</v>
      </c>
      <c r="V72" s="112" t="str">
        <f>VLOOKUP(P72, 'Bottom-up Tagging Assumptions'!$B$12:$F$39, 5, FALSE)</f>
        <v>#Process Innovation(100)</v>
      </c>
      <c r="W72" s="112" t="str">
        <f>VLOOKUP(B72, 'Companies covered restructured'!$B$7:$K$470, 7, FALSE)</f>
        <v>#Farm/Household(100)</v>
      </c>
      <c r="X72" s="112" t="s">
        <v>10558</v>
      </c>
      <c r="Y72" s="212" t="str">
        <f>VLOOKUP(P72, 'Bottom-up Tagging Assumptions'!$B$12:$C$56, 2, FALSE)</f>
        <v>#Other Economic(P); Social(S)</v>
      </c>
      <c r="Z72" s="112" t="str">
        <f>VLOOKUP(P72, 'Bottom-up Tagging Assumptions'!$B$12:$F$56, 3, FALSE)</f>
        <v>#Improve price realization(P)</v>
      </c>
      <c r="AA72" s="112" t="str">
        <f>VLOOKUP(P72, 'Bottom-up Tagging Assumptions'!$B$12:$F$56, 4, FALSE)</f>
        <v>#Level 4(100)</v>
      </c>
      <c r="AB72" s="110" t="s">
        <v>1336</v>
      </c>
      <c r="AC72" s="110" t="s">
        <v>1337</v>
      </c>
      <c r="AD72" s="110" t="s">
        <v>1338</v>
      </c>
      <c r="AE72" s="110" t="s">
        <v>3114</v>
      </c>
      <c r="AF72" s="112">
        <v>2569628</v>
      </c>
      <c r="AG72" s="110" t="s">
        <v>222</v>
      </c>
      <c r="AH72" s="121">
        <f t="shared" si="1"/>
        <v>0</v>
      </c>
      <c r="AI72" s="121">
        <f t="shared" si="2"/>
        <v>0</v>
      </c>
      <c r="AJ72" s="121">
        <f t="shared" si="3"/>
        <v>1</v>
      </c>
      <c r="AK72" s="121">
        <f t="shared" si="4"/>
        <v>1</v>
      </c>
      <c r="AL72" s="121">
        <f t="shared" si="5"/>
        <v>0</v>
      </c>
      <c r="AM72" s="121">
        <f t="shared" si="6"/>
        <v>0</v>
      </c>
      <c r="AN72" s="121">
        <f t="shared" si="7"/>
        <v>1</v>
      </c>
      <c r="AO72" s="121">
        <f t="shared" si="8"/>
        <v>0</v>
      </c>
      <c r="AP72" s="22">
        <f t="shared" si="9"/>
        <v>0</v>
      </c>
      <c r="AQ72" s="22">
        <f t="shared" si="10"/>
        <v>5501967.172408022</v>
      </c>
      <c r="AR72" s="22">
        <f t="shared" si="11"/>
        <v>0</v>
      </c>
      <c r="AS72" s="121" t="str">
        <f t="shared" si="12"/>
        <v>Crops</v>
      </c>
      <c r="AT72" s="121" t="str">
        <f t="shared" ref="AT72:AV91" si="35">IFERROR(IFERROR(MID($Q72,FIND("~",SUBSTITUTE($Q72,";","~",AT$10-1))+3,(FIND("~",SUBSTITUTE($Q72,";","~",AT$10))+0-(FIND("~",SUBSTITUTE($Q72,";","~",AT$10-1))+2))-6),MID($Q72,FIND("~",SUBSTITUTE($Q72,";","~",AT$10-1))+3,(LEN($Q72)-6-FIND("~",SUBSTITUTE($Q72,";","~",AT$10-1))-1)))," ")</f>
        <v xml:space="preserve"> </v>
      </c>
      <c r="AU72" s="121" t="str">
        <f t="shared" si="35"/>
        <v xml:space="preserve"> </v>
      </c>
      <c r="AV72" s="121" t="str">
        <f t="shared" si="35"/>
        <v xml:space="preserve"> </v>
      </c>
      <c r="AW72" s="130" t="str">
        <f t="shared" ref="AW72:AZ91" si="36">IFERROR(MID($Q72,FIND("~",SUBSTITUTE($Q72,"(","~",AW$10))+1,3)," ")</f>
        <v>100</v>
      </c>
      <c r="AX72" s="130" t="str">
        <f t="shared" si="36"/>
        <v xml:space="preserve"> </v>
      </c>
      <c r="AY72" s="130" t="str">
        <f t="shared" si="36"/>
        <v xml:space="preserve"> </v>
      </c>
      <c r="AZ72" s="130" t="str">
        <f t="shared" si="36"/>
        <v xml:space="preserve"> </v>
      </c>
      <c r="BA72" s="121">
        <f t="shared" si="15"/>
        <v>5501967.172408022</v>
      </c>
      <c r="BB72" s="121">
        <f t="shared" si="16"/>
        <v>0</v>
      </c>
      <c r="BC72" s="121">
        <f t="shared" si="17"/>
        <v>0</v>
      </c>
      <c r="BD72" s="121">
        <f t="shared" si="18"/>
        <v>0</v>
      </c>
      <c r="BE72" s="121">
        <f t="shared" si="19"/>
        <v>0</v>
      </c>
      <c r="BF72" s="121">
        <f t="shared" si="20"/>
        <v>0</v>
      </c>
      <c r="BG72" s="121">
        <f t="shared" si="21"/>
        <v>0</v>
      </c>
      <c r="BH72" s="121">
        <f t="shared" si="22"/>
        <v>0</v>
      </c>
      <c r="BI72" s="121">
        <f t="shared" si="23"/>
        <v>5501967.172408022</v>
      </c>
      <c r="BJ72" s="121">
        <f t="shared" si="24"/>
        <v>5501967.172408022</v>
      </c>
      <c r="BK72" s="121">
        <f t="shared" si="25"/>
        <v>5501967.172408022</v>
      </c>
      <c r="BL72" s="121">
        <f t="shared" si="26"/>
        <v>5501967.172408022</v>
      </c>
      <c r="BM72" s="121">
        <f t="shared" si="27"/>
        <v>0</v>
      </c>
      <c r="BN72" s="121">
        <f t="shared" si="28"/>
        <v>0</v>
      </c>
      <c r="BO72" s="121">
        <f t="shared" si="29"/>
        <v>0</v>
      </c>
      <c r="BP72" s="121">
        <f t="shared" si="30"/>
        <v>0</v>
      </c>
      <c r="BQ72" s="199">
        <f>INDEX('GDP deflators'!$C$6:$M$36,MATCH('Bottom-up tagging'!$D72,'GDP deflators'!$B$6:$B$36,),MATCH('Bottom-up tagging'!$E72,'GDP deflators'!$C$5:$L$5,))/100</f>
        <v>1.8175317457634599</v>
      </c>
      <c r="BR72" s="24">
        <v>10000000</v>
      </c>
    </row>
    <row r="73" spans="2:70" ht="26.15" hidden="1" customHeight="1">
      <c r="B73" s="110" t="s">
        <v>1895</v>
      </c>
      <c r="C73" s="110" t="s">
        <v>1898</v>
      </c>
      <c r="D73" s="110" t="s">
        <v>2057</v>
      </c>
      <c r="E73" s="103">
        <v>2017</v>
      </c>
      <c r="F73" s="108" t="s">
        <v>6343</v>
      </c>
      <c r="G73" s="111" t="s">
        <v>109</v>
      </c>
      <c r="H73" s="110" t="s">
        <v>10451</v>
      </c>
      <c r="I73" s="112">
        <f>IF(Dashboard!$B$16="Current USD",'Bottom-up tagging'!BR73,'Bottom-up tagging'!BR73/'Bottom-up tagging'!BQ73)</f>
        <v>8287812.1161149098</v>
      </c>
      <c r="J73" s="117" t="s">
        <v>10474</v>
      </c>
      <c r="K73" s="112"/>
      <c r="L73" s="135">
        <v>1</v>
      </c>
      <c r="M73" s="135">
        <v>1</v>
      </c>
      <c r="N73" s="112"/>
      <c r="O73" s="112"/>
      <c r="P73" s="112" t="str">
        <f>VLOOKUP(B73, 'Companies covered restructured'!$B$7:$K$470, 9, FALSE)</f>
        <v>Farmer engagement platforms (including marketplaces and information platforms)</v>
      </c>
      <c r="Q73" s="112" t="str">
        <f>VLOOKUP(B73, 'Companies covered restructured'!$B$7:$K$470, 6, FALSE)</f>
        <v>#Crops(100)</v>
      </c>
      <c r="R73" s="112" t="str">
        <f t="shared" si="0"/>
        <v>#Investment Fund(100)</v>
      </c>
      <c r="S73" s="112" t="s">
        <v>11003</v>
      </c>
      <c r="T73" s="112" t="s">
        <v>10466</v>
      </c>
      <c r="U73" s="103" t="s">
        <v>10970</v>
      </c>
      <c r="V73" s="112" t="str">
        <f>VLOOKUP(P73, 'Bottom-up Tagging Assumptions'!$B$12:$F$39, 5, FALSE)</f>
        <v>#Process Innovation(100)</v>
      </c>
      <c r="W73" s="112" t="str">
        <f>VLOOKUP(B73, 'Companies covered restructured'!$B$7:$K$470, 7, FALSE)</f>
        <v>#Field/Animal Herd(100)</v>
      </c>
      <c r="X73" s="112" t="s">
        <v>10558</v>
      </c>
      <c r="Y73" s="212" t="str">
        <f>VLOOKUP(P73, 'Bottom-up Tagging Assumptions'!$B$12:$C$56, 2, FALSE)</f>
        <v>#Other Economic(P); #Productivity(S)</v>
      </c>
      <c r="Z73" s="112" t="str">
        <f>VLOOKUP(P73, 'Bottom-up Tagging Assumptions'!$B$12:$F$56, 3, FALSE)</f>
        <v>#Improve price realization(P); #Increasing crop or animal yield(S)</v>
      </c>
      <c r="AA73" s="112" t="str">
        <f>VLOOKUP(P73, 'Bottom-up Tagging Assumptions'!$B$12:$F$56, 4, FALSE)</f>
        <v>#Level 4(100)</v>
      </c>
      <c r="AB73" s="110" t="s">
        <v>1897</v>
      </c>
      <c r="AC73" s="110"/>
      <c r="AD73" s="110" t="s">
        <v>1751</v>
      </c>
      <c r="AE73" s="110" t="str">
        <f>VLOOKUP(AD73,  '1.2'!$B$7:$C$2033, 2, FALSE)</f>
        <v>FUND</v>
      </c>
      <c r="AF73" s="112">
        <v>7273280</v>
      </c>
      <c r="AG73" s="110" t="s">
        <v>1475</v>
      </c>
      <c r="AH73" s="121">
        <f t="shared" si="1"/>
        <v>0</v>
      </c>
      <c r="AI73" s="121">
        <f t="shared" si="2"/>
        <v>1</v>
      </c>
      <c r="AJ73" s="121">
        <f t="shared" si="3"/>
        <v>1</v>
      </c>
      <c r="AK73" s="121">
        <f t="shared" si="4"/>
        <v>0</v>
      </c>
      <c r="AL73" s="121">
        <f t="shared" si="5"/>
        <v>0</v>
      </c>
      <c r="AM73" s="121">
        <f t="shared" si="6"/>
        <v>0</v>
      </c>
      <c r="AN73" s="121">
        <f t="shared" si="7"/>
        <v>0</v>
      </c>
      <c r="AO73" s="121">
        <f t="shared" si="8"/>
        <v>0</v>
      </c>
      <c r="AP73" s="22">
        <f t="shared" si="9"/>
        <v>0</v>
      </c>
      <c r="AQ73" s="22">
        <f t="shared" si="10"/>
        <v>0</v>
      </c>
      <c r="AR73" s="22">
        <f t="shared" si="11"/>
        <v>0</v>
      </c>
      <c r="AS73" s="121" t="str">
        <f t="shared" si="12"/>
        <v>Crops</v>
      </c>
      <c r="AT73" s="121" t="str">
        <f t="shared" si="35"/>
        <v xml:space="preserve"> </v>
      </c>
      <c r="AU73" s="121" t="str">
        <f t="shared" si="35"/>
        <v xml:space="preserve"> </v>
      </c>
      <c r="AV73" s="121" t="str">
        <f t="shared" si="35"/>
        <v xml:space="preserve"> </v>
      </c>
      <c r="AW73" s="130" t="str">
        <f t="shared" si="36"/>
        <v>100</v>
      </c>
      <c r="AX73" s="130" t="str">
        <f t="shared" si="36"/>
        <v xml:space="preserve"> </v>
      </c>
      <c r="AY73" s="130" t="str">
        <f t="shared" si="36"/>
        <v xml:space="preserve"> </v>
      </c>
      <c r="AZ73" s="130" t="str">
        <f t="shared" si="36"/>
        <v xml:space="preserve"> </v>
      </c>
      <c r="BA73" s="121">
        <f t="shared" si="15"/>
        <v>8287812.1161149098</v>
      </c>
      <c r="BB73" s="121">
        <f t="shared" si="16"/>
        <v>0</v>
      </c>
      <c r="BC73" s="121">
        <f t="shared" si="17"/>
        <v>0</v>
      </c>
      <c r="BD73" s="121">
        <f t="shared" si="18"/>
        <v>0</v>
      </c>
      <c r="BE73" s="121">
        <f t="shared" si="19"/>
        <v>0</v>
      </c>
      <c r="BF73" s="121">
        <f t="shared" si="20"/>
        <v>0</v>
      </c>
      <c r="BG73" s="121">
        <f t="shared" si="21"/>
        <v>0</v>
      </c>
      <c r="BH73" s="121">
        <f t="shared" si="22"/>
        <v>0</v>
      </c>
      <c r="BI73" s="121">
        <f t="shared" si="23"/>
        <v>0</v>
      </c>
      <c r="BJ73" s="121">
        <f t="shared" si="24"/>
        <v>0</v>
      </c>
      <c r="BK73" s="121">
        <f t="shared" si="25"/>
        <v>0</v>
      </c>
      <c r="BL73" s="121">
        <f t="shared" si="26"/>
        <v>0</v>
      </c>
      <c r="BM73" s="121">
        <f t="shared" si="27"/>
        <v>0</v>
      </c>
      <c r="BN73" s="121">
        <f t="shared" si="28"/>
        <v>0</v>
      </c>
      <c r="BO73" s="121">
        <f t="shared" si="29"/>
        <v>0</v>
      </c>
      <c r="BP73" s="121">
        <f t="shared" si="30"/>
        <v>0</v>
      </c>
      <c r="BQ73" s="199">
        <f>INDEX('GDP deflators'!$C$6:$M$36,MATCH('Bottom-up tagging'!$D73,'GDP deflators'!$B$6:$B$36,),MATCH('Bottom-up tagging'!$E73,'GDP deflators'!$C$5:$L$5,))/100</f>
        <v>1.2065910592441995</v>
      </c>
      <c r="BR73" s="24">
        <v>10000000</v>
      </c>
    </row>
    <row r="74" spans="2:70" ht="26.15" hidden="1" customHeight="1">
      <c r="B74" s="110" t="s">
        <v>743</v>
      </c>
      <c r="C74" s="110" t="s">
        <v>747</v>
      </c>
      <c r="D74" s="110" t="s">
        <v>3994</v>
      </c>
      <c r="E74" s="103">
        <v>2017</v>
      </c>
      <c r="F74" s="108" t="s">
        <v>8148</v>
      </c>
      <c r="G74" s="111" t="s">
        <v>25</v>
      </c>
      <c r="H74" s="110" t="s">
        <v>10451</v>
      </c>
      <c r="I74" s="112">
        <f>IF(Dashboard!$B$16="Current USD",'Bottom-up tagging'!BR74,'Bottom-up tagging'!BR74/'Bottom-up tagging'!BQ74)</f>
        <v>7086620.7410796778</v>
      </c>
      <c r="J74" s="118" t="s">
        <v>10474</v>
      </c>
      <c r="K74" s="112"/>
      <c r="L74" s="135">
        <v>1</v>
      </c>
      <c r="M74" s="135">
        <v>1</v>
      </c>
      <c r="N74" s="112"/>
      <c r="O74" s="112"/>
      <c r="P74" s="112" t="str">
        <f>VLOOKUP(B74, 'Companies covered restructured'!$B$7:$K$470, 9, FALSE)</f>
        <v>Farm mechanization</v>
      </c>
      <c r="Q74" s="112" t="str">
        <f>VLOOKUP(B74, 'Companies covered restructured'!$B$7:$K$470, 6, FALSE)</f>
        <v>#Crops(100)</v>
      </c>
      <c r="R74" s="112" t="str">
        <f t="shared" si="0"/>
        <v>#Investment Fund(100)</v>
      </c>
      <c r="S74" s="112" t="s">
        <v>11003</v>
      </c>
      <c r="T74" s="112" t="s">
        <v>10466</v>
      </c>
      <c r="U74" s="103" t="s">
        <v>10970</v>
      </c>
      <c r="V74" s="112" t="str">
        <f>VLOOKUP(P74, 'Bottom-up Tagging Assumptions'!$B$12:$F$39, 5, FALSE)</f>
        <v>#Product Development(100)</v>
      </c>
      <c r="W74" s="112" t="str">
        <f>VLOOKUP(B74, 'Companies covered restructured'!$B$7:$K$470, 7, FALSE)</f>
        <v>#Field/Animal Herd(100)</v>
      </c>
      <c r="X74" s="112" t="s">
        <v>10558</v>
      </c>
      <c r="Y74" s="212" t="str">
        <f>VLOOKUP(P74, 'Bottom-up Tagging Assumptions'!$B$12:$C$56, 2, FALSE)</f>
        <v>#Productivity(P); #Other economic(S)</v>
      </c>
      <c r="Z74" s="112" t="str">
        <f>VLOOKUP(P74, 'Bottom-up Tagging Assumptions'!$B$12:$F$56, 3, FALSE)</f>
        <v>#Reducing human effort(P)</v>
      </c>
      <c r="AA74" s="112" t="str">
        <f>VLOOKUP(P74, 'Bottom-up Tagging Assumptions'!$B$12:$F$56, 4, FALSE)</f>
        <v>#Level 1(100)</v>
      </c>
      <c r="AB74" s="110" t="s">
        <v>745</v>
      </c>
      <c r="AC74" s="110"/>
      <c r="AD74" s="110" t="s">
        <v>2018</v>
      </c>
      <c r="AE74" s="110" t="str">
        <f>VLOOKUP(AD74,  '1.2'!$B$7:$C$2033, 2, FALSE)</f>
        <v>FUND</v>
      </c>
      <c r="AF74" s="112">
        <v>6141730</v>
      </c>
      <c r="AG74" s="110" t="s">
        <v>1481</v>
      </c>
      <c r="AH74" s="121">
        <f t="shared" si="1"/>
        <v>0</v>
      </c>
      <c r="AI74" s="121">
        <f t="shared" si="2"/>
        <v>1</v>
      </c>
      <c r="AJ74" s="121">
        <f t="shared" si="3"/>
        <v>1</v>
      </c>
      <c r="AK74" s="121">
        <f t="shared" si="4"/>
        <v>0</v>
      </c>
      <c r="AL74" s="121">
        <f t="shared" si="5"/>
        <v>0</v>
      </c>
      <c r="AM74" s="121">
        <f t="shared" si="6"/>
        <v>0</v>
      </c>
      <c r="AN74" s="121">
        <f t="shared" si="7"/>
        <v>0</v>
      </c>
      <c r="AO74" s="121">
        <f t="shared" si="8"/>
        <v>0</v>
      </c>
      <c r="AP74" s="22">
        <f t="shared" si="9"/>
        <v>0</v>
      </c>
      <c r="AQ74" s="22">
        <f t="shared" si="10"/>
        <v>0</v>
      </c>
      <c r="AR74" s="22">
        <f t="shared" si="11"/>
        <v>0</v>
      </c>
      <c r="AS74" s="121" t="str">
        <f t="shared" si="12"/>
        <v>Crops</v>
      </c>
      <c r="AT74" s="121" t="str">
        <f t="shared" si="35"/>
        <v xml:space="preserve"> </v>
      </c>
      <c r="AU74" s="121" t="str">
        <f t="shared" si="35"/>
        <v xml:space="preserve"> </v>
      </c>
      <c r="AV74" s="121" t="str">
        <f t="shared" si="35"/>
        <v xml:space="preserve"> </v>
      </c>
      <c r="AW74" s="130" t="str">
        <f t="shared" si="36"/>
        <v>100</v>
      </c>
      <c r="AX74" s="130" t="str">
        <f t="shared" si="36"/>
        <v xml:space="preserve"> </v>
      </c>
      <c r="AY74" s="130" t="str">
        <f t="shared" si="36"/>
        <v xml:space="preserve"> </v>
      </c>
      <c r="AZ74" s="130" t="str">
        <f t="shared" si="36"/>
        <v xml:space="preserve"> </v>
      </c>
      <c r="BA74" s="121">
        <f t="shared" si="15"/>
        <v>7086620.7410796769</v>
      </c>
      <c r="BB74" s="121">
        <f t="shared" si="16"/>
        <v>0</v>
      </c>
      <c r="BC74" s="121">
        <f t="shared" si="17"/>
        <v>0</v>
      </c>
      <c r="BD74" s="121">
        <f t="shared" si="18"/>
        <v>0</v>
      </c>
      <c r="BE74" s="121">
        <f t="shared" si="19"/>
        <v>0</v>
      </c>
      <c r="BF74" s="121">
        <f t="shared" si="20"/>
        <v>0</v>
      </c>
      <c r="BG74" s="121">
        <f t="shared" si="21"/>
        <v>0</v>
      </c>
      <c r="BH74" s="121">
        <f t="shared" si="22"/>
        <v>0</v>
      </c>
      <c r="BI74" s="121">
        <f t="shared" si="23"/>
        <v>0</v>
      </c>
      <c r="BJ74" s="121">
        <f t="shared" si="24"/>
        <v>0</v>
      </c>
      <c r="BK74" s="121">
        <f t="shared" si="25"/>
        <v>0</v>
      </c>
      <c r="BL74" s="121">
        <f t="shared" si="26"/>
        <v>0</v>
      </c>
      <c r="BM74" s="121">
        <f t="shared" si="27"/>
        <v>0</v>
      </c>
      <c r="BN74" s="121">
        <f t="shared" si="28"/>
        <v>0</v>
      </c>
      <c r="BO74" s="121">
        <f t="shared" si="29"/>
        <v>0</v>
      </c>
      <c r="BP74" s="121">
        <f t="shared" si="30"/>
        <v>0</v>
      </c>
      <c r="BQ74" s="199">
        <f>INDEX('GDP deflators'!$C$6:$M$36,MATCH('Bottom-up tagging'!$D74,'GDP deflators'!$B$6:$B$36,),MATCH('Bottom-up tagging'!$E74,'GDP deflators'!$C$5:$L$5,))/100</f>
        <v>1.4111098032990623</v>
      </c>
      <c r="BR74" s="24">
        <v>10000000</v>
      </c>
    </row>
    <row r="75" spans="2:70" ht="26.15" hidden="1" customHeight="1">
      <c r="B75" s="110" t="s">
        <v>2040</v>
      </c>
      <c r="C75" s="110" t="s">
        <v>2044</v>
      </c>
      <c r="D75" s="110" t="s">
        <v>2057</v>
      </c>
      <c r="E75" s="103">
        <v>2017</v>
      </c>
      <c r="F75" s="108" t="s">
        <v>7653</v>
      </c>
      <c r="G75" s="111" t="s">
        <v>109</v>
      </c>
      <c r="H75" s="110" t="s">
        <v>10451</v>
      </c>
      <c r="I75" s="112">
        <f>IF(Dashboard!$B$16="Current USD",'Bottom-up tagging'!BR75,'Bottom-up tagging'!BR75/'Bottom-up tagging'!BQ75)</f>
        <v>8287812.1161149098</v>
      </c>
      <c r="J75" s="117" t="s">
        <v>10474</v>
      </c>
      <c r="K75" s="112"/>
      <c r="L75" s="135">
        <v>1</v>
      </c>
      <c r="M75" s="135">
        <v>1</v>
      </c>
      <c r="N75" s="112"/>
      <c r="O75" s="112"/>
      <c r="P75" s="112" t="str">
        <f>VLOOKUP(B75, 'Companies covered restructured'!$B$7:$K$470, 9, FALSE)</f>
        <v>Agri marketplaces</v>
      </c>
      <c r="Q75" s="112" t="str">
        <f>VLOOKUP(B75, 'Companies covered restructured'!$B$7:$K$470, 6, FALSE)</f>
        <v>#Crops(080); #Livestock(020)</v>
      </c>
      <c r="R75" s="112" t="str">
        <f t="shared" si="0"/>
        <v>N/A</v>
      </c>
      <c r="S75" s="112" t="s">
        <v>11003</v>
      </c>
      <c r="T75" s="112" t="s">
        <v>10466</v>
      </c>
      <c r="U75" s="103" t="s">
        <v>10970</v>
      </c>
      <c r="V75" s="112" t="str">
        <f>VLOOKUP(P75, 'Bottom-up Tagging Assumptions'!$B$12:$F$39, 5, FALSE)</f>
        <v>#Process Innovation(100)</v>
      </c>
      <c r="W75" s="112" t="str">
        <f>VLOOKUP(B75, 'Companies covered restructured'!$B$7:$K$470, 7, FALSE)</f>
        <v>#Farm/Household(100)</v>
      </c>
      <c r="X75" s="112" t="s">
        <v>10558</v>
      </c>
      <c r="Y75" s="212" t="str">
        <f>VLOOKUP(P75, 'Bottom-up Tagging Assumptions'!$B$12:$C$56, 2, FALSE)</f>
        <v>#Other Economic(P); Social(S)</v>
      </c>
      <c r="Z75" s="112" t="str">
        <f>VLOOKUP(P75, 'Bottom-up Tagging Assumptions'!$B$12:$F$56, 3, FALSE)</f>
        <v>#Improve price realization(P)</v>
      </c>
      <c r="AA75" s="112" t="str">
        <f>VLOOKUP(P75, 'Bottom-up Tagging Assumptions'!$B$12:$F$56, 4, FALSE)</f>
        <v>#Level 4(100)</v>
      </c>
      <c r="AB75" s="110" t="s">
        <v>2042</v>
      </c>
      <c r="AC75" s="110"/>
      <c r="AD75" s="110"/>
      <c r="AE75" s="110" t="s">
        <v>10558</v>
      </c>
      <c r="AF75" s="112">
        <v>73326732</v>
      </c>
      <c r="AG75" s="110" t="s">
        <v>1125</v>
      </c>
      <c r="AH75" s="121">
        <f t="shared" si="1"/>
        <v>0</v>
      </c>
      <c r="AI75" s="121">
        <f t="shared" si="2"/>
        <v>0</v>
      </c>
      <c r="AJ75" s="121">
        <f t="shared" si="3"/>
        <v>1</v>
      </c>
      <c r="AK75" s="121">
        <f t="shared" si="4"/>
        <v>1</v>
      </c>
      <c r="AL75" s="121">
        <f t="shared" si="5"/>
        <v>0</v>
      </c>
      <c r="AM75" s="121">
        <f t="shared" si="6"/>
        <v>0</v>
      </c>
      <c r="AN75" s="121">
        <f t="shared" si="7"/>
        <v>1</v>
      </c>
      <c r="AO75" s="121">
        <f t="shared" si="8"/>
        <v>0</v>
      </c>
      <c r="AP75" s="22">
        <f t="shared" si="9"/>
        <v>0</v>
      </c>
      <c r="AQ75" s="22">
        <f t="shared" si="10"/>
        <v>8287812.1161149098</v>
      </c>
      <c r="AR75" s="22">
        <f t="shared" si="11"/>
        <v>0</v>
      </c>
      <c r="AS75" s="121" t="str">
        <f t="shared" si="12"/>
        <v>Crops</v>
      </c>
      <c r="AT75" s="121" t="str">
        <f t="shared" si="35"/>
        <v>Livestock</v>
      </c>
      <c r="AU75" s="121" t="str">
        <f t="shared" si="35"/>
        <v xml:space="preserve"> </v>
      </c>
      <c r="AV75" s="121" t="str">
        <f t="shared" si="35"/>
        <v xml:space="preserve"> </v>
      </c>
      <c r="AW75" s="130" t="str">
        <f t="shared" si="36"/>
        <v>080</v>
      </c>
      <c r="AX75" s="130" t="str">
        <f t="shared" si="36"/>
        <v>020</v>
      </c>
      <c r="AY75" s="130" t="str">
        <f t="shared" si="36"/>
        <v xml:space="preserve"> </v>
      </c>
      <c r="AZ75" s="130" t="str">
        <f t="shared" si="36"/>
        <v xml:space="preserve"> </v>
      </c>
      <c r="BA75" s="121">
        <f t="shared" si="15"/>
        <v>6630249.6928919284</v>
      </c>
      <c r="BB75" s="121">
        <f t="shared" si="16"/>
        <v>1657562.4232229821</v>
      </c>
      <c r="BC75" s="121">
        <f t="shared" si="17"/>
        <v>0</v>
      </c>
      <c r="BD75" s="121">
        <f t="shared" si="18"/>
        <v>0</v>
      </c>
      <c r="BE75" s="121">
        <f t="shared" si="19"/>
        <v>0</v>
      </c>
      <c r="BF75" s="121">
        <f t="shared" si="20"/>
        <v>0</v>
      </c>
      <c r="BG75" s="121">
        <f t="shared" si="21"/>
        <v>0</v>
      </c>
      <c r="BH75" s="121">
        <f t="shared" si="22"/>
        <v>0</v>
      </c>
      <c r="BI75" s="121">
        <f t="shared" si="23"/>
        <v>6630249.6928919284</v>
      </c>
      <c r="BJ75" s="121">
        <f t="shared" si="24"/>
        <v>1657562.4232229821</v>
      </c>
      <c r="BK75" s="121">
        <f t="shared" si="25"/>
        <v>8287812.1161149098</v>
      </c>
      <c r="BL75" s="121">
        <f t="shared" si="26"/>
        <v>8287812.1161149098</v>
      </c>
      <c r="BM75" s="121">
        <f t="shared" si="27"/>
        <v>0</v>
      </c>
      <c r="BN75" s="121">
        <f t="shared" si="28"/>
        <v>0</v>
      </c>
      <c r="BO75" s="121">
        <f t="shared" si="29"/>
        <v>0</v>
      </c>
      <c r="BP75" s="121">
        <f t="shared" si="30"/>
        <v>0</v>
      </c>
      <c r="BQ75" s="199">
        <f>INDEX('GDP deflators'!$C$6:$M$36,MATCH('Bottom-up tagging'!$D75,'GDP deflators'!$B$6:$B$36,),MATCH('Bottom-up tagging'!$E75,'GDP deflators'!$C$5:$L$5,))/100</f>
        <v>1.2065910592441995</v>
      </c>
      <c r="BR75" s="24">
        <v>10000000</v>
      </c>
    </row>
    <row r="76" spans="2:70" ht="26.15" hidden="1" customHeight="1">
      <c r="B76" s="110" t="s">
        <v>2612</v>
      </c>
      <c r="C76" s="110" t="s">
        <v>2615</v>
      </c>
      <c r="D76" s="110" t="s">
        <v>2057</v>
      </c>
      <c r="E76" s="103">
        <v>2015</v>
      </c>
      <c r="F76" s="108" t="s">
        <v>9590</v>
      </c>
      <c r="G76" s="111" t="s">
        <v>25</v>
      </c>
      <c r="H76" s="110" t="s">
        <v>10451</v>
      </c>
      <c r="I76" s="112">
        <f>IF(Dashboard!$B$16="Current USD",'Bottom-up tagging'!BR76,'Bottom-up tagging'!BR76/'Bottom-up tagging'!BQ76)</f>
        <v>8760268.4215490632</v>
      </c>
      <c r="J76" s="118" t="s">
        <v>10474</v>
      </c>
      <c r="K76" s="112"/>
      <c r="L76" s="135">
        <v>1</v>
      </c>
      <c r="M76" s="135">
        <v>1</v>
      </c>
      <c r="N76" s="112"/>
      <c r="O76" s="112"/>
      <c r="P76" s="112" t="str">
        <f>VLOOKUP(B76, 'Companies covered restructured'!$B$7:$K$470, 9, FALSE)</f>
        <v xml:space="preserve">Agriculture financing systems </v>
      </c>
      <c r="Q76" s="112" t="str">
        <f>VLOOKUP(B76, 'Companies covered restructured'!$B$7:$K$470, 6, FALSE)</f>
        <v>#Livestock(100)</v>
      </c>
      <c r="R76" s="112" t="str">
        <f t="shared" ref="R76:R139" si="37">IF(AE76="FUND", "#Investment Fund(100)", IF(AE76="CORPORATE_INVESTOR", "#Corporate(100)", IF(AE76="ANGEL", "#Angel Investor(100)", "N/A")))</f>
        <v>N/A</v>
      </c>
      <c r="S76" s="112" t="s">
        <v>11003</v>
      </c>
      <c r="T76" s="112" t="s">
        <v>10466</v>
      </c>
      <c r="U76" s="103" t="s">
        <v>10970</v>
      </c>
      <c r="V76" s="112" t="str">
        <f>VLOOKUP(P76, 'Bottom-up Tagging Assumptions'!$B$12:$F$39, 5, FALSE)</f>
        <v>#Process Innovation(100)</v>
      </c>
      <c r="W76" s="112" t="str">
        <f>VLOOKUP(B76, 'Companies covered restructured'!$B$7:$K$470, 7, FALSE)</f>
        <v>N/A</v>
      </c>
      <c r="X76" s="112" t="str">
        <f>VLOOKUP(B76, 'Companies covered restructured'!$B$7:$K$470, 8, FALSE)</f>
        <v>N/A</v>
      </c>
      <c r="Y76" s="212" t="str">
        <f>VLOOKUP(P76, 'Bottom-up Tagging Assumptions'!$B$12:$C$56, 2, FALSE)</f>
        <v>#Other Economic(P); Social(S)</v>
      </c>
      <c r="Z76" s="112" t="str">
        <f>VLOOKUP(P76, 'Bottom-up Tagging Assumptions'!$B$12:$F$56, 3, FALSE)</f>
        <v>NA</v>
      </c>
      <c r="AA76" s="112" t="str">
        <f>VLOOKUP(P76, 'Bottom-up Tagging Assumptions'!$B$12:$F$56, 4, FALSE)</f>
        <v>#Level 1(100)</v>
      </c>
      <c r="AB76" s="110" t="s">
        <v>2614</v>
      </c>
      <c r="AC76" s="110"/>
      <c r="AD76" s="110"/>
      <c r="AE76" s="110" t="s">
        <v>10558</v>
      </c>
      <c r="AF76" s="112"/>
      <c r="AG76" s="110" t="s">
        <v>1489</v>
      </c>
      <c r="AH76" s="121">
        <f t="shared" ref="AH76:AH139" si="38">IF(ISNUMBER(SEARCH("Environmental",$Y76))=TRUE,1,0)</f>
        <v>0</v>
      </c>
      <c r="AI76" s="121">
        <f t="shared" ref="AI76:AI139" si="39">IF(ISNUMBER(SEARCH("Productivity",$Y76))=TRUE,1,0)</f>
        <v>0</v>
      </c>
      <c r="AJ76" s="121">
        <f t="shared" ref="AJ76:AJ139" si="40">IF(ISNUMBER(SEARCH("Other Economic",$Y76))=TRUE,1,0)</f>
        <v>1</v>
      </c>
      <c r="AK76" s="121">
        <f t="shared" ref="AK76:AK139" si="41">IF(ISNUMBER(SEARCH("Social",$Y76))=TRUE,1,0)</f>
        <v>1</v>
      </c>
      <c r="AL76" s="121">
        <f t="shared" ref="AL76:AL139" si="42">IF(ISNUMBER(SEARCH("Human Condition",$Y76))=TRUE,1,0)</f>
        <v>0</v>
      </c>
      <c r="AM76" s="121">
        <f t="shared" ref="AM76:AM139" si="43">IF((AI76+AH76+AK76)=3,1,IF((AI76+AH76+AL76)=3,1,0))</f>
        <v>0</v>
      </c>
      <c r="AN76" s="121">
        <f t="shared" ref="AN76:AN139" si="44">IF(AND(SUM(AI76:AJ76)&gt;0,SUM(AK76:AL76,AH76)&gt;0),1,0)</f>
        <v>1</v>
      </c>
      <c r="AO76" s="121">
        <f t="shared" ref="AO76:AO139" si="45">IF(AI76+AH76=2, 1, 0)</f>
        <v>0</v>
      </c>
      <c r="AP76" s="22">
        <f t="shared" ref="AP76:AP139" si="46">IF(AM76=1, I76, 0)</f>
        <v>0</v>
      </c>
      <c r="AQ76" s="22">
        <f t="shared" ref="AQ76:AQ139" si="47">IF(AN76=1, I76, 0)</f>
        <v>8760268.4215490632</v>
      </c>
      <c r="AR76" s="22">
        <f t="shared" ref="AR76:AR139" si="48">IF(AO76=1, I76, 0)</f>
        <v>0</v>
      </c>
      <c r="AS76" s="121" t="str">
        <f t="shared" ref="AS76:AS139" si="49">IFERROR(MID($Q76,2,(FIND("~",SUBSTITUTE($Q76,")","~",AS$10))-6)),$Q76)</f>
        <v>Livestock</v>
      </c>
      <c r="AT76" s="121" t="str">
        <f t="shared" si="35"/>
        <v xml:space="preserve"> </v>
      </c>
      <c r="AU76" s="121" t="str">
        <f t="shared" si="35"/>
        <v xml:space="preserve"> </v>
      </c>
      <c r="AV76" s="121" t="str">
        <f t="shared" si="35"/>
        <v xml:space="preserve"> </v>
      </c>
      <c r="AW76" s="130" t="str">
        <f t="shared" si="36"/>
        <v>100</v>
      </c>
      <c r="AX76" s="130" t="str">
        <f t="shared" si="36"/>
        <v xml:space="preserve"> </v>
      </c>
      <c r="AY76" s="130" t="str">
        <f t="shared" si="36"/>
        <v xml:space="preserve"> </v>
      </c>
      <c r="AZ76" s="130" t="str">
        <f t="shared" si="36"/>
        <v xml:space="preserve"> </v>
      </c>
      <c r="BA76" s="121">
        <f t="shared" ref="BA76:BA139" si="50">IFERROR($I76*AW76/100,$I76)</f>
        <v>8760268.4215490632</v>
      </c>
      <c r="BB76" s="121">
        <f t="shared" ref="BB76:BB139" si="51">IFERROR($I76*AX76/100,0)</f>
        <v>0</v>
      </c>
      <c r="BC76" s="121">
        <f t="shared" ref="BC76:BC139" si="52">IFERROR($I76*AY76/100,0)</f>
        <v>0</v>
      </c>
      <c r="BD76" s="121">
        <f t="shared" ref="BD76:BD139" si="53">IFERROR($I76*AZ76/100,0)</f>
        <v>0</v>
      </c>
      <c r="BE76" s="121">
        <f t="shared" ref="BE76:BE139" si="54">IFERROR($AP76*AW76/100,$AP76)</f>
        <v>0</v>
      </c>
      <c r="BF76" s="121">
        <f t="shared" ref="BF76:BF139" si="55">IFERROR($AP76*AX76/100,$AP76)</f>
        <v>0</v>
      </c>
      <c r="BG76" s="121">
        <f t="shared" ref="BG76:BG139" si="56">IFERROR($AP76*AY76/100,$AP76)</f>
        <v>0</v>
      </c>
      <c r="BH76" s="121">
        <f t="shared" ref="BH76:BH139" si="57">IFERROR($AP76*AZ76/100,$AP76)</f>
        <v>0</v>
      </c>
      <c r="BI76" s="121">
        <f t="shared" ref="BI76:BI139" si="58">IFERROR($AQ76*AW76/100,$AQ76)</f>
        <v>8760268.4215490632</v>
      </c>
      <c r="BJ76" s="121">
        <f t="shared" ref="BJ76:BJ139" si="59">IFERROR($AQ76*AX76/100,$AQ76)</f>
        <v>8760268.4215490632</v>
      </c>
      <c r="BK76" s="121">
        <f t="shared" ref="BK76:BK139" si="60">IFERROR($AQ76*AY76/100,$AQ76)</f>
        <v>8760268.4215490632</v>
      </c>
      <c r="BL76" s="121">
        <f t="shared" ref="BL76:BL139" si="61">IFERROR($AQ76*AZ76/100,$AQ76)</f>
        <v>8760268.4215490632</v>
      </c>
      <c r="BM76" s="121">
        <f t="shared" ref="BM76:BM139" si="62">IFERROR($AR76*AW76/100,$AR76)</f>
        <v>0</v>
      </c>
      <c r="BN76" s="121">
        <f t="shared" ref="BN76:BN139" si="63">IFERROR($AR76*AX76/100,$AR76)</f>
        <v>0</v>
      </c>
      <c r="BO76" s="121">
        <f t="shared" ref="BO76:BO139" si="64">IFERROR($AR76*AY76/100,$AR76)</f>
        <v>0</v>
      </c>
      <c r="BP76" s="121">
        <f t="shared" ref="BP76:BP139" si="65">IFERROR($AR76*AZ76/100,$AR76)</f>
        <v>0</v>
      </c>
      <c r="BQ76" s="199">
        <f>INDEX('GDP deflators'!$C$6:$M$36,MATCH('Bottom-up tagging'!$D76,'GDP deflators'!$B$6:$B$36,),MATCH('Bottom-up tagging'!$E76,'GDP deflators'!$C$5:$L$5,))/100</f>
        <v>1.1415175333442258</v>
      </c>
      <c r="BR76" s="24">
        <v>10000000</v>
      </c>
    </row>
    <row r="77" spans="2:70" ht="26.15" hidden="1" customHeight="1">
      <c r="B77" s="110" t="s">
        <v>2686</v>
      </c>
      <c r="C77" s="110" t="s">
        <v>2688</v>
      </c>
      <c r="D77" s="110" t="s">
        <v>2057</v>
      </c>
      <c r="E77" s="103">
        <v>2015</v>
      </c>
      <c r="F77" s="108" t="s">
        <v>9812</v>
      </c>
      <c r="G77" s="111" t="s">
        <v>109</v>
      </c>
      <c r="H77" s="110" t="s">
        <v>10451</v>
      </c>
      <c r="I77" s="112">
        <f>IF(Dashboard!$B$16="Current USD",'Bottom-up tagging'!BR77,'Bottom-up tagging'!BR77/'Bottom-up tagging'!BQ77)</f>
        <v>8760268.4215490632</v>
      </c>
      <c r="J77" s="118" t="s">
        <v>10474</v>
      </c>
      <c r="K77" s="112"/>
      <c r="L77" s="135">
        <v>1</v>
      </c>
      <c r="M77" s="135">
        <v>1</v>
      </c>
      <c r="N77" s="112"/>
      <c r="O77" s="112"/>
      <c r="P77" s="112" t="str">
        <f>VLOOKUP(B77, 'Companies covered restructured'!$B$7:$K$470, 9, FALSE)</f>
        <v>Breeding &amp; genetics</v>
      </c>
      <c r="Q77" s="112" t="str">
        <f>VLOOKUP(B77, 'Companies covered restructured'!$B$7:$K$470, 6, FALSE)</f>
        <v>#Crops(050); #Livestock(050)</v>
      </c>
      <c r="R77" s="112" t="str">
        <f t="shared" si="37"/>
        <v>N/A</v>
      </c>
      <c r="S77" s="112" t="s">
        <v>11003</v>
      </c>
      <c r="T77" s="112" t="s">
        <v>10466</v>
      </c>
      <c r="U77" s="103" t="s">
        <v>10970</v>
      </c>
      <c r="V77" s="212" t="s">
        <v>10977</v>
      </c>
      <c r="W77" s="112" t="str">
        <f>VLOOKUP(B77, 'Companies covered restructured'!$B$7:$K$470, 7, FALSE)</f>
        <v>#Landscape(100)</v>
      </c>
      <c r="X77" s="112" t="str">
        <f>VLOOKUP(B77, 'Companies covered restructured'!$B$7:$K$470, 8, FALSE)</f>
        <v>N/A</v>
      </c>
      <c r="Y77" s="212" t="str">
        <f>VLOOKUP(P77, 'Bottom-up Tagging Assumptions'!$B$12:$C$56, 2, FALSE)</f>
        <v>#Productivity(P); #Other Economic(S)</v>
      </c>
      <c r="Z77" s="112" t="str">
        <f>VLOOKUP(P77, 'Bottom-up Tagging Assumptions'!$B$12:$F$56, 3, FALSE)</f>
        <v>#Increasing crop or animal yield(P)</v>
      </c>
      <c r="AA77" s="112" t="str">
        <f>VLOOKUP(P77, 'Bottom-up Tagging Assumptions'!$B$12:$F$56, 4, FALSE)</f>
        <v>#Level 2(100)</v>
      </c>
      <c r="AB77" s="110"/>
      <c r="AC77" s="110"/>
      <c r="AD77" s="110"/>
      <c r="AE77" s="110" t="s">
        <v>10558</v>
      </c>
      <c r="AF77" s="112">
        <v>774776</v>
      </c>
      <c r="AG77" s="110" t="s">
        <v>1496</v>
      </c>
      <c r="AH77" s="121">
        <f t="shared" si="38"/>
        <v>0</v>
      </c>
      <c r="AI77" s="121">
        <f t="shared" si="39"/>
        <v>1</v>
      </c>
      <c r="AJ77" s="121">
        <f t="shared" si="40"/>
        <v>1</v>
      </c>
      <c r="AK77" s="121">
        <f t="shared" si="41"/>
        <v>0</v>
      </c>
      <c r="AL77" s="121">
        <f t="shared" si="42"/>
        <v>0</v>
      </c>
      <c r="AM77" s="121">
        <f t="shared" si="43"/>
        <v>0</v>
      </c>
      <c r="AN77" s="121">
        <f t="shared" si="44"/>
        <v>0</v>
      </c>
      <c r="AO77" s="121">
        <f t="shared" si="45"/>
        <v>0</v>
      </c>
      <c r="AP77" s="22">
        <f t="shared" si="46"/>
        <v>0</v>
      </c>
      <c r="AQ77" s="22">
        <f t="shared" si="47"/>
        <v>0</v>
      </c>
      <c r="AR77" s="22">
        <f t="shared" si="48"/>
        <v>0</v>
      </c>
      <c r="AS77" s="121" t="str">
        <f t="shared" si="49"/>
        <v>Crops</v>
      </c>
      <c r="AT77" s="121" t="str">
        <f t="shared" si="35"/>
        <v>Livestock</v>
      </c>
      <c r="AU77" s="121" t="str">
        <f t="shared" si="35"/>
        <v xml:space="preserve"> </v>
      </c>
      <c r="AV77" s="121" t="str">
        <f t="shared" si="35"/>
        <v xml:space="preserve"> </v>
      </c>
      <c r="AW77" s="130" t="str">
        <f t="shared" si="36"/>
        <v>050</v>
      </c>
      <c r="AX77" s="130" t="str">
        <f t="shared" si="36"/>
        <v>050</v>
      </c>
      <c r="AY77" s="130" t="str">
        <f t="shared" si="36"/>
        <v xml:space="preserve"> </v>
      </c>
      <c r="AZ77" s="130" t="str">
        <f t="shared" si="36"/>
        <v xml:space="preserve"> </v>
      </c>
      <c r="BA77" s="121">
        <f t="shared" si="50"/>
        <v>4380134.2107745316</v>
      </c>
      <c r="BB77" s="121">
        <f t="shared" si="51"/>
        <v>4380134.2107745316</v>
      </c>
      <c r="BC77" s="121">
        <f t="shared" si="52"/>
        <v>0</v>
      </c>
      <c r="BD77" s="121">
        <f t="shared" si="53"/>
        <v>0</v>
      </c>
      <c r="BE77" s="121">
        <f t="shared" si="54"/>
        <v>0</v>
      </c>
      <c r="BF77" s="121">
        <f t="shared" si="55"/>
        <v>0</v>
      </c>
      <c r="BG77" s="121">
        <f t="shared" si="56"/>
        <v>0</v>
      </c>
      <c r="BH77" s="121">
        <f t="shared" si="57"/>
        <v>0</v>
      </c>
      <c r="BI77" s="121">
        <f t="shared" si="58"/>
        <v>0</v>
      </c>
      <c r="BJ77" s="121">
        <f t="shared" si="59"/>
        <v>0</v>
      </c>
      <c r="BK77" s="121">
        <f t="shared" si="60"/>
        <v>0</v>
      </c>
      <c r="BL77" s="121">
        <f t="shared" si="61"/>
        <v>0</v>
      </c>
      <c r="BM77" s="121">
        <f t="shared" si="62"/>
        <v>0</v>
      </c>
      <c r="BN77" s="121">
        <f t="shared" si="63"/>
        <v>0</v>
      </c>
      <c r="BO77" s="121">
        <f t="shared" si="64"/>
        <v>0</v>
      </c>
      <c r="BP77" s="121">
        <f t="shared" si="65"/>
        <v>0</v>
      </c>
      <c r="BQ77" s="199">
        <f>INDEX('GDP deflators'!$C$6:$M$36,MATCH('Bottom-up tagging'!$D77,'GDP deflators'!$B$6:$B$36,),MATCH('Bottom-up tagging'!$E77,'GDP deflators'!$C$5:$L$5,))/100</f>
        <v>1.1415175333442258</v>
      </c>
      <c r="BR77" s="24">
        <v>10000000</v>
      </c>
    </row>
    <row r="78" spans="2:70" ht="26.15" hidden="1" customHeight="1">
      <c r="B78" s="110" t="s">
        <v>2668</v>
      </c>
      <c r="C78" s="110" t="s">
        <v>2670</v>
      </c>
      <c r="D78" s="110" t="s">
        <v>2057</v>
      </c>
      <c r="E78" s="103">
        <v>2015</v>
      </c>
      <c r="F78" s="108" t="s">
        <v>9594</v>
      </c>
      <c r="G78" s="111" t="s">
        <v>109</v>
      </c>
      <c r="H78" s="110" t="s">
        <v>10451</v>
      </c>
      <c r="I78" s="112">
        <f>IF(Dashboard!$B$16="Current USD",'Bottom-up tagging'!BR78,'Bottom-up tagging'!BR78/'Bottom-up tagging'!BQ78)</f>
        <v>8760268.4215490632</v>
      </c>
      <c r="J78" s="105" t="s">
        <v>10474</v>
      </c>
      <c r="K78" s="112"/>
      <c r="L78" s="135">
        <v>1</v>
      </c>
      <c r="M78" s="135">
        <v>1</v>
      </c>
      <c r="N78" s="112"/>
      <c r="O78" s="112"/>
      <c r="P78" s="112" t="str">
        <f>VLOOKUP(B78, 'Companies covered restructured'!$B$7:$K$470, 9, FALSE)</f>
        <v>Agri input e-commerce platforms</v>
      </c>
      <c r="Q78" s="112" t="str">
        <f>VLOOKUP(B78, 'Companies covered restructured'!$B$7:$K$470, 6, FALSE)</f>
        <v>#Crops(100)</v>
      </c>
      <c r="R78" s="112" t="str">
        <f t="shared" si="37"/>
        <v>N/A</v>
      </c>
      <c r="S78" s="112" t="s">
        <v>11003</v>
      </c>
      <c r="T78" s="112" t="s">
        <v>10466</v>
      </c>
      <c r="U78" s="103" t="s">
        <v>10970</v>
      </c>
      <c r="V78" s="112" t="str">
        <f>VLOOKUP(P78, 'Bottom-up Tagging Assumptions'!$B$12:$F$39, 5, FALSE)</f>
        <v>#Process Innovation(100)</v>
      </c>
      <c r="W78" s="112" t="str">
        <f>VLOOKUP(B78, 'Companies covered restructured'!$B$7:$K$470, 7, FALSE)</f>
        <v>#Landscape(100)</v>
      </c>
      <c r="X78" s="112" t="str">
        <f>VLOOKUP(B78, 'Companies covered restructured'!$B$7:$K$470, 8, FALSE)</f>
        <v>N/A</v>
      </c>
      <c r="Y78" s="212" t="str">
        <f>VLOOKUP(P78, 'Bottom-up Tagging Assumptions'!$B$12:$C$56, 2, FALSE)</f>
        <v>#Other Economic(P); Productivity(S)</v>
      </c>
      <c r="Z78" s="112" t="str">
        <f>VLOOKUP(P78, 'Bottom-up Tagging Assumptions'!$B$12:$F$56, 3, FALSE)</f>
        <v>#Reduce cost of inputs(P)</v>
      </c>
      <c r="AA78" s="112" t="str">
        <f>VLOOKUP(P78, 'Bottom-up Tagging Assumptions'!$B$12:$F$56, 4, FALSE)</f>
        <v>#Level 1(100)</v>
      </c>
      <c r="AB78" s="110" t="s">
        <v>2750</v>
      </c>
      <c r="AC78" s="110"/>
      <c r="AD78" s="110"/>
      <c r="AE78" s="110" t="s">
        <v>10558</v>
      </c>
      <c r="AF78" s="112">
        <v>1570818</v>
      </c>
      <c r="AG78" s="110" t="s">
        <v>995</v>
      </c>
      <c r="AH78" s="121">
        <f t="shared" si="38"/>
        <v>0</v>
      </c>
      <c r="AI78" s="121">
        <f t="shared" si="39"/>
        <v>1</v>
      </c>
      <c r="AJ78" s="121">
        <f t="shared" si="40"/>
        <v>1</v>
      </c>
      <c r="AK78" s="121">
        <f t="shared" si="41"/>
        <v>0</v>
      </c>
      <c r="AL78" s="121">
        <f t="shared" si="42"/>
        <v>0</v>
      </c>
      <c r="AM78" s="121">
        <f t="shared" si="43"/>
        <v>0</v>
      </c>
      <c r="AN78" s="121">
        <f t="shared" si="44"/>
        <v>0</v>
      </c>
      <c r="AO78" s="121">
        <f t="shared" si="45"/>
        <v>0</v>
      </c>
      <c r="AP78" s="22">
        <f t="shared" si="46"/>
        <v>0</v>
      </c>
      <c r="AQ78" s="22">
        <f t="shared" si="47"/>
        <v>0</v>
      </c>
      <c r="AR78" s="22">
        <f t="shared" si="48"/>
        <v>0</v>
      </c>
      <c r="AS78" s="121" t="str">
        <f t="shared" si="49"/>
        <v>Crops</v>
      </c>
      <c r="AT78" s="121" t="str">
        <f t="shared" si="35"/>
        <v xml:space="preserve"> </v>
      </c>
      <c r="AU78" s="121" t="str">
        <f t="shared" si="35"/>
        <v xml:space="preserve"> </v>
      </c>
      <c r="AV78" s="121" t="str">
        <f t="shared" si="35"/>
        <v xml:space="preserve"> </v>
      </c>
      <c r="AW78" s="130" t="str">
        <f t="shared" si="36"/>
        <v>100</v>
      </c>
      <c r="AX78" s="130" t="str">
        <f t="shared" si="36"/>
        <v xml:space="preserve"> </v>
      </c>
      <c r="AY78" s="130" t="str">
        <f t="shared" si="36"/>
        <v xml:space="preserve"> </v>
      </c>
      <c r="AZ78" s="130" t="str">
        <f t="shared" si="36"/>
        <v xml:space="preserve"> </v>
      </c>
      <c r="BA78" s="121">
        <f t="shared" si="50"/>
        <v>8760268.4215490632</v>
      </c>
      <c r="BB78" s="121">
        <f t="shared" si="51"/>
        <v>0</v>
      </c>
      <c r="BC78" s="121">
        <f t="shared" si="52"/>
        <v>0</v>
      </c>
      <c r="BD78" s="121">
        <f t="shared" si="53"/>
        <v>0</v>
      </c>
      <c r="BE78" s="121">
        <f t="shared" si="54"/>
        <v>0</v>
      </c>
      <c r="BF78" s="121">
        <f t="shared" si="55"/>
        <v>0</v>
      </c>
      <c r="BG78" s="121">
        <f t="shared" si="56"/>
        <v>0</v>
      </c>
      <c r="BH78" s="121">
        <f t="shared" si="57"/>
        <v>0</v>
      </c>
      <c r="BI78" s="121">
        <f t="shared" si="58"/>
        <v>0</v>
      </c>
      <c r="BJ78" s="121">
        <f t="shared" si="59"/>
        <v>0</v>
      </c>
      <c r="BK78" s="121">
        <f t="shared" si="60"/>
        <v>0</v>
      </c>
      <c r="BL78" s="121">
        <f t="shared" si="61"/>
        <v>0</v>
      </c>
      <c r="BM78" s="121">
        <f t="shared" si="62"/>
        <v>0</v>
      </c>
      <c r="BN78" s="121">
        <f t="shared" si="63"/>
        <v>0</v>
      </c>
      <c r="BO78" s="121">
        <f t="shared" si="64"/>
        <v>0</v>
      </c>
      <c r="BP78" s="121">
        <f t="shared" si="65"/>
        <v>0</v>
      </c>
      <c r="BQ78" s="199">
        <f>INDEX('GDP deflators'!$C$6:$M$36,MATCH('Bottom-up tagging'!$D78,'GDP deflators'!$B$6:$B$36,),MATCH('Bottom-up tagging'!$E78,'GDP deflators'!$C$5:$L$5,))/100</f>
        <v>1.1415175333442258</v>
      </c>
      <c r="BR78" s="24">
        <v>10000000</v>
      </c>
    </row>
    <row r="79" spans="2:70" ht="26.15" hidden="1" customHeight="1">
      <c r="B79" s="110" t="s">
        <v>2309</v>
      </c>
      <c r="C79" s="110" t="s">
        <v>2312</v>
      </c>
      <c r="D79" s="110" t="s">
        <v>2057</v>
      </c>
      <c r="E79" s="103">
        <v>2014</v>
      </c>
      <c r="F79" s="108" t="s">
        <v>10211</v>
      </c>
      <c r="G79" s="111" t="s">
        <v>25</v>
      </c>
      <c r="H79" s="110" t="s">
        <v>10451</v>
      </c>
      <c r="I79" s="112">
        <f>IF(Dashboard!$B$16="Current USD",'Bottom-up tagging'!BR79,'Bottom-up tagging'!BR79/'Bottom-up tagging'!BQ79)</f>
        <v>8759967.1887826547</v>
      </c>
      <c r="J79" s="117" t="s">
        <v>10474</v>
      </c>
      <c r="K79" s="112"/>
      <c r="L79" s="135">
        <v>1</v>
      </c>
      <c r="M79" s="135">
        <v>1</v>
      </c>
      <c r="N79" s="112"/>
      <c r="O79" s="112"/>
      <c r="P79" s="112" t="str">
        <f>VLOOKUP(B79, 'Companies covered restructured'!$B$7:$K$470, 9, FALSE)</f>
        <v>Agri marketplaces</v>
      </c>
      <c r="Q79" s="112" t="str">
        <f>VLOOKUP(B79, 'Companies covered restructured'!$B$7:$K$470, 6, FALSE)</f>
        <v>#Crops(100)</v>
      </c>
      <c r="R79" s="112" t="str">
        <f t="shared" si="37"/>
        <v>#Investment Fund(100)</v>
      </c>
      <c r="S79" s="112" t="s">
        <v>11003</v>
      </c>
      <c r="T79" s="112" t="s">
        <v>10466</v>
      </c>
      <c r="U79" s="213" t="s">
        <v>10970</v>
      </c>
      <c r="V79" s="112" t="str">
        <f>VLOOKUP(P79, 'Bottom-up Tagging Assumptions'!$B$12:$F$39, 5, FALSE)</f>
        <v>#Process Innovation(100)</v>
      </c>
      <c r="W79" s="112" t="str">
        <f>VLOOKUP(B79, 'Companies covered restructured'!$B$7:$K$470, 7, FALSE)</f>
        <v>N/A</v>
      </c>
      <c r="X79" s="112" t="str">
        <f>VLOOKUP(B79, 'Companies covered restructured'!$B$7:$K$470, 8, FALSE)</f>
        <v>N/A</v>
      </c>
      <c r="Y79" s="212" t="str">
        <f>VLOOKUP(P79, 'Bottom-up Tagging Assumptions'!$B$12:$C$56, 2, FALSE)</f>
        <v>#Other Economic(P); Social(S)</v>
      </c>
      <c r="Z79" s="112" t="str">
        <f>VLOOKUP(P79, 'Bottom-up Tagging Assumptions'!$B$12:$F$56, 3, FALSE)</f>
        <v>#Improve price realization(P)</v>
      </c>
      <c r="AA79" s="112" t="str">
        <f>VLOOKUP(P79, 'Bottom-up Tagging Assumptions'!$B$12:$F$56, 4, FALSE)</f>
        <v>#Level 4(100)</v>
      </c>
      <c r="AB79" s="110" t="s">
        <v>2907</v>
      </c>
      <c r="AC79" s="110"/>
      <c r="AD79" s="110" t="s">
        <v>2908</v>
      </c>
      <c r="AE79" s="110" t="str">
        <f>VLOOKUP(AD79,  '1.2'!$B$7:$C$2033, 2, FALSE)</f>
        <v>FUND</v>
      </c>
      <c r="AF79" s="112">
        <v>2111924</v>
      </c>
      <c r="AG79" s="110" t="s">
        <v>1504</v>
      </c>
      <c r="AH79" s="121">
        <f t="shared" si="38"/>
        <v>0</v>
      </c>
      <c r="AI79" s="121">
        <f t="shared" si="39"/>
        <v>0</v>
      </c>
      <c r="AJ79" s="121">
        <f t="shared" si="40"/>
        <v>1</v>
      </c>
      <c r="AK79" s="121">
        <f t="shared" si="41"/>
        <v>1</v>
      </c>
      <c r="AL79" s="121">
        <f t="shared" si="42"/>
        <v>0</v>
      </c>
      <c r="AM79" s="121">
        <f t="shared" si="43"/>
        <v>0</v>
      </c>
      <c r="AN79" s="121">
        <f t="shared" si="44"/>
        <v>1</v>
      </c>
      <c r="AO79" s="121">
        <f t="shared" si="45"/>
        <v>0</v>
      </c>
      <c r="AP79" s="22">
        <f t="shared" si="46"/>
        <v>0</v>
      </c>
      <c r="AQ79" s="22">
        <f t="shared" si="47"/>
        <v>8759967.1887826547</v>
      </c>
      <c r="AR79" s="22">
        <f t="shared" si="48"/>
        <v>0</v>
      </c>
      <c r="AS79" s="121" t="str">
        <f t="shared" si="49"/>
        <v>Crops</v>
      </c>
      <c r="AT79" s="121" t="str">
        <f t="shared" si="35"/>
        <v xml:space="preserve"> </v>
      </c>
      <c r="AU79" s="121" t="str">
        <f t="shared" si="35"/>
        <v xml:space="preserve"> </v>
      </c>
      <c r="AV79" s="121" t="str">
        <f t="shared" si="35"/>
        <v xml:space="preserve"> </v>
      </c>
      <c r="AW79" s="130" t="str">
        <f t="shared" si="36"/>
        <v>100</v>
      </c>
      <c r="AX79" s="130" t="str">
        <f t="shared" si="36"/>
        <v xml:space="preserve"> </v>
      </c>
      <c r="AY79" s="130" t="str">
        <f t="shared" si="36"/>
        <v xml:space="preserve"> </v>
      </c>
      <c r="AZ79" s="130" t="str">
        <f t="shared" si="36"/>
        <v xml:space="preserve"> </v>
      </c>
      <c r="BA79" s="121">
        <f t="shared" si="50"/>
        <v>8759967.1887826547</v>
      </c>
      <c r="BB79" s="121">
        <f t="shared" si="51"/>
        <v>0</v>
      </c>
      <c r="BC79" s="121">
        <f t="shared" si="52"/>
        <v>0</v>
      </c>
      <c r="BD79" s="121">
        <f t="shared" si="53"/>
        <v>0</v>
      </c>
      <c r="BE79" s="121">
        <f t="shared" si="54"/>
        <v>0</v>
      </c>
      <c r="BF79" s="121">
        <f t="shared" si="55"/>
        <v>0</v>
      </c>
      <c r="BG79" s="121">
        <f t="shared" si="56"/>
        <v>0</v>
      </c>
      <c r="BH79" s="121">
        <f t="shared" si="57"/>
        <v>0</v>
      </c>
      <c r="BI79" s="121">
        <f t="shared" si="58"/>
        <v>8759967.1887826547</v>
      </c>
      <c r="BJ79" s="121">
        <f t="shared" si="59"/>
        <v>8759967.1887826547</v>
      </c>
      <c r="BK79" s="121">
        <f t="shared" si="60"/>
        <v>8759967.1887826547</v>
      </c>
      <c r="BL79" s="121">
        <f t="shared" si="61"/>
        <v>8759967.1887826547</v>
      </c>
      <c r="BM79" s="121">
        <f t="shared" si="62"/>
        <v>0</v>
      </c>
      <c r="BN79" s="121">
        <f t="shared" si="63"/>
        <v>0</v>
      </c>
      <c r="BO79" s="121">
        <f t="shared" si="64"/>
        <v>0</v>
      </c>
      <c r="BP79" s="121">
        <f t="shared" si="65"/>
        <v>0</v>
      </c>
      <c r="BQ79" s="199">
        <f>INDEX('GDP deflators'!$C$6:$M$36,MATCH('Bottom-up tagging'!$D79,'GDP deflators'!$B$6:$B$36,),MATCH('Bottom-up tagging'!$E79,'GDP deflators'!$C$5:$L$5,))/100</f>
        <v>1.1415567871995269</v>
      </c>
      <c r="BR79" s="24">
        <v>10000000</v>
      </c>
    </row>
    <row r="80" spans="2:70" ht="26.15" hidden="1" customHeight="1">
      <c r="B80" s="110" t="s">
        <v>2309</v>
      </c>
      <c r="C80" s="110" t="s">
        <v>2312</v>
      </c>
      <c r="D80" s="110" t="s">
        <v>2057</v>
      </c>
      <c r="E80" s="103">
        <v>2013</v>
      </c>
      <c r="F80" s="108" t="s">
        <v>10211</v>
      </c>
      <c r="G80" s="111" t="s">
        <v>109</v>
      </c>
      <c r="H80" s="110" t="s">
        <v>10451</v>
      </c>
      <c r="I80" s="112">
        <f>IF(Dashboard!$B$16="Current USD",'Bottom-up tagging'!BR80,'Bottom-up tagging'!BR80/'Bottom-up tagging'!BQ80)</f>
        <v>8850390.5668591987</v>
      </c>
      <c r="J80" s="118" t="s">
        <v>10474</v>
      </c>
      <c r="K80" s="112"/>
      <c r="L80" s="135">
        <v>1</v>
      </c>
      <c r="M80" s="135">
        <v>1</v>
      </c>
      <c r="N80" s="112"/>
      <c r="O80" s="112"/>
      <c r="P80" s="112" t="str">
        <f>VLOOKUP(B80, 'Companies covered restructured'!$B$7:$K$470, 9, FALSE)</f>
        <v>Agri marketplaces</v>
      </c>
      <c r="Q80" s="112" t="str">
        <f>VLOOKUP(B80, 'Companies covered restructured'!$B$7:$K$470, 6, FALSE)</f>
        <v>#Crops(100)</v>
      </c>
      <c r="R80" s="112" t="str">
        <f t="shared" si="37"/>
        <v>#Investment Fund(100)</v>
      </c>
      <c r="S80" s="112" t="s">
        <v>11003</v>
      </c>
      <c r="T80" s="112" t="s">
        <v>10466</v>
      </c>
      <c r="U80" s="103" t="s">
        <v>10970</v>
      </c>
      <c r="V80" s="112" t="str">
        <f>VLOOKUP(P80, 'Bottom-up Tagging Assumptions'!$B$12:$F$39, 5, FALSE)</f>
        <v>#Process Innovation(100)</v>
      </c>
      <c r="W80" s="112" t="str">
        <f>VLOOKUP(B80, 'Companies covered restructured'!$B$7:$K$470, 7, FALSE)</f>
        <v>N/A</v>
      </c>
      <c r="X80" s="112" t="str">
        <f>VLOOKUP(B80, 'Companies covered restructured'!$B$7:$K$470, 8, FALSE)</f>
        <v>N/A</v>
      </c>
      <c r="Y80" s="212" t="str">
        <f>VLOOKUP(P80, 'Bottom-up Tagging Assumptions'!$B$12:$C$56, 2, FALSE)</f>
        <v>#Other Economic(P); Social(S)</v>
      </c>
      <c r="Z80" s="112" t="str">
        <f>VLOOKUP(P80, 'Bottom-up Tagging Assumptions'!$B$12:$F$56, 3, FALSE)</f>
        <v>#Improve price realization(P)</v>
      </c>
      <c r="AA80" s="112" t="str">
        <f>VLOOKUP(P80, 'Bottom-up Tagging Assumptions'!$B$12:$F$56, 4, FALSE)</f>
        <v>#Level 4(100)</v>
      </c>
      <c r="AB80" s="110" t="s">
        <v>2963</v>
      </c>
      <c r="AC80" s="110"/>
      <c r="AD80" s="110" t="s">
        <v>2964</v>
      </c>
      <c r="AE80" s="110" t="str">
        <f>VLOOKUP(AD80,  '1.2'!$B$7:$C$2033, 2, FALSE)</f>
        <v>FUND</v>
      </c>
      <c r="AF80" s="112"/>
      <c r="AG80" s="110" t="s">
        <v>1509</v>
      </c>
      <c r="AH80" s="121">
        <f t="shared" si="38"/>
        <v>0</v>
      </c>
      <c r="AI80" s="121">
        <f t="shared" si="39"/>
        <v>0</v>
      </c>
      <c r="AJ80" s="121">
        <f t="shared" si="40"/>
        <v>1</v>
      </c>
      <c r="AK80" s="121">
        <f t="shared" si="41"/>
        <v>1</v>
      </c>
      <c r="AL80" s="121">
        <f t="shared" si="42"/>
        <v>0</v>
      </c>
      <c r="AM80" s="121">
        <f t="shared" si="43"/>
        <v>0</v>
      </c>
      <c r="AN80" s="121">
        <f t="shared" si="44"/>
        <v>1</v>
      </c>
      <c r="AO80" s="121">
        <f t="shared" si="45"/>
        <v>0</v>
      </c>
      <c r="AP80" s="22">
        <f t="shared" si="46"/>
        <v>0</v>
      </c>
      <c r="AQ80" s="22">
        <f t="shared" si="47"/>
        <v>8850390.5668591987</v>
      </c>
      <c r="AR80" s="22">
        <f t="shared" si="48"/>
        <v>0</v>
      </c>
      <c r="AS80" s="121" t="str">
        <f t="shared" si="49"/>
        <v>Crops</v>
      </c>
      <c r="AT80" s="121" t="str">
        <f t="shared" si="35"/>
        <v xml:space="preserve"> </v>
      </c>
      <c r="AU80" s="121" t="str">
        <f t="shared" si="35"/>
        <v xml:space="preserve"> </v>
      </c>
      <c r="AV80" s="121" t="str">
        <f t="shared" si="35"/>
        <v xml:space="preserve"> </v>
      </c>
      <c r="AW80" s="130" t="str">
        <f t="shared" si="36"/>
        <v>100</v>
      </c>
      <c r="AX80" s="130" t="str">
        <f t="shared" si="36"/>
        <v xml:space="preserve"> </v>
      </c>
      <c r="AY80" s="130" t="str">
        <f t="shared" si="36"/>
        <v xml:space="preserve"> </v>
      </c>
      <c r="AZ80" s="130" t="str">
        <f t="shared" si="36"/>
        <v xml:space="preserve"> </v>
      </c>
      <c r="BA80" s="121">
        <f t="shared" si="50"/>
        <v>8850390.5668591987</v>
      </c>
      <c r="BB80" s="121">
        <f t="shared" si="51"/>
        <v>0</v>
      </c>
      <c r="BC80" s="121">
        <f t="shared" si="52"/>
        <v>0</v>
      </c>
      <c r="BD80" s="121">
        <f t="shared" si="53"/>
        <v>0</v>
      </c>
      <c r="BE80" s="121">
        <f t="shared" si="54"/>
        <v>0</v>
      </c>
      <c r="BF80" s="121">
        <f t="shared" si="55"/>
        <v>0</v>
      </c>
      <c r="BG80" s="121">
        <f t="shared" si="56"/>
        <v>0</v>
      </c>
      <c r="BH80" s="121">
        <f t="shared" si="57"/>
        <v>0</v>
      </c>
      <c r="BI80" s="121">
        <f t="shared" si="58"/>
        <v>8850390.5668591987</v>
      </c>
      <c r="BJ80" s="121">
        <f t="shared" si="59"/>
        <v>8850390.5668591987</v>
      </c>
      <c r="BK80" s="121">
        <f t="shared" si="60"/>
        <v>8850390.5668591987</v>
      </c>
      <c r="BL80" s="121">
        <f t="shared" si="61"/>
        <v>8850390.5668591987</v>
      </c>
      <c r="BM80" s="121">
        <f t="shared" si="62"/>
        <v>0</v>
      </c>
      <c r="BN80" s="121">
        <f t="shared" si="63"/>
        <v>0</v>
      </c>
      <c r="BO80" s="121">
        <f t="shared" si="64"/>
        <v>0</v>
      </c>
      <c r="BP80" s="121">
        <f t="shared" si="65"/>
        <v>0</v>
      </c>
      <c r="BQ80" s="199">
        <f>INDEX('GDP deflators'!$C$6:$M$36,MATCH('Bottom-up tagging'!$D80,'GDP deflators'!$B$6:$B$36,),MATCH('Bottom-up tagging'!$E80,'GDP deflators'!$C$5:$L$5,))/100</f>
        <v>1.1298936385299854</v>
      </c>
      <c r="BR80" s="24">
        <v>10000000</v>
      </c>
    </row>
    <row r="81" spans="2:70" ht="26.15" hidden="1" customHeight="1">
      <c r="B81" s="110" t="s">
        <v>2478</v>
      </c>
      <c r="C81" s="110" t="s">
        <v>2482</v>
      </c>
      <c r="D81" s="110" t="s">
        <v>3994</v>
      </c>
      <c r="E81" s="103">
        <v>2013</v>
      </c>
      <c r="F81" s="108" t="s">
        <v>10154</v>
      </c>
      <c r="G81" s="111" t="s">
        <v>2753</v>
      </c>
      <c r="H81" s="110" t="s">
        <v>10451</v>
      </c>
      <c r="I81" s="112">
        <f>IF(Dashboard!$B$16="Current USD",'Bottom-up tagging'!BR81,'Bottom-up tagging'!BR81/'Bottom-up tagging'!BQ81)</f>
        <v>8024300.1143394513</v>
      </c>
      <c r="J81" s="105" t="s">
        <v>10474</v>
      </c>
      <c r="K81" s="112"/>
      <c r="L81" s="135">
        <v>1</v>
      </c>
      <c r="M81" s="135">
        <v>1</v>
      </c>
      <c r="N81" s="112"/>
      <c r="O81" s="112"/>
      <c r="P81" s="112" t="str">
        <f>VLOOKUP(B81, 'Companies covered restructured'!$B$7:$K$470, 9, FALSE)</f>
        <v>Irrigation systems</v>
      </c>
      <c r="Q81" s="112" t="str">
        <f>VLOOKUP(B81, 'Companies covered restructured'!$B$7:$K$470, 6, FALSE)</f>
        <v>#Crops(100)</v>
      </c>
      <c r="R81" s="112" t="str">
        <f t="shared" si="37"/>
        <v>N/A</v>
      </c>
      <c r="S81" s="112" t="s">
        <v>11003</v>
      </c>
      <c r="T81" s="112" t="s">
        <v>10464</v>
      </c>
      <c r="U81" s="103" t="s">
        <v>10970</v>
      </c>
      <c r="V81" s="212" t="s">
        <v>10977</v>
      </c>
      <c r="W81" s="112" t="str">
        <f>VLOOKUP(B81, 'Companies covered restructured'!$B$7:$K$470, 7, FALSE)</f>
        <v>#Farm/Household(100)</v>
      </c>
      <c r="X81" s="112" t="str">
        <f>VLOOKUP(B81, 'Companies covered restructured'!$B$7:$K$470, 8, FALSE)</f>
        <v>#Large(100)</v>
      </c>
      <c r="Y81" s="212" t="str">
        <f>VLOOKUP(P81, 'Bottom-up Tagging Assumptions'!$B$12:$C$56, 2, FALSE)</f>
        <v>#Other Economic(P); Environmental(S)</v>
      </c>
      <c r="Z81" s="112" t="str">
        <f>VLOOKUP(P81, 'Bottom-up Tagging Assumptions'!$B$12:$F$56, 3, FALSE)</f>
        <v>#Waste reduction(P)</v>
      </c>
      <c r="AA81" s="112" t="str">
        <f>VLOOKUP(P81, 'Bottom-up Tagging Assumptions'!$B$12:$F$56, 4, FALSE)</f>
        <v>#Level 1(100)</v>
      </c>
      <c r="AB81" s="110" t="s">
        <v>2965</v>
      </c>
      <c r="AC81" s="110"/>
      <c r="AD81" s="110"/>
      <c r="AE81" s="110" t="s">
        <v>10558</v>
      </c>
      <c r="AF81" s="112">
        <v>163285834</v>
      </c>
      <c r="AG81" s="110" t="s">
        <v>101</v>
      </c>
      <c r="AH81" s="121">
        <f t="shared" si="38"/>
        <v>1</v>
      </c>
      <c r="AI81" s="121">
        <f t="shared" si="39"/>
        <v>0</v>
      </c>
      <c r="AJ81" s="121">
        <f t="shared" si="40"/>
        <v>1</v>
      </c>
      <c r="AK81" s="121">
        <f t="shared" si="41"/>
        <v>0</v>
      </c>
      <c r="AL81" s="121">
        <f t="shared" si="42"/>
        <v>0</v>
      </c>
      <c r="AM81" s="121">
        <f t="shared" si="43"/>
        <v>0</v>
      </c>
      <c r="AN81" s="121">
        <f t="shared" si="44"/>
        <v>1</v>
      </c>
      <c r="AO81" s="121">
        <f t="shared" si="45"/>
        <v>0</v>
      </c>
      <c r="AP81" s="22">
        <f t="shared" si="46"/>
        <v>0</v>
      </c>
      <c r="AQ81" s="22">
        <f t="shared" si="47"/>
        <v>8024300.1143394513</v>
      </c>
      <c r="AR81" s="22">
        <f t="shared" si="48"/>
        <v>0</v>
      </c>
      <c r="AS81" s="121" t="str">
        <f t="shared" si="49"/>
        <v>Crops</v>
      </c>
      <c r="AT81" s="121" t="str">
        <f t="shared" si="35"/>
        <v xml:space="preserve"> </v>
      </c>
      <c r="AU81" s="121" t="str">
        <f t="shared" si="35"/>
        <v xml:space="preserve"> </v>
      </c>
      <c r="AV81" s="121" t="str">
        <f t="shared" si="35"/>
        <v xml:space="preserve"> </v>
      </c>
      <c r="AW81" s="130" t="str">
        <f t="shared" si="36"/>
        <v>100</v>
      </c>
      <c r="AX81" s="130" t="str">
        <f t="shared" si="36"/>
        <v xml:space="preserve"> </v>
      </c>
      <c r="AY81" s="130" t="str">
        <f t="shared" si="36"/>
        <v xml:space="preserve"> </v>
      </c>
      <c r="AZ81" s="130" t="str">
        <f t="shared" si="36"/>
        <v xml:space="preserve"> </v>
      </c>
      <c r="BA81" s="121">
        <f t="shared" si="50"/>
        <v>8024300.1143394522</v>
      </c>
      <c r="BB81" s="121">
        <f t="shared" si="51"/>
        <v>0</v>
      </c>
      <c r="BC81" s="121">
        <f t="shared" si="52"/>
        <v>0</v>
      </c>
      <c r="BD81" s="121">
        <f t="shared" si="53"/>
        <v>0</v>
      </c>
      <c r="BE81" s="121">
        <f t="shared" si="54"/>
        <v>0</v>
      </c>
      <c r="BF81" s="121">
        <f t="shared" si="55"/>
        <v>0</v>
      </c>
      <c r="BG81" s="121">
        <f t="shared" si="56"/>
        <v>0</v>
      </c>
      <c r="BH81" s="121">
        <f t="shared" si="57"/>
        <v>0</v>
      </c>
      <c r="BI81" s="121">
        <f t="shared" si="58"/>
        <v>8024300.1143394522</v>
      </c>
      <c r="BJ81" s="121">
        <f t="shared" si="59"/>
        <v>8024300.1143394513</v>
      </c>
      <c r="BK81" s="121">
        <f t="shared" si="60"/>
        <v>8024300.1143394513</v>
      </c>
      <c r="BL81" s="121">
        <f t="shared" si="61"/>
        <v>8024300.1143394513</v>
      </c>
      <c r="BM81" s="121">
        <f t="shared" si="62"/>
        <v>0</v>
      </c>
      <c r="BN81" s="121">
        <f t="shared" si="63"/>
        <v>0</v>
      </c>
      <c r="BO81" s="121">
        <f t="shared" si="64"/>
        <v>0</v>
      </c>
      <c r="BP81" s="121">
        <f t="shared" si="65"/>
        <v>0</v>
      </c>
      <c r="BQ81" s="199">
        <f>INDEX('GDP deflators'!$C$6:$M$36,MATCH('Bottom-up tagging'!$D81,'GDP deflators'!$B$6:$B$36,),MATCH('Bottom-up tagging'!$E81,'GDP deflators'!$C$5:$L$5,))/100</f>
        <v>1.2462146053248888</v>
      </c>
      <c r="BR81" s="24">
        <v>10000000</v>
      </c>
    </row>
    <row r="82" spans="2:70" ht="26.15" hidden="1" customHeight="1">
      <c r="B82" s="110" t="s">
        <v>2966</v>
      </c>
      <c r="C82" s="110" t="s">
        <v>2969</v>
      </c>
      <c r="D82" s="110" t="s">
        <v>3994</v>
      </c>
      <c r="E82" s="103">
        <v>2013</v>
      </c>
      <c r="F82" s="108" t="s">
        <v>10294</v>
      </c>
      <c r="G82" s="111" t="s">
        <v>528</v>
      </c>
      <c r="H82" s="110" t="s">
        <v>10451</v>
      </c>
      <c r="I82" s="112">
        <f>IF(Dashboard!$B$16="Current USD",'Bottom-up tagging'!BR82,'Bottom-up tagging'!BR82/'Bottom-up tagging'!BQ82)</f>
        <v>8024300.1143394513</v>
      </c>
      <c r="J82" s="118" t="s">
        <v>10474</v>
      </c>
      <c r="K82" s="112"/>
      <c r="L82" s="135">
        <v>1</v>
      </c>
      <c r="M82" s="135">
        <v>1</v>
      </c>
      <c r="N82" s="112"/>
      <c r="O82" s="112"/>
      <c r="P82" s="112" t="str">
        <f>VLOOKUP(B82, 'Companies covered restructured'!$B$7:$K$470, 9, FALSE)</f>
        <v xml:space="preserve">Fertilizers/manure </v>
      </c>
      <c r="Q82" s="112" t="str">
        <f>VLOOKUP(B82, 'Companies covered restructured'!$B$7:$K$470, 6, FALSE)</f>
        <v>#Crops(100)</v>
      </c>
      <c r="R82" s="112" t="str">
        <f t="shared" si="37"/>
        <v>N/A</v>
      </c>
      <c r="S82" s="112" t="s">
        <v>11003</v>
      </c>
      <c r="T82" s="112" t="s">
        <v>10466</v>
      </c>
      <c r="U82" s="103" t="s">
        <v>10970</v>
      </c>
      <c r="V82" s="212" t="s">
        <v>10977</v>
      </c>
      <c r="W82" s="112" t="str">
        <f>VLOOKUP(B82, 'Companies covered restructured'!$B$7:$K$470, 7, FALSE)</f>
        <v>N/A</v>
      </c>
      <c r="X82" s="112" t="str">
        <f>VLOOKUP(B82, 'Companies covered restructured'!$B$7:$K$470, 8, FALSE)</f>
        <v>N/A</v>
      </c>
      <c r="Y82" s="212" t="str">
        <f>VLOOKUP(P82, 'Bottom-up Tagging Assumptions'!$B$12:$C$56, 2, FALSE)</f>
        <v>#Other Economic(P); #Environmental(S)</v>
      </c>
      <c r="Z82" s="112" t="str">
        <f>VLOOKUP(P82, 'Bottom-up Tagging Assumptions'!$B$12:$F$56, 3, FALSE)</f>
        <v>#Waste reduction(P); #Improved biodiversity(S)</v>
      </c>
      <c r="AA82" s="112" t="str">
        <f>VLOOKUP(P82, 'Bottom-up Tagging Assumptions'!$B$12:$F$56, 4, FALSE)</f>
        <v>#Level 2(100)</v>
      </c>
      <c r="AB82" s="110" t="s">
        <v>2968</v>
      </c>
      <c r="AC82" s="110"/>
      <c r="AD82" s="110"/>
      <c r="AE82" s="110" t="s">
        <v>10558</v>
      </c>
      <c r="AF82" s="112">
        <v>1000000</v>
      </c>
      <c r="AG82" s="110" t="s">
        <v>1524</v>
      </c>
      <c r="AH82" s="121">
        <f t="shared" si="38"/>
        <v>1</v>
      </c>
      <c r="AI82" s="121">
        <f t="shared" si="39"/>
        <v>0</v>
      </c>
      <c r="AJ82" s="121">
        <f t="shared" si="40"/>
        <v>1</v>
      </c>
      <c r="AK82" s="121">
        <f t="shared" si="41"/>
        <v>0</v>
      </c>
      <c r="AL82" s="121">
        <f t="shared" si="42"/>
        <v>0</v>
      </c>
      <c r="AM82" s="121">
        <f t="shared" si="43"/>
        <v>0</v>
      </c>
      <c r="AN82" s="121">
        <f t="shared" si="44"/>
        <v>1</v>
      </c>
      <c r="AO82" s="121">
        <f t="shared" si="45"/>
        <v>0</v>
      </c>
      <c r="AP82" s="22">
        <f t="shared" si="46"/>
        <v>0</v>
      </c>
      <c r="AQ82" s="22">
        <f t="shared" si="47"/>
        <v>8024300.1143394513</v>
      </c>
      <c r="AR82" s="22">
        <f t="shared" si="48"/>
        <v>0</v>
      </c>
      <c r="AS82" s="121" t="str">
        <f t="shared" si="49"/>
        <v>Crops</v>
      </c>
      <c r="AT82" s="121" t="str">
        <f t="shared" si="35"/>
        <v xml:space="preserve"> </v>
      </c>
      <c r="AU82" s="121" t="str">
        <f t="shared" si="35"/>
        <v xml:space="preserve"> </v>
      </c>
      <c r="AV82" s="121" t="str">
        <f t="shared" si="35"/>
        <v xml:space="preserve"> </v>
      </c>
      <c r="AW82" s="130" t="str">
        <f t="shared" si="36"/>
        <v>100</v>
      </c>
      <c r="AX82" s="130" t="str">
        <f t="shared" si="36"/>
        <v xml:space="preserve"> </v>
      </c>
      <c r="AY82" s="130" t="str">
        <f t="shared" si="36"/>
        <v xml:space="preserve"> </v>
      </c>
      <c r="AZ82" s="130" t="str">
        <f t="shared" si="36"/>
        <v xml:space="preserve"> </v>
      </c>
      <c r="BA82" s="121">
        <f t="shared" si="50"/>
        <v>8024300.1143394522</v>
      </c>
      <c r="BB82" s="121">
        <f t="shared" si="51"/>
        <v>0</v>
      </c>
      <c r="BC82" s="121">
        <f t="shared" si="52"/>
        <v>0</v>
      </c>
      <c r="BD82" s="121">
        <f t="shared" si="53"/>
        <v>0</v>
      </c>
      <c r="BE82" s="121">
        <f t="shared" si="54"/>
        <v>0</v>
      </c>
      <c r="BF82" s="121">
        <f t="shared" si="55"/>
        <v>0</v>
      </c>
      <c r="BG82" s="121">
        <f t="shared" si="56"/>
        <v>0</v>
      </c>
      <c r="BH82" s="121">
        <f t="shared" si="57"/>
        <v>0</v>
      </c>
      <c r="BI82" s="121">
        <f t="shared" si="58"/>
        <v>8024300.1143394522</v>
      </c>
      <c r="BJ82" s="121">
        <f t="shared" si="59"/>
        <v>8024300.1143394513</v>
      </c>
      <c r="BK82" s="121">
        <f t="shared" si="60"/>
        <v>8024300.1143394513</v>
      </c>
      <c r="BL82" s="121">
        <f t="shared" si="61"/>
        <v>8024300.1143394513</v>
      </c>
      <c r="BM82" s="121">
        <f t="shared" si="62"/>
        <v>0</v>
      </c>
      <c r="BN82" s="121">
        <f t="shared" si="63"/>
        <v>0</v>
      </c>
      <c r="BO82" s="121">
        <f t="shared" si="64"/>
        <v>0</v>
      </c>
      <c r="BP82" s="121">
        <f t="shared" si="65"/>
        <v>0</v>
      </c>
      <c r="BQ82" s="199">
        <f>INDEX('GDP deflators'!$C$6:$M$36,MATCH('Bottom-up tagging'!$D82,'GDP deflators'!$B$6:$B$36,),MATCH('Bottom-up tagging'!$E82,'GDP deflators'!$C$5:$L$5,))/100</f>
        <v>1.2462146053248888</v>
      </c>
      <c r="BR82" s="24">
        <v>10000000</v>
      </c>
    </row>
    <row r="83" spans="2:70" ht="26.15" customHeight="1">
      <c r="B83" s="110" t="s">
        <v>251</v>
      </c>
      <c r="C83" s="110" t="s">
        <v>256</v>
      </c>
      <c r="D83" s="110" t="s">
        <v>5391</v>
      </c>
      <c r="E83" s="103">
        <v>2017</v>
      </c>
      <c r="F83" s="108" t="s">
        <v>7527</v>
      </c>
      <c r="G83" s="111" t="s">
        <v>109</v>
      </c>
      <c r="H83" s="110" t="s">
        <v>10451</v>
      </c>
      <c r="I83" s="112">
        <f>IF(Dashboard!$B$16="Current USD",'Bottom-up tagging'!BR83,'Bottom-up tagging'!BR83/'Bottom-up tagging'!BQ83)</f>
        <v>5585111.0716889938</v>
      </c>
      <c r="J83" s="105" t="s">
        <v>10474</v>
      </c>
      <c r="K83" s="112"/>
      <c r="L83" s="135">
        <v>1</v>
      </c>
      <c r="M83" s="135">
        <v>1</v>
      </c>
      <c r="N83" s="112"/>
      <c r="O83" s="112"/>
      <c r="P83" s="112" t="str">
        <f>VLOOKUP(B83, 'Companies covered restructured'!$B$7:$K$470, 9, FALSE)</f>
        <v>Agroforestry</v>
      </c>
      <c r="Q83" s="112" t="str">
        <f>VLOOKUP(B83, 'Companies covered restructured'!$B$7:$K$470, 6, FALSE)</f>
        <v>#Crops(100)</v>
      </c>
      <c r="R83" s="112" t="str">
        <f t="shared" si="37"/>
        <v>N/A</v>
      </c>
      <c r="S83" s="112" t="s">
        <v>11003</v>
      </c>
      <c r="T83" s="112" t="s">
        <v>10466</v>
      </c>
      <c r="U83" s="103" t="s">
        <v>10970</v>
      </c>
      <c r="V83" s="212" t="s">
        <v>10977</v>
      </c>
      <c r="W83" s="112" t="str">
        <f>VLOOKUP(B83, 'Companies covered restructured'!$B$7:$K$470, 7, FALSE)</f>
        <v>#Field/Animal Herd(100)</v>
      </c>
      <c r="X83" s="112" t="str">
        <f>VLOOKUP(B83, 'Companies covered restructured'!$B$7:$K$470, 8, FALSE)</f>
        <v>#Small(100)</v>
      </c>
      <c r="Y83" s="212" t="str">
        <f>VLOOKUP(P83, 'Bottom-up Tagging Assumptions'!$B$12:$C$56, 2, FALSE)</f>
        <v>#Environmental(P); Productivity(S)</v>
      </c>
      <c r="Z83" s="112" t="str">
        <f>VLOOKUP(P83, 'Bottom-up Tagging Assumptions'!$B$12:$F$56, 3, FALSE)</f>
        <v>#Increasing forest cover(P)</v>
      </c>
      <c r="AA83" s="112" t="str">
        <f>VLOOKUP(P83, 'Bottom-up Tagging Assumptions'!$B$12:$F$56, 4, FALSE)</f>
        <v>#Level 3(100)</v>
      </c>
      <c r="AB83" s="110"/>
      <c r="AC83" s="110"/>
      <c r="AD83" s="110"/>
      <c r="AE83" s="110" t="s">
        <v>10558</v>
      </c>
      <c r="AF83" s="112">
        <v>3574388</v>
      </c>
      <c r="AG83" s="110" t="s">
        <v>626</v>
      </c>
      <c r="AH83" s="121">
        <f t="shared" si="38"/>
        <v>1</v>
      </c>
      <c r="AI83" s="121">
        <f t="shared" si="39"/>
        <v>1</v>
      </c>
      <c r="AJ83" s="121">
        <f t="shared" si="40"/>
        <v>0</v>
      </c>
      <c r="AK83" s="121">
        <f t="shared" si="41"/>
        <v>0</v>
      </c>
      <c r="AL83" s="121">
        <f t="shared" si="42"/>
        <v>0</v>
      </c>
      <c r="AM83" s="121">
        <f t="shared" si="43"/>
        <v>0</v>
      </c>
      <c r="AN83" s="121">
        <f t="shared" si="44"/>
        <v>1</v>
      </c>
      <c r="AO83" s="121">
        <f t="shared" si="45"/>
        <v>1</v>
      </c>
      <c r="AP83" s="22">
        <f t="shared" si="46"/>
        <v>0</v>
      </c>
      <c r="AQ83" s="22">
        <f t="shared" si="47"/>
        <v>5585111.0716889938</v>
      </c>
      <c r="AR83" s="22">
        <f t="shared" si="48"/>
        <v>5585111.0716889938</v>
      </c>
      <c r="AS83" s="121" t="str">
        <f t="shared" si="49"/>
        <v>Crops</v>
      </c>
      <c r="AT83" s="121" t="str">
        <f t="shared" si="35"/>
        <v xml:space="preserve"> </v>
      </c>
      <c r="AU83" s="121" t="str">
        <f t="shared" si="35"/>
        <v xml:space="preserve"> </v>
      </c>
      <c r="AV83" s="121" t="str">
        <f t="shared" si="35"/>
        <v xml:space="preserve"> </v>
      </c>
      <c r="AW83" s="130" t="str">
        <f t="shared" si="36"/>
        <v>100</v>
      </c>
      <c r="AX83" s="130" t="str">
        <f t="shared" si="36"/>
        <v xml:space="preserve"> </v>
      </c>
      <c r="AY83" s="130" t="str">
        <f t="shared" si="36"/>
        <v xml:space="preserve"> </v>
      </c>
      <c r="AZ83" s="130" t="str">
        <f t="shared" si="36"/>
        <v xml:space="preserve"> </v>
      </c>
      <c r="BA83" s="121">
        <f t="shared" si="50"/>
        <v>5585111.0716889938</v>
      </c>
      <c r="BB83" s="121">
        <f t="shared" si="51"/>
        <v>0</v>
      </c>
      <c r="BC83" s="121">
        <f t="shared" si="52"/>
        <v>0</v>
      </c>
      <c r="BD83" s="121">
        <f t="shared" si="53"/>
        <v>0</v>
      </c>
      <c r="BE83" s="121">
        <f t="shared" si="54"/>
        <v>0</v>
      </c>
      <c r="BF83" s="121">
        <f t="shared" si="55"/>
        <v>0</v>
      </c>
      <c r="BG83" s="121">
        <f t="shared" si="56"/>
        <v>0</v>
      </c>
      <c r="BH83" s="121">
        <f t="shared" si="57"/>
        <v>0</v>
      </c>
      <c r="BI83" s="121">
        <f t="shared" si="58"/>
        <v>5585111.0716889938</v>
      </c>
      <c r="BJ83" s="121">
        <f t="shared" si="59"/>
        <v>5585111.0716889938</v>
      </c>
      <c r="BK83" s="121">
        <f t="shared" si="60"/>
        <v>5585111.0716889938</v>
      </c>
      <c r="BL83" s="121">
        <f t="shared" si="61"/>
        <v>5585111.0716889938</v>
      </c>
      <c r="BM83" s="121">
        <f t="shared" si="62"/>
        <v>5585111.0716889938</v>
      </c>
      <c r="BN83" s="121">
        <f t="shared" si="63"/>
        <v>5585111.0716889938</v>
      </c>
      <c r="BO83" s="121">
        <f t="shared" si="64"/>
        <v>5585111.0716889938</v>
      </c>
      <c r="BP83" s="121">
        <f t="shared" si="65"/>
        <v>5585111.0716889938</v>
      </c>
      <c r="BQ83" s="199">
        <f>INDEX('GDP deflators'!$C$6:$M$36,MATCH('Bottom-up tagging'!$D83,'GDP deflators'!$B$6:$B$36,),MATCH('Bottom-up tagging'!$E83,'GDP deflators'!$C$5:$L$5,))/100</f>
        <v>1.7745439388375148</v>
      </c>
      <c r="BR83" s="24">
        <v>9911025</v>
      </c>
    </row>
    <row r="84" spans="2:70" ht="26.15" hidden="1" customHeight="1">
      <c r="B84" s="110" t="s">
        <v>2226</v>
      </c>
      <c r="C84" s="110" t="s">
        <v>2228</v>
      </c>
      <c r="D84" s="110" t="s">
        <v>6213</v>
      </c>
      <c r="E84" s="103">
        <v>2016</v>
      </c>
      <c r="F84" s="108" t="s">
        <v>9212</v>
      </c>
      <c r="G84" s="111" t="s">
        <v>109</v>
      </c>
      <c r="H84" s="110" t="s">
        <v>10451</v>
      </c>
      <c r="I84" s="112">
        <f>IF(Dashboard!$B$16="Current USD",'Bottom-up tagging'!BR84,'Bottom-up tagging'!BR84/'Bottom-up tagging'!BQ84)</f>
        <v>6331458.3912394457</v>
      </c>
      <c r="J84" s="117" t="s">
        <v>10474</v>
      </c>
      <c r="K84" s="112"/>
      <c r="L84" s="135">
        <v>1</v>
      </c>
      <c r="M84" s="135">
        <v>1</v>
      </c>
      <c r="N84" s="112"/>
      <c r="O84" s="112"/>
      <c r="P84" s="112" t="str">
        <f>VLOOKUP(B84, 'Companies covered restructured'!$B$7:$K$470, 9, FALSE)</f>
        <v>Farmer engagement platforms (including marketplaces and information platforms)</v>
      </c>
      <c r="Q84" s="112" t="str">
        <f>VLOOKUP(B84, 'Companies covered restructured'!$B$7:$K$470, 6, FALSE)</f>
        <v>#Crops(100)</v>
      </c>
      <c r="R84" s="112" t="str">
        <f t="shared" si="37"/>
        <v>N/A</v>
      </c>
      <c r="S84" s="112" t="s">
        <v>11003</v>
      </c>
      <c r="T84" s="112" t="s">
        <v>10466</v>
      </c>
      <c r="U84" s="103" t="s">
        <v>10970</v>
      </c>
      <c r="V84" s="112" t="str">
        <f>VLOOKUP(P84, 'Bottom-up Tagging Assumptions'!$B$12:$F$39, 5, FALSE)</f>
        <v>#Process Innovation(100)</v>
      </c>
      <c r="W84" s="112" t="str">
        <f>VLOOKUP(B84, 'Companies covered restructured'!$B$7:$K$470, 7, FALSE)</f>
        <v>#Farm/Household(100)</v>
      </c>
      <c r="X84" s="112" t="str">
        <f>VLOOKUP(B84, 'Companies covered restructured'!$B$7:$K$470, 8, FALSE)</f>
        <v>#Small(100)</v>
      </c>
      <c r="Y84" s="212" t="str">
        <f>VLOOKUP(P84, 'Bottom-up Tagging Assumptions'!$B$12:$C$56, 2, FALSE)</f>
        <v>#Other Economic(P); #Productivity(S)</v>
      </c>
      <c r="Z84" s="112" t="str">
        <f>VLOOKUP(P84, 'Bottom-up Tagging Assumptions'!$B$12:$F$56, 3, FALSE)</f>
        <v>#Improve price realization(P); #Increasing crop or animal yield(S)</v>
      </c>
      <c r="AA84" s="112" t="str">
        <f>VLOOKUP(P84, 'Bottom-up Tagging Assumptions'!$B$12:$F$56, 4, FALSE)</f>
        <v>#Level 4(100)</v>
      </c>
      <c r="AB84" s="110"/>
      <c r="AC84" s="110"/>
      <c r="AD84" s="110"/>
      <c r="AE84" s="110" t="s">
        <v>10558</v>
      </c>
      <c r="AF84" s="112">
        <v>1475230</v>
      </c>
      <c r="AG84" s="110" t="s">
        <v>1530</v>
      </c>
      <c r="AH84" s="121">
        <f t="shared" si="38"/>
        <v>0</v>
      </c>
      <c r="AI84" s="121">
        <f t="shared" si="39"/>
        <v>1</v>
      </c>
      <c r="AJ84" s="121">
        <f t="shared" si="40"/>
        <v>1</v>
      </c>
      <c r="AK84" s="121">
        <f t="shared" si="41"/>
        <v>0</v>
      </c>
      <c r="AL84" s="121">
        <f t="shared" si="42"/>
        <v>0</v>
      </c>
      <c r="AM84" s="121">
        <f t="shared" si="43"/>
        <v>0</v>
      </c>
      <c r="AN84" s="121">
        <f t="shared" si="44"/>
        <v>0</v>
      </c>
      <c r="AO84" s="121">
        <f t="shared" si="45"/>
        <v>0</v>
      </c>
      <c r="AP84" s="22">
        <f t="shared" si="46"/>
        <v>0</v>
      </c>
      <c r="AQ84" s="22">
        <f t="shared" si="47"/>
        <v>0</v>
      </c>
      <c r="AR84" s="22">
        <f t="shared" si="48"/>
        <v>0</v>
      </c>
      <c r="AS84" s="121" t="str">
        <f t="shared" si="49"/>
        <v>Crops</v>
      </c>
      <c r="AT84" s="121" t="str">
        <f t="shared" si="35"/>
        <v xml:space="preserve"> </v>
      </c>
      <c r="AU84" s="121" t="str">
        <f t="shared" si="35"/>
        <v xml:space="preserve"> </v>
      </c>
      <c r="AV84" s="121" t="str">
        <f t="shared" si="35"/>
        <v xml:space="preserve"> </v>
      </c>
      <c r="AW84" s="130" t="str">
        <f t="shared" si="36"/>
        <v>100</v>
      </c>
      <c r="AX84" s="130" t="str">
        <f t="shared" si="36"/>
        <v xml:space="preserve"> </v>
      </c>
      <c r="AY84" s="130" t="str">
        <f t="shared" si="36"/>
        <v xml:space="preserve"> </v>
      </c>
      <c r="AZ84" s="130" t="str">
        <f t="shared" si="36"/>
        <v xml:space="preserve"> </v>
      </c>
      <c r="BA84" s="121">
        <f t="shared" si="50"/>
        <v>6331458.3912394457</v>
      </c>
      <c r="BB84" s="121">
        <f t="shared" si="51"/>
        <v>0</v>
      </c>
      <c r="BC84" s="121">
        <f t="shared" si="52"/>
        <v>0</v>
      </c>
      <c r="BD84" s="121">
        <f t="shared" si="53"/>
        <v>0</v>
      </c>
      <c r="BE84" s="121">
        <f t="shared" si="54"/>
        <v>0</v>
      </c>
      <c r="BF84" s="121">
        <f t="shared" si="55"/>
        <v>0</v>
      </c>
      <c r="BG84" s="121">
        <f t="shared" si="56"/>
        <v>0</v>
      </c>
      <c r="BH84" s="121">
        <f t="shared" si="57"/>
        <v>0</v>
      </c>
      <c r="BI84" s="121">
        <f t="shared" si="58"/>
        <v>0</v>
      </c>
      <c r="BJ84" s="121">
        <f t="shared" si="59"/>
        <v>0</v>
      </c>
      <c r="BK84" s="121">
        <f t="shared" si="60"/>
        <v>0</v>
      </c>
      <c r="BL84" s="121">
        <f t="shared" si="61"/>
        <v>0</v>
      </c>
      <c r="BM84" s="121">
        <f t="shared" si="62"/>
        <v>0</v>
      </c>
      <c r="BN84" s="121">
        <f t="shared" si="63"/>
        <v>0</v>
      </c>
      <c r="BO84" s="121">
        <f t="shared" si="64"/>
        <v>0</v>
      </c>
      <c r="BP84" s="121">
        <f t="shared" si="65"/>
        <v>0</v>
      </c>
      <c r="BQ84" s="199">
        <f>INDEX('GDP deflators'!$C$6:$M$36,MATCH('Bottom-up tagging'!$D84,'GDP deflators'!$B$6:$B$36,),MATCH('Bottom-up tagging'!$E84,'GDP deflators'!$C$5:$L$5,))/100</f>
        <v>1.4941265369585903</v>
      </c>
      <c r="BR84" s="24">
        <v>9460000</v>
      </c>
    </row>
    <row r="85" spans="2:70" ht="26.15" hidden="1" customHeight="1">
      <c r="B85" s="110" t="s">
        <v>1939</v>
      </c>
      <c r="C85" s="110" t="s">
        <v>1942</v>
      </c>
      <c r="D85" s="110" t="s">
        <v>2057</v>
      </c>
      <c r="E85" s="103">
        <v>2017</v>
      </c>
      <c r="F85" s="108" t="s">
        <v>6600</v>
      </c>
      <c r="G85" s="111" t="s">
        <v>109</v>
      </c>
      <c r="H85" s="110" t="s">
        <v>10451</v>
      </c>
      <c r="I85" s="112">
        <f>IF(Dashboard!$B$16="Current USD",'Bottom-up tagging'!BR85,'Bottom-up tagging'!BR85/'Bottom-up tagging'!BQ85)</f>
        <v>7754748.3286185153</v>
      </c>
      <c r="J85" s="118" t="s">
        <v>10474</v>
      </c>
      <c r="K85" s="112"/>
      <c r="L85" s="135">
        <v>1</v>
      </c>
      <c r="M85" s="135">
        <v>1</v>
      </c>
      <c r="N85" s="112"/>
      <c r="O85" s="112"/>
      <c r="P85" s="112" t="str">
        <f>VLOOKUP(B85, 'Companies covered restructured'!$B$7:$K$470, 9, FALSE)</f>
        <v>Drone technologies/robotics</v>
      </c>
      <c r="Q85" s="112" t="str">
        <f>VLOOKUP(B85, 'Companies covered restructured'!$B$7:$K$470, 6, FALSE)</f>
        <v>#Crops(100)</v>
      </c>
      <c r="R85" s="112" t="str">
        <f t="shared" si="37"/>
        <v>N/A</v>
      </c>
      <c r="S85" s="112" t="s">
        <v>11003</v>
      </c>
      <c r="T85" s="112" t="s">
        <v>10466</v>
      </c>
      <c r="U85" s="103" t="s">
        <v>10970</v>
      </c>
      <c r="V85" s="112" t="str">
        <f>VLOOKUP(P85, 'Bottom-up Tagging Assumptions'!$B$12:$F$39, 5, FALSE)</f>
        <v>#Process Innovation(100)</v>
      </c>
      <c r="W85" s="112" t="str">
        <f>VLOOKUP(B85, 'Companies covered restructured'!$B$7:$K$470, 7, FALSE)</f>
        <v>#Field/Animal Herd(100)</v>
      </c>
      <c r="X85" s="112" t="s">
        <v>10558</v>
      </c>
      <c r="Y85" s="212" t="str">
        <f>VLOOKUP(P85, 'Bottom-up Tagging Assumptions'!$B$12:$C$56, 2, FALSE)</f>
        <v>#Productivity(P); #Other Economic(P)</v>
      </c>
      <c r="Z85" s="112" t="str">
        <f>VLOOKUP(P85, 'Bottom-up Tagging Assumptions'!$B$12:$F$56, 3, FALSE)</f>
        <v>#Reducing human effort(P)</v>
      </c>
      <c r="AA85" s="112" t="str">
        <f>VLOOKUP(P85, 'Bottom-up Tagging Assumptions'!$B$12:$F$56, 4, FALSE)</f>
        <v>#Level 1(100)</v>
      </c>
      <c r="AB85" s="110" t="s">
        <v>1941</v>
      </c>
      <c r="AC85" s="110"/>
      <c r="AD85" s="110"/>
      <c r="AE85" s="110" t="s">
        <v>10558</v>
      </c>
      <c r="AF85" s="112"/>
      <c r="AG85" s="110" t="s">
        <v>1536</v>
      </c>
      <c r="AH85" s="121">
        <f t="shared" si="38"/>
        <v>0</v>
      </c>
      <c r="AI85" s="121">
        <f t="shared" si="39"/>
        <v>1</v>
      </c>
      <c r="AJ85" s="121">
        <f t="shared" si="40"/>
        <v>1</v>
      </c>
      <c r="AK85" s="121">
        <f t="shared" si="41"/>
        <v>0</v>
      </c>
      <c r="AL85" s="121">
        <f t="shared" si="42"/>
        <v>0</v>
      </c>
      <c r="AM85" s="121">
        <f t="shared" si="43"/>
        <v>0</v>
      </c>
      <c r="AN85" s="121">
        <f t="shared" si="44"/>
        <v>0</v>
      </c>
      <c r="AO85" s="121">
        <f t="shared" si="45"/>
        <v>0</v>
      </c>
      <c r="AP85" s="22">
        <f t="shared" si="46"/>
        <v>0</v>
      </c>
      <c r="AQ85" s="22">
        <f t="shared" si="47"/>
        <v>0</v>
      </c>
      <c r="AR85" s="22">
        <f t="shared" si="48"/>
        <v>0</v>
      </c>
      <c r="AS85" s="121" t="str">
        <f t="shared" si="49"/>
        <v>Crops</v>
      </c>
      <c r="AT85" s="121" t="str">
        <f t="shared" si="35"/>
        <v xml:space="preserve"> </v>
      </c>
      <c r="AU85" s="121" t="str">
        <f t="shared" si="35"/>
        <v xml:space="preserve"> </v>
      </c>
      <c r="AV85" s="121" t="str">
        <f t="shared" si="35"/>
        <v xml:space="preserve"> </v>
      </c>
      <c r="AW85" s="130" t="str">
        <f t="shared" si="36"/>
        <v>100</v>
      </c>
      <c r="AX85" s="130" t="str">
        <f t="shared" si="36"/>
        <v xml:space="preserve"> </v>
      </c>
      <c r="AY85" s="130" t="str">
        <f t="shared" si="36"/>
        <v xml:space="preserve"> </v>
      </c>
      <c r="AZ85" s="130" t="str">
        <f t="shared" si="36"/>
        <v xml:space="preserve"> </v>
      </c>
      <c r="BA85" s="121">
        <f t="shared" si="50"/>
        <v>7754748.3286185153</v>
      </c>
      <c r="BB85" s="121">
        <f t="shared" si="51"/>
        <v>0</v>
      </c>
      <c r="BC85" s="121">
        <f t="shared" si="52"/>
        <v>0</v>
      </c>
      <c r="BD85" s="121">
        <f t="shared" si="53"/>
        <v>0</v>
      </c>
      <c r="BE85" s="121">
        <f t="shared" si="54"/>
        <v>0</v>
      </c>
      <c r="BF85" s="121">
        <f t="shared" si="55"/>
        <v>0</v>
      </c>
      <c r="BG85" s="121">
        <f t="shared" si="56"/>
        <v>0</v>
      </c>
      <c r="BH85" s="121">
        <f t="shared" si="57"/>
        <v>0</v>
      </c>
      <c r="BI85" s="121">
        <f t="shared" si="58"/>
        <v>0</v>
      </c>
      <c r="BJ85" s="121">
        <f t="shared" si="59"/>
        <v>0</v>
      </c>
      <c r="BK85" s="121">
        <f t="shared" si="60"/>
        <v>0</v>
      </c>
      <c r="BL85" s="121">
        <f t="shared" si="61"/>
        <v>0</v>
      </c>
      <c r="BM85" s="121">
        <f t="shared" si="62"/>
        <v>0</v>
      </c>
      <c r="BN85" s="121">
        <f t="shared" si="63"/>
        <v>0</v>
      </c>
      <c r="BO85" s="121">
        <f t="shared" si="64"/>
        <v>0</v>
      </c>
      <c r="BP85" s="121">
        <f t="shared" si="65"/>
        <v>0</v>
      </c>
      <c r="BQ85" s="199">
        <f>INDEX('GDP deflators'!$C$6:$M$36,MATCH('Bottom-up tagging'!$D85,'GDP deflators'!$B$6:$B$36,),MATCH('Bottom-up tagging'!$E85,'GDP deflators'!$C$5:$L$5,))/100</f>
        <v>1.2065910592441995</v>
      </c>
      <c r="BR85" s="24">
        <v>9356810</v>
      </c>
    </row>
    <row r="86" spans="2:70" ht="26.15" hidden="1" customHeight="1">
      <c r="B86" s="110" t="s">
        <v>2135</v>
      </c>
      <c r="C86" s="110" t="s">
        <v>2137</v>
      </c>
      <c r="D86" s="110" t="s">
        <v>2057</v>
      </c>
      <c r="E86" s="103">
        <v>2017</v>
      </c>
      <c r="F86" s="108" t="s">
        <v>8940</v>
      </c>
      <c r="G86" s="111" t="s">
        <v>109</v>
      </c>
      <c r="H86" s="110" t="s">
        <v>10451</v>
      </c>
      <c r="I86" s="112">
        <f>IF(Dashboard!$B$16="Current USD",'Bottom-up tagging'!BR86,'Bottom-up tagging'!BR86/'Bottom-up tagging'!BQ86)</f>
        <v>7424691.1837815084</v>
      </c>
      <c r="J86" s="117" t="s">
        <v>10474</v>
      </c>
      <c r="K86" s="112"/>
      <c r="L86" s="135">
        <v>1</v>
      </c>
      <c r="M86" s="135">
        <v>1</v>
      </c>
      <c r="N86" s="112"/>
      <c r="O86" s="112"/>
      <c r="P86" s="112" t="str">
        <f>VLOOKUP(B86, 'Companies covered restructured'!$B$7:$K$470, 9, FALSE)</f>
        <v>AI/analytics based advisory algorithms (incl. weather)</v>
      </c>
      <c r="Q86" s="112" t="str">
        <f>VLOOKUP(B86, 'Companies covered restructured'!$B$7:$K$470, 6, FALSE)</f>
        <v>#Crops(100)</v>
      </c>
      <c r="R86" s="112" t="str">
        <f t="shared" si="37"/>
        <v>N/A</v>
      </c>
      <c r="S86" s="112" t="s">
        <v>11003</v>
      </c>
      <c r="T86" s="112" t="s">
        <v>10466</v>
      </c>
      <c r="U86" s="213" t="s">
        <v>10970</v>
      </c>
      <c r="V86" s="112" t="str">
        <f>VLOOKUP(P86, 'Bottom-up Tagging Assumptions'!$B$12:$F$39, 5, FALSE)</f>
        <v>#Science &amp; tech(100)</v>
      </c>
      <c r="W86" s="112" t="str">
        <f>VLOOKUP(B86, 'Companies covered restructured'!$B$7:$K$470, 7, FALSE)</f>
        <v>#Field/Animal Herd(100)</v>
      </c>
      <c r="X86" s="112" t="s">
        <v>10558</v>
      </c>
      <c r="Y86" s="212" t="str">
        <f>VLOOKUP(P86, 'Bottom-up Tagging Assumptions'!$B$12:$C$56, 2, FALSE)</f>
        <v>#Other Economic(P); #Productivity(S)</v>
      </c>
      <c r="Z86" s="112" t="str">
        <f>VLOOKUP(P86, 'Bottom-up Tagging Assumptions'!$B$12:$F$56, 3, FALSE)</f>
        <v>#Increasing output per unit input(P); #Increasing crop or animal yield(S)</v>
      </c>
      <c r="AA86" s="112" t="str">
        <f>VLOOKUP(P86, 'Bottom-up Tagging Assumptions'!$B$12:$F$56, 4, FALSE)</f>
        <v>#Level 1(100)</v>
      </c>
      <c r="AB86" s="110"/>
      <c r="AC86" s="110"/>
      <c r="AD86" s="110"/>
      <c r="AE86" s="110" t="s">
        <v>10558</v>
      </c>
      <c r="AF86" s="112">
        <v>652000</v>
      </c>
      <c r="AG86" s="110" t="s">
        <v>1200</v>
      </c>
      <c r="AH86" s="121">
        <f t="shared" si="38"/>
        <v>0</v>
      </c>
      <c r="AI86" s="121">
        <f t="shared" si="39"/>
        <v>1</v>
      </c>
      <c r="AJ86" s="121">
        <f t="shared" si="40"/>
        <v>1</v>
      </c>
      <c r="AK86" s="121">
        <f t="shared" si="41"/>
        <v>0</v>
      </c>
      <c r="AL86" s="121">
        <f t="shared" si="42"/>
        <v>0</v>
      </c>
      <c r="AM86" s="121">
        <f t="shared" si="43"/>
        <v>0</v>
      </c>
      <c r="AN86" s="121">
        <f t="shared" si="44"/>
        <v>0</v>
      </c>
      <c r="AO86" s="121">
        <f t="shared" si="45"/>
        <v>0</v>
      </c>
      <c r="AP86" s="22">
        <f t="shared" si="46"/>
        <v>0</v>
      </c>
      <c r="AQ86" s="22">
        <f t="shared" si="47"/>
        <v>0</v>
      </c>
      <c r="AR86" s="22">
        <f t="shared" si="48"/>
        <v>0</v>
      </c>
      <c r="AS86" s="121" t="str">
        <f t="shared" si="49"/>
        <v>Crops</v>
      </c>
      <c r="AT86" s="121" t="str">
        <f t="shared" si="35"/>
        <v xml:space="preserve"> </v>
      </c>
      <c r="AU86" s="121" t="str">
        <f t="shared" si="35"/>
        <v xml:space="preserve"> </v>
      </c>
      <c r="AV86" s="121" t="str">
        <f t="shared" si="35"/>
        <v xml:space="preserve"> </v>
      </c>
      <c r="AW86" s="130" t="str">
        <f t="shared" si="36"/>
        <v>100</v>
      </c>
      <c r="AX86" s="130" t="str">
        <f t="shared" si="36"/>
        <v xml:space="preserve"> </v>
      </c>
      <c r="AY86" s="130" t="str">
        <f t="shared" si="36"/>
        <v xml:space="preserve"> </v>
      </c>
      <c r="AZ86" s="130" t="str">
        <f t="shared" si="36"/>
        <v xml:space="preserve"> </v>
      </c>
      <c r="BA86" s="121">
        <f t="shared" si="50"/>
        <v>7424691.1837815084</v>
      </c>
      <c r="BB86" s="121">
        <f t="shared" si="51"/>
        <v>0</v>
      </c>
      <c r="BC86" s="121">
        <f t="shared" si="52"/>
        <v>0</v>
      </c>
      <c r="BD86" s="121">
        <f t="shared" si="53"/>
        <v>0</v>
      </c>
      <c r="BE86" s="121">
        <f t="shared" si="54"/>
        <v>0</v>
      </c>
      <c r="BF86" s="121">
        <f t="shared" si="55"/>
        <v>0</v>
      </c>
      <c r="BG86" s="121">
        <f t="shared" si="56"/>
        <v>0</v>
      </c>
      <c r="BH86" s="121">
        <f t="shared" si="57"/>
        <v>0</v>
      </c>
      <c r="BI86" s="121">
        <f t="shared" si="58"/>
        <v>0</v>
      </c>
      <c r="BJ86" s="121">
        <f t="shared" si="59"/>
        <v>0</v>
      </c>
      <c r="BK86" s="121">
        <f t="shared" si="60"/>
        <v>0</v>
      </c>
      <c r="BL86" s="121">
        <f t="shared" si="61"/>
        <v>0</v>
      </c>
      <c r="BM86" s="121">
        <f t="shared" si="62"/>
        <v>0</v>
      </c>
      <c r="BN86" s="121">
        <f t="shared" si="63"/>
        <v>0</v>
      </c>
      <c r="BO86" s="121">
        <f t="shared" si="64"/>
        <v>0</v>
      </c>
      <c r="BP86" s="121">
        <f t="shared" si="65"/>
        <v>0</v>
      </c>
      <c r="BQ86" s="199">
        <f>INDEX('GDP deflators'!$C$6:$M$36,MATCH('Bottom-up tagging'!$D86,'GDP deflators'!$B$6:$B$36,),MATCH('Bottom-up tagging'!$E86,'GDP deflators'!$C$5:$L$5,))/100</f>
        <v>1.2065910592441995</v>
      </c>
      <c r="BR86" s="24">
        <v>8958566</v>
      </c>
    </row>
    <row r="87" spans="2:70" ht="26.15" hidden="1" customHeight="1">
      <c r="B87" s="110" t="s">
        <v>96</v>
      </c>
      <c r="C87" s="110" t="s">
        <v>100</v>
      </c>
      <c r="D87" s="110" t="s">
        <v>3994</v>
      </c>
      <c r="E87" s="103">
        <v>2019</v>
      </c>
      <c r="F87" s="108" t="s">
        <v>8260</v>
      </c>
      <c r="G87" s="111" t="s">
        <v>95</v>
      </c>
      <c r="H87" s="110" t="s">
        <v>10451</v>
      </c>
      <c r="I87" s="112">
        <f>IF(Dashboard!$B$16="Current USD",'Bottom-up tagging'!BR87,'Bottom-up tagging'!BR87/'Bottom-up tagging'!BQ87)</f>
        <v>5879084.6054315716</v>
      </c>
      <c r="J87" s="118" t="s">
        <v>10474</v>
      </c>
      <c r="K87" s="112"/>
      <c r="L87" s="135">
        <v>1</v>
      </c>
      <c r="M87" s="135">
        <v>1</v>
      </c>
      <c r="N87" s="112"/>
      <c r="O87" s="112"/>
      <c r="P87" s="112" t="str">
        <f>VLOOKUP(B87, 'Companies covered restructured'!$B$7:$K$470, 9, FALSE)</f>
        <v>Agri marketplaces</v>
      </c>
      <c r="Q87" s="112" t="str">
        <f>VLOOKUP(B87, 'Companies covered restructured'!$B$7:$K$470, 6, FALSE)</f>
        <v>#Crops(100)</v>
      </c>
      <c r="R87" s="112" t="str">
        <f t="shared" si="37"/>
        <v>#Investment Fund(100)</v>
      </c>
      <c r="S87" s="112" t="s">
        <v>11003</v>
      </c>
      <c r="T87" s="112" t="s">
        <v>10466</v>
      </c>
      <c r="U87" s="103" t="s">
        <v>10970</v>
      </c>
      <c r="V87" s="112" t="str">
        <f>VLOOKUP(P87, 'Bottom-up Tagging Assumptions'!$B$12:$F$39, 5, FALSE)</f>
        <v>#Process Innovation(100)</v>
      </c>
      <c r="W87" s="112" t="str">
        <f>VLOOKUP(B87, 'Companies covered restructured'!$B$7:$K$470, 7, FALSE)</f>
        <v>#Farm/Household(100)</v>
      </c>
      <c r="X87" s="112" t="s">
        <v>10558</v>
      </c>
      <c r="Y87" s="212" t="str">
        <f>VLOOKUP(P87, 'Bottom-up Tagging Assumptions'!$B$12:$C$56, 2, FALSE)</f>
        <v>#Other Economic(P); Social(S)</v>
      </c>
      <c r="Z87" s="112" t="str">
        <f>VLOOKUP(P87, 'Bottom-up Tagging Assumptions'!$B$12:$F$56, 3, FALSE)</f>
        <v>#Improve price realization(P)</v>
      </c>
      <c r="AA87" s="112" t="str">
        <f>VLOOKUP(P87, 'Bottom-up Tagging Assumptions'!$B$12:$F$56, 4, FALSE)</f>
        <v>#Level 4(100)</v>
      </c>
      <c r="AB87" s="110" t="s">
        <v>971</v>
      </c>
      <c r="AC87" s="110" t="s">
        <v>929</v>
      </c>
      <c r="AD87" s="110" t="s">
        <v>972</v>
      </c>
      <c r="AE87" s="110" t="s">
        <v>3114</v>
      </c>
      <c r="AF87" s="112">
        <v>150000</v>
      </c>
      <c r="AG87" s="110" t="s">
        <v>1543</v>
      </c>
      <c r="AH87" s="121">
        <f t="shared" si="38"/>
        <v>0</v>
      </c>
      <c r="AI87" s="121">
        <f t="shared" si="39"/>
        <v>0</v>
      </c>
      <c r="AJ87" s="121">
        <f t="shared" si="40"/>
        <v>1</v>
      </c>
      <c r="AK87" s="121">
        <f t="shared" si="41"/>
        <v>1</v>
      </c>
      <c r="AL87" s="121">
        <f t="shared" si="42"/>
        <v>0</v>
      </c>
      <c r="AM87" s="121">
        <f t="shared" si="43"/>
        <v>0</v>
      </c>
      <c r="AN87" s="121">
        <f t="shared" si="44"/>
        <v>1</v>
      </c>
      <c r="AO87" s="121">
        <f t="shared" si="45"/>
        <v>0</v>
      </c>
      <c r="AP87" s="22">
        <f t="shared" si="46"/>
        <v>0</v>
      </c>
      <c r="AQ87" s="22">
        <f t="shared" si="47"/>
        <v>5879084.6054315716</v>
      </c>
      <c r="AR87" s="22">
        <f t="shared" si="48"/>
        <v>0</v>
      </c>
      <c r="AS87" s="121" t="str">
        <f t="shared" si="49"/>
        <v>Crops</v>
      </c>
      <c r="AT87" s="121" t="str">
        <f t="shared" si="35"/>
        <v xml:space="preserve"> </v>
      </c>
      <c r="AU87" s="121" t="str">
        <f t="shared" si="35"/>
        <v xml:space="preserve"> </v>
      </c>
      <c r="AV87" s="121" t="str">
        <f t="shared" si="35"/>
        <v xml:space="preserve"> </v>
      </c>
      <c r="AW87" s="130" t="str">
        <f t="shared" si="36"/>
        <v>100</v>
      </c>
      <c r="AX87" s="130" t="str">
        <f t="shared" si="36"/>
        <v xml:space="preserve"> </v>
      </c>
      <c r="AY87" s="130" t="str">
        <f t="shared" si="36"/>
        <v xml:space="preserve"> </v>
      </c>
      <c r="AZ87" s="130" t="str">
        <f t="shared" si="36"/>
        <v xml:space="preserve"> </v>
      </c>
      <c r="BA87" s="121">
        <f t="shared" si="50"/>
        <v>5879084.6054315707</v>
      </c>
      <c r="BB87" s="121">
        <f t="shared" si="51"/>
        <v>0</v>
      </c>
      <c r="BC87" s="121">
        <f t="shared" si="52"/>
        <v>0</v>
      </c>
      <c r="BD87" s="121">
        <f t="shared" si="53"/>
        <v>0</v>
      </c>
      <c r="BE87" s="121">
        <f t="shared" si="54"/>
        <v>0</v>
      </c>
      <c r="BF87" s="121">
        <f t="shared" si="55"/>
        <v>0</v>
      </c>
      <c r="BG87" s="121">
        <f t="shared" si="56"/>
        <v>0</v>
      </c>
      <c r="BH87" s="121">
        <f t="shared" si="57"/>
        <v>0</v>
      </c>
      <c r="BI87" s="121">
        <f t="shared" si="58"/>
        <v>5879084.6054315707</v>
      </c>
      <c r="BJ87" s="121">
        <f t="shared" si="59"/>
        <v>5879084.6054315716</v>
      </c>
      <c r="BK87" s="121">
        <f t="shared" si="60"/>
        <v>5879084.6054315716</v>
      </c>
      <c r="BL87" s="121">
        <f t="shared" si="61"/>
        <v>5879084.6054315716</v>
      </c>
      <c r="BM87" s="121">
        <f t="shared" si="62"/>
        <v>0</v>
      </c>
      <c r="BN87" s="121">
        <f t="shared" si="63"/>
        <v>0</v>
      </c>
      <c r="BO87" s="121">
        <f t="shared" si="64"/>
        <v>0</v>
      </c>
      <c r="BP87" s="121">
        <f t="shared" si="65"/>
        <v>0</v>
      </c>
      <c r="BQ87" s="199">
        <f>INDEX('GDP deflators'!$C$6:$M$36,MATCH('Bottom-up tagging'!$D87,'GDP deflators'!$B$6:$B$36,),MATCH('Bottom-up tagging'!$E87,'GDP deflators'!$C$5:$L$5,))/100</f>
        <v>1.5094883975306472</v>
      </c>
      <c r="BR87" s="24">
        <v>8874410</v>
      </c>
    </row>
    <row r="88" spans="2:70" ht="26.15" hidden="1" customHeight="1">
      <c r="B88" s="110" t="s">
        <v>345</v>
      </c>
      <c r="C88" s="110" t="s">
        <v>350</v>
      </c>
      <c r="D88" s="110" t="s">
        <v>5416</v>
      </c>
      <c r="E88" s="103">
        <v>2019</v>
      </c>
      <c r="F88" s="108" t="s">
        <v>6135</v>
      </c>
      <c r="G88" s="111" t="s">
        <v>109</v>
      </c>
      <c r="H88" s="110" t="s">
        <v>10451</v>
      </c>
      <c r="I88" s="112">
        <f>IF(Dashboard!$B$16="Current USD",'Bottom-up tagging'!BR88,'Bottom-up tagging'!BR88/'Bottom-up tagging'!BQ88)</f>
        <v>7225142.528076957</v>
      </c>
      <c r="J88" s="117" t="s">
        <v>10474</v>
      </c>
      <c r="K88" s="112"/>
      <c r="L88" s="135">
        <v>1</v>
      </c>
      <c r="M88" s="135">
        <v>1</v>
      </c>
      <c r="N88" s="112"/>
      <c r="O88" s="112"/>
      <c r="P88" s="112" t="str">
        <f>VLOOKUP(B88, 'Companies covered restructured'!$B$7:$K$470, 9, FALSE)</f>
        <v>Insect-protein based feed</v>
      </c>
      <c r="Q88" s="112" t="str">
        <f>VLOOKUP(B88, 'Companies covered restructured'!$B$7:$K$470, 6, FALSE)</f>
        <v>#Livestock(100)</v>
      </c>
      <c r="R88" s="112" t="str">
        <f t="shared" si="37"/>
        <v>#Investment Fund(100)</v>
      </c>
      <c r="S88" s="112" t="s">
        <v>11003</v>
      </c>
      <c r="T88" s="112" t="s">
        <v>10466</v>
      </c>
      <c r="U88" s="103" t="s">
        <v>10970</v>
      </c>
      <c r="V88" s="212" t="s">
        <v>10977</v>
      </c>
      <c r="W88" s="112" t="str">
        <f>VLOOKUP(B88, 'Companies covered restructured'!$B$7:$K$470, 7, FALSE)</f>
        <v>#Field/Animal Herd(100)</v>
      </c>
      <c r="X88" s="112" t="s">
        <v>10558</v>
      </c>
      <c r="Y88" s="212" t="str">
        <f>VLOOKUP(P88, 'Bottom-up Tagging Assumptions'!$B$12:$C$56, 2, FALSE)</f>
        <v>#Human Condition(P), #Environmental</v>
      </c>
      <c r="Z88" s="112" t="str">
        <f>VLOOKUP(P88, 'Bottom-up Tagging Assumptions'!$B$12:$F$56, 3, FALSE)</f>
        <v>#Improved nutrition(P)</v>
      </c>
      <c r="AA88" s="112" t="str">
        <f>VLOOKUP(P88, 'Bottom-up Tagging Assumptions'!$B$12:$F$56, 4, FALSE)</f>
        <v>#Level 3(100)</v>
      </c>
      <c r="AB88" s="110" t="s">
        <v>923</v>
      </c>
      <c r="AC88" s="110"/>
      <c r="AD88" s="110" t="s">
        <v>924</v>
      </c>
      <c r="AE88" s="110" t="s">
        <v>3114</v>
      </c>
      <c r="AF88" s="112">
        <v>8500000</v>
      </c>
      <c r="AG88" s="110" t="s">
        <v>351</v>
      </c>
      <c r="AH88" s="121">
        <f t="shared" si="38"/>
        <v>1</v>
      </c>
      <c r="AI88" s="121">
        <f t="shared" si="39"/>
        <v>0</v>
      </c>
      <c r="AJ88" s="121">
        <f t="shared" si="40"/>
        <v>0</v>
      </c>
      <c r="AK88" s="121">
        <f t="shared" si="41"/>
        <v>0</v>
      </c>
      <c r="AL88" s="121">
        <f t="shared" si="42"/>
        <v>1</v>
      </c>
      <c r="AM88" s="121">
        <f t="shared" si="43"/>
        <v>0</v>
      </c>
      <c r="AN88" s="121">
        <f t="shared" si="44"/>
        <v>0</v>
      </c>
      <c r="AO88" s="121">
        <f t="shared" si="45"/>
        <v>0</v>
      </c>
      <c r="AP88" s="22">
        <f t="shared" si="46"/>
        <v>0</v>
      </c>
      <c r="AQ88" s="22">
        <f t="shared" si="47"/>
        <v>0</v>
      </c>
      <c r="AR88" s="22">
        <f t="shared" si="48"/>
        <v>0</v>
      </c>
      <c r="AS88" s="121" t="str">
        <f t="shared" si="49"/>
        <v>Livestock</v>
      </c>
      <c r="AT88" s="121" t="str">
        <f t="shared" si="35"/>
        <v xml:space="preserve"> </v>
      </c>
      <c r="AU88" s="121" t="str">
        <f t="shared" si="35"/>
        <v xml:space="preserve"> </v>
      </c>
      <c r="AV88" s="121" t="str">
        <f t="shared" si="35"/>
        <v xml:space="preserve"> </v>
      </c>
      <c r="AW88" s="130" t="str">
        <f t="shared" si="36"/>
        <v>100</v>
      </c>
      <c r="AX88" s="130" t="str">
        <f t="shared" si="36"/>
        <v xml:space="preserve"> </v>
      </c>
      <c r="AY88" s="130" t="str">
        <f t="shared" si="36"/>
        <v xml:space="preserve"> </v>
      </c>
      <c r="AZ88" s="130" t="str">
        <f t="shared" si="36"/>
        <v xml:space="preserve"> </v>
      </c>
      <c r="BA88" s="121">
        <f t="shared" si="50"/>
        <v>7225142.5280769579</v>
      </c>
      <c r="BB88" s="121">
        <f t="shared" si="51"/>
        <v>0</v>
      </c>
      <c r="BC88" s="121">
        <f t="shared" si="52"/>
        <v>0</v>
      </c>
      <c r="BD88" s="121">
        <f t="shared" si="53"/>
        <v>0</v>
      </c>
      <c r="BE88" s="121">
        <f t="shared" si="54"/>
        <v>0</v>
      </c>
      <c r="BF88" s="121">
        <f t="shared" si="55"/>
        <v>0</v>
      </c>
      <c r="BG88" s="121">
        <f t="shared" si="56"/>
        <v>0</v>
      </c>
      <c r="BH88" s="121">
        <f t="shared" si="57"/>
        <v>0</v>
      </c>
      <c r="BI88" s="121">
        <f t="shared" si="58"/>
        <v>0</v>
      </c>
      <c r="BJ88" s="121">
        <f t="shared" si="59"/>
        <v>0</v>
      </c>
      <c r="BK88" s="121">
        <f t="shared" si="60"/>
        <v>0</v>
      </c>
      <c r="BL88" s="121">
        <f t="shared" si="61"/>
        <v>0</v>
      </c>
      <c r="BM88" s="121">
        <f t="shared" si="62"/>
        <v>0</v>
      </c>
      <c r="BN88" s="121">
        <f t="shared" si="63"/>
        <v>0</v>
      </c>
      <c r="BO88" s="121">
        <f t="shared" si="64"/>
        <v>0</v>
      </c>
      <c r="BP88" s="121">
        <f t="shared" si="65"/>
        <v>0</v>
      </c>
      <c r="BQ88" s="199">
        <f>INDEX('GDP deflators'!$C$6:$M$36,MATCH('Bottom-up tagging'!$D88,'GDP deflators'!$B$6:$B$36,),MATCH('Bottom-up tagging'!$E88,'GDP deflators'!$C$5:$L$5,))/100</f>
        <v>1.1764473803760878</v>
      </c>
      <c r="BR88" s="24">
        <v>8500000</v>
      </c>
    </row>
    <row r="89" spans="2:70" ht="26.15" hidden="1" customHeight="1">
      <c r="B89" s="110" t="s">
        <v>74</v>
      </c>
      <c r="C89" s="110" t="s">
        <v>80</v>
      </c>
      <c r="D89" s="110" t="s">
        <v>3994</v>
      </c>
      <c r="E89" s="103">
        <v>2017</v>
      </c>
      <c r="F89" s="108" t="s">
        <v>8707</v>
      </c>
      <c r="G89" s="111" t="s">
        <v>109</v>
      </c>
      <c r="H89" s="110" t="s">
        <v>10451</v>
      </c>
      <c r="I89" s="112">
        <f>IF(Dashboard!$B$16="Current USD",'Bottom-up tagging'!BR89,'Bottom-up tagging'!BR89/'Bottom-up tagging'!BQ89)</f>
        <v>6005074.8568175798</v>
      </c>
      <c r="J89" s="105" t="s">
        <v>10474</v>
      </c>
      <c r="K89" s="112"/>
      <c r="L89" s="135">
        <v>1</v>
      </c>
      <c r="M89" s="135">
        <v>1</v>
      </c>
      <c r="N89" s="112"/>
      <c r="O89" s="112"/>
      <c r="P89" s="112" t="str">
        <f>VLOOKUP(B89, 'Companies covered restructured'!$B$7:$K$470, 9, FALSE)</f>
        <v>Agri marketplaces</v>
      </c>
      <c r="Q89" s="112" t="str">
        <f>VLOOKUP(B89, 'Companies covered restructured'!$B$7:$K$470, 6, FALSE)</f>
        <v>#Crops(100)</v>
      </c>
      <c r="R89" s="112" t="str">
        <f t="shared" si="37"/>
        <v>#Investment Fund(100)</v>
      </c>
      <c r="S89" s="112" t="s">
        <v>11003</v>
      </c>
      <c r="T89" s="112" t="s">
        <v>10466</v>
      </c>
      <c r="U89" s="103" t="s">
        <v>10970</v>
      </c>
      <c r="V89" s="112" t="str">
        <f>VLOOKUP(P89, 'Bottom-up Tagging Assumptions'!$B$12:$F$39, 5, FALSE)</f>
        <v>#Process Innovation(100)</v>
      </c>
      <c r="W89" s="112" t="str">
        <f>VLOOKUP(B89, 'Companies covered restructured'!$B$7:$K$470, 7, FALSE)</f>
        <v>#Farm/Household(100)</v>
      </c>
      <c r="X89" s="112" t="s">
        <v>10558</v>
      </c>
      <c r="Y89" s="212" t="str">
        <f>VLOOKUP(P89, 'Bottom-up Tagging Assumptions'!$B$12:$C$56, 2, FALSE)</f>
        <v>#Other Economic(P); Social(S)</v>
      </c>
      <c r="Z89" s="112" t="str">
        <f>VLOOKUP(P89, 'Bottom-up Tagging Assumptions'!$B$12:$F$56, 3, FALSE)</f>
        <v>#Improve price realization(P)</v>
      </c>
      <c r="AA89" s="112" t="str">
        <f>VLOOKUP(P89, 'Bottom-up Tagging Assumptions'!$B$12:$F$56, 4, FALSE)</f>
        <v>#Level 4(100)</v>
      </c>
      <c r="AB89" s="110" t="s">
        <v>2046</v>
      </c>
      <c r="AC89" s="110"/>
      <c r="AD89" s="110" t="s">
        <v>1242</v>
      </c>
      <c r="AE89" s="110" t="str">
        <f>VLOOKUP(AD89,  '1.2'!$B$7:$C$2033, 2, FALSE)</f>
        <v>FUND</v>
      </c>
      <c r="AF89" s="112">
        <v>62610600</v>
      </c>
      <c r="AG89" s="110" t="s">
        <v>1416</v>
      </c>
      <c r="AH89" s="121">
        <f t="shared" si="38"/>
        <v>0</v>
      </c>
      <c r="AI89" s="121">
        <f t="shared" si="39"/>
        <v>0</v>
      </c>
      <c r="AJ89" s="121">
        <f t="shared" si="40"/>
        <v>1</v>
      </c>
      <c r="AK89" s="121">
        <f t="shared" si="41"/>
        <v>1</v>
      </c>
      <c r="AL89" s="121">
        <f t="shared" si="42"/>
        <v>0</v>
      </c>
      <c r="AM89" s="121">
        <f t="shared" si="43"/>
        <v>0</v>
      </c>
      <c r="AN89" s="121">
        <f t="shared" si="44"/>
        <v>1</v>
      </c>
      <c r="AO89" s="121">
        <f t="shared" si="45"/>
        <v>0</v>
      </c>
      <c r="AP89" s="22">
        <f t="shared" si="46"/>
        <v>0</v>
      </c>
      <c r="AQ89" s="22">
        <f t="shared" si="47"/>
        <v>6005074.8568175798</v>
      </c>
      <c r="AR89" s="22">
        <f t="shared" si="48"/>
        <v>0</v>
      </c>
      <c r="AS89" s="121" t="str">
        <f t="shared" si="49"/>
        <v>Crops</v>
      </c>
      <c r="AT89" s="121" t="str">
        <f t="shared" si="35"/>
        <v xml:space="preserve"> </v>
      </c>
      <c r="AU89" s="121" t="str">
        <f t="shared" si="35"/>
        <v xml:space="preserve"> </v>
      </c>
      <c r="AV89" s="121" t="str">
        <f t="shared" si="35"/>
        <v xml:space="preserve"> </v>
      </c>
      <c r="AW89" s="130" t="str">
        <f t="shared" si="36"/>
        <v>100</v>
      </c>
      <c r="AX89" s="130" t="str">
        <f t="shared" si="36"/>
        <v xml:space="preserve"> </v>
      </c>
      <c r="AY89" s="130" t="str">
        <f t="shared" si="36"/>
        <v xml:space="preserve"> </v>
      </c>
      <c r="AZ89" s="130" t="str">
        <f t="shared" si="36"/>
        <v xml:space="preserve"> </v>
      </c>
      <c r="BA89" s="121">
        <f t="shared" si="50"/>
        <v>6005074.8568175789</v>
      </c>
      <c r="BB89" s="121">
        <f t="shared" si="51"/>
        <v>0</v>
      </c>
      <c r="BC89" s="121">
        <f t="shared" si="52"/>
        <v>0</v>
      </c>
      <c r="BD89" s="121">
        <f t="shared" si="53"/>
        <v>0</v>
      </c>
      <c r="BE89" s="121">
        <f t="shared" si="54"/>
        <v>0</v>
      </c>
      <c r="BF89" s="121">
        <f t="shared" si="55"/>
        <v>0</v>
      </c>
      <c r="BG89" s="121">
        <f t="shared" si="56"/>
        <v>0</v>
      </c>
      <c r="BH89" s="121">
        <f t="shared" si="57"/>
        <v>0</v>
      </c>
      <c r="BI89" s="121">
        <f t="shared" si="58"/>
        <v>6005074.8568175789</v>
      </c>
      <c r="BJ89" s="121">
        <f t="shared" si="59"/>
        <v>6005074.8568175798</v>
      </c>
      <c r="BK89" s="121">
        <f t="shared" si="60"/>
        <v>6005074.8568175798</v>
      </c>
      <c r="BL89" s="121">
        <f t="shared" si="61"/>
        <v>6005074.8568175798</v>
      </c>
      <c r="BM89" s="121">
        <f t="shared" si="62"/>
        <v>0</v>
      </c>
      <c r="BN89" s="121">
        <f t="shared" si="63"/>
        <v>0</v>
      </c>
      <c r="BO89" s="121">
        <f t="shared" si="64"/>
        <v>0</v>
      </c>
      <c r="BP89" s="121">
        <f t="shared" si="65"/>
        <v>0</v>
      </c>
      <c r="BQ89" s="199">
        <f>INDEX('GDP deflators'!$C$6:$M$36,MATCH('Bottom-up tagging'!$D89,'GDP deflators'!$B$6:$B$36,),MATCH('Bottom-up tagging'!$E89,'GDP deflators'!$C$5:$L$5,))/100</f>
        <v>1.4111098032990623</v>
      </c>
      <c r="BR89" s="24">
        <v>8473820</v>
      </c>
    </row>
    <row r="90" spans="2:70" ht="26.15" hidden="1" customHeight="1">
      <c r="B90" s="110" t="s">
        <v>1330</v>
      </c>
      <c r="C90" s="110" t="s">
        <v>1334</v>
      </c>
      <c r="D90" s="110" t="s">
        <v>3994</v>
      </c>
      <c r="E90" s="103">
        <v>2018</v>
      </c>
      <c r="F90" s="108" t="s">
        <v>8242</v>
      </c>
      <c r="G90" s="111" t="s">
        <v>25</v>
      </c>
      <c r="H90" s="110" t="s">
        <v>10451</v>
      </c>
      <c r="I90" s="112">
        <f>IF(Dashboard!$B$16="Current USD",'Bottom-up tagging'!BR90,'Bottom-up tagging'!BR90/'Bottom-up tagging'!BQ90)</f>
        <v>5499312.4206254836</v>
      </c>
      <c r="J90" s="118" t="s">
        <v>10474</v>
      </c>
      <c r="K90" s="112"/>
      <c r="L90" s="135">
        <v>1</v>
      </c>
      <c r="M90" s="135">
        <v>1</v>
      </c>
      <c r="N90" s="112"/>
      <c r="O90" s="112"/>
      <c r="P90" s="112" t="str">
        <f>VLOOKUP(B90, 'Companies covered restructured'!$B$7:$K$470, 9, FALSE)</f>
        <v>AI/analytics based advisory algorithms (incl. weather)</v>
      </c>
      <c r="Q90" s="112" t="str">
        <f>VLOOKUP(B90, 'Companies covered restructured'!$B$7:$K$470, 6, FALSE)</f>
        <v>#Crops(100)</v>
      </c>
      <c r="R90" s="112" t="str">
        <f t="shared" si="37"/>
        <v>#Investment Fund(100)</v>
      </c>
      <c r="S90" s="112" t="s">
        <v>11003</v>
      </c>
      <c r="T90" s="112" t="s">
        <v>10466</v>
      </c>
      <c r="U90" s="103" t="s">
        <v>10970</v>
      </c>
      <c r="V90" s="112" t="str">
        <f>VLOOKUP(P90, 'Bottom-up Tagging Assumptions'!$B$12:$F$39, 5, FALSE)</f>
        <v>#Science &amp; tech(100)</v>
      </c>
      <c r="W90" s="112" t="str">
        <f>VLOOKUP(B90, 'Companies covered restructured'!$B$7:$K$470, 7, FALSE)</f>
        <v>#Field/Animal Herd(100)</v>
      </c>
      <c r="X90" s="112" t="s">
        <v>10558</v>
      </c>
      <c r="Y90" s="212" t="str">
        <f>VLOOKUP(P90, 'Bottom-up Tagging Assumptions'!$B$12:$C$56, 2, FALSE)</f>
        <v>#Other Economic(P); #Productivity(S)</v>
      </c>
      <c r="Z90" s="112" t="str">
        <f>VLOOKUP(P90, 'Bottom-up Tagging Assumptions'!$B$12:$F$56, 3, FALSE)</f>
        <v>#Increasing output per unit input(P); #Increasing crop or animal yield(S)</v>
      </c>
      <c r="AA90" s="112" t="str">
        <f>VLOOKUP(P90, 'Bottom-up Tagging Assumptions'!$B$12:$F$56, 4, FALSE)</f>
        <v>#Level 1(100)</v>
      </c>
      <c r="AB90" s="110" t="s">
        <v>1332</v>
      </c>
      <c r="AC90" s="110"/>
      <c r="AD90" s="110" t="s">
        <v>1333</v>
      </c>
      <c r="AE90" s="110" t="s">
        <v>3114</v>
      </c>
      <c r="AF90" s="112"/>
      <c r="AG90" s="110" t="s">
        <v>1553</v>
      </c>
      <c r="AH90" s="121">
        <f t="shared" si="38"/>
        <v>0</v>
      </c>
      <c r="AI90" s="121">
        <f t="shared" si="39"/>
        <v>1</v>
      </c>
      <c r="AJ90" s="121">
        <f t="shared" si="40"/>
        <v>1</v>
      </c>
      <c r="AK90" s="121">
        <f t="shared" si="41"/>
        <v>0</v>
      </c>
      <c r="AL90" s="121">
        <f t="shared" si="42"/>
        <v>0</v>
      </c>
      <c r="AM90" s="121">
        <f t="shared" si="43"/>
        <v>0</v>
      </c>
      <c r="AN90" s="121">
        <f t="shared" si="44"/>
        <v>0</v>
      </c>
      <c r="AO90" s="121">
        <f t="shared" si="45"/>
        <v>0</v>
      </c>
      <c r="AP90" s="22">
        <f t="shared" si="46"/>
        <v>0</v>
      </c>
      <c r="AQ90" s="22">
        <f t="shared" si="47"/>
        <v>0</v>
      </c>
      <c r="AR90" s="22">
        <f t="shared" si="48"/>
        <v>0</v>
      </c>
      <c r="AS90" s="121" t="str">
        <f t="shared" si="49"/>
        <v>Crops</v>
      </c>
      <c r="AT90" s="121" t="str">
        <f t="shared" si="35"/>
        <v xml:space="preserve"> </v>
      </c>
      <c r="AU90" s="121" t="str">
        <f t="shared" si="35"/>
        <v xml:space="preserve"> </v>
      </c>
      <c r="AV90" s="121" t="str">
        <f t="shared" si="35"/>
        <v xml:space="preserve"> </v>
      </c>
      <c r="AW90" s="130" t="str">
        <f t="shared" si="36"/>
        <v>100</v>
      </c>
      <c r="AX90" s="130" t="str">
        <f t="shared" si="36"/>
        <v xml:space="preserve"> </v>
      </c>
      <c r="AY90" s="130" t="str">
        <f t="shared" si="36"/>
        <v xml:space="preserve"> </v>
      </c>
      <c r="AZ90" s="130" t="str">
        <f t="shared" si="36"/>
        <v xml:space="preserve"> </v>
      </c>
      <c r="BA90" s="121">
        <f t="shared" si="50"/>
        <v>5499312.4206254836</v>
      </c>
      <c r="BB90" s="121">
        <f t="shared" si="51"/>
        <v>0</v>
      </c>
      <c r="BC90" s="121">
        <f t="shared" si="52"/>
        <v>0</v>
      </c>
      <c r="BD90" s="121">
        <f t="shared" si="53"/>
        <v>0</v>
      </c>
      <c r="BE90" s="121">
        <f t="shared" si="54"/>
        <v>0</v>
      </c>
      <c r="BF90" s="121">
        <f t="shared" si="55"/>
        <v>0</v>
      </c>
      <c r="BG90" s="121">
        <f t="shared" si="56"/>
        <v>0</v>
      </c>
      <c r="BH90" s="121">
        <f t="shared" si="57"/>
        <v>0</v>
      </c>
      <c r="BI90" s="121">
        <f t="shared" si="58"/>
        <v>0</v>
      </c>
      <c r="BJ90" s="121">
        <f t="shared" si="59"/>
        <v>0</v>
      </c>
      <c r="BK90" s="121">
        <f t="shared" si="60"/>
        <v>0</v>
      </c>
      <c r="BL90" s="121">
        <f t="shared" si="61"/>
        <v>0</v>
      </c>
      <c r="BM90" s="121">
        <f t="shared" si="62"/>
        <v>0</v>
      </c>
      <c r="BN90" s="121">
        <f t="shared" si="63"/>
        <v>0</v>
      </c>
      <c r="BO90" s="121">
        <f t="shared" si="64"/>
        <v>0</v>
      </c>
      <c r="BP90" s="121">
        <f t="shared" si="65"/>
        <v>0</v>
      </c>
      <c r="BQ90" s="199">
        <f>INDEX('GDP deflators'!$C$6:$M$36,MATCH('Bottom-up tagging'!$D90,'GDP deflators'!$B$6:$B$36,),MATCH('Bottom-up tagging'!$E90,'GDP deflators'!$C$5:$L$5,))/100</f>
        <v>1.4753935363936217</v>
      </c>
      <c r="BR90" s="24">
        <v>8113650</v>
      </c>
    </row>
    <row r="91" spans="2:70" ht="26.15" hidden="1" customHeight="1">
      <c r="B91" s="110" t="s">
        <v>1946</v>
      </c>
      <c r="C91" s="110" t="s">
        <v>1951</v>
      </c>
      <c r="D91" s="110" t="s">
        <v>3994</v>
      </c>
      <c r="E91" s="103">
        <v>2017</v>
      </c>
      <c r="F91" s="108" t="s">
        <v>7944</v>
      </c>
      <c r="G91" s="111" t="s">
        <v>109</v>
      </c>
      <c r="H91" s="110" t="s">
        <v>10451</v>
      </c>
      <c r="I91" s="112">
        <f>IF(Dashboard!$B$16="Current USD",'Bottom-up tagging'!BR91,'Bottom-up tagging'!BR91/'Bottom-up tagging'!BQ91)</f>
        <v>5669296.5928637423</v>
      </c>
      <c r="J91" s="117" t="s">
        <v>10474</v>
      </c>
      <c r="K91" s="112"/>
      <c r="L91" s="135">
        <v>1</v>
      </c>
      <c r="M91" s="135">
        <v>1</v>
      </c>
      <c r="N91" s="112"/>
      <c r="O91" s="112"/>
      <c r="P91" s="112" t="str">
        <f>VLOOKUP(B91, 'Companies covered restructured'!$B$7:$K$470, 9, FALSE)</f>
        <v>Supply chain technologies</v>
      </c>
      <c r="Q91" s="112" t="str">
        <f>VLOOKUP(B91, 'Companies covered restructured'!$B$7:$K$470, 6, FALSE)</f>
        <v>#Crops(100)</v>
      </c>
      <c r="R91" s="112" t="str">
        <f t="shared" si="37"/>
        <v>#Investment Fund(100)</v>
      </c>
      <c r="S91" s="112" t="s">
        <v>11003</v>
      </c>
      <c r="T91" s="112" t="s">
        <v>10466</v>
      </c>
      <c r="U91" s="103" t="s">
        <v>10970</v>
      </c>
      <c r="V91" s="112" t="str">
        <f>VLOOKUP(P91, 'Bottom-up Tagging Assumptions'!$B$12:$F$39, 5, FALSE)</f>
        <v>#Process Innovation(100)</v>
      </c>
      <c r="W91" s="112" t="str">
        <f>VLOOKUP(B91, 'Companies covered restructured'!$B$7:$K$470, 7, FALSE)</f>
        <v>#Farm/Household(100)</v>
      </c>
      <c r="X91" s="112" t="s">
        <v>10558</v>
      </c>
      <c r="Y91" s="212" t="str">
        <f>VLOOKUP(P91, 'Bottom-up Tagging Assumptions'!$B$12:$C$56, 2, FALSE)</f>
        <v>#Other Economic(P); Social(S)</v>
      </c>
      <c r="Z91" s="112" t="str">
        <f>VLOOKUP(P91, 'Bottom-up Tagging Assumptions'!$B$12:$F$56, 3, FALSE)</f>
        <v>#Improve price realization(P)</v>
      </c>
      <c r="AA91" s="112" t="str">
        <f>VLOOKUP(P91, 'Bottom-up Tagging Assumptions'!$B$12:$F$56, 4, FALSE)</f>
        <v>#Level 3(100)</v>
      </c>
      <c r="AB91" s="110" t="s">
        <v>1948</v>
      </c>
      <c r="AC91" s="110" t="s">
        <v>1949</v>
      </c>
      <c r="AD91" s="110" t="s">
        <v>1950</v>
      </c>
      <c r="AE91" s="110" t="str">
        <f>VLOOKUP(AD91,  '1.2'!$B$7:$C$2033, 2, FALSE)</f>
        <v>FUND</v>
      </c>
      <c r="AF91" s="112">
        <v>234941</v>
      </c>
      <c r="AG91" s="110" t="s">
        <v>1559</v>
      </c>
      <c r="AH91" s="121">
        <f t="shared" si="38"/>
        <v>0</v>
      </c>
      <c r="AI91" s="121">
        <f t="shared" si="39"/>
        <v>0</v>
      </c>
      <c r="AJ91" s="121">
        <f t="shared" si="40"/>
        <v>1</v>
      </c>
      <c r="AK91" s="121">
        <f t="shared" si="41"/>
        <v>1</v>
      </c>
      <c r="AL91" s="121">
        <f t="shared" si="42"/>
        <v>0</v>
      </c>
      <c r="AM91" s="121">
        <f t="shared" si="43"/>
        <v>0</v>
      </c>
      <c r="AN91" s="121">
        <f t="shared" si="44"/>
        <v>1</v>
      </c>
      <c r="AO91" s="121">
        <f t="shared" si="45"/>
        <v>0</v>
      </c>
      <c r="AP91" s="22">
        <f t="shared" si="46"/>
        <v>0</v>
      </c>
      <c r="AQ91" s="22">
        <f t="shared" si="47"/>
        <v>5669296.5928637423</v>
      </c>
      <c r="AR91" s="22">
        <f t="shared" si="48"/>
        <v>0</v>
      </c>
      <c r="AS91" s="121" t="str">
        <f t="shared" si="49"/>
        <v>Crops</v>
      </c>
      <c r="AT91" s="121" t="str">
        <f t="shared" si="35"/>
        <v xml:space="preserve"> </v>
      </c>
      <c r="AU91" s="121" t="str">
        <f t="shared" si="35"/>
        <v xml:space="preserve"> </v>
      </c>
      <c r="AV91" s="121" t="str">
        <f t="shared" si="35"/>
        <v xml:space="preserve"> </v>
      </c>
      <c r="AW91" s="130" t="str">
        <f t="shared" si="36"/>
        <v>100</v>
      </c>
      <c r="AX91" s="130" t="str">
        <f t="shared" si="36"/>
        <v xml:space="preserve"> </v>
      </c>
      <c r="AY91" s="130" t="str">
        <f t="shared" si="36"/>
        <v xml:space="preserve"> </v>
      </c>
      <c r="AZ91" s="130" t="str">
        <f t="shared" si="36"/>
        <v xml:space="preserve"> </v>
      </c>
      <c r="BA91" s="121">
        <f t="shared" si="50"/>
        <v>5669296.5928637423</v>
      </c>
      <c r="BB91" s="121">
        <f t="shared" si="51"/>
        <v>0</v>
      </c>
      <c r="BC91" s="121">
        <f t="shared" si="52"/>
        <v>0</v>
      </c>
      <c r="BD91" s="121">
        <f t="shared" si="53"/>
        <v>0</v>
      </c>
      <c r="BE91" s="121">
        <f t="shared" si="54"/>
        <v>0</v>
      </c>
      <c r="BF91" s="121">
        <f t="shared" si="55"/>
        <v>0</v>
      </c>
      <c r="BG91" s="121">
        <f t="shared" si="56"/>
        <v>0</v>
      </c>
      <c r="BH91" s="121">
        <f t="shared" si="57"/>
        <v>0</v>
      </c>
      <c r="BI91" s="121">
        <f t="shared" si="58"/>
        <v>5669296.5928637423</v>
      </c>
      <c r="BJ91" s="121">
        <f t="shared" si="59"/>
        <v>5669296.5928637423</v>
      </c>
      <c r="BK91" s="121">
        <f t="shared" si="60"/>
        <v>5669296.5928637423</v>
      </c>
      <c r="BL91" s="121">
        <f t="shared" si="61"/>
        <v>5669296.5928637423</v>
      </c>
      <c r="BM91" s="121">
        <f t="shared" si="62"/>
        <v>0</v>
      </c>
      <c r="BN91" s="121">
        <f t="shared" si="63"/>
        <v>0</v>
      </c>
      <c r="BO91" s="121">
        <f t="shared" si="64"/>
        <v>0</v>
      </c>
      <c r="BP91" s="121">
        <f t="shared" si="65"/>
        <v>0</v>
      </c>
      <c r="BQ91" s="199">
        <f>INDEX('GDP deflators'!$C$6:$M$36,MATCH('Bottom-up tagging'!$D91,'GDP deflators'!$B$6:$B$36,),MATCH('Bottom-up tagging'!$E91,'GDP deflators'!$C$5:$L$5,))/100</f>
        <v>1.4111098032990623</v>
      </c>
      <c r="BR91" s="24">
        <v>8000000</v>
      </c>
    </row>
    <row r="92" spans="2:70" ht="26.15" customHeight="1">
      <c r="B92" s="110" t="s">
        <v>385</v>
      </c>
      <c r="C92" s="110" t="s">
        <v>389</v>
      </c>
      <c r="D92" s="110" t="s">
        <v>5391</v>
      </c>
      <c r="E92" s="103">
        <v>2019</v>
      </c>
      <c r="F92" s="108" t="s">
        <v>7033</v>
      </c>
      <c r="G92" s="111" t="s">
        <v>109</v>
      </c>
      <c r="H92" s="110" t="s">
        <v>10451</v>
      </c>
      <c r="I92" s="112">
        <f>IF(Dashboard!$B$16="Current USD",'Bottom-up tagging'!BR92,'Bottom-up tagging'!BR92/'Bottom-up tagging'!BQ92)</f>
        <v>4080714.5971414237</v>
      </c>
      <c r="J92" s="105" t="s">
        <v>10474</v>
      </c>
      <c r="K92" s="112"/>
      <c r="L92" s="135">
        <v>1</v>
      </c>
      <c r="M92" s="135">
        <v>1</v>
      </c>
      <c r="N92" s="112"/>
      <c r="O92" s="112"/>
      <c r="P92" s="112" t="str">
        <f>VLOOKUP(B92, 'Companies covered restructured'!$B$7:$K$470, 9, FALSE)</f>
        <v>Farmer financing services</v>
      </c>
      <c r="Q92" s="112" t="str">
        <f>VLOOKUP(B92, 'Companies covered restructured'!$B$7:$K$470, 6, FALSE)</f>
        <v>#Cross-cutting(100)</v>
      </c>
      <c r="R92" s="112" t="str">
        <f t="shared" si="37"/>
        <v>N/A</v>
      </c>
      <c r="S92" s="112" t="s">
        <v>11003</v>
      </c>
      <c r="T92" s="112" t="s">
        <v>10466</v>
      </c>
      <c r="U92" s="103" t="s">
        <v>10970</v>
      </c>
      <c r="V92" s="112" t="str">
        <f>VLOOKUP(P92, 'Bottom-up Tagging Assumptions'!$B$12:$F$39, 5, FALSE)</f>
        <v>#Process Innovation(100)</v>
      </c>
      <c r="W92" s="112" t="str">
        <f>VLOOKUP(B92, 'Companies covered restructured'!$B$7:$K$470, 7, FALSE)</f>
        <v>#Field/Animal Herd(100)</v>
      </c>
      <c r="X92" s="112" t="s">
        <v>10558</v>
      </c>
      <c r="Y92" s="212" t="str">
        <f>VLOOKUP(P92, 'Bottom-up Tagging Assumptions'!$B$12:$C$56, 2, FALSE)</f>
        <v>#Other Economic(P); Social(S)</v>
      </c>
      <c r="Z92" s="112" t="str">
        <f>VLOOKUP(P92, 'Bottom-up Tagging Assumptions'!$B$12:$F$56, 3, FALSE)</f>
        <v>NA</v>
      </c>
      <c r="AA92" s="112" t="str">
        <f>VLOOKUP(P92, 'Bottom-up Tagging Assumptions'!$B$12:$F$56, 4, FALSE)</f>
        <v>#Level 1(100)</v>
      </c>
      <c r="AB92" s="110"/>
      <c r="AC92" s="110"/>
      <c r="AD92" s="110"/>
      <c r="AE92" s="110" t="s">
        <v>10558</v>
      </c>
      <c r="AF92" s="112">
        <v>10111973</v>
      </c>
      <c r="AG92" s="110" t="s">
        <v>384</v>
      </c>
      <c r="AH92" s="121">
        <f t="shared" si="38"/>
        <v>0</v>
      </c>
      <c r="AI92" s="121">
        <f t="shared" si="39"/>
        <v>0</v>
      </c>
      <c r="AJ92" s="121">
        <f t="shared" si="40"/>
        <v>1</v>
      </c>
      <c r="AK92" s="121">
        <f t="shared" si="41"/>
        <v>1</v>
      </c>
      <c r="AL92" s="121">
        <f t="shared" si="42"/>
        <v>0</v>
      </c>
      <c r="AM92" s="121">
        <f t="shared" si="43"/>
        <v>0</v>
      </c>
      <c r="AN92" s="121">
        <f t="shared" si="44"/>
        <v>1</v>
      </c>
      <c r="AO92" s="121">
        <f t="shared" si="45"/>
        <v>0</v>
      </c>
      <c r="AP92" s="22">
        <f t="shared" si="46"/>
        <v>0</v>
      </c>
      <c r="AQ92" s="22">
        <f t="shared" si="47"/>
        <v>4080714.5971414237</v>
      </c>
      <c r="AR92" s="22">
        <f t="shared" si="48"/>
        <v>0</v>
      </c>
      <c r="AS92" s="121" t="str">
        <f t="shared" si="49"/>
        <v>Cross-cutting</v>
      </c>
      <c r="AT92" s="121" t="str">
        <f t="shared" ref="AT92:AV111" si="66">IFERROR(IFERROR(MID($Q92,FIND("~",SUBSTITUTE($Q92,";","~",AT$10-1))+3,(FIND("~",SUBSTITUTE($Q92,";","~",AT$10))+0-(FIND("~",SUBSTITUTE($Q92,";","~",AT$10-1))+2))-6),MID($Q92,FIND("~",SUBSTITUTE($Q92,";","~",AT$10-1))+3,(LEN($Q92)-6-FIND("~",SUBSTITUTE($Q92,";","~",AT$10-1))-1)))," ")</f>
        <v xml:space="preserve"> </v>
      </c>
      <c r="AU92" s="121" t="str">
        <f t="shared" si="66"/>
        <v xml:space="preserve"> </v>
      </c>
      <c r="AV92" s="121" t="str">
        <f t="shared" si="66"/>
        <v xml:space="preserve"> </v>
      </c>
      <c r="AW92" s="130" t="str">
        <f t="shared" ref="AW92:AZ111" si="67">IFERROR(MID($Q92,FIND("~",SUBSTITUTE($Q92,"(","~",AW$10))+1,3)," ")</f>
        <v>100</v>
      </c>
      <c r="AX92" s="130" t="str">
        <f t="shared" si="67"/>
        <v xml:space="preserve"> </v>
      </c>
      <c r="AY92" s="130" t="str">
        <f t="shared" si="67"/>
        <v xml:space="preserve"> </v>
      </c>
      <c r="AZ92" s="130" t="str">
        <f t="shared" si="67"/>
        <v xml:space="preserve"> </v>
      </c>
      <c r="BA92" s="121">
        <f t="shared" si="50"/>
        <v>4080714.5971414237</v>
      </c>
      <c r="BB92" s="121">
        <f t="shared" si="51"/>
        <v>0</v>
      </c>
      <c r="BC92" s="121">
        <f t="shared" si="52"/>
        <v>0</v>
      </c>
      <c r="BD92" s="121">
        <f t="shared" si="53"/>
        <v>0</v>
      </c>
      <c r="BE92" s="121">
        <f t="shared" si="54"/>
        <v>0</v>
      </c>
      <c r="BF92" s="121">
        <f t="shared" si="55"/>
        <v>0</v>
      </c>
      <c r="BG92" s="121">
        <f t="shared" si="56"/>
        <v>0</v>
      </c>
      <c r="BH92" s="121">
        <f t="shared" si="57"/>
        <v>0</v>
      </c>
      <c r="BI92" s="121">
        <f t="shared" si="58"/>
        <v>4080714.5971414237</v>
      </c>
      <c r="BJ92" s="121">
        <f t="shared" si="59"/>
        <v>4080714.5971414237</v>
      </c>
      <c r="BK92" s="121">
        <f t="shared" si="60"/>
        <v>4080714.5971414237</v>
      </c>
      <c r="BL92" s="121">
        <f t="shared" si="61"/>
        <v>4080714.5971414237</v>
      </c>
      <c r="BM92" s="121">
        <f t="shared" si="62"/>
        <v>0</v>
      </c>
      <c r="BN92" s="121">
        <f t="shared" si="63"/>
        <v>0</v>
      </c>
      <c r="BO92" s="121">
        <f t="shared" si="64"/>
        <v>0</v>
      </c>
      <c r="BP92" s="121">
        <f t="shared" si="65"/>
        <v>0</v>
      </c>
      <c r="BQ92" s="199">
        <f>INDEX('GDP deflators'!$C$6:$M$36,MATCH('Bottom-up tagging'!$D92,'GDP deflators'!$B$6:$B$36,),MATCH('Bottom-up tagging'!$E92,'GDP deflators'!$C$5:$L$5,))/100</f>
        <v>1.8895251839962912</v>
      </c>
      <c r="BR92" s="24">
        <v>7710613</v>
      </c>
    </row>
    <row r="93" spans="2:70" ht="26.15" hidden="1" customHeight="1">
      <c r="B93" s="110" t="s">
        <v>228</v>
      </c>
      <c r="C93" s="110" t="s">
        <v>234</v>
      </c>
      <c r="D93" s="110" t="s">
        <v>11148</v>
      </c>
      <c r="E93" s="103">
        <v>2017</v>
      </c>
      <c r="F93" s="108" t="s">
        <v>7793</v>
      </c>
      <c r="G93" s="111" t="s">
        <v>109</v>
      </c>
      <c r="H93" s="110" t="s">
        <v>10451</v>
      </c>
      <c r="I93" s="112">
        <f>IF(Dashboard!$B$16="Current USD",'Bottom-up tagging'!BR93,'Bottom-up tagging'!BR93/'Bottom-up tagging'!BQ93)</f>
        <v>4590892.5526774563</v>
      </c>
      <c r="J93" s="118" t="s">
        <v>10474</v>
      </c>
      <c r="K93" s="112"/>
      <c r="L93" s="135">
        <v>1</v>
      </c>
      <c r="M93" s="135">
        <v>1</v>
      </c>
      <c r="N93" s="112"/>
      <c r="O93" s="112"/>
      <c r="P93" s="112" t="str">
        <f>VLOOKUP(B93, 'Companies covered restructured'!$B$7:$K$470, 9, FALSE)</f>
        <v>AI/analytics based advisory algorithms (incl. weather)</v>
      </c>
      <c r="Q93" s="112" t="str">
        <f>VLOOKUP(B93, 'Companies covered restructured'!$B$7:$K$470, 6, FALSE)</f>
        <v>#Crops(100)</v>
      </c>
      <c r="R93" s="112" t="str">
        <f t="shared" si="37"/>
        <v>#Investment Fund(100)</v>
      </c>
      <c r="S93" s="112" t="s">
        <v>11003</v>
      </c>
      <c r="T93" s="112" t="s">
        <v>10466</v>
      </c>
      <c r="U93" s="103" t="s">
        <v>10970</v>
      </c>
      <c r="V93" s="112" t="str">
        <f>VLOOKUP(P93, 'Bottom-up Tagging Assumptions'!$B$12:$F$39, 5, FALSE)</f>
        <v>#Science &amp; tech(100)</v>
      </c>
      <c r="W93" s="112" t="str">
        <f>VLOOKUP(B93, 'Companies covered restructured'!$B$7:$K$470, 7, FALSE)</f>
        <v>#Field/Animal Herd(100)</v>
      </c>
      <c r="X93" s="112" t="s">
        <v>10558</v>
      </c>
      <c r="Y93" s="212" t="str">
        <f>VLOOKUP(P93, 'Bottom-up Tagging Assumptions'!$B$12:$C$56, 2, FALSE)</f>
        <v>#Other Economic(P); #Productivity(S)</v>
      </c>
      <c r="Z93" s="112" t="str">
        <f>VLOOKUP(P93, 'Bottom-up Tagging Assumptions'!$B$12:$F$56, 3, FALSE)</f>
        <v>#Increasing output per unit input(P); #Increasing crop or animal yield(S)</v>
      </c>
      <c r="AA93" s="112" t="str">
        <f>VLOOKUP(P93, 'Bottom-up Tagging Assumptions'!$B$12:$F$56, 4, FALSE)</f>
        <v>#Level 1(100)</v>
      </c>
      <c r="AB93" s="110" t="s">
        <v>2121</v>
      </c>
      <c r="AC93" s="110" t="s">
        <v>2122</v>
      </c>
      <c r="AD93" s="110" t="s">
        <v>2123</v>
      </c>
      <c r="AE93" s="110" t="s">
        <v>3114</v>
      </c>
      <c r="AF93" s="112"/>
      <c r="AG93" s="110" t="s">
        <v>896</v>
      </c>
      <c r="AH93" s="121">
        <f t="shared" si="38"/>
        <v>0</v>
      </c>
      <c r="AI93" s="121">
        <f t="shared" si="39"/>
        <v>1</v>
      </c>
      <c r="AJ93" s="121">
        <f t="shared" si="40"/>
        <v>1</v>
      </c>
      <c r="AK93" s="121">
        <f t="shared" si="41"/>
        <v>0</v>
      </c>
      <c r="AL93" s="121">
        <f t="shared" si="42"/>
        <v>0</v>
      </c>
      <c r="AM93" s="121">
        <f t="shared" si="43"/>
        <v>0</v>
      </c>
      <c r="AN93" s="121">
        <f t="shared" si="44"/>
        <v>0</v>
      </c>
      <c r="AO93" s="121">
        <f t="shared" si="45"/>
        <v>0</v>
      </c>
      <c r="AP93" s="22">
        <f t="shared" si="46"/>
        <v>0</v>
      </c>
      <c r="AQ93" s="22">
        <f t="shared" si="47"/>
        <v>0</v>
      </c>
      <c r="AR93" s="22">
        <f t="shared" si="48"/>
        <v>0</v>
      </c>
      <c r="AS93" s="121" t="str">
        <f t="shared" si="49"/>
        <v>Crops</v>
      </c>
      <c r="AT93" s="121" t="str">
        <f t="shared" si="66"/>
        <v xml:space="preserve"> </v>
      </c>
      <c r="AU93" s="121" t="str">
        <f t="shared" si="66"/>
        <v xml:space="preserve"> </v>
      </c>
      <c r="AV93" s="121" t="str">
        <f t="shared" si="66"/>
        <v xml:space="preserve"> </v>
      </c>
      <c r="AW93" s="130" t="str">
        <f t="shared" si="67"/>
        <v>100</v>
      </c>
      <c r="AX93" s="130" t="str">
        <f t="shared" si="67"/>
        <v xml:space="preserve"> </v>
      </c>
      <c r="AY93" s="130" t="str">
        <f t="shared" si="67"/>
        <v xml:space="preserve"> </v>
      </c>
      <c r="AZ93" s="130" t="str">
        <f t="shared" si="67"/>
        <v xml:space="preserve"> </v>
      </c>
      <c r="BA93" s="121">
        <f t="shared" si="50"/>
        <v>4590892.5526774563</v>
      </c>
      <c r="BB93" s="121">
        <f t="shared" si="51"/>
        <v>0</v>
      </c>
      <c r="BC93" s="121">
        <f t="shared" si="52"/>
        <v>0</v>
      </c>
      <c r="BD93" s="121">
        <f t="shared" si="53"/>
        <v>0</v>
      </c>
      <c r="BE93" s="121">
        <f t="shared" si="54"/>
        <v>0</v>
      </c>
      <c r="BF93" s="121">
        <f t="shared" si="55"/>
        <v>0</v>
      </c>
      <c r="BG93" s="121">
        <f t="shared" si="56"/>
        <v>0</v>
      </c>
      <c r="BH93" s="121">
        <f t="shared" si="57"/>
        <v>0</v>
      </c>
      <c r="BI93" s="121">
        <f t="shared" si="58"/>
        <v>0</v>
      </c>
      <c r="BJ93" s="121">
        <f t="shared" si="59"/>
        <v>0</v>
      </c>
      <c r="BK93" s="121">
        <f t="shared" si="60"/>
        <v>0</v>
      </c>
      <c r="BL93" s="121">
        <f t="shared" si="61"/>
        <v>0</v>
      </c>
      <c r="BM93" s="121">
        <f t="shared" si="62"/>
        <v>0</v>
      </c>
      <c r="BN93" s="121">
        <f t="shared" si="63"/>
        <v>0</v>
      </c>
      <c r="BO93" s="121">
        <f t="shared" si="64"/>
        <v>0</v>
      </c>
      <c r="BP93" s="121">
        <f t="shared" si="65"/>
        <v>0</v>
      </c>
      <c r="BQ93" s="199">
        <f>INDEX('GDP deflators'!$C$6:$M$36,MATCH('Bottom-up tagging'!$D93,'GDP deflators'!$B$6:$B$36,),MATCH('Bottom-up tagging'!$E93,'GDP deflators'!$C$5:$L$5,))/100</f>
        <v>1.6336692514456523</v>
      </c>
      <c r="BR93" s="24">
        <v>7500000</v>
      </c>
    </row>
    <row r="94" spans="2:70" ht="26.15" hidden="1" customHeight="1">
      <c r="B94" s="110" t="s">
        <v>1470</v>
      </c>
      <c r="C94" s="110" t="s">
        <v>1474</v>
      </c>
      <c r="D94" s="110" t="s">
        <v>2057</v>
      </c>
      <c r="E94" s="103">
        <v>2018</v>
      </c>
      <c r="F94" s="108" t="s">
        <v>7263</v>
      </c>
      <c r="G94" s="111" t="s">
        <v>109</v>
      </c>
      <c r="H94" s="110" t="s">
        <v>10451</v>
      </c>
      <c r="I94" s="112">
        <f>IF(Dashboard!$B$16="Current USD",'Bottom-up tagging'!BR94,'Bottom-up tagging'!BR94/'Bottom-up tagging'!BQ94)</f>
        <v>5824228.290548428</v>
      </c>
      <c r="J94" s="105" t="s">
        <v>10474</v>
      </c>
      <c r="K94" s="112"/>
      <c r="L94" s="135">
        <v>1</v>
      </c>
      <c r="M94" s="135">
        <v>1</v>
      </c>
      <c r="N94" s="112"/>
      <c r="O94" s="112"/>
      <c r="P94" s="112" t="str">
        <f>VLOOKUP(B94, 'Companies covered restructured'!$B$7:$K$470, 9, FALSE)</f>
        <v>Agri marketplaces</v>
      </c>
      <c r="Q94" s="112" t="str">
        <f>VLOOKUP(B94, 'Companies covered restructured'!$B$7:$K$470, 6, FALSE)</f>
        <v>#Crops(100)</v>
      </c>
      <c r="R94" s="112" t="str">
        <f t="shared" si="37"/>
        <v>N/A</v>
      </c>
      <c r="S94" s="112" t="s">
        <v>11003</v>
      </c>
      <c r="T94" s="112" t="s">
        <v>10466</v>
      </c>
      <c r="U94" s="103" t="s">
        <v>10970</v>
      </c>
      <c r="V94" s="112" t="str">
        <f>VLOOKUP(P94, 'Bottom-up Tagging Assumptions'!$B$12:$F$39, 5, FALSE)</f>
        <v>#Process Innovation(100)</v>
      </c>
      <c r="W94" s="112" t="str">
        <f>VLOOKUP(B94, 'Companies covered restructured'!$B$7:$K$470, 7, FALSE)</f>
        <v>#Farm/Household(100)</v>
      </c>
      <c r="X94" s="112" t="s">
        <v>10558</v>
      </c>
      <c r="Y94" s="212" t="str">
        <f>VLOOKUP(P94, 'Bottom-up Tagging Assumptions'!$B$12:$C$56, 2, FALSE)</f>
        <v>#Other Economic(P); Social(S)</v>
      </c>
      <c r="Z94" s="112" t="str">
        <f>VLOOKUP(P94, 'Bottom-up Tagging Assumptions'!$B$12:$F$56, 3, FALSE)</f>
        <v>#Improve price realization(P)</v>
      </c>
      <c r="AA94" s="112" t="str">
        <f>VLOOKUP(P94, 'Bottom-up Tagging Assumptions'!$B$12:$F$56, 4, FALSE)</f>
        <v>#Level 4(100)</v>
      </c>
      <c r="AB94" s="110" t="s">
        <v>1472</v>
      </c>
      <c r="AC94" s="110"/>
      <c r="AD94" s="110"/>
      <c r="AE94" s="110" t="s">
        <v>10558</v>
      </c>
      <c r="AF94" s="112">
        <v>14260613</v>
      </c>
      <c r="AG94" s="110" t="s">
        <v>390</v>
      </c>
      <c r="AH94" s="121">
        <f t="shared" si="38"/>
        <v>0</v>
      </c>
      <c r="AI94" s="121">
        <f t="shared" si="39"/>
        <v>0</v>
      </c>
      <c r="AJ94" s="121">
        <f t="shared" si="40"/>
        <v>1</v>
      </c>
      <c r="AK94" s="121">
        <f t="shared" si="41"/>
        <v>1</v>
      </c>
      <c r="AL94" s="121">
        <f t="shared" si="42"/>
        <v>0</v>
      </c>
      <c r="AM94" s="121">
        <f t="shared" si="43"/>
        <v>0</v>
      </c>
      <c r="AN94" s="121">
        <f t="shared" si="44"/>
        <v>1</v>
      </c>
      <c r="AO94" s="121">
        <f t="shared" si="45"/>
        <v>0</v>
      </c>
      <c r="AP94" s="22">
        <f t="shared" si="46"/>
        <v>0</v>
      </c>
      <c r="AQ94" s="22">
        <f t="shared" si="47"/>
        <v>5824228.290548428</v>
      </c>
      <c r="AR94" s="22">
        <f t="shared" si="48"/>
        <v>0</v>
      </c>
      <c r="AS94" s="121" t="str">
        <f t="shared" si="49"/>
        <v>Crops</v>
      </c>
      <c r="AT94" s="121" t="str">
        <f t="shared" si="66"/>
        <v xml:space="preserve"> </v>
      </c>
      <c r="AU94" s="121" t="str">
        <f t="shared" si="66"/>
        <v xml:space="preserve"> </v>
      </c>
      <c r="AV94" s="121" t="str">
        <f t="shared" si="66"/>
        <v xml:space="preserve"> </v>
      </c>
      <c r="AW94" s="130" t="str">
        <f t="shared" si="67"/>
        <v>100</v>
      </c>
      <c r="AX94" s="130" t="str">
        <f t="shared" si="67"/>
        <v xml:space="preserve"> </v>
      </c>
      <c r="AY94" s="130" t="str">
        <f t="shared" si="67"/>
        <v xml:space="preserve"> </v>
      </c>
      <c r="AZ94" s="130" t="str">
        <f t="shared" si="67"/>
        <v xml:space="preserve"> </v>
      </c>
      <c r="BA94" s="121">
        <f t="shared" si="50"/>
        <v>5824228.290548428</v>
      </c>
      <c r="BB94" s="121">
        <f t="shared" si="51"/>
        <v>0</v>
      </c>
      <c r="BC94" s="121">
        <f t="shared" si="52"/>
        <v>0</v>
      </c>
      <c r="BD94" s="121">
        <f t="shared" si="53"/>
        <v>0</v>
      </c>
      <c r="BE94" s="121">
        <f t="shared" si="54"/>
        <v>0</v>
      </c>
      <c r="BF94" s="121">
        <f t="shared" si="55"/>
        <v>0</v>
      </c>
      <c r="BG94" s="121">
        <f t="shared" si="56"/>
        <v>0</v>
      </c>
      <c r="BH94" s="121">
        <f t="shared" si="57"/>
        <v>0</v>
      </c>
      <c r="BI94" s="121">
        <f t="shared" si="58"/>
        <v>5824228.290548428</v>
      </c>
      <c r="BJ94" s="121">
        <f t="shared" si="59"/>
        <v>5824228.290548428</v>
      </c>
      <c r="BK94" s="121">
        <f t="shared" si="60"/>
        <v>5824228.290548428</v>
      </c>
      <c r="BL94" s="121">
        <f t="shared" si="61"/>
        <v>5824228.290548428</v>
      </c>
      <c r="BM94" s="121">
        <f t="shared" si="62"/>
        <v>0</v>
      </c>
      <c r="BN94" s="121">
        <f t="shared" si="63"/>
        <v>0</v>
      </c>
      <c r="BO94" s="121">
        <f t="shared" si="64"/>
        <v>0</v>
      </c>
      <c r="BP94" s="121">
        <f t="shared" si="65"/>
        <v>0</v>
      </c>
      <c r="BQ94" s="199">
        <f>INDEX('GDP deflators'!$C$6:$M$36,MATCH('Bottom-up tagging'!$D94,'GDP deflators'!$B$6:$B$36,),MATCH('Bottom-up tagging'!$E94,'GDP deflators'!$C$5:$L$5,))/100</f>
        <v>1.2487972031939574</v>
      </c>
      <c r="BR94" s="24">
        <v>7273280</v>
      </c>
    </row>
    <row r="95" spans="2:70" ht="26.15" hidden="1" customHeight="1">
      <c r="B95" s="110" t="s">
        <v>1424</v>
      </c>
      <c r="C95" s="110" t="s">
        <v>1428</v>
      </c>
      <c r="D95" s="110" t="s">
        <v>2057</v>
      </c>
      <c r="E95" s="103">
        <v>2018</v>
      </c>
      <c r="F95" s="108" t="s">
        <v>7098</v>
      </c>
      <c r="G95" s="111" t="s">
        <v>25</v>
      </c>
      <c r="H95" s="110" t="s">
        <v>10451</v>
      </c>
      <c r="I95" s="112">
        <f>IF(Dashboard!$B$16="Current USD",'Bottom-up tagging'!BR95,'Bottom-up tagging'!BR95/'Bottom-up tagging'!BQ95)</f>
        <v>5822098.2409349307</v>
      </c>
      <c r="J95" s="117" t="s">
        <v>10474</v>
      </c>
      <c r="K95" s="112"/>
      <c r="L95" s="135">
        <v>1</v>
      </c>
      <c r="M95" s="135">
        <v>1</v>
      </c>
      <c r="N95" s="112"/>
      <c r="O95" s="112"/>
      <c r="P95" s="112" t="str">
        <f>VLOOKUP(B95, 'Companies covered restructured'!$B$7:$K$470, 9, FALSE)</f>
        <v>Farmer engagement platforms (including marketplaces and information platforms)</v>
      </c>
      <c r="Q95" s="112" t="str">
        <f>VLOOKUP(B95, 'Companies covered restructured'!$B$7:$K$470, 6, FALSE)</f>
        <v>#Crops(080); #Fisheries and Aquaculture(020)</v>
      </c>
      <c r="R95" s="112" t="str">
        <f t="shared" si="37"/>
        <v>N/A</v>
      </c>
      <c r="S95" s="112" t="s">
        <v>11003</v>
      </c>
      <c r="T95" s="112" t="s">
        <v>10466</v>
      </c>
      <c r="U95" s="103" t="s">
        <v>10970</v>
      </c>
      <c r="V95" s="112" t="str">
        <f>VLOOKUP(P95, 'Bottom-up Tagging Assumptions'!$B$12:$F$39, 5, FALSE)</f>
        <v>#Process Innovation(100)</v>
      </c>
      <c r="W95" s="112" t="str">
        <f>VLOOKUP(B95, 'Companies covered restructured'!$B$7:$K$470, 7, FALSE)</f>
        <v>#Farm/Household(100)</v>
      </c>
      <c r="X95" s="112" t="s">
        <v>10558</v>
      </c>
      <c r="Y95" s="212" t="str">
        <f>VLOOKUP(P95, 'Bottom-up Tagging Assumptions'!$B$12:$C$56, 2, FALSE)</f>
        <v>#Other Economic(P); #Productivity(S)</v>
      </c>
      <c r="Z95" s="112" t="str">
        <f>VLOOKUP(P95, 'Bottom-up Tagging Assumptions'!$B$12:$F$56, 3, FALSE)</f>
        <v>#Improve price realization(P); #Increasing crop or animal yield(S)</v>
      </c>
      <c r="AA95" s="112" t="str">
        <f>VLOOKUP(P95, 'Bottom-up Tagging Assumptions'!$B$12:$F$56, 4, FALSE)</f>
        <v>#Level 4(100)</v>
      </c>
      <c r="AB95" s="110" t="s">
        <v>1426</v>
      </c>
      <c r="AC95" s="110"/>
      <c r="AD95" s="110"/>
      <c r="AE95" s="110" t="s">
        <v>10558</v>
      </c>
      <c r="AF95" s="112">
        <v>7270620</v>
      </c>
      <c r="AG95" s="110" t="s">
        <v>1429</v>
      </c>
      <c r="AH95" s="121">
        <f t="shared" si="38"/>
        <v>0</v>
      </c>
      <c r="AI95" s="121">
        <f t="shared" si="39"/>
        <v>1</v>
      </c>
      <c r="AJ95" s="121">
        <f t="shared" si="40"/>
        <v>1</v>
      </c>
      <c r="AK95" s="121">
        <f t="shared" si="41"/>
        <v>0</v>
      </c>
      <c r="AL95" s="121">
        <f t="shared" si="42"/>
        <v>0</v>
      </c>
      <c r="AM95" s="121">
        <f t="shared" si="43"/>
        <v>0</v>
      </c>
      <c r="AN95" s="121">
        <f t="shared" si="44"/>
        <v>0</v>
      </c>
      <c r="AO95" s="121">
        <f t="shared" si="45"/>
        <v>0</v>
      </c>
      <c r="AP95" s="22">
        <f t="shared" si="46"/>
        <v>0</v>
      </c>
      <c r="AQ95" s="22">
        <f t="shared" si="47"/>
        <v>0</v>
      </c>
      <c r="AR95" s="22">
        <f t="shared" si="48"/>
        <v>0</v>
      </c>
      <c r="AS95" s="121" t="str">
        <f t="shared" si="49"/>
        <v>Crops</v>
      </c>
      <c r="AT95" s="121" t="str">
        <f t="shared" si="66"/>
        <v>Fisheries and Aquaculture</v>
      </c>
      <c r="AU95" s="121" t="str">
        <f t="shared" si="66"/>
        <v xml:space="preserve"> </v>
      </c>
      <c r="AV95" s="121" t="str">
        <f t="shared" si="66"/>
        <v xml:space="preserve"> </v>
      </c>
      <c r="AW95" s="130" t="str">
        <f t="shared" si="67"/>
        <v>080</v>
      </c>
      <c r="AX95" s="130" t="str">
        <f t="shared" si="67"/>
        <v>020</v>
      </c>
      <c r="AY95" s="130" t="str">
        <f t="shared" si="67"/>
        <v xml:space="preserve"> </v>
      </c>
      <c r="AZ95" s="130" t="str">
        <f t="shared" si="67"/>
        <v xml:space="preserve"> </v>
      </c>
      <c r="BA95" s="121">
        <f t="shared" si="50"/>
        <v>4657678.5927479444</v>
      </c>
      <c r="BB95" s="121">
        <f t="shared" si="51"/>
        <v>1164419.6481869861</v>
      </c>
      <c r="BC95" s="121">
        <f t="shared" si="52"/>
        <v>0</v>
      </c>
      <c r="BD95" s="121">
        <f t="shared" si="53"/>
        <v>0</v>
      </c>
      <c r="BE95" s="121">
        <f t="shared" si="54"/>
        <v>0</v>
      </c>
      <c r="BF95" s="121">
        <f t="shared" si="55"/>
        <v>0</v>
      </c>
      <c r="BG95" s="121">
        <f t="shared" si="56"/>
        <v>0</v>
      </c>
      <c r="BH95" s="121">
        <f t="shared" si="57"/>
        <v>0</v>
      </c>
      <c r="BI95" s="121">
        <f t="shared" si="58"/>
        <v>0</v>
      </c>
      <c r="BJ95" s="121">
        <f t="shared" si="59"/>
        <v>0</v>
      </c>
      <c r="BK95" s="121">
        <f t="shared" si="60"/>
        <v>0</v>
      </c>
      <c r="BL95" s="121">
        <f t="shared" si="61"/>
        <v>0</v>
      </c>
      <c r="BM95" s="121">
        <f t="shared" si="62"/>
        <v>0</v>
      </c>
      <c r="BN95" s="121">
        <f t="shared" si="63"/>
        <v>0</v>
      </c>
      <c r="BO95" s="121">
        <f t="shared" si="64"/>
        <v>0</v>
      </c>
      <c r="BP95" s="121">
        <f t="shared" si="65"/>
        <v>0</v>
      </c>
      <c r="BQ95" s="199">
        <f>INDEX('GDP deflators'!$C$6:$M$36,MATCH('Bottom-up tagging'!$D95,'GDP deflators'!$B$6:$B$36,),MATCH('Bottom-up tagging'!$E95,'GDP deflators'!$C$5:$L$5,))/100</f>
        <v>1.2487972031939574</v>
      </c>
      <c r="BR95" s="24">
        <v>7270620</v>
      </c>
    </row>
    <row r="96" spans="2:70" ht="26.15" hidden="1" customHeight="1">
      <c r="B96" s="110" t="s">
        <v>2625</v>
      </c>
      <c r="C96" s="110" t="s">
        <v>2628</v>
      </c>
      <c r="D96" s="110" t="s">
        <v>2057</v>
      </c>
      <c r="E96" s="103">
        <v>2015</v>
      </c>
      <c r="F96" s="108" t="s">
        <v>9360</v>
      </c>
      <c r="G96" s="111" t="s">
        <v>109</v>
      </c>
      <c r="H96" s="110" t="s">
        <v>10451</v>
      </c>
      <c r="I96" s="112">
        <f>IF(Dashboard!$B$16="Current USD",'Bottom-up tagging'!BR96,'Bottom-up tagging'!BR96/'Bottom-up tagging'!BQ96)</f>
        <v>6307393.2635153253</v>
      </c>
      <c r="J96" s="117" t="s">
        <v>10474</v>
      </c>
      <c r="K96" s="112"/>
      <c r="L96" s="135">
        <v>1</v>
      </c>
      <c r="M96" s="135">
        <v>1</v>
      </c>
      <c r="N96" s="112"/>
      <c r="O96" s="112"/>
      <c r="P96" s="112" t="str">
        <f>VLOOKUP(B96, 'Companies covered restructured'!$B$7:$K$470, 9, FALSE)</f>
        <v>Agri marketplaces</v>
      </c>
      <c r="Q96" s="112" t="str">
        <f>VLOOKUP(B96, 'Companies covered restructured'!$B$7:$K$470, 6, FALSE)</f>
        <v>#Crops(100)</v>
      </c>
      <c r="R96" s="112" t="str">
        <f t="shared" si="37"/>
        <v>N/A</v>
      </c>
      <c r="S96" s="112" t="s">
        <v>11003</v>
      </c>
      <c r="T96" s="112" t="s">
        <v>10466</v>
      </c>
      <c r="U96" s="103" t="s">
        <v>10970</v>
      </c>
      <c r="V96" s="112" t="str">
        <f>VLOOKUP(P96, 'Bottom-up Tagging Assumptions'!$B$12:$F$39, 5, FALSE)</f>
        <v>#Process Innovation(100)</v>
      </c>
      <c r="W96" s="112" t="str">
        <f>VLOOKUP(B96, 'Companies covered restructured'!$B$7:$K$470, 7, FALSE)</f>
        <v>N/A</v>
      </c>
      <c r="X96" s="112" t="str">
        <f>VLOOKUP(B96, 'Companies covered restructured'!$B$7:$K$470, 8, FALSE)</f>
        <v>N/A</v>
      </c>
      <c r="Y96" s="212" t="str">
        <f>VLOOKUP(P96, 'Bottom-up Tagging Assumptions'!$B$12:$C$56, 2, FALSE)</f>
        <v>#Other Economic(P); Social(S)</v>
      </c>
      <c r="Z96" s="112" t="str">
        <f>VLOOKUP(P96, 'Bottom-up Tagging Assumptions'!$B$12:$F$56, 3, FALSE)</f>
        <v>#Improve price realization(P)</v>
      </c>
      <c r="AA96" s="112" t="str">
        <f>VLOOKUP(P96, 'Bottom-up Tagging Assumptions'!$B$12:$F$56, 4, FALSE)</f>
        <v>#Level 4(100)</v>
      </c>
      <c r="AB96" s="110" t="s">
        <v>2627</v>
      </c>
      <c r="AC96" s="110"/>
      <c r="AD96" s="110"/>
      <c r="AE96" s="110" t="s">
        <v>10558</v>
      </c>
      <c r="AF96" s="112">
        <v>14260613</v>
      </c>
      <c r="AG96" s="110" t="s">
        <v>390</v>
      </c>
      <c r="AH96" s="121">
        <f t="shared" si="38"/>
        <v>0</v>
      </c>
      <c r="AI96" s="121">
        <f t="shared" si="39"/>
        <v>0</v>
      </c>
      <c r="AJ96" s="121">
        <f t="shared" si="40"/>
        <v>1</v>
      </c>
      <c r="AK96" s="121">
        <f t="shared" si="41"/>
        <v>1</v>
      </c>
      <c r="AL96" s="121">
        <f t="shared" si="42"/>
        <v>0</v>
      </c>
      <c r="AM96" s="121">
        <f t="shared" si="43"/>
        <v>0</v>
      </c>
      <c r="AN96" s="121">
        <f t="shared" si="44"/>
        <v>1</v>
      </c>
      <c r="AO96" s="121">
        <f t="shared" si="45"/>
        <v>0</v>
      </c>
      <c r="AP96" s="22">
        <f t="shared" si="46"/>
        <v>0</v>
      </c>
      <c r="AQ96" s="22">
        <f t="shared" si="47"/>
        <v>6307393.2635153253</v>
      </c>
      <c r="AR96" s="22">
        <f t="shared" si="48"/>
        <v>0</v>
      </c>
      <c r="AS96" s="121" t="str">
        <f t="shared" si="49"/>
        <v>Crops</v>
      </c>
      <c r="AT96" s="121" t="str">
        <f t="shared" si="66"/>
        <v xml:space="preserve"> </v>
      </c>
      <c r="AU96" s="121" t="str">
        <f t="shared" si="66"/>
        <v xml:space="preserve"> </v>
      </c>
      <c r="AV96" s="121" t="str">
        <f t="shared" si="66"/>
        <v xml:space="preserve"> </v>
      </c>
      <c r="AW96" s="130" t="str">
        <f t="shared" si="67"/>
        <v>100</v>
      </c>
      <c r="AX96" s="130" t="str">
        <f t="shared" si="67"/>
        <v xml:space="preserve"> </v>
      </c>
      <c r="AY96" s="130" t="str">
        <f t="shared" si="67"/>
        <v xml:space="preserve"> </v>
      </c>
      <c r="AZ96" s="130" t="str">
        <f t="shared" si="67"/>
        <v xml:space="preserve"> </v>
      </c>
      <c r="BA96" s="121">
        <f t="shared" si="50"/>
        <v>6307393.2635153262</v>
      </c>
      <c r="BB96" s="121">
        <f t="shared" si="51"/>
        <v>0</v>
      </c>
      <c r="BC96" s="121">
        <f t="shared" si="52"/>
        <v>0</v>
      </c>
      <c r="BD96" s="121">
        <f t="shared" si="53"/>
        <v>0</v>
      </c>
      <c r="BE96" s="121">
        <f t="shared" si="54"/>
        <v>0</v>
      </c>
      <c r="BF96" s="121">
        <f t="shared" si="55"/>
        <v>0</v>
      </c>
      <c r="BG96" s="121">
        <f t="shared" si="56"/>
        <v>0</v>
      </c>
      <c r="BH96" s="121">
        <f t="shared" si="57"/>
        <v>0</v>
      </c>
      <c r="BI96" s="121">
        <f t="shared" si="58"/>
        <v>6307393.2635153262</v>
      </c>
      <c r="BJ96" s="121">
        <f t="shared" si="59"/>
        <v>6307393.2635153253</v>
      </c>
      <c r="BK96" s="121">
        <f t="shared" si="60"/>
        <v>6307393.2635153253</v>
      </c>
      <c r="BL96" s="121">
        <f t="shared" si="61"/>
        <v>6307393.2635153253</v>
      </c>
      <c r="BM96" s="121">
        <f t="shared" si="62"/>
        <v>0</v>
      </c>
      <c r="BN96" s="121">
        <f t="shared" si="63"/>
        <v>0</v>
      </c>
      <c r="BO96" s="121">
        <f t="shared" si="64"/>
        <v>0</v>
      </c>
      <c r="BP96" s="121">
        <f t="shared" si="65"/>
        <v>0</v>
      </c>
      <c r="BQ96" s="199">
        <f>INDEX('GDP deflators'!$C$6:$M$36,MATCH('Bottom-up tagging'!$D96,'GDP deflators'!$B$6:$B$36,),MATCH('Bottom-up tagging'!$E96,'GDP deflators'!$C$5:$L$5,))/100</f>
        <v>1.1415175333442258</v>
      </c>
      <c r="BR96" s="24">
        <v>7200000</v>
      </c>
    </row>
    <row r="97" spans="2:70" ht="26.15" hidden="1" customHeight="1">
      <c r="B97" s="110" t="s">
        <v>1895</v>
      </c>
      <c r="C97" s="110" t="s">
        <v>1898</v>
      </c>
      <c r="D97" s="110" t="s">
        <v>2057</v>
      </c>
      <c r="E97" s="103">
        <v>2017</v>
      </c>
      <c r="F97" s="108" t="s">
        <v>6343</v>
      </c>
      <c r="G97" s="111" t="s">
        <v>109</v>
      </c>
      <c r="H97" s="110" t="s">
        <v>10451</v>
      </c>
      <c r="I97" s="112">
        <f>IF(Dashboard!$B$16="Current USD",'Bottom-up tagging'!BR97,'Bottom-up tagging'!BR97/'Bottom-up tagging'!BQ97)</f>
        <v>5801468.4812804367</v>
      </c>
      <c r="J97" s="118" t="s">
        <v>10474</v>
      </c>
      <c r="K97" s="112"/>
      <c r="L97" s="135">
        <v>1</v>
      </c>
      <c r="M97" s="135">
        <v>1</v>
      </c>
      <c r="N97" s="112"/>
      <c r="O97" s="112"/>
      <c r="P97" s="112" t="str">
        <f>VLOOKUP(B97, 'Companies covered restructured'!$B$7:$K$470, 9, FALSE)</f>
        <v>Farmer engagement platforms (including marketplaces and information platforms)</v>
      </c>
      <c r="Q97" s="112" t="str">
        <f>VLOOKUP(B97, 'Companies covered restructured'!$B$7:$K$470, 6, FALSE)</f>
        <v>#Crops(100)</v>
      </c>
      <c r="R97" s="112" t="str">
        <f t="shared" si="37"/>
        <v>N/A</v>
      </c>
      <c r="S97" s="112" t="s">
        <v>11003</v>
      </c>
      <c r="T97" s="112" t="s">
        <v>10466</v>
      </c>
      <c r="U97" s="213" t="s">
        <v>10970</v>
      </c>
      <c r="V97" s="112" t="str">
        <f>VLOOKUP(P97, 'Bottom-up Tagging Assumptions'!$B$12:$F$39, 5, FALSE)</f>
        <v>#Process Innovation(100)</v>
      </c>
      <c r="W97" s="112" t="str">
        <f>VLOOKUP(B97, 'Companies covered restructured'!$B$7:$K$470, 7, FALSE)</f>
        <v>#Field/Animal Herd(100)</v>
      </c>
      <c r="X97" s="112" t="s">
        <v>10558</v>
      </c>
      <c r="Y97" s="212" t="str">
        <f>VLOOKUP(P97, 'Bottom-up Tagging Assumptions'!$B$12:$C$56, 2, FALSE)</f>
        <v>#Other Economic(P); #Productivity(S)</v>
      </c>
      <c r="Z97" s="112" t="str">
        <f>VLOOKUP(P97, 'Bottom-up Tagging Assumptions'!$B$12:$F$56, 3, FALSE)</f>
        <v>#Improve price realization(P); #Increasing crop or animal yield(S)</v>
      </c>
      <c r="AA97" s="112" t="str">
        <f>VLOOKUP(P97, 'Bottom-up Tagging Assumptions'!$B$12:$F$56, 4, FALSE)</f>
        <v>#Level 4(100)</v>
      </c>
      <c r="AB97" s="110" t="s">
        <v>2068</v>
      </c>
      <c r="AC97" s="110"/>
      <c r="AD97" s="110"/>
      <c r="AE97" s="110" t="s">
        <v>10558</v>
      </c>
      <c r="AF97" s="112"/>
      <c r="AG97" s="110" t="s">
        <v>877</v>
      </c>
      <c r="AH97" s="121">
        <f t="shared" si="38"/>
        <v>0</v>
      </c>
      <c r="AI97" s="121">
        <f t="shared" si="39"/>
        <v>1</v>
      </c>
      <c r="AJ97" s="121">
        <f t="shared" si="40"/>
        <v>1</v>
      </c>
      <c r="AK97" s="121">
        <f t="shared" si="41"/>
        <v>0</v>
      </c>
      <c r="AL97" s="121">
        <f t="shared" si="42"/>
        <v>0</v>
      </c>
      <c r="AM97" s="121">
        <f t="shared" si="43"/>
        <v>0</v>
      </c>
      <c r="AN97" s="121">
        <f t="shared" si="44"/>
        <v>0</v>
      </c>
      <c r="AO97" s="121">
        <f t="shared" si="45"/>
        <v>0</v>
      </c>
      <c r="AP97" s="22">
        <f t="shared" si="46"/>
        <v>0</v>
      </c>
      <c r="AQ97" s="22">
        <f t="shared" si="47"/>
        <v>0</v>
      </c>
      <c r="AR97" s="22">
        <f t="shared" si="48"/>
        <v>0</v>
      </c>
      <c r="AS97" s="121" t="str">
        <f t="shared" si="49"/>
        <v>Crops</v>
      </c>
      <c r="AT97" s="121" t="str">
        <f t="shared" si="66"/>
        <v xml:space="preserve"> </v>
      </c>
      <c r="AU97" s="121" t="str">
        <f t="shared" si="66"/>
        <v xml:space="preserve"> </v>
      </c>
      <c r="AV97" s="121" t="str">
        <f t="shared" si="66"/>
        <v xml:space="preserve"> </v>
      </c>
      <c r="AW97" s="130" t="str">
        <f t="shared" si="67"/>
        <v>100</v>
      </c>
      <c r="AX97" s="130" t="str">
        <f t="shared" si="67"/>
        <v xml:space="preserve"> </v>
      </c>
      <c r="AY97" s="130" t="str">
        <f t="shared" si="67"/>
        <v xml:space="preserve"> </v>
      </c>
      <c r="AZ97" s="130" t="str">
        <f t="shared" si="67"/>
        <v xml:space="preserve"> </v>
      </c>
      <c r="BA97" s="121">
        <f t="shared" si="50"/>
        <v>5801468.4812804367</v>
      </c>
      <c r="BB97" s="121">
        <f t="shared" si="51"/>
        <v>0</v>
      </c>
      <c r="BC97" s="121">
        <f t="shared" si="52"/>
        <v>0</v>
      </c>
      <c r="BD97" s="121">
        <f t="shared" si="53"/>
        <v>0</v>
      </c>
      <c r="BE97" s="121">
        <f t="shared" si="54"/>
        <v>0</v>
      </c>
      <c r="BF97" s="121">
        <f t="shared" si="55"/>
        <v>0</v>
      </c>
      <c r="BG97" s="121">
        <f t="shared" si="56"/>
        <v>0</v>
      </c>
      <c r="BH97" s="121">
        <f t="shared" si="57"/>
        <v>0</v>
      </c>
      <c r="BI97" s="121">
        <f t="shared" si="58"/>
        <v>0</v>
      </c>
      <c r="BJ97" s="121">
        <f t="shared" si="59"/>
        <v>0</v>
      </c>
      <c r="BK97" s="121">
        <f t="shared" si="60"/>
        <v>0</v>
      </c>
      <c r="BL97" s="121">
        <f t="shared" si="61"/>
        <v>0</v>
      </c>
      <c r="BM97" s="121">
        <f t="shared" si="62"/>
        <v>0</v>
      </c>
      <c r="BN97" s="121">
        <f t="shared" si="63"/>
        <v>0</v>
      </c>
      <c r="BO97" s="121">
        <f t="shared" si="64"/>
        <v>0</v>
      </c>
      <c r="BP97" s="121">
        <f t="shared" si="65"/>
        <v>0</v>
      </c>
      <c r="BQ97" s="199">
        <f>INDEX('GDP deflators'!$C$6:$M$36,MATCH('Bottom-up tagging'!$D97,'GDP deflators'!$B$6:$B$36,),MATCH('Bottom-up tagging'!$E97,'GDP deflators'!$C$5:$L$5,))/100</f>
        <v>1.2065910592441995</v>
      </c>
      <c r="BR97" s="24">
        <v>7000000</v>
      </c>
    </row>
    <row r="98" spans="2:70" ht="26.15" hidden="1" customHeight="1">
      <c r="B98" s="110" t="s">
        <v>2651</v>
      </c>
      <c r="C98" s="110" t="s">
        <v>2656</v>
      </c>
      <c r="D98" s="110" t="s">
        <v>3994</v>
      </c>
      <c r="E98" s="103">
        <v>2015</v>
      </c>
      <c r="F98" s="108" t="s">
        <v>9450</v>
      </c>
      <c r="G98" s="111" t="s">
        <v>109</v>
      </c>
      <c r="H98" s="110" t="s">
        <v>10451</v>
      </c>
      <c r="I98" s="112">
        <f>IF(Dashboard!$B$16="Current USD",'Bottom-up tagging'!BR98,'Bottom-up tagging'!BR98/'Bottom-up tagging'!BQ98)</f>
        <v>5035386.6455755383</v>
      </c>
      <c r="J98" s="118" t="s">
        <v>10474</v>
      </c>
      <c r="K98" s="112"/>
      <c r="L98" s="135">
        <v>1</v>
      </c>
      <c r="M98" s="135">
        <v>1</v>
      </c>
      <c r="N98" s="112"/>
      <c r="O98" s="112"/>
      <c r="P98" s="112" t="str">
        <f>VLOOKUP(B98, 'Companies covered restructured'!$B$7:$K$470, 9, FALSE)</f>
        <v>Plant breeding &amp; biofortification</v>
      </c>
      <c r="Q98" s="112" t="str">
        <f>VLOOKUP(B98, 'Companies covered restructured'!$B$7:$K$470, 6, FALSE)</f>
        <v>#Crops(100)</v>
      </c>
      <c r="R98" s="112" t="str">
        <f t="shared" si="37"/>
        <v>#Corporate(100)</v>
      </c>
      <c r="S98" s="112" t="s">
        <v>11003</v>
      </c>
      <c r="T98" s="112" t="s">
        <v>10466</v>
      </c>
      <c r="U98" s="103" t="s">
        <v>10970</v>
      </c>
      <c r="V98" s="112" t="str">
        <f>VLOOKUP(P98, 'Bottom-up Tagging Assumptions'!$B$12:$F$39, 5, FALSE)</f>
        <v>#Process Innovation(100)</v>
      </c>
      <c r="W98" s="112" t="str">
        <f>VLOOKUP(B98, 'Companies covered restructured'!$B$7:$K$470, 7, FALSE)</f>
        <v>N/A</v>
      </c>
      <c r="X98" s="112" t="str">
        <f>VLOOKUP(B98, 'Companies covered restructured'!$B$7:$K$470, 8, FALSE)</f>
        <v>#Large(100)</v>
      </c>
      <c r="Y98" s="212" t="str">
        <f>VLOOKUP(P98, 'Bottom-up Tagging Assumptions'!$B$12:$C$56, 2, FALSE)</f>
        <v>#Human Condition(P); Productivity(S)</v>
      </c>
      <c r="Z98" s="112" t="str">
        <f>VLOOKUP(P98, 'Bottom-up Tagging Assumptions'!$B$12:$F$56, 3, FALSE)</f>
        <v>#Improved nutrition(P)</v>
      </c>
      <c r="AA98" s="112" t="str">
        <f>VLOOKUP(P98, 'Bottom-up Tagging Assumptions'!$B$12:$F$56, 4, FALSE)</f>
        <v>#Level 1(100)</v>
      </c>
      <c r="AB98" s="110" t="s">
        <v>2653</v>
      </c>
      <c r="AC98" s="110" t="s">
        <v>2654</v>
      </c>
      <c r="AD98" s="110" t="s">
        <v>2655</v>
      </c>
      <c r="AE98" s="110" t="str">
        <f>VLOOKUP(AD98,  '1.2'!$B$7:$C$2033, 2, FALSE)</f>
        <v>CORPORATE_INVESTOR</v>
      </c>
      <c r="AF98" s="112"/>
      <c r="AG98" s="110" t="s">
        <v>1210</v>
      </c>
      <c r="AH98" s="121">
        <f t="shared" si="38"/>
        <v>0</v>
      </c>
      <c r="AI98" s="121">
        <f t="shared" si="39"/>
        <v>1</v>
      </c>
      <c r="AJ98" s="121">
        <f t="shared" si="40"/>
        <v>0</v>
      </c>
      <c r="AK98" s="121">
        <f t="shared" si="41"/>
        <v>0</v>
      </c>
      <c r="AL98" s="121">
        <f t="shared" si="42"/>
        <v>1</v>
      </c>
      <c r="AM98" s="121">
        <f t="shared" si="43"/>
        <v>0</v>
      </c>
      <c r="AN98" s="121">
        <f t="shared" si="44"/>
        <v>1</v>
      </c>
      <c r="AO98" s="121">
        <f t="shared" si="45"/>
        <v>0</v>
      </c>
      <c r="AP98" s="22">
        <f t="shared" si="46"/>
        <v>0</v>
      </c>
      <c r="AQ98" s="22">
        <f t="shared" si="47"/>
        <v>5035386.6455755383</v>
      </c>
      <c r="AR98" s="22">
        <f t="shared" si="48"/>
        <v>0</v>
      </c>
      <c r="AS98" s="121" t="str">
        <f t="shared" si="49"/>
        <v>Crops</v>
      </c>
      <c r="AT98" s="121" t="str">
        <f t="shared" si="66"/>
        <v xml:space="preserve"> </v>
      </c>
      <c r="AU98" s="121" t="str">
        <f t="shared" si="66"/>
        <v xml:space="preserve"> </v>
      </c>
      <c r="AV98" s="121" t="str">
        <f t="shared" si="66"/>
        <v xml:space="preserve"> </v>
      </c>
      <c r="AW98" s="130" t="str">
        <f t="shared" si="67"/>
        <v>100</v>
      </c>
      <c r="AX98" s="130" t="str">
        <f t="shared" si="67"/>
        <v xml:space="preserve"> </v>
      </c>
      <c r="AY98" s="130" t="str">
        <f t="shared" si="67"/>
        <v xml:space="preserve"> </v>
      </c>
      <c r="AZ98" s="130" t="str">
        <f t="shared" si="67"/>
        <v xml:space="preserve"> </v>
      </c>
      <c r="BA98" s="121">
        <f t="shared" si="50"/>
        <v>5035386.6455755383</v>
      </c>
      <c r="BB98" s="121">
        <f t="shared" si="51"/>
        <v>0</v>
      </c>
      <c r="BC98" s="121">
        <f t="shared" si="52"/>
        <v>0</v>
      </c>
      <c r="BD98" s="121">
        <f t="shared" si="53"/>
        <v>0</v>
      </c>
      <c r="BE98" s="121">
        <f t="shared" si="54"/>
        <v>0</v>
      </c>
      <c r="BF98" s="121">
        <f t="shared" si="55"/>
        <v>0</v>
      </c>
      <c r="BG98" s="121">
        <f t="shared" si="56"/>
        <v>0</v>
      </c>
      <c r="BH98" s="121">
        <f t="shared" si="57"/>
        <v>0</v>
      </c>
      <c r="BI98" s="121">
        <f t="shared" si="58"/>
        <v>5035386.6455755383</v>
      </c>
      <c r="BJ98" s="121">
        <f t="shared" si="59"/>
        <v>5035386.6455755383</v>
      </c>
      <c r="BK98" s="121">
        <f t="shared" si="60"/>
        <v>5035386.6455755383</v>
      </c>
      <c r="BL98" s="121">
        <f t="shared" si="61"/>
        <v>5035386.6455755383</v>
      </c>
      <c r="BM98" s="121">
        <f t="shared" si="62"/>
        <v>0</v>
      </c>
      <c r="BN98" s="121">
        <f t="shared" si="63"/>
        <v>0</v>
      </c>
      <c r="BO98" s="121">
        <f t="shared" si="64"/>
        <v>0</v>
      </c>
      <c r="BP98" s="121">
        <f t="shared" si="65"/>
        <v>0</v>
      </c>
      <c r="BQ98" s="199">
        <f>INDEX('GDP deflators'!$C$6:$M$36,MATCH('Bottom-up tagging'!$D98,'GDP deflators'!$B$6:$B$36,),MATCH('Bottom-up tagging'!$E98,'GDP deflators'!$C$5:$L$5,))/100</f>
        <v>1.3170905169372478</v>
      </c>
      <c r="BR98" s="24">
        <v>6632060</v>
      </c>
    </row>
    <row r="99" spans="2:70" ht="26.15" hidden="1" customHeight="1">
      <c r="B99" s="110" t="s">
        <v>1115</v>
      </c>
      <c r="C99" s="110" t="s">
        <v>1118</v>
      </c>
      <c r="D99" s="110" t="s">
        <v>3994</v>
      </c>
      <c r="E99" s="103">
        <v>2017</v>
      </c>
      <c r="F99" s="108" t="s">
        <v>8829</v>
      </c>
      <c r="G99" s="111" t="s">
        <v>109</v>
      </c>
      <c r="H99" s="110" t="s">
        <v>10451</v>
      </c>
      <c r="I99" s="112">
        <f>IF(Dashboard!$B$16="Current USD",'Bottom-up tagging'!BR99,'Bottom-up tagging'!BR99/'Bottom-up tagging'!BQ99)</f>
        <v>4468582.0942196483</v>
      </c>
      <c r="J99" s="105" t="s">
        <v>10474</v>
      </c>
      <c r="K99" s="112"/>
      <c r="L99" s="135">
        <v>1</v>
      </c>
      <c r="M99" s="135">
        <v>1</v>
      </c>
      <c r="N99" s="112"/>
      <c r="O99" s="112"/>
      <c r="P99" s="112" t="str">
        <f>VLOOKUP(B99, 'Companies covered restructured'!$B$7:$K$470, 9, FALSE)</f>
        <v>Farmer engagement platforms (including marketplaces and information platforms)</v>
      </c>
      <c r="Q99" s="112" t="str">
        <f>VLOOKUP(B99, 'Companies covered restructured'!$B$7:$K$470, 6, FALSE)</f>
        <v>#Crops(100)</v>
      </c>
      <c r="R99" s="112" t="str">
        <f t="shared" si="37"/>
        <v>#Investment Fund(100)</v>
      </c>
      <c r="S99" s="112" t="s">
        <v>11003</v>
      </c>
      <c r="T99" s="112" t="s">
        <v>10466</v>
      </c>
      <c r="U99" s="103" t="s">
        <v>10970</v>
      </c>
      <c r="V99" s="112" t="str">
        <f>VLOOKUP(P99, 'Bottom-up Tagging Assumptions'!$B$12:$F$39, 5, FALSE)</f>
        <v>#Process Innovation(100)</v>
      </c>
      <c r="W99" s="112" t="str">
        <f>VLOOKUP(B99, 'Companies covered restructured'!$B$7:$K$470, 7, FALSE)</f>
        <v>#Field/Animal Herd(100)</v>
      </c>
      <c r="X99" s="112" t="s">
        <v>10558</v>
      </c>
      <c r="Y99" s="212" t="str">
        <f>VLOOKUP(P99, 'Bottom-up Tagging Assumptions'!$B$12:$C$56, 2, FALSE)</f>
        <v>#Other Economic(P); #Productivity(S)</v>
      </c>
      <c r="Z99" s="112" t="str">
        <f>VLOOKUP(P99, 'Bottom-up Tagging Assumptions'!$B$12:$F$56, 3, FALSE)</f>
        <v>#Improve price realization(P); #Increasing crop or animal yield(S)</v>
      </c>
      <c r="AA99" s="112" t="str">
        <f>VLOOKUP(P99, 'Bottom-up Tagging Assumptions'!$B$12:$F$56, 4, FALSE)</f>
        <v>#Level 4(100)</v>
      </c>
      <c r="AB99" s="110" t="s">
        <v>2011</v>
      </c>
      <c r="AC99" s="110"/>
      <c r="AD99" s="110" t="s">
        <v>746</v>
      </c>
      <c r="AE99" s="110" t="str">
        <f>VLOOKUP(AD99,  '1.2'!$B$7:$C$2033, 2, FALSE)</f>
        <v>FUND</v>
      </c>
      <c r="AF99" s="112">
        <v>751549</v>
      </c>
      <c r="AG99" s="110" t="s">
        <v>397</v>
      </c>
      <c r="AH99" s="121">
        <f t="shared" si="38"/>
        <v>0</v>
      </c>
      <c r="AI99" s="121">
        <f t="shared" si="39"/>
        <v>1</v>
      </c>
      <c r="AJ99" s="121">
        <f t="shared" si="40"/>
        <v>1</v>
      </c>
      <c r="AK99" s="121">
        <f t="shared" si="41"/>
        <v>0</v>
      </c>
      <c r="AL99" s="121">
        <f t="shared" si="42"/>
        <v>0</v>
      </c>
      <c r="AM99" s="121">
        <f t="shared" si="43"/>
        <v>0</v>
      </c>
      <c r="AN99" s="121">
        <f t="shared" si="44"/>
        <v>0</v>
      </c>
      <c r="AO99" s="121">
        <f t="shared" si="45"/>
        <v>0</v>
      </c>
      <c r="AP99" s="22">
        <f t="shared" si="46"/>
        <v>0</v>
      </c>
      <c r="AQ99" s="22">
        <f t="shared" si="47"/>
        <v>0</v>
      </c>
      <c r="AR99" s="22">
        <f t="shared" si="48"/>
        <v>0</v>
      </c>
      <c r="AS99" s="121" t="str">
        <f t="shared" si="49"/>
        <v>Crops</v>
      </c>
      <c r="AT99" s="121" t="str">
        <f t="shared" si="66"/>
        <v xml:space="preserve"> </v>
      </c>
      <c r="AU99" s="121" t="str">
        <f t="shared" si="66"/>
        <v xml:space="preserve"> </v>
      </c>
      <c r="AV99" s="121" t="str">
        <f t="shared" si="66"/>
        <v xml:space="preserve"> </v>
      </c>
      <c r="AW99" s="130" t="str">
        <f t="shared" si="67"/>
        <v>100</v>
      </c>
      <c r="AX99" s="130" t="str">
        <f t="shared" si="67"/>
        <v xml:space="preserve"> </v>
      </c>
      <c r="AY99" s="130" t="str">
        <f t="shared" si="67"/>
        <v xml:space="preserve"> </v>
      </c>
      <c r="AZ99" s="130" t="str">
        <f t="shared" si="67"/>
        <v xml:space="preserve"> </v>
      </c>
      <c r="BA99" s="121">
        <f t="shared" si="50"/>
        <v>4468582.0942196483</v>
      </c>
      <c r="BB99" s="121">
        <f t="shared" si="51"/>
        <v>0</v>
      </c>
      <c r="BC99" s="121">
        <f t="shared" si="52"/>
        <v>0</v>
      </c>
      <c r="BD99" s="121">
        <f t="shared" si="53"/>
        <v>0</v>
      </c>
      <c r="BE99" s="121">
        <f t="shared" si="54"/>
        <v>0</v>
      </c>
      <c r="BF99" s="121">
        <f t="shared" si="55"/>
        <v>0</v>
      </c>
      <c r="BG99" s="121">
        <f t="shared" si="56"/>
        <v>0</v>
      </c>
      <c r="BH99" s="121">
        <f t="shared" si="57"/>
        <v>0</v>
      </c>
      <c r="BI99" s="121">
        <f t="shared" si="58"/>
        <v>0</v>
      </c>
      <c r="BJ99" s="121">
        <f t="shared" si="59"/>
        <v>0</v>
      </c>
      <c r="BK99" s="121">
        <f t="shared" si="60"/>
        <v>0</v>
      </c>
      <c r="BL99" s="121">
        <f t="shared" si="61"/>
        <v>0</v>
      </c>
      <c r="BM99" s="121">
        <f t="shared" si="62"/>
        <v>0</v>
      </c>
      <c r="BN99" s="121">
        <f t="shared" si="63"/>
        <v>0</v>
      </c>
      <c r="BO99" s="121">
        <f t="shared" si="64"/>
        <v>0</v>
      </c>
      <c r="BP99" s="121">
        <f t="shared" si="65"/>
        <v>0</v>
      </c>
      <c r="BQ99" s="199">
        <f>INDEX('GDP deflators'!$C$6:$M$36,MATCH('Bottom-up tagging'!$D99,'GDP deflators'!$B$6:$B$36,),MATCH('Bottom-up tagging'!$E99,'GDP deflators'!$C$5:$L$5,))/100</f>
        <v>1.4111098032990623</v>
      </c>
      <c r="BR99" s="24">
        <v>6305660</v>
      </c>
    </row>
    <row r="100" spans="2:70" ht="26.15" customHeight="1">
      <c r="B100" s="110" t="s">
        <v>473</v>
      </c>
      <c r="C100" s="110" t="s">
        <v>475</v>
      </c>
      <c r="D100" s="110" t="s">
        <v>5391</v>
      </c>
      <c r="E100" s="103">
        <v>2017</v>
      </c>
      <c r="F100" s="108" t="s">
        <v>5547</v>
      </c>
      <c r="G100" s="111" t="s">
        <v>109</v>
      </c>
      <c r="H100" s="110" t="s">
        <v>10451</v>
      </c>
      <c r="I100" s="112">
        <f>IF(Dashboard!$B$16="Current USD",'Bottom-up tagging'!BR100,'Bottom-up tagging'!BR100/'Bottom-up tagging'!BQ100)</f>
        <v>3550207.9504027744</v>
      </c>
      <c r="J100" s="105" t="s">
        <v>10474</v>
      </c>
      <c r="K100" s="112"/>
      <c r="L100" s="135">
        <v>1</v>
      </c>
      <c r="M100" s="135">
        <v>1</v>
      </c>
      <c r="N100" s="112"/>
      <c r="O100" s="112"/>
      <c r="P100" s="112" t="str">
        <f>VLOOKUP(B100, 'Companies covered restructured'!$B$7:$K$470, 9, FALSE)</f>
        <v>Agri marketplaces</v>
      </c>
      <c r="Q100" s="112" t="str">
        <f>VLOOKUP(B100, 'Companies covered restructured'!$B$7:$K$470, 6, FALSE)</f>
        <v>#Crops(100)</v>
      </c>
      <c r="R100" s="112" t="str">
        <f t="shared" si="37"/>
        <v>#Investment Fund(100)</v>
      </c>
      <c r="S100" s="112" t="s">
        <v>11003</v>
      </c>
      <c r="T100" s="112" t="s">
        <v>10466</v>
      </c>
      <c r="U100" s="116" t="s">
        <v>10970</v>
      </c>
      <c r="V100" s="112" t="str">
        <f>VLOOKUP(P100, 'Bottom-up Tagging Assumptions'!$B$12:$F$39, 5, FALSE)</f>
        <v>#Process Innovation(100)</v>
      </c>
      <c r="W100" s="112" t="str">
        <f>VLOOKUP(B100, 'Companies covered restructured'!$B$7:$K$470, 7, FALSE)</f>
        <v>#Farm/Household(100)</v>
      </c>
      <c r="X100" s="112" t="s">
        <v>10558</v>
      </c>
      <c r="Y100" s="212" t="str">
        <f>VLOOKUP(P100, 'Bottom-up Tagging Assumptions'!$B$12:$C$56, 2, FALSE)</f>
        <v>#Other Economic(P); Social(S)</v>
      </c>
      <c r="Z100" s="112" t="str">
        <f>VLOOKUP(P100, 'Bottom-up Tagging Assumptions'!$B$12:$F$56, 3, FALSE)</f>
        <v>#Improve price realization(P)</v>
      </c>
      <c r="AA100" s="112" t="str">
        <f>VLOOKUP(P100, 'Bottom-up Tagging Assumptions'!$B$12:$F$56, 4, FALSE)</f>
        <v>#Level 4(100)</v>
      </c>
      <c r="AB100" s="110" t="s">
        <v>2021</v>
      </c>
      <c r="AC100" s="110"/>
      <c r="AD100" s="110" t="s">
        <v>2022</v>
      </c>
      <c r="AE100" s="110" t="str">
        <f>VLOOKUP(AD100,  '1.2'!$B$7:$C$2033, 2, FALSE)</f>
        <v>FUND</v>
      </c>
      <c r="AF100" s="112">
        <v>1150000</v>
      </c>
      <c r="AG100" s="110" t="s">
        <v>1585</v>
      </c>
      <c r="AH100" s="121">
        <f t="shared" si="38"/>
        <v>0</v>
      </c>
      <c r="AI100" s="121">
        <f t="shared" si="39"/>
        <v>0</v>
      </c>
      <c r="AJ100" s="121">
        <f t="shared" si="40"/>
        <v>1</v>
      </c>
      <c r="AK100" s="121">
        <f t="shared" si="41"/>
        <v>1</v>
      </c>
      <c r="AL100" s="121">
        <f t="shared" si="42"/>
        <v>0</v>
      </c>
      <c r="AM100" s="121">
        <f t="shared" si="43"/>
        <v>0</v>
      </c>
      <c r="AN100" s="121">
        <f t="shared" si="44"/>
        <v>1</v>
      </c>
      <c r="AO100" s="121">
        <f t="shared" si="45"/>
        <v>0</v>
      </c>
      <c r="AP100" s="22">
        <f t="shared" si="46"/>
        <v>0</v>
      </c>
      <c r="AQ100" s="22">
        <f t="shared" si="47"/>
        <v>3550207.9504027744</v>
      </c>
      <c r="AR100" s="22">
        <f t="shared" si="48"/>
        <v>0</v>
      </c>
      <c r="AS100" s="121" t="str">
        <f t="shared" si="49"/>
        <v>Crops</v>
      </c>
      <c r="AT100" s="121" t="str">
        <f t="shared" si="66"/>
        <v xml:space="preserve"> </v>
      </c>
      <c r="AU100" s="121" t="str">
        <f t="shared" si="66"/>
        <v xml:space="preserve"> </v>
      </c>
      <c r="AV100" s="121" t="str">
        <f t="shared" si="66"/>
        <v xml:space="preserve"> </v>
      </c>
      <c r="AW100" s="130" t="str">
        <f t="shared" si="67"/>
        <v>100</v>
      </c>
      <c r="AX100" s="130" t="str">
        <f t="shared" si="67"/>
        <v xml:space="preserve"> </v>
      </c>
      <c r="AY100" s="130" t="str">
        <f t="shared" si="67"/>
        <v xml:space="preserve"> </v>
      </c>
      <c r="AZ100" s="130" t="str">
        <f t="shared" si="67"/>
        <v xml:space="preserve"> </v>
      </c>
      <c r="BA100" s="121">
        <f t="shared" si="50"/>
        <v>3550207.9504027744</v>
      </c>
      <c r="BB100" s="121">
        <f t="shared" si="51"/>
        <v>0</v>
      </c>
      <c r="BC100" s="121">
        <f t="shared" si="52"/>
        <v>0</v>
      </c>
      <c r="BD100" s="121">
        <f t="shared" si="53"/>
        <v>0</v>
      </c>
      <c r="BE100" s="121">
        <f t="shared" si="54"/>
        <v>0</v>
      </c>
      <c r="BF100" s="121">
        <f t="shared" si="55"/>
        <v>0</v>
      </c>
      <c r="BG100" s="121">
        <f t="shared" si="56"/>
        <v>0</v>
      </c>
      <c r="BH100" s="121">
        <f t="shared" si="57"/>
        <v>0</v>
      </c>
      <c r="BI100" s="121">
        <f t="shared" si="58"/>
        <v>3550207.9504027744</v>
      </c>
      <c r="BJ100" s="121">
        <f t="shared" si="59"/>
        <v>3550207.9504027744</v>
      </c>
      <c r="BK100" s="121">
        <f t="shared" si="60"/>
        <v>3550207.9504027744</v>
      </c>
      <c r="BL100" s="121">
        <f t="shared" si="61"/>
        <v>3550207.9504027744</v>
      </c>
      <c r="BM100" s="121">
        <f t="shared" si="62"/>
        <v>0</v>
      </c>
      <c r="BN100" s="121">
        <f t="shared" si="63"/>
        <v>0</v>
      </c>
      <c r="BO100" s="121">
        <f t="shared" si="64"/>
        <v>0</v>
      </c>
      <c r="BP100" s="121">
        <f t="shared" si="65"/>
        <v>0</v>
      </c>
      <c r="BQ100" s="199">
        <f>INDEX('GDP deflators'!$C$6:$M$36,MATCH('Bottom-up tagging'!$D100,'GDP deflators'!$B$6:$B$36,),MATCH('Bottom-up tagging'!$E100,'GDP deflators'!$C$5:$L$5,))/100</f>
        <v>1.7745439388375148</v>
      </c>
      <c r="BR100" s="24">
        <v>6300000</v>
      </c>
    </row>
    <row r="101" spans="2:70" ht="26.15" hidden="1" customHeight="1">
      <c r="B101" s="110" t="s">
        <v>1868</v>
      </c>
      <c r="C101" s="110" t="s">
        <v>1870</v>
      </c>
      <c r="D101" s="110" t="s">
        <v>3994</v>
      </c>
      <c r="E101" s="103">
        <v>2017</v>
      </c>
      <c r="F101" s="108" t="s">
        <v>8637</v>
      </c>
      <c r="G101" s="111" t="s">
        <v>95</v>
      </c>
      <c r="H101" s="110" t="s">
        <v>10451</v>
      </c>
      <c r="I101" s="112">
        <f>IF(Dashboard!$B$16="Current USD",'Bottom-up tagging'!BR101,'Bottom-up tagging'!BR101/'Bottom-up tagging'!BQ101)</f>
        <v>4443254.5116910292</v>
      </c>
      <c r="J101" s="105" t="s">
        <v>10474</v>
      </c>
      <c r="K101" s="112"/>
      <c r="L101" s="135">
        <v>1</v>
      </c>
      <c r="M101" s="135">
        <v>1</v>
      </c>
      <c r="N101" s="112"/>
      <c r="O101" s="112"/>
      <c r="P101" s="112" t="str">
        <f>VLOOKUP(B101, 'Companies covered restructured'!$B$7:$K$470, 9, FALSE)</f>
        <v>AI/analytics based advisory algorithms (incl. weather)</v>
      </c>
      <c r="Q101" s="112" t="str">
        <f>VLOOKUP(B101, 'Companies covered restructured'!$B$7:$K$470, 6, FALSE)</f>
        <v>#Crops(100)</v>
      </c>
      <c r="R101" s="112" t="str">
        <f t="shared" si="37"/>
        <v>#Investment Fund(100)</v>
      </c>
      <c r="S101" s="112" t="s">
        <v>11003</v>
      </c>
      <c r="T101" s="112" t="s">
        <v>10466</v>
      </c>
      <c r="U101" s="103" t="s">
        <v>10970</v>
      </c>
      <c r="V101" s="112" t="str">
        <f>VLOOKUP(P101, 'Bottom-up Tagging Assumptions'!$B$12:$F$39, 5, FALSE)</f>
        <v>#Science &amp; tech(100)</v>
      </c>
      <c r="W101" s="112" t="str">
        <f>VLOOKUP(B101, 'Companies covered restructured'!$B$7:$K$470, 7, FALSE)</f>
        <v>#Field/Animal Herd(100)</v>
      </c>
      <c r="X101" s="112" t="s">
        <v>10558</v>
      </c>
      <c r="Y101" s="212" t="str">
        <f>VLOOKUP(P101, 'Bottom-up Tagging Assumptions'!$B$12:$C$56, 2, FALSE)</f>
        <v>#Other Economic(P); #Productivity(S)</v>
      </c>
      <c r="Z101" s="112" t="str">
        <f>VLOOKUP(P101, 'Bottom-up Tagging Assumptions'!$B$12:$F$56, 3, FALSE)</f>
        <v>#Increasing output per unit input(P); #Increasing crop or animal yield(S)</v>
      </c>
      <c r="AA101" s="112" t="str">
        <f>VLOOKUP(P101, 'Bottom-up Tagging Assumptions'!$B$12:$F$56, 4, FALSE)</f>
        <v>#Level 1(100)</v>
      </c>
      <c r="AB101" s="110" t="s">
        <v>1003</v>
      </c>
      <c r="AC101" s="110"/>
      <c r="AD101" s="110" t="s">
        <v>690</v>
      </c>
      <c r="AE101" s="110" t="s">
        <v>3114</v>
      </c>
      <c r="AF101" s="112">
        <v>1600000</v>
      </c>
      <c r="AG101" s="110" t="s">
        <v>1590</v>
      </c>
      <c r="AH101" s="121">
        <f t="shared" si="38"/>
        <v>0</v>
      </c>
      <c r="AI101" s="121">
        <f t="shared" si="39"/>
        <v>1</v>
      </c>
      <c r="AJ101" s="121">
        <f t="shared" si="40"/>
        <v>1</v>
      </c>
      <c r="AK101" s="121">
        <f t="shared" si="41"/>
        <v>0</v>
      </c>
      <c r="AL101" s="121">
        <f t="shared" si="42"/>
        <v>0</v>
      </c>
      <c r="AM101" s="121">
        <f t="shared" si="43"/>
        <v>0</v>
      </c>
      <c r="AN101" s="121">
        <f t="shared" si="44"/>
        <v>0</v>
      </c>
      <c r="AO101" s="121">
        <f t="shared" si="45"/>
        <v>0</v>
      </c>
      <c r="AP101" s="22">
        <f t="shared" si="46"/>
        <v>0</v>
      </c>
      <c r="AQ101" s="22">
        <f t="shared" si="47"/>
        <v>0</v>
      </c>
      <c r="AR101" s="22">
        <f t="shared" si="48"/>
        <v>0</v>
      </c>
      <c r="AS101" s="121" t="str">
        <f t="shared" si="49"/>
        <v>Crops</v>
      </c>
      <c r="AT101" s="121" t="str">
        <f t="shared" si="66"/>
        <v xml:space="preserve"> </v>
      </c>
      <c r="AU101" s="121" t="str">
        <f t="shared" si="66"/>
        <v xml:space="preserve"> </v>
      </c>
      <c r="AV101" s="121" t="str">
        <f t="shared" si="66"/>
        <v xml:space="preserve"> </v>
      </c>
      <c r="AW101" s="130" t="str">
        <f t="shared" si="67"/>
        <v>100</v>
      </c>
      <c r="AX101" s="130" t="str">
        <f t="shared" si="67"/>
        <v xml:space="preserve"> </v>
      </c>
      <c r="AY101" s="130" t="str">
        <f t="shared" si="67"/>
        <v xml:space="preserve"> </v>
      </c>
      <c r="AZ101" s="130" t="str">
        <f t="shared" si="67"/>
        <v xml:space="preserve"> </v>
      </c>
      <c r="BA101" s="121">
        <f t="shared" si="50"/>
        <v>4443254.5116910292</v>
      </c>
      <c r="BB101" s="121">
        <f t="shared" si="51"/>
        <v>0</v>
      </c>
      <c r="BC101" s="121">
        <f t="shared" si="52"/>
        <v>0</v>
      </c>
      <c r="BD101" s="121">
        <f t="shared" si="53"/>
        <v>0</v>
      </c>
      <c r="BE101" s="121">
        <f t="shared" si="54"/>
        <v>0</v>
      </c>
      <c r="BF101" s="121">
        <f t="shared" si="55"/>
        <v>0</v>
      </c>
      <c r="BG101" s="121">
        <f t="shared" si="56"/>
        <v>0</v>
      </c>
      <c r="BH101" s="121">
        <f t="shared" si="57"/>
        <v>0</v>
      </c>
      <c r="BI101" s="121">
        <f t="shared" si="58"/>
        <v>0</v>
      </c>
      <c r="BJ101" s="121">
        <f t="shared" si="59"/>
        <v>0</v>
      </c>
      <c r="BK101" s="121">
        <f t="shared" si="60"/>
        <v>0</v>
      </c>
      <c r="BL101" s="121">
        <f t="shared" si="61"/>
        <v>0</v>
      </c>
      <c r="BM101" s="121">
        <f t="shared" si="62"/>
        <v>0</v>
      </c>
      <c r="BN101" s="121">
        <f t="shared" si="63"/>
        <v>0</v>
      </c>
      <c r="BO101" s="121">
        <f t="shared" si="64"/>
        <v>0</v>
      </c>
      <c r="BP101" s="121">
        <f t="shared" si="65"/>
        <v>0</v>
      </c>
      <c r="BQ101" s="199">
        <f>INDEX('GDP deflators'!$C$6:$M$36,MATCH('Bottom-up tagging'!$D101,'GDP deflators'!$B$6:$B$36,),MATCH('Bottom-up tagging'!$E101,'GDP deflators'!$C$5:$L$5,))/100</f>
        <v>1.4111098032990623</v>
      </c>
      <c r="BR101" s="24">
        <v>6269920</v>
      </c>
    </row>
    <row r="102" spans="2:70" ht="26.15" hidden="1" customHeight="1">
      <c r="B102" s="110" t="s">
        <v>2936</v>
      </c>
      <c r="C102" s="110" t="s">
        <v>2938</v>
      </c>
      <c r="D102" s="110" t="s">
        <v>3994</v>
      </c>
      <c r="E102" s="103">
        <v>2011</v>
      </c>
      <c r="F102" s="108" t="s">
        <v>10260</v>
      </c>
      <c r="G102" s="111" t="s">
        <v>109</v>
      </c>
      <c r="H102" s="110" t="s">
        <v>10451</v>
      </c>
      <c r="I102" s="112">
        <f>IF(Dashboard!$B$16="Current USD",'Bottom-up tagging'!BR102,'Bottom-up tagging'!BR102/'Bottom-up tagging'!BQ102)</f>
        <v>5630995.6116927871</v>
      </c>
      <c r="J102" s="117" t="s">
        <v>10474</v>
      </c>
      <c r="K102" s="112"/>
      <c r="L102" s="135">
        <v>1</v>
      </c>
      <c r="M102" s="135">
        <v>1</v>
      </c>
      <c r="N102" s="112"/>
      <c r="O102" s="112"/>
      <c r="P102" s="112" t="str">
        <f>VLOOKUP(B102, 'Companies covered restructured'!$B$7:$K$470, 9, FALSE)</f>
        <v>Irrigation systems</v>
      </c>
      <c r="Q102" s="112" t="str">
        <f>VLOOKUP(B102, 'Companies covered restructured'!$B$7:$K$470, 6, FALSE)</f>
        <v>#Crops(100)</v>
      </c>
      <c r="R102" s="112" t="str">
        <f t="shared" si="37"/>
        <v>N/A</v>
      </c>
      <c r="S102" s="112" t="s">
        <v>11003</v>
      </c>
      <c r="T102" s="112" t="s">
        <v>10466</v>
      </c>
      <c r="U102" s="116" t="s">
        <v>10970</v>
      </c>
      <c r="V102" s="212" t="s">
        <v>10977</v>
      </c>
      <c r="W102" s="112" t="str">
        <f>VLOOKUP(B102, 'Companies covered restructured'!$B$7:$K$470, 7, FALSE)</f>
        <v>#Farm/Household(100)</v>
      </c>
      <c r="X102" s="112" t="str">
        <f>VLOOKUP(B102, 'Companies covered restructured'!$B$7:$K$470, 8, FALSE)</f>
        <v>#Small(100)</v>
      </c>
      <c r="Y102" s="212" t="str">
        <f>VLOOKUP(P102, 'Bottom-up Tagging Assumptions'!$B$12:$C$56, 2, FALSE)</f>
        <v>#Other Economic(P); Environmental(S)</v>
      </c>
      <c r="Z102" s="112" t="str">
        <f>VLOOKUP(P102, 'Bottom-up Tagging Assumptions'!$B$12:$F$56, 3, FALSE)</f>
        <v>#Waste reduction(P)</v>
      </c>
      <c r="AA102" s="112" t="str">
        <f>VLOOKUP(P102, 'Bottom-up Tagging Assumptions'!$B$12:$F$56, 4, FALSE)</f>
        <v>#Level 1(100)</v>
      </c>
      <c r="AB102" s="110"/>
      <c r="AC102" s="110"/>
      <c r="AD102" s="110"/>
      <c r="AE102" s="110" t="s">
        <v>10558</v>
      </c>
      <c r="AF102" s="112">
        <v>100000</v>
      </c>
      <c r="AG102" s="110" t="s">
        <v>1594</v>
      </c>
      <c r="AH102" s="121">
        <f t="shared" si="38"/>
        <v>1</v>
      </c>
      <c r="AI102" s="121">
        <f t="shared" si="39"/>
        <v>0</v>
      </c>
      <c r="AJ102" s="121">
        <f t="shared" si="40"/>
        <v>1</v>
      </c>
      <c r="AK102" s="121">
        <f t="shared" si="41"/>
        <v>0</v>
      </c>
      <c r="AL102" s="121">
        <f t="shared" si="42"/>
        <v>0</v>
      </c>
      <c r="AM102" s="121">
        <f t="shared" si="43"/>
        <v>0</v>
      </c>
      <c r="AN102" s="121">
        <f t="shared" si="44"/>
        <v>1</v>
      </c>
      <c r="AO102" s="121">
        <f t="shared" si="45"/>
        <v>0</v>
      </c>
      <c r="AP102" s="22">
        <f t="shared" si="46"/>
        <v>0</v>
      </c>
      <c r="AQ102" s="22">
        <f t="shared" si="47"/>
        <v>5630995.6116927871</v>
      </c>
      <c r="AR102" s="22">
        <f t="shared" si="48"/>
        <v>0</v>
      </c>
      <c r="AS102" s="121" t="str">
        <f t="shared" si="49"/>
        <v>Crops</v>
      </c>
      <c r="AT102" s="121" t="str">
        <f t="shared" si="66"/>
        <v xml:space="preserve"> </v>
      </c>
      <c r="AU102" s="121" t="str">
        <f t="shared" si="66"/>
        <v xml:space="preserve"> </v>
      </c>
      <c r="AV102" s="121" t="str">
        <f t="shared" si="66"/>
        <v xml:space="preserve"> </v>
      </c>
      <c r="AW102" s="130" t="str">
        <f t="shared" si="67"/>
        <v>100</v>
      </c>
      <c r="AX102" s="130" t="str">
        <f t="shared" si="67"/>
        <v xml:space="preserve"> </v>
      </c>
      <c r="AY102" s="130" t="str">
        <f t="shared" si="67"/>
        <v xml:space="preserve"> </v>
      </c>
      <c r="AZ102" s="130" t="str">
        <f t="shared" si="67"/>
        <v xml:space="preserve"> </v>
      </c>
      <c r="BA102" s="121">
        <f t="shared" si="50"/>
        <v>5630995.6116927871</v>
      </c>
      <c r="BB102" s="121">
        <f t="shared" si="51"/>
        <v>0</v>
      </c>
      <c r="BC102" s="121">
        <f t="shared" si="52"/>
        <v>0</v>
      </c>
      <c r="BD102" s="121">
        <f t="shared" si="53"/>
        <v>0</v>
      </c>
      <c r="BE102" s="121">
        <f t="shared" si="54"/>
        <v>0</v>
      </c>
      <c r="BF102" s="121">
        <f t="shared" si="55"/>
        <v>0</v>
      </c>
      <c r="BG102" s="121">
        <f t="shared" si="56"/>
        <v>0</v>
      </c>
      <c r="BH102" s="121">
        <f t="shared" si="57"/>
        <v>0</v>
      </c>
      <c r="BI102" s="121">
        <f t="shared" si="58"/>
        <v>5630995.6116927871</v>
      </c>
      <c r="BJ102" s="121">
        <f t="shared" si="59"/>
        <v>5630995.6116927871</v>
      </c>
      <c r="BK102" s="121">
        <f t="shared" si="60"/>
        <v>5630995.6116927871</v>
      </c>
      <c r="BL102" s="121">
        <f t="shared" si="61"/>
        <v>5630995.6116927871</v>
      </c>
      <c r="BM102" s="121">
        <f t="shared" si="62"/>
        <v>0</v>
      </c>
      <c r="BN102" s="121">
        <f t="shared" si="63"/>
        <v>0</v>
      </c>
      <c r="BO102" s="121">
        <f t="shared" si="64"/>
        <v>0</v>
      </c>
      <c r="BP102" s="121">
        <f t="shared" si="65"/>
        <v>0</v>
      </c>
      <c r="BQ102" s="199">
        <f>INDEX('GDP deflators'!$C$6:$M$36,MATCH('Bottom-up tagging'!$D102,'GDP deflators'!$B$6:$B$36,),MATCH('Bottom-up tagging'!$E102,'GDP deflators'!$C$5:$L$5,))/100</f>
        <v>1.0873357790025646</v>
      </c>
      <c r="BR102" s="24">
        <v>6122783</v>
      </c>
    </row>
    <row r="103" spans="2:70" ht="26.15" customHeight="1">
      <c r="B103" s="110" t="s">
        <v>385</v>
      </c>
      <c r="C103" s="110" t="s">
        <v>389</v>
      </c>
      <c r="D103" s="110" t="s">
        <v>5391</v>
      </c>
      <c r="E103" s="103">
        <v>2020</v>
      </c>
      <c r="F103" s="108" t="s">
        <v>7033</v>
      </c>
      <c r="G103" s="111" t="s">
        <v>109</v>
      </c>
      <c r="H103" s="110" t="s">
        <v>10451</v>
      </c>
      <c r="I103" s="212">
        <v>0</v>
      </c>
      <c r="J103" s="117" t="s">
        <v>10474</v>
      </c>
      <c r="K103" s="112"/>
      <c r="L103" s="135">
        <v>1</v>
      </c>
      <c r="M103" s="135">
        <v>1</v>
      </c>
      <c r="N103" s="112"/>
      <c r="O103" s="112"/>
      <c r="P103" s="112" t="str">
        <f>VLOOKUP(B103, 'Companies covered restructured'!$B$7:$K$470, 9, FALSE)</f>
        <v>Farmer financing services</v>
      </c>
      <c r="Q103" s="112" t="str">
        <f>VLOOKUP(B103, 'Companies covered restructured'!$B$7:$K$470, 6, FALSE)</f>
        <v>#Cross-cutting(100)</v>
      </c>
      <c r="R103" s="112" t="str">
        <f t="shared" si="37"/>
        <v>#Investment Fund(100)</v>
      </c>
      <c r="S103" s="112" t="s">
        <v>11003</v>
      </c>
      <c r="T103" s="112" t="s">
        <v>10466</v>
      </c>
      <c r="U103" s="116" t="s">
        <v>10970</v>
      </c>
      <c r="V103" s="112" t="str">
        <f>VLOOKUP(P103, 'Bottom-up Tagging Assumptions'!$B$12:$F$39, 5, FALSE)</f>
        <v>#Process Innovation(100)</v>
      </c>
      <c r="W103" s="112" t="str">
        <f>VLOOKUP(B103, 'Companies covered restructured'!$B$7:$K$470, 7, FALSE)</f>
        <v>#Field/Animal Herd(100)</v>
      </c>
      <c r="X103" s="112" t="s">
        <v>10558</v>
      </c>
      <c r="Y103" s="112" t="str">
        <f>VLOOKUP(P103, '[2]Bottom-up Tagging Assumptions'!$B$12:$F$56, 2, FALSE)</f>
        <v>#Other Economic(P); Social(S)</v>
      </c>
      <c r="Z103" s="112" t="str">
        <f>VLOOKUP(P103, 'Bottom-up Tagging Assumptions'!$B$12:$F$56, 3, FALSE)</f>
        <v>NA</v>
      </c>
      <c r="AA103" s="112" t="str">
        <f>VLOOKUP(P103, 'Bottom-up Tagging Assumptions'!$B$12:$F$56, 4, FALSE)</f>
        <v>#Level 1(100)</v>
      </c>
      <c r="AB103" s="110" t="s">
        <v>387</v>
      </c>
      <c r="AC103" s="110"/>
      <c r="AD103" s="110" t="s">
        <v>388</v>
      </c>
      <c r="AE103" s="110" t="str">
        <f>VLOOKUP(AD103,  '1.2'!$B$7:$C$2033, 2, FALSE)</f>
        <v>FUND</v>
      </c>
      <c r="AF103" s="112">
        <v>5000000</v>
      </c>
      <c r="AG103" s="110" t="s">
        <v>197</v>
      </c>
      <c r="AH103" s="121">
        <f t="shared" si="38"/>
        <v>0</v>
      </c>
      <c r="AI103" s="121">
        <f t="shared" si="39"/>
        <v>0</v>
      </c>
      <c r="AJ103" s="121">
        <f t="shared" si="40"/>
        <v>1</v>
      </c>
      <c r="AK103" s="121">
        <f t="shared" si="41"/>
        <v>1</v>
      </c>
      <c r="AL103" s="121">
        <f t="shared" si="42"/>
        <v>0</v>
      </c>
      <c r="AM103" s="121">
        <f t="shared" si="43"/>
        <v>0</v>
      </c>
      <c r="AN103" s="121">
        <f t="shared" si="44"/>
        <v>1</v>
      </c>
      <c r="AO103" s="121">
        <f t="shared" si="45"/>
        <v>0</v>
      </c>
      <c r="AP103" s="22">
        <f t="shared" si="46"/>
        <v>0</v>
      </c>
      <c r="AQ103" s="22">
        <f t="shared" si="47"/>
        <v>0</v>
      </c>
      <c r="AR103" s="22">
        <f t="shared" si="48"/>
        <v>0</v>
      </c>
      <c r="AS103" s="121" t="str">
        <f t="shared" si="49"/>
        <v>Cross-cutting</v>
      </c>
      <c r="AT103" s="121" t="str">
        <f t="shared" si="66"/>
        <v xml:space="preserve"> </v>
      </c>
      <c r="AU103" s="121" t="str">
        <f t="shared" si="66"/>
        <v xml:space="preserve"> </v>
      </c>
      <c r="AV103" s="121" t="str">
        <f t="shared" si="66"/>
        <v xml:space="preserve"> </v>
      </c>
      <c r="AW103" s="130" t="str">
        <f t="shared" si="67"/>
        <v>100</v>
      </c>
      <c r="AX103" s="130" t="str">
        <f t="shared" si="67"/>
        <v xml:space="preserve"> </v>
      </c>
      <c r="AY103" s="130" t="str">
        <f t="shared" si="67"/>
        <v xml:space="preserve"> </v>
      </c>
      <c r="AZ103" s="130" t="str">
        <f t="shared" si="67"/>
        <v xml:space="preserve"> </v>
      </c>
      <c r="BA103" s="121">
        <f t="shared" si="50"/>
        <v>0</v>
      </c>
      <c r="BB103" s="121">
        <f t="shared" si="51"/>
        <v>0</v>
      </c>
      <c r="BC103" s="121">
        <f t="shared" si="52"/>
        <v>0</v>
      </c>
      <c r="BD103" s="121">
        <f t="shared" si="53"/>
        <v>0</v>
      </c>
      <c r="BE103" s="121">
        <f t="shared" si="54"/>
        <v>0</v>
      </c>
      <c r="BF103" s="121">
        <f t="shared" si="55"/>
        <v>0</v>
      </c>
      <c r="BG103" s="121">
        <f t="shared" si="56"/>
        <v>0</v>
      </c>
      <c r="BH103" s="121">
        <f t="shared" si="57"/>
        <v>0</v>
      </c>
      <c r="BI103" s="121">
        <f t="shared" si="58"/>
        <v>0</v>
      </c>
      <c r="BJ103" s="121">
        <f t="shared" si="59"/>
        <v>0</v>
      </c>
      <c r="BK103" s="121">
        <f t="shared" si="60"/>
        <v>0</v>
      </c>
      <c r="BL103" s="121">
        <f t="shared" si="61"/>
        <v>0</v>
      </c>
      <c r="BM103" s="121">
        <f t="shared" si="62"/>
        <v>0</v>
      </c>
      <c r="BN103" s="121">
        <f t="shared" si="63"/>
        <v>0</v>
      </c>
      <c r="BO103" s="121">
        <f t="shared" si="64"/>
        <v>0</v>
      </c>
      <c r="BP103" s="121">
        <f t="shared" si="65"/>
        <v>0</v>
      </c>
      <c r="BQ103" s="199" t="e">
        <f>INDEX('GDP deflators'!$C$6:$M$36,MATCH('Bottom-up tagging'!$D103,'GDP deflators'!$B$6:$B$36,),MATCH('Bottom-up tagging'!$E103,'GDP deflators'!$C$5:$L$5,))/100</f>
        <v>#N/A</v>
      </c>
      <c r="BR103" s="24">
        <v>6000000</v>
      </c>
    </row>
    <row r="104" spans="2:70" ht="26.15" hidden="1" customHeight="1">
      <c r="B104" s="110" t="s">
        <v>615</v>
      </c>
      <c r="C104" s="110" t="s">
        <v>620</v>
      </c>
      <c r="D104" s="110" t="s">
        <v>3994</v>
      </c>
      <c r="E104" s="103">
        <v>2019</v>
      </c>
      <c r="F104" s="108">
        <v>0</v>
      </c>
      <c r="G104" s="111" t="s">
        <v>109</v>
      </c>
      <c r="H104" s="110" t="s">
        <v>10451</v>
      </c>
      <c r="I104" s="112">
        <f>IF(Dashboard!$B$16="Current USD",'Bottom-up tagging'!BR104,'Bottom-up tagging'!BR104/'Bottom-up tagging'!BQ104)</f>
        <v>3974856.6532974504</v>
      </c>
      <c r="J104" s="118" t="s">
        <v>10474</v>
      </c>
      <c r="K104" s="112"/>
      <c r="L104" s="135">
        <v>1</v>
      </c>
      <c r="M104" s="135">
        <v>1</v>
      </c>
      <c r="N104" s="112"/>
      <c r="O104" s="112"/>
      <c r="P104" s="112" t="str">
        <f>VLOOKUP(B104, 'Companies covered restructured'!$B$7:$K$470, 9, FALSE)</f>
        <v>Seed development and biotech</v>
      </c>
      <c r="Q104" s="112" t="str">
        <f>VLOOKUP(B104, 'Companies covered restructured'!$B$7:$K$470, 6, FALSE)</f>
        <v>#Crops(100)</v>
      </c>
      <c r="R104" s="112" t="str">
        <f t="shared" si="37"/>
        <v>#Investment Fund(100)</v>
      </c>
      <c r="S104" s="112" t="s">
        <v>11003</v>
      </c>
      <c r="T104" s="112" t="s">
        <v>10466</v>
      </c>
      <c r="U104" s="103" t="s">
        <v>10970</v>
      </c>
      <c r="V104" s="112" t="str">
        <f>VLOOKUP(P104, 'Bottom-up Tagging Assumptions'!$B$12:$F$39, 5, FALSE)</f>
        <v>#Product Development(100)</v>
      </c>
      <c r="W104" s="112" t="str">
        <f>VLOOKUP(B104, 'Companies covered restructured'!$B$7:$K$470, 7, FALSE)</f>
        <v>#Field/Animal Herd(100)</v>
      </c>
      <c r="X104" s="112" t="s">
        <v>10558</v>
      </c>
      <c r="Y104" s="212" t="str">
        <f>VLOOKUP(P104, 'Bottom-up Tagging Assumptions'!$B$12:$C$56, 2, FALSE)</f>
        <v>#Productivity(P); #Human Condition(S)</v>
      </c>
      <c r="Z104" s="112" t="str">
        <f>VLOOKUP(P104, 'Bottom-up Tagging Assumptions'!$B$12:$F$56, 3, FALSE)</f>
        <v>#Increasing crop or animal yield(P); #Improved nutrition(S)</v>
      </c>
      <c r="AA104" s="112" t="str">
        <f>VLOOKUP(P104, 'Bottom-up Tagging Assumptions'!$B$12:$F$56, 4, FALSE)</f>
        <v>#Level 1(100)</v>
      </c>
      <c r="AB104" s="110" t="s">
        <v>617</v>
      </c>
      <c r="AC104" s="110"/>
      <c r="AD104" s="110" t="s">
        <v>618</v>
      </c>
      <c r="AE104" s="110" t="str">
        <f>VLOOKUP(AD104,  '1.2'!$B$7:$C$2033, 2, FALSE)</f>
        <v>FUND</v>
      </c>
      <c r="AF104" s="112">
        <v>5000000</v>
      </c>
      <c r="AG104" s="110" t="s">
        <v>197</v>
      </c>
      <c r="AH104" s="121">
        <f t="shared" si="38"/>
        <v>0</v>
      </c>
      <c r="AI104" s="121">
        <f t="shared" si="39"/>
        <v>1</v>
      </c>
      <c r="AJ104" s="121">
        <f t="shared" si="40"/>
        <v>0</v>
      </c>
      <c r="AK104" s="121">
        <f t="shared" si="41"/>
        <v>0</v>
      </c>
      <c r="AL104" s="121">
        <f t="shared" si="42"/>
        <v>1</v>
      </c>
      <c r="AM104" s="121">
        <f t="shared" si="43"/>
        <v>0</v>
      </c>
      <c r="AN104" s="121">
        <f t="shared" si="44"/>
        <v>1</v>
      </c>
      <c r="AO104" s="121">
        <f t="shared" si="45"/>
        <v>0</v>
      </c>
      <c r="AP104" s="22">
        <f t="shared" si="46"/>
        <v>0</v>
      </c>
      <c r="AQ104" s="22">
        <f t="shared" si="47"/>
        <v>3974856.6532974504</v>
      </c>
      <c r="AR104" s="22">
        <f t="shared" si="48"/>
        <v>0</v>
      </c>
      <c r="AS104" s="121" t="str">
        <f t="shared" si="49"/>
        <v>Crops</v>
      </c>
      <c r="AT104" s="121" t="str">
        <f t="shared" si="66"/>
        <v xml:space="preserve"> </v>
      </c>
      <c r="AU104" s="121" t="str">
        <f t="shared" si="66"/>
        <v xml:space="preserve"> </v>
      </c>
      <c r="AV104" s="121" t="str">
        <f t="shared" si="66"/>
        <v xml:space="preserve"> </v>
      </c>
      <c r="AW104" s="130" t="str">
        <f t="shared" si="67"/>
        <v>100</v>
      </c>
      <c r="AX104" s="130" t="str">
        <f t="shared" si="67"/>
        <v xml:space="preserve"> </v>
      </c>
      <c r="AY104" s="130" t="str">
        <f t="shared" si="67"/>
        <v xml:space="preserve"> </v>
      </c>
      <c r="AZ104" s="130" t="str">
        <f t="shared" si="67"/>
        <v xml:space="preserve"> </v>
      </c>
      <c r="BA104" s="121">
        <f t="shared" si="50"/>
        <v>3974856.6532974504</v>
      </c>
      <c r="BB104" s="121">
        <f t="shared" si="51"/>
        <v>0</v>
      </c>
      <c r="BC104" s="121">
        <f t="shared" si="52"/>
        <v>0</v>
      </c>
      <c r="BD104" s="121">
        <f t="shared" si="53"/>
        <v>0</v>
      </c>
      <c r="BE104" s="121">
        <f t="shared" si="54"/>
        <v>0</v>
      </c>
      <c r="BF104" s="121">
        <f t="shared" si="55"/>
        <v>0</v>
      </c>
      <c r="BG104" s="121">
        <f t="shared" si="56"/>
        <v>0</v>
      </c>
      <c r="BH104" s="121">
        <f t="shared" si="57"/>
        <v>0</v>
      </c>
      <c r="BI104" s="121">
        <f t="shared" si="58"/>
        <v>3974856.6532974504</v>
      </c>
      <c r="BJ104" s="121">
        <f t="shared" si="59"/>
        <v>3974856.6532974504</v>
      </c>
      <c r="BK104" s="121">
        <f t="shared" si="60"/>
        <v>3974856.6532974504</v>
      </c>
      <c r="BL104" s="121">
        <f t="shared" si="61"/>
        <v>3974856.6532974504</v>
      </c>
      <c r="BM104" s="121">
        <f t="shared" si="62"/>
        <v>0</v>
      </c>
      <c r="BN104" s="121">
        <f t="shared" si="63"/>
        <v>0</v>
      </c>
      <c r="BO104" s="121">
        <f t="shared" si="64"/>
        <v>0</v>
      </c>
      <c r="BP104" s="121">
        <f t="shared" si="65"/>
        <v>0</v>
      </c>
      <c r="BQ104" s="199">
        <f>INDEX('GDP deflators'!$C$6:$M$36,MATCH('Bottom-up tagging'!$D104,'GDP deflators'!$B$6:$B$36,),MATCH('Bottom-up tagging'!$E104,'GDP deflators'!$C$5:$L$5,))/100</f>
        <v>1.5094883975306472</v>
      </c>
      <c r="BR104" s="24">
        <v>6000000</v>
      </c>
    </row>
    <row r="105" spans="2:70" ht="26.15" hidden="1" customHeight="1">
      <c r="B105" s="110" t="s">
        <v>641</v>
      </c>
      <c r="C105" s="110" t="s">
        <v>645</v>
      </c>
      <c r="D105" s="110" t="s">
        <v>3994</v>
      </c>
      <c r="E105" s="103">
        <v>2019</v>
      </c>
      <c r="F105" s="108" t="s">
        <v>8736</v>
      </c>
      <c r="G105" s="111" t="s">
        <v>109</v>
      </c>
      <c r="H105" s="110" t="s">
        <v>10451</v>
      </c>
      <c r="I105" s="112">
        <f>IF(Dashboard!$B$16="Current USD",'Bottom-up tagging'!BR105,'Bottom-up tagging'!BR105/'Bottom-up tagging'!BQ105)</f>
        <v>3974856.6532974504</v>
      </c>
      <c r="J105" s="117" t="s">
        <v>10474</v>
      </c>
      <c r="K105" s="112"/>
      <c r="L105" s="135">
        <v>1</v>
      </c>
      <c r="M105" s="135">
        <v>1</v>
      </c>
      <c r="N105" s="112"/>
      <c r="O105" s="112"/>
      <c r="P105" s="112" t="str">
        <f>VLOOKUP(B105, 'Companies covered restructured'!$B$7:$K$470, 9, FALSE)</f>
        <v>Irrigation systems</v>
      </c>
      <c r="Q105" s="112" t="str">
        <f>VLOOKUP(B105, 'Companies covered restructured'!$B$7:$K$470, 6, FALSE)</f>
        <v>#Crops(100)</v>
      </c>
      <c r="R105" s="112" t="str">
        <f t="shared" si="37"/>
        <v>#Investment Fund(100)</v>
      </c>
      <c r="S105" s="112" t="s">
        <v>11003</v>
      </c>
      <c r="T105" s="112" t="s">
        <v>10466</v>
      </c>
      <c r="U105" s="103" t="s">
        <v>10970</v>
      </c>
      <c r="V105" s="212" t="s">
        <v>10977</v>
      </c>
      <c r="W105" s="112" t="str">
        <f>VLOOKUP(B105, 'Companies covered restructured'!$B$7:$K$470, 7, FALSE)</f>
        <v>#Farm/Household(100)</v>
      </c>
      <c r="X105" s="112" t="s">
        <v>10558</v>
      </c>
      <c r="Y105" s="212" t="str">
        <f>VLOOKUP(P105, 'Bottom-up Tagging Assumptions'!$B$12:$C$56, 2, FALSE)</f>
        <v>#Other Economic(P); Environmental(S)</v>
      </c>
      <c r="Z105" s="112" t="str">
        <f>VLOOKUP(P105, 'Bottom-up Tagging Assumptions'!$B$12:$F$56, 3, FALSE)</f>
        <v>#Waste reduction(P)</v>
      </c>
      <c r="AA105" s="112" t="str">
        <f>VLOOKUP(P105, 'Bottom-up Tagging Assumptions'!$B$12:$F$56, 4, FALSE)</f>
        <v>#Level 1(100)</v>
      </c>
      <c r="AB105" s="110" t="s">
        <v>643</v>
      </c>
      <c r="AC105" s="110"/>
      <c r="AD105" s="110" t="s">
        <v>644</v>
      </c>
      <c r="AE105" s="110" t="str">
        <f>VLOOKUP(AD105,  '1.2'!$B$7:$C$2033, 2, FALSE)</f>
        <v>FUND</v>
      </c>
      <c r="AF105" s="112"/>
      <c r="AG105" s="110" t="s">
        <v>1617</v>
      </c>
      <c r="AH105" s="121">
        <f t="shared" si="38"/>
        <v>1</v>
      </c>
      <c r="AI105" s="121">
        <f t="shared" si="39"/>
        <v>0</v>
      </c>
      <c r="AJ105" s="121">
        <f t="shared" si="40"/>
        <v>1</v>
      </c>
      <c r="AK105" s="121">
        <f t="shared" si="41"/>
        <v>0</v>
      </c>
      <c r="AL105" s="121">
        <f t="shared" si="42"/>
        <v>0</v>
      </c>
      <c r="AM105" s="121">
        <f t="shared" si="43"/>
        <v>0</v>
      </c>
      <c r="AN105" s="121">
        <f t="shared" si="44"/>
        <v>1</v>
      </c>
      <c r="AO105" s="121">
        <f t="shared" si="45"/>
        <v>0</v>
      </c>
      <c r="AP105" s="22">
        <f t="shared" si="46"/>
        <v>0</v>
      </c>
      <c r="AQ105" s="22">
        <f t="shared" si="47"/>
        <v>3974856.6532974504</v>
      </c>
      <c r="AR105" s="22">
        <f t="shared" si="48"/>
        <v>0</v>
      </c>
      <c r="AS105" s="121" t="str">
        <f t="shared" si="49"/>
        <v>Crops</v>
      </c>
      <c r="AT105" s="121" t="str">
        <f t="shared" si="66"/>
        <v xml:space="preserve"> </v>
      </c>
      <c r="AU105" s="121" t="str">
        <f t="shared" si="66"/>
        <v xml:space="preserve"> </v>
      </c>
      <c r="AV105" s="121" t="str">
        <f t="shared" si="66"/>
        <v xml:space="preserve"> </v>
      </c>
      <c r="AW105" s="130" t="str">
        <f t="shared" si="67"/>
        <v>100</v>
      </c>
      <c r="AX105" s="130" t="str">
        <f t="shared" si="67"/>
        <v xml:space="preserve"> </v>
      </c>
      <c r="AY105" s="130" t="str">
        <f t="shared" si="67"/>
        <v xml:space="preserve"> </v>
      </c>
      <c r="AZ105" s="130" t="str">
        <f t="shared" si="67"/>
        <v xml:space="preserve"> </v>
      </c>
      <c r="BA105" s="121">
        <f t="shared" si="50"/>
        <v>3974856.6532974504</v>
      </c>
      <c r="BB105" s="121">
        <f t="shared" si="51"/>
        <v>0</v>
      </c>
      <c r="BC105" s="121">
        <f t="shared" si="52"/>
        <v>0</v>
      </c>
      <c r="BD105" s="121">
        <f t="shared" si="53"/>
        <v>0</v>
      </c>
      <c r="BE105" s="121">
        <f t="shared" si="54"/>
        <v>0</v>
      </c>
      <c r="BF105" s="121">
        <f t="shared" si="55"/>
        <v>0</v>
      </c>
      <c r="BG105" s="121">
        <f t="shared" si="56"/>
        <v>0</v>
      </c>
      <c r="BH105" s="121">
        <f t="shared" si="57"/>
        <v>0</v>
      </c>
      <c r="BI105" s="121">
        <f t="shared" si="58"/>
        <v>3974856.6532974504</v>
      </c>
      <c r="BJ105" s="121">
        <f t="shared" si="59"/>
        <v>3974856.6532974504</v>
      </c>
      <c r="BK105" s="121">
        <f t="shared" si="60"/>
        <v>3974856.6532974504</v>
      </c>
      <c r="BL105" s="121">
        <f t="shared" si="61"/>
        <v>3974856.6532974504</v>
      </c>
      <c r="BM105" s="121">
        <f t="shared" si="62"/>
        <v>0</v>
      </c>
      <c r="BN105" s="121">
        <f t="shared" si="63"/>
        <v>0</v>
      </c>
      <c r="BO105" s="121">
        <f t="shared" si="64"/>
        <v>0</v>
      </c>
      <c r="BP105" s="121">
        <f t="shared" si="65"/>
        <v>0</v>
      </c>
      <c r="BQ105" s="199">
        <f>INDEX('GDP deflators'!$C$6:$M$36,MATCH('Bottom-up tagging'!$D105,'GDP deflators'!$B$6:$B$36,),MATCH('Bottom-up tagging'!$E105,'GDP deflators'!$C$5:$L$5,))/100</f>
        <v>1.5094883975306472</v>
      </c>
      <c r="BR105" s="24">
        <v>6000000</v>
      </c>
    </row>
    <row r="106" spans="2:70" ht="26.15" hidden="1" customHeight="1">
      <c r="B106" s="110" t="s">
        <v>26</v>
      </c>
      <c r="C106" s="110" t="s">
        <v>31</v>
      </c>
      <c r="D106" s="110" t="s">
        <v>5333</v>
      </c>
      <c r="E106" s="103">
        <v>2018</v>
      </c>
      <c r="F106" s="108" t="s">
        <v>8076</v>
      </c>
      <c r="G106" s="111" t="s">
        <v>109</v>
      </c>
      <c r="H106" s="110" t="s">
        <v>10451</v>
      </c>
      <c r="I106" s="112">
        <f>IF(Dashboard!$B$16="Current USD",'Bottom-up tagging'!BR106,'Bottom-up tagging'!BR106/'Bottom-up tagging'!BQ106)</f>
        <v>720098.68182648753</v>
      </c>
      <c r="J106" s="117" t="s">
        <v>10474</v>
      </c>
      <c r="K106" s="112"/>
      <c r="L106" s="135">
        <v>1</v>
      </c>
      <c r="M106" s="135">
        <v>1</v>
      </c>
      <c r="N106" s="112"/>
      <c r="O106" s="112"/>
      <c r="P106" s="112" t="str">
        <f>VLOOKUP(B106, 'Companies covered restructured'!$B$7:$K$470, 9, FALSE)</f>
        <v>Agri input e-commerce platforms</v>
      </c>
      <c r="Q106" s="112" t="str">
        <f>VLOOKUP(B106, 'Companies covered restructured'!$B$7:$K$470, 6, FALSE)</f>
        <v>#Crops(100)</v>
      </c>
      <c r="R106" s="112" t="str">
        <f t="shared" si="37"/>
        <v>#Investment Fund(100)</v>
      </c>
      <c r="S106" s="112" t="s">
        <v>11003</v>
      </c>
      <c r="T106" s="112" t="s">
        <v>10466</v>
      </c>
      <c r="U106" s="103" t="s">
        <v>10970</v>
      </c>
      <c r="V106" s="112" t="str">
        <f>VLOOKUP(P106, 'Bottom-up Tagging Assumptions'!$B$12:$F$39, 5, FALSE)</f>
        <v>#Process Innovation(100)</v>
      </c>
      <c r="W106" s="112" t="str">
        <f>VLOOKUP(B106, 'Companies covered restructured'!$B$7:$K$470, 7, FALSE)</f>
        <v>#Field/Animal Herd(100)</v>
      </c>
      <c r="X106" s="112" t="s">
        <v>10558</v>
      </c>
      <c r="Y106" s="212" t="str">
        <f>VLOOKUP(P106, 'Bottom-up Tagging Assumptions'!$B$12:$C$56, 2, FALSE)</f>
        <v>#Other Economic(P); Productivity(S)</v>
      </c>
      <c r="Z106" s="112" t="str">
        <f>VLOOKUP(P106, 'Bottom-up Tagging Assumptions'!$B$12:$F$56, 3, FALSE)</f>
        <v>#Reduce cost of inputs(P)</v>
      </c>
      <c r="AA106" s="112" t="str">
        <f>VLOOKUP(P106, 'Bottom-up Tagging Assumptions'!$B$12:$F$56, 4, FALSE)</f>
        <v>#Level 1(100)</v>
      </c>
      <c r="AB106" s="110" t="s">
        <v>1779</v>
      </c>
      <c r="AC106" s="110"/>
      <c r="AD106" s="110" t="s">
        <v>588</v>
      </c>
      <c r="AE106" s="110" t="str">
        <f>VLOOKUP(AD106,  '1.2'!$B$7:$C$2033, 2, FALSE)</f>
        <v>FUND</v>
      </c>
      <c r="AF106" s="112"/>
      <c r="AG106" s="110" t="s">
        <v>183</v>
      </c>
      <c r="AH106" s="121">
        <f t="shared" si="38"/>
        <v>0</v>
      </c>
      <c r="AI106" s="121">
        <f t="shared" si="39"/>
        <v>1</v>
      </c>
      <c r="AJ106" s="121">
        <f t="shared" si="40"/>
        <v>1</v>
      </c>
      <c r="AK106" s="121">
        <f t="shared" si="41"/>
        <v>0</v>
      </c>
      <c r="AL106" s="121">
        <f t="shared" si="42"/>
        <v>0</v>
      </c>
      <c r="AM106" s="121">
        <f t="shared" si="43"/>
        <v>0</v>
      </c>
      <c r="AN106" s="121">
        <f t="shared" si="44"/>
        <v>0</v>
      </c>
      <c r="AO106" s="121">
        <f t="shared" si="45"/>
        <v>0</v>
      </c>
      <c r="AP106" s="22">
        <f t="shared" si="46"/>
        <v>0</v>
      </c>
      <c r="AQ106" s="22">
        <f t="shared" si="47"/>
        <v>0</v>
      </c>
      <c r="AR106" s="22">
        <f t="shared" si="48"/>
        <v>0</v>
      </c>
      <c r="AS106" s="121" t="str">
        <f t="shared" si="49"/>
        <v>Crops</v>
      </c>
      <c r="AT106" s="121" t="str">
        <f t="shared" si="66"/>
        <v xml:space="preserve"> </v>
      </c>
      <c r="AU106" s="121" t="str">
        <f t="shared" si="66"/>
        <v xml:space="preserve"> </v>
      </c>
      <c r="AV106" s="121" t="str">
        <f t="shared" si="66"/>
        <v xml:space="preserve"> </v>
      </c>
      <c r="AW106" s="130" t="str">
        <f t="shared" si="67"/>
        <v>100</v>
      </c>
      <c r="AX106" s="130" t="str">
        <f t="shared" si="67"/>
        <v xml:space="preserve"> </v>
      </c>
      <c r="AY106" s="130" t="str">
        <f t="shared" si="67"/>
        <v xml:space="preserve"> </v>
      </c>
      <c r="AZ106" s="130" t="str">
        <f t="shared" si="67"/>
        <v xml:space="preserve"> </v>
      </c>
      <c r="BA106" s="121">
        <f t="shared" si="50"/>
        <v>720098.68182648753</v>
      </c>
      <c r="BB106" s="121">
        <f t="shared" si="51"/>
        <v>0</v>
      </c>
      <c r="BC106" s="121">
        <f t="shared" si="52"/>
        <v>0</v>
      </c>
      <c r="BD106" s="121">
        <f t="shared" si="53"/>
        <v>0</v>
      </c>
      <c r="BE106" s="121">
        <f t="shared" si="54"/>
        <v>0</v>
      </c>
      <c r="BF106" s="121">
        <f t="shared" si="55"/>
        <v>0</v>
      </c>
      <c r="BG106" s="121">
        <f t="shared" si="56"/>
        <v>0</v>
      </c>
      <c r="BH106" s="121">
        <f t="shared" si="57"/>
        <v>0</v>
      </c>
      <c r="BI106" s="121">
        <f t="shared" si="58"/>
        <v>0</v>
      </c>
      <c r="BJ106" s="121">
        <f t="shared" si="59"/>
        <v>0</v>
      </c>
      <c r="BK106" s="121">
        <f t="shared" si="60"/>
        <v>0</v>
      </c>
      <c r="BL106" s="121">
        <f t="shared" si="61"/>
        <v>0</v>
      </c>
      <c r="BM106" s="121">
        <f t="shared" si="62"/>
        <v>0</v>
      </c>
      <c r="BN106" s="121">
        <f t="shared" si="63"/>
        <v>0</v>
      </c>
      <c r="BO106" s="121">
        <f t="shared" si="64"/>
        <v>0</v>
      </c>
      <c r="BP106" s="121">
        <f t="shared" si="65"/>
        <v>0</v>
      </c>
      <c r="BQ106" s="199">
        <f>INDEX('GDP deflators'!$C$6:$M$36,MATCH('Bottom-up tagging'!$D106,'GDP deflators'!$B$6:$B$36,),MATCH('Bottom-up tagging'!$E106,'GDP deflators'!$C$5:$L$5,))/100</f>
        <v>8.3321913390833551</v>
      </c>
      <c r="BR106" s="24">
        <v>6000000</v>
      </c>
    </row>
    <row r="107" spans="2:70" ht="26.15" hidden="1" customHeight="1">
      <c r="B107" s="110" t="s">
        <v>2341</v>
      </c>
      <c r="C107" s="110" t="s">
        <v>2345</v>
      </c>
      <c r="D107" s="110" t="s">
        <v>2057</v>
      </c>
      <c r="E107" s="103">
        <v>2016</v>
      </c>
      <c r="F107" s="108" t="s">
        <v>9230</v>
      </c>
      <c r="G107" s="111" t="s">
        <v>109</v>
      </c>
      <c r="H107" s="110" t="s">
        <v>10451</v>
      </c>
      <c r="I107" s="112">
        <f>IF(Dashboard!$B$16="Current USD",'Bottom-up tagging'!BR107,'Bottom-up tagging'!BR107/'Bottom-up tagging'!BQ107)</f>
        <v>5158748.4562729858</v>
      </c>
      <c r="J107" s="118" t="s">
        <v>10474</v>
      </c>
      <c r="K107" s="112"/>
      <c r="L107" s="135">
        <v>1</v>
      </c>
      <c r="M107" s="135">
        <v>1</v>
      </c>
      <c r="N107" s="112"/>
      <c r="O107" s="112"/>
      <c r="P107" s="112" t="str">
        <f>VLOOKUP(B107, 'Companies covered restructured'!$B$7:$K$470, 9, FALSE)</f>
        <v xml:space="preserve">Agriculture financing systems </v>
      </c>
      <c r="Q107" s="112" t="str">
        <f>VLOOKUP(B107, 'Companies covered restructured'!$B$7:$K$470, 6, FALSE)</f>
        <v>#Cross-cutting(100)</v>
      </c>
      <c r="R107" s="112" t="str">
        <f t="shared" si="37"/>
        <v>#Corporate(100)</v>
      </c>
      <c r="S107" s="112" t="s">
        <v>11003</v>
      </c>
      <c r="T107" s="112" t="s">
        <v>10466</v>
      </c>
      <c r="U107" s="103" t="s">
        <v>10970</v>
      </c>
      <c r="V107" s="112" t="str">
        <f>VLOOKUP(P107, 'Bottom-up Tagging Assumptions'!$B$12:$F$39, 5, FALSE)</f>
        <v>#Process Innovation(100)</v>
      </c>
      <c r="W107" s="112" t="str">
        <f>VLOOKUP(B107, 'Companies covered restructured'!$B$7:$K$470, 7, FALSE)</f>
        <v>N/A</v>
      </c>
      <c r="X107" s="112" t="str">
        <f>VLOOKUP(B107, 'Companies covered restructured'!$B$7:$K$470, 8, FALSE)</f>
        <v>N/A</v>
      </c>
      <c r="Y107" s="212" t="str">
        <f>VLOOKUP(P107, 'Bottom-up Tagging Assumptions'!$B$12:$C$56, 2, FALSE)</f>
        <v>#Other Economic(P); Social(S)</v>
      </c>
      <c r="Z107" s="112" t="str">
        <f>VLOOKUP(P107, 'Bottom-up Tagging Assumptions'!$B$12:$F$56, 3, FALSE)</f>
        <v>NA</v>
      </c>
      <c r="AA107" s="112" t="str">
        <f>VLOOKUP(P107, 'Bottom-up Tagging Assumptions'!$B$12:$F$56, 4, FALSE)</f>
        <v>#Level 1(100)</v>
      </c>
      <c r="AB107" s="110" t="s">
        <v>2343</v>
      </c>
      <c r="AC107" s="110"/>
      <c r="AD107" s="110" t="s">
        <v>2344</v>
      </c>
      <c r="AE107" s="110" t="str">
        <f>VLOOKUP(AD107,  '1.2'!$B$7:$C$2033, 2, FALSE)</f>
        <v>CORPORATE_INVESTOR</v>
      </c>
      <c r="AF107" s="112">
        <v>1577228</v>
      </c>
      <c r="AG107" s="110" t="s">
        <v>614</v>
      </c>
      <c r="AH107" s="121">
        <f t="shared" si="38"/>
        <v>0</v>
      </c>
      <c r="AI107" s="121">
        <f t="shared" si="39"/>
        <v>0</v>
      </c>
      <c r="AJ107" s="121">
        <f t="shared" si="40"/>
        <v>1</v>
      </c>
      <c r="AK107" s="121">
        <f t="shared" si="41"/>
        <v>1</v>
      </c>
      <c r="AL107" s="121">
        <f t="shared" si="42"/>
        <v>0</v>
      </c>
      <c r="AM107" s="121">
        <f t="shared" si="43"/>
        <v>0</v>
      </c>
      <c r="AN107" s="121">
        <f t="shared" si="44"/>
        <v>1</v>
      </c>
      <c r="AO107" s="121">
        <f t="shared" si="45"/>
        <v>0</v>
      </c>
      <c r="AP107" s="22">
        <f t="shared" si="46"/>
        <v>0</v>
      </c>
      <c r="AQ107" s="22">
        <f t="shared" si="47"/>
        <v>5158748.4562729858</v>
      </c>
      <c r="AR107" s="22">
        <f t="shared" si="48"/>
        <v>0</v>
      </c>
      <c r="AS107" s="121" t="str">
        <f t="shared" si="49"/>
        <v>Cross-cutting</v>
      </c>
      <c r="AT107" s="121" t="str">
        <f t="shared" si="66"/>
        <v xml:space="preserve"> </v>
      </c>
      <c r="AU107" s="121" t="str">
        <f t="shared" si="66"/>
        <v xml:space="preserve"> </v>
      </c>
      <c r="AV107" s="121" t="str">
        <f t="shared" si="66"/>
        <v xml:space="preserve"> </v>
      </c>
      <c r="AW107" s="130" t="str">
        <f t="shared" si="67"/>
        <v>100</v>
      </c>
      <c r="AX107" s="130" t="str">
        <f t="shared" si="67"/>
        <v xml:space="preserve"> </v>
      </c>
      <c r="AY107" s="130" t="str">
        <f t="shared" si="67"/>
        <v xml:space="preserve"> </v>
      </c>
      <c r="AZ107" s="130" t="str">
        <f t="shared" si="67"/>
        <v xml:space="preserve"> </v>
      </c>
      <c r="BA107" s="121">
        <f t="shared" si="50"/>
        <v>5158748.4562729858</v>
      </c>
      <c r="BB107" s="121">
        <f t="shared" si="51"/>
        <v>0</v>
      </c>
      <c r="BC107" s="121">
        <f t="shared" si="52"/>
        <v>0</v>
      </c>
      <c r="BD107" s="121">
        <f t="shared" si="53"/>
        <v>0</v>
      </c>
      <c r="BE107" s="121">
        <f t="shared" si="54"/>
        <v>0</v>
      </c>
      <c r="BF107" s="121">
        <f t="shared" si="55"/>
        <v>0</v>
      </c>
      <c r="BG107" s="121">
        <f t="shared" si="56"/>
        <v>0</v>
      </c>
      <c r="BH107" s="121">
        <f t="shared" si="57"/>
        <v>0</v>
      </c>
      <c r="BI107" s="121">
        <f t="shared" si="58"/>
        <v>5158748.4562729858</v>
      </c>
      <c r="BJ107" s="121">
        <f t="shared" si="59"/>
        <v>5158748.4562729858</v>
      </c>
      <c r="BK107" s="121">
        <f t="shared" si="60"/>
        <v>5158748.4562729858</v>
      </c>
      <c r="BL107" s="121">
        <f t="shared" si="61"/>
        <v>5158748.4562729858</v>
      </c>
      <c r="BM107" s="121">
        <f t="shared" si="62"/>
        <v>0</v>
      </c>
      <c r="BN107" s="121">
        <f t="shared" si="63"/>
        <v>0</v>
      </c>
      <c r="BO107" s="121">
        <f t="shared" si="64"/>
        <v>0</v>
      </c>
      <c r="BP107" s="121">
        <f t="shared" si="65"/>
        <v>0</v>
      </c>
      <c r="BQ107" s="199">
        <f>INDEX('GDP deflators'!$C$6:$M$36,MATCH('Bottom-up tagging'!$D107,'GDP deflators'!$B$6:$B$36,),MATCH('Bottom-up tagging'!$E107,'GDP deflators'!$C$5:$L$5,))/100</f>
        <v>1.1575830941589131</v>
      </c>
      <c r="BR107" s="24">
        <v>5971680</v>
      </c>
    </row>
    <row r="108" spans="2:70" ht="26.15" hidden="1" customHeight="1">
      <c r="B108" s="110" t="s">
        <v>404</v>
      </c>
      <c r="C108" s="110" t="s">
        <v>408</v>
      </c>
      <c r="D108" s="110" t="s">
        <v>3994</v>
      </c>
      <c r="E108" s="103">
        <v>2020</v>
      </c>
      <c r="F108" s="108" t="s">
        <v>7119</v>
      </c>
      <c r="G108" s="111" t="s">
        <v>109</v>
      </c>
      <c r="H108" s="110" t="s">
        <v>10451</v>
      </c>
      <c r="I108" s="212">
        <v>0</v>
      </c>
      <c r="J108" s="105" t="s">
        <v>10474</v>
      </c>
      <c r="K108" s="112"/>
      <c r="L108" s="135">
        <v>1</v>
      </c>
      <c r="M108" s="135">
        <v>1</v>
      </c>
      <c r="N108" s="112"/>
      <c r="O108" s="112"/>
      <c r="P108" s="112" t="str">
        <f>VLOOKUP(B108, 'Companies covered restructured'!$B$7:$K$470, 9, FALSE)</f>
        <v>AI/analytics based advisory algorithms (incl. weather)</v>
      </c>
      <c r="Q108" s="112" t="str">
        <f>VLOOKUP(B108, 'Companies covered restructured'!$B$7:$K$470, 6, FALSE)</f>
        <v>#Crops(100)</v>
      </c>
      <c r="R108" s="112" t="str">
        <f t="shared" si="37"/>
        <v>#Investment Fund(100)</v>
      </c>
      <c r="S108" s="112" t="s">
        <v>11003</v>
      </c>
      <c r="T108" s="112" t="s">
        <v>10466</v>
      </c>
      <c r="U108" s="103" t="s">
        <v>10970</v>
      </c>
      <c r="V108" s="112" t="str">
        <f>VLOOKUP(P108, 'Bottom-up Tagging Assumptions'!$B$12:$F$39, 5, FALSE)</f>
        <v>#Science &amp; tech(100)</v>
      </c>
      <c r="W108" s="112" t="str">
        <f>VLOOKUP(B108, 'Companies covered restructured'!$B$7:$K$470, 7, FALSE)</f>
        <v>#Field/Animal Herd(100)</v>
      </c>
      <c r="X108" s="112" t="s">
        <v>10558</v>
      </c>
      <c r="Y108" s="112" t="str">
        <f>VLOOKUP(P108, '[2]Bottom-up Tagging Assumptions'!$B$12:$F$56, 2, FALSE)</f>
        <v>#Other Economic(P); #Productivity(S)</v>
      </c>
      <c r="Z108" s="112" t="str">
        <f>VLOOKUP(P108, 'Bottom-up Tagging Assumptions'!$B$12:$F$56, 3, FALSE)</f>
        <v>#Increasing output per unit input(P); #Increasing crop or animal yield(S)</v>
      </c>
      <c r="AA108" s="112" t="str">
        <f>VLOOKUP(P108, 'Bottom-up Tagging Assumptions'!$B$12:$F$56, 4, FALSE)</f>
        <v>#Level 1(100)</v>
      </c>
      <c r="AB108" s="110" t="s">
        <v>406</v>
      </c>
      <c r="AC108" s="110"/>
      <c r="AD108" s="110" t="s">
        <v>407</v>
      </c>
      <c r="AE108" s="110" t="str">
        <f>VLOOKUP(AD108,  '1.2'!$B$7:$C$2033, 2, FALSE)</f>
        <v>FUND</v>
      </c>
      <c r="AF108" s="112">
        <v>50000</v>
      </c>
      <c r="AG108" s="110" t="s">
        <v>1627</v>
      </c>
      <c r="AH108" s="121">
        <f t="shared" si="38"/>
        <v>0</v>
      </c>
      <c r="AI108" s="121">
        <f t="shared" si="39"/>
        <v>1</v>
      </c>
      <c r="AJ108" s="121">
        <f t="shared" si="40"/>
        <v>1</v>
      </c>
      <c r="AK108" s="121">
        <f t="shared" si="41"/>
        <v>0</v>
      </c>
      <c r="AL108" s="121">
        <f t="shared" si="42"/>
        <v>0</v>
      </c>
      <c r="AM108" s="121">
        <f t="shared" si="43"/>
        <v>0</v>
      </c>
      <c r="AN108" s="121">
        <f t="shared" si="44"/>
        <v>0</v>
      </c>
      <c r="AO108" s="121">
        <f t="shared" si="45"/>
        <v>0</v>
      </c>
      <c r="AP108" s="22">
        <f t="shared" si="46"/>
        <v>0</v>
      </c>
      <c r="AQ108" s="22">
        <f t="shared" si="47"/>
        <v>0</v>
      </c>
      <c r="AR108" s="22">
        <f t="shared" si="48"/>
        <v>0</v>
      </c>
      <c r="AS108" s="121" t="str">
        <f t="shared" si="49"/>
        <v>Crops</v>
      </c>
      <c r="AT108" s="121" t="str">
        <f t="shared" si="66"/>
        <v xml:space="preserve"> </v>
      </c>
      <c r="AU108" s="121" t="str">
        <f t="shared" si="66"/>
        <v xml:space="preserve"> </v>
      </c>
      <c r="AV108" s="121" t="str">
        <f t="shared" si="66"/>
        <v xml:space="preserve"> </v>
      </c>
      <c r="AW108" s="130" t="str">
        <f t="shared" si="67"/>
        <v>100</v>
      </c>
      <c r="AX108" s="130" t="str">
        <f t="shared" si="67"/>
        <v xml:space="preserve"> </v>
      </c>
      <c r="AY108" s="130" t="str">
        <f t="shared" si="67"/>
        <v xml:space="preserve"> </v>
      </c>
      <c r="AZ108" s="130" t="str">
        <f t="shared" si="67"/>
        <v xml:space="preserve"> </v>
      </c>
      <c r="BA108" s="121">
        <f t="shared" si="50"/>
        <v>0</v>
      </c>
      <c r="BB108" s="121">
        <f t="shared" si="51"/>
        <v>0</v>
      </c>
      <c r="BC108" s="121">
        <f t="shared" si="52"/>
        <v>0</v>
      </c>
      <c r="BD108" s="121">
        <f t="shared" si="53"/>
        <v>0</v>
      </c>
      <c r="BE108" s="121">
        <f t="shared" si="54"/>
        <v>0</v>
      </c>
      <c r="BF108" s="121">
        <f t="shared" si="55"/>
        <v>0</v>
      </c>
      <c r="BG108" s="121">
        <f t="shared" si="56"/>
        <v>0</v>
      </c>
      <c r="BH108" s="121">
        <f t="shared" si="57"/>
        <v>0</v>
      </c>
      <c r="BI108" s="121">
        <f t="shared" si="58"/>
        <v>0</v>
      </c>
      <c r="BJ108" s="121">
        <f t="shared" si="59"/>
        <v>0</v>
      </c>
      <c r="BK108" s="121">
        <f t="shared" si="60"/>
        <v>0</v>
      </c>
      <c r="BL108" s="121">
        <f t="shared" si="61"/>
        <v>0</v>
      </c>
      <c r="BM108" s="121">
        <f t="shared" si="62"/>
        <v>0</v>
      </c>
      <c r="BN108" s="121">
        <f t="shared" si="63"/>
        <v>0</v>
      </c>
      <c r="BO108" s="121">
        <f t="shared" si="64"/>
        <v>0</v>
      </c>
      <c r="BP108" s="121">
        <f t="shared" si="65"/>
        <v>0</v>
      </c>
      <c r="BQ108" s="199" t="e">
        <f>INDEX('GDP deflators'!$C$6:$M$36,MATCH('Bottom-up tagging'!$D108,'GDP deflators'!$B$6:$B$36,),MATCH('Bottom-up tagging'!$E108,'GDP deflators'!$C$5:$L$5,))/100</f>
        <v>#N/A</v>
      </c>
      <c r="BR108" s="24">
        <v>5900000</v>
      </c>
    </row>
    <row r="109" spans="2:70" ht="26.15" hidden="1" customHeight="1">
      <c r="B109" s="110" t="s">
        <v>856</v>
      </c>
      <c r="C109" s="110" t="s">
        <v>861</v>
      </c>
      <c r="D109" s="110" t="s">
        <v>5208</v>
      </c>
      <c r="E109" s="103">
        <v>2019</v>
      </c>
      <c r="F109" s="108" t="s">
        <v>8359</v>
      </c>
      <c r="G109" s="111" t="s">
        <v>109</v>
      </c>
      <c r="H109" s="110" t="s">
        <v>10451</v>
      </c>
      <c r="I109" s="112">
        <f>IF(Dashboard!$B$16="Current USD",'Bottom-up tagging'!BR109,'Bottom-up tagging'!BR109/'Bottom-up tagging'!BQ109)</f>
        <v>3300256.2161119715</v>
      </c>
      <c r="J109" s="118" t="s">
        <v>10474</v>
      </c>
      <c r="K109" s="112"/>
      <c r="L109" s="135">
        <v>1</v>
      </c>
      <c r="M109" s="135">
        <v>1</v>
      </c>
      <c r="N109" s="112"/>
      <c r="O109" s="112"/>
      <c r="P109" s="112" t="str">
        <f>VLOOKUP(B109, 'Companies covered restructured'!$B$7:$K$470, 9, FALSE)</f>
        <v>AI/analytics based advisory algorithms (incl. weather)</v>
      </c>
      <c r="Q109" s="112" t="str">
        <f>VLOOKUP(B109, 'Companies covered restructured'!$B$7:$K$470, 6, FALSE)</f>
        <v>#Crops(100)</v>
      </c>
      <c r="R109" s="112" t="str">
        <f t="shared" si="37"/>
        <v>#Investment Fund(100)</v>
      </c>
      <c r="S109" s="112" t="s">
        <v>11003</v>
      </c>
      <c r="T109" s="112" t="s">
        <v>10466</v>
      </c>
      <c r="U109" s="103" t="s">
        <v>10970</v>
      </c>
      <c r="V109" s="112" t="str">
        <f>VLOOKUP(P109, 'Bottom-up Tagging Assumptions'!$B$12:$F$39, 5, FALSE)</f>
        <v>#Science &amp; tech(100)</v>
      </c>
      <c r="W109" s="112" t="str">
        <f>VLOOKUP(B109, 'Companies covered restructured'!$B$7:$K$470, 7, FALSE)</f>
        <v>#Field/Animal Herd(100)</v>
      </c>
      <c r="X109" s="112" t="s">
        <v>10558</v>
      </c>
      <c r="Y109" s="212" t="str">
        <f>VLOOKUP(P109, 'Bottom-up Tagging Assumptions'!$B$12:$C$56, 2, FALSE)</f>
        <v>#Other Economic(P); #Productivity(S)</v>
      </c>
      <c r="Z109" s="112" t="str">
        <f>VLOOKUP(P109, 'Bottom-up Tagging Assumptions'!$B$12:$F$56, 3, FALSE)</f>
        <v>#Increasing output per unit input(P); #Increasing crop or animal yield(S)</v>
      </c>
      <c r="AA109" s="112" t="str">
        <f>VLOOKUP(P109, 'Bottom-up Tagging Assumptions'!$B$12:$F$56, 4, FALSE)</f>
        <v>#Level 1(100)</v>
      </c>
      <c r="AB109" s="110" t="s">
        <v>858</v>
      </c>
      <c r="AC109" s="110"/>
      <c r="AD109" s="110" t="s">
        <v>859</v>
      </c>
      <c r="AE109" s="110" t="s">
        <v>3114</v>
      </c>
      <c r="AF109" s="112">
        <v>19009146</v>
      </c>
      <c r="AG109" s="110" t="s">
        <v>307</v>
      </c>
      <c r="AH109" s="121">
        <f t="shared" si="38"/>
        <v>0</v>
      </c>
      <c r="AI109" s="121">
        <f t="shared" si="39"/>
        <v>1</v>
      </c>
      <c r="AJ109" s="121">
        <f t="shared" si="40"/>
        <v>1</v>
      </c>
      <c r="AK109" s="121">
        <f t="shared" si="41"/>
        <v>0</v>
      </c>
      <c r="AL109" s="121">
        <f t="shared" si="42"/>
        <v>0</v>
      </c>
      <c r="AM109" s="121">
        <f t="shared" si="43"/>
        <v>0</v>
      </c>
      <c r="AN109" s="121">
        <f t="shared" si="44"/>
        <v>0</v>
      </c>
      <c r="AO109" s="121">
        <f t="shared" si="45"/>
        <v>0</v>
      </c>
      <c r="AP109" s="22">
        <f t="shared" si="46"/>
        <v>0</v>
      </c>
      <c r="AQ109" s="22">
        <f t="shared" si="47"/>
        <v>0</v>
      </c>
      <c r="AR109" s="22">
        <f t="shared" si="48"/>
        <v>0</v>
      </c>
      <c r="AS109" s="121" t="str">
        <f t="shared" si="49"/>
        <v>Crops</v>
      </c>
      <c r="AT109" s="121" t="str">
        <f t="shared" si="66"/>
        <v xml:space="preserve"> </v>
      </c>
      <c r="AU109" s="121" t="str">
        <f t="shared" si="66"/>
        <v xml:space="preserve"> </v>
      </c>
      <c r="AV109" s="121" t="str">
        <f t="shared" si="66"/>
        <v xml:space="preserve"> </v>
      </c>
      <c r="AW109" s="130" t="str">
        <f t="shared" si="67"/>
        <v>100</v>
      </c>
      <c r="AX109" s="130" t="str">
        <f t="shared" si="67"/>
        <v xml:space="preserve"> </v>
      </c>
      <c r="AY109" s="130" t="str">
        <f t="shared" si="67"/>
        <v xml:space="preserve"> </v>
      </c>
      <c r="AZ109" s="130" t="str">
        <f t="shared" si="67"/>
        <v xml:space="preserve"> </v>
      </c>
      <c r="BA109" s="121">
        <f t="shared" si="50"/>
        <v>3300256.2161119715</v>
      </c>
      <c r="BB109" s="121">
        <f t="shared" si="51"/>
        <v>0</v>
      </c>
      <c r="BC109" s="121">
        <f t="shared" si="52"/>
        <v>0</v>
      </c>
      <c r="BD109" s="121">
        <f t="shared" si="53"/>
        <v>0</v>
      </c>
      <c r="BE109" s="121">
        <f t="shared" si="54"/>
        <v>0</v>
      </c>
      <c r="BF109" s="121">
        <f t="shared" si="55"/>
        <v>0</v>
      </c>
      <c r="BG109" s="121">
        <f t="shared" si="56"/>
        <v>0</v>
      </c>
      <c r="BH109" s="121">
        <f t="shared" si="57"/>
        <v>0</v>
      </c>
      <c r="BI109" s="121">
        <f t="shared" si="58"/>
        <v>0</v>
      </c>
      <c r="BJ109" s="121">
        <f t="shared" si="59"/>
        <v>0</v>
      </c>
      <c r="BK109" s="121">
        <f t="shared" si="60"/>
        <v>0</v>
      </c>
      <c r="BL109" s="121">
        <f t="shared" si="61"/>
        <v>0</v>
      </c>
      <c r="BM109" s="121">
        <f t="shared" si="62"/>
        <v>0</v>
      </c>
      <c r="BN109" s="121">
        <f t="shared" si="63"/>
        <v>0</v>
      </c>
      <c r="BO109" s="121">
        <f t="shared" si="64"/>
        <v>0</v>
      </c>
      <c r="BP109" s="121">
        <f t="shared" si="65"/>
        <v>0</v>
      </c>
      <c r="BQ109" s="199">
        <f>INDEX('GDP deflators'!$C$6:$M$36,MATCH('Bottom-up tagging'!$D109,'GDP deflators'!$B$6:$B$36,),MATCH('Bottom-up tagging'!$E109,'GDP deflators'!$C$5:$L$5,))/100</f>
        <v>1.7574393077980395</v>
      </c>
      <c r="BR109" s="24">
        <v>5800000</v>
      </c>
    </row>
    <row r="110" spans="2:70" ht="26.15" hidden="1" customHeight="1">
      <c r="B110" s="110" t="s">
        <v>185</v>
      </c>
      <c r="C110" s="110" t="s">
        <v>189</v>
      </c>
      <c r="D110" s="110" t="s">
        <v>3994</v>
      </c>
      <c r="E110" s="103">
        <v>2019</v>
      </c>
      <c r="F110" s="108" t="s">
        <v>6465</v>
      </c>
      <c r="G110" s="111" t="s">
        <v>25</v>
      </c>
      <c r="H110" s="110" t="s">
        <v>10451</v>
      </c>
      <c r="I110" s="112">
        <f>IF(Dashboard!$B$16="Current USD",'Bottom-up tagging'!BR110,'Bottom-up tagging'!BR110/'Bottom-up tagging'!BQ110)</f>
        <v>3739306.6480230438</v>
      </c>
      <c r="J110" s="105" t="s">
        <v>10474</v>
      </c>
      <c r="K110" s="112"/>
      <c r="L110" s="135">
        <v>1</v>
      </c>
      <c r="M110" s="135">
        <v>1</v>
      </c>
      <c r="N110" s="112"/>
      <c r="O110" s="112"/>
      <c r="P110" s="112" t="str">
        <f>VLOOKUP(B110, 'Companies covered restructured'!$B$7:$K$470, 9, FALSE)</f>
        <v>Agri marketplaces</v>
      </c>
      <c r="Q110" s="112" t="str">
        <f>VLOOKUP(B110, 'Companies covered restructured'!$B$7:$K$470, 6, FALSE)</f>
        <v>#Crops(100)</v>
      </c>
      <c r="R110" s="112" t="str">
        <f t="shared" si="37"/>
        <v>#Corporate(100)</v>
      </c>
      <c r="S110" s="112" t="s">
        <v>11003</v>
      </c>
      <c r="T110" s="112" t="s">
        <v>10466</v>
      </c>
      <c r="U110" s="103" t="s">
        <v>10970</v>
      </c>
      <c r="V110" s="112" t="str">
        <f>VLOOKUP(P110, 'Bottom-up Tagging Assumptions'!$B$12:$F$39, 5, FALSE)</f>
        <v>#Process Innovation(100)</v>
      </c>
      <c r="W110" s="112" t="str">
        <f>VLOOKUP(B110, 'Companies covered restructured'!$B$7:$K$470, 7, FALSE)</f>
        <v>#Field/Animal Herd(100)</v>
      </c>
      <c r="X110" s="112" t="s">
        <v>10558</v>
      </c>
      <c r="Y110" s="212" t="str">
        <f>VLOOKUP(P110, 'Bottom-up Tagging Assumptions'!$B$12:$C$56, 2, FALSE)</f>
        <v>#Other Economic(P); Social(S)</v>
      </c>
      <c r="Z110" s="112" t="str">
        <f>VLOOKUP(P110, 'Bottom-up Tagging Assumptions'!$B$12:$F$56, 3, FALSE)</f>
        <v>#Improve price realization(P)</v>
      </c>
      <c r="AA110" s="112" t="str">
        <f>VLOOKUP(P110, 'Bottom-up Tagging Assumptions'!$B$12:$F$56, 4, FALSE)</f>
        <v>#Level 4(100)</v>
      </c>
      <c r="AB110" s="110" t="s">
        <v>812</v>
      </c>
      <c r="AC110" s="110"/>
      <c r="AD110" s="110" t="s">
        <v>813</v>
      </c>
      <c r="AE110" s="110" t="str">
        <f>VLOOKUP(AD110,  '1.2'!$B$7:$C$2033, 2, FALSE)</f>
        <v>CORPORATE_INVESTOR</v>
      </c>
      <c r="AF110" s="112">
        <v>294730</v>
      </c>
      <c r="AG110" s="110" t="s">
        <v>1634</v>
      </c>
      <c r="AH110" s="121">
        <f t="shared" si="38"/>
        <v>0</v>
      </c>
      <c r="AI110" s="121">
        <f t="shared" si="39"/>
        <v>0</v>
      </c>
      <c r="AJ110" s="121">
        <f t="shared" si="40"/>
        <v>1</v>
      </c>
      <c r="AK110" s="121">
        <f t="shared" si="41"/>
        <v>1</v>
      </c>
      <c r="AL110" s="121">
        <f t="shared" si="42"/>
        <v>0</v>
      </c>
      <c r="AM110" s="121">
        <f t="shared" si="43"/>
        <v>0</v>
      </c>
      <c r="AN110" s="121">
        <f t="shared" si="44"/>
        <v>1</v>
      </c>
      <c r="AO110" s="121">
        <f t="shared" si="45"/>
        <v>0</v>
      </c>
      <c r="AP110" s="22">
        <f t="shared" si="46"/>
        <v>0</v>
      </c>
      <c r="AQ110" s="22">
        <f t="shared" si="47"/>
        <v>3739306.6480230438</v>
      </c>
      <c r="AR110" s="22">
        <f t="shared" si="48"/>
        <v>0</v>
      </c>
      <c r="AS110" s="121" t="str">
        <f t="shared" si="49"/>
        <v>Crops</v>
      </c>
      <c r="AT110" s="121" t="str">
        <f t="shared" si="66"/>
        <v xml:space="preserve"> </v>
      </c>
      <c r="AU110" s="121" t="str">
        <f t="shared" si="66"/>
        <v xml:space="preserve"> </v>
      </c>
      <c r="AV110" s="121" t="str">
        <f t="shared" si="66"/>
        <v xml:space="preserve"> </v>
      </c>
      <c r="AW110" s="130" t="str">
        <f t="shared" si="67"/>
        <v>100</v>
      </c>
      <c r="AX110" s="130" t="str">
        <f t="shared" si="67"/>
        <v xml:space="preserve"> </v>
      </c>
      <c r="AY110" s="130" t="str">
        <f t="shared" si="67"/>
        <v xml:space="preserve"> </v>
      </c>
      <c r="AZ110" s="130" t="str">
        <f t="shared" si="67"/>
        <v xml:space="preserve"> </v>
      </c>
      <c r="BA110" s="121">
        <f t="shared" si="50"/>
        <v>3739306.6480230438</v>
      </c>
      <c r="BB110" s="121">
        <f t="shared" si="51"/>
        <v>0</v>
      </c>
      <c r="BC110" s="121">
        <f t="shared" si="52"/>
        <v>0</v>
      </c>
      <c r="BD110" s="121">
        <f t="shared" si="53"/>
        <v>0</v>
      </c>
      <c r="BE110" s="121">
        <f t="shared" si="54"/>
        <v>0</v>
      </c>
      <c r="BF110" s="121">
        <f t="shared" si="55"/>
        <v>0</v>
      </c>
      <c r="BG110" s="121">
        <f t="shared" si="56"/>
        <v>0</v>
      </c>
      <c r="BH110" s="121">
        <f t="shared" si="57"/>
        <v>0</v>
      </c>
      <c r="BI110" s="121">
        <f t="shared" si="58"/>
        <v>3739306.6480230438</v>
      </c>
      <c r="BJ110" s="121">
        <f t="shared" si="59"/>
        <v>3739306.6480230438</v>
      </c>
      <c r="BK110" s="121">
        <f t="shared" si="60"/>
        <v>3739306.6480230438</v>
      </c>
      <c r="BL110" s="121">
        <f t="shared" si="61"/>
        <v>3739306.6480230438</v>
      </c>
      <c r="BM110" s="121">
        <f t="shared" si="62"/>
        <v>0</v>
      </c>
      <c r="BN110" s="121">
        <f t="shared" si="63"/>
        <v>0</v>
      </c>
      <c r="BO110" s="121">
        <f t="shared" si="64"/>
        <v>0</v>
      </c>
      <c r="BP110" s="121">
        <f t="shared" si="65"/>
        <v>0</v>
      </c>
      <c r="BQ110" s="199">
        <f>INDEX('GDP deflators'!$C$6:$M$36,MATCH('Bottom-up tagging'!$D110,'GDP deflators'!$B$6:$B$36,),MATCH('Bottom-up tagging'!$E110,'GDP deflators'!$C$5:$L$5,))/100</f>
        <v>1.5094883975306472</v>
      </c>
      <c r="BR110" s="24">
        <v>5644440</v>
      </c>
    </row>
    <row r="111" spans="2:70" ht="26.15" hidden="1" customHeight="1">
      <c r="B111" s="110" t="s">
        <v>203</v>
      </c>
      <c r="C111" s="110" t="s">
        <v>208</v>
      </c>
      <c r="D111" s="110" t="s">
        <v>5277</v>
      </c>
      <c r="E111" s="103">
        <v>2020</v>
      </c>
      <c r="F111" s="108" t="s">
        <v>7631</v>
      </c>
      <c r="G111" s="111" t="s">
        <v>109</v>
      </c>
      <c r="H111" s="110" t="s">
        <v>10451</v>
      </c>
      <c r="I111" s="212">
        <v>0</v>
      </c>
      <c r="J111" s="118" t="s">
        <v>10474</v>
      </c>
      <c r="K111" s="112"/>
      <c r="L111" s="135">
        <v>1</v>
      </c>
      <c r="M111" s="135">
        <v>1</v>
      </c>
      <c r="N111" s="112"/>
      <c r="O111" s="112"/>
      <c r="P111" s="112" t="str">
        <f>VLOOKUP(B111, 'Companies covered restructured'!$B$7:$K$470, 9, FALSE)</f>
        <v>Farmer engagement platforms (including marketplaces and information platforms)</v>
      </c>
      <c r="Q111" s="112" t="str">
        <f>VLOOKUP(B111, 'Companies covered restructured'!$B$7:$K$470, 6, FALSE)</f>
        <v>#Fisheries and Aquaculture(100)</v>
      </c>
      <c r="R111" s="112" t="str">
        <f t="shared" si="37"/>
        <v>#Investment Fund(100)</v>
      </c>
      <c r="S111" s="112" t="s">
        <v>11003</v>
      </c>
      <c r="T111" s="112" t="s">
        <v>10466</v>
      </c>
      <c r="U111" s="213" t="s">
        <v>10970</v>
      </c>
      <c r="V111" s="112" t="str">
        <f>VLOOKUP(P111, 'Bottom-up Tagging Assumptions'!$B$12:$F$39, 5, FALSE)</f>
        <v>#Process Innovation(100)</v>
      </c>
      <c r="W111" s="112" t="str">
        <f>VLOOKUP(B111, 'Companies covered restructured'!$B$7:$K$470, 7, FALSE)</f>
        <v>#Field/Animal Herd(100)</v>
      </c>
      <c r="X111" s="112" t="s">
        <v>10558</v>
      </c>
      <c r="Y111" s="112" t="str">
        <f>VLOOKUP(P111, '[2]Bottom-up Tagging Assumptions'!$B$12:$F$56, 2, FALSE)</f>
        <v>#Other Economic(P); #Productivity(S)</v>
      </c>
      <c r="Z111" s="112" t="str">
        <f>VLOOKUP(P111, 'Bottom-up Tagging Assumptions'!$B$12:$F$56, 3, FALSE)</f>
        <v>#Improve price realization(P); #Increasing crop or animal yield(S)</v>
      </c>
      <c r="AA111" s="112" t="str">
        <f>VLOOKUP(P111, 'Bottom-up Tagging Assumptions'!$B$12:$F$56, 4, FALSE)</f>
        <v>#Level 4(100)</v>
      </c>
      <c r="AB111" s="110" t="s">
        <v>205</v>
      </c>
      <c r="AC111" s="110"/>
      <c r="AD111" s="110" t="s">
        <v>206</v>
      </c>
      <c r="AE111" s="110" t="str">
        <f>VLOOKUP(AD111,  '1.2'!$B$7:$C$2033, 2, FALSE)</f>
        <v>FUND</v>
      </c>
      <c r="AF111" s="112">
        <v>627744</v>
      </c>
      <c r="AG111" s="110" t="s">
        <v>1644</v>
      </c>
      <c r="AH111" s="121">
        <f t="shared" si="38"/>
        <v>0</v>
      </c>
      <c r="AI111" s="121">
        <f t="shared" si="39"/>
        <v>1</v>
      </c>
      <c r="AJ111" s="121">
        <f t="shared" si="40"/>
        <v>1</v>
      </c>
      <c r="AK111" s="121">
        <f t="shared" si="41"/>
        <v>0</v>
      </c>
      <c r="AL111" s="121">
        <f t="shared" si="42"/>
        <v>0</v>
      </c>
      <c r="AM111" s="121">
        <f t="shared" si="43"/>
        <v>0</v>
      </c>
      <c r="AN111" s="121">
        <f t="shared" si="44"/>
        <v>0</v>
      </c>
      <c r="AO111" s="121">
        <f t="shared" si="45"/>
        <v>0</v>
      </c>
      <c r="AP111" s="22">
        <f t="shared" si="46"/>
        <v>0</v>
      </c>
      <c r="AQ111" s="22">
        <f t="shared" si="47"/>
        <v>0</v>
      </c>
      <c r="AR111" s="22">
        <f t="shared" si="48"/>
        <v>0</v>
      </c>
      <c r="AS111" s="121" t="str">
        <f t="shared" si="49"/>
        <v>Fisheries and Aquaculture</v>
      </c>
      <c r="AT111" s="121" t="str">
        <f t="shared" si="66"/>
        <v xml:space="preserve"> </v>
      </c>
      <c r="AU111" s="121" t="str">
        <f t="shared" si="66"/>
        <v xml:space="preserve"> </v>
      </c>
      <c r="AV111" s="121" t="str">
        <f t="shared" si="66"/>
        <v xml:space="preserve"> </v>
      </c>
      <c r="AW111" s="130" t="str">
        <f t="shared" si="67"/>
        <v>100</v>
      </c>
      <c r="AX111" s="130" t="str">
        <f t="shared" si="67"/>
        <v xml:space="preserve"> </v>
      </c>
      <c r="AY111" s="130" t="str">
        <f t="shared" si="67"/>
        <v xml:space="preserve"> </v>
      </c>
      <c r="AZ111" s="130" t="str">
        <f t="shared" si="67"/>
        <v xml:space="preserve"> </v>
      </c>
      <c r="BA111" s="121">
        <f t="shared" si="50"/>
        <v>0</v>
      </c>
      <c r="BB111" s="121">
        <f t="shared" si="51"/>
        <v>0</v>
      </c>
      <c r="BC111" s="121">
        <f t="shared" si="52"/>
        <v>0</v>
      </c>
      <c r="BD111" s="121">
        <f t="shared" si="53"/>
        <v>0</v>
      </c>
      <c r="BE111" s="121">
        <f t="shared" si="54"/>
        <v>0</v>
      </c>
      <c r="BF111" s="121">
        <f t="shared" si="55"/>
        <v>0</v>
      </c>
      <c r="BG111" s="121">
        <f t="shared" si="56"/>
        <v>0</v>
      </c>
      <c r="BH111" s="121">
        <f t="shared" si="57"/>
        <v>0</v>
      </c>
      <c r="BI111" s="121">
        <f t="shared" si="58"/>
        <v>0</v>
      </c>
      <c r="BJ111" s="121">
        <f t="shared" si="59"/>
        <v>0</v>
      </c>
      <c r="BK111" s="121">
        <f t="shared" si="60"/>
        <v>0</v>
      </c>
      <c r="BL111" s="121">
        <f t="shared" si="61"/>
        <v>0</v>
      </c>
      <c r="BM111" s="121">
        <f t="shared" si="62"/>
        <v>0</v>
      </c>
      <c r="BN111" s="121">
        <f t="shared" si="63"/>
        <v>0</v>
      </c>
      <c r="BO111" s="121">
        <f t="shared" si="64"/>
        <v>0</v>
      </c>
      <c r="BP111" s="121">
        <f t="shared" si="65"/>
        <v>0</v>
      </c>
      <c r="BQ111" s="199" t="e">
        <f>INDEX('GDP deflators'!$C$6:$M$36,MATCH('Bottom-up tagging'!$D111,'GDP deflators'!$B$6:$B$36,),MATCH('Bottom-up tagging'!$E111,'GDP deflators'!$C$5:$L$5,))/100</f>
        <v>#N/A</v>
      </c>
      <c r="BR111" s="24">
        <v>5500000</v>
      </c>
    </row>
    <row r="112" spans="2:70" ht="26.15" hidden="1" customHeight="1">
      <c r="B112" s="110" t="s">
        <v>185</v>
      </c>
      <c r="C112" s="110" t="s">
        <v>189</v>
      </c>
      <c r="D112" s="110" t="s">
        <v>3994</v>
      </c>
      <c r="E112" s="103">
        <v>2020</v>
      </c>
      <c r="F112" s="108" t="s">
        <v>6465</v>
      </c>
      <c r="G112" s="111" t="s">
        <v>289</v>
      </c>
      <c r="H112" s="110" t="s">
        <v>10451</v>
      </c>
      <c r="I112" s="212">
        <v>0</v>
      </c>
      <c r="J112" s="118" t="s">
        <v>10474</v>
      </c>
      <c r="K112" s="112"/>
      <c r="L112" s="135">
        <v>1</v>
      </c>
      <c r="M112" s="135">
        <v>1</v>
      </c>
      <c r="N112" s="112"/>
      <c r="O112" s="112"/>
      <c r="P112" s="112" t="str">
        <f>VLOOKUP(B112, 'Companies covered restructured'!$B$7:$K$470, 9, FALSE)</f>
        <v>Agri marketplaces</v>
      </c>
      <c r="Q112" s="112" t="str">
        <f>VLOOKUP(B112, 'Companies covered restructured'!$B$7:$K$470, 6, FALSE)</f>
        <v>#Crops(100)</v>
      </c>
      <c r="R112" s="112" t="str">
        <f t="shared" si="37"/>
        <v>N/A</v>
      </c>
      <c r="S112" s="112" t="s">
        <v>11003</v>
      </c>
      <c r="T112" s="112" t="s">
        <v>10464</v>
      </c>
      <c r="U112" s="103" t="s">
        <v>10970</v>
      </c>
      <c r="V112" s="112" t="str">
        <f>VLOOKUP(P112, 'Bottom-up Tagging Assumptions'!$B$12:$F$39, 5, FALSE)</f>
        <v>#Process Innovation(100)</v>
      </c>
      <c r="W112" s="112" t="str">
        <f>VLOOKUP(B112, 'Companies covered restructured'!$B$7:$K$470, 7, FALSE)</f>
        <v>#Field/Animal Herd(100)</v>
      </c>
      <c r="X112" s="112" t="s">
        <v>10558</v>
      </c>
      <c r="Y112" s="112" t="str">
        <f>VLOOKUP(P112, '[2]Bottom-up Tagging Assumptions'!$B$12:$F$56, 2, FALSE)</f>
        <v>#Other Economic(P); Social(S)</v>
      </c>
      <c r="Z112" s="112" t="str">
        <f>VLOOKUP(P112, 'Bottom-up Tagging Assumptions'!$B$12:$F$56, 3, FALSE)</f>
        <v>#Improve price realization(P)</v>
      </c>
      <c r="AA112" s="112" t="str">
        <f>VLOOKUP(P112, 'Bottom-up Tagging Assumptions'!$B$12:$F$56, 4, FALSE)</f>
        <v>#Level 4(100)</v>
      </c>
      <c r="AB112" s="110" t="s">
        <v>320</v>
      </c>
      <c r="AC112" s="110"/>
      <c r="AD112" s="110"/>
      <c r="AE112" s="110" t="s">
        <v>10558</v>
      </c>
      <c r="AF112" s="112">
        <v>41586600</v>
      </c>
      <c r="AG112" s="110" t="s">
        <v>1657</v>
      </c>
      <c r="AH112" s="121">
        <f t="shared" si="38"/>
        <v>0</v>
      </c>
      <c r="AI112" s="121">
        <f t="shared" si="39"/>
        <v>0</v>
      </c>
      <c r="AJ112" s="121">
        <f t="shared" si="40"/>
        <v>1</v>
      </c>
      <c r="AK112" s="121">
        <f t="shared" si="41"/>
        <v>1</v>
      </c>
      <c r="AL112" s="121">
        <f t="shared" si="42"/>
        <v>0</v>
      </c>
      <c r="AM112" s="121">
        <f t="shared" si="43"/>
        <v>0</v>
      </c>
      <c r="AN112" s="121">
        <f t="shared" si="44"/>
        <v>1</v>
      </c>
      <c r="AO112" s="121">
        <f t="shared" si="45"/>
        <v>0</v>
      </c>
      <c r="AP112" s="22">
        <f t="shared" si="46"/>
        <v>0</v>
      </c>
      <c r="AQ112" s="22">
        <f t="shared" si="47"/>
        <v>0</v>
      </c>
      <c r="AR112" s="22">
        <f t="shared" si="48"/>
        <v>0</v>
      </c>
      <c r="AS112" s="121" t="str">
        <f t="shared" si="49"/>
        <v>Crops</v>
      </c>
      <c r="AT112" s="121" t="str">
        <f t="shared" ref="AT112:AV131" si="68">IFERROR(IFERROR(MID($Q112,FIND("~",SUBSTITUTE($Q112,";","~",AT$10-1))+3,(FIND("~",SUBSTITUTE($Q112,";","~",AT$10))+0-(FIND("~",SUBSTITUTE($Q112,";","~",AT$10-1))+2))-6),MID($Q112,FIND("~",SUBSTITUTE($Q112,";","~",AT$10-1))+3,(LEN($Q112)-6-FIND("~",SUBSTITUTE($Q112,";","~",AT$10-1))-1)))," ")</f>
        <v xml:space="preserve"> </v>
      </c>
      <c r="AU112" s="121" t="str">
        <f t="shared" si="68"/>
        <v xml:space="preserve"> </v>
      </c>
      <c r="AV112" s="121" t="str">
        <f t="shared" si="68"/>
        <v xml:space="preserve"> </v>
      </c>
      <c r="AW112" s="130" t="str">
        <f t="shared" ref="AW112:AZ131" si="69">IFERROR(MID($Q112,FIND("~",SUBSTITUTE($Q112,"(","~",AW$10))+1,3)," ")</f>
        <v>100</v>
      </c>
      <c r="AX112" s="130" t="str">
        <f t="shared" si="69"/>
        <v xml:space="preserve"> </v>
      </c>
      <c r="AY112" s="130" t="str">
        <f t="shared" si="69"/>
        <v xml:space="preserve"> </v>
      </c>
      <c r="AZ112" s="130" t="str">
        <f t="shared" si="69"/>
        <v xml:space="preserve"> </v>
      </c>
      <c r="BA112" s="121">
        <f t="shared" si="50"/>
        <v>0</v>
      </c>
      <c r="BB112" s="121">
        <f t="shared" si="51"/>
        <v>0</v>
      </c>
      <c r="BC112" s="121">
        <f t="shared" si="52"/>
        <v>0</v>
      </c>
      <c r="BD112" s="121">
        <f t="shared" si="53"/>
        <v>0</v>
      </c>
      <c r="BE112" s="121">
        <f t="shared" si="54"/>
        <v>0</v>
      </c>
      <c r="BF112" s="121">
        <f t="shared" si="55"/>
        <v>0</v>
      </c>
      <c r="BG112" s="121">
        <f t="shared" si="56"/>
        <v>0</v>
      </c>
      <c r="BH112" s="121">
        <f t="shared" si="57"/>
        <v>0</v>
      </c>
      <c r="BI112" s="121">
        <f t="shared" si="58"/>
        <v>0</v>
      </c>
      <c r="BJ112" s="121">
        <f t="shared" si="59"/>
        <v>0</v>
      </c>
      <c r="BK112" s="121">
        <f t="shared" si="60"/>
        <v>0</v>
      </c>
      <c r="BL112" s="121">
        <f t="shared" si="61"/>
        <v>0</v>
      </c>
      <c r="BM112" s="121">
        <f t="shared" si="62"/>
        <v>0</v>
      </c>
      <c r="BN112" s="121">
        <f t="shared" si="63"/>
        <v>0</v>
      </c>
      <c r="BO112" s="121">
        <f t="shared" si="64"/>
        <v>0</v>
      </c>
      <c r="BP112" s="121">
        <f t="shared" si="65"/>
        <v>0</v>
      </c>
      <c r="BQ112" s="199" t="e">
        <f>INDEX('GDP deflators'!$C$6:$M$36,MATCH('Bottom-up tagging'!$D112,'GDP deflators'!$B$6:$B$36,),MATCH('Bottom-up tagging'!$E112,'GDP deflators'!$C$5:$L$5,))/100</f>
        <v>#N/A</v>
      </c>
      <c r="BR112" s="24">
        <v>5500000</v>
      </c>
    </row>
    <row r="113" spans="2:70" ht="26.15" hidden="1" customHeight="1">
      <c r="B113" s="110" t="s">
        <v>398</v>
      </c>
      <c r="C113" s="110" t="s">
        <v>402</v>
      </c>
      <c r="D113" s="110" t="s">
        <v>3994</v>
      </c>
      <c r="E113" s="103">
        <v>2020</v>
      </c>
      <c r="F113" s="108" t="s">
        <v>5095</v>
      </c>
      <c r="G113" s="111" t="s">
        <v>109</v>
      </c>
      <c r="H113" s="110" t="s">
        <v>10451</v>
      </c>
      <c r="I113" s="212">
        <v>0</v>
      </c>
      <c r="J113" s="105" t="s">
        <v>10474</v>
      </c>
      <c r="K113" s="112"/>
      <c r="L113" s="135">
        <v>1</v>
      </c>
      <c r="M113" s="135">
        <v>1</v>
      </c>
      <c r="N113" s="112"/>
      <c r="O113" s="112"/>
      <c r="P113" s="112" t="str">
        <f>VLOOKUP(B113, 'Companies covered restructured'!$B$7:$K$470, 9, FALSE)</f>
        <v>Supply chain technologies</v>
      </c>
      <c r="Q113" s="112" t="str">
        <f>VLOOKUP(B113, 'Companies covered restructured'!$B$7:$K$470, 6, FALSE)</f>
        <v>#Crops(100)</v>
      </c>
      <c r="R113" s="112" t="str">
        <f t="shared" si="37"/>
        <v>#Investment Fund(100)</v>
      </c>
      <c r="S113" s="112" t="s">
        <v>11003</v>
      </c>
      <c r="T113" s="112" t="s">
        <v>10466</v>
      </c>
      <c r="U113" s="103" t="s">
        <v>10970</v>
      </c>
      <c r="V113" s="112" t="str">
        <f>VLOOKUP(P113, 'Bottom-up Tagging Assumptions'!$B$12:$F$39, 5, FALSE)</f>
        <v>#Process Innovation(100)</v>
      </c>
      <c r="W113" s="112" t="str">
        <f>VLOOKUP(B113, 'Companies covered restructured'!$B$7:$K$470, 7, FALSE)</f>
        <v>#Farm/Household(100)</v>
      </c>
      <c r="X113" s="112" t="s">
        <v>10558</v>
      </c>
      <c r="Y113" s="112" t="str">
        <f>VLOOKUP(P113, '[2]Bottom-up Tagging Assumptions'!$B$12:$F$56, 2, FALSE)</f>
        <v>#Other Economic(P); Social(S)</v>
      </c>
      <c r="Z113" s="112" t="str">
        <f>VLOOKUP(P113, 'Bottom-up Tagging Assumptions'!$B$12:$F$56, 3, FALSE)</f>
        <v>#Improve price realization(P)</v>
      </c>
      <c r="AA113" s="112" t="str">
        <f>VLOOKUP(P113, 'Bottom-up Tagging Assumptions'!$B$12:$F$56, 4, FALSE)</f>
        <v>#Level 3(100)</v>
      </c>
      <c r="AB113" s="110" t="s">
        <v>534</v>
      </c>
      <c r="AC113" s="110"/>
      <c r="AD113" s="110" t="s">
        <v>535</v>
      </c>
      <c r="AE113" s="110" t="s">
        <v>3114</v>
      </c>
      <c r="AF113" s="112">
        <v>36777</v>
      </c>
      <c r="AG113" s="110" t="s">
        <v>1663</v>
      </c>
      <c r="AH113" s="121">
        <f t="shared" si="38"/>
        <v>0</v>
      </c>
      <c r="AI113" s="121">
        <f t="shared" si="39"/>
        <v>0</v>
      </c>
      <c r="AJ113" s="121">
        <f t="shared" si="40"/>
        <v>1</v>
      </c>
      <c r="AK113" s="121">
        <f t="shared" si="41"/>
        <v>1</v>
      </c>
      <c r="AL113" s="121">
        <f t="shared" si="42"/>
        <v>0</v>
      </c>
      <c r="AM113" s="121">
        <f t="shared" si="43"/>
        <v>0</v>
      </c>
      <c r="AN113" s="121">
        <f t="shared" si="44"/>
        <v>1</v>
      </c>
      <c r="AO113" s="121">
        <f t="shared" si="45"/>
        <v>0</v>
      </c>
      <c r="AP113" s="22">
        <f t="shared" si="46"/>
        <v>0</v>
      </c>
      <c r="AQ113" s="22">
        <f t="shared" si="47"/>
        <v>0</v>
      </c>
      <c r="AR113" s="22">
        <f t="shared" si="48"/>
        <v>0</v>
      </c>
      <c r="AS113" s="121" t="str">
        <f t="shared" si="49"/>
        <v>Crops</v>
      </c>
      <c r="AT113" s="121" t="str">
        <f t="shared" si="68"/>
        <v xml:space="preserve"> </v>
      </c>
      <c r="AU113" s="121" t="str">
        <f t="shared" si="68"/>
        <v xml:space="preserve"> </v>
      </c>
      <c r="AV113" s="121" t="str">
        <f t="shared" si="68"/>
        <v xml:space="preserve"> </v>
      </c>
      <c r="AW113" s="130" t="str">
        <f t="shared" si="69"/>
        <v>100</v>
      </c>
      <c r="AX113" s="130" t="str">
        <f t="shared" si="69"/>
        <v xml:space="preserve"> </v>
      </c>
      <c r="AY113" s="130" t="str">
        <f t="shared" si="69"/>
        <v xml:space="preserve"> </v>
      </c>
      <c r="AZ113" s="130" t="str">
        <f t="shared" si="69"/>
        <v xml:space="preserve"> </v>
      </c>
      <c r="BA113" s="121">
        <f t="shared" si="50"/>
        <v>0</v>
      </c>
      <c r="BB113" s="121">
        <f t="shared" si="51"/>
        <v>0</v>
      </c>
      <c r="BC113" s="121">
        <f t="shared" si="52"/>
        <v>0</v>
      </c>
      <c r="BD113" s="121">
        <f t="shared" si="53"/>
        <v>0</v>
      </c>
      <c r="BE113" s="121">
        <f t="shared" si="54"/>
        <v>0</v>
      </c>
      <c r="BF113" s="121">
        <f t="shared" si="55"/>
        <v>0</v>
      </c>
      <c r="BG113" s="121">
        <f t="shared" si="56"/>
        <v>0</v>
      </c>
      <c r="BH113" s="121">
        <f t="shared" si="57"/>
        <v>0</v>
      </c>
      <c r="BI113" s="121">
        <f t="shared" si="58"/>
        <v>0</v>
      </c>
      <c r="BJ113" s="121">
        <f t="shared" si="59"/>
        <v>0</v>
      </c>
      <c r="BK113" s="121">
        <f t="shared" si="60"/>
        <v>0</v>
      </c>
      <c r="BL113" s="121">
        <f t="shared" si="61"/>
        <v>0</v>
      </c>
      <c r="BM113" s="121">
        <f t="shared" si="62"/>
        <v>0</v>
      </c>
      <c r="BN113" s="121">
        <f t="shared" si="63"/>
        <v>0</v>
      </c>
      <c r="BO113" s="121">
        <f t="shared" si="64"/>
        <v>0</v>
      </c>
      <c r="BP113" s="121">
        <f t="shared" si="65"/>
        <v>0</v>
      </c>
      <c r="BQ113" s="199" t="e">
        <f>INDEX('GDP deflators'!$C$6:$M$36,MATCH('Bottom-up tagging'!$D113,'GDP deflators'!$B$6:$B$36,),MATCH('Bottom-up tagging'!$E113,'GDP deflators'!$C$5:$L$5,))/100</f>
        <v>#N/A</v>
      </c>
      <c r="BR113" s="24">
        <v>5500000</v>
      </c>
    </row>
    <row r="114" spans="2:70" ht="26.15" hidden="1" customHeight="1">
      <c r="B114" s="110" t="s">
        <v>96</v>
      </c>
      <c r="C114" s="110" t="s">
        <v>100</v>
      </c>
      <c r="D114" s="110" t="s">
        <v>3994</v>
      </c>
      <c r="E114" s="103">
        <v>2017</v>
      </c>
      <c r="F114" s="108" t="s">
        <v>8260</v>
      </c>
      <c r="G114" s="111" t="s">
        <v>25</v>
      </c>
      <c r="H114" s="110" t="s">
        <v>10451</v>
      </c>
      <c r="I114" s="112">
        <f>IF(Dashboard!$B$16="Current USD",'Bottom-up tagging'!BR114,'Bottom-up tagging'!BR114/'Bottom-up tagging'!BQ114)</f>
        <v>3897641.407593823</v>
      </c>
      <c r="J114" s="105" t="s">
        <v>10474</v>
      </c>
      <c r="K114" s="112"/>
      <c r="L114" s="135">
        <v>1</v>
      </c>
      <c r="M114" s="135">
        <v>1</v>
      </c>
      <c r="N114" s="112"/>
      <c r="O114" s="112"/>
      <c r="P114" s="112" t="str">
        <f>VLOOKUP(B114, 'Companies covered restructured'!$B$7:$K$470, 9, FALSE)</f>
        <v>Agri marketplaces</v>
      </c>
      <c r="Q114" s="112" t="str">
        <f>VLOOKUP(B114, 'Companies covered restructured'!$B$7:$K$470, 6, FALSE)</f>
        <v>#Crops(100)</v>
      </c>
      <c r="R114" s="112" t="str">
        <f t="shared" si="37"/>
        <v>#Investment Fund(100)</v>
      </c>
      <c r="S114" s="112" t="s">
        <v>11003</v>
      </c>
      <c r="T114" s="112" t="s">
        <v>10466</v>
      </c>
      <c r="U114" s="103" t="s">
        <v>10970</v>
      </c>
      <c r="V114" s="112" t="str">
        <f>VLOOKUP(P114, 'Bottom-up Tagging Assumptions'!$B$12:$F$39, 5, FALSE)</f>
        <v>#Process Innovation(100)</v>
      </c>
      <c r="W114" s="112" t="str">
        <f>VLOOKUP(B114, 'Companies covered restructured'!$B$7:$K$470, 7, FALSE)</f>
        <v>#Farm/Household(100)</v>
      </c>
      <c r="X114" s="112" t="s">
        <v>10558</v>
      </c>
      <c r="Y114" s="212" t="str">
        <f>VLOOKUP(P114, 'Bottom-up Tagging Assumptions'!$B$12:$C$56, 2, FALSE)</f>
        <v>#Other Economic(P); Social(S)</v>
      </c>
      <c r="Z114" s="112" t="str">
        <f>VLOOKUP(P114, 'Bottom-up Tagging Assumptions'!$B$12:$F$56, 3, FALSE)</f>
        <v>#Improve price realization(P)</v>
      </c>
      <c r="AA114" s="112" t="str">
        <f>VLOOKUP(P114, 'Bottom-up Tagging Assumptions'!$B$12:$F$56, 4, FALSE)</f>
        <v>#Level 4(100)</v>
      </c>
      <c r="AB114" s="110" t="s">
        <v>2144</v>
      </c>
      <c r="AC114" s="110" t="s">
        <v>1518</v>
      </c>
      <c r="AD114" s="110" t="s">
        <v>1308</v>
      </c>
      <c r="AE114" s="110" t="str">
        <f>VLOOKUP(AD114,  '1.2'!$B$7:$C$2033, 2, FALSE)</f>
        <v>FUND</v>
      </c>
      <c r="AF114" s="112">
        <v>1150000</v>
      </c>
      <c r="AG114" s="110" t="s">
        <v>1585</v>
      </c>
      <c r="AH114" s="121">
        <f t="shared" si="38"/>
        <v>0</v>
      </c>
      <c r="AI114" s="121">
        <f t="shared" si="39"/>
        <v>0</v>
      </c>
      <c r="AJ114" s="121">
        <f t="shared" si="40"/>
        <v>1</v>
      </c>
      <c r="AK114" s="121">
        <f t="shared" si="41"/>
        <v>1</v>
      </c>
      <c r="AL114" s="121">
        <f t="shared" si="42"/>
        <v>0</v>
      </c>
      <c r="AM114" s="121">
        <f t="shared" si="43"/>
        <v>0</v>
      </c>
      <c r="AN114" s="121">
        <f t="shared" si="44"/>
        <v>1</v>
      </c>
      <c r="AO114" s="121">
        <f t="shared" si="45"/>
        <v>0</v>
      </c>
      <c r="AP114" s="22">
        <f t="shared" si="46"/>
        <v>0</v>
      </c>
      <c r="AQ114" s="22">
        <f t="shared" si="47"/>
        <v>3897641.407593823</v>
      </c>
      <c r="AR114" s="22">
        <f t="shared" si="48"/>
        <v>0</v>
      </c>
      <c r="AS114" s="121" t="str">
        <f t="shared" si="49"/>
        <v>Crops</v>
      </c>
      <c r="AT114" s="121" t="str">
        <f t="shared" si="68"/>
        <v xml:space="preserve"> </v>
      </c>
      <c r="AU114" s="121" t="str">
        <f t="shared" si="68"/>
        <v xml:space="preserve"> </v>
      </c>
      <c r="AV114" s="121" t="str">
        <f t="shared" si="68"/>
        <v xml:space="preserve"> </v>
      </c>
      <c r="AW114" s="130" t="str">
        <f t="shared" si="69"/>
        <v>100</v>
      </c>
      <c r="AX114" s="130" t="str">
        <f t="shared" si="69"/>
        <v xml:space="preserve"> </v>
      </c>
      <c r="AY114" s="130" t="str">
        <f t="shared" si="69"/>
        <v xml:space="preserve"> </v>
      </c>
      <c r="AZ114" s="130" t="str">
        <f t="shared" si="69"/>
        <v xml:space="preserve"> </v>
      </c>
      <c r="BA114" s="121">
        <f t="shared" si="50"/>
        <v>3897641.407593823</v>
      </c>
      <c r="BB114" s="121">
        <f t="shared" si="51"/>
        <v>0</v>
      </c>
      <c r="BC114" s="121">
        <f t="shared" si="52"/>
        <v>0</v>
      </c>
      <c r="BD114" s="121">
        <f t="shared" si="53"/>
        <v>0</v>
      </c>
      <c r="BE114" s="121">
        <f t="shared" si="54"/>
        <v>0</v>
      </c>
      <c r="BF114" s="121">
        <f t="shared" si="55"/>
        <v>0</v>
      </c>
      <c r="BG114" s="121">
        <f t="shared" si="56"/>
        <v>0</v>
      </c>
      <c r="BH114" s="121">
        <f t="shared" si="57"/>
        <v>0</v>
      </c>
      <c r="BI114" s="121">
        <f t="shared" si="58"/>
        <v>3897641.407593823</v>
      </c>
      <c r="BJ114" s="121">
        <f t="shared" si="59"/>
        <v>3897641.407593823</v>
      </c>
      <c r="BK114" s="121">
        <f t="shared" si="60"/>
        <v>3897641.407593823</v>
      </c>
      <c r="BL114" s="121">
        <f t="shared" si="61"/>
        <v>3897641.407593823</v>
      </c>
      <c r="BM114" s="121">
        <f t="shared" si="62"/>
        <v>0</v>
      </c>
      <c r="BN114" s="121">
        <f t="shared" si="63"/>
        <v>0</v>
      </c>
      <c r="BO114" s="121">
        <f t="shared" si="64"/>
        <v>0</v>
      </c>
      <c r="BP114" s="121">
        <f t="shared" si="65"/>
        <v>0</v>
      </c>
      <c r="BQ114" s="199">
        <f>INDEX('GDP deflators'!$C$6:$M$36,MATCH('Bottom-up tagging'!$D114,'GDP deflators'!$B$6:$B$36,),MATCH('Bottom-up tagging'!$E114,'GDP deflators'!$C$5:$L$5,))/100</f>
        <v>1.4111098032990623</v>
      </c>
      <c r="BR114" s="24">
        <v>5500000</v>
      </c>
    </row>
    <row r="115" spans="2:70" ht="26.15" hidden="1" customHeight="1">
      <c r="B115" s="110" t="s">
        <v>378</v>
      </c>
      <c r="C115" s="110" t="s">
        <v>383</v>
      </c>
      <c r="D115" s="110" t="s">
        <v>6297</v>
      </c>
      <c r="E115" s="103">
        <v>2020</v>
      </c>
      <c r="F115" s="108" t="s">
        <v>6906</v>
      </c>
      <c r="G115" s="111" t="s">
        <v>25</v>
      </c>
      <c r="H115" s="110" t="s">
        <v>10451</v>
      </c>
      <c r="I115" s="212">
        <v>0</v>
      </c>
      <c r="J115" s="105" t="s">
        <v>10474</v>
      </c>
      <c r="K115" s="112"/>
      <c r="L115" s="135">
        <v>1</v>
      </c>
      <c r="M115" s="135">
        <v>1</v>
      </c>
      <c r="N115" s="112"/>
      <c r="O115" s="112"/>
      <c r="P115" s="112" t="str">
        <f>VLOOKUP(B115, 'Companies covered restructured'!$B$7:$K$470, 9, FALSE)</f>
        <v>AI/analytics based advisory algorithms (incl. weather)</v>
      </c>
      <c r="Q115" s="112" t="str">
        <f>VLOOKUP(B115, 'Companies covered restructured'!$B$7:$K$470, 6, FALSE)</f>
        <v>#Crops(100)</v>
      </c>
      <c r="R115" s="112" t="str">
        <f t="shared" si="37"/>
        <v>#Investment Fund(100)</v>
      </c>
      <c r="S115" s="112" t="s">
        <v>11003</v>
      </c>
      <c r="T115" s="112" t="s">
        <v>10466</v>
      </c>
      <c r="U115" s="103" t="s">
        <v>10970</v>
      </c>
      <c r="V115" s="112" t="str">
        <f>VLOOKUP(P115, 'Bottom-up Tagging Assumptions'!$B$12:$F$39, 5, FALSE)</f>
        <v>#Science &amp; tech(100)</v>
      </c>
      <c r="W115" s="112" t="str">
        <f>VLOOKUP(B115, 'Companies covered restructured'!$B$7:$K$470, 7, FALSE)</f>
        <v>#Field/Animal Herd(100)</v>
      </c>
      <c r="X115" s="112" t="s">
        <v>10558</v>
      </c>
      <c r="Y115" s="112" t="str">
        <f>VLOOKUP(P115, '[2]Bottom-up Tagging Assumptions'!$B$12:$F$56, 2, FALSE)</f>
        <v>#Other Economic(P); #Productivity(S)</v>
      </c>
      <c r="Z115" s="112" t="str">
        <f>VLOOKUP(P115, 'Bottom-up Tagging Assumptions'!$B$12:$F$56, 3, FALSE)</f>
        <v>#Increasing output per unit input(P); #Increasing crop or animal yield(S)</v>
      </c>
      <c r="AA115" s="112" t="str">
        <f>VLOOKUP(P115, 'Bottom-up Tagging Assumptions'!$B$12:$F$56, 4, FALSE)</f>
        <v>#Level 1(100)</v>
      </c>
      <c r="AB115" s="110" t="s">
        <v>380</v>
      </c>
      <c r="AC115" s="110"/>
      <c r="AD115" s="110" t="s">
        <v>381</v>
      </c>
      <c r="AE115" s="110" t="str">
        <f>VLOOKUP(AD115,  '1.2'!$B$7:$C$2033, 2, FALSE)</f>
        <v>FUND</v>
      </c>
      <c r="AF115" s="112">
        <v>951381</v>
      </c>
      <c r="AG115" s="110" t="s">
        <v>1671</v>
      </c>
      <c r="AH115" s="121">
        <f t="shared" si="38"/>
        <v>0</v>
      </c>
      <c r="AI115" s="121">
        <f t="shared" si="39"/>
        <v>1</v>
      </c>
      <c r="AJ115" s="121">
        <f t="shared" si="40"/>
        <v>1</v>
      </c>
      <c r="AK115" s="121">
        <f t="shared" si="41"/>
        <v>0</v>
      </c>
      <c r="AL115" s="121">
        <f t="shared" si="42"/>
        <v>0</v>
      </c>
      <c r="AM115" s="121">
        <f t="shared" si="43"/>
        <v>0</v>
      </c>
      <c r="AN115" s="121">
        <f t="shared" si="44"/>
        <v>0</v>
      </c>
      <c r="AO115" s="121">
        <f t="shared" si="45"/>
        <v>0</v>
      </c>
      <c r="AP115" s="22">
        <f t="shared" si="46"/>
        <v>0</v>
      </c>
      <c r="AQ115" s="22">
        <f t="shared" si="47"/>
        <v>0</v>
      </c>
      <c r="AR115" s="22">
        <f t="shared" si="48"/>
        <v>0</v>
      </c>
      <c r="AS115" s="121" t="str">
        <f t="shared" si="49"/>
        <v>Crops</v>
      </c>
      <c r="AT115" s="121" t="str">
        <f t="shared" si="68"/>
        <v xml:space="preserve"> </v>
      </c>
      <c r="AU115" s="121" t="str">
        <f t="shared" si="68"/>
        <v xml:space="preserve"> </v>
      </c>
      <c r="AV115" s="121" t="str">
        <f t="shared" si="68"/>
        <v xml:space="preserve"> </v>
      </c>
      <c r="AW115" s="130" t="str">
        <f t="shared" si="69"/>
        <v>100</v>
      </c>
      <c r="AX115" s="130" t="str">
        <f t="shared" si="69"/>
        <v xml:space="preserve"> </v>
      </c>
      <c r="AY115" s="130" t="str">
        <f t="shared" si="69"/>
        <v xml:space="preserve"> </v>
      </c>
      <c r="AZ115" s="130" t="str">
        <f t="shared" si="69"/>
        <v xml:space="preserve"> </v>
      </c>
      <c r="BA115" s="121">
        <f t="shared" si="50"/>
        <v>0</v>
      </c>
      <c r="BB115" s="121">
        <f t="shared" si="51"/>
        <v>0</v>
      </c>
      <c r="BC115" s="121">
        <f t="shared" si="52"/>
        <v>0</v>
      </c>
      <c r="BD115" s="121">
        <f t="shared" si="53"/>
        <v>0</v>
      </c>
      <c r="BE115" s="121">
        <f t="shared" si="54"/>
        <v>0</v>
      </c>
      <c r="BF115" s="121">
        <f t="shared" si="55"/>
        <v>0</v>
      </c>
      <c r="BG115" s="121">
        <f t="shared" si="56"/>
        <v>0</v>
      </c>
      <c r="BH115" s="121">
        <f t="shared" si="57"/>
        <v>0</v>
      </c>
      <c r="BI115" s="121">
        <f t="shared" si="58"/>
        <v>0</v>
      </c>
      <c r="BJ115" s="121">
        <f t="shared" si="59"/>
        <v>0</v>
      </c>
      <c r="BK115" s="121">
        <f t="shared" si="60"/>
        <v>0</v>
      </c>
      <c r="BL115" s="121">
        <f t="shared" si="61"/>
        <v>0</v>
      </c>
      <c r="BM115" s="121">
        <f t="shared" si="62"/>
        <v>0</v>
      </c>
      <c r="BN115" s="121">
        <f t="shared" si="63"/>
        <v>0</v>
      </c>
      <c r="BO115" s="121">
        <f t="shared" si="64"/>
        <v>0</v>
      </c>
      <c r="BP115" s="121">
        <f t="shared" si="65"/>
        <v>0</v>
      </c>
      <c r="BQ115" s="199" t="e">
        <f>INDEX('GDP deflators'!$C$6:$M$36,MATCH('Bottom-up tagging'!$D115,'GDP deflators'!$B$6:$B$36,),MATCH('Bottom-up tagging'!$E115,'GDP deflators'!$C$5:$L$5,))/100</f>
        <v>#N/A</v>
      </c>
      <c r="BR115" s="24">
        <v>5463940</v>
      </c>
    </row>
    <row r="116" spans="2:70" ht="26.15" hidden="1" customHeight="1">
      <c r="B116" s="110" t="s">
        <v>1705</v>
      </c>
      <c r="C116" s="110" t="s">
        <v>1710</v>
      </c>
      <c r="D116" s="110" t="s">
        <v>3994</v>
      </c>
      <c r="E116" s="103">
        <v>2018</v>
      </c>
      <c r="F116" s="108" t="s">
        <v>8779</v>
      </c>
      <c r="G116" s="111" t="s">
        <v>25</v>
      </c>
      <c r="H116" s="110" t="s">
        <v>10451</v>
      </c>
      <c r="I116" s="112">
        <f>IF(Dashboard!$B$16="Current USD",'Bottom-up tagging'!BR116,'Bottom-up tagging'!BR116/'Bottom-up tagging'!BQ116)</f>
        <v>3686982.3988091024</v>
      </c>
      <c r="J116" s="105" t="s">
        <v>10474</v>
      </c>
      <c r="K116" s="112"/>
      <c r="L116" s="135">
        <v>1</v>
      </c>
      <c r="M116" s="135">
        <v>1</v>
      </c>
      <c r="N116" s="112"/>
      <c r="O116" s="112"/>
      <c r="P116" s="112" t="str">
        <f>VLOOKUP(B116, 'Companies covered restructured'!$B$7:$K$470, 9, FALSE)</f>
        <v>Animal and fish monitoring systems</v>
      </c>
      <c r="Q116" s="112" t="str">
        <f>VLOOKUP(B116, 'Companies covered restructured'!$B$7:$K$470, 6, FALSE)</f>
        <v>#Fisheries and Aquaculture(100)</v>
      </c>
      <c r="R116" s="112" t="str">
        <f t="shared" si="37"/>
        <v>#Corporate(100)</v>
      </c>
      <c r="S116" s="112" t="s">
        <v>11003</v>
      </c>
      <c r="T116" s="112" t="s">
        <v>10466</v>
      </c>
      <c r="U116" s="103" t="s">
        <v>10970</v>
      </c>
      <c r="V116" s="112" t="str">
        <f>VLOOKUP(P116, 'Bottom-up Tagging Assumptions'!$B$12:$F$39, 5, FALSE)</f>
        <v>#Product Development(100)</v>
      </c>
      <c r="W116" s="112" t="str">
        <f>VLOOKUP(B116, 'Companies covered restructured'!$B$7:$K$470, 7, FALSE)</f>
        <v>#Field/Animal Herd(100)</v>
      </c>
      <c r="X116" s="112" t="s">
        <v>10558</v>
      </c>
      <c r="Y116" s="212" t="str">
        <f>VLOOKUP(P116, 'Bottom-up Tagging Assumptions'!$B$12:$C$56, 2, FALSE)</f>
        <v>#Productivity(P); Other economic(S)</v>
      </c>
      <c r="Z116" s="112" t="str">
        <f>VLOOKUP(P116, 'Bottom-up Tagging Assumptions'!$B$12:$F$56, 3, FALSE)</f>
        <v>#Increasing crop or animal yield(P)</v>
      </c>
      <c r="AA116" s="112" t="str">
        <f>VLOOKUP(P116, 'Bottom-up Tagging Assumptions'!$B$12:$F$56, 4, FALSE)</f>
        <v>#Level 2(100)</v>
      </c>
      <c r="AB116" s="110" t="s">
        <v>1707</v>
      </c>
      <c r="AC116" s="110"/>
      <c r="AD116" s="110" t="s">
        <v>1708</v>
      </c>
      <c r="AE116" s="110" t="s">
        <v>3139</v>
      </c>
      <c r="AF116" s="112">
        <v>6780764</v>
      </c>
      <c r="AG116" s="110" t="s">
        <v>1711</v>
      </c>
      <c r="AH116" s="121">
        <f t="shared" si="38"/>
        <v>0</v>
      </c>
      <c r="AI116" s="121">
        <f t="shared" si="39"/>
        <v>1</v>
      </c>
      <c r="AJ116" s="121">
        <f t="shared" si="40"/>
        <v>1</v>
      </c>
      <c r="AK116" s="121">
        <f t="shared" si="41"/>
        <v>0</v>
      </c>
      <c r="AL116" s="121">
        <f t="shared" si="42"/>
        <v>0</v>
      </c>
      <c r="AM116" s="121">
        <f t="shared" si="43"/>
        <v>0</v>
      </c>
      <c r="AN116" s="121">
        <f t="shared" si="44"/>
        <v>0</v>
      </c>
      <c r="AO116" s="121">
        <f t="shared" si="45"/>
        <v>0</v>
      </c>
      <c r="AP116" s="22">
        <f t="shared" si="46"/>
        <v>0</v>
      </c>
      <c r="AQ116" s="22">
        <f t="shared" si="47"/>
        <v>0</v>
      </c>
      <c r="AR116" s="22">
        <f t="shared" si="48"/>
        <v>0</v>
      </c>
      <c r="AS116" s="121" t="str">
        <f t="shared" si="49"/>
        <v>Fisheries and Aquaculture</v>
      </c>
      <c r="AT116" s="121" t="str">
        <f t="shared" si="68"/>
        <v xml:space="preserve"> </v>
      </c>
      <c r="AU116" s="121" t="str">
        <f t="shared" si="68"/>
        <v xml:space="preserve"> </v>
      </c>
      <c r="AV116" s="121" t="str">
        <f t="shared" si="68"/>
        <v xml:space="preserve"> </v>
      </c>
      <c r="AW116" s="130" t="str">
        <f t="shared" si="69"/>
        <v>100</v>
      </c>
      <c r="AX116" s="130" t="str">
        <f t="shared" si="69"/>
        <v xml:space="preserve"> </v>
      </c>
      <c r="AY116" s="130" t="str">
        <f t="shared" si="69"/>
        <v xml:space="preserve"> </v>
      </c>
      <c r="AZ116" s="130" t="str">
        <f t="shared" si="69"/>
        <v xml:space="preserve"> </v>
      </c>
      <c r="BA116" s="121">
        <f t="shared" si="50"/>
        <v>3686982.3988091024</v>
      </c>
      <c r="BB116" s="121">
        <f t="shared" si="51"/>
        <v>0</v>
      </c>
      <c r="BC116" s="121">
        <f t="shared" si="52"/>
        <v>0</v>
      </c>
      <c r="BD116" s="121">
        <f t="shared" si="53"/>
        <v>0</v>
      </c>
      <c r="BE116" s="121">
        <f t="shared" si="54"/>
        <v>0</v>
      </c>
      <c r="BF116" s="121">
        <f t="shared" si="55"/>
        <v>0</v>
      </c>
      <c r="BG116" s="121">
        <f t="shared" si="56"/>
        <v>0</v>
      </c>
      <c r="BH116" s="121">
        <f t="shared" si="57"/>
        <v>0</v>
      </c>
      <c r="BI116" s="121">
        <f t="shared" si="58"/>
        <v>0</v>
      </c>
      <c r="BJ116" s="121">
        <f t="shared" si="59"/>
        <v>0</v>
      </c>
      <c r="BK116" s="121">
        <f t="shared" si="60"/>
        <v>0</v>
      </c>
      <c r="BL116" s="121">
        <f t="shared" si="61"/>
        <v>0</v>
      </c>
      <c r="BM116" s="121">
        <f t="shared" si="62"/>
        <v>0</v>
      </c>
      <c r="BN116" s="121">
        <f t="shared" si="63"/>
        <v>0</v>
      </c>
      <c r="BO116" s="121">
        <f t="shared" si="64"/>
        <v>0</v>
      </c>
      <c r="BP116" s="121">
        <f t="shared" si="65"/>
        <v>0</v>
      </c>
      <c r="BQ116" s="199">
        <f>INDEX('GDP deflators'!$C$6:$M$36,MATCH('Bottom-up tagging'!$D116,'GDP deflators'!$B$6:$B$36,),MATCH('Bottom-up tagging'!$E116,'GDP deflators'!$C$5:$L$5,))/100</f>
        <v>1.4753935363936217</v>
      </c>
      <c r="BR116" s="24">
        <v>5439750</v>
      </c>
    </row>
    <row r="117" spans="2:70" ht="26.15" customHeight="1">
      <c r="B117" s="110" t="s">
        <v>473</v>
      </c>
      <c r="C117" s="110" t="s">
        <v>475</v>
      </c>
      <c r="D117" s="110" t="s">
        <v>5391</v>
      </c>
      <c r="E117" s="103">
        <v>2020</v>
      </c>
      <c r="F117" s="108" t="s">
        <v>5547</v>
      </c>
      <c r="G117" s="111" t="s">
        <v>289</v>
      </c>
      <c r="H117" s="110" t="s">
        <v>10451</v>
      </c>
      <c r="I117" s="212">
        <v>0</v>
      </c>
      <c r="J117" s="105" t="s">
        <v>10474</v>
      </c>
      <c r="K117" s="112"/>
      <c r="L117" s="135">
        <v>1</v>
      </c>
      <c r="M117" s="135">
        <v>1</v>
      </c>
      <c r="N117" s="112"/>
      <c r="O117" s="112"/>
      <c r="P117" s="112" t="str">
        <f>VLOOKUP(B117, 'Companies covered restructured'!$B$7:$K$470, 9, FALSE)</f>
        <v>Agri marketplaces</v>
      </c>
      <c r="Q117" s="112" t="str">
        <f>VLOOKUP(B117, 'Companies covered restructured'!$B$7:$K$470, 6, FALSE)</f>
        <v>#Crops(100)</v>
      </c>
      <c r="R117" s="112" t="str">
        <f t="shared" si="37"/>
        <v>N/A</v>
      </c>
      <c r="S117" s="112" t="s">
        <v>11003</v>
      </c>
      <c r="T117" s="112" t="s">
        <v>10464</v>
      </c>
      <c r="U117" s="103" t="s">
        <v>10970</v>
      </c>
      <c r="V117" s="112" t="str">
        <f>VLOOKUP(P117, 'Bottom-up Tagging Assumptions'!$B$12:$F$39, 5, FALSE)</f>
        <v>#Process Innovation(100)</v>
      </c>
      <c r="W117" s="112" t="str">
        <f>VLOOKUP(B117, 'Companies covered restructured'!$B$7:$K$470, 7, FALSE)</f>
        <v>#Farm/Household(100)</v>
      </c>
      <c r="X117" s="112" t="s">
        <v>10558</v>
      </c>
      <c r="Y117" s="112" t="str">
        <f>VLOOKUP(P117, '[2]Bottom-up Tagging Assumptions'!$B$12:$F$56, 2, FALSE)</f>
        <v>#Other Economic(P); Social(S)</v>
      </c>
      <c r="Z117" s="112" t="str">
        <f>VLOOKUP(P117, 'Bottom-up Tagging Assumptions'!$B$12:$F$56, 3, FALSE)</f>
        <v>#Improve price realization(P)</v>
      </c>
      <c r="AA117" s="112" t="str">
        <f>VLOOKUP(P117, 'Bottom-up Tagging Assumptions'!$B$12:$F$56, 4, FALSE)</f>
        <v>#Level 4(100)</v>
      </c>
      <c r="AB117" s="110" t="s">
        <v>321</v>
      </c>
      <c r="AC117" s="110"/>
      <c r="AD117" s="110"/>
      <c r="AE117" s="110" t="s">
        <v>10558</v>
      </c>
      <c r="AF117" s="112">
        <v>5386498</v>
      </c>
      <c r="AG117" s="110" t="s">
        <v>1676</v>
      </c>
      <c r="AH117" s="121">
        <f t="shared" si="38"/>
        <v>0</v>
      </c>
      <c r="AI117" s="121">
        <f t="shared" si="39"/>
        <v>0</v>
      </c>
      <c r="AJ117" s="121">
        <f t="shared" si="40"/>
        <v>1</v>
      </c>
      <c r="AK117" s="121">
        <f t="shared" si="41"/>
        <v>1</v>
      </c>
      <c r="AL117" s="121">
        <f t="shared" si="42"/>
        <v>0</v>
      </c>
      <c r="AM117" s="121">
        <f t="shared" si="43"/>
        <v>0</v>
      </c>
      <c r="AN117" s="121">
        <f t="shared" si="44"/>
        <v>1</v>
      </c>
      <c r="AO117" s="121">
        <f t="shared" si="45"/>
        <v>0</v>
      </c>
      <c r="AP117" s="22">
        <f t="shared" si="46"/>
        <v>0</v>
      </c>
      <c r="AQ117" s="22">
        <f t="shared" si="47"/>
        <v>0</v>
      </c>
      <c r="AR117" s="22">
        <f t="shared" si="48"/>
        <v>0</v>
      </c>
      <c r="AS117" s="121" t="str">
        <f t="shared" si="49"/>
        <v>Crops</v>
      </c>
      <c r="AT117" s="121" t="str">
        <f t="shared" si="68"/>
        <v xml:space="preserve"> </v>
      </c>
      <c r="AU117" s="121" t="str">
        <f t="shared" si="68"/>
        <v xml:space="preserve"> </v>
      </c>
      <c r="AV117" s="121" t="str">
        <f t="shared" si="68"/>
        <v xml:space="preserve"> </v>
      </c>
      <c r="AW117" s="130" t="str">
        <f t="shared" si="69"/>
        <v>100</v>
      </c>
      <c r="AX117" s="130" t="str">
        <f t="shared" si="69"/>
        <v xml:space="preserve"> </v>
      </c>
      <c r="AY117" s="130" t="str">
        <f t="shared" si="69"/>
        <v xml:space="preserve"> </v>
      </c>
      <c r="AZ117" s="130" t="str">
        <f t="shared" si="69"/>
        <v xml:space="preserve"> </v>
      </c>
      <c r="BA117" s="121">
        <f t="shared" si="50"/>
        <v>0</v>
      </c>
      <c r="BB117" s="121">
        <f t="shared" si="51"/>
        <v>0</v>
      </c>
      <c r="BC117" s="121">
        <f t="shared" si="52"/>
        <v>0</v>
      </c>
      <c r="BD117" s="121">
        <f t="shared" si="53"/>
        <v>0</v>
      </c>
      <c r="BE117" s="121">
        <f t="shared" si="54"/>
        <v>0</v>
      </c>
      <c r="BF117" s="121">
        <f t="shared" si="55"/>
        <v>0</v>
      </c>
      <c r="BG117" s="121">
        <f t="shared" si="56"/>
        <v>0</v>
      </c>
      <c r="BH117" s="121">
        <f t="shared" si="57"/>
        <v>0</v>
      </c>
      <c r="BI117" s="121">
        <f t="shared" si="58"/>
        <v>0</v>
      </c>
      <c r="BJ117" s="121">
        <f t="shared" si="59"/>
        <v>0</v>
      </c>
      <c r="BK117" s="121">
        <f t="shared" si="60"/>
        <v>0</v>
      </c>
      <c r="BL117" s="121">
        <f t="shared" si="61"/>
        <v>0</v>
      </c>
      <c r="BM117" s="121">
        <f t="shared" si="62"/>
        <v>0</v>
      </c>
      <c r="BN117" s="121">
        <f t="shared" si="63"/>
        <v>0</v>
      </c>
      <c r="BO117" s="121">
        <f t="shared" si="64"/>
        <v>0</v>
      </c>
      <c r="BP117" s="121">
        <f t="shared" si="65"/>
        <v>0</v>
      </c>
      <c r="BQ117" s="199" t="e">
        <f>INDEX('GDP deflators'!$C$6:$M$36,MATCH('Bottom-up tagging'!$D117,'GDP deflators'!$B$6:$B$36,),MATCH('Bottom-up tagging'!$E117,'GDP deflators'!$C$5:$L$5,))/100</f>
        <v>#N/A</v>
      </c>
      <c r="BR117" s="24">
        <v>5000000</v>
      </c>
    </row>
    <row r="118" spans="2:70" ht="26.15" hidden="1" customHeight="1">
      <c r="B118" s="110" t="s">
        <v>110</v>
      </c>
      <c r="C118" s="110" t="s">
        <v>114</v>
      </c>
      <c r="D118" s="110" t="s">
        <v>3994</v>
      </c>
      <c r="E118" s="103">
        <v>2020</v>
      </c>
      <c r="F118" s="108" t="s">
        <v>8302</v>
      </c>
      <c r="G118" s="111" t="s">
        <v>109</v>
      </c>
      <c r="H118" s="110" t="s">
        <v>10451</v>
      </c>
      <c r="I118" s="212">
        <v>0</v>
      </c>
      <c r="J118" s="105" t="s">
        <v>10474</v>
      </c>
      <c r="K118" s="112"/>
      <c r="L118" s="135">
        <v>1</v>
      </c>
      <c r="M118" s="135">
        <v>1</v>
      </c>
      <c r="N118" s="112"/>
      <c r="O118" s="112"/>
      <c r="P118" s="112" t="str">
        <f>VLOOKUP(B118, 'Companies covered restructured'!$B$7:$K$470, 9, FALSE)</f>
        <v>Supply chain technologies</v>
      </c>
      <c r="Q118" s="112" t="str">
        <f>VLOOKUP(B118, 'Companies covered restructured'!$B$7:$K$470, 6, FALSE)</f>
        <v>#Crops(100)</v>
      </c>
      <c r="R118" s="112" t="str">
        <f t="shared" si="37"/>
        <v>#Investment Fund(100)</v>
      </c>
      <c r="S118" s="112" t="s">
        <v>11003</v>
      </c>
      <c r="T118" s="112" t="s">
        <v>10466</v>
      </c>
      <c r="U118" s="103" t="s">
        <v>10970</v>
      </c>
      <c r="V118" s="112" t="str">
        <f>VLOOKUP(P118, 'Bottom-up Tagging Assumptions'!$B$12:$F$39, 5, FALSE)</f>
        <v>#Process Innovation(100)</v>
      </c>
      <c r="W118" s="112" t="str">
        <f>VLOOKUP(B118, 'Companies covered restructured'!$B$7:$K$470, 7, FALSE)</f>
        <v>#Farm/Household(100)</v>
      </c>
      <c r="X118" s="112" t="s">
        <v>10558</v>
      </c>
      <c r="Y118" s="112" t="str">
        <f>VLOOKUP(P118, '[2]Bottom-up Tagging Assumptions'!$B$12:$F$56, 2, FALSE)</f>
        <v>#Other Economic(P); Social(S)</v>
      </c>
      <c r="Z118" s="112" t="str">
        <f>VLOOKUP(P118, 'Bottom-up Tagging Assumptions'!$B$12:$F$56, 3, FALSE)</f>
        <v>#Improve price realization(P)</v>
      </c>
      <c r="AA118" s="112" t="str">
        <f>VLOOKUP(P118, 'Bottom-up Tagging Assumptions'!$B$12:$F$56, 4, FALSE)</f>
        <v>#Level 3(100)</v>
      </c>
      <c r="AB118" s="110" t="s">
        <v>483</v>
      </c>
      <c r="AC118" s="110"/>
      <c r="AD118" s="110" t="s">
        <v>484</v>
      </c>
      <c r="AE118" s="110" t="str">
        <f>VLOOKUP(AD118,  '1.2'!$B$7:$C$2033, 2, FALSE)</f>
        <v>FUND</v>
      </c>
      <c r="AF118" s="112">
        <v>1150000</v>
      </c>
      <c r="AG118" s="110" t="s">
        <v>1585</v>
      </c>
      <c r="AH118" s="121">
        <f t="shared" si="38"/>
        <v>0</v>
      </c>
      <c r="AI118" s="121">
        <f t="shared" si="39"/>
        <v>0</v>
      </c>
      <c r="AJ118" s="121">
        <f t="shared" si="40"/>
        <v>1</v>
      </c>
      <c r="AK118" s="121">
        <f t="shared" si="41"/>
        <v>1</v>
      </c>
      <c r="AL118" s="121">
        <f t="shared" si="42"/>
        <v>0</v>
      </c>
      <c r="AM118" s="121">
        <f t="shared" si="43"/>
        <v>0</v>
      </c>
      <c r="AN118" s="121">
        <f t="shared" si="44"/>
        <v>1</v>
      </c>
      <c r="AO118" s="121">
        <f t="shared" si="45"/>
        <v>0</v>
      </c>
      <c r="AP118" s="22">
        <f t="shared" si="46"/>
        <v>0</v>
      </c>
      <c r="AQ118" s="22">
        <f t="shared" si="47"/>
        <v>0</v>
      </c>
      <c r="AR118" s="22">
        <f t="shared" si="48"/>
        <v>0</v>
      </c>
      <c r="AS118" s="121" t="str">
        <f t="shared" si="49"/>
        <v>Crops</v>
      </c>
      <c r="AT118" s="121" t="str">
        <f t="shared" si="68"/>
        <v xml:space="preserve"> </v>
      </c>
      <c r="AU118" s="121" t="str">
        <f t="shared" si="68"/>
        <v xml:space="preserve"> </v>
      </c>
      <c r="AV118" s="121" t="str">
        <f t="shared" si="68"/>
        <v xml:space="preserve"> </v>
      </c>
      <c r="AW118" s="130" t="str">
        <f t="shared" si="69"/>
        <v>100</v>
      </c>
      <c r="AX118" s="130" t="str">
        <f t="shared" si="69"/>
        <v xml:space="preserve"> </v>
      </c>
      <c r="AY118" s="130" t="str">
        <f t="shared" si="69"/>
        <v xml:space="preserve"> </v>
      </c>
      <c r="AZ118" s="130" t="str">
        <f t="shared" si="69"/>
        <v xml:space="preserve"> </v>
      </c>
      <c r="BA118" s="121">
        <f t="shared" si="50"/>
        <v>0</v>
      </c>
      <c r="BB118" s="121">
        <f t="shared" si="51"/>
        <v>0</v>
      </c>
      <c r="BC118" s="121">
        <f t="shared" si="52"/>
        <v>0</v>
      </c>
      <c r="BD118" s="121">
        <f t="shared" si="53"/>
        <v>0</v>
      </c>
      <c r="BE118" s="121">
        <f t="shared" si="54"/>
        <v>0</v>
      </c>
      <c r="BF118" s="121">
        <f t="shared" si="55"/>
        <v>0</v>
      </c>
      <c r="BG118" s="121">
        <f t="shared" si="56"/>
        <v>0</v>
      </c>
      <c r="BH118" s="121">
        <f t="shared" si="57"/>
        <v>0</v>
      </c>
      <c r="BI118" s="121">
        <f t="shared" si="58"/>
        <v>0</v>
      </c>
      <c r="BJ118" s="121">
        <f t="shared" si="59"/>
        <v>0</v>
      </c>
      <c r="BK118" s="121">
        <f t="shared" si="60"/>
        <v>0</v>
      </c>
      <c r="BL118" s="121">
        <f t="shared" si="61"/>
        <v>0</v>
      </c>
      <c r="BM118" s="121">
        <f t="shared" si="62"/>
        <v>0</v>
      </c>
      <c r="BN118" s="121">
        <f t="shared" si="63"/>
        <v>0</v>
      </c>
      <c r="BO118" s="121">
        <f t="shared" si="64"/>
        <v>0</v>
      </c>
      <c r="BP118" s="121">
        <f t="shared" si="65"/>
        <v>0</v>
      </c>
      <c r="BQ118" s="199" t="e">
        <f>INDEX('GDP deflators'!$C$6:$M$36,MATCH('Bottom-up tagging'!$D118,'GDP deflators'!$B$6:$B$36,),MATCH('Bottom-up tagging'!$E118,'GDP deflators'!$C$5:$L$5,))/100</f>
        <v>#N/A</v>
      </c>
      <c r="BR118" s="24">
        <v>5000000</v>
      </c>
    </row>
    <row r="119" spans="2:70" ht="26.15" hidden="1" customHeight="1">
      <c r="B119" s="110" t="s">
        <v>1672</v>
      </c>
      <c r="C119" s="110" t="s">
        <v>1675</v>
      </c>
      <c r="D119" s="110" t="s">
        <v>3994</v>
      </c>
      <c r="E119" s="103">
        <v>2018</v>
      </c>
      <c r="F119" s="108" t="s">
        <v>6683</v>
      </c>
      <c r="G119" s="111" t="s">
        <v>109</v>
      </c>
      <c r="H119" s="110" t="s">
        <v>10451</v>
      </c>
      <c r="I119" s="112">
        <f>IF(Dashboard!$B$16="Current USD",'Bottom-up tagging'!BR119,'Bottom-up tagging'!BR119/'Bottom-up tagging'!BQ119)</f>
        <v>3388926.3282403625</v>
      </c>
      <c r="J119" s="105" t="s">
        <v>10474</v>
      </c>
      <c r="K119" s="112"/>
      <c r="L119" s="135">
        <v>1</v>
      </c>
      <c r="M119" s="135">
        <v>1</v>
      </c>
      <c r="N119" s="112"/>
      <c r="O119" s="112"/>
      <c r="P119" s="112" t="str">
        <f>VLOOKUP(B119, 'Companies covered restructured'!$B$7:$K$470, 9, FALSE)</f>
        <v>Agri input e-commerce platforms</v>
      </c>
      <c r="Q119" s="112" t="str">
        <f>VLOOKUP(B119, 'Companies covered restructured'!$B$7:$K$470, 6, FALSE)</f>
        <v>#Crops(100)</v>
      </c>
      <c r="R119" s="112" t="str">
        <f t="shared" si="37"/>
        <v>N/A</v>
      </c>
      <c r="S119" s="112" t="s">
        <v>11003</v>
      </c>
      <c r="T119" s="112" t="s">
        <v>10466</v>
      </c>
      <c r="U119" s="103" t="s">
        <v>10970</v>
      </c>
      <c r="V119" s="112" t="str">
        <f>VLOOKUP(P119, 'Bottom-up Tagging Assumptions'!$B$12:$F$39, 5, FALSE)</f>
        <v>#Process Innovation(100)</v>
      </c>
      <c r="W119" s="112" t="str">
        <f>VLOOKUP(B119, 'Companies covered restructured'!$B$7:$K$470, 7, FALSE)</f>
        <v>#Field/Animal Herd(100)</v>
      </c>
      <c r="X119" s="112" t="s">
        <v>10558</v>
      </c>
      <c r="Y119" s="212" t="str">
        <f>VLOOKUP(P119, 'Bottom-up Tagging Assumptions'!$B$12:$C$56, 2, FALSE)</f>
        <v>#Other Economic(P); Productivity(S)</v>
      </c>
      <c r="Z119" s="112" t="str">
        <f>VLOOKUP(P119, 'Bottom-up Tagging Assumptions'!$B$12:$F$56, 3, FALSE)</f>
        <v>#Reduce cost of inputs(P)</v>
      </c>
      <c r="AA119" s="112" t="str">
        <f>VLOOKUP(P119, 'Bottom-up Tagging Assumptions'!$B$12:$F$56, 4, FALSE)</f>
        <v>#Level 1(100)</v>
      </c>
      <c r="AB119" s="110"/>
      <c r="AC119" s="110"/>
      <c r="AD119" s="110"/>
      <c r="AE119" s="110" t="s">
        <v>10558</v>
      </c>
      <c r="AF119" s="112">
        <v>2257449</v>
      </c>
      <c r="AG119" s="110" t="s">
        <v>1691</v>
      </c>
      <c r="AH119" s="121">
        <f t="shared" si="38"/>
        <v>0</v>
      </c>
      <c r="AI119" s="121">
        <f t="shared" si="39"/>
        <v>1</v>
      </c>
      <c r="AJ119" s="121">
        <f t="shared" si="40"/>
        <v>1</v>
      </c>
      <c r="AK119" s="121">
        <f t="shared" si="41"/>
        <v>0</v>
      </c>
      <c r="AL119" s="121">
        <f t="shared" si="42"/>
        <v>0</v>
      </c>
      <c r="AM119" s="121">
        <f t="shared" si="43"/>
        <v>0</v>
      </c>
      <c r="AN119" s="121">
        <f t="shared" si="44"/>
        <v>0</v>
      </c>
      <c r="AO119" s="121">
        <f t="shared" si="45"/>
        <v>0</v>
      </c>
      <c r="AP119" s="22">
        <f t="shared" si="46"/>
        <v>0</v>
      </c>
      <c r="AQ119" s="22">
        <f t="shared" si="47"/>
        <v>0</v>
      </c>
      <c r="AR119" s="22">
        <f t="shared" si="48"/>
        <v>0</v>
      </c>
      <c r="AS119" s="121" t="str">
        <f t="shared" si="49"/>
        <v>Crops</v>
      </c>
      <c r="AT119" s="121" t="str">
        <f t="shared" si="68"/>
        <v xml:space="preserve"> </v>
      </c>
      <c r="AU119" s="121" t="str">
        <f t="shared" si="68"/>
        <v xml:space="preserve"> </v>
      </c>
      <c r="AV119" s="121" t="str">
        <f t="shared" si="68"/>
        <v xml:space="preserve"> </v>
      </c>
      <c r="AW119" s="130" t="str">
        <f t="shared" si="69"/>
        <v>100</v>
      </c>
      <c r="AX119" s="130" t="str">
        <f t="shared" si="69"/>
        <v xml:space="preserve"> </v>
      </c>
      <c r="AY119" s="130" t="str">
        <f t="shared" si="69"/>
        <v xml:space="preserve"> </v>
      </c>
      <c r="AZ119" s="130" t="str">
        <f t="shared" si="69"/>
        <v xml:space="preserve"> </v>
      </c>
      <c r="BA119" s="121">
        <f t="shared" si="50"/>
        <v>3388926.3282403625</v>
      </c>
      <c r="BB119" s="121">
        <f t="shared" si="51"/>
        <v>0</v>
      </c>
      <c r="BC119" s="121">
        <f t="shared" si="52"/>
        <v>0</v>
      </c>
      <c r="BD119" s="121">
        <f t="shared" si="53"/>
        <v>0</v>
      </c>
      <c r="BE119" s="121">
        <f t="shared" si="54"/>
        <v>0</v>
      </c>
      <c r="BF119" s="121">
        <f t="shared" si="55"/>
        <v>0</v>
      </c>
      <c r="BG119" s="121">
        <f t="shared" si="56"/>
        <v>0</v>
      </c>
      <c r="BH119" s="121">
        <f t="shared" si="57"/>
        <v>0</v>
      </c>
      <c r="BI119" s="121">
        <f t="shared" si="58"/>
        <v>0</v>
      </c>
      <c r="BJ119" s="121">
        <f t="shared" si="59"/>
        <v>0</v>
      </c>
      <c r="BK119" s="121">
        <f t="shared" si="60"/>
        <v>0</v>
      </c>
      <c r="BL119" s="121">
        <f t="shared" si="61"/>
        <v>0</v>
      </c>
      <c r="BM119" s="121">
        <f t="shared" si="62"/>
        <v>0</v>
      </c>
      <c r="BN119" s="121">
        <f t="shared" si="63"/>
        <v>0</v>
      </c>
      <c r="BO119" s="121">
        <f t="shared" si="64"/>
        <v>0</v>
      </c>
      <c r="BP119" s="121">
        <f t="shared" si="65"/>
        <v>0</v>
      </c>
      <c r="BQ119" s="199">
        <f>INDEX('GDP deflators'!$C$6:$M$36,MATCH('Bottom-up tagging'!$D119,'GDP deflators'!$B$6:$B$36,),MATCH('Bottom-up tagging'!$E119,'GDP deflators'!$C$5:$L$5,))/100</f>
        <v>1.4753935363936217</v>
      </c>
      <c r="BR119" s="24">
        <v>5000000</v>
      </c>
    </row>
    <row r="120" spans="2:70" ht="26.15" hidden="1" customHeight="1">
      <c r="B120" s="110" t="s">
        <v>2377</v>
      </c>
      <c r="C120" s="110" t="s">
        <v>2380</v>
      </c>
      <c r="D120" s="110" t="s">
        <v>2057</v>
      </c>
      <c r="E120" s="103">
        <v>2016</v>
      </c>
      <c r="F120" s="108" t="s">
        <v>9093</v>
      </c>
      <c r="G120" s="111" t="s">
        <v>109</v>
      </c>
      <c r="H120" s="110" t="s">
        <v>10451</v>
      </c>
      <c r="I120" s="112">
        <f>IF(Dashboard!$B$16="Current USD",'Bottom-up tagging'!BR120,'Bottom-up tagging'!BR120/'Bottom-up tagging'!BQ120)</f>
        <v>4319344.3522367124</v>
      </c>
      <c r="J120" s="117" t="s">
        <v>10474</v>
      </c>
      <c r="K120" s="112"/>
      <c r="L120" s="135">
        <v>1</v>
      </c>
      <c r="M120" s="135">
        <v>1</v>
      </c>
      <c r="N120" s="112"/>
      <c r="O120" s="112"/>
      <c r="P120" s="112" t="str">
        <f>VLOOKUP(B120, 'Companies covered restructured'!$B$7:$K$470, 9, FALSE)</f>
        <v>Agri marketplaces</v>
      </c>
      <c r="Q120" s="112" t="str">
        <f>VLOOKUP(B120, 'Companies covered restructured'!$B$7:$K$470, 6, FALSE)</f>
        <v>#Crops(100)</v>
      </c>
      <c r="R120" s="112" t="str">
        <f t="shared" si="37"/>
        <v>N/A</v>
      </c>
      <c r="S120" s="112" t="s">
        <v>11003</v>
      </c>
      <c r="T120" s="112" t="s">
        <v>10466</v>
      </c>
      <c r="U120" s="103" t="s">
        <v>10970</v>
      </c>
      <c r="V120" s="112" t="str">
        <f>VLOOKUP(P120, 'Bottom-up Tagging Assumptions'!$B$12:$F$39, 5, FALSE)</f>
        <v>#Process Innovation(100)</v>
      </c>
      <c r="W120" s="112" t="str">
        <f>VLOOKUP(B120, 'Companies covered restructured'!$B$7:$K$470, 7, FALSE)</f>
        <v>#Landscape(100)</v>
      </c>
      <c r="X120" s="112" t="str">
        <f>VLOOKUP(B120, 'Companies covered restructured'!$B$7:$K$470, 8, FALSE)</f>
        <v>N/A</v>
      </c>
      <c r="Y120" s="212" t="str">
        <f>VLOOKUP(P120, 'Bottom-up Tagging Assumptions'!$B$12:$C$56, 2, FALSE)</f>
        <v>#Other Economic(P); Social(S)</v>
      </c>
      <c r="Z120" s="112" t="str">
        <f>VLOOKUP(P120, 'Bottom-up Tagging Assumptions'!$B$12:$F$56, 3, FALSE)</f>
        <v>#Improve price realization(P)</v>
      </c>
      <c r="AA120" s="112" t="str">
        <f>VLOOKUP(P120, 'Bottom-up Tagging Assumptions'!$B$12:$F$56, 4, FALSE)</f>
        <v>#Level 4(100)</v>
      </c>
      <c r="AB120" s="110" t="s">
        <v>2379</v>
      </c>
      <c r="AC120" s="110"/>
      <c r="AD120" s="110"/>
      <c r="AE120" s="110" t="s">
        <v>10558</v>
      </c>
      <c r="AF120" s="112"/>
      <c r="AG120" s="110" t="s">
        <v>1694</v>
      </c>
      <c r="AH120" s="121">
        <f t="shared" si="38"/>
        <v>0</v>
      </c>
      <c r="AI120" s="121">
        <f t="shared" si="39"/>
        <v>0</v>
      </c>
      <c r="AJ120" s="121">
        <f t="shared" si="40"/>
        <v>1</v>
      </c>
      <c r="AK120" s="121">
        <f t="shared" si="41"/>
        <v>1</v>
      </c>
      <c r="AL120" s="121">
        <f t="shared" si="42"/>
        <v>0</v>
      </c>
      <c r="AM120" s="121">
        <f t="shared" si="43"/>
        <v>0</v>
      </c>
      <c r="AN120" s="121">
        <f t="shared" si="44"/>
        <v>1</v>
      </c>
      <c r="AO120" s="121">
        <f t="shared" si="45"/>
        <v>0</v>
      </c>
      <c r="AP120" s="22">
        <f t="shared" si="46"/>
        <v>0</v>
      </c>
      <c r="AQ120" s="22">
        <f t="shared" si="47"/>
        <v>4319344.3522367124</v>
      </c>
      <c r="AR120" s="22">
        <f t="shared" si="48"/>
        <v>0</v>
      </c>
      <c r="AS120" s="121" t="str">
        <f t="shared" si="49"/>
        <v>Crops</v>
      </c>
      <c r="AT120" s="121" t="str">
        <f t="shared" si="68"/>
        <v xml:space="preserve"> </v>
      </c>
      <c r="AU120" s="121" t="str">
        <f t="shared" si="68"/>
        <v xml:space="preserve"> </v>
      </c>
      <c r="AV120" s="121" t="str">
        <f t="shared" si="68"/>
        <v xml:space="preserve"> </v>
      </c>
      <c r="AW120" s="130" t="str">
        <f t="shared" si="69"/>
        <v>100</v>
      </c>
      <c r="AX120" s="130" t="str">
        <f t="shared" si="69"/>
        <v xml:space="preserve"> </v>
      </c>
      <c r="AY120" s="130" t="str">
        <f t="shared" si="69"/>
        <v xml:space="preserve"> </v>
      </c>
      <c r="AZ120" s="130" t="str">
        <f t="shared" si="69"/>
        <v xml:space="preserve"> </v>
      </c>
      <c r="BA120" s="121">
        <f t="shared" si="50"/>
        <v>4319344.3522367124</v>
      </c>
      <c r="BB120" s="121">
        <f t="shared" si="51"/>
        <v>0</v>
      </c>
      <c r="BC120" s="121">
        <f t="shared" si="52"/>
        <v>0</v>
      </c>
      <c r="BD120" s="121">
        <f t="shared" si="53"/>
        <v>0</v>
      </c>
      <c r="BE120" s="121">
        <f t="shared" si="54"/>
        <v>0</v>
      </c>
      <c r="BF120" s="121">
        <f t="shared" si="55"/>
        <v>0</v>
      </c>
      <c r="BG120" s="121">
        <f t="shared" si="56"/>
        <v>0</v>
      </c>
      <c r="BH120" s="121">
        <f t="shared" si="57"/>
        <v>0</v>
      </c>
      <c r="BI120" s="121">
        <f t="shared" si="58"/>
        <v>4319344.3522367124</v>
      </c>
      <c r="BJ120" s="121">
        <f t="shared" si="59"/>
        <v>4319344.3522367124</v>
      </c>
      <c r="BK120" s="121">
        <f t="shared" si="60"/>
        <v>4319344.3522367124</v>
      </c>
      <c r="BL120" s="121">
        <f t="shared" si="61"/>
        <v>4319344.3522367124</v>
      </c>
      <c r="BM120" s="121">
        <f t="shared" si="62"/>
        <v>0</v>
      </c>
      <c r="BN120" s="121">
        <f t="shared" si="63"/>
        <v>0</v>
      </c>
      <c r="BO120" s="121">
        <f t="shared" si="64"/>
        <v>0</v>
      </c>
      <c r="BP120" s="121">
        <f t="shared" si="65"/>
        <v>0</v>
      </c>
      <c r="BQ120" s="199">
        <f>INDEX('GDP deflators'!$C$6:$M$36,MATCH('Bottom-up tagging'!$D120,'GDP deflators'!$B$6:$B$36,),MATCH('Bottom-up tagging'!$E120,'GDP deflators'!$C$5:$L$5,))/100</f>
        <v>1.1575830941589131</v>
      </c>
      <c r="BR120" s="24">
        <v>5000000</v>
      </c>
    </row>
    <row r="121" spans="2:70" ht="26.15" hidden="1" customHeight="1">
      <c r="B121" s="110" t="s">
        <v>1476</v>
      </c>
      <c r="C121" s="110" t="s">
        <v>1480</v>
      </c>
      <c r="D121" s="110" t="s">
        <v>2057</v>
      </c>
      <c r="E121" s="103">
        <v>2016</v>
      </c>
      <c r="F121" s="108" t="s">
        <v>7584</v>
      </c>
      <c r="G121" s="111" t="s">
        <v>109</v>
      </c>
      <c r="H121" s="110" t="s">
        <v>10451</v>
      </c>
      <c r="I121" s="112">
        <f>IF(Dashboard!$B$16="Current USD",'Bottom-up tagging'!BR121,'Bottom-up tagging'!BR121/'Bottom-up tagging'!BQ121)</f>
        <v>4319344.3522367124</v>
      </c>
      <c r="J121" s="118" t="s">
        <v>10474</v>
      </c>
      <c r="K121" s="112"/>
      <c r="L121" s="135">
        <v>1</v>
      </c>
      <c r="M121" s="135">
        <v>1</v>
      </c>
      <c r="N121" s="112"/>
      <c r="O121" s="112"/>
      <c r="P121" s="112" t="str">
        <f>VLOOKUP(B121, 'Companies covered restructured'!$B$7:$K$470, 9, FALSE)</f>
        <v>Farmer engagement platforms (including marketplaces and information platforms)</v>
      </c>
      <c r="Q121" s="112" t="str">
        <f>VLOOKUP(B121, 'Companies covered restructured'!$B$7:$K$470, 6, FALSE)</f>
        <v>#Crops(100)</v>
      </c>
      <c r="R121" s="112" t="str">
        <f t="shared" si="37"/>
        <v>#Investment Fund(100)</v>
      </c>
      <c r="S121" s="112" t="s">
        <v>11003</v>
      </c>
      <c r="T121" s="112" t="s">
        <v>10466</v>
      </c>
      <c r="U121" s="103" t="s">
        <v>10970</v>
      </c>
      <c r="V121" s="112" t="str">
        <f>VLOOKUP(P121, 'Bottom-up Tagging Assumptions'!$B$12:$F$39, 5, FALSE)</f>
        <v>#Process Innovation(100)</v>
      </c>
      <c r="W121" s="112" t="str">
        <f>VLOOKUP(B121, 'Companies covered restructured'!$B$7:$K$470, 7, FALSE)</f>
        <v>#Farm/Household(100)</v>
      </c>
      <c r="X121" s="112" t="s">
        <v>10558</v>
      </c>
      <c r="Y121" s="212" t="str">
        <f>VLOOKUP(P121, 'Bottom-up Tagging Assumptions'!$B$12:$C$56, 2, FALSE)</f>
        <v>#Other Economic(P); #Productivity(S)</v>
      </c>
      <c r="Z121" s="112" t="str">
        <f>VLOOKUP(P121, 'Bottom-up Tagging Assumptions'!$B$12:$F$56, 3, FALSE)</f>
        <v>#Improve price realization(P); #Increasing crop or animal yield(S)</v>
      </c>
      <c r="AA121" s="112" t="str">
        <f>VLOOKUP(P121, 'Bottom-up Tagging Assumptions'!$B$12:$F$56, 4, FALSE)</f>
        <v>#Level 4(100)</v>
      </c>
      <c r="AB121" s="110" t="s">
        <v>2507</v>
      </c>
      <c r="AC121" s="110"/>
      <c r="AD121" s="110" t="s">
        <v>2508</v>
      </c>
      <c r="AE121" s="110" t="str">
        <f>VLOOKUP(AD121,  '1.2'!$B$7:$C$2033, 2, FALSE)</f>
        <v>FUND</v>
      </c>
      <c r="AF121" s="112"/>
      <c r="AG121" s="110" t="s">
        <v>896</v>
      </c>
      <c r="AH121" s="121">
        <f t="shared" si="38"/>
        <v>0</v>
      </c>
      <c r="AI121" s="121">
        <f t="shared" si="39"/>
        <v>1</v>
      </c>
      <c r="AJ121" s="121">
        <f t="shared" si="40"/>
        <v>1</v>
      </c>
      <c r="AK121" s="121">
        <f t="shared" si="41"/>
        <v>0</v>
      </c>
      <c r="AL121" s="121">
        <f t="shared" si="42"/>
        <v>0</v>
      </c>
      <c r="AM121" s="121">
        <f t="shared" si="43"/>
        <v>0</v>
      </c>
      <c r="AN121" s="121">
        <f t="shared" si="44"/>
        <v>0</v>
      </c>
      <c r="AO121" s="121">
        <f t="shared" si="45"/>
        <v>0</v>
      </c>
      <c r="AP121" s="22">
        <f t="shared" si="46"/>
        <v>0</v>
      </c>
      <c r="AQ121" s="22">
        <f t="shared" si="47"/>
        <v>0</v>
      </c>
      <c r="AR121" s="22">
        <f t="shared" si="48"/>
        <v>0</v>
      </c>
      <c r="AS121" s="121" t="str">
        <f t="shared" si="49"/>
        <v>Crops</v>
      </c>
      <c r="AT121" s="121" t="str">
        <f t="shared" si="68"/>
        <v xml:space="preserve"> </v>
      </c>
      <c r="AU121" s="121" t="str">
        <f t="shared" si="68"/>
        <v xml:space="preserve"> </v>
      </c>
      <c r="AV121" s="121" t="str">
        <f t="shared" si="68"/>
        <v xml:space="preserve"> </v>
      </c>
      <c r="AW121" s="130" t="str">
        <f t="shared" si="69"/>
        <v>100</v>
      </c>
      <c r="AX121" s="130" t="str">
        <f t="shared" si="69"/>
        <v xml:space="preserve"> </v>
      </c>
      <c r="AY121" s="130" t="str">
        <f t="shared" si="69"/>
        <v xml:space="preserve"> </v>
      </c>
      <c r="AZ121" s="130" t="str">
        <f t="shared" si="69"/>
        <v xml:space="preserve"> </v>
      </c>
      <c r="BA121" s="121">
        <f t="shared" si="50"/>
        <v>4319344.3522367124</v>
      </c>
      <c r="BB121" s="121">
        <f t="shared" si="51"/>
        <v>0</v>
      </c>
      <c r="BC121" s="121">
        <f t="shared" si="52"/>
        <v>0</v>
      </c>
      <c r="BD121" s="121">
        <f t="shared" si="53"/>
        <v>0</v>
      </c>
      <c r="BE121" s="121">
        <f t="shared" si="54"/>
        <v>0</v>
      </c>
      <c r="BF121" s="121">
        <f t="shared" si="55"/>
        <v>0</v>
      </c>
      <c r="BG121" s="121">
        <f t="shared" si="56"/>
        <v>0</v>
      </c>
      <c r="BH121" s="121">
        <f t="shared" si="57"/>
        <v>0</v>
      </c>
      <c r="BI121" s="121">
        <f t="shared" si="58"/>
        <v>0</v>
      </c>
      <c r="BJ121" s="121">
        <f t="shared" si="59"/>
        <v>0</v>
      </c>
      <c r="BK121" s="121">
        <f t="shared" si="60"/>
        <v>0</v>
      </c>
      <c r="BL121" s="121">
        <f t="shared" si="61"/>
        <v>0</v>
      </c>
      <c r="BM121" s="121">
        <f t="shared" si="62"/>
        <v>0</v>
      </c>
      <c r="BN121" s="121">
        <f t="shared" si="63"/>
        <v>0</v>
      </c>
      <c r="BO121" s="121">
        <f t="shared" si="64"/>
        <v>0</v>
      </c>
      <c r="BP121" s="121">
        <f t="shared" si="65"/>
        <v>0</v>
      </c>
      <c r="BQ121" s="199">
        <f>INDEX('GDP deflators'!$C$6:$M$36,MATCH('Bottom-up tagging'!$D121,'GDP deflators'!$B$6:$B$36,),MATCH('Bottom-up tagging'!$E121,'GDP deflators'!$C$5:$L$5,))/100</f>
        <v>1.1575830941589131</v>
      </c>
      <c r="BR121" s="24">
        <v>5000000</v>
      </c>
    </row>
    <row r="122" spans="2:70" ht="26.15" hidden="1" customHeight="1">
      <c r="B122" s="110" t="s">
        <v>96</v>
      </c>
      <c r="C122" s="110" t="s">
        <v>100</v>
      </c>
      <c r="D122" s="110" t="s">
        <v>3994</v>
      </c>
      <c r="E122" s="103">
        <v>2018</v>
      </c>
      <c r="F122" s="108" t="s">
        <v>8260</v>
      </c>
      <c r="G122" s="111" t="s">
        <v>25</v>
      </c>
      <c r="H122" s="110" t="s">
        <v>10451</v>
      </c>
      <c r="I122" s="112">
        <f>IF(Dashboard!$B$16="Current USD",'Bottom-up tagging'!BR122,'Bottom-up tagging'!BR122/'Bottom-up tagging'!BQ122)</f>
        <v>3327634.2066678074</v>
      </c>
      <c r="J122" s="105" t="s">
        <v>10474</v>
      </c>
      <c r="K122" s="112"/>
      <c r="L122" s="135">
        <v>1</v>
      </c>
      <c r="M122" s="135">
        <v>1</v>
      </c>
      <c r="N122" s="112"/>
      <c r="O122" s="112"/>
      <c r="P122" s="112" t="str">
        <f>VLOOKUP(B122, 'Companies covered restructured'!$B$7:$K$470, 9, FALSE)</f>
        <v>Agri marketplaces</v>
      </c>
      <c r="Q122" s="112" t="str">
        <f>VLOOKUP(B122, 'Companies covered restructured'!$B$7:$K$470, 6, FALSE)</f>
        <v>#Crops(100)</v>
      </c>
      <c r="R122" s="112" t="str">
        <f t="shared" si="37"/>
        <v>#Investment Fund(100)</v>
      </c>
      <c r="S122" s="112" t="s">
        <v>11003</v>
      </c>
      <c r="T122" s="112" t="s">
        <v>10466</v>
      </c>
      <c r="U122" s="103" t="s">
        <v>10970</v>
      </c>
      <c r="V122" s="112" t="str">
        <f>VLOOKUP(P122, 'Bottom-up Tagging Assumptions'!$B$12:$F$39, 5, FALSE)</f>
        <v>#Process Innovation(100)</v>
      </c>
      <c r="W122" s="112" t="str">
        <f>VLOOKUP(B122, 'Companies covered restructured'!$B$7:$K$470, 7, FALSE)</f>
        <v>#Farm/Household(100)</v>
      </c>
      <c r="X122" s="112" t="s">
        <v>10558</v>
      </c>
      <c r="Y122" s="212" t="str">
        <f>VLOOKUP(P122, 'Bottom-up Tagging Assumptions'!$B$12:$C$56, 2, FALSE)</f>
        <v>#Other Economic(P); Social(S)</v>
      </c>
      <c r="Z122" s="112" t="str">
        <f>VLOOKUP(P122, 'Bottom-up Tagging Assumptions'!$B$12:$F$56, 3, FALSE)</f>
        <v>#Improve price realization(P)</v>
      </c>
      <c r="AA122" s="112" t="str">
        <f>VLOOKUP(P122, 'Bottom-up Tagging Assumptions'!$B$12:$F$56, 4, FALSE)</f>
        <v>#Level 4(100)</v>
      </c>
      <c r="AB122" s="110" t="s">
        <v>1517</v>
      </c>
      <c r="AC122" s="110" t="s">
        <v>1518</v>
      </c>
      <c r="AD122" s="110" t="s">
        <v>1519</v>
      </c>
      <c r="AE122" s="110" t="s">
        <v>3114</v>
      </c>
      <c r="AF122" s="112">
        <v>16507907</v>
      </c>
      <c r="AG122" s="110" t="s">
        <v>464</v>
      </c>
      <c r="AH122" s="121">
        <f t="shared" si="38"/>
        <v>0</v>
      </c>
      <c r="AI122" s="121">
        <f t="shared" si="39"/>
        <v>0</v>
      </c>
      <c r="AJ122" s="121">
        <f t="shared" si="40"/>
        <v>1</v>
      </c>
      <c r="AK122" s="121">
        <f t="shared" si="41"/>
        <v>1</v>
      </c>
      <c r="AL122" s="121">
        <f t="shared" si="42"/>
        <v>0</v>
      </c>
      <c r="AM122" s="121">
        <f t="shared" si="43"/>
        <v>0</v>
      </c>
      <c r="AN122" s="121">
        <f t="shared" si="44"/>
        <v>1</v>
      </c>
      <c r="AO122" s="121">
        <f t="shared" si="45"/>
        <v>0</v>
      </c>
      <c r="AP122" s="22">
        <f t="shared" si="46"/>
        <v>0</v>
      </c>
      <c r="AQ122" s="22">
        <f t="shared" si="47"/>
        <v>3327634.2066678074</v>
      </c>
      <c r="AR122" s="22">
        <f t="shared" si="48"/>
        <v>0</v>
      </c>
      <c r="AS122" s="121" t="str">
        <f t="shared" si="49"/>
        <v>Crops</v>
      </c>
      <c r="AT122" s="121" t="str">
        <f t="shared" si="68"/>
        <v xml:space="preserve"> </v>
      </c>
      <c r="AU122" s="121" t="str">
        <f t="shared" si="68"/>
        <v xml:space="preserve"> </v>
      </c>
      <c r="AV122" s="121" t="str">
        <f t="shared" si="68"/>
        <v xml:space="preserve"> </v>
      </c>
      <c r="AW122" s="130" t="str">
        <f t="shared" si="69"/>
        <v>100</v>
      </c>
      <c r="AX122" s="130" t="str">
        <f t="shared" si="69"/>
        <v xml:space="preserve"> </v>
      </c>
      <c r="AY122" s="130" t="str">
        <f t="shared" si="69"/>
        <v xml:space="preserve"> </v>
      </c>
      <c r="AZ122" s="130" t="str">
        <f t="shared" si="69"/>
        <v xml:space="preserve"> </v>
      </c>
      <c r="BA122" s="121">
        <f t="shared" si="50"/>
        <v>3327634.2066678079</v>
      </c>
      <c r="BB122" s="121">
        <f t="shared" si="51"/>
        <v>0</v>
      </c>
      <c r="BC122" s="121">
        <f t="shared" si="52"/>
        <v>0</v>
      </c>
      <c r="BD122" s="121">
        <f t="shared" si="53"/>
        <v>0</v>
      </c>
      <c r="BE122" s="121">
        <f t="shared" si="54"/>
        <v>0</v>
      </c>
      <c r="BF122" s="121">
        <f t="shared" si="55"/>
        <v>0</v>
      </c>
      <c r="BG122" s="121">
        <f t="shared" si="56"/>
        <v>0</v>
      </c>
      <c r="BH122" s="121">
        <f t="shared" si="57"/>
        <v>0</v>
      </c>
      <c r="BI122" s="121">
        <f t="shared" si="58"/>
        <v>3327634.2066678079</v>
      </c>
      <c r="BJ122" s="121">
        <f t="shared" si="59"/>
        <v>3327634.2066678074</v>
      </c>
      <c r="BK122" s="121">
        <f t="shared" si="60"/>
        <v>3327634.2066678074</v>
      </c>
      <c r="BL122" s="121">
        <f t="shared" si="61"/>
        <v>3327634.2066678074</v>
      </c>
      <c r="BM122" s="121">
        <f t="shared" si="62"/>
        <v>0</v>
      </c>
      <c r="BN122" s="121">
        <f t="shared" si="63"/>
        <v>0</v>
      </c>
      <c r="BO122" s="121">
        <f t="shared" si="64"/>
        <v>0</v>
      </c>
      <c r="BP122" s="121">
        <f t="shared" si="65"/>
        <v>0</v>
      </c>
      <c r="BQ122" s="199">
        <f>INDEX('GDP deflators'!$C$6:$M$36,MATCH('Bottom-up tagging'!$D122,'GDP deflators'!$B$6:$B$36,),MATCH('Bottom-up tagging'!$E122,'GDP deflators'!$C$5:$L$5,))/100</f>
        <v>1.4753935363936217</v>
      </c>
      <c r="BR122" s="24">
        <v>4909570</v>
      </c>
    </row>
    <row r="123" spans="2:70" ht="26.15" hidden="1" customHeight="1">
      <c r="B123" s="110" t="s">
        <v>2472</v>
      </c>
      <c r="C123" s="110" t="s">
        <v>2476</v>
      </c>
      <c r="D123" s="110" t="s">
        <v>2057</v>
      </c>
      <c r="E123" s="103">
        <v>2016</v>
      </c>
      <c r="F123" s="108" t="s">
        <v>9178</v>
      </c>
      <c r="G123" s="111" t="s">
        <v>109</v>
      </c>
      <c r="H123" s="110" t="s">
        <v>10451</v>
      </c>
      <c r="I123" s="112">
        <f>IF(Dashboard!$B$16="Current USD",'Bottom-up tagging'!BR123,'Bottom-up tagging'!BR123/'Bottom-up tagging'!BQ123)</f>
        <v>4001633.2506702002</v>
      </c>
      <c r="J123" s="105" t="s">
        <v>10474</v>
      </c>
      <c r="K123" s="112"/>
      <c r="L123" s="135">
        <v>1</v>
      </c>
      <c r="M123" s="135">
        <v>1</v>
      </c>
      <c r="N123" s="112"/>
      <c r="O123" s="112"/>
      <c r="P123" s="112" t="str">
        <f>VLOOKUP(B123, 'Companies covered restructured'!$B$7:$K$470, 9, FALSE)</f>
        <v>Agri marketplaces</v>
      </c>
      <c r="Q123" s="112" t="str">
        <f>VLOOKUP(B123, 'Companies covered restructured'!$B$7:$K$470, 6, FALSE)</f>
        <v>#Crops(100)</v>
      </c>
      <c r="R123" s="112" t="str">
        <f t="shared" si="37"/>
        <v>#Corporate(100)</v>
      </c>
      <c r="S123" s="112" t="s">
        <v>11003</v>
      </c>
      <c r="T123" s="112" t="s">
        <v>10466</v>
      </c>
      <c r="U123" s="116" t="s">
        <v>10970</v>
      </c>
      <c r="V123" s="112" t="str">
        <f>VLOOKUP(P123, 'Bottom-up Tagging Assumptions'!$B$12:$F$39, 5, FALSE)</f>
        <v>#Process Innovation(100)</v>
      </c>
      <c r="W123" s="112" t="str">
        <f>VLOOKUP(B123, 'Companies covered restructured'!$B$7:$K$470, 7, FALSE)</f>
        <v>N/A</v>
      </c>
      <c r="X123" s="112" t="str">
        <f>VLOOKUP(B123, 'Companies covered restructured'!$B$7:$K$470, 8, FALSE)</f>
        <v>#Small(100)</v>
      </c>
      <c r="Y123" s="212" t="str">
        <f>VLOOKUP(P123, 'Bottom-up Tagging Assumptions'!$B$12:$C$56, 2, FALSE)</f>
        <v>#Other Economic(P); Social(S)</v>
      </c>
      <c r="Z123" s="112" t="str">
        <f>VLOOKUP(P123, 'Bottom-up Tagging Assumptions'!$B$12:$F$56, 3, FALSE)</f>
        <v>#Improve price realization(P)</v>
      </c>
      <c r="AA123" s="112" t="str">
        <f>VLOOKUP(P123, 'Bottom-up Tagging Assumptions'!$B$12:$F$56, 4, FALSE)</f>
        <v>#Level 4(100)</v>
      </c>
      <c r="AB123" s="110" t="s">
        <v>2474</v>
      </c>
      <c r="AC123" s="110"/>
      <c r="AD123" s="110" t="s">
        <v>2475</v>
      </c>
      <c r="AE123" s="110" t="str">
        <f>VLOOKUP(AD123,  '1.2'!$B$7:$C$2033, 2, FALSE)</f>
        <v>CORPORATE_INVESTOR</v>
      </c>
      <c r="AF123" s="112"/>
      <c r="AG123" s="110" t="s">
        <v>1704</v>
      </c>
      <c r="AH123" s="121">
        <f t="shared" si="38"/>
        <v>0</v>
      </c>
      <c r="AI123" s="121">
        <f t="shared" si="39"/>
        <v>0</v>
      </c>
      <c r="AJ123" s="121">
        <f t="shared" si="40"/>
        <v>1</v>
      </c>
      <c r="AK123" s="121">
        <f t="shared" si="41"/>
        <v>1</v>
      </c>
      <c r="AL123" s="121">
        <f t="shared" si="42"/>
        <v>0</v>
      </c>
      <c r="AM123" s="121">
        <f t="shared" si="43"/>
        <v>0</v>
      </c>
      <c r="AN123" s="121">
        <f t="shared" si="44"/>
        <v>1</v>
      </c>
      <c r="AO123" s="121">
        <f t="shared" si="45"/>
        <v>0</v>
      </c>
      <c r="AP123" s="22">
        <f t="shared" si="46"/>
        <v>0</v>
      </c>
      <c r="AQ123" s="22">
        <f t="shared" si="47"/>
        <v>4001633.2506702002</v>
      </c>
      <c r="AR123" s="22">
        <f t="shared" si="48"/>
        <v>0</v>
      </c>
      <c r="AS123" s="121" t="str">
        <f t="shared" si="49"/>
        <v>Crops</v>
      </c>
      <c r="AT123" s="121" t="str">
        <f t="shared" si="68"/>
        <v xml:space="preserve"> </v>
      </c>
      <c r="AU123" s="121" t="str">
        <f t="shared" si="68"/>
        <v xml:space="preserve"> </v>
      </c>
      <c r="AV123" s="121" t="str">
        <f t="shared" si="68"/>
        <v xml:space="preserve"> </v>
      </c>
      <c r="AW123" s="130" t="str">
        <f t="shared" si="69"/>
        <v>100</v>
      </c>
      <c r="AX123" s="130" t="str">
        <f t="shared" si="69"/>
        <v xml:space="preserve"> </v>
      </c>
      <c r="AY123" s="130" t="str">
        <f t="shared" si="69"/>
        <v xml:space="preserve"> </v>
      </c>
      <c r="AZ123" s="130" t="str">
        <f t="shared" si="69"/>
        <v xml:space="preserve"> </v>
      </c>
      <c r="BA123" s="121">
        <f t="shared" si="50"/>
        <v>4001633.2506702002</v>
      </c>
      <c r="BB123" s="121">
        <f t="shared" si="51"/>
        <v>0</v>
      </c>
      <c r="BC123" s="121">
        <f t="shared" si="52"/>
        <v>0</v>
      </c>
      <c r="BD123" s="121">
        <f t="shared" si="53"/>
        <v>0</v>
      </c>
      <c r="BE123" s="121">
        <f t="shared" si="54"/>
        <v>0</v>
      </c>
      <c r="BF123" s="121">
        <f t="shared" si="55"/>
        <v>0</v>
      </c>
      <c r="BG123" s="121">
        <f t="shared" si="56"/>
        <v>0</v>
      </c>
      <c r="BH123" s="121">
        <f t="shared" si="57"/>
        <v>0</v>
      </c>
      <c r="BI123" s="121">
        <f t="shared" si="58"/>
        <v>4001633.2506702002</v>
      </c>
      <c r="BJ123" s="121">
        <f t="shared" si="59"/>
        <v>4001633.2506702002</v>
      </c>
      <c r="BK123" s="121">
        <f t="shared" si="60"/>
        <v>4001633.2506702002</v>
      </c>
      <c r="BL123" s="121">
        <f t="shared" si="61"/>
        <v>4001633.2506702002</v>
      </c>
      <c r="BM123" s="121">
        <f t="shared" si="62"/>
        <v>0</v>
      </c>
      <c r="BN123" s="121">
        <f t="shared" si="63"/>
        <v>0</v>
      </c>
      <c r="BO123" s="121">
        <f t="shared" si="64"/>
        <v>0</v>
      </c>
      <c r="BP123" s="121">
        <f t="shared" si="65"/>
        <v>0</v>
      </c>
      <c r="BQ123" s="199">
        <f>INDEX('GDP deflators'!$C$6:$M$36,MATCH('Bottom-up tagging'!$D123,'GDP deflators'!$B$6:$B$36,),MATCH('Bottom-up tagging'!$E123,'GDP deflators'!$C$5:$L$5,))/100</f>
        <v>1.1575830941589131</v>
      </c>
      <c r="BR123" s="24">
        <v>4632223</v>
      </c>
    </row>
    <row r="124" spans="2:70" ht="26.15" hidden="1" customHeight="1">
      <c r="B124" s="110" t="s">
        <v>2597</v>
      </c>
      <c r="C124" s="110" t="s">
        <v>2599</v>
      </c>
      <c r="D124" s="110" t="s">
        <v>2057</v>
      </c>
      <c r="E124" s="103">
        <v>2015</v>
      </c>
      <c r="F124" s="108" t="s">
        <v>9373</v>
      </c>
      <c r="G124" s="111" t="s">
        <v>109</v>
      </c>
      <c r="H124" s="110" t="s">
        <v>10451</v>
      </c>
      <c r="I124" s="112">
        <f>IF(Dashboard!$B$16="Current USD",'Bottom-up tagging'!BR124,'Bottom-up tagging'!BR124/'Bottom-up tagging'!BQ124)</f>
        <v>4029723.4739125688</v>
      </c>
      <c r="J124" s="105" t="s">
        <v>10474</v>
      </c>
      <c r="K124" s="112"/>
      <c r="L124" s="135">
        <v>1</v>
      </c>
      <c r="M124" s="135">
        <v>1</v>
      </c>
      <c r="N124" s="112"/>
      <c r="O124" s="112"/>
      <c r="P124" s="112" t="str">
        <f>VLOOKUP(B124, 'Companies covered restructured'!$B$7:$K$470, 9, FALSE)</f>
        <v>Precision livestock farming</v>
      </c>
      <c r="Q124" s="112" t="str">
        <f>VLOOKUP(B124, 'Companies covered restructured'!$B$7:$K$470, 6, FALSE)</f>
        <v>#Livestock(100)</v>
      </c>
      <c r="R124" s="112" t="str">
        <f t="shared" si="37"/>
        <v>N/A</v>
      </c>
      <c r="S124" s="112" t="s">
        <v>11003</v>
      </c>
      <c r="T124" s="112" t="s">
        <v>10466</v>
      </c>
      <c r="U124" s="103" t="s">
        <v>10970</v>
      </c>
      <c r="V124" s="112" t="str">
        <f>VLOOKUP(P124, 'Bottom-up Tagging Assumptions'!$B$12:$F$39, 5, FALSE)</f>
        <v>#Science &amp; tech(100)</v>
      </c>
      <c r="W124" s="112" t="str">
        <f>VLOOKUP(B124, 'Companies covered restructured'!$B$7:$K$470, 7, FALSE)</f>
        <v>#Field/Animal Herd(100)</v>
      </c>
      <c r="X124" s="112" t="str">
        <f>VLOOKUP(B124, 'Companies covered restructured'!$B$7:$K$470, 8, FALSE)</f>
        <v>N/A</v>
      </c>
      <c r="Y124" s="212" t="str">
        <f>VLOOKUP(P124, 'Bottom-up Tagging Assumptions'!$B$12:$C$56, 2, FALSE)</f>
        <v>#Other Economic(P); #Productivity(S)</v>
      </c>
      <c r="Z124" s="112" t="str">
        <f>VLOOKUP(P124, 'Bottom-up Tagging Assumptions'!$B$12:$F$56, 3, FALSE)</f>
        <v>#Increasing output per unit input(P); #Increasing crop or animal yield(S)</v>
      </c>
      <c r="AA124" s="112" t="str">
        <f>VLOOKUP(P124, 'Bottom-up Tagging Assumptions'!$B$12:$F$56, 4, FALSE)</f>
        <v>#Level 1(100)</v>
      </c>
      <c r="AB124" s="110"/>
      <c r="AC124" s="110"/>
      <c r="AD124" s="110"/>
      <c r="AE124" s="110" t="s">
        <v>10558</v>
      </c>
      <c r="AF124" s="112">
        <v>264994</v>
      </c>
      <c r="AG124" s="110" t="s">
        <v>968</v>
      </c>
      <c r="AH124" s="121">
        <f t="shared" si="38"/>
        <v>0</v>
      </c>
      <c r="AI124" s="121">
        <f t="shared" si="39"/>
        <v>1</v>
      </c>
      <c r="AJ124" s="121">
        <f t="shared" si="40"/>
        <v>1</v>
      </c>
      <c r="AK124" s="121">
        <f t="shared" si="41"/>
        <v>0</v>
      </c>
      <c r="AL124" s="121">
        <f t="shared" si="42"/>
        <v>0</v>
      </c>
      <c r="AM124" s="121">
        <f t="shared" si="43"/>
        <v>0</v>
      </c>
      <c r="AN124" s="121">
        <f t="shared" si="44"/>
        <v>0</v>
      </c>
      <c r="AO124" s="121">
        <f t="shared" si="45"/>
        <v>0</v>
      </c>
      <c r="AP124" s="22">
        <f t="shared" si="46"/>
        <v>0</v>
      </c>
      <c r="AQ124" s="22">
        <f t="shared" si="47"/>
        <v>0</v>
      </c>
      <c r="AR124" s="22">
        <f t="shared" si="48"/>
        <v>0</v>
      </c>
      <c r="AS124" s="121" t="str">
        <f t="shared" si="49"/>
        <v>Livestock</v>
      </c>
      <c r="AT124" s="121" t="str">
        <f t="shared" si="68"/>
        <v xml:space="preserve"> </v>
      </c>
      <c r="AU124" s="121" t="str">
        <f t="shared" si="68"/>
        <v xml:space="preserve"> </v>
      </c>
      <c r="AV124" s="121" t="str">
        <f t="shared" si="68"/>
        <v xml:space="preserve"> </v>
      </c>
      <c r="AW124" s="130" t="str">
        <f t="shared" si="69"/>
        <v>100</v>
      </c>
      <c r="AX124" s="130" t="str">
        <f t="shared" si="69"/>
        <v xml:space="preserve"> </v>
      </c>
      <c r="AY124" s="130" t="str">
        <f t="shared" si="69"/>
        <v xml:space="preserve"> </v>
      </c>
      <c r="AZ124" s="130" t="str">
        <f t="shared" si="69"/>
        <v xml:space="preserve"> </v>
      </c>
      <c r="BA124" s="121">
        <f t="shared" si="50"/>
        <v>4029723.4739125688</v>
      </c>
      <c r="BB124" s="121">
        <f t="shared" si="51"/>
        <v>0</v>
      </c>
      <c r="BC124" s="121">
        <f t="shared" si="52"/>
        <v>0</v>
      </c>
      <c r="BD124" s="121">
        <f t="shared" si="53"/>
        <v>0</v>
      </c>
      <c r="BE124" s="121">
        <f t="shared" si="54"/>
        <v>0</v>
      </c>
      <c r="BF124" s="121">
        <f t="shared" si="55"/>
        <v>0</v>
      </c>
      <c r="BG124" s="121">
        <f t="shared" si="56"/>
        <v>0</v>
      </c>
      <c r="BH124" s="121">
        <f t="shared" si="57"/>
        <v>0</v>
      </c>
      <c r="BI124" s="121">
        <f t="shared" si="58"/>
        <v>0</v>
      </c>
      <c r="BJ124" s="121">
        <f t="shared" si="59"/>
        <v>0</v>
      </c>
      <c r="BK124" s="121">
        <f t="shared" si="60"/>
        <v>0</v>
      </c>
      <c r="BL124" s="121">
        <f t="shared" si="61"/>
        <v>0</v>
      </c>
      <c r="BM124" s="121">
        <f t="shared" si="62"/>
        <v>0</v>
      </c>
      <c r="BN124" s="121">
        <f t="shared" si="63"/>
        <v>0</v>
      </c>
      <c r="BO124" s="121">
        <f t="shared" si="64"/>
        <v>0</v>
      </c>
      <c r="BP124" s="121">
        <f t="shared" si="65"/>
        <v>0</v>
      </c>
      <c r="BQ124" s="199">
        <f>INDEX('GDP deflators'!$C$6:$M$36,MATCH('Bottom-up tagging'!$D124,'GDP deflators'!$B$6:$B$36,),MATCH('Bottom-up tagging'!$E124,'GDP deflators'!$C$5:$L$5,))/100</f>
        <v>1.1415175333442258</v>
      </c>
      <c r="BR124" s="24">
        <v>4600000</v>
      </c>
    </row>
    <row r="125" spans="2:70" ht="26.15" hidden="1" customHeight="1">
      <c r="B125" s="110" t="s">
        <v>452</v>
      </c>
      <c r="C125" s="110" t="s">
        <v>456</v>
      </c>
      <c r="D125" s="110" t="s">
        <v>7086</v>
      </c>
      <c r="E125" s="103">
        <v>2017</v>
      </c>
      <c r="F125" s="108" t="s">
        <v>7089</v>
      </c>
      <c r="G125" s="111" t="s">
        <v>34</v>
      </c>
      <c r="H125" s="110" t="s">
        <v>10451</v>
      </c>
      <c r="I125" s="112">
        <f>IF(Dashboard!$B$16="Current USD",'Bottom-up tagging'!BR125,'Bottom-up tagging'!BR125/'Bottom-up tagging'!BQ125)</f>
        <v>4590286.0131628066</v>
      </c>
      <c r="J125" s="117" t="s">
        <v>10474</v>
      </c>
      <c r="K125" s="112"/>
      <c r="L125" s="135">
        <v>1</v>
      </c>
      <c r="M125" s="135">
        <v>1</v>
      </c>
      <c r="N125" s="112"/>
      <c r="O125" s="112"/>
      <c r="P125" s="112" t="str">
        <f>VLOOKUP(B125, 'Companies covered restructured'!$B$7:$K$470, 9, FALSE)</f>
        <v xml:space="preserve">Hydroponics </v>
      </c>
      <c r="Q125" s="112" t="str">
        <f>VLOOKUP(B125, 'Companies covered restructured'!$B$7:$K$470, 6, FALSE)</f>
        <v>#Crops(100)</v>
      </c>
      <c r="R125" s="112" t="str">
        <f t="shared" si="37"/>
        <v>#Angel Investor(100)</v>
      </c>
      <c r="S125" s="112" t="s">
        <v>11003</v>
      </c>
      <c r="T125" s="112" t="s">
        <v>10466</v>
      </c>
      <c r="U125" s="103" t="s">
        <v>10970</v>
      </c>
      <c r="V125" s="112" t="str">
        <f>VLOOKUP(P125, 'Bottom-up Tagging Assumptions'!$B$12:$F$39, 5, FALSE)</f>
        <v>#Science &amp; tech(100)</v>
      </c>
      <c r="W125" s="112" t="str">
        <f>VLOOKUP(B125, 'Companies covered restructured'!$B$7:$K$470, 7, FALSE)</f>
        <v>#Field/Animal Herd(100)</v>
      </c>
      <c r="X125" s="112" t="s">
        <v>10558</v>
      </c>
      <c r="Y125" s="212" t="str">
        <f>VLOOKUP(P125, 'Bottom-up Tagging Assumptions'!$B$12:$C$56, 2, FALSE)</f>
        <v>#Human Condition(P); #Environmental(S); #Productivity(S)</v>
      </c>
      <c r="Z125" s="112" t="str">
        <f>VLOOKUP(P125, 'Bottom-up Tagging Assumptions'!$B$12:$F$56, 3, FALSE)</f>
        <v>#Food security(P); #Reducing production variability(S)</v>
      </c>
      <c r="AA125" s="112" t="str">
        <f>VLOOKUP(P125, 'Bottom-up Tagging Assumptions'!$B$12:$F$56, 4, FALSE)</f>
        <v>#Level 2(100)</v>
      </c>
      <c r="AB125" s="110"/>
      <c r="AC125" s="110" t="s">
        <v>1912</v>
      </c>
      <c r="AD125" s="110" t="s">
        <v>1912</v>
      </c>
      <c r="AE125" s="110" t="s">
        <v>3127</v>
      </c>
      <c r="AF125" s="112">
        <v>29000000</v>
      </c>
      <c r="AG125" s="110" t="s">
        <v>490</v>
      </c>
      <c r="AH125" s="121">
        <f t="shared" si="38"/>
        <v>1</v>
      </c>
      <c r="AI125" s="121">
        <f t="shared" si="39"/>
        <v>1</v>
      </c>
      <c r="AJ125" s="121">
        <f t="shared" si="40"/>
        <v>0</v>
      </c>
      <c r="AK125" s="121">
        <f t="shared" si="41"/>
        <v>0</v>
      </c>
      <c r="AL125" s="121">
        <f t="shared" si="42"/>
        <v>1</v>
      </c>
      <c r="AM125" s="121">
        <f t="shared" si="43"/>
        <v>1</v>
      </c>
      <c r="AN125" s="121">
        <f t="shared" si="44"/>
        <v>1</v>
      </c>
      <c r="AO125" s="121">
        <f t="shared" si="45"/>
        <v>1</v>
      </c>
      <c r="AP125" s="22">
        <f t="shared" si="46"/>
        <v>4590286.0131628066</v>
      </c>
      <c r="AQ125" s="22">
        <f t="shared" si="47"/>
        <v>4590286.0131628066</v>
      </c>
      <c r="AR125" s="22">
        <f t="shared" si="48"/>
        <v>4590286.0131628066</v>
      </c>
      <c r="AS125" s="121" t="str">
        <f t="shared" si="49"/>
        <v>Crops</v>
      </c>
      <c r="AT125" s="121" t="str">
        <f t="shared" si="68"/>
        <v xml:space="preserve"> </v>
      </c>
      <c r="AU125" s="121" t="str">
        <f t="shared" si="68"/>
        <v xml:space="preserve"> </v>
      </c>
      <c r="AV125" s="121" t="str">
        <f t="shared" si="68"/>
        <v xml:space="preserve"> </v>
      </c>
      <c r="AW125" s="130" t="str">
        <f t="shared" si="69"/>
        <v>100</v>
      </c>
      <c r="AX125" s="130" t="str">
        <f t="shared" si="69"/>
        <v xml:space="preserve"> </v>
      </c>
      <c r="AY125" s="130" t="str">
        <f t="shared" si="69"/>
        <v xml:space="preserve"> </v>
      </c>
      <c r="AZ125" s="130" t="str">
        <f t="shared" si="69"/>
        <v xml:space="preserve"> </v>
      </c>
      <c r="BA125" s="121">
        <f t="shared" si="50"/>
        <v>4590286.0131628066</v>
      </c>
      <c r="BB125" s="121">
        <f t="shared" si="51"/>
        <v>0</v>
      </c>
      <c r="BC125" s="121">
        <f t="shared" si="52"/>
        <v>0</v>
      </c>
      <c r="BD125" s="121">
        <f t="shared" si="53"/>
        <v>0</v>
      </c>
      <c r="BE125" s="121">
        <f t="shared" si="54"/>
        <v>4590286.0131628066</v>
      </c>
      <c r="BF125" s="121">
        <f t="shared" si="55"/>
        <v>4590286.0131628066</v>
      </c>
      <c r="BG125" s="121">
        <f t="shared" si="56"/>
        <v>4590286.0131628066</v>
      </c>
      <c r="BH125" s="121">
        <f t="shared" si="57"/>
        <v>4590286.0131628066</v>
      </c>
      <c r="BI125" s="121">
        <f t="shared" si="58"/>
        <v>4590286.0131628066</v>
      </c>
      <c r="BJ125" s="121">
        <f t="shared" si="59"/>
        <v>4590286.0131628066</v>
      </c>
      <c r="BK125" s="121">
        <f t="shared" si="60"/>
        <v>4590286.0131628066</v>
      </c>
      <c r="BL125" s="121">
        <f t="shared" si="61"/>
        <v>4590286.0131628066</v>
      </c>
      <c r="BM125" s="121">
        <f t="shared" si="62"/>
        <v>4590286.0131628066</v>
      </c>
      <c r="BN125" s="121">
        <f t="shared" si="63"/>
        <v>4590286.0131628066</v>
      </c>
      <c r="BO125" s="121">
        <f t="shared" si="64"/>
        <v>4590286.0131628066</v>
      </c>
      <c r="BP125" s="121">
        <f t="shared" si="65"/>
        <v>4590286.0131628066</v>
      </c>
      <c r="BQ125" s="199">
        <f>INDEX('GDP deflators'!$C$6:$M$36,MATCH('Bottom-up tagging'!$D125,'GDP deflators'!$B$6:$B$36,),MATCH('Bottom-up tagging'!$E125,'GDP deflators'!$C$5:$L$5,))/100</f>
        <v>0.98033107024183053</v>
      </c>
      <c r="BR125" s="24">
        <v>4500000</v>
      </c>
    </row>
    <row r="126" spans="2:70" ht="26.15" hidden="1" customHeight="1">
      <c r="B126" s="110" t="s">
        <v>1868</v>
      </c>
      <c r="C126" s="110" t="s">
        <v>1870</v>
      </c>
      <c r="D126" s="110" t="s">
        <v>3994</v>
      </c>
      <c r="E126" s="103">
        <v>2014</v>
      </c>
      <c r="F126" s="108" t="s">
        <v>8637</v>
      </c>
      <c r="G126" s="111" t="s">
        <v>25</v>
      </c>
      <c r="H126" s="110" t="s">
        <v>10451</v>
      </c>
      <c r="I126" s="112">
        <f>IF(Dashboard!$B$16="Current USD",'Bottom-up tagging'!BR126,'Bottom-up tagging'!BR126/'Bottom-up tagging'!BQ126)</f>
        <v>3494506.5865385826</v>
      </c>
      <c r="J126" s="105" t="s">
        <v>10474</v>
      </c>
      <c r="K126" s="112"/>
      <c r="L126" s="135">
        <v>1</v>
      </c>
      <c r="M126" s="135">
        <v>1</v>
      </c>
      <c r="N126" s="112"/>
      <c r="O126" s="112"/>
      <c r="P126" s="112" t="str">
        <f>VLOOKUP(B126, 'Companies covered restructured'!$B$7:$K$470, 9, FALSE)</f>
        <v>AI/analytics based advisory algorithms (incl. weather)</v>
      </c>
      <c r="Q126" s="112" t="str">
        <f>VLOOKUP(B126, 'Companies covered restructured'!$B$7:$K$470, 6, FALSE)</f>
        <v>#Crops(100)</v>
      </c>
      <c r="R126" s="112" t="str">
        <f t="shared" si="37"/>
        <v>#Corporate(100)</v>
      </c>
      <c r="S126" s="112" t="s">
        <v>11003</v>
      </c>
      <c r="T126" s="112" t="s">
        <v>10466</v>
      </c>
      <c r="U126" s="103" t="s">
        <v>10970</v>
      </c>
      <c r="V126" s="112" t="str">
        <f>VLOOKUP(P126, 'Bottom-up Tagging Assumptions'!$B$12:$F$39, 5, FALSE)</f>
        <v>#Science &amp; tech(100)</v>
      </c>
      <c r="W126" s="112" t="str">
        <f>VLOOKUP(B126, 'Companies covered restructured'!$B$7:$K$470, 7, FALSE)</f>
        <v>#Field/Animal Herd(100)</v>
      </c>
      <c r="X126" s="112" t="s">
        <v>10558</v>
      </c>
      <c r="Y126" s="212" t="str">
        <f>VLOOKUP(P126, 'Bottom-up Tagging Assumptions'!$B$12:$C$56, 2, FALSE)</f>
        <v>#Other Economic(P); #Productivity(S)</v>
      </c>
      <c r="Z126" s="112" t="str">
        <f>VLOOKUP(P126, 'Bottom-up Tagging Assumptions'!$B$12:$F$56, 3, FALSE)</f>
        <v>#Increasing output per unit input(P); #Increasing crop or animal yield(S)</v>
      </c>
      <c r="AA126" s="112" t="str">
        <f>VLOOKUP(P126, 'Bottom-up Tagging Assumptions'!$B$12:$F$56, 4, FALSE)</f>
        <v>#Level 1(100)</v>
      </c>
      <c r="AB126" s="110" t="s">
        <v>2838</v>
      </c>
      <c r="AC126" s="110"/>
      <c r="AD126" s="110" t="s">
        <v>2839</v>
      </c>
      <c r="AE126" s="110" t="str">
        <f>VLOOKUP(AD126,  '1.2'!$B$7:$C$2033, 2, FALSE)</f>
        <v>CORPORATE_INVESTOR</v>
      </c>
      <c r="AF126" s="112">
        <v>1570818</v>
      </c>
      <c r="AG126" s="110" t="s">
        <v>995</v>
      </c>
      <c r="AH126" s="121">
        <f t="shared" si="38"/>
        <v>0</v>
      </c>
      <c r="AI126" s="121">
        <f t="shared" si="39"/>
        <v>1</v>
      </c>
      <c r="AJ126" s="121">
        <f t="shared" si="40"/>
        <v>1</v>
      </c>
      <c r="AK126" s="121">
        <f t="shared" si="41"/>
        <v>0</v>
      </c>
      <c r="AL126" s="121">
        <f t="shared" si="42"/>
        <v>0</v>
      </c>
      <c r="AM126" s="121">
        <f t="shared" si="43"/>
        <v>0</v>
      </c>
      <c r="AN126" s="121">
        <f t="shared" si="44"/>
        <v>0</v>
      </c>
      <c r="AO126" s="121">
        <f t="shared" si="45"/>
        <v>0</v>
      </c>
      <c r="AP126" s="22">
        <f t="shared" si="46"/>
        <v>0</v>
      </c>
      <c r="AQ126" s="22">
        <f t="shared" si="47"/>
        <v>0</v>
      </c>
      <c r="AR126" s="22">
        <f t="shared" si="48"/>
        <v>0</v>
      </c>
      <c r="AS126" s="121" t="str">
        <f t="shared" si="49"/>
        <v>Crops</v>
      </c>
      <c r="AT126" s="121" t="str">
        <f t="shared" si="68"/>
        <v xml:space="preserve"> </v>
      </c>
      <c r="AU126" s="121" t="str">
        <f t="shared" si="68"/>
        <v xml:space="preserve"> </v>
      </c>
      <c r="AV126" s="121" t="str">
        <f t="shared" si="68"/>
        <v xml:space="preserve"> </v>
      </c>
      <c r="AW126" s="130" t="str">
        <f t="shared" si="69"/>
        <v>100</v>
      </c>
      <c r="AX126" s="130" t="str">
        <f t="shared" si="69"/>
        <v xml:space="preserve"> </v>
      </c>
      <c r="AY126" s="130" t="str">
        <f t="shared" si="69"/>
        <v xml:space="preserve"> </v>
      </c>
      <c r="AZ126" s="130" t="str">
        <f t="shared" si="69"/>
        <v xml:space="preserve"> </v>
      </c>
      <c r="BA126" s="121">
        <f t="shared" si="50"/>
        <v>3494506.5865385826</v>
      </c>
      <c r="BB126" s="121">
        <f t="shared" si="51"/>
        <v>0</v>
      </c>
      <c r="BC126" s="121">
        <f t="shared" si="52"/>
        <v>0</v>
      </c>
      <c r="BD126" s="121">
        <f t="shared" si="53"/>
        <v>0</v>
      </c>
      <c r="BE126" s="121">
        <f t="shared" si="54"/>
        <v>0</v>
      </c>
      <c r="BF126" s="121">
        <f t="shared" si="55"/>
        <v>0</v>
      </c>
      <c r="BG126" s="121">
        <f t="shared" si="56"/>
        <v>0</v>
      </c>
      <c r="BH126" s="121">
        <f t="shared" si="57"/>
        <v>0</v>
      </c>
      <c r="BI126" s="121">
        <f t="shared" si="58"/>
        <v>0</v>
      </c>
      <c r="BJ126" s="121">
        <f t="shared" si="59"/>
        <v>0</v>
      </c>
      <c r="BK126" s="121">
        <f t="shared" si="60"/>
        <v>0</v>
      </c>
      <c r="BL126" s="121">
        <f t="shared" si="61"/>
        <v>0</v>
      </c>
      <c r="BM126" s="121">
        <f t="shared" si="62"/>
        <v>0</v>
      </c>
      <c r="BN126" s="121">
        <f t="shared" si="63"/>
        <v>0</v>
      </c>
      <c r="BO126" s="121">
        <f t="shared" si="64"/>
        <v>0</v>
      </c>
      <c r="BP126" s="121">
        <f t="shared" si="65"/>
        <v>0</v>
      </c>
      <c r="BQ126" s="199">
        <f>INDEX('GDP deflators'!$C$6:$M$36,MATCH('Bottom-up tagging'!$D126,'GDP deflators'!$B$6:$B$36,),MATCH('Bottom-up tagging'!$E126,'GDP deflators'!$C$5:$L$5,))/100</f>
        <v>1.2877354466392321</v>
      </c>
      <c r="BR126" s="24">
        <v>4500000</v>
      </c>
    </row>
    <row r="127" spans="2:70" ht="26.15" hidden="1" customHeight="1">
      <c r="B127" s="110" t="s">
        <v>110</v>
      </c>
      <c r="C127" s="110" t="s">
        <v>114</v>
      </c>
      <c r="D127" s="110" t="s">
        <v>3994</v>
      </c>
      <c r="E127" s="103">
        <v>2020</v>
      </c>
      <c r="F127" s="108" t="s">
        <v>8302</v>
      </c>
      <c r="G127" s="111" t="s">
        <v>109</v>
      </c>
      <c r="H127" s="110" t="s">
        <v>10451</v>
      </c>
      <c r="I127" s="212">
        <v>0</v>
      </c>
      <c r="J127" s="117" t="s">
        <v>10474</v>
      </c>
      <c r="K127" s="112"/>
      <c r="L127" s="135">
        <v>1</v>
      </c>
      <c r="M127" s="135">
        <v>1</v>
      </c>
      <c r="N127" s="112"/>
      <c r="O127" s="112"/>
      <c r="P127" s="112" t="str">
        <f>VLOOKUP(B127, 'Companies covered restructured'!$B$7:$K$470, 9, FALSE)</f>
        <v>Supply chain technologies</v>
      </c>
      <c r="Q127" s="112" t="str">
        <f>VLOOKUP(B127, 'Companies covered restructured'!$B$7:$K$470, 6, FALSE)</f>
        <v>#Crops(100)</v>
      </c>
      <c r="R127" s="112" t="str">
        <f t="shared" si="37"/>
        <v>#Investment Fund(100)</v>
      </c>
      <c r="S127" s="112" t="s">
        <v>11003</v>
      </c>
      <c r="T127" s="112" t="s">
        <v>10466</v>
      </c>
      <c r="U127" s="103" t="s">
        <v>10970</v>
      </c>
      <c r="V127" s="112" t="str">
        <f>VLOOKUP(P127, 'Bottom-up Tagging Assumptions'!$B$12:$F$39, 5, FALSE)</f>
        <v>#Process Innovation(100)</v>
      </c>
      <c r="W127" s="112" t="str">
        <f>VLOOKUP(B127, 'Companies covered restructured'!$B$7:$K$470, 7, FALSE)</f>
        <v>#Farm/Household(100)</v>
      </c>
      <c r="X127" s="112" t="s">
        <v>10558</v>
      </c>
      <c r="Y127" s="112" t="str">
        <f>VLOOKUP(P127, '[2]Bottom-up Tagging Assumptions'!$B$12:$F$56, 2, FALSE)</f>
        <v>#Other Economic(P); Social(S)</v>
      </c>
      <c r="Z127" s="112" t="str">
        <f>VLOOKUP(P127, 'Bottom-up Tagging Assumptions'!$B$12:$F$56, 3, FALSE)</f>
        <v>#Improve price realization(P)</v>
      </c>
      <c r="AA127" s="112" t="str">
        <f>VLOOKUP(P127, 'Bottom-up Tagging Assumptions'!$B$12:$F$56, 4, FALSE)</f>
        <v>#Level 3(100)</v>
      </c>
      <c r="AB127" s="110" t="s">
        <v>112</v>
      </c>
      <c r="AC127" s="110"/>
      <c r="AD127" s="110" t="s">
        <v>113</v>
      </c>
      <c r="AE127" s="110" t="str">
        <f>VLOOKUP(AD127,  '1.2'!$B$7:$C$2033, 2, FALSE)</f>
        <v>FUND</v>
      </c>
      <c r="AF127" s="112"/>
      <c r="AG127" s="110" t="s">
        <v>1723</v>
      </c>
      <c r="AH127" s="121">
        <f t="shared" si="38"/>
        <v>0</v>
      </c>
      <c r="AI127" s="121">
        <f t="shared" si="39"/>
        <v>0</v>
      </c>
      <c r="AJ127" s="121">
        <f t="shared" si="40"/>
        <v>1</v>
      </c>
      <c r="AK127" s="121">
        <f t="shared" si="41"/>
        <v>1</v>
      </c>
      <c r="AL127" s="121">
        <f t="shared" si="42"/>
        <v>0</v>
      </c>
      <c r="AM127" s="121">
        <f t="shared" si="43"/>
        <v>0</v>
      </c>
      <c r="AN127" s="121">
        <f t="shared" si="44"/>
        <v>1</v>
      </c>
      <c r="AO127" s="121">
        <f t="shared" si="45"/>
        <v>0</v>
      </c>
      <c r="AP127" s="22">
        <f t="shared" si="46"/>
        <v>0</v>
      </c>
      <c r="AQ127" s="22">
        <f t="shared" si="47"/>
        <v>0</v>
      </c>
      <c r="AR127" s="22">
        <f t="shared" si="48"/>
        <v>0</v>
      </c>
      <c r="AS127" s="121" t="str">
        <f t="shared" si="49"/>
        <v>Crops</v>
      </c>
      <c r="AT127" s="121" t="str">
        <f t="shared" si="68"/>
        <v xml:space="preserve"> </v>
      </c>
      <c r="AU127" s="121" t="str">
        <f t="shared" si="68"/>
        <v xml:space="preserve"> </v>
      </c>
      <c r="AV127" s="121" t="str">
        <f t="shared" si="68"/>
        <v xml:space="preserve"> </v>
      </c>
      <c r="AW127" s="130" t="str">
        <f t="shared" si="69"/>
        <v>100</v>
      </c>
      <c r="AX127" s="130" t="str">
        <f t="shared" si="69"/>
        <v xml:space="preserve"> </v>
      </c>
      <c r="AY127" s="130" t="str">
        <f t="shared" si="69"/>
        <v xml:space="preserve"> </v>
      </c>
      <c r="AZ127" s="130" t="str">
        <f t="shared" si="69"/>
        <v xml:space="preserve"> </v>
      </c>
      <c r="BA127" s="121">
        <f t="shared" si="50"/>
        <v>0</v>
      </c>
      <c r="BB127" s="121">
        <f t="shared" si="51"/>
        <v>0</v>
      </c>
      <c r="BC127" s="121">
        <f t="shared" si="52"/>
        <v>0</v>
      </c>
      <c r="BD127" s="121">
        <f t="shared" si="53"/>
        <v>0</v>
      </c>
      <c r="BE127" s="121">
        <f t="shared" si="54"/>
        <v>0</v>
      </c>
      <c r="BF127" s="121">
        <f t="shared" si="55"/>
        <v>0</v>
      </c>
      <c r="BG127" s="121">
        <f t="shared" si="56"/>
        <v>0</v>
      </c>
      <c r="BH127" s="121">
        <f t="shared" si="57"/>
        <v>0</v>
      </c>
      <c r="BI127" s="121">
        <f t="shared" si="58"/>
        <v>0</v>
      </c>
      <c r="BJ127" s="121">
        <f t="shared" si="59"/>
        <v>0</v>
      </c>
      <c r="BK127" s="121">
        <f t="shared" si="60"/>
        <v>0</v>
      </c>
      <c r="BL127" s="121">
        <f t="shared" si="61"/>
        <v>0</v>
      </c>
      <c r="BM127" s="121">
        <f t="shared" si="62"/>
        <v>0</v>
      </c>
      <c r="BN127" s="121">
        <f t="shared" si="63"/>
        <v>0</v>
      </c>
      <c r="BO127" s="121">
        <f t="shared" si="64"/>
        <v>0</v>
      </c>
      <c r="BP127" s="121">
        <f t="shared" si="65"/>
        <v>0</v>
      </c>
      <c r="BQ127" s="199" t="e">
        <f>INDEX('GDP deflators'!$C$6:$M$36,MATCH('Bottom-up tagging'!$D127,'GDP deflators'!$B$6:$B$36,),MATCH('Bottom-up tagging'!$E127,'GDP deflators'!$C$5:$L$5,))/100</f>
        <v>#N/A</v>
      </c>
      <c r="BR127" s="24">
        <v>4457650</v>
      </c>
    </row>
    <row r="128" spans="2:70" ht="26.15" hidden="1" customHeight="1">
      <c r="B128" s="110" t="s">
        <v>458</v>
      </c>
      <c r="C128" s="110" t="s">
        <v>463</v>
      </c>
      <c r="D128" s="110" t="s">
        <v>3994</v>
      </c>
      <c r="E128" s="103">
        <v>2019</v>
      </c>
      <c r="F128" s="108" t="s">
        <v>8465</v>
      </c>
      <c r="G128" s="111" t="s">
        <v>34</v>
      </c>
      <c r="H128" s="110" t="s">
        <v>10451</v>
      </c>
      <c r="I128" s="112">
        <f>IF(Dashboard!$B$16="Current USD",'Bottom-up tagging'!BR128,'Bottom-up tagging'!BR128/'Bottom-up tagging'!BQ128)</f>
        <v>2879326.5367988739</v>
      </c>
      <c r="J128" s="118" t="s">
        <v>10474</v>
      </c>
      <c r="K128" s="112"/>
      <c r="L128" s="135">
        <v>1</v>
      </c>
      <c r="M128" s="135">
        <v>1</v>
      </c>
      <c r="N128" s="112"/>
      <c r="O128" s="112"/>
      <c r="P128" s="112" t="str">
        <f>VLOOKUP(B128, 'Companies covered restructured'!$B$7:$K$470, 9, FALSE)</f>
        <v>Farmer engagement platforms (including marketplaces and information platforms)</v>
      </c>
      <c r="Q128" s="112" t="str">
        <f>VLOOKUP(B128, 'Companies covered restructured'!$B$7:$K$470, 6, FALSE)</f>
        <v>#Crops(100)</v>
      </c>
      <c r="R128" s="112" t="str">
        <f t="shared" si="37"/>
        <v>#Investment Fund(100)</v>
      </c>
      <c r="S128" s="112" t="s">
        <v>11003</v>
      </c>
      <c r="T128" s="112" t="s">
        <v>10466</v>
      </c>
      <c r="U128" s="103" t="s">
        <v>10970</v>
      </c>
      <c r="V128" s="112" t="str">
        <f>VLOOKUP(P128, 'Bottom-up Tagging Assumptions'!$B$12:$F$39, 5, FALSE)</f>
        <v>#Process Innovation(100)</v>
      </c>
      <c r="W128" s="112" t="str">
        <f>VLOOKUP(B128, 'Companies covered restructured'!$B$7:$K$470, 7, FALSE)</f>
        <v>#Field/Animal Herd(100)</v>
      </c>
      <c r="X128" s="112" t="s">
        <v>10558</v>
      </c>
      <c r="Y128" s="212" t="str">
        <f>VLOOKUP(P128, 'Bottom-up Tagging Assumptions'!$B$12:$C$56, 2, FALSE)</f>
        <v>#Other Economic(P); #Productivity(S)</v>
      </c>
      <c r="Z128" s="112" t="str">
        <f>VLOOKUP(P128, 'Bottom-up Tagging Assumptions'!$B$12:$F$56, 3, FALSE)</f>
        <v>#Improve price realization(P); #Increasing crop or animal yield(S)</v>
      </c>
      <c r="AA128" s="112" t="str">
        <f>VLOOKUP(P128, 'Bottom-up Tagging Assumptions'!$B$12:$F$56, 4, FALSE)</f>
        <v>#Level 4(100)</v>
      </c>
      <c r="AB128" s="110" t="s">
        <v>1168</v>
      </c>
      <c r="AC128" s="110" t="s">
        <v>1169</v>
      </c>
      <c r="AD128" s="110" t="s">
        <v>1170</v>
      </c>
      <c r="AE128" s="110" t="s">
        <v>3114</v>
      </c>
      <c r="AF128" s="112">
        <v>810223</v>
      </c>
      <c r="AG128" s="110" t="s">
        <v>1727</v>
      </c>
      <c r="AH128" s="121">
        <f t="shared" si="38"/>
        <v>0</v>
      </c>
      <c r="AI128" s="121">
        <f t="shared" si="39"/>
        <v>1</v>
      </c>
      <c r="AJ128" s="121">
        <f t="shared" si="40"/>
        <v>1</v>
      </c>
      <c r="AK128" s="121">
        <f t="shared" si="41"/>
        <v>0</v>
      </c>
      <c r="AL128" s="121">
        <f t="shared" si="42"/>
        <v>0</v>
      </c>
      <c r="AM128" s="121">
        <f t="shared" si="43"/>
        <v>0</v>
      </c>
      <c r="AN128" s="121">
        <f t="shared" si="44"/>
        <v>0</v>
      </c>
      <c r="AO128" s="121">
        <f t="shared" si="45"/>
        <v>0</v>
      </c>
      <c r="AP128" s="22">
        <f t="shared" si="46"/>
        <v>0</v>
      </c>
      <c r="AQ128" s="22">
        <f t="shared" si="47"/>
        <v>0</v>
      </c>
      <c r="AR128" s="22">
        <f t="shared" si="48"/>
        <v>0</v>
      </c>
      <c r="AS128" s="121" t="str">
        <f t="shared" si="49"/>
        <v>Crops</v>
      </c>
      <c r="AT128" s="121" t="str">
        <f t="shared" si="68"/>
        <v xml:space="preserve"> </v>
      </c>
      <c r="AU128" s="121" t="str">
        <f t="shared" si="68"/>
        <v xml:space="preserve"> </v>
      </c>
      <c r="AV128" s="121" t="str">
        <f t="shared" si="68"/>
        <v xml:space="preserve"> </v>
      </c>
      <c r="AW128" s="130" t="str">
        <f t="shared" si="69"/>
        <v>100</v>
      </c>
      <c r="AX128" s="130" t="str">
        <f t="shared" si="69"/>
        <v xml:space="preserve"> </v>
      </c>
      <c r="AY128" s="130" t="str">
        <f t="shared" si="69"/>
        <v xml:space="preserve"> </v>
      </c>
      <c r="AZ128" s="130" t="str">
        <f t="shared" si="69"/>
        <v xml:space="preserve"> </v>
      </c>
      <c r="BA128" s="121">
        <f t="shared" si="50"/>
        <v>2879326.5367988739</v>
      </c>
      <c r="BB128" s="121">
        <f t="shared" si="51"/>
        <v>0</v>
      </c>
      <c r="BC128" s="121">
        <f t="shared" si="52"/>
        <v>0</v>
      </c>
      <c r="BD128" s="121">
        <f t="shared" si="53"/>
        <v>0</v>
      </c>
      <c r="BE128" s="121">
        <f t="shared" si="54"/>
        <v>0</v>
      </c>
      <c r="BF128" s="121">
        <f t="shared" si="55"/>
        <v>0</v>
      </c>
      <c r="BG128" s="121">
        <f t="shared" si="56"/>
        <v>0</v>
      </c>
      <c r="BH128" s="121">
        <f t="shared" si="57"/>
        <v>0</v>
      </c>
      <c r="BI128" s="121">
        <f t="shared" si="58"/>
        <v>0</v>
      </c>
      <c r="BJ128" s="121">
        <f t="shared" si="59"/>
        <v>0</v>
      </c>
      <c r="BK128" s="121">
        <f t="shared" si="60"/>
        <v>0</v>
      </c>
      <c r="BL128" s="121">
        <f t="shared" si="61"/>
        <v>0</v>
      </c>
      <c r="BM128" s="121">
        <f t="shared" si="62"/>
        <v>0</v>
      </c>
      <c r="BN128" s="121">
        <f t="shared" si="63"/>
        <v>0</v>
      </c>
      <c r="BO128" s="121">
        <f t="shared" si="64"/>
        <v>0</v>
      </c>
      <c r="BP128" s="121">
        <f t="shared" si="65"/>
        <v>0</v>
      </c>
      <c r="BQ128" s="199">
        <f>INDEX('GDP deflators'!$C$6:$M$36,MATCH('Bottom-up tagging'!$D128,'GDP deflators'!$B$6:$B$36,),MATCH('Bottom-up tagging'!$E128,'GDP deflators'!$C$5:$L$5,))/100</f>
        <v>1.5094883975306472</v>
      </c>
      <c r="BR128" s="24">
        <v>4346310</v>
      </c>
    </row>
    <row r="129" spans="2:70" ht="26.15" hidden="1" customHeight="1">
      <c r="B129" s="110" t="s">
        <v>743</v>
      </c>
      <c r="C129" s="110" t="s">
        <v>747</v>
      </c>
      <c r="D129" s="110" t="s">
        <v>3994</v>
      </c>
      <c r="E129" s="103">
        <v>2015</v>
      </c>
      <c r="F129" s="108" t="s">
        <v>8148</v>
      </c>
      <c r="G129" s="111" t="s">
        <v>109</v>
      </c>
      <c r="H129" s="110" t="s">
        <v>10451</v>
      </c>
      <c r="I129" s="112">
        <f>IF(Dashboard!$B$16="Current USD",'Bottom-up tagging'!BR129,'Bottom-up tagging'!BR129/'Bottom-up tagging'!BQ129)</f>
        <v>3273609.4782811548</v>
      </c>
      <c r="J129" s="117" t="s">
        <v>10474</v>
      </c>
      <c r="K129" s="112"/>
      <c r="L129" s="135">
        <v>1</v>
      </c>
      <c r="M129" s="135">
        <v>1</v>
      </c>
      <c r="N129" s="112"/>
      <c r="O129" s="112"/>
      <c r="P129" s="112" t="str">
        <f>VLOOKUP(B129, 'Companies covered restructured'!$B$7:$K$470, 9, FALSE)</f>
        <v>Farm mechanization</v>
      </c>
      <c r="Q129" s="112" t="str">
        <f>VLOOKUP(B129, 'Companies covered restructured'!$B$7:$K$470, 6, FALSE)</f>
        <v>#Crops(100)</v>
      </c>
      <c r="R129" s="112" t="str">
        <f t="shared" si="37"/>
        <v>#Investment Fund(100)</v>
      </c>
      <c r="S129" s="112" t="s">
        <v>11003</v>
      </c>
      <c r="T129" s="112" t="s">
        <v>10466</v>
      </c>
      <c r="U129" s="103" t="s">
        <v>10970</v>
      </c>
      <c r="V129" s="112" t="str">
        <f>VLOOKUP(P129, 'Bottom-up Tagging Assumptions'!$B$12:$F$39, 5, FALSE)</f>
        <v>#Product Development(100)</v>
      </c>
      <c r="W129" s="112" t="str">
        <f>VLOOKUP(B129, 'Companies covered restructured'!$B$7:$K$470, 7, FALSE)</f>
        <v>#Field/Animal Herd(100)</v>
      </c>
      <c r="X129" s="112" t="s">
        <v>10558</v>
      </c>
      <c r="Y129" s="212" t="str">
        <f>VLOOKUP(P129, 'Bottom-up Tagging Assumptions'!$B$12:$C$56, 2, FALSE)</f>
        <v>#Productivity(P); #Other economic(S)</v>
      </c>
      <c r="Z129" s="112" t="str">
        <f>VLOOKUP(P129, 'Bottom-up Tagging Assumptions'!$B$12:$F$56, 3, FALSE)</f>
        <v>#Reducing human effort(P)</v>
      </c>
      <c r="AA129" s="112" t="str">
        <f>VLOOKUP(P129, 'Bottom-up Tagging Assumptions'!$B$12:$F$56, 4, FALSE)</f>
        <v>#Level 1(100)</v>
      </c>
      <c r="AB129" s="110" t="s">
        <v>2155</v>
      </c>
      <c r="AC129" s="110"/>
      <c r="AD129" s="110" t="s">
        <v>746</v>
      </c>
      <c r="AE129" s="110" t="str">
        <f>VLOOKUP(AD129,  '1.2'!$B$7:$C$2033, 2, FALSE)</f>
        <v>FUND</v>
      </c>
      <c r="AF129" s="112"/>
      <c r="AG129" s="110" t="s">
        <v>1734</v>
      </c>
      <c r="AH129" s="121">
        <f t="shared" si="38"/>
        <v>0</v>
      </c>
      <c r="AI129" s="121">
        <f t="shared" si="39"/>
        <v>1</v>
      </c>
      <c r="AJ129" s="121">
        <f t="shared" si="40"/>
        <v>1</v>
      </c>
      <c r="AK129" s="121">
        <f t="shared" si="41"/>
        <v>0</v>
      </c>
      <c r="AL129" s="121">
        <f t="shared" si="42"/>
        <v>0</v>
      </c>
      <c r="AM129" s="121">
        <f t="shared" si="43"/>
        <v>0</v>
      </c>
      <c r="AN129" s="121">
        <f t="shared" si="44"/>
        <v>0</v>
      </c>
      <c r="AO129" s="121">
        <f t="shared" si="45"/>
        <v>0</v>
      </c>
      <c r="AP129" s="22">
        <f t="shared" si="46"/>
        <v>0</v>
      </c>
      <c r="AQ129" s="22">
        <f t="shared" si="47"/>
        <v>0</v>
      </c>
      <c r="AR129" s="22">
        <f t="shared" si="48"/>
        <v>0</v>
      </c>
      <c r="AS129" s="121" t="str">
        <f t="shared" si="49"/>
        <v>Crops</v>
      </c>
      <c r="AT129" s="121" t="str">
        <f t="shared" si="68"/>
        <v xml:space="preserve"> </v>
      </c>
      <c r="AU129" s="121" t="str">
        <f t="shared" si="68"/>
        <v xml:space="preserve"> </v>
      </c>
      <c r="AV129" s="121" t="str">
        <f t="shared" si="68"/>
        <v xml:space="preserve"> </v>
      </c>
      <c r="AW129" s="130" t="str">
        <f t="shared" si="69"/>
        <v>100</v>
      </c>
      <c r="AX129" s="130" t="str">
        <f t="shared" si="69"/>
        <v xml:space="preserve"> </v>
      </c>
      <c r="AY129" s="130" t="str">
        <f t="shared" si="69"/>
        <v xml:space="preserve"> </v>
      </c>
      <c r="AZ129" s="130" t="str">
        <f t="shared" si="69"/>
        <v xml:space="preserve"> </v>
      </c>
      <c r="BA129" s="121">
        <f t="shared" si="50"/>
        <v>3273609.4782811548</v>
      </c>
      <c r="BB129" s="121">
        <f t="shared" si="51"/>
        <v>0</v>
      </c>
      <c r="BC129" s="121">
        <f t="shared" si="52"/>
        <v>0</v>
      </c>
      <c r="BD129" s="121">
        <f t="shared" si="53"/>
        <v>0</v>
      </c>
      <c r="BE129" s="121">
        <f t="shared" si="54"/>
        <v>0</v>
      </c>
      <c r="BF129" s="121">
        <f t="shared" si="55"/>
        <v>0</v>
      </c>
      <c r="BG129" s="121">
        <f t="shared" si="56"/>
        <v>0</v>
      </c>
      <c r="BH129" s="121">
        <f t="shared" si="57"/>
        <v>0</v>
      </c>
      <c r="BI129" s="121">
        <f t="shared" si="58"/>
        <v>0</v>
      </c>
      <c r="BJ129" s="121">
        <f t="shared" si="59"/>
        <v>0</v>
      </c>
      <c r="BK129" s="121">
        <f t="shared" si="60"/>
        <v>0</v>
      </c>
      <c r="BL129" s="121">
        <f t="shared" si="61"/>
        <v>0</v>
      </c>
      <c r="BM129" s="121">
        <f t="shared" si="62"/>
        <v>0</v>
      </c>
      <c r="BN129" s="121">
        <f t="shared" si="63"/>
        <v>0</v>
      </c>
      <c r="BO129" s="121">
        <f t="shared" si="64"/>
        <v>0</v>
      </c>
      <c r="BP129" s="121">
        <f t="shared" si="65"/>
        <v>0</v>
      </c>
      <c r="BQ129" s="199">
        <f>INDEX('GDP deflators'!$C$6:$M$36,MATCH('Bottom-up tagging'!$D129,'GDP deflators'!$B$6:$B$36,),MATCH('Bottom-up tagging'!$E129,'GDP deflators'!$C$5:$L$5,))/100</f>
        <v>1.3170905169372478</v>
      </c>
      <c r="BR129" s="24">
        <v>4311640</v>
      </c>
    </row>
    <row r="130" spans="2:70" ht="26.15" hidden="1" customHeight="1">
      <c r="B130" s="110" t="s">
        <v>96</v>
      </c>
      <c r="C130" s="110" t="s">
        <v>100</v>
      </c>
      <c r="D130" s="110" t="s">
        <v>3994</v>
      </c>
      <c r="E130" s="103">
        <v>2019</v>
      </c>
      <c r="F130" s="108" t="s">
        <v>8260</v>
      </c>
      <c r="G130" s="111" t="s">
        <v>302</v>
      </c>
      <c r="H130" s="110" t="s">
        <v>10451</v>
      </c>
      <c r="I130" s="112">
        <f>IF(Dashboard!$B$16="Current USD",'Bottom-up tagging'!BR130,'Bottom-up tagging'!BR130/'Bottom-up tagging'!BQ130)</f>
        <v>2810349.5243419851</v>
      </c>
      <c r="J130" s="105" t="s">
        <v>10474</v>
      </c>
      <c r="K130" s="112"/>
      <c r="L130" s="135">
        <v>1</v>
      </c>
      <c r="M130" s="135">
        <v>1</v>
      </c>
      <c r="N130" s="112"/>
      <c r="O130" s="112"/>
      <c r="P130" s="112" t="str">
        <f>VLOOKUP(B130, 'Companies covered restructured'!$B$7:$K$470, 9, FALSE)</f>
        <v>Agri marketplaces</v>
      </c>
      <c r="Q130" s="112" t="str">
        <f>VLOOKUP(B130, 'Companies covered restructured'!$B$7:$K$470, 6, FALSE)</f>
        <v>#Crops(100)</v>
      </c>
      <c r="R130" s="112" t="str">
        <f t="shared" si="37"/>
        <v>N/A</v>
      </c>
      <c r="S130" s="112" t="s">
        <v>11003</v>
      </c>
      <c r="T130" s="112" t="s">
        <v>10464</v>
      </c>
      <c r="U130" s="103" t="s">
        <v>10970</v>
      </c>
      <c r="V130" s="112" t="str">
        <f>VLOOKUP(P130, 'Bottom-up Tagging Assumptions'!$B$12:$F$39, 5, FALSE)</f>
        <v>#Process Innovation(100)</v>
      </c>
      <c r="W130" s="112" t="str">
        <f>VLOOKUP(B130, 'Companies covered restructured'!$B$7:$K$470, 7, FALSE)</f>
        <v>#Farm/Household(100)</v>
      </c>
      <c r="X130" s="112" t="s">
        <v>10558</v>
      </c>
      <c r="Y130" s="212" t="str">
        <f>VLOOKUP(P130, 'Bottom-up Tagging Assumptions'!$B$12:$C$56, 2, FALSE)</f>
        <v>#Other Economic(P); Social(S)</v>
      </c>
      <c r="Z130" s="112" t="str">
        <f>VLOOKUP(P130, 'Bottom-up Tagging Assumptions'!$B$12:$F$56, 3, FALSE)</f>
        <v>#Improve price realization(P)</v>
      </c>
      <c r="AA130" s="112" t="str">
        <f>VLOOKUP(P130, 'Bottom-up Tagging Assumptions'!$B$12:$F$56, 4, FALSE)</f>
        <v>#Level 4(100)</v>
      </c>
      <c r="AB130" s="110" t="s">
        <v>723</v>
      </c>
      <c r="AC130" s="110"/>
      <c r="AD130" s="110"/>
      <c r="AE130" s="110" t="s">
        <v>10558</v>
      </c>
      <c r="AF130" s="112">
        <v>1720000</v>
      </c>
      <c r="AG130" s="110" t="s">
        <v>716</v>
      </c>
      <c r="AH130" s="121">
        <f t="shared" si="38"/>
        <v>0</v>
      </c>
      <c r="AI130" s="121">
        <f t="shared" si="39"/>
        <v>0</v>
      </c>
      <c r="AJ130" s="121">
        <f t="shared" si="40"/>
        <v>1</v>
      </c>
      <c r="AK130" s="121">
        <f t="shared" si="41"/>
        <v>1</v>
      </c>
      <c r="AL130" s="121">
        <f t="shared" si="42"/>
        <v>0</v>
      </c>
      <c r="AM130" s="121">
        <f t="shared" si="43"/>
        <v>0</v>
      </c>
      <c r="AN130" s="121">
        <f t="shared" si="44"/>
        <v>1</v>
      </c>
      <c r="AO130" s="121">
        <f t="shared" si="45"/>
        <v>0</v>
      </c>
      <c r="AP130" s="22">
        <f t="shared" si="46"/>
        <v>0</v>
      </c>
      <c r="AQ130" s="22">
        <f t="shared" si="47"/>
        <v>2810349.5243419851</v>
      </c>
      <c r="AR130" s="22">
        <f t="shared" si="48"/>
        <v>0</v>
      </c>
      <c r="AS130" s="121" t="str">
        <f t="shared" si="49"/>
        <v>Crops</v>
      </c>
      <c r="AT130" s="121" t="str">
        <f t="shared" si="68"/>
        <v xml:space="preserve"> </v>
      </c>
      <c r="AU130" s="121" t="str">
        <f t="shared" si="68"/>
        <v xml:space="preserve"> </v>
      </c>
      <c r="AV130" s="121" t="str">
        <f t="shared" si="68"/>
        <v xml:space="preserve"> </v>
      </c>
      <c r="AW130" s="130" t="str">
        <f t="shared" si="69"/>
        <v>100</v>
      </c>
      <c r="AX130" s="130" t="str">
        <f t="shared" si="69"/>
        <v xml:space="preserve"> </v>
      </c>
      <c r="AY130" s="130" t="str">
        <f t="shared" si="69"/>
        <v xml:space="preserve"> </v>
      </c>
      <c r="AZ130" s="130" t="str">
        <f t="shared" si="69"/>
        <v xml:space="preserve"> </v>
      </c>
      <c r="BA130" s="121">
        <f t="shared" si="50"/>
        <v>2810349.5243419851</v>
      </c>
      <c r="BB130" s="121">
        <f t="shared" si="51"/>
        <v>0</v>
      </c>
      <c r="BC130" s="121">
        <f t="shared" si="52"/>
        <v>0</v>
      </c>
      <c r="BD130" s="121">
        <f t="shared" si="53"/>
        <v>0</v>
      </c>
      <c r="BE130" s="121">
        <f t="shared" si="54"/>
        <v>0</v>
      </c>
      <c r="BF130" s="121">
        <f t="shared" si="55"/>
        <v>0</v>
      </c>
      <c r="BG130" s="121">
        <f t="shared" si="56"/>
        <v>0</v>
      </c>
      <c r="BH130" s="121">
        <f t="shared" si="57"/>
        <v>0</v>
      </c>
      <c r="BI130" s="121">
        <f t="shared" si="58"/>
        <v>2810349.5243419851</v>
      </c>
      <c r="BJ130" s="121">
        <f t="shared" si="59"/>
        <v>2810349.5243419851</v>
      </c>
      <c r="BK130" s="121">
        <f t="shared" si="60"/>
        <v>2810349.5243419851</v>
      </c>
      <c r="BL130" s="121">
        <f t="shared" si="61"/>
        <v>2810349.5243419851</v>
      </c>
      <c r="BM130" s="121">
        <f t="shared" si="62"/>
        <v>0</v>
      </c>
      <c r="BN130" s="121">
        <f t="shared" si="63"/>
        <v>0</v>
      </c>
      <c r="BO130" s="121">
        <f t="shared" si="64"/>
        <v>0</v>
      </c>
      <c r="BP130" s="121">
        <f t="shared" si="65"/>
        <v>0</v>
      </c>
      <c r="BQ130" s="199">
        <f>INDEX('GDP deflators'!$C$6:$M$36,MATCH('Bottom-up tagging'!$D130,'GDP deflators'!$B$6:$B$36,),MATCH('Bottom-up tagging'!$E130,'GDP deflators'!$C$5:$L$5,))/100</f>
        <v>1.5094883975306472</v>
      </c>
      <c r="BR130" s="24">
        <v>4242190</v>
      </c>
    </row>
    <row r="131" spans="2:70" ht="26.15" hidden="1" customHeight="1">
      <c r="B131" s="110" t="s">
        <v>210</v>
      </c>
      <c r="C131" s="110" t="s">
        <v>215</v>
      </c>
      <c r="D131" s="110" t="s">
        <v>5277</v>
      </c>
      <c r="E131" s="103">
        <v>2018</v>
      </c>
      <c r="F131" s="108" t="s">
        <v>8450</v>
      </c>
      <c r="G131" s="111" t="s">
        <v>109</v>
      </c>
      <c r="H131" s="110" t="s">
        <v>10451</v>
      </c>
      <c r="I131" s="112">
        <f>IF(Dashboard!$B$16="Current USD",'Bottom-up tagging'!BR131,'Bottom-up tagging'!BR131/'Bottom-up tagging'!BQ131)</f>
        <v>2810399.9029808752</v>
      </c>
      <c r="J131" s="117" t="s">
        <v>10474</v>
      </c>
      <c r="K131" s="112"/>
      <c r="L131" s="135">
        <v>1</v>
      </c>
      <c r="M131" s="135">
        <v>1</v>
      </c>
      <c r="N131" s="112"/>
      <c r="O131" s="112"/>
      <c r="P131" s="112" t="str">
        <f>VLOOKUP(B131, 'Companies covered restructured'!$B$7:$K$470, 9, FALSE)</f>
        <v xml:space="preserve">Smart ponds (IOT etc) </v>
      </c>
      <c r="Q131" s="112" t="str">
        <f>VLOOKUP(B131, 'Companies covered restructured'!$B$7:$K$470, 6, FALSE)</f>
        <v>#Fisheries and Aquaculture(100)</v>
      </c>
      <c r="R131" s="112" t="str">
        <f t="shared" si="37"/>
        <v>#Investment Fund(100)</v>
      </c>
      <c r="S131" s="112" t="s">
        <v>11003</v>
      </c>
      <c r="T131" s="112" t="s">
        <v>10466</v>
      </c>
      <c r="U131" s="103" t="s">
        <v>10970</v>
      </c>
      <c r="V131" s="212" t="s">
        <v>10977</v>
      </c>
      <c r="W131" s="112" t="str">
        <f>VLOOKUP(B131, 'Companies covered restructured'!$B$7:$K$470, 7, FALSE)</f>
        <v>N/A</v>
      </c>
      <c r="X131" s="112" t="str">
        <f>VLOOKUP(B131, 'Companies covered restructured'!$B$7:$K$470, 8, FALSE)</f>
        <v>N/A</v>
      </c>
      <c r="Y131" s="212" t="str">
        <f>VLOOKUP(P131, 'Bottom-up Tagging Assumptions'!$B$12:$C$56, 2, FALSE)</f>
        <v>#Other Economic(P); Productivity(S)</v>
      </c>
      <c r="Z131" s="112" t="str">
        <f>VLOOKUP(P131, 'Bottom-up Tagging Assumptions'!$B$12:$F$56, 3, FALSE)</f>
        <v>#Waste reduction(P)</v>
      </c>
      <c r="AA131" s="112" t="str">
        <f>VLOOKUP(P131, 'Bottom-up Tagging Assumptions'!$B$12:$F$56, 4, FALSE)</f>
        <v>#Level 1(100)</v>
      </c>
      <c r="AB131" s="110" t="s">
        <v>1339</v>
      </c>
      <c r="AC131" s="110"/>
      <c r="AD131" s="110" t="s">
        <v>1340</v>
      </c>
      <c r="AE131" s="110" t="s">
        <v>3114</v>
      </c>
      <c r="AF131" s="112">
        <v>4000000</v>
      </c>
      <c r="AG131" s="110" t="s">
        <v>216</v>
      </c>
      <c r="AH131" s="121">
        <f t="shared" si="38"/>
        <v>0</v>
      </c>
      <c r="AI131" s="121">
        <f t="shared" si="39"/>
        <v>1</v>
      </c>
      <c r="AJ131" s="121">
        <f t="shared" si="40"/>
        <v>1</v>
      </c>
      <c r="AK131" s="121">
        <f t="shared" si="41"/>
        <v>0</v>
      </c>
      <c r="AL131" s="121">
        <f t="shared" si="42"/>
        <v>0</v>
      </c>
      <c r="AM131" s="121">
        <f t="shared" si="43"/>
        <v>0</v>
      </c>
      <c r="AN131" s="121">
        <f t="shared" si="44"/>
        <v>0</v>
      </c>
      <c r="AO131" s="121">
        <f t="shared" si="45"/>
        <v>0</v>
      </c>
      <c r="AP131" s="22">
        <f t="shared" si="46"/>
        <v>0</v>
      </c>
      <c r="AQ131" s="22">
        <f t="shared" si="47"/>
        <v>0</v>
      </c>
      <c r="AR131" s="22">
        <f t="shared" si="48"/>
        <v>0</v>
      </c>
      <c r="AS131" s="121" t="str">
        <f t="shared" si="49"/>
        <v>Fisheries and Aquaculture</v>
      </c>
      <c r="AT131" s="121" t="str">
        <f t="shared" si="68"/>
        <v xml:space="preserve"> </v>
      </c>
      <c r="AU131" s="121" t="str">
        <f t="shared" si="68"/>
        <v xml:space="preserve"> </v>
      </c>
      <c r="AV131" s="121" t="str">
        <f t="shared" si="68"/>
        <v xml:space="preserve"> </v>
      </c>
      <c r="AW131" s="130" t="str">
        <f t="shared" si="69"/>
        <v>100</v>
      </c>
      <c r="AX131" s="130" t="str">
        <f t="shared" si="69"/>
        <v xml:space="preserve"> </v>
      </c>
      <c r="AY131" s="130" t="str">
        <f t="shared" si="69"/>
        <v xml:space="preserve"> </v>
      </c>
      <c r="AZ131" s="130" t="str">
        <f t="shared" si="69"/>
        <v xml:space="preserve"> </v>
      </c>
      <c r="BA131" s="121">
        <f t="shared" si="50"/>
        <v>2810399.9029808752</v>
      </c>
      <c r="BB131" s="121">
        <f t="shared" si="51"/>
        <v>0</v>
      </c>
      <c r="BC131" s="121">
        <f t="shared" si="52"/>
        <v>0</v>
      </c>
      <c r="BD131" s="121">
        <f t="shared" si="53"/>
        <v>0</v>
      </c>
      <c r="BE131" s="121">
        <f t="shared" si="54"/>
        <v>0</v>
      </c>
      <c r="BF131" s="121">
        <f t="shared" si="55"/>
        <v>0</v>
      </c>
      <c r="BG131" s="121">
        <f t="shared" si="56"/>
        <v>0</v>
      </c>
      <c r="BH131" s="121">
        <f t="shared" si="57"/>
        <v>0</v>
      </c>
      <c r="BI131" s="121">
        <f t="shared" si="58"/>
        <v>0</v>
      </c>
      <c r="BJ131" s="121">
        <f t="shared" si="59"/>
        <v>0</v>
      </c>
      <c r="BK131" s="121">
        <f t="shared" si="60"/>
        <v>0</v>
      </c>
      <c r="BL131" s="121">
        <f t="shared" si="61"/>
        <v>0</v>
      </c>
      <c r="BM131" s="121">
        <f t="shared" si="62"/>
        <v>0</v>
      </c>
      <c r="BN131" s="121">
        <f t="shared" si="63"/>
        <v>0</v>
      </c>
      <c r="BO131" s="121">
        <f t="shared" si="64"/>
        <v>0</v>
      </c>
      <c r="BP131" s="121">
        <f t="shared" si="65"/>
        <v>0</v>
      </c>
      <c r="BQ131" s="199">
        <f>INDEX('GDP deflators'!$C$6:$M$36,MATCH('Bottom-up tagging'!$D131,'GDP deflators'!$B$6:$B$36,),MATCH('Bottom-up tagging'!$E131,'GDP deflators'!$C$5:$L$5,))/100</f>
        <v>1.4232849907792002</v>
      </c>
      <c r="BR131" s="24">
        <v>4000000</v>
      </c>
    </row>
    <row r="132" spans="2:70" ht="26.15" hidden="1" customHeight="1">
      <c r="B132" s="110" t="s">
        <v>669</v>
      </c>
      <c r="C132" s="110" t="s">
        <v>671</v>
      </c>
      <c r="D132" s="110" t="s">
        <v>3994</v>
      </c>
      <c r="E132" s="103">
        <v>2019</v>
      </c>
      <c r="F132" s="108" t="s">
        <v>6422</v>
      </c>
      <c r="G132" s="111" t="s">
        <v>109</v>
      </c>
      <c r="H132" s="110" t="s">
        <v>10451</v>
      </c>
      <c r="I132" s="112">
        <f>IF(Dashboard!$B$16="Current USD",'Bottom-up tagging'!BR132,'Bottom-up tagging'!BR132/'Bottom-up tagging'!BQ132)</f>
        <v>2649904.4355316334</v>
      </c>
      <c r="J132" s="118" t="s">
        <v>10474</v>
      </c>
      <c r="K132" s="112"/>
      <c r="L132" s="135">
        <v>1</v>
      </c>
      <c r="M132" s="135">
        <v>1</v>
      </c>
      <c r="N132" s="112"/>
      <c r="O132" s="112"/>
      <c r="P132" s="112" t="str">
        <f>VLOOKUP(B132, 'Companies covered restructured'!$B$7:$K$470, 9, FALSE)</f>
        <v xml:space="preserve">Pesticides </v>
      </c>
      <c r="Q132" s="112" t="str">
        <f>VLOOKUP(B132, 'Companies covered restructured'!$B$7:$K$470, 6, FALSE)</f>
        <v>#Crops(100)</v>
      </c>
      <c r="R132" s="112" t="str">
        <f t="shared" si="37"/>
        <v>#Investment Fund(100)</v>
      </c>
      <c r="S132" s="112" t="s">
        <v>11003</v>
      </c>
      <c r="T132" s="112" t="s">
        <v>10466</v>
      </c>
      <c r="U132" s="213" t="s">
        <v>10970</v>
      </c>
      <c r="V132" s="112" t="str">
        <f>VLOOKUP(P132, 'Bottom-up Tagging Assumptions'!$B$12:$F$39, 5, FALSE)</f>
        <v>#Product Development(100)</v>
      </c>
      <c r="W132" s="112" t="str">
        <f>VLOOKUP(B132, 'Companies covered restructured'!$B$7:$K$470, 7, FALSE)</f>
        <v>#Field/Animal Herd(100)</v>
      </c>
      <c r="X132" s="112" t="s">
        <v>10558</v>
      </c>
      <c r="Y132" s="212" t="str">
        <f>VLOOKUP(P132, 'Bottom-up Tagging Assumptions'!$B$12:$C$56, 2, FALSE)</f>
        <v>#Other economic(P); #Productivity(S)</v>
      </c>
      <c r="Z132" s="112" t="str">
        <f>VLOOKUP(P132, 'Bottom-up Tagging Assumptions'!$B$12:$F$56, 3, FALSE)</f>
        <v>#Waste reduction(P)</v>
      </c>
      <c r="AA132" s="112" t="str">
        <f>VLOOKUP(P132, 'Bottom-up Tagging Assumptions'!$B$12:$F$56, 4, FALSE)</f>
        <v>#Level 1(100)</v>
      </c>
      <c r="AB132" s="110" t="s">
        <v>617</v>
      </c>
      <c r="AC132" s="110"/>
      <c r="AD132" s="110" t="s">
        <v>618</v>
      </c>
      <c r="AE132" s="110" t="str">
        <f>VLOOKUP(AD132,  '1.2'!$B$7:$C$2033, 2, FALSE)</f>
        <v>FUND</v>
      </c>
      <c r="AF132" s="112"/>
      <c r="AG132" s="110" t="s">
        <v>668</v>
      </c>
      <c r="AH132" s="121">
        <f t="shared" si="38"/>
        <v>0</v>
      </c>
      <c r="AI132" s="121">
        <f t="shared" si="39"/>
        <v>1</v>
      </c>
      <c r="AJ132" s="121">
        <f t="shared" si="40"/>
        <v>1</v>
      </c>
      <c r="AK132" s="121">
        <f t="shared" si="41"/>
        <v>0</v>
      </c>
      <c r="AL132" s="121">
        <f t="shared" si="42"/>
        <v>0</v>
      </c>
      <c r="AM132" s="121">
        <f t="shared" si="43"/>
        <v>0</v>
      </c>
      <c r="AN132" s="121">
        <f t="shared" si="44"/>
        <v>0</v>
      </c>
      <c r="AO132" s="121">
        <f t="shared" si="45"/>
        <v>0</v>
      </c>
      <c r="AP132" s="22">
        <f t="shared" si="46"/>
        <v>0</v>
      </c>
      <c r="AQ132" s="22">
        <f t="shared" si="47"/>
        <v>0</v>
      </c>
      <c r="AR132" s="22">
        <f t="shared" si="48"/>
        <v>0</v>
      </c>
      <c r="AS132" s="121" t="str">
        <f t="shared" si="49"/>
        <v>Crops</v>
      </c>
      <c r="AT132" s="121" t="str">
        <f t="shared" ref="AT132:AV151" si="70">IFERROR(IFERROR(MID($Q132,FIND("~",SUBSTITUTE($Q132,";","~",AT$10-1))+3,(FIND("~",SUBSTITUTE($Q132,";","~",AT$10))+0-(FIND("~",SUBSTITUTE($Q132,";","~",AT$10-1))+2))-6),MID($Q132,FIND("~",SUBSTITUTE($Q132,";","~",AT$10-1))+3,(LEN($Q132)-6-FIND("~",SUBSTITUTE($Q132,";","~",AT$10-1))-1)))," ")</f>
        <v xml:space="preserve"> </v>
      </c>
      <c r="AU132" s="121" t="str">
        <f t="shared" si="70"/>
        <v xml:space="preserve"> </v>
      </c>
      <c r="AV132" s="121" t="str">
        <f t="shared" si="70"/>
        <v xml:space="preserve"> </v>
      </c>
      <c r="AW132" s="130" t="str">
        <f t="shared" ref="AW132:AZ151" si="71">IFERROR(MID($Q132,FIND("~",SUBSTITUTE($Q132,"(","~",AW$10))+1,3)," ")</f>
        <v>100</v>
      </c>
      <c r="AX132" s="130" t="str">
        <f t="shared" si="71"/>
        <v xml:space="preserve"> </v>
      </c>
      <c r="AY132" s="130" t="str">
        <f t="shared" si="71"/>
        <v xml:space="preserve"> </v>
      </c>
      <c r="AZ132" s="130" t="str">
        <f t="shared" si="71"/>
        <v xml:space="preserve"> </v>
      </c>
      <c r="BA132" s="121">
        <f t="shared" si="50"/>
        <v>2649904.4355316334</v>
      </c>
      <c r="BB132" s="121">
        <f t="shared" si="51"/>
        <v>0</v>
      </c>
      <c r="BC132" s="121">
        <f t="shared" si="52"/>
        <v>0</v>
      </c>
      <c r="BD132" s="121">
        <f t="shared" si="53"/>
        <v>0</v>
      </c>
      <c r="BE132" s="121">
        <f t="shared" si="54"/>
        <v>0</v>
      </c>
      <c r="BF132" s="121">
        <f t="shared" si="55"/>
        <v>0</v>
      </c>
      <c r="BG132" s="121">
        <f t="shared" si="56"/>
        <v>0</v>
      </c>
      <c r="BH132" s="121">
        <f t="shared" si="57"/>
        <v>0</v>
      </c>
      <c r="BI132" s="121">
        <f t="shared" si="58"/>
        <v>0</v>
      </c>
      <c r="BJ132" s="121">
        <f t="shared" si="59"/>
        <v>0</v>
      </c>
      <c r="BK132" s="121">
        <f t="shared" si="60"/>
        <v>0</v>
      </c>
      <c r="BL132" s="121">
        <f t="shared" si="61"/>
        <v>0</v>
      </c>
      <c r="BM132" s="121">
        <f t="shared" si="62"/>
        <v>0</v>
      </c>
      <c r="BN132" s="121">
        <f t="shared" si="63"/>
        <v>0</v>
      </c>
      <c r="BO132" s="121">
        <f t="shared" si="64"/>
        <v>0</v>
      </c>
      <c r="BP132" s="121">
        <f t="shared" si="65"/>
        <v>0</v>
      </c>
      <c r="BQ132" s="199">
        <f>INDEX('GDP deflators'!$C$6:$M$36,MATCH('Bottom-up tagging'!$D132,'GDP deflators'!$B$6:$B$36,),MATCH('Bottom-up tagging'!$E132,'GDP deflators'!$C$5:$L$5,))/100</f>
        <v>1.5094883975306472</v>
      </c>
      <c r="BR132" s="24">
        <v>4000000</v>
      </c>
    </row>
    <row r="133" spans="2:70" ht="26.15" customHeight="1">
      <c r="B133" s="110" t="s">
        <v>473</v>
      </c>
      <c r="C133" s="110" t="s">
        <v>475</v>
      </c>
      <c r="D133" s="110" t="s">
        <v>5391</v>
      </c>
      <c r="E133" s="103">
        <v>2017</v>
      </c>
      <c r="F133" s="108" t="s">
        <v>5547</v>
      </c>
      <c r="G133" s="111" t="s">
        <v>289</v>
      </c>
      <c r="H133" s="110" t="s">
        <v>10451</v>
      </c>
      <c r="I133" s="112">
        <f>IF(Dashboard!$B$16="Current USD",'Bottom-up tagging'!BR133,'Bottom-up tagging'!BR133/'Bottom-up tagging'!BQ133)</f>
        <v>2254100.2859700155</v>
      </c>
      <c r="J133" s="105" t="s">
        <v>10474</v>
      </c>
      <c r="K133" s="112"/>
      <c r="L133" s="135">
        <v>1</v>
      </c>
      <c r="M133" s="135">
        <v>1</v>
      </c>
      <c r="N133" s="112"/>
      <c r="O133" s="112"/>
      <c r="P133" s="112" t="str">
        <f>VLOOKUP(B133, 'Companies covered restructured'!$B$7:$K$470, 9, FALSE)</f>
        <v>Agri marketplaces</v>
      </c>
      <c r="Q133" s="112" t="str">
        <f>VLOOKUP(B133, 'Companies covered restructured'!$B$7:$K$470, 6, FALSE)</f>
        <v>#Crops(100)</v>
      </c>
      <c r="R133" s="112" t="str">
        <f t="shared" si="37"/>
        <v>#Investment Fund(100)</v>
      </c>
      <c r="S133" s="112" t="s">
        <v>11003</v>
      </c>
      <c r="T133" s="112" t="s">
        <v>10464</v>
      </c>
      <c r="U133" s="116" t="s">
        <v>10970</v>
      </c>
      <c r="V133" s="112" t="str">
        <f>VLOOKUP(P133, 'Bottom-up Tagging Assumptions'!$B$12:$F$39, 5, FALSE)</f>
        <v>#Process Innovation(100)</v>
      </c>
      <c r="W133" s="112" t="str">
        <f>VLOOKUP(B133, 'Companies covered restructured'!$B$7:$K$470, 7, FALSE)</f>
        <v>#Farm/Household(100)</v>
      </c>
      <c r="X133" s="112" t="s">
        <v>10558</v>
      </c>
      <c r="Y133" s="212" t="str">
        <f>VLOOKUP(P133, 'Bottom-up Tagging Assumptions'!$B$12:$C$56, 2, FALSE)</f>
        <v>#Other Economic(P); Social(S)</v>
      </c>
      <c r="Z133" s="112" t="str">
        <f>VLOOKUP(P133, 'Bottom-up Tagging Assumptions'!$B$12:$F$56, 3, FALSE)</f>
        <v>#Improve price realization(P)</v>
      </c>
      <c r="AA133" s="112" t="str">
        <f>VLOOKUP(P133, 'Bottom-up Tagging Assumptions'!$B$12:$F$56, 4, FALSE)</f>
        <v>#Level 4(100)</v>
      </c>
      <c r="AB133" s="110" t="s">
        <v>2023</v>
      </c>
      <c r="AC133" s="110"/>
      <c r="AD133" s="110" t="s">
        <v>2022</v>
      </c>
      <c r="AE133" s="110" t="str">
        <f>VLOOKUP(AD133,  '1.2'!$B$7:$C$2033, 2, FALSE)</f>
        <v>FUND</v>
      </c>
      <c r="AF133" s="112"/>
      <c r="AG133" s="110" t="s">
        <v>1741</v>
      </c>
      <c r="AH133" s="121">
        <f t="shared" si="38"/>
        <v>0</v>
      </c>
      <c r="AI133" s="121">
        <f t="shared" si="39"/>
        <v>0</v>
      </c>
      <c r="AJ133" s="121">
        <f t="shared" si="40"/>
        <v>1</v>
      </c>
      <c r="AK133" s="121">
        <f t="shared" si="41"/>
        <v>1</v>
      </c>
      <c r="AL133" s="121">
        <f t="shared" si="42"/>
        <v>0</v>
      </c>
      <c r="AM133" s="121">
        <f t="shared" si="43"/>
        <v>0</v>
      </c>
      <c r="AN133" s="121">
        <f t="shared" si="44"/>
        <v>1</v>
      </c>
      <c r="AO133" s="121">
        <f t="shared" si="45"/>
        <v>0</v>
      </c>
      <c r="AP133" s="22">
        <f t="shared" si="46"/>
        <v>0</v>
      </c>
      <c r="AQ133" s="22">
        <f t="shared" si="47"/>
        <v>2254100.2859700155</v>
      </c>
      <c r="AR133" s="22">
        <f t="shared" si="48"/>
        <v>0</v>
      </c>
      <c r="AS133" s="121" t="str">
        <f t="shared" si="49"/>
        <v>Crops</v>
      </c>
      <c r="AT133" s="121" t="str">
        <f t="shared" si="70"/>
        <v xml:space="preserve"> </v>
      </c>
      <c r="AU133" s="121" t="str">
        <f t="shared" si="70"/>
        <v xml:space="preserve"> </v>
      </c>
      <c r="AV133" s="121" t="str">
        <f t="shared" si="70"/>
        <v xml:space="preserve"> </v>
      </c>
      <c r="AW133" s="130" t="str">
        <f t="shared" si="71"/>
        <v>100</v>
      </c>
      <c r="AX133" s="130" t="str">
        <f t="shared" si="71"/>
        <v xml:space="preserve"> </v>
      </c>
      <c r="AY133" s="130" t="str">
        <f t="shared" si="71"/>
        <v xml:space="preserve"> </v>
      </c>
      <c r="AZ133" s="130" t="str">
        <f t="shared" si="71"/>
        <v xml:space="preserve"> </v>
      </c>
      <c r="BA133" s="121">
        <f t="shared" si="50"/>
        <v>2254100.2859700155</v>
      </c>
      <c r="BB133" s="121">
        <f t="shared" si="51"/>
        <v>0</v>
      </c>
      <c r="BC133" s="121">
        <f t="shared" si="52"/>
        <v>0</v>
      </c>
      <c r="BD133" s="121">
        <f t="shared" si="53"/>
        <v>0</v>
      </c>
      <c r="BE133" s="121">
        <f t="shared" si="54"/>
        <v>0</v>
      </c>
      <c r="BF133" s="121">
        <f t="shared" si="55"/>
        <v>0</v>
      </c>
      <c r="BG133" s="121">
        <f t="shared" si="56"/>
        <v>0</v>
      </c>
      <c r="BH133" s="121">
        <f t="shared" si="57"/>
        <v>0</v>
      </c>
      <c r="BI133" s="121">
        <f t="shared" si="58"/>
        <v>2254100.2859700155</v>
      </c>
      <c r="BJ133" s="121">
        <f t="shared" si="59"/>
        <v>2254100.2859700155</v>
      </c>
      <c r="BK133" s="121">
        <f t="shared" si="60"/>
        <v>2254100.2859700155</v>
      </c>
      <c r="BL133" s="121">
        <f t="shared" si="61"/>
        <v>2254100.2859700155</v>
      </c>
      <c r="BM133" s="121">
        <f t="shared" si="62"/>
        <v>0</v>
      </c>
      <c r="BN133" s="121">
        <f t="shared" si="63"/>
        <v>0</v>
      </c>
      <c r="BO133" s="121">
        <f t="shared" si="64"/>
        <v>0</v>
      </c>
      <c r="BP133" s="121">
        <f t="shared" si="65"/>
        <v>0</v>
      </c>
      <c r="BQ133" s="199">
        <f>INDEX('GDP deflators'!$C$6:$M$36,MATCH('Bottom-up tagging'!$D133,'GDP deflators'!$B$6:$B$36,),MATCH('Bottom-up tagging'!$E133,'GDP deflators'!$C$5:$L$5,))/100</f>
        <v>1.7745439388375148</v>
      </c>
      <c r="BR133" s="24">
        <v>4000000</v>
      </c>
    </row>
    <row r="134" spans="2:70" ht="26.15" hidden="1" customHeight="1">
      <c r="B134" s="110" t="s">
        <v>2220</v>
      </c>
      <c r="C134" s="110" t="s">
        <v>2224</v>
      </c>
      <c r="D134" s="110" t="s">
        <v>3994</v>
      </c>
      <c r="E134" s="103">
        <v>2017</v>
      </c>
      <c r="F134" s="108" t="s">
        <v>9118</v>
      </c>
      <c r="G134" s="111" t="s">
        <v>109</v>
      </c>
      <c r="H134" s="110" t="s">
        <v>10451</v>
      </c>
      <c r="I134" s="112">
        <f>IF(Dashboard!$B$16="Current USD",'Bottom-up tagging'!BR134,'Bottom-up tagging'!BR134/'Bottom-up tagging'!BQ134)</f>
        <v>2834648.2964318711</v>
      </c>
      <c r="J134" s="117" t="s">
        <v>10474</v>
      </c>
      <c r="K134" s="112"/>
      <c r="L134" s="135">
        <v>1</v>
      </c>
      <c r="M134" s="135">
        <v>1</v>
      </c>
      <c r="N134" s="112"/>
      <c r="O134" s="112"/>
      <c r="P134" s="112" t="str">
        <f>VLOOKUP(B134, 'Companies covered restructured'!$B$7:$K$470, 9, FALSE)</f>
        <v>AI/analytics based advisory algorithms (incl. weather)</v>
      </c>
      <c r="Q134" s="112" t="str">
        <f>VLOOKUP(B134, 'Companies covered restructured'!$B$7:$K$470, 6, FALSE)</f>
        <v>#Crops(100)</v>
      </c>
      <c r="R134" s="112" t="str">
        <f t="shared" si="37"/>
        <v>#Investment Fund(100)</v>
      </c>
      <c r="S134" s="112" t="s">
        <v>11003</v>
      </c>
      <c r="T134" s="112" t="s">
        <v>10466</v>
      </c>
      <c r="U134" s="103" t="s">
        <v>10970</v>
      </c>
      <c r="V134" s="112" t="str">
        <f>VLOOKUP(P134, 'Bottom-up Tagging Assumptions'!$B$12:$F$39, 5, FALSE)</f>
        <v>#Science &amp; tech(100)</v>
      </c>
      <c r="W134" s="112" t="str">
        <f>VLOOKUP(B134, 'Companies covered restructured'!$B$7:$K$470, 7, FALSE)</f>
        <v>#Landscape(100)</v>
      </c>
      <c r="X134" s="112" t="str">
        <f>VLOOKUP(B134, 'Companies covered restructured'!$B$7:$K$470, 8, FALSE)</f>
        <v>N/A</v>
      </c>
      <c r="Y134" s="212" t="str">
        <f>VLOOKUP(P134, 'Bottom-up Tagging Assumptions'!$B$12:$C$56, 2, FALSE)</f>
        <v>#Other Economic(P); #Productivity(S)</v>
      </c>
      <c r="Z134" s="112" t="str">
        <f>VLOOKUP(P134, 'Bottom-up Tagging Assumptions'!$B$12:$F$56, 3, FALSE)</f>
        <v>#Increasing output per unit input(P); #Increasing crop or animal yield(S)</v>
      </c>
      <c r="AA134" s="112" t="str">
        <f>VLOOKUP(P134, 'Bottom-up Tagging Assumptions'!$B$12:$F$56, 4, FALSE)</f>
        <v>#Level 1(100)</v>
      </c>
      <c r="AB134" s="110" t="s">
        <v>2222</v>
      </c>
      <c r="AC134" s="110"/>
      <c r="AD134" s="110" t="s">
        <v>2223</v>
      </c>
      <c r="AE134" s="110" t="s">
        <v>3114</v>
      </c>
      <c r="AF134" s="112">
        <v>14470000</v>
      </c>
      <c r="AG134" s="110" t="s">
        <v>1753</v>
      </c>
      <c r="AH134" s="121">
        <f t="shared" si="38"/>
        <v>0</v>
      </c>
      <c r="AI134" s="121">
        <f t="shared" si="39"/>
        <v>1</v>
      </c>
      <c r="AJ134" s="121">
        <f t="shared" si="40"/>
        <v>1</v>
      </c>
      <c r="AK134" s="121">
        <f t="shared" si="41"/>
        <v>0</v>
      </c>
      <c r="AL134" s="121">
        <f t="shared" si="42"/>
        <v>0</v>
      </c>
      <c r="AM134" s="121">
        <f t="shared" si="43"/>
        <v>0</v>
      </c>
      <c r="AN134" s="121">
        <f t="shared" si="44"/>
        <v>0</v>
      </c>
      <c r="AO134" s="121">
        <f t="shared" si="45"/>
        <v>0</v>
      </c>
      <c r="AP134" s="22">
        <f t="shared" si="46"/>
        <v>0</v>
      </c>
      <c r="AQ134" s="22">
        <f t="shared" si="47"/>
        <v>0</v>
      </c>
      <c r="AR134" s="22">
        <f t="shared" si="48"/>
        <v>0</v>
      </c>
      <c r="AS134" s="121" t="str">
        <f t="shared" si="49"/>
        <v>Crops</v>
      </c>
      <c r="AT134" s="121" t="str">
        <f t="shared" si="70"/>
        <v xml:space="preserve"> </v>
      </c>
      <c r="AU134" s="121" t="str">
        <f t="shared" si="70"/>
        <v xml:space="preserve"> </v>
      </c>
      <c r="AV134" s="121" t="str">
        <f t="shared" si="70"/>
        <v xml:space="preserve"> </v>
      </c>
      <c r="AW134" s="130" t="str">
        <f t="shared" si="71"/>
        <v>100</v>
      </c>
      <c r="AX134" s="130" t="str">
        <f t="shared" si="71"/>
        <v xml:space="preserve"> </v>
      </c>
      <c r="AY134" s="130" t="str">
        <f t="shared" si="71"/>
        <v xml:space="preserve"> </v>
      </c>
      <c r="AZ134" s="130" t="str">
        <f t="shared" si="71"/>
        <v xml:space="preserve"> </v>
      </c>
      <c r="BA134" s="121">
        <f t="shared" si="50"/>
        <v>2834648.2964318711</v>
      </c>
      <c r="BB134" s="121">
        <f t="shared" si="51"/>
        <v>0</v>
      </c>
      <c r="BC134" s="121">
        <f t="shared" si="52"/>
        <v>0</v>
      </c>
      <c r="BD134" s="121">
        <f t="shared" si="53"/>
        <v>0</v>
      </c>
      <c r="BE134" s="121">
        <f t="shared" si="54"/>
        <v>0</v>
      </c>
      <c r="BF134" s="121">
        <f t="shared" si="55"/>
        <v>0</v>
      </c>
      <c r="BG134" s="121">
        <f t="shared" si="56"/>
        <v>0</v>
      </c>
      <c r="BH134" s="121">
        <f t="shared" si="57"/>
        <v>0</v>
      </c>
      <c r="BI134" s="121">
        <f t="shared" si="58"/>
        <v>0</v>
      </c>
      <c r="BJ134" s="121">
        <f t="shared" si="59"/>
        <v>0</v>
      </c>
      <c r="BK134" s="121">
        <f t="shared" si="60"/>
        <v>0</v>
      </c>
      <c r="BL134" s="121">
        <f t="shared" si="61"/>
        <v>0</v>
      </c>
      <c r="BM134" s="121">
        <f t="shared" si="62"/>
        <v>0</v>
      </c>
      <c r="BN134" s="121">
        <f t="shared" si="63"/>
        <v>0</v>
      </c>
      <c r="BO134" s="121">
        <f t="shared" si="64"/>
        <v>0</v>
      </c>
      <c r="BP134" s="121">
        <f t="shared" si="65"/>
        <v>0</v>
      </c>
      <c r="BQ134" s="199">
        <f>INDEX('GDP deflators'!$C$6:$M$36,MATCH('Bottom-up tagging'!$D134,'GDP deflators'!$B$6:$B$36,),MATCH('Bottom-up tagging'!$E134,'GDP deflators'!$C$5:$L$5,))/100</f>
        <v>1.4111098032990623</v>
      </c>
      <c r="BR134" s="24">
        <v>4000000</v>
      </c>
    </row>
    <row r="135" spans="2:70" ht="26.15" hidden="1" customHeight="1">
      <c r="B135" s="110" t="s">
        <v>1330</v>
      </c>
      <c r="C135" s="110" t="s">
        <v>1334</v>
      </c>
      <c r="D135" s="110" t="s">
        <v>3994</v>
      </c>
      <c r="E135" s="103">
        <v>2016</v>
      </c>
      <c r="F135" s="108" t="s">
        <v>8242</v>
      </c>
      <c r="G135" s="111" t="s">
        <v>109</v>
      </c>
      <c r="H135" s="110" t="s">
        <v>10451</v>
      </c>
      <c r="I135" s="112">
        <f>IF(Dashboard!$B$16="Current USD",'Bottom-up tagging'!BR135,'Bottom-up tagging'!BR135/'Bottom-up tagging'!BQ135)</f>
        <v>2941744.1185017605</v>
      </c>
      <c r="J135" s="105" t="s">
        <v>10474</v>
      </c>
      <c r="K135" s="112"/>
      <c r="L135" s="135">
        <v>1</v>
      </c>
      <c r="M135" s="135">
        <v>1</v>
      </c>
      <c r="N135" s="112"/>
      <c r="O135" s="112"/>
      <c r="P135" s="112" t="str">
        <f>VLOOKUP(B135, 'Companies covered restructured'!$B$7:$K$470, 9, FALSE)</f>
        <v>AI/analytics based advisory algorithms (incl. weather)</v>
      </c>
      <c r="Q135" s="112" t="str">
        <f>VLOOKUP(B135, 'Companies covered restructured'!$B$7:$K$470, 6, FALSE)</f>
        <v>#Crops(100)</v>
      </c>
      <c r="R135" s="112" t="str">
        <f t="shared" si="37"/>
        <v>N/A</v>
      </c>
      <c r="S135" s="112" t="s">
        <v>11003</v>
      </c>
      <c r="T135" s="112" t="s">
        <v>10466</v>
      </c>
      <c r="U135" s="103" t="s">
        <v>10970</v>
      </c>
      <c r="V135" s="112" t="str">
        <f>VLOOKUP(P135, 'Bottom-up Tagging Assumptions'!$B$12:$F$39, 5, FALSE)</f>
        <v>#Science &amp; tech(100)</v>
      </c>
      <c r="W135" s="112" t="str">
        <f>VLOOKUP(B135, 'Companies covered restructured'!$B$7:$K$470, 7, FALSE)</f>
        <v>#Field/Animal Herd(100)</v>
      </c>
      <c r="X135" s="112" t="s">
        <v>10558</v>
      </c>
      <c r="Y135" s="212" t="str">
        <f>VLOOKUP(P135, 'Bottom-up Tagging Assumptions'!$B$12:$C$56, 2, FALSE)</f>
        <v>#Other Economic(P); #Productivity(S)</v>
      </c>
      <c r="Z135" s="112" t="str">
        <f>VLOOKUP(P135, 'Bottom-up Tagging Assumptions'!$B$12:$F$56, 3, FALSE)</f>
        <v>#Increasing output per unit input(P); #Increasing crop or animal yield(S)</v>
      </c>
      <c r="AA135" s="112" t="str">
        <f>VLOOKUP(P135, 'Bottom-up Tagging Assumptions'!$B$12:$F$56, 4, FALSE)</f>
        <v>#Level 1(100)</v>
      </c>
      <c r="AB135" s="110" t="s">
        <v>2404</v>
      </c>
      <c r="AC135" s="110"/>
      <c r="AD135" s="110"/>
      <c r="AE135" s="110" t="s">
        <v>10558</v>
      </c>
      <c r="AF135" s="112">
        <v>1819105</v>
      </c>
      <c r="AG135" s="110" t="s">
        <v>711</v>
      </c>
      <c r="AH135" s="121">
        <f t="shared" si="38"/>
        <v>0</v>
      </c>
      <c r="AI135" s="121">
        <f t="shared" si="39"/>
        <v>1</v>
      </c>
      <c r="AJ135" s="121">
        <f t="shared" si="40"/>
        <v>1</v>
      </c>
      <c r="AK135" s="121">
        <f t="shared" si="41"/>
        <v>0</v>
      </c>
      <c r="AL135" s="121">
        <f t="shared" si="42"/>
        <v>0</v>
      </c>
      <c r="AM135" s="121">
        <f t="shared" si="43"/>
        <v>0</v>
      </c>
      <c r="AN135" s="121">
        <f t="shared" si="44"/>
        <v>0</v>
      </c>
      <c r="AO135" s="121">
        <f t="shared" si="45"/>
        <v>0</v>
      </c>
      <c r="AP135" s="22">
        <f t="shared" si="46"/>
        <v>0</v>
      </c>
      <c r="AQ135" s="22">
        <f t="shared" si="47"/>
        <v>0</v>
      </c>
      <c r="AR135" s="22">
        <f t="shared" si="48"/>
        <v>0</v>
      </c>
      <c r="AS135" s="121" t="str">
        <f t="shared" si="49"/>
        <v>Crops</v>
      </c>
      <c r="AT135" s="121" t="str">
        <f t="shared" si="70"/>
        <v xml:space="preserve"> </v>
      </c>
      <c r="AU135" s="121" t="str">
        <f t="shared" si="70"/>
        <v xml:space="preserve"> </v>
      </c>
      <c r="AV135" s="121" t="str">
        <f t="shared" si="70"/>
        <v xml:space="preserve"> </v>
      </c>
      <c r="AW135" s="130" t="str">
        <f t="shared" si="71"/>
        <v>100</v>
      </c>
      <c r="AX135" s="130" t="str">
        <f t="shared" si="71"/>
        <v xml:space="preserve"> </v>
      </c>
      <c r="AY135" s="130" t="str">
        <f t="shared" si="71"/>
        <v xml:space="preserve"> </v>
      </c>
      <c r="AZ135" s="130" t="str">
        <f t="shared" si="71"/>
        <v xml:space="preserve"> </v>
      </c>
      <c r="BA135" s="121">
        <f t="shared" si="50"/>
        <v>2941744.1185017605</v>
      </c>
      <c r="BB135" s="121">
        <f t="shared" si="51"/>
        <v>0</v>
      </c>
      <c r="BC135" s="121">
        <f t="shared" si="52"/>
        <v>0</v>
      </c>
      <c r="BD135" s="121">
        <f t="shared" si="53"/>
        <v>0</v>
      </c>
      <c r="BE135" s="121">
        <f t="shared" si="54"/>
        <v>0</v>
      </c>
      <c r="BF135" s="121">
        <f t="shared" si="55"/>
        <v>0</v>
      </c>
      <c r="BG135" s="121">
        <f t="shared" si="56"/>
        <v>0</v>
      </c>
      <c r="BH135" s="121">
        <f t="shared" si="57"/>
        <v>0</v>
      </c>
      <c r="BI135" s="121">
        <f t="shared" si="58"/>
        <v>0</v>
      </c>
      <c r="BJ135" s="121">
        <f t="shared" si="59"/>
        <v>0</v>
      </c>
      <c r="BK135" s="121">
        <f t="shared" si="60"/>
        <v>0</v>
      </c>
      <c r="BL135" s="121">
        <f t="shared" si="61"/>
        <v>0</v>
      </c>
      <c r="BM135" s="121">
        <f t="shared" si="62"/>
        <v>0</v>
      </c>
      <c r="BN135" s="121">
        <f t="shared" si="63"/>
        <v>0</v>
      </c>
      <c r="BO135" s="121">
        <f t="shared" si="64"/>
        <v>0</v>
      </c>
      <c r="BP135" s="121">
        <f t="shared" si="65"/>
        <v>0</v>
      </c>
      <c r="BQ135" s="199">
        <f>INDEX('GDP deflators'!$C$6:$M$36,MATCH('Bottom-up tagging'!$D135,'GDP deflators'!$B$6:$B$36,),MATCH('Bottom-up tagging'!$E135,'GDP deflators'!$C$5:$L$5,))/100</f>
        <v>1.3597375702538033</v>
      </c>
      <c r="BR135" s="24">
        <v>4000000</v>
      </c>
    </row>
    <row r="136" spans="2:70" ht="26.15" hidden="1" customHeight="1">
      <c r="B136" s="110" t="s">
        <v>1171</v>
      </c>
      <c r="C136" s="110" t="s">
        <v>1175</v>
      </c>
      <c r="D136" s="110" t="s">
        <v>3994</v>
      </c>
      <c r="E136" s="103">
        <v>2015</v>
      </c>
      <c r="F136" s="108" t="s">
        <v>8395</v>
      </c>
      <c r="G136" s="111" t="s">
        <v>109</v>
      </c>
      <c r="H136" s="110" t="s">
        <v>10451</v>
      </c>
      <c r="I136" s="112">
        <f>IF(Dashboard!$B$16="Current USD",'Bottom-up tagging'!BR136,'Bottom-up tagging'!BR136/'Bottom-up tagging'!BQ136)</f>
        <v>3036997.0389746404</v>
      </c>
      <c r="J136" s="105" t="s">
        <v>10474</v>
      </c>
      <c r="K136" s="112"/>
      <c r="L136" s="135">
        <v>1</v>
      </c>
      <c r="M136" s="135">
        <v>1</v>
      </c>
      <c r="N136" s="112"/>
      <c r="O136" s="112"/>
      <c r="P136" s="112" t="str">
        <f>VLOOKUP(B136, 'Companies covered restructured'!$B$7:$K$470, 9, FALSE)</f>
        <v>Farmer engagement platforms (including marketplaces and information platforms)</v>
      </c>
      <c r="Q136" s="112" t="str">
        <f>VLOOKUP(B136, 'Companies covered restructured'!$B$7:$K$470, 6, FALSE)</f>
        <v>#Crops(100)</v>
      </c>
      <c r="R136" s="112" t="str">
        <f t="shared" si="37"/>
        <v>#Investment Fund(100)</v>
      </c>
      <c r="S136" s="112" t="s">
        <v>11003</v>
      </c>
      <c r="T136" s="112" t="s">
        <v>10466</v>
      </c>
      <c r="U136" s="103" t="s">
        <v>10970</v>
      </c>
      <c r="V136" s="112" t="str">
        <f>VLOOKUP(P136, 'Bottom-up Tagging Assumptions'!$B$12:$F$39, 5, FALSE)</f>
        <v>#Process Innovation(100)</v>
      </c>
      <c r="W136" s="112" t="str">
        <f>VLOOKUP(B136, 'Companies covered restructured'!$B$7:$K$470, 7, FALSE)</f>
        <v>#Field/Animal Herd(100)</v>
      </c>
      <c r="X136" s="112" t="s">
        <v>10558</v>
      </c>
      <c r="Y136" s="212" t="str">
        <f>VLOOKUP(P136, 'Bottom-up Tagging Assumptions'!$B$12:$C$56, 2, FALSE)</f>
        <v>#Other Economic(P); #Productivity(S)</v>
      </c>
      <c r="Z136" s="112" t="str">
        <f>VLOOKUP(P136, 'Bottom-up Tagging Assumptions'!$B$12:$F$56, 3, FALSE)</f>
        <v>#Improve price realization(P); #Increasing crop or animal yield(S)</v>
      </c>
      <c r="AA136" s="112" t="str">
        <f>VLOOKUP(P136, 'Bottom-up Tagging Assumptions'!$B$12:$F$56, 4, FALSE)</f>
        <v>#Level 4(100)</v>
      </c>
      <c r="AB136" s="110" t="s">
        <v>112</v>
      </c>
      <c r="AC136" s="110"/>
      <c r="AD136" s="110" t="s">
        <v>113</v>
      </c>
      <c r="AE136" s="110" t="str">
        <f>VLOOKUP(AD136,  '1.2'!$B$7:$C$2033, 2, FALSE)</f>
        <v>FUND</v>
      </c>
      <c r="AF136" s="112">
        <v>1437605</v>
      </c>
      <c r="AG136" s="110" t="s">
        <v>1759</v>
      </c>
      <c r="AH136" s="121">
        <f t="shared" si="38"/>
        <v>0</v>
      </c>
      <c r="AI136" s="121">
        <f t="shared" si="39"/>
        <v>1</v>
      </c>
      <c r="AJ136" s="121">
        <f t="shared" si="40"/>
        <v>1</v>
      </c>
      <c r="AK136" s="121">
        <f t="shared" si="41"/>
        <v>0</v>
      </c>
      <c r="AL136" s="121">
        <f t="shared" si="42"/>
        <v>0</v>
      </c>
      <c r="AM136" s="121">
        <f t="shared" si="43"/>
        <v>0</v>
      </c>
      <c r="AN136" s="121">
        <f t="shared" si="44"/>
        <v>0</v>
      </c>
      <c r="AO136" s="121">
        <f t="shared" si="45"/>
        <v>0</v>
      </c>
      <c r="AP136" s="22">
        <f t="shared" si="46"/>
        <v>0</v>
      </c>
      <c r="AQ136" s="22">
        <f t="shared" si="47"/>
        <v>0</v>
      </c>
      <c r="AR136" s="22">
        <f t="shared" si="48"/>
        <v>0</v>
      </c>
      <c r="AS136" s="121" t="str">
        <f t="shared" si="49"/>
        <v>Crops</v>
      </c>
      <c r="AT136" s="121" t="str">
        <f t="shared" si="70"/>
        <v xml:space="preserve"> </v>
      </c>
      <c r="AU136" s="121" t="str">
        <f t="shared" si="70"/>
        <v xml:space="preserve"> </v>
      </c>
      <c r="AV136" s="121" t="str">
        <f t="shared" si="70"/>
        <v xml:space="preserve"> </v>
      </c>
      <c r="AW136" s="130" t="str">
        <f t="shared" si="71"/>
        <v>100</v>
      </c>
      <c r="AX136" s="130" t="str">
        <f t="shared" si="71"/>
        <v xml:space="preserve"> </v>
      </c>
      <c r="AY136" s="130" t="str">
        <f t="shared" si="71"/>
        <v xml:space="preserve"> </v>
      </c>
      <c r="AZ136" s="130" t="str">
        <f t="shared" si="71"/>
        <v xml:space="preserve"> </v>
      </c>
      <c r="BA136" s="121">
        <f t="shared" si="50"/>
        <v>3036997.0389746404</v>
      </c>
      <c r="BB136" s="121">
        <f t="shared" si="51"/>
        <v>0</v>
      </c>
      <c r="BC136" s="121">
        <f t="shared" si="52"/>
        <v>0</v>
      </c>
      <c r="BD136" s="121">
        <f t="shared" si="53"/>
        <v>0</v>
      </c>
      <c r="BE136" s="121">
        <f t="shared" si="54"/>
        <v>0</v>
      </c>
      <c r="BF136" s="121">
        <f t="shared" si="55"/>
        <v>0</v>
      </c>
      <c r="BG136" s="121">
        <f t="shared" si="56"/>
        <v>0</v>
      </c>
      <c r="BH136" s="121">
        <f t="shared" si="57"/>
        <v>0</v>
      </c>
      <c r="BI136" s="121">
        <f t="shared" si="58"/>
        <v>0</v>
      </c>
      <c r="BJ136" s="121">
        <f t="shared" si="59"/>
        <v>0</v>
      </c>
      <c r="BK136" s="121">
        <f t="shared" si="60"/>
        <v>0</v>
      </c>
      <c r="BL136" s="121">
        <f t="shared" si="61"/>
        <v>0</v>
      </c>
      <c r="BM136" s="121">
        <f t="shared" si="62"/>
        <v>0</v>
      </c>
      <c r="BN136" s="121">
        <f t="shared" si="63"/>
        <v>0</v>
      </c>
      <c r="BO136" s="121">
        <f t="shared" si="64"/>
        <v>0</v>
      </c>
      <c r="BP136" s="121">
        <f t="shared" si="65"/>
        <v>0</v>
      </c>
      <c r="BQ136" s="199">
        <f>INDEX('GDP deflators'!$C$6:$M$36,MATCH('Bottom-up tagging'!$D136,'GDP deflators'!$B$6:$B$36,),MATCH('Bottom-up tagging'!$E136,'GDP deflators'!$C$5:$L$5,))/100</f>
        <v>1.3170905169372478</v>
      </c>
      <c r="BR136" s="24">
        <v>4000000</v>
      </c>
    </row>
    <row r="137" spans="2:70" ht="26.15" hidden="1" customHeight="1">
      <c r="B137" s="110" t="s">
        <v>185</v>
      </c>
      <c r="C137" s="110" t="s">
        <v>189</v>
      </c>
      <c r="D137" s="110" t="s">
        <v>3994</v>
      </c>
      <c r="E137" s="103">
        <v>2018</v>
      </c>
      <c r="F137" s="108" t="s">
        <v>6465</v>
      </c>
      <c r="G137" s="111" t="s">
        <v>109</v>
      </c>
      <c r="H137" s="110" t="s">
        <v>10451</v>
      </c>
      <c r="I137" s="112">
        <f>IF(Dashboard!$B$16="Current USD",'Bottom-up tagging'!BR137,'Bottom-up tagging'!BR137/'Bottom-up tagging'!BQ137)</f>
        <v>2688177.6977921333</v>
      </c>
      <c r="J137" s="105" t="s">
        <v>10474</v>
      </c>
      <c r="K137" s="112"/>
      <c r="L137" s="135">
        <v>1</v>
      </c>
      <c r="M137" s="135">
        <v>1</v>
      </c>
      <c r="N137" s="112"/>
      <c r="O137" s="112"/>
      <c r="P137" s="112" t="str">
        <f>VLOOKUP(B137, 'Companies covered restructured'!$B$7:$K$470, 9, FALSE)</f>
        <v>Agri marketplaces</v>
      </c>
      <c r="Q137" s="112" t="str">
        <f>VLOOKUP(B137, 'Companies covered restructured'!$B$7:$K$470, 6, FALSE)</f>
        <v>#Crops(100)</v>
      </c>
      <c r="R137" s="112" t="str">
        <f t="shared" si="37"/>
        <v>#Corporate(100)</v>
      </c>
      <c r="S137" s="112" t="s">
        <v>11003</v>
      </c>
      <c r="T137" s="112" t="s">
        <v>10466</v>
      </c>
      <c r="U137" s="103" t="s">
        <v>10970</v>
      </c>
      <c r="V137" s="112" t="str">
        <f>VLOOKUP(P137, 'Bottom-up Tagging Assumptions'!$B$12:$F$39, 5, FALSE)</f>
        <v>#Process Innovation(100)</v>
      </c>
      <c r="W137" s="112" t="str">
        <f>VLOOKUP(B137, 'Companies covered restructured'!$B$7:$K$470, 7, FALSE)</f>
        <v>#Field/Animal Herd(100)</v>
      </c>
      <c r="X137" s="112" t="s">
        <v>10558</v>
      </c>
      <c r="Y137" s="212" t="str">
        <f>VLOOKUP(P137, 'Bottom-up Tagging Assumptions'!$B$12:$C$56, 2, FALSE)</f>
        <v>#Other Economic(P); Social(S)</v>
      </c>
      <c r="Z137" s="112" t="str">
        <f>VLOOKUP(P137, 'Bottom-up Tagging Assumptions'!$B$12:$F$56, 3, FALSE)</f>
        <v>#Improve price realization(P)</v>
      </c>
      <c r="AA137" s="112" t="str">
        <f>VLOOKUP(P137, 'Bottom-up Tagging Assumptions'!$B$12:$F$56, 4, FALSE)</f>
        <v>#Level 4(100)</v>
      </c>
      <c r="AB137" s="110" t="s">
        <v>1760</v>
      </c>
      <c r="AC137" s="110" t="s">
        <v>1761</v>
      </c>
      <c r="AD137" s="110" t="s">
        <v>1762</v>
      </c>
      <c r="AE137" s="110" t="str">
        <f>VLOOKUP(AD137,  '1.2'!$B$7:$C$2033, 2, FALSE)</f>
        <v>CORPORATE_INVESTOR</v>
      </c>
      <c r="AF137" s="112">
        <v>65736870</v>
      </c>
      <c r="AG137" s="110" t="s">
        <v>190</v>
      </c>
      <c r="AH137" s="121">
        <f t="shared" si="38"/>
        <v>0</v>
      </c>
      <c r="AI137" s="121">
        <f t="shared" si="39"/>
        <v>0</v>
      </c>
      <c r="AJ137" s="121">
        <f t="shared" si="40"/>
        <v>1</v>
      </c>
      <c r="AK137" s="121">
        <f t="shared" si="41"/>
        <v>1</v>
      </c>
      <c r="AL137" s="121">
        <f t="shared" si="42"/>
        <v>0</v>
      </c>
      <c r="AM137" s="121">
        <f t="shared" si="43"/>
        <v>0</v>
      </c>
      <c r="AN137" s="121">
        <f t="shared" si="44"/>
        <v>1</v>
      </c>
      <c r="AO137" s="121">
        <f t="shared" si="45"/>
        <v>0</v>
      </c>
      <c r="AP137" s="22">
        <f t="shared" si="46"/>
        <v>0</v>
      </c>
      <c r="AQ137" s="22">
        <f t="shared" si="47"/>
        <v>2688177.6977921333</v>
      </c>
      <c r="AR137" s="22">
        <f t="shared" si="48"/>
        <v>0</v>
      </c>
      <c r="AS137" s="121" t="str">
        <f t="shared" si="49"/>
        <v>Crops</v>
      </c>
      <c r="AT137" s="121" t="str">
        <f t="shared" si="70"/>
        <v xml:space="preserve"> </v>
      </c>
      <c r="AU137" s="121" t="str">
        <f t="shared" si="70"/>
        <v xml:space="preserve"> </v>
      </c>
      <c r="AV137" s="121" t="str">
        <f t="shared" si="70"/>
        <v xml:space="preserve"> </v>
      </c>
      <c r="AW137" s="130" t="str">
        <f t="shared" si="71"/>
        <v>100</v>
      </c>
      <c r="AX137" s="130" t="str">
        <f t="shared" si="71"/>
        <v xml:space="preserve"> </v>
      </c>
      <c r="AY137" s="130" t="str">
        <f t="shared" si="71"/>
        <v xml:space="preserve"> </v>
      </c>
      <c r="AZ137" s="130" t="str">
        <f t="shared" si="71"/>
        <v xml:space="preserve"> </v>
      </c>
      <c r="BA137" s="121">
        <f t="shared" si="50"/>
        <v>2688177.6977921333</v>
      </c>
      <c r="BB137" s="121">
        <f t="shared" si="51"/>
        <v>0</v>
      </c>
      <c r="BC137" s="121">
        <f t="shared" si="52"/>
        <v>0</v>
      </c>
      <c r="BD137" s="121">
        <f t="shared" si="53"/>
        <v>0</v>
      </c>
      <c r="BE137" s="121">
        <f t="shared" si="54"/>
        <v>0</v>
      </c>
      <c r="BF137" s="121">
        <f t="shared" si="55"/>
        <v>0</v>
      </c>
      <c r="BG137" s="121">
        <f t="shared" si="56"/>
        <v>0</v>
      </c>
      <c r="BH137" s="121">
        <f t="shared" si="57"/>
        <v>0</v>
      </c>
      <c r="BI137" s="121">
        <f t="shared" si="58"/>
        <v>2688177.6977921333</v>
      </c>
      <c r="BJ137" s="121">
        <f t="shared" si="59"/>
        <v>2688177.6977921333</v>
      </c>
      <c r="BK137" s="121">
        <f t="shared" si="60"/>
        <v>2688177.6977921333</v>
      </c>
      <c r="BL137" s="121">
        <f t="shared" si="61"/>
        <v>2688177.6977921333</v>
      </c>
      <c r="BM137" s="121">
        <f t="shared" si="62"/>
        <v>0</v>
      </c>
      <c r="BN137" s="121">
        <f t="shared" si="63"/>
        <v>0</v>
      </c>
      <c r="BO137" s="121">
        <f t="shared" si="64"/>
        <v>0</v>
      </c>
      <c r="BP137" s="121">
        <f t="shared" si="65"/>
        <v>0</v>
      </c>
      <c r="BQ137" s="199">
        <f>INDEX('GDP deflators'!$C$6:$M$36,MATCH('Bottom-up tagging'!$D137,'GDP deflators'!$B$6:$B$36,),MATCH('Bottom-up tagging'!$E137,'GDP deflators'!$C$5:$L$5,))/100</f>
        <v>1.4753935363936217</v>
      </c>
      <c r="BR137" s="24">
        <v>3966120</v>
      </c>
    </row>
    <row r="138" spans="2:70" ht="26.15" hidden="1" customHeight="1">
      <c r="B138" s="110" t="s">
        <v>308</v>
      </c>
      <c r="C138" s="110" t="s">
        <v>314</v>
      </c>
      <c r="D138" s="110" t="s">
        <v>3994</v>
      </c>
      <c r="E138" s="103">
        <v>2020</v>
      </c>
      <c r="F138" s="108" t="s">
        <v>6094</v>
      </c>
      <c r="G138" s="111" t="s">
        <v>34</v>
      </c>
      <c r="H138" s="110" t="s">
        <v>10451</v>
      </c>
      <c r="I138" s="212">
        <v>0</v>
      </c>
      <c r="J138" s="105" t="s">
        <v>10474</v>
      </c>
      <c r="K138" s="112"/>
      <c r="L138" s="135">
        <v>1</v>
      </c>
      <c r="M138" s="135">
        <v>1</v>
      </c>
      <c r="N138" s="112"/>
      <c r="O138" s="112"/>
      <c r="P138" s="112" t="str">
        <f>VLOOKUP(B138, 'Companies covered restructured'!$B$7:$K$470, 9, FALSE)</f>
        <v>Farmer engagement platforms (including marketplaces and information platforms)</v>
      </c>
      <c r="Q138" s="112" t="str">
        <f>VLOOKUP(B138, 'Companies covered restructured'!$B$7:$K$470, 6, FALSE)</f>
        <v>#Crops(100)</v>
      </c>
      <c r="R138" s="112" t="str">
        <f t="shared" si="37"/>
        <v>#Investment Fund(100)</v>
      </c>
      <c r="S138" s="112" t="s">
        <v>11003</v>
      </c>
      <c r="T138" s="112" t="s">
        <v>10466</v>
      </c>
      <c r="U138" s="213" t="s">
        <v>10970</v>
      </c>
      <c r="V138" s="112" t="str">
        <f>VLOOKUP(P138, 'Bottom-up Tagging Assumptions'!$B$12:$F$39, 5, FALSE)</f>
        <v>#Process Innovation(100)</v>
      </c>
      <c r="W138" s="112" t="str">
        <f>VLOOKUP(B138, 'Companies covered restructured'!$B$7:$K$470, 7, FALSE)</f>
        <v>#Field/Animal Herd(100)</v>
      </c>
      <c r="X138" s="112" t="s">
        <v>10558</v>
      </c>
      <c r="Y138" s="112" t="str">
        <f>VLOOKUP(P138, '[2]Bottom-up Tagging Assumptions'!$B$12:$F$56, 2, FALSE)</f>
        <v>#Other Economic(P); #Productivity(S)</v>
      </c>
      <c r="Z138" s="112" t="str">
        <f>VLOOKUP(P138, 'Bottom-up Tagging Assumptions'!$B$12:$F$56, 3, FALSE)</f>
        <v>#Improve price realization(P); #Increasing crop or animal yield(S)</v>
      </c>
      <c r="AA138" s="112" t="str">
        <f>VLOOKUP(P138, 'Bottom-up Tagging Assumptions'!$B$12:$F$56, 4, FALSE)</f>
        <v>#Level 4(100)</v>
      </c>
      <c r="AB138" s="110" t="s">
        <v>310</v>
      </c>
      <c r="AC138" s="110" t="s">
        <v>311</v>
      </c>
      <c r="AD138" s="110" t="s">
        <v>312</v>
      </c>
      <c r="AE138" s="110" t="str">
        <f>VLOOKUP(AD138,  '1.2'!$B$7:$C$2033, 2, FALSE)</f>
        <v>FUND</v>
      </c>
      <c r="AF138" s="112">
        <v>9099055</v>
      </c>
      <c r="AG138" s="110" t="s">
        <v>1768</v>
      </c>
      <c r="AH138" s="121">
        <f t="shared" si="38"/>
        <v>0</v>
      </c>
      <c r="AI138" s="121">
        <f t="shared" si="39"/>
        <v>1</v>
      </c>
      <c r="AJ138" s="121">
        <f t="shared" si="40"/>
        <v>1</v>
      </c>
      <c r="AK138" s="121">
        <f t="shared" si="41"/>
        <v>0</v>
      </c>
      <c r="AL138" s="121">
        <f t="shared" si="42"/>
        <v>0</v>
      </c>
      <c r="AM138" s="121">
        <f t="shared" si="43"/>
        <v>0</v>
      </c>
      <c r="AN138" s="121">
        <f t="shared" si="44"/>
        <v>0</v>
      </c>
      <c r="AO138" s="121">
        <f t="shared" si="45"/>
        <v>0</v>
      </c>
      <c r="AP138" s="22">
        <f t="shared" si="46"/>
        <v>0</v>
      </c>
      <c r="AQ138" s="22">
        <f t="shared" si="47"/>
        <v>0</v>
      </c>
      <c r="AR138" s="22">
        <f t="shared" si="48"/>
        <v>0</v>
      </c>
      <c r="AS138" s="121" t="str">
        <f t="shared" si="49"/>
        <v>Crops</v>
      </c>
      <c r="AT138" s="121" t="str">
        <f t="shared" si="70"/>
        <v xml:space="preserve"> </v>
      </c>
      <c r="AU138" s="121" t="str">
        <f t="shared" si="70"/>
        <v xml:space="preserve"> </v>
      </c>
      <c r="AV138" s="121" t="str">
        <f t="shared" si="70"/>
        <v xml:space="preserve"> </v>
      </c>
      <c r="AW138" s="130" t="str">
        <f t="shared" si="71"/>
        <v>100</v>
      </c>
      <c r="AX138" s="130" t="str">
        <f t="shared" si="71"/>
        <v xml:space="preserve"> </v>
      </c>
      <c r="AY138" s="130" t="str">
        <f t="shared" si="71"/>
        <v xml:space="preserve"> </v>
      </c>
      <c r="AZ138" s="130" t="str">
        <f t="shared" si="71"/>
        <v xml:space="preserve"> </v>
      </c>
      <c r="BA138" s="121">
        <f t="shared" si="50"/>
        <v>0</v>
      </c>
      <c r="BB138" s="121">
        <f t="shared" si="51"/>
        <v>0</v>
      </c>
      <c r="BC138" s="121">
        <f t="shared" si="52"/>
        <v>0</v>
      </c>
      <c r="BD138" s="121">
        <f t="shared" si="53"/>
        <v>0</v>
      </c>
      <c r="BE138" s="121">
        <f t="shared" si="54"/>
        <v>0</v>
      </c>
      <c r="BF138" s="121">
        <f t="shared" si="55"/>
        <v>0</v>
      </c>
      <c r="BG138" s="121">
        <f t="shared" si="56"/>
        <v>0</v>
      </c>
      <c r="BH138" s="121">
        <f t="shared" si="57"/>
        <v>0</v>
      </c>
      <c r="BI138" s="121">
        <f t="shared" si="58"/>
        <v>0</v>
      </c>
      <c r="BJ138" s="121">
        <f t="shared" si="59"/>
        <v>0</v>
      </c>
      <c r="BK138" s="121">
        <f t="shared" si="60"/>
        <v>0</v>
      </c>
      <c r="BL138" s="121">
        <f t="shared" si="61"/>
        <v>0</v>
      </c>
      <c r="BM138" s="121">
        <f t="shared" si="62"/>
        <v>0</v>
      </c>
      <c r="BN138" s="121">
        <f t="shared" si="63"/>
        <v>0</v>
      </c>
      <c r="BO138" s="121">
        <f t="shared" si="64"/>
        <v>0</v>
      </c>
      <c r="BP138" s="121">
        <f t="shared" si="65"/>
        <v>0</v>
      </c>
      <c r="BQ138" s="199" t="e">
        <f>INDEX('GDP deflators'!$C$6:$M$36,MATCH('Bottom-up tagging'!$D138,'GDP deflators'!$B$6:$B$36,),MATCH('Bottom-up tagging'!$E138,'GDP deflators'!$C$5:$L$5,))/100</f>
        <v>#N/A</v>
      </c>
      <c r="BR138" s="24">
        <v>3958160</v>
      </c>
    </row>
    <row r="139" spans="2:70" ht="26.15" hidden="1" customHeight="1">
      <c r="B139" s="110" t="s">
        <v>443</v>
      </c>
      <c r="C139" s="110" t="s">
        <v>447</v>
      </c>
      <c r="D139" s="110" t="s">
        <v>3994</v>
      </c>
      <c r="E139" s="103">
        <v>2020</v>
      </c>
      <c r="F139" s="108" t="s">
        <v>5458</v>
      </c>
      <c r="G139" s="111" t="s">
        <v>109</v>
      </c>
      <c r="H139" s="110" t="s">
        <v>10451</v>
      </c>
      <c r="I139" s="212">
        <v>0</v>
      </c>
      <c r="J139" s="118" t="s">
        <v>10474</v>
      </c>
      <c r="K139" s="112"/>
      <c r="L139" s="135">
        <v>1</v>
      </c>
      <c r="M139" s="135">
        <v>1</v>
      </c>
      <c r="N139" s="112"/>
      <c r="O139" s="112"/>
      <c r="P139" s="112" t="str">
        <f>VLOOKUP(B139, 'Companies covered restructured'!$B$7:$K$470, 9, FALSE)</f>
        <v>Farmer engagement platforms (including marketplaces and information platforms)</v>
      </c>
      <c r="Q139" s="112" t="str">
        <f>VLOOKUP(B139, 'Companies covered restructured'!$B$7:$K$470, 6, FALSE)</f>
        <v>#Crops(100)</v>
      </c>
      <c r="R139" s="112" t="str">
        <f t="shared" si="37"/>
        <v>#Investment Fund(100)</v>
      </c>
      <c r="S139" s="112" t="s">
        <v>11003</v>
      </c>
      <c r="T139" s="112" t="s">
        <v>10466</v>
      </c>
      <c r="U139" s="103" t="s">
        <v>10970</v>
      </c>
      <c r="V139" s="112" t="str">
        <f>VLOOKUP(P139, 'Bottom-up Tagging Assumptions'!$B$12:$F$39, 5, FALSE)</f>
        <v>#Process Innovation(100)</v>
      </c>
      <c r="W139" s="112" t="str">
        <f>VLOOKUP(B139, 'Companies covered restructured'!$B$7:$K$470, 7, FALSE)</f>
        <v>#Field/Animal Herd(100)</v>
      </c>
      <c r="X139" s="112" t="s">
        <v>10558</v>
      </c>
      <c r="Y139" s="112" t="str">
        <f>VLOOKUP(P139, '[2]Bottom-up Tagging Assumptions'!$B$12:$F$56, 2, FALSE)</f>
        <v>#Other Economic(P); #Productivity(S)</v>
      </c>
      <c r="Z139" s="112" t="str">
        <f>VLOOKUP(P139, 'Bottom-up Tagging Assumptions'!$B$12:$F$56, 3, FALSE)</f>
        <v>#Improve price realization(P); #Increasing crop or animal yield(S)</v>
      </c>
      <c r="AA139" s="112" t="str">
        <f>VLOOKUP(P139, 'Bottom-up Tagging Assumptions'!$B$12:$F$56, 4, FALSE)</f>
        <v>#Level 4(100)</v>
      </c>
      <c r="AB139" s="110" t="s">
        <v>445</v>
      </c>
      <c r="AC139" s="110"/>
      <c r="AD139" s="110" t="s">
        <v>446</v>
      </c>
      <c r="AE139" s="110" t="str">
        <f>VLOOKUP(AD139,  '1.2'!$B$7:$C$2033, 2, FALSE)</f>
        <v>FUND</v>
      </c>
      <c r="AF139" s="112">
        <v>10590520</v>
      </c>
      <c r="AG139" s="110" t="s">
        <v>646</v>
      </c>
      <c r="AH139" s="121">
        <f t="shared" si="38"/>
        <v>0</v>
      </c>
      <c r="AI139" s="121">
        <f t="shared" si="39"/>
        <v>1</v>
      </c>
      <c r="AJ139" s="121">
        <f t="shared" si="40"/>
        <v>1</v>
      </c>
      <c r="AK139" s="121">
        <f t="shared" si="41"/>
        <v>0</v>
      </c>
      <c r="AL139" s="121">
        <f t="shared" si="42"/>
        <v>0</v>
      </c>
      <c r="AM139" s="121">
        <f t="shared" si="43"/>
        <v>0</v>
      </c>
      <c r="AN139" s="121">
        <f t="shared" si="44"/>
        <v>0</v>
      </c>
      <c r="AO139" s="121">
        <f t="shared" si="45"/>
        <v>0</v>
      </c>
      <c r="AP139" s="22">
        <f t="shared" si="46"/>
        <v>0</v>
      </c>
      <c r="AQ139" s="22">
        <f t="shared" si="47"/>
        <v>0</v>
      </c>
      <c r="AR139" s="22">
        <f t="shared" si="48"/>
        <v>0</v>
      </c>
      <c r="AS139" s="121" t="str">
        <f t="shared" si="49"/>
        <v>Crops</v>
      </c>
      <c r="AT139" s="121" t="str">
        <f t="shared" si="70"/>
        <v xml:space="preserve"> </v>
      </c>
      <c r="AU139" s="121" t="str">
        <f t="shared" si="70"/>
        <v xml:space="preserve"> </v>
      </c>
      <c r="AV139" s="121" t="str">
        <f t="shared" si="70"/>
        <v xml:space="preserve"> </v>
      </c>
      <c r="AW139" s="130" t="str">
        <f t="shared" si="71"/>
        <v>100</v>
      </c>
      <c r="AX139" s="130" t="str">
        <f t="shared" si="71"/>
        <v xml:space="preserve"> </v>
      </c>
      <c r="AY139" s="130" t="str">
        <f t="shared" si="71"/>
        <v xml:space="preserve"> </v>
      </c>
      <c r="AZ139" s="130" t="str">
        <f t="shared" si="71"/>
        <v xml:space="preserve"> </v>
      </c>
      <c r="BA139" s="121">
        <f t="shared" si="50"/>
        <v>0</v>
      </c>
      <c r="BB139" s="121">
        <f t="shared" si="51"/>
        <v>0</v>
      </c>
      <c r="BC139" s="121">
        <f t="shared" si="52"/>
        <v>0</v>
      </c>
      <c r="BD139" s="121">
        <f t="shared" si="53"/>
        <v>0</v>
      </c>
      <c r="BE139" s="121">
        <f t="shared" si="54"/>
        <v>0</v>
      </c>
      <c r="BF139" s="121">
        <f t="shared" si="55"/>
        <v>0</v>
      </c>
      <c r="BG139" s="121">
        <f t="shared" si="56"/>
        <v>0</v>
      </c>
      <c r="BH139" s="121">
        <f t="shared" si="57"/>
        <v>0</v>
      </c>
      <c r="BI139" s="121">
        <f t="shared" si="58"/>
        <v>0</v>
      </c>
      <c r="BJ139" s="121">
        <f t="shared" si="59"/>
        <v>0</v>
      </c>
      <c r="BK139" s="121">
        <f t="shared" si="60"/>
        <v>0</v>
      </c>
      <c r="BL139" s="121">
        <f t="shared" si="61"/>
        <v>0</v>
      </c>
      <c r="BM139" s="121">
        <f t="shared" si="62"/>
        <v>0</v>
      </c>
      <c r="BN139" s="121">
        <f t="shared" si="63"/>
        <v>0</v>
      </c>
      <c r="BO139" s="121">
        <f t="shared" si="64"/>
        <v>0</v>
      </c>
      <c r="BP139" s="121">
        <f t="shared" si="65"/>
        <v>0</v>
      </c>
      <c r="BQ139" s="199" t="e">
        <f>INDEX('GDP deflators'!$C$6:$M$36,MATCH('Bottom-up tagging'!$D139,'GDP deflators'!$B$6:$B$36,),MATCH('Bottom-up tagging'!$E139,'GDP deflators'!$C$5:$L$5,))/100</f>
        <v>#N/A</v>
      </c>
      <c r="BR139" s="24">
        <v>3783830</v>
      </c>
    </row>
    <row r="140" spans="2:70" ht="26.15" hidden="1" customHeight="1">
      <c r="B140" s="110" t="s">
        <v>2959</v>
      </c>
      <c r="C140" s="110" t="s">
        <v>2962</v>
      </c>
      <c r="D140" s="110" t="s">
        <v>3994</v>
      </c>
      <c r="E140" s="103">
        <v>2013</v>
      </c>
      <c r="F140" s="108" t="s">
        <v>9653</v>
      </c>
      <c r="G140" s="111" t="s">
        <v>109</v>
      </c>
      <c r="H140" s="110" t="s">
        <v>10451</v>
      </c>
      <c r="I140" s="112">
        <f>IF(Dashboard!$B$16="Current USD",'Bottom-up tagging'!BR140,'Bottom-up tagging'!BR140/'Bottom-up tagging'!BQ140)</f>
        <v>2928869.5417339001</v>
      </c>
      <c r="J140" s="118" t="s">
        <v>10474</v>
      </c>
      <c r="K140" s="112"/>
      <c r="L140" s="135">
        <v>1</v>
      </c>
      <c r="M140" s="135">
        <v>1</v>
      </c>
      <c r="N140" s="112"/>
      <c r="O140" s="112"/>
      <c r="P140" s="112" t="str">
        <f>VLOOKUP(B140, 'Companies covered restructured'!$B$7:$K$470, 9, FALSE)</f>
        <v>Seed development and biotech</v>
      </c>
      <c r="Q140" s="112" t="str">
        <f>VLOOKUP(B140, 'Companies covered restructured'!$B$7:$K$470, 6, FALSE)</f>
        <v>#Crops(100)</v>
      </c>
      <c r="R140" s="112" t="str">
        <f t="shared" ref="R140:R203" si="72">IF(AE140="FUND", "#Investment Fund(100)", IF(AE140="CORPORATE_INVESTOR", "#Corporate(100)", IF(AE140="ANGEL", "#Angel Investor(100)", "N/A")))</f>
        <v>N/A</v>
      </c>
      <c r="S140" s="112" t="s">
        <v>11003</v>
      </c>
      <c r="T140" s="112" t="s">
        <v>10466</v>
      </c>
      <c r="U140" s="103" t="s">
        <v>10970</v>
      </c>
      <c r="V140" s="112" t="str">
        <f>VLOOKUP(P140, 'Bottom-up Tagging Assumptions'!$B$12:$F$39, 5, FALSE)</f>
        <v>#Product Development(100)</v>
      </c>
      <c r="W140" s="112" t="str">
        <f>VLOOKUP(B140, 'Companies covered restructured'!$B$7:$K$470, 7, FALSE)</f>
        <v>#Landscape(100)</v>
      </c>
      <c r="X140" s="112" t="str">
        <f>VLOOKUP(B140, 'Companies covered restructured'!$B$7:$K$470, 8, FALSE)</f>
        <v>N/A</v>
      </c>
      <c r="Y140" s="212" t="str">
        <f>VLOOKUP(P140, 'Bottom-up Tagging Assumptions'!$B$12:$C$56, 2, FALSE)</f>
        <v>#Productivity(P); #Human Condition(S)</v>
      </c>
      <c r="Z140" s="112" t="str">
        <f>VLOOKUP(P140, 'Bottom-up Tagging Assumptions'!$B$12:$F$56, 3, FALSE)</f>
        <v>#Increasing crop or animal yield(P); #Improved nutrition(S)</v>
      </c>
      <c r="AA140" s="112" t="str">
        <f>VLOOKUP(P140, 'Bottom-up Tagging Assumptions'!$B$12:$F$56, 4, FALSE)</f>
        <v>#Level 1(100)</v>
      </c>
      <c r="AB140" s="110" t="s">
        <v>2961</v>
      </c>
      <c r="AC140" s="110"/>
      <c r="AD140" s="110"/>
      <c r="AE140" s="110" t="s">
        <v>10558</v>
      </c>
      <c r="AF140" s="112">
        <v>4352191</v>
      </c>
      <c r="AG140" s="110" t="s">
        <v>1245</v>
      </c>
      <c r="AH140" s="121">
        <f t="shared" ref="AH140:AH203" si="73">IF(ISNUMBER(SEARCH("Environmental",$Y140))=TRUE,1,0)</f>
        <v>0</v>
      </c>
      <c r="AI140" s="121">
        <f t="shared" ref="AI140:AI203" si="74">IF(ISNUMBER(SEARCH("Productivity",$Y140))=TRUE,1,0)</f>
        <v>1</v>
      </c>
      <c r="AJ140" s="121">
        <f t="shared" ref="AJ140:AJ203" si="75">IF(ISNUMBER(SEARCH("Other Economic",$Y140))=TRUE,1,0)</f>
        <v>0</v>
      </c>
      <c r="AK140" s="121">
        <f t="shared" ref="AK140:AK203" si="76">IF(ISNUMBER(SEARCH("Social",$Y140))=TRUE,1,0)</f>
        <v>0</v>
      </c>
      <c r="AL140" s="121">
        <f t="shared" ref="AL140:AL203" si="77">IF(ISNUMBER(SEARCH("Human Condition",$Y140))=TRUE,1,0)</f>
        <v>1</v>
      </c>
      <c r="AM140" s="121">
        <f t="shared" ref="AM140:AM203" si="78">IF((AI140+AH140+AK140)=3,1,IF((AI140+AH140+AL140)=3,1,0))</f>
        <v>0</v>
      </c>
      <c r="AN140" s="121">
        <f t="shared" ref="AN140:AN203" si="79">IF(AND(SUM(AI140:AJ140)&gt;0,SUM(AK140:AL140,AH140)&gt;0),1,0)</f>
        <v>1</v>
      </c>
      <c r="AO140" s="121">
        <f t="shared" ref="AO140:AO203" si="80">IF(AI140+AH140=2, 1, 0)</f>
        <v>0</v>
      </c>
      <c r="AP140" s="22">
        <f t="shared" ref="AP140:AP203" si="81">IF(AM140=1, I140, 0)</f>
        <v>0</v>
      </c>
      <c r="AQ140" s="22">
        <f t="shared" ref="AQ140:AQ203" si="82">IF(AN140=1, I140, 0)</f>
        <v>2928869.5417339001</v>
      </c>
      <c r="AR140" s="22">
        <f t="shared" ref="AR140:AR203" si="83">IF(AO140=1, I140, 0)</f>
        <v>0</v>
      </c>
      <c r="AS140" s="121" t="str">
        <f t="shared" ref="AS140:AS203" si="84">IFERROR(MID($Q140,2,(FIND("~",SUBSTITUTE($Q140,")","~",AS$10))-6)),$Q140)</f>
        <v>Crops</v>
      </c>
      <c r="AT140" s="121" t="str">
        <f t="shared" si="70"/>
        <v xml:space="preserve"> </v>
      </c>
      <c r="AU140" s="121" t="str">
        <f t="shared" si="70"/>
        <v xml:space="preserve"> </v>
      </c>
      <c r="AV140" s="121" t="str">
        <f t="shared" si="70"/>
        <v xml:space="preserve"> </v>
      </c>
      <c r="AW140" s="130" t="str">
        <f t="shared" si="71"/>
        <v>100</v>
      </c>
      <c r="AX140" s="130" t="str">
        <f t="shared" si="71"/>
        <v xml:space="preserve"> </v>
      </c>
      <c r="AY140" s="130" t="str">
        <f t="shared" si="71"/>
        <v xml:space="preserve"> </v>
      </c>
      <c r="AZ140" s="130" t="str">
        <f t="shared" si="71"/>
        <v xml:space="preserve"> </v>
      </c>
      <c r="BA140" s="121">
        <f t="shared" ref="BA140:BA203" si="85">IFERROR($I140*AW140/100,$I140)</f>
        <v>2928869.5417339001</v>
      </c>
      <c r="BB140" s="121">
        <f t="shared" ref="BB140:BB203" si="86">IFERROR($I140*AX140/100,0)</f>
        <v>0</v>
      </c>
      <c r="BC140" s="121">
        <f t="shared" ref="BC140:BC203" si="87">IFERROR($I140*AY140/100,0)</f>
        <v>0</v>
      </c>
      <c r="BD140" s="121">
        <f t="shared" ref="BD140:BD203" si="88">IFERROR($I140*AZ140/100,0)</f>
        <v>0</v>
      </c>
      <c r="BE140" s="121">
        <f t="shared" ref="BE140:BE203" si="89">IFERROR($AP140*AW140/100,$AP140)</f>
        <v>0</v>
      </c>
      <c r="BF140" s="121">
        <f t="shared" ref="BF140:BF203" si="90">IFERROR($AP140*AX140/100,$AP140)</f>
        <v>0</v>
      </c>
      <c r="BG140" s="121">
        <f t="shared" ref="BG140:BG203" si="91">IFERROR($AP140*AY140/100,$AP140)</f>
        <v>0</v>
      </c>
      <c r="BH140" s="121">
        <f t="shared" ref="BH140:BH203" si="92">IFERROR($AP140*AZ140/100,$AP140)</f>
        <v>0</v>
      </c>
      <c r="BI140" s="121">
        <f t="shared" ref="BI140:BI203" si="93">IFERROR($AQ140*AW140/100,$AQ140)</f>
        <v>2928869.5417339001</v>
      </c>
      <c r="BJ140" s="121">
        <f t="shared" ref="BJ140:BJ203" si="94">IFERROR($AQ140*AX140/100,$AQ140)</f>
        <v>2928869.5417339001</v>
      </c>
      <c r="BK140" s="121">
        <f t="shared" ref="BK140:BK203" si="95">IFERROR($AQ140*AY140/100,$AQ140)</f>
        <v>2928869.5417339001</v>
      </c>
      <c r="BL140" s="121">
        <f t="shared" ref="BL140:BL203" si="96">IFERROR($AQ140*AZ140/100,$AQ140)</f>
        <v>2928869.5417339001</v>
      </c>
      <c r="BM140" s="121">
        <f t="shared" ref="BM140:BM203" si="97">IFERROR($AR140*AW140/100,$AR140)</f>
        <v>0</v>
      </c>
      <c r="BN140" s="121">
        <f t="shared" ref="BN140:BN203" si="98">IFERROR($AR140*AX140/100,$AR140)</f>
        <v>0</v>
      </c>
      <c r="BO140" s="121">
        <f t="shared" ref="BO140:BO203" si="99">IFERROR($AR140*AY140/100,$AR140)</f>
        <v>0</v>
      </c>
      <c r="BP140" s="121">
        <f t="shared" ref="BP140:BP203" si="100">IFERROR($AR140*AZ140/100,$AR140)</f>
        <v>0</v>
      </c>
      <c r="BQ140" s="199">
        <f>INDEX('GDP deflators'!$C$6:$M$36,MATCH('Bottom-up tagging'!$D140,'GDP deflators'!$B$6:$B$36,),MATCH('Bottom-up tagging'!$E140,'GDP deflators'!$C$5:$L$5,))/100</f>
        <v>1.2462146053248888</v>
      </c>
      <c r="BR140" s="24">
        <v>3650000</v>
      </c>
    </row>
    <row r="141" spans="2:70" ht="26.15" hidden="1" customHeight="1">
      <c r="B141" s="110" t="s">
        <v>1115</v>
      </c>
      <c r="C141" s="110" t="s">
        <v>1118</v>
      </c>
      <c r="D141" s="110" t="s">
        <v>3994</v>
      </c>
      <c r="E141" s="103">
        <v>2012</v>
      </c>
      <c r="F141" s="108" t="s">
        <v>8829</v>
      </c>
      <c r="G141" s="111" t="s">
        <v>109</v>
      </c>
      <c r="H141" s="110" t="s">
        <v>10451</v>
      </c>
      <c r="I141" s="112">
        <f>IF(Dashboard!$B$16="Current USD",'Bottom-up tagging'!BR141,'Bottom-up tagging'!BR141/'Bottom-up tagging'!BQ141)</f>
        <v>3064222.67927319</v>
      </c>
      <c r="J141" s="118" t="s">
        <v>10474</v>
      </c>
      <c r="K141" s="112"/>
      <c r="L141" s="135">
        <v>1</v>
      </c>
      <c r="M141" s="135">
        <v>1</v>
      </c>
      <c r="N141" s="112"/>
      <c r="O141" s="112"/>
      <c r="P141" s="112" t="str">
        <f>VLOOKUP(B141, 'Companies covered restructured'!$B$7:$K$470, 9, FALSE)</f>
        <v>Farmer engagement platforms (including marketplaces and information platforms)</v>
      </c>
      <c r="Q141" s="112" t="str">
        <f>VLOOKUP(B141, 'Companies covered restructured'!$B$7:$K$470, 6, FALSE)</f>
        <v>#Crops(100)</v>
      </c>
      <c r="R141" s="112" t="str">
        <f t="shared" si="72"/>
        <v>#Investment Fund(100)</v>
      </c>
      <c r="S141" s="112" t="s">
        <v>11003</v>
      </c>
      <c r="T141" s="112" t="s">
        <v>10466</v>
      </c>
      <c r="U141" s="213" t="s">
        <v>10970</v>
      </c>
      <c r="V141" s="112" t="str">
        <f>VLOOKUP(P141, 'Bottom-up Tagging Assumptions'!$B$12:$F$39, 5, FALSE)</f>
        <v>#Process Innovation(100)</v>
      </c>
      <c r="W141" s="112" t="str">
        <f>VLOOKUP(B141, 'Companies covered restructured'!$B$7:$K$470, 7, FALSE)</f>
        <v>#Field/Animal Herd(100)</v>
      </c>
      <c r="X141" s="112" t="s">
        <v>10558</v>
      </c>
      <c r="Y141" s="212" t="str">
        <f>VLOOKUP(P141, 'Bottom-up Tagging Assumptions'!$B$12:$C$56, 2, FALSE)</f>
        <v>#Other Economic(P); #Productivity(S)</v>
      </c>
      <c r="Z141" s="112" t="str">
        <f>VLOOKUP(P141, 'Bottom-up Tagging Assumptions'!$B$12:$F$56, 3, FALSE)</f>
        <v>#Improve price realization(P); #Increasing crop or animal yield(S)</v>
      </c>
      <c r="AA141" s="112" t="str">
        <f>VLOOKUP(P141, 'Bottom-up Tagging Assumptions'!$B$12:$F$56, 4, FALSE)</f>
        <v>#Level 4(100)</v>
      </c>
      <c r="AB141" s="110" t="s">
        <v>2991</v>
      </c>
      <c r="AC141" s="110"/>
      <c r="AD141" s="110" t="s">
        <v>2992</v>
      </c>
      <c r="AE141" s="110" t="str">
        <f>VLOOKUP(AD141,  '1.2'!$B$7:$C$2033, 2, FALSE)</f>
        <v>FUND</v>
      </c>
      <c r="AF141" s="112"/>
      <c r="AG141" s="110" t="s">
        <v>1777</v>
      </c>
      <c r="AH141" s="121">
        <f t="shared" si="73"/>
        <v>0</v>
      </c>
      <c r="AI141" s="121">
        <f t="shared" si="74"/>
        <v>1</v>
      </c>
      <c r="AJ141" s="121">
        <f t="shared" si="75"/>
        <v>1</v>
      </c>
      <c r="AK141" s="121">
        <f t="shared" si="76"/>
        <v>0</v>
      </c>
      <c r="AL141" s="121">
        <f t="shared" si="77"/>
        <v>0</v>
      </c>
      <c r="AM141" s="121">
        <f t="shared" si="78"/>
        <v>0</v>
      </c>
      <c r="AN141" s="121">
        <f t="shared" si="79"/>
        <v>0</v>
      </c>
      <c r="AO141" s="121">
        <f t="shared" si="80"/>
        <v>0</v>
      </c>
      <c r="AP141" s="22">
        <f t="shared" si="81"/>
        <v>0</v>
      </c>
      <c r="AQ141" s="22">
        <f t="shared" si="82"/>
        <v>0</v>
      </c>
      <c r="AR141" s="22">
        <f t="shared" si="83"/>
        <v>0</v>
      </c>
      <c r="AS141" s="121" t="str">
        <f t="shared" si="84"/>
        <v>Crops</v>
      </c>
      <c r="AT141" s="121" t="str">
        <f t="shared" si="70"/>
        <v xml:space="preserve"> </v>
      </c>
      <c r="AU141" s="121" t="str">
        <f t="shared" si="70"/>
        <v xml:space="preserve"> </v>
      </c>
      <c r="AV141" s="121" t="str">
        <f t="shared" si="70"/>
        <v xml:space="preserve"> </v>
      </c>
      <c r="AW141" s="130" t="str">
        <f t="shared" si="71"/>
        <v>100</v>
      </c>
      <c r="AX141" s="130" t="str">
        <f t="shared" si="71"/>
        <v xml:space="preserve"> </v>
      </c>
      <c r="AY141" s="130" t="str">
        <f t="shared" si="71"/>
        <v xml:space="preserve"> </v>
      </c>
      <c r="AZ141" s="130" t="str">
        <f t="shared" si="71"/>
        <v xml:space="preserve"> </v>
      </c>
      <c r="BA141" s="121">
        <f t="shared" si="85"/>
        <v>3064222.67927319</v>
      </c>
      <c r="BB141" s="121">
        <f t="shared" si="86"/>
        <v>0</v>
      </c>
      <c r="BC141" s="121">
        <f t="shared" si="87"/>
        <v>0</v>
      </c>
      <c r="BD141" s="121">
        <f t="shared" si="88"/>
        <v>0</v>
      </c>
      <c r="BE141" s="121">
        <f t="shared" si="89"/>
        <v>0</v>
      </c>
      <c r="BF141" s="121">
        <f t="shared" si="90"/>
        <v>0</v>
      </c>
      <c r="BG141" s="121">
        <f t="shared" si="91"/>
        <v>0</v>
      </c>
      <c r="BH141" s="121">
        <f t="shared" si="92"/>
        <v>0</v>
      </c>
      <c r="BI141" s="121">
        <f t="shared" si="93"/>
        <v>0</v>
      </c>
      <c r="BJ141" s="121">
        <f t="shared" si="94"/>
        <v>0</v>
      </c>
      <c r="BK141" s="121">
        <f t="shared" si="95"/>
        <v>0</v>
      </c>
      <c r="BL141" s="121">
        <f t="shared" si="96"/>
        <v>0</v>
      </c>
      <c r="BM141" s="121">
        <f t="shared" si="97"/>
        <v>0</v>
      </c>
      <c r="BN141" s="121">
        <f t="shared" si="98"/>
        <v>0</v>
      </c>
      <c r="BO141" s="121">
        <f t="shared" si="99"/>
        <v>0</v>
      </c>
      <c r="BP141" s="121">
        <f t="shared" si="100"/>
        <v>0</v>
      </c>
      <c r="BQ141" s="199">
        <f>INDEX('GDP deflators'!$C$6:$M$36,MATCH('Bottom-up tagging'!$D141,'GDP deflators'!$B$6:$B$36,),MATCH('Bottom-up tagging'!$E141,'GDP deflators'!$C$5:$L$5,))/100</f>
        <v>1.1736092237438145</v>
      </c>
      <c r="BR141" s="24">
        <v>3596200</v>
      </c>
    </row>
    <row r="142" spans="2:70" ht="26.15" hidden="1" customHeight="1">
      <c r="B142" s="110" t="s">
        <v>897</v>
      </c>
      <c r="C142" s="110" t="s">
        <v>903</v>
      </c>
      <c r="D142" s="110" t="s">
        <v>3994</v>
      </c>
      <c r="E142" s="103">
        <v>2019</v>
      </c>
      <c r="F142" s="108" t="s">
        <v>8506</v>
      </c>
      <c r="G142" s="111" t="s">
        <v>109</v>
      </c>
      <c r="H142" s="110" t="s">
        <v>10451</v>
      </c>
      <c r="I142" s="112">
        <f>IF(Dashboard!$B$16="Current USD",'Bottom-up tagging'!BR142,'Bottom-up tagging'!BR142/'Bottom-up tagging'!BQ142)</f>
        <v>2318666.3810901796</v>
      </c>
      <c r="J142" s="105" t="s">
        <v>10474</v>
      </c>
      <c r="K142" s="112"/>
      <c r="L142" s="135">
        <v>1</v>
      </c>
      <c r="M142" s="135">
        <v>1</v>
      </c>
      <c r="N142" s="112"/>
      <c r="O142" s="112"/>
      <c r="P142" s="112" t="str">
        <f>VLOOKUP(B142, 'Companies covered restructured'!$B$7:$K$470, 9, FALSE)</f>
        <v>AI/analytics based advisory algorithms (incl. weather)</v>
      </c>
      <c r="Q142" s="112" t="str">
        <f>VLOOKUP(B142, 'Companies covered restructured'!$B$7:$K$470, 6, FALSE)</f>
        <v>#Crops(100)</v>
      </c>
      <c r="R142" s="112" t="str">
        <f t="shared" si="72"/>
        <v>#Investment Fund(100)</v>
      </c>
      <c r="S142" s="112" t="s">
        <v>11003</v>
      </c>
      <c r="T142" s="112" t="s">
        <v>10466</v>
      </c>
      <c r="U142" s="103" t="s">
        <v>10970</v>
      </c>
      <c r="V142" s="112" t="str">
        <f>VLOOKUP(P142, 'Bottom-up Tagging Assumptions'!$B$12:$F$39, 5, FALSE)</f>
        <v>#Science &amp; tech(100)</v>
      </c>
      <c r="W142" s="112" t="str">
        <f>VLOOKUP(B142, 'Companies covered restructured'!$B$7:$K$470, 7, FALSE)</f>
        <v>N/A</v>
      </c>
      <c r="X142" s="112" t="str">
        <f>VLOOKUP(B142, 'Companies covered restructured'!$B$7:$K$470, 8, FALSE)</f>
        <v>N/A</v>
      </c>
      <c r="Y142" s="212" t="str">
        <f>VLOOKUP(P142, 'Bottom-up Tagging Assumptions'!$B$12:$C$56, 2, FALSE)</f>
        <v>#Other Economic(P); #Productivity(S)</v>
      </c>
      <c r="Z142" s="112" t="str">
        <f>VLOOKUP(P142, 'Bottom-up Tagging Assumptions'!$B$12:$F$56, 3, FALSE)</f>
        <v>#Increasing output per unit input(P); #Increasing crop or animal yield(S)</v>
      </c>
      <c r="AA142" s="112" t="str">
        <f>VLOOKUP(P142, 'Bottom-up Tagging Assumptions'!$B$12:$F$56, 4, FALSE)</f>
        <v>#Level 1(100)</v>
      </c>
      <c r="AB142" s="110" t="s">
        <v>899</v>
      </c>
      <c r="AC142" s="110" t="s">
        <v>900</v>
      </c>
      <c r="AD142" s="110" t="s">
        <v>901</v>
      </c>
      <c r="AE142" s="110" t="s">
        <v>3114</v>
      </c>
      <c r="AF142" s="112">
        <v>9059375</v>
      </c>
      <c r="AG142" s="110" t="s">
        <v>884</v>
      </c>
      <c r="AH142" s="121">
        <f t="shared" si="73"/>
        <v>0</v>
      </c>
      <c r="AI142" s="121">
        <f t="shared" si="74"/>
        <v>1</v>
      </c>
      <c r="AJ142" s="121">
        <f t="shared" si="75"/>
        <v>1</v>
      </c>
      <c r="AK142" s="121">
        <f t="shared" si="76"/>
        <v>0</v>
      </c>
      <c r="AL142" s="121">
        <f t="shared" si="77"/>
        <v>0</v>
      </c>
      <c r="AM142" s="121">
        <f t="shared" si="78"/>
        <v>0</v>
      </c>
      <c r="AN142" s="121">
        <f t="shared" si="79"/>
        <v>0</v>
      </c>
      <c r="AO142" s="121">
        <f t="shared" si="80"/>
        <v>0</v>
      </c>
      <c r="AP142" s="22">
        <f t="shared" si="81"/>
        <v>0</v>
      </c>
      <c r="AQ142" s="22">
        <f t="shared" si="82"/>
        <v>0</v>
      </c>
      <c r="AR142" s="22">
        <f t="shared" si="83"/>
        <v>0</v>
      </c>
      <c r="AS142" s="121" t="str">
        <f t="shared" si="84"/>
        <v>Crops</v>
      </c>
      <c r="AT142" s="121" t="str">
        <f t="shared" si="70"/>
        <v xml:space="preserve"> </v>
      </c>
      <c r="AU142" s="121" t="str">
        <f t="shared" si="70"/>
        <v xml:space="preserve"> </v>
      </c>
      <c r="AV142" s="121" t="str">
        <f t="shared" si="70"/>
        <v xml:space="preserve"> </v>
      </c>
      <c r="AW142" s="130" t="str">
        <f t="shared" si="71"/>
        <v>100</v>
      </c>
      <c r="AX142" s="130" t="str">
        <f t="shared" si="71"/>
        <v xml:space="preserve"> </v>
      </c>
      <c r="AY142" s="130" t="str">
        <f t="shared" si="71"/>
        <v xml:space="preserve"> </v>
      </c>
      <c r="AZ142" s="130" t="str">
        <f t="shared" si="71"/>
        <v xml:space="preserve"> </v>
      </c>
      <c r="BA142" s="121">
        <f t="shared" si="85"/>
        <v>2318666.3810901796</v>
      </c>
      <c r="BB142" s="121">
        <f t="shared" si="86"/>
        <v>0</v>
      </c>
      <c r="BC142" s="121">
        <f t="shared" si="87"/>
        <v>0</v>
      </c>
      <c r="BD142" s="121">
        <f t="shared" si="88"/>
        <v>0</v>
      </c>
      <c r="BE142" s="121">
        <f t="shared" si="89"/>
        <v>0</v>
      </c>
      <c r="BF142" s="121">
        <f t="shared" si="90"/>
        <v>0</v>
      </c>
      <c r="BG142" s="121">
        <f t="shared" si="91"/>
        <v>0</v>
      </c>
      <c r="BH142" s="121">
        <f t="shared" si="92"/>
        <v>0</v>
      </c>
      <c r="BI142" s="121">
        <f t="shared" si="93"/>
        <v>0</v>
      </c>
      <c r="BJ142" s="121">
        <f t="shared" si="94"/>
        <v>0</v>
      </c>
      <c r="BK142" s="121">
        <f t="shared" si="95"/>
        <v>0</v>
      </c>
      <c r="BL142" s="121">
        <f t="shared" si="96"/>
        <v>0</v>
      </c>
      <c r="BM142" s="121">
        <f t="shared" si="97"/>
        <v>0</v>
      </c>
      <c r="BN142" s="121">
        <f t="shared" si="98"/>
        <v>0</v>
      </c>
      <c r="BO142" s="121">
        <f t="shared" si="99"/>
        <v>0</v>
      </c>
      <c r="BP142" s="121">
        <f t="shared" si="100"/>
        <v>0</v>
      </c>
      <c r="BQ142" s="199">
        <f>INDEX('GDP deflators'!$C$6:$M$36,MATCH('Bottom-up tagging'!$D142,'GDP deflators'!$B$6:$B$36,),MATCH('Bottom-up tagging'!$E142,'GDP deflators'!$C$5:$L$5,))/100</f>
        <v>1.5094883975306472</v>
      </c>
      <c r="BR142" s="24">
        <v>3500000</v>
      </c>
    </row>
    <row r="143" spans="2:70" ht="26.15" hidden="1" customHeight="1">
      <c r="B143" s="110" t="s">
        <v>500</v>
      </c>
      <c r="C143" s="110" t="s">
        <v>505</v>
      </c>
      <c r="D143" s="110" t="s">
        <v>3994</v>
      </c>
      <c r="E143" s="103">
        <v>2020</v>
      </c>
      <c r="F143" s="108" t="s">
        <v>7687</v>
      </c>
      <c r="G143" s="111" t="s">
        <v>34</v>
      </c>
      <c r="H143" s="110" t="s">
        <v>10451</v>
      </c>
      <c r="I143" s="212">
        <v>0</v>
      </c>
      <c r="J143" s="105" t="s">
        <v>10474</v>
      </c>
      <c r="K143" s="112"/>
      <c r="L143" s="135">
        <v>1</v>
      </c>
      <c r="M143" s="135">
        <v>1</v>
      </c>
      <c r="N143" s="112"/>
      <c r="O143" s="112"/>
      <c r="P143" s="112" t="str">
        <f>VLOOKUP(B143, 'Companies covered restructured'!$B$7:$K$470, 9, FALSE)</f>
        <v>Agri marketplaces</v>
      </c>
      <c r="Q143" s="112" t="str">
        <f>VLOOKUP(B143, 'Companies covered restructured'!$B$7:$K$470, 6, FALSE)</f>
        <v>#Crops(100)</v>
      </c>
      <c r="R143" s="112" t="str">
        <f t="shared" si="72"/>
        <v>#Angel Investor(100)</v>
      </c>
      <c r="S143" s="112" t="s">
        <v>11003</v>
      </c>
      <c r="T143" s="112" t="s">
        <v>10466</v>
      </c>
      <c r="U143" s="103" t="s">
        <v>10970</v>
      </c>
      <c r="V143" s="112" t="str">
        <f>VLOOKUP(P143, 'Bottom-up Tagging Assumptions'!$B$12:$F$39, 5, FALSE)</f>
        <v>#Process Innovation(100)</v>
      </c>
      <c r="W143" s="112" t="str">
        <f>VLOOKUP(B143, 'Companies covered restructured'!$B$7:$K$470, 7, FALSE)</f>
        <v>#Farm/Household(100)</v>
      </c>
      <c r="X143" s="112" t="s">
        <v>10558</v>
      </c>
      <c r="Y143" s="112" t="str">
        <f>VLOOKUP(P143, '[2]Bottom-up Tagging Assumptions'!$B$12:$F$56, 2, FALSE)</f>
        <v>#Other Economic(P); Social(S)</v>
      </c>
      <c r="Z143" s="112" t="str">
        <f>VLOOKUP(P143, 'Bottom-up Tagging Assumptions'!$B$12:$F$56, 3, FALSE)</f>
        <v>#Improve price realization(P)</v>
      </c>
      <c r="AA143" s="112" t="str">
        <f>VLOOKUP(P143, 'Bottom-up Tagging Assumptions'!$B$12:$F$56, 4, FALSE)</f>
        <v>#Level 4(100)</v>
      </c>
      <c r="AB143" s="110" t="s">
        <v>502</v>
      </c>
      <c r="AC143" s="110" t="s">
        <v>503</v>
      </c>
      <c r="AD143" s="110" t="s">
        <v>504</v>
      </c>
      <c r="AE143" s="110" t="s">
        <v>3127</v>
      </c>
      <c r="AF143" s="112">
        <v>30000000</v>
      </c>
      <c r="AG143" s="110" t="s">
        <v>32</v>
      </c>
      <c r="AH143" s="121">
        <f t="shared" si="73"/>
        <v>0</v>
      </c>
      <c r="AI143" s="121">
        <f t="shared" si="74"/>
        <v>0</v>
      </c>
      <c r="AJ143" s="121">
        <f t="shared" si="75"/>
        <v>1</v>
      </c>
      <c r="AK143" s="121">
        <f t="shared" si="76"/>
        <v>1</v>
      </c>
      <c r="AL143" s="121">
        <f t="shared" si="77"/>
        <v>0</v>
      </c>
      <c r="AM143" s="121">
        <f t="shared" si="78"/>
        <v>0</v>
      </c>
      <c r="AN143" s="121">
        <f t="shared" si="79"/>
        <v>1</v>
      </c>
      <c r="AO143" s="121">
        <f t="shared" si="80"/>
        <v>0</v>
      </c>
      <c r="AP143" s="22">
        <f t="shared" si="81"/>
        <v>0</v>
      </c>
      <c r="AQ143" s="22">
        <f t="shared" si="82"/>
        <v>0</v>
      </c>
      <c r="AR143" s="22">
        <f t="shared" si="83"/>
        <v>0</v>
      </c>
      <c r="AS143" s="121" t="str">
        <f t="shared" si="84"/>
        <v>Crops</v>
      </c>
      <c r="AT143" s="121" t="str">
        <f t="shared" si="70"/>
        <v xml:space="preserve"> </v>
      </c>
      <c r="AU143" s="121" t="str">
        <f t="shared" si="70"/>
        <v xml:space="preserve"> </v>
      </c>
      <c r="AV143" s="121" t="str">
        <f t="shared" si="70"/>
        <v xml:space="preserve"> </v>
      </c>
      <c r="AW143" s="130" t="str">
        <f t="shared" si="71"/>
        <v>100</v>
      </c>
      <c r="AX143" s="130" t="str">
        <f t="shared" si="71"/>
        <v xml:space="preserve"> </v>
      </c>
      <c r="AY143" s="130" t="str">
        <f t="shared" si="71"/>
        <v xml:space="preserve"> </v>
      </c>
      <c r="AZ143" s="130" t="str">
        <f t="shared" si="71"/>
        <v xml:space="preserve"> </v>
      </c>
      <c r="BA143" s="121">
        <f t="shared" si="85"/>
        <v>0</v>
      </c>
      <c r="BB143" s="121">
        <f t="shared" si="86"/>
        <v>0</v>
      </c>
      <c r="BC143" s="121">
        <f t="shared" si="87"/>
        <v>0</v>
      </c>
      <c r="BD143" s="121">
        <f t="shared" si="88"/>
        <v>0</v>
      </c>
      <c r="BE143" s="121">
        <f t="shared" si="89"/>
        <v>0</v>
      </c>
      <c r="BF143" s="121">
        <f t="shared" si="90"/>
        <v>0</v>
      </c>
      <c r="BG143" s="121">
        <f t="shared" si="91"/>
        <v>0</v>
      </c>
      <c r="BH143" s="121">
        <f t="shared" si="92"/>
        <v>0</v>
      </c>
      <c r="BI143" s="121">
        <f t="shared" si="93"/>
        <v>0</v>
      </c>
      <c r="BJ143" s="121">
        <f t="shared" si="94"/>
        <v>0</v>
      </c>
      <c r="BK143" s="121">
        <f t="shared" si="95"/>
        <v>0</v>
      </c>
      <c r="BL143" s="121">
        <f t="shared" si="96"/>
        <v>0</v>
      </c>
      <c r="BM143" s="121">
        <f t="shared" si="97"/>
        <v>0</v>
      </c>
      <c r="BN143" s="121">
        <f t="shared" si="98"/>
        <v>0</v>
      </c>
      <c r="BO143" s="121">
        <f t="shared" si="99"/>
        <v>0</v>
      </c>
      <c r="BP143" s="121">
        <f t="shared" si="100"/>
        <v>0</v>
      </c>
      <c r="BQ143" s="199" t="e">
        <f>INDEX('GDP deflators'!$C$6:$M$36,MATCH('Bottom-up tagging'!$D143,'GDP deflators'!$B$6:$B$36,),MATCH('Bottom-up tagging'!$E143,'GDP deflators'!$C$5:$L$5,))/100</f>
        <v>#N/A</v>
      </c>
      <c r="BR143" s="24">
        <v>3373115</v>
      </c>
    </row>
    <row r="144" spans="2:70" ht="26.15" hidden="1" customHeight="1">
      <c r="B144" s="110" t="s">
        <v>1763</v>
      </c>
      <c r="C144" s="110" t="s">
        <v>1767</v>
      </c>
      <c r="D144" s="110" t="s">
        <v>3994</v>
      </c>
      <c r="E144" s="103">
        <v>2014</v>
      </c>
      <c r="F144" s="108" t="s">
        <v>5596</v>
      </c>
      <c r="G144" s="111" t="s">
        <v>34</v>
      </c>
      <c r="H144" s="110" t="s">
        <v>10451</v>
      </c>
      <c r="I144" s="112">
        <f>IF(Dashboard!$B$16="Current USD",'Bottom-up tagging'!BR144,'Bottom-up tagging'!BR144/'Bottom-up tagging'!BQ144)</f>
        <v>2592263.8137452821</v>
      </c>
      <c r="J144" s="117" t="s">
        <v>10474</v>
      </c>
      <c r="K144" s="112"/>
      <c r="L144" s="135">
        <v>1</v>
      </c>
      <c r="M144" s="135">
        <v>1</v>
      </c>
      <c r="N144" s="112"/>
      <c r="O144" s="112"/>
      <c r="P144" s="112" t="str">
        <f>VLOOKUP(B144, 'Companies covered restructured'!$B$7:$K$470, 9, FALSE)</f>
        <v>Farmer engagement platforms (including marketplaces and information platforms)</v>
      </c>
      <c r="Q144" s="112" t="str">
        <f>VLOOKUP(B144, 'Companies covered restructured'!$B$7:$K$470, 6, FALSE)</f>
        <v>#Crops(100)</v>
      </c>
      <c r="R144" s="112" t="str">
        <f t="shared" si="72"/>
        <v>#Investment Fund(100)</v>
      </c>
      <c r="S144" s="112" t="s">
        <v>11003</v>
      </c>
      <c r="T144" s="112" t="s">
        <v>10466</v>
      </c>
      <c r="U144" s="116" t="s">
        <v>10970</v>
      </c>
      <c r="V144" s="112" t="str">
        <f>VLOOKUP(P144, 'Bottom-up Tagging Assumptions'!$B$12:$F$39, 5, FALSE)</f>
        <v>#Process Innovation(100)</v>
      </c>
      <c r="W144" s="112" t="str">
        <f>VLOOKUP(B144, 'Companies covered restructured'!$B$7:$K$470, 7, FALSE)</f>
        <v>#Field/Animal Herd(100)</v>
      </c>
      <c r="X144" s="112" t="s">
        <v>10558</v>
      </c>
      <c r="Y144" s="212" t="str">
        <f>VLOOKUP(P144, 'Bottom-up Tagging Assumptions'!$B$12:$C$56, 2, FALSE)</f>
        <v>#Other Economic(P); #Productivity(S)</v>
      </c>
      <c r="Z144" s="112" t="str">
        <f>VLOOKUP(P144, 'Bottom-up Tagging Assumptions'!$B$12:$F$56, 3, FALSE)</f>
        <v>#Improve price realization(P); #Increasing crop or animal yield(S)</v>
      </c>
      <c r="AA144" s="112" t="str">
        <f>VLOOKUP(P144, 'Bottom-up Tagging Assumptions'!$B$12:$F$56, 4, FALSE)</f>
        <v>#Level 4(100)</v>
      </c>
      <c r="AB144" s="110" t="s">
        <v>2222</v>
      </c>
      <c r="AC144" s="110" t="s">
        <v>2899</v>
      </c>
      <c r="AD144" s="110" t="s">
        <v>2223</v>
      </c>
      <c r="AE144" s="110" t="s">
        <v>3114</v>
      </c>
      <c r="AF144" s="112">
        <v>789189</v>
      </c>
      <c r="AG144" s="110" t="s">
        <v>936</v>
      </c>
      <c r="AH144" s="121">
        <f t="shared" si="73"/>
        <v>0</v>
      </c>
      <c r="AI144" s="121">
        <f t="shared" si="74"/>
        <v>1</v>
      </c>
      <c r="AJ144" s="121">
        <f t="shared" si="75"/>
        <v>1</v>
      </c>
      <c r="AK144" s="121">
        <f t="shared" si="76"/>
        <v>0</v>
      </c>
      <c r="AL144" s="121">
        <f t="shared" si="77"/>
        <v>0</v>
      </c>
      <c r="AM144" s="121">
        <f t="shared" si="78"/>
        <v>0</v>
      </c>
      <c r="AN144" s="121">
        <f t="shared" si="79"/>
        <v>0</v>
      </c>
      <c r="AO144" s="121">
        <f t="shared" si="80"/>
        <v>0</v>
      </c>
      <c r="AP144" s="22">
        <f t="shared" si="81"/>
        <v>0</v>
      </c>
      <c r="AQ144" s="22">
        <f t="shared" si="82"/>
        <v>0</v>
      </c>
      <c r="AR144" s="22">
        <f t="shared" si="83"/>
        <v>0</v>
      </c>
      <c r="AS144" s="121" t="str">
        <f t="shared" si="84"/>
        <v>Crops</v>
      </c>
      <c r="AT144" s="121" t="str">
        <f t="shared" si="70"/>
        <v xml:space="preserve"> </v>
      </c>
      <c r="AU144" s="121" t="str">
        <f t="shared" si="70"/>
        <v xml:space="preserve"> </v>
      </c>
      <c r="AV144" s="121" t="str">
        <f t="shared" si="70"/>
        <v xml:space="preserve"> </v>
      </c>
      <c r="AW144" s="130" t="str">
        <f t="shared" si="71"/>
        <v>100</v>
      </c>
      <c r="AX144" s="130" t="str">
        <f t="shared" si="71"/>
        <v xml:space="preserve"> </v>
      </c>
      <c r="AY144" s="130" t="str">
        <f t="shared" si="71"/>
        <v xml:space="preserve"> </v>
      </c>
      <c r="AZ144" s="130" t="str">
        <f t="shared" si="71"/>
        <v xml:space="preserve"> </v>
      </c>
      <c r="BA144" s="121">
        <f t="shared" si="85"/>
        <v>2592263.8137452821</v>
      </c>
      <c r="BB144" s="121">
        <f t="shared" si="86"/>
        <v>0</v>
      </c>
      <c r="BC144" s="121">
        <f t="shared" si="87"/>
        <v>0</v>
      </c>
      <c r="BD144" s="121">
        <f t="shared" si="88"/>
        <v>0</v>
      </c>
      <c r="BE144" s="121">
        <f t="shared" si="89"/>
        <v>0</v>
      </c>
      <c r="BF144" s="121">
        <f t="shared" si="90"/>
        <v>0</v>
      </c>
      <c r="BG144" s="121">
        <f t="shared" si="91"/>
        <v>0</v>
      </c>
      <c r="BH144" s="121">
        <f t="shared" si="92"/>
        <v>0</v>
      </c>
      <c r="BI144" s="121">
        <f t="shared" si="93"/>
        <v>0</v>
      </c>
      <c r="BJ144" s="121">
        <f t="shared" si="94"/>
        <v>0</v>
      </c>
      <c r="BK144" s="121">
        <f t="shared" si="95"/>
        <v>0</v>
      </c>
      <c r="BL144" s="121">
        <f t="shared" si="96"/>
        <v>0</v>
      </c>
      <c r="BM144" s="121">
        <f t="shared" si="97"/>
        <v>0</v>
      </c>
      <c r="BN144" s="121">
        <f t="shared" si="98"/>
        <v>0</v>
      </c>
      <c r="BO144" s="121">
        <f t="shared" si="99"/>
        <v>0</v>
      </c>
      <c r="BP144" s="121">
        <f t="shared" si="100"/>
        <v>0</v>
      </c>
      <c r="BQ144" s="199">
        <f>INDEX('GDP deflators'!$C$6:$M$36,MATCH('Bottom-up tagging'!$D144,'GDP deflators'!$B$6:$B$36,),MATCH('Bottom-up tagging'!$E144,'GDP deflators'!$C$5:$L$5,))/100</f>
        <v>1.2877354466392321</v>
      </c>
      <c r="BR144" s="24">
        <v>3338150</v>
      </c>
    </row>
    <row r="145" spans="2:70" ht="26.15" hidden="1" customHeight="1">
      <c r="B145" s="110" t="s">
        <v>1115</v>
      </c>
      <c r="C145" s="110" t="s">
        <v>1118</v>
      </c>
      <c r="D145" s="110" t="s">
        <v>3994</v>
      </c>
      <c r="E145" s="103">
        <v>2015</v>
      </c>
      <c r="F145" s="108" t="s">
        <v>8829</v>
      </c>
      <c r="G145" s="111" t="s">
        <v>109</v>
      </c>
      <c r="H145" s="110" t="s">
        <v>10451</v>
      </c>
      <c r="I145" s="112">
        <f>IF(Dashboard!$B$16="Current USD",'Bottom-up tagging'!BR145,'Bottom-up tagging'!BR145/'Bottom-up tagging'!BQ145)</f>
        <v>2419454.061069537</v>
      </c>
      <c r="J145" s="105" t="s">
        <v>10474</v>
      </c>
      <c r="K145" s="112"/>
      <c r="L145" s="135">
        <v>1</v>
      </c>
      <c r="M145" s="135">
        <v>1</v>
      </c>
      <c r="N145" s="112"/>
      <c r="O145" s="112"/>
      <c r="P145" s="112" t="str">
        <f>VLOOKUP(B145, 'Companies covered restructured'!$B$7:$K$470, 9, FALSE)</f>
        <v>Farmer engagement platforms (including marketplaces and information platforms)</v>
      </c>
      <c r="Q145" s="112" t="str">
        <f>VLOOKUP(B145, 'Companies covered restructured'!$B$7:$K$470, 6, FALSE)</f>
        <v>#Crops(100)</v>
      </c>
      <c r="R145" s="112" t="str">
        <f t="shared" si="72"/>
        <v>#Investment Fund(100)</v>
      </c>
      <c r="S145" s="112" t="s">
        <v>11003</v>
      </c>
      <c r="T145" s="112" t="s">
        <v>10466</v>
      </c>
      <c r="U145" s="103" t="s">
        <v>10970</v>
      </c>
      <c r="V145" s="112" t="str">
        <f>VLOOKUP(P145, 'Bottom-up Tagging Assumptions'!$B$12:$F$39, 5, FALSE)</f>
        <v>#Process Innovation(100)</v>
      </c>
      <c r="W145" s="112" t="str">
        <f>VLOOKUP(B145, 'Companies covered restructured'!$B$7:$K$470, 7, FALSE)</f>
        <v>#Field/Animal Herd(100)</v>
      </c>
      <c r="X145" s="112" t="s">
        <v>10558</v>
      </c>
      <c r="Y145" s="212" t="str">
        <f>VLOOKUP(P145, 'Bottom-up Tagging Assumptions'!$B$12:$C$56, 2, FALSE)</f>
        <v>#Other Economic(P); #Productivity(S)</v>
      </c>
      <c r="Z145" s="112" t="str">
        <f>VLOOKUP(P145, 'Bottom-up Tagging Assumptions'!$B$12:$F$56, 3, FALSE)</f>
        <v>#Improve price realization(P); #Increasing crop or animal yield(S)</v>
      </c>
      <c r="AA145" s="112" t="str">
        <f>VLOOKUP(P145, 'Bottom-up Tagging Assumptions'!$B$12:$F$56, 4, FALSE)</f>
        <v>#Level 4(100)</v>
      </c>
      <c r="AB145" s="110" t="s">
        <v>2155</v>
      </c>
      <c r="AC145" s="110"/>
      <c r="AD145" s="110" t="s">
        <v>746</v>
      </c>
      <c r="AE145" s="110" t="str">
        <f>VLOOKUP(AD145,  '1.2'!$B$7:$C$2033, 2, FALSE)</f>
        <v>FUND</v>
      </c>
      <c r="AF145" s="112">
        <v>814923</v>
      </c>
      <c r="AG145" s="110" t="s">
        <v>328</v>
      </c>
      <c r="AH145" s="121">
        <f t="shared" si="73"/>
        <v>0</v>
      </c>
      <c r="AI145" s="121">
        <f t="shared" si="74"/>
        <v>1</v>
      </c>
      <c r="AJ145" s="121">
        <f t="shared" si="75"/>
        <v>1</v>
      </c>
      <c r="AK145" s="121">
        <f t="shared" si="76"/>
        <v>0</v>
      </c>
      <c r="AL145" s="121">
        <f t="shared" si="77"/>
        <v>0</v>
      </c>
      <c r="AM145" s="121">
        <f t="shared" si="78"/>
        <v>0</v>
      </c>
      <c r="AN145" s="121">
        <f t="shared" si="79"/>
        <v>0</v>
      </c>
      <c r="AO145" s="121">
        <f t="shared" si="80"/>
        <v>0</v>
      </c>
      <c r="AP145" s="22">
        <f t="shared" si="81"/>
        <v>0</v>
      </c>
      <c r="AQ145" s="22">
        <f t="shared" si="82"/>
        <v>0</v>
      </c>
      <c r="AR145" s="22">
        <f t="shared" si="83"/>
        <v>0</v>
      </c>
      <c r="AS145" s="121" t="str">
        <f t="shared" si="84"/>
        <v>Crops</v>
      </c>
      <c r="AT145" s="121" t="str">
        <f t="shared" si="70"/>
        <v xml:space="preserve"> </v>
      </c>
      <c r="AU145" s="121" t="str">
        <f t="shared" si="70"/>
        <v xml:space="preserve"> </v>
      </c>
      <c r="AV145" s="121" t="str">
        <f t="shared" si="70"/>
        <v xml:space="preserve"> </v>
      </c>
      <c r="AW145" s="130" t="str">
        <f t="shared" si="71"/>
        <v>100</v>
      </c>
      <c r="AX145" s="130" t="str">
        <f t="shared" si="71"/>
        <v xml:space="preserve"> </v>
      </c>
      <c r="AY145" s="130" t="str">
        <f t="shared" si="71"/>
        <v xml:space="preserve"> </v>
      </c>
      <c r="AZ145" s="130" t="str">
        <f t="shared" si="71"/>
        <v xml:space="preserve"> </v>
      </c>
      <c r="BA145" s="121">
        <f t="shared" si="85"/>
        <v>2419454.061069537</v>
      </c>
      <c r="BB145" s="121">
        <f t="shared" si="86"/>
        <v>0</v>
      </c>
      <c r="BC145" s="121">
        <f t="shared" si="87"/>
        <v>0</v>
      </c>
      <c r="BD145" s="121">
        <f t="shared" si="88"/>
        <v>0</v>
      </c>
      <c r="BE145" s="121">
        <f t="shared" si="89"/>
        <v>0</v>
      </c>
      <c r="BF145" s="121">
        <f t="shared" si="90"/>
        <v>0</v>
      </c>
      <c r="BG145" s="121">
        <f t="shared" si="91"/>
        <v>0</v>
      </c>
      <c r="BH145" s="121">
        <f t="shared" si="92"/>
        <v>0</v>
      </c>
      <c r="BI145" s="121">
        <f t="shared" si="93"/>
        <v>0</v>
      </c>
      <c r="BJ145" s="121">
        <f t="shared" si="94"/>
        <v>0</v>
      </c>
      <c r="BK145" s="121">
        <f t="shared" si="95"/>
        <v>0</v>
      </c>
      <c r="BL145" s="121">
        <f t="shared" si="96"/>
        <v>0</v>
      </c>
      <c r="BM145" s="121">
        <f t="shared" si="97"/>
        <v>0</v>
      </c>
      <c r="BN145" s="121">
        <f t="shared" si="98"/>
        <v>0</v>
      </c>
      <c r="BO145" s="121">
        <f t="shared" si="99"/>
        <v>0</v>
      </c>
      <c r="BP145" s="121">
        <f t="shared" si="100"/>
        <v>0</v>
      </c>
      <c r="BQ145" s="199">
        <f>INDEX('GDP deflators'!$C$6:$M$36,MATCH('Bottom-up tagging'!$D145,'GDP deflators'!$B$6:$B$36,),MATCH('Bottom-up tagging'!$E145,'GDP deflators'!$C$5:$L$5,))/100</f>
        <v>1.3170905169372478</v>
      </c>
      <c r="BR145" s="24">
        <v>3186640</v>
      </c>
    </row>
    <row r="146" spans="2:70" ht="26.15" hidden="1" customHeight="1">
      <c r="B146" s="110" t="s">
        <v>1919</v>
      </c>
      <c r="C146" s="110" t="s">
        <v>1923</v>
      </c>
      <c r="D146" s="110" t="s">
        <v>3994</v>
      </c>
      <c r="E146" s="103">
        <v>2017</v>
      </c>
      <c r="F146" s="108" t="s">
        <v>6958</v>
      </c>
      <c r="G146" s="111" t="s">
        <v>34</v>
      </c>
      <c r="H146" s="110" t="s">
        <v>10451</v>
      </c>
      <c r="I146" s="112">
        <f>IF(Dashboard!$B$16="Current USD",'Bottom-up tagging'!BR146,'Bottom-up tagging'!BR146/'Bottom-up tagging'!BQ146)</f>
        <v>2176811.4662789269</v>
      </c>
      <c r="J146" s="105" t="s">
        <v>10474</v>
      </c>
      <c r="K146" s="112"/>
      <c r="L146" s="135">
        <v>1</v>
      </c>
      <c r="M146" s="135">
        <v>1</v>
      </c>
      <c r="N146" s="112"/>
      <c r="O146" s="112"/>
      <c r="P146" s="112" t="str">
        <f>VLOOKUP(B146, 'Companies covered restructured'!$B$7:$K$470, 9, FALSE)</f>
        <v>Agri marketplaces</v>
      </c>
      <c r="Q146" s="112" t="str">
        <f>VLOOKUP(B146, 'Companies covered restructured'!$B$7:$K$470, 6, FALSE)</f>
        <v>#Crops(100)</v>
      </c>
      <c r="R146" s="112" t="str">
        <f t="shared" si="72"/>
        <v>#Investment Fund(100)</v>
      </c>
      <c r="S146" s="112" t="s">
        <v>11003</v>
      </c>
      <c r="T146" s="112" t="s">
        <v>10466</v>
      </c>
      <c r="U146" s="103" t="s">
        <v>10970</v>
      </c>
      <c r="V146" s="112" t="str">
        <f>VLOOKUP(P146, 'Bottom-up Tagging Assumptions'!$B$12:$F$39, 5, FALSE)</f>
        <v>#Process Innovation(100)</v>
      </c>
      <c r="W146" s="112" t="str">
        <f>VLOOKUP(B146, 'Companies covered restructured'!$B$7:$K$470, 7, FALSE)</f>
        <v>#Farm/Household(100)</v>
      </c>
      <c r="X146" s="112" t="s">
        <v>10558</v>
      </c>
      <c r="Y146" s="212" t="str">
        <f>VLOOKUP(P146, 'Bottom-up Tagging Assumptions'!$B$12:$C$56, 2, FALSE)</f>
        <v>#Other Economic(P); Social(S)</v>
      </c>
      <c r="Z146" s="112" t="str">
        <f>VLOOKUP(P146, 'Bottom-up Tagging Assumptions'!$B$12:$F$56, 3, FALSE)</f>
        <v>#Improve price realization(P)</v>
      </c>
      <c r="AA146" s="112" t="str">
        <f>VLOOKUP(P146, 'Bottom-up Tagging Assumptions'!$B$12:$F$56, 4, FALSE)</f>
        <v>#Level 4(100)</v>
      </c>
      <c r="AB146" s="110" t="s">
        <v>1921</v>
      </c>
      <c r="AC146" s="110"/>
      <c r="AD146" s="110" t="s">
        <v>1922</v>
      </c>
      <c r="AE146" s="110" t="s">
        <v>3114</v>
      </c>
      <c r="AF146" s="112">
        <v>9059375</v>
      </c>
      <c r="AG146" s="110" t="s">
        <v>884</v>
      </c>
      <c r="AH146" s="121">
        <f t="shared" si="73"/>
        <v>0</v>
      </c>
      <c r="AI146" s="121">
        <f t="shared" si="74"/>
        <v>0</v>
      </c>
      <c r="AJ146" s="121">
        <f t="shared" si="75"/>
        <v>1</v>
      </c>
      <c r="AK146" s="121">
        <f t="shared" si="76"/>
        <v>1</v>
      </c>
      <c r="AL146" s="121">
        <f t="shared" si="77"/>
        <v>0</v>
      </c>
      <c r="AM146" s="121">
        <f t="shared" si="78"/>
        <v>0</v>
      </c>
      <c r="AN146" s="121">
        <f t="shared" si="79"/>
        <v>1</v>
      </c>
      <c r="AO146" s="121">
        <f t="shared" si="80"/>
        <v>0</v>
      </c>
      <c r="AP146" s="22">
        <f t="shared" si="81"/>
        <v>0</v>
      </c>
      <c r="AQ146" s="22">
        <f t="shared" si="82"/>
        <v>2176811.4662789269</v>
      </c>
      <c r="AR146" s="22">
        <f t="shared" si="83"/>
        <v>0</v>
      </c>
      <c r="AS146" s="121" t="str">
        <f t="shared" si="84"/>
        <v>Crops</v>
      </c>
      <c r="AT146" s="121" t="str">
        <f t="shared" si="70"/>
        <v xml:space="preserve"> </v>
      </c>
      <c r="AU146" s="121" t="str">
        <f t="shared" si="70"/>
        <v xml:space="preserve"> </v>
      </c>
      <c r="AV146" s="121" t="str">
        <f t="shared" si="70"/>
        <v xml:space="preserve"> </v>
      </c>
      <c r="AW146" s="130" t="str">
        <f t="shared" si="71"/>
        <v>100</v>
      </c>
      <c r="AX146" s="130" t="str">
        <f t="shared" si="71"/>
        <v xml:space="preserve"> </v>
      </c>
      <c r="AY146" s="130" t="str">
        <f t="shared" si="71"/>
        <v xml:space="preserve"> </v>
      </c>
      <c r="AZ146" s="130" t="str">
        <f t="shared" si="71"/>
        <v xml:space="preserve"> </v>
      </c>
      <c r="BA146" s="121">
        <f t="shared" si="85"/>
        <v>2176811.4662789269</v>
      </c>
      <c r="BB146" s="121">
        <f t="shared" si="86"/>
        <v>0</v>
      </c>
      <c r="BC146" s="121">
        <f t="shared" si="87"/>
        <v>0</v>
      </c>
      <c r="BD146" s="121">
        <f t="shared" si="88"/>
        <v>0</v>
      </c>
      <c r="BE146" s="121">
        <f t="shared" si="89"/>
        <v>0</v>
      </c>
      <c r="BF146" s="121">
        <f t="shared" si="90"/>
        <v>0</v>
      </c>
      <c r="BG146" s="121">
        <f t="shared" si="91"/>
        <v>0</v>
      </c>
      <c r="BH146" s="121">
        <f t="shared" si="92"/>
        <v>0</v>
      </c>
      <c r="BI146" s="121">
        <f t="shared" si="93"/>
        <v>2176811.4662789269</v>
      </c>
      <c r="BJ146" s="121">
        <f t="shared" si="94"/>
        <v>2176811.4662789269</v>
      </c>
      <c r="BK146" s="121">
        <f t="shared" si="95"/>
        <v>2176811.4662789269</v>
      </c>
      <c r="BL146" s="121">
        <f t="shared" si="96"/>
        <v>2176811.4662789269</v>
      </c>
      <c r="BM146" s="121">
        <f t="shared" si="97"/>
        <v>0</v>
      </c>
      <c r="BN146" s="121">
        <f t="shared" si="98"/>
        <v>0</v>
      </c>
      <c r="BO146" s="121">
        <f t="shared" si="99"/>
        <v>0</v>
      </c>
      <c r="BP146" s="121">
        <f t="shared" si="100"/>
        <v>0</v>
      </c>
      <c r="BQ146" s="199">
        <f>INDEX('GDP deflators'!$C$6:$M$36,MATCH('Bottom-up tagging'!$D146,'GDP deflators'!$B$6:$B$36,),MATCH('Bottom-up tagging'!$E146,'GDP deflators'!$C$5:$L$5,))/100</f>
        <v>1.4111098032990623</v>
      </c>
      <c r="BR146" s="24">
        <v>3071720</v>
      </c>
    </row>
    <row r="147" spans="2:70" ht="26.15" hidden="1" customHeight="1">
      <c r="B147" s="110" t="s">
        <v>878</v>
      </c>
      <c r="C147" s="110" t="s">
        <v>883</v>
      </c>
      <c r="D147" s="110" t="s">
        <v>3994</v>
      </c>
      <c r="E147" s="103">
        <v>2018</v>
      </c>
      <c r="F147" s="108" t="s">
        <v>8198</v>
      </c>
      <c r="G147" s="111" t="s">
        <v>34</v>
      </c>
      <c r="H147" s="110" t="s">
        <v>10451</v>
      </c>
      <c r="I147" s="112">
        <f>IF(Dashboard!$B$16="Current USD",'Bottom-up tagging'!BR147,'Bottom-up tagging'!BR147/'Bottom-up tagging'!BQ147)</f>
        <v>2080116.202421278</v>
      </c>
      <c r="J147" s="118" t="s">
        <v>10474</v>
      </c>
      <c r="K147" s="112"/>
      <c r="L147" s="135">
        <v>1</v>
      </c>
      <c r="M147" s="135">
        <v>1</v>
      </c>
      <c r="N147" s="112"/>
      <c r="O147" s="112"/>
      <c r="P147" s="112" t="str">
        <f>VLOOKUP(B147, 'Companies covered restructured'!$B$7:$K$470, 9, FALSE)</f>
        <v>Agri marketplaces</v>
      </c>
      <c r="Q147" s="112" t="str">
        <f>VLOOKUP(B147, 'Companies covered restructured'!$B$7:$K$470, 6, FALSE)</f>
        <v>#Livestock(100)</v>
      </c>
      <c r="R147" s="112" t="str">
        <f t="shared" si="72"/>
        <v>#Angel Investor(100)</v>
      </c>
      <c r="S147" s="112" t="s">
        <v>11003</v>
      </c>
      <c r="T147" s="112" t="s">
        <v>10466</v>
      </c>
      <c r="U147" s="103" t="s">
        <v>10970</v>
      </c>
      <c r="V147" s="112" t="str">
        <f>VLOOKUP(P147, 'Bottom-up Tagging Assumptions'!$B$12:$F$39, 5, FALSE)</f>
        <v>#Process Innovation(100)</v>
      </c>
      <c r="W147" s="112" t="str">
        <f>VLOOKUP(B147, 'Companies covered restructured'!$B$7:$K$470, 7, FALSE)</f>
        <v>#Farm/Household(100)</v>
      </c>
      <c r="X147" s="112" t="str">
        <f>VLOOKUP(B147, 'Companies covered restructured'!$B$7:$K$470, 8, FALSE)</f>
        <v>N/A</v>
      </c>
      <c r="Y147" s="212" t="str">
        <f>VLOOKUP(P147, 'Bottom-up Tagging Assumptions'!$B$12:$C$56, 2, FALSE)</f>
        <v>#Other Economic(P); Social(S)</v>
      </c>
      <c r="Z147" s="112" t="str">
        <f>VLOOKUP(P147, 'Bottom-up Tagging Assumptions'!$B$12:$F$56, 3, FALSE)</f>
        <v>#Improve price realization(P)</v>
      </c>
      <c r="AA147" s="112" t="str">
        <f>VLOOKUP(P147, 'Bottom-up Tagging Assumptions'!$B$12:$F$56, 4, FALSE)</f>
        <v>#Level 4(100)</v>
      </c>
      <c r="AB147" s="110" t="s">
        <v>880</v>
      </c>
      <c r="AC147" s="110" t="s">
        <v>1778</v>
      </c>
      <c r="AD147" s="110" t="s">
        <v>1778</v>
      </c>
      <c r="AE147" s="110" t="str">
        <f>VLOOKUP(AD147,  '1.2'!$B$7:$C$2033, 2, FALSE)</f>
        <v>ANGEL</v>
      </c>
      <c r="AF147" s="112"/>
      <c r="AG147" s="110" t="s">
        <v>1798</v>
      </c>
      <c r="AH147" s="121">
        <f t="shared" si="73"/>
        <v>0</v>
      </c>
      <c r="AI147" s="121">
        <f t="shared" si="74"/>
        <v>0</v>
      </c>
      <c r="AJ147" s="121">
        <f t="shared" si="75"/>
        <v>1</v>
      </c>
      <c r="AK147" s="121">
        <f t="shared" si="76"/>
        <v>1</v>
      </c>
      <c r="AL147" s="121">
        <f t="shared" si="77"/>
        <v>0</v>
      </c>
      <c r="AM147" s="121">
        <f t="shared" si="78"/>
        <v>0</v>
      </c>
      <c r="AN147" s="121">
        <f t="shared" si="79"/>
        <v>1</v>
      </c>
      <c r="AO147" s="121">
        <f t="shared" si="80"/>
        <v>0</v>
      </c>
      <c r="AP147" s="22">
        <f t="shared" si="81"/>
        <v>0</v>
      </c>
      <c r="AQ147" s="22">
        <f t="shared" si="82"/>
        <v>2080116.202421278</v>
      </c>
      <c r="AR147" s="22">
        <f t="shared" si="83"/>
        <v>0</v>
      </c>
      <c r="AS147" s="121" t="str">
        <f t="shared" si="84"/>
        <v>Livestock</v>
      </c>
      <c r="AT147" s="121" t="str">
        <f t="shared" si="70"/>
        <v xml:space="preserve"> </v>
      </c>
      <c r="AU147" s="121" t="str">
        <f t="shared" si="70"/>
        <v xml:space="preserve"> </v>
      </c>
      <c r="AV147" s="121" t="str">
        <f t="shared" si="70"/>
        <v xml:space="preserve"> </v>
      </c>
      <c r="AW147" s="130" t="str">
        <f t="shared" si="71"/>
        <v>100</v>
      </c>
      <c r="AX147" s="130" t="str">
        <f t="shared" si="71"/>
        <v xml:space="preserve"> </v>
      </c>
      <c r="AY147" s="130" t="str">
        <f t="shared" si="71"/>
        <v xml:space="preserve"> </v>
      </c>
      <c r="AZ147" s="130" t="str">
        <f t="shared" si="71"/>
        <v xml:space="preserve"> </v>
      </c>
      <c r="BA147" s="121">
        <f t="shared" si="85"/>
        <v>2080116.202421278</v>
      </c>
      <c r="BB147" s="121">
        <f t="shared" si="86"/>
        <v>0</v>
      </c>
      <c r="BC147" s="121">
        <f t="shared" si="87"/>
        <v>0</v>
      </c>
      <c r="BD147" s="121">
        <f t="shared" si="88"/>
        <v>0</v>
      </c>
      <c r="BE147" s="121">
        <f t="shared" si="89"/>
        <v>0</v>
      </c>
      <c r="BF147" s="121">
        <f t="shared" si="90"/>
        <v>0</v>
      </c>
      <c r="BG147" s="121">
        <f t="shared" si="91"/>
        <v>0</v>
      </c>
      <c r="BH147" s="121">
        <f t="shared" si="92"/>
        <v>0</v>
      </c>
      <c r="BI147" s="121">
        <f t="shared" si="93"/>
        <v>2080116.202421278</v>
      </c>
      <c r="BJ147" s="121">
        <f t="shared" si="94"/>
        <v>2080116.202421278</v>
      </c>
      <c r="BK147" s="121">
        <f t="shared" si="95"/>
        <v>2080116.202421278</v>
      </c>
      <c r="BL147" s="121">
        <f t="shared" si="96"/>
        <v>2080116.202421278</v>
      </c>
      <c r="BM147" s="121">
        <f t="shared" si="97"/>
        <v>0</v>
      </c>
      <c r="BN147" s="121">
        <f t="shared" si="98"/>
        <v>0</v>
      </c>
      <c r="BO147" s="121">
        <f t="shared" si="99"/>
        <v>0</v>
      </c>
      <c r="BP147" s="121">
        <f t="shared" si="100"/>
        <v>0</v>
      </c>
      <c r="BQ147" s="199">
        <f>INDEX('GDP deflators'!$C$6:$M$36,MATCH('Bottom-up tagging'!$D147,'GDP deflators'!$B$6:$B$36,),MATCH('Bottom-up tagging'!$E147,'GDP deflators'!$C$5:$L$5,))/100</f>
        <v>1.4753935363936217</v>
      </c>
      <c r="BR147" s="24">
        <v>3068990</v>
      </c>
    </row>
    <row r="148" spans="2:70" ht="26.15" hidden="1" customHeight="1">
      <c r="B148" s="110" t="s">
        <v>628</v>
      </c>
      <c r="C148" s="110" t="s">
        <v>632</v>
      </c>
      <c r="D148" s="110" t="s">
        <v>3994</v>
      </c>
      <c r="E148" s="103">
        <v>2016</v>
      </c>
      <c r="F148" s="108" t="s">
        <v>7984</v>
      </c>
      <c r="G148" s="111" t="s">
        <v>109</v>
      </c>
      <c r="H148" s="110" t="s">
        <v>10451</v>
      </c>
      <c r="I148" s="112">
        <f>IF(Dashboard!$B$16="Current USD",'Bottom-up tagging'!BR148,'Bottom-up tagging'!BR148/'Bottom-up tagging'!BQ148)</f>
        <v>2215295.1171583431</v>
      </c>
      <c r="J148" s="117" t="s">
        <v>10474</v>
      </c>
      <c r="K148" s="112"/>
      <c r="L148" s="135">
        <v>1</v>
      </c>
      <c r="M148" s="135">
        <v>1</v>
      </c>
      <c r="N148" s="112"/>
      <c r="O148" s="112"/>
      <c r="P148" s="112" t="str">
        <f>VLOOKUP(B148, 'Companies covered restructured'!$B$7:$K$470, 9, FALSE)</f>
        <v>Agri marketplaces</v>
      </c>
      <c r="Q148" s="112" t="str">
        <f>VLOOKUP(B148, 'Companies covered restructured'!$B$7:$K$470, 6, FALSE)</f>
        <v>#Livestock(100)</v>
      </c>
      <c r="R148" s="112" t="str">
        <f t="shared" si="72"/>
        <v>#Investment Fund(100)</v>
      </c>
      <c r="S148" s="112" t="s">
        <v>11003</v>
      </c>
      <c r="T148" s="112" t="s">
        <v>10466</v>
      </c>
      <c r="U148" s="103" t="s">
        <v>10970</v>
      </c>
      <c r="V148" s="112" t="str">
        <f>VLOOKUP(P148, 'Bottom-up Tagging Assumptions'!$B$12:$F$39, 5, FALSE)</f>
        <v>#Process Innovation(100)</v>
      </c>
      <c r="W148" s="112" t="str">
        <f>VLOOKUP(B148, 'Companies covered restructured'!$B$7:$K$470, 7, FALSE)</f>
        <v>#Farm/Household(100)</v>
      </c>
      <c r="X148" s="112" t="s">
        <v>10558</v>
      </c>
      <c r="Y148" s="212" t="str">
        <f>VLOOKUP(P148, 'Bottom-up Tagging Assumptions'!$B$12:$C$56, 2, FALSE)</f>
        <v>#Other Economic(P); Social(S)</v>
      </c>
      <c r="Z148" s="112" t="str">
        <f>VLOOKUP(P148, 'Bottom-up Tagging Assumptions'!$B$12:$F$56, 3, FALSE)</f>
        <v>#Improve price realization(P)</v>
      </c>
      <c r="AA148" s="112" t="str">
        <f>VLOOKUP(P148, 'Bottom-up Tagging Assumptions'!$B$12:$F$56, 4, FALSE)</f>
        <v>#Level 4(100)</v>
      </c>
      <c r="AB148" s="110" t="s">
        <v>2452</v>
      </c>
      <c r="AC148" s="110"/>
      <c r="AD148" s="110" t="s">
        <v>2164</v>
      </c>
      <c r="AE148" s="110" t="str">
        <f>VLOOKUP(AD148,  '1.2'!$B$7:$C$2033, 2, FALSE)</f>
        <v>FUND</v>
      </c>
      <c r="AF148" s="112">
        <v>163285834</v>
      </c>
      <c r="AG148" s="110" t="s">
        <v>101</v>
      </c>
      <c r="AH148" s="121">
        <f t="shared" si="73"/>
        <v>0</v>
      </c>
      <c r="AI148" s="121">
        <f t="shared" si="74"/>
        <v>0</v>
      </c>
      <c r="AJ148" s="121">
        <f t="shared" si="75"/>
        <v>1</v>
      </c>
      <c r="AK148" s="121">
        <f t="shared" si="76"/>
        <v>1</v>
      </c>
      <c r="AL148" s="121">
        <f t="shared" si="77"/>
        <v>0</v>
      </c>
      <c r="AM148" s="121">
        <f t="shared" si="78"/>
        <v>0</v>
      </c>
      <c r="AN148" s="121">
        <f t="shared" si="79"/>
        <v>1</v>
      </c>
      <c r="AO148" s="121">
        <f t="shared" si="80"/>
        <v>0</v>
      </c>
      <c r="AP148" s="22">
        <f t="shared" si="81"/>
        <v>0</v>
      </c>
      <c r="AQ148" s="22">
        <f t="shared" si="82"/>
        <v>2215295.1171583431</v>
      </c>
      <c r="AR148" s="22">
        <f t="shared" si="83"/>
        <v>0</v>
      </c>
      <c r="AS148" s="121" t="str">
        <f t="shared" si="84"/>
        <v>Livestock</v>
      </c>
      <c r="AT148" s="121" t="str">
        <f t="shared" si="70"/>
        <v xml:space="preserve"> </v>
      </c>
      <c r="AU148" s="121" t="str">
        <f t="shared" si="70"/>
        <v xml:space="preserve"> </v>
      </c>
      <c r="AV148" s="121" t="str">
        <f t="shared" si="70"/>
        <v xml:space="preserve"> </v>
      </c>
      <c r="AW148" s="130" t="str">
        <f t="shared" si="71"/>
        <v>100</v>
      </c>
      <c r="AX148" s="130" t="str">
        <f t="shared" si="71"/>
        <v xml:space="preserve"> </v>
      </c>
      <c r="AY148" s="130" t="str">
        <f t="shared" si="71"/>
        <v xml:space="preserve"> </v>
      </c>
      <c r="AZ148" s="130" t="str">
        <f t="shared" si="71"/>
        <v xml:space="preserve"> </v>
      </c>
      <c r="BA148" s="121">
        <f t="shared" si="85"/>
        <v>2215295.1171583431</v>
      </c>
      <c r="BB148" s="121">
        <f t="shared" si="86"/>
        <v>0</v>
      </c>
      <c r="BC148" s="121">
        <f t="shared" si="87"/>
        <v>0</v>
      </c>
      <c r="BD148" s="121">
        <f t="shared" si="88"/>
        <v>0</v>
      </c>
      <c r="BE148" s="121">
        <f t="shared" si="89"/>
        <v>0</v>
      </c>
      <c r="BF148" s="121">
        <f t="shared" si="90"/>
        <v>0</v>
      </c>
      <c r="BG148" s="121">
        <f t="shared" si="91"/>
        <v>0</v>
      </c>
      <c r="BH148" s="121">
        <f t="shared" si="92"/>
        <v>0</v>
      </c>
      <c r="BI148" s="121">
        <f t="shared" si="93"/>
        <v>2215295.1171583431</v>
      </c>
      <c r="BJ148" s="121">
        <f t="shared" si="94"/>
        <v>2215295.1171583431</v>
      </c>
      <c r="BK148" s="121">
        <f t="shared" si="95"/>
        <v>2215295.1171583431</v>
      </c>
      <c r="BL148" s="121">
        <f t="shared" si="96"/>
        <v>2215295.1171583431</v>
      </c>
      <c r="BM148" s="121">
        <f t="shared" si="97"/>
        <v>0</v>
      </c>
      <c r="BN148" s="121">
        <f t="shared" si="98"/>
        <v>0</v>
      </c>
      <c r="BO148" s="121">
        <f t="shared" si="99"/>
        <v>0</v>
      </c>
      <c r="BP148" s="121">
        <f t="shared" si="100"/>
        <v>0</v>
      </c>
      <c r="BQ148" s="199">
        <f>INDEX('GDP deflators'!$C$6:$M$36,MATCH('Bottom-up tagging'!$D148,'GDP deflators'!$B$6:$B$36,),MATCH('Bottom-up tagging'!$E148,'GDP deflators'!$C$5:$L$5,))/100</f>
        <v>1.3597375702538033</v>
      </c>
      <c r="BR148" s="24">
        <v>3012220</v>
      </c>
    </row>
    <row r="149" spans="2:70" ht="26.15" hidden="1" customHeight="1">
      <c r="B149" s="110" t="s">
        <v>1218</v>
      </c>
      <c r="C149" s="110" t="s">
        <v>1223</v>
      </c>
      <c r="D149" s="110" t="s">
        <v>2057</v>
      </c>
      <c r="E149" s="103">
        <v>2019</v>
      </c>
      <c r="F149" s="108" t="s">
        <v>5721</v>
      </c>
      <c r="G149" s="111" t="s">
        <v>109</v>
      </c>
      <c r="H149" s="110" t="s">
        <v>10451</v>
      </c>
      <c r="I149" s="112">
        <f>IF(Dashboard!$B$16="Current USD",'Bottom-up tagging'!BR149,'Bottom-up tagging'!BR149/'Bottom-up tagging'!BQ149)</f>
        <v>2364904.2397514791</v>
      </c>
      <c r="J149" s="118" t="s">
        <v>10474</v>
      </c>
      <c r="K149" s="112"/>
      <c r="L149" s="135">
        <v>1</v>
      </c>
      <c r="M149" s="135">
        <v>1</v>
      </c>
      <c r="N149" s="112"/>
      <c r="O149" s="112"/>
      <c r="P149" s="112" t="str">
        <f>VLOOKUP(B149, 'Companies covered restructured'!$B$7:$K$470, 9, FALSE)</f>
        <v>AI/analytics based advisory algorithms (incl. weather)</v>
      </c>
      <c r="Q149" s="112" t="str">
        <f>VLOOKUP(B149, 'Companies covered restructured'!$B$7:$K$470, 6, FALSE)</f>
        <v>#Crops(100)</v>
      </c>
      <c r="R149" s="112" t="str">
        <f t="shared" si="72"/>
        <v>#Corporate(100)</v>
      </c>
      <c r="S149" s="112" t="s">
        <v>11003</v>
      </c>
      <c r="T149" s="112" t="s">
        <v>10466</v>
      </c>
      <c r="U149" s="103" t="s">
        <v>10970</v>
      </c>
      <c r="V149" s="112" t="str">
        <f>VLOOKUP(P149, 'Bottom-up Tagging Assumptions'!$B$12:$F$39, 5, FALSE)</f>
        <v>#Science &amp; tech(100)</v>
      </c>
      <c r="W149" s="112" t="str">
        <f>VLOOKUP(B149, 'Companies covered restructured'!$B$7:$K$470, 7, FALSE)</f>
        <v>#Field/Animal Herd(100)</v>
      </c>
      <c r="X149" s="112" t="s">
        <v>10558</v>
      </c>
      <c r="Y149" s="212" t="str">
        <f>VLOOKUP(P149, 'Bottom-up Tagging Assumptions'!$B$12:$C$56, 2, FALSE)</f>
        <v>#Other Economic(P); #Productivity(S)</v>
      </c>
      <c r="Z149" s="112" t="str">
        <f>VLOOKUP(P149, 'Bottom-up Tagging Assumptions'!$B$12:$F$56, 3, FALSE)</f>
        <v>#Increasing output per unit input(P); #Increasing crop or animal yield(S)</v>
      </c>
      <c r="AA149" s="112" t="str">
        <f>VLOOKUP(P149, 'Bottom-up Tagging Assumptions'!$B$12:$F$56, 4, FALSE)</f>
        <v>#Level 1(100)</v>
      </c>
      <c r="AB149" s="110" t="s">
        <v>1220</v>
      </c>
      <c r="AC149" s="110"/>
      <c r="AD149" s="110" t="s">
        <v>1221</v>
      </c>
      <c r="AE149" s="110" t="str">
        <f>VLOOKUP(AD149,  '1.2'!$B$7:$C$2033, 2, FALSE)</f>
        <v>CORPORATE_INVESTOR</v>
      </c>
      <c r="AF149" s="112">
        <v>810223</v>
      </c>
      <c r="AG149" s="110" t="s">
        <v>1727</v>
      </c>
      <c r="AH149" s="121">
        <f t="shared" si="73"/>
        <v>0</v>
      </c>
      <c r="AI149" s="121">
        <f t="shared" si="74"/>
        <v>1</v>
      </c>
      <c r="AJ149" s="121">
        <f t="shared" si="75"/>
        <v>1</v>
      </c>
      <c r="AK149" s="121">
        <f t="shared" si="76"/>
        <v>0</v>
      </c>
      <c r="AL149" s="121">
        <f t="shared" si="77"/>
        <v>0</v>
      </c>
      <c r="AM149" s="121">
        <f t="shared" si="78"/>
        <v>0</v>
      </c>
      <c r="AN149" s="121">
        <f t="shared" si="79"/>
        <v>0</v>
      </c>
      <c r="AO149" s="121">
        <f t="shared" si="80"/>
        <v>0</v>
      </c>
      <c r="AP149" s="22">
        <f t="shared" si="81"/>
        <v>0</v>
      </c>
      <c r="AQ149" s="22">
        <f t="shared" si="82"/>
        <v>0</v>
      </c>
      <c r="AR149" s="22">
        <f t="shared" si="83"/>
        <v>0</v>
      </c>
      <c r="AS149" s="121" t="str">
        <f t="shared" si="84"/>
        <v>Crops</v>
      </c>
      <c r="AT149" s="121" t="str">
        <f t="shared" si="70"/>
        <v xml:space="preserve"> </v>
      </c>
      <c r="AU149" s="121" t="str">
        <f t="shared" si="70"/>
        <v xml:space="preserve"> </v>
      </c>
      <c r="AV149" s="121" t="str">
        <f t="shared" si="70"/>
        <v xml:space="preserve"> </v>
      </c>
      <c r="AW149" s="130" t="str">
        <f t="shared" si="71"/>
        <v>100</v>
      </c>
      <c r="AX149" s="130" t="str">
        <f t="shared" si="71"/>
        <v xml:space="preserve"> </v>
      </c>
      <c r="AY149" s="130" t="str">
        <f t="shared" si="71"/>
        <v xml:space="preserve"> </v>
      </c>
      <c r="AZ149" s="130" t="str">
        <f t="shared" si="71"/>
        <v xml:space="preserve"> </v>
      </c>
      <c r="BA149" s="121">
        <f t="shared" si="85"/>
        <v>2364904.2397514791</v>
      </c>
      <c r="BB149" s="121">
        <f t="shared" si="86"/>
        <v>0</v>
      </c>
      <c r="BC149" s="121">
        <f t="shared" si="87"/>
        <v>0</v>
      </c>
      <c r="BD149" s="121">
        <f t="shared" si="88"/>
        <v>0</v>
      </c>
      <c r="BE149" s="121">
        <f t="shared" si="89"/>
        <v>0</v>
      </c>
      <c r="BF149" s="121">
        <f t="shared" si="90"/>
        <v>0</v>
      </c>
      <c r="BG149" s="121">
        <f t="shared" si="91"/>
        <v>0</v>
      </c>
      <c r="BH149" s="121">
        <f t="shared" si="92"/>
        <v>0</v>
      </c>
      <c r="BI149" s="121">
        <f t="shared" si="93"/>
        <v>0</v>
      </c>
      <c r="BJ149" s="121">
        <f t="shared" si="94"/>
        <v>0</v>
      </c>
      <c r="BK149" s="121">
        <f t="shared" si="95"/>
        <v>0</v>
      </c>
      <c r="BL149" s="121">
        <f t="shared" si="96"/>
        <v>0</v>
      </c>
      <c r="BM149" s="121">
        <f t="shared" si="97"/>
        <v>0</v>
      </c>
      <c r="BN149" s="121">
        <f t="shared" si="98"/>
        <v>0</v>
      </c>
      <c r="BO149" s="121">
        <f t="shared" si="99"/>
        <v>0</v>
      </c>
      <c r="BP149" s="121">
        <f t="shared" si="100"/>
        <v>0</v>
      </c>
      <c r="BQ149" s="199">
        <f>INDEX('GDP deflators'!$C$6:$M$36,MATCH('Bottom-up tagging'!$D149,'GDP deflators'!$B$6:$B$36,),MATCH('Bottom-up tagging'!$E149,'GDP deflators'!$C$5:$L$5,))/100</f>
        <v>1.2685503072696345</v>
      </c>
      <c r="BR149" s="24">
        <v>3000000</v>
      </c>
    </row>
    <row r="150" spans="2:70" ht="26.15" hidden="1" customHeight="1">
      <c r="B150" s="110" t="s">
        <v>96</v>
      </c>
      <c r="C150" s="110" t="s">
        <v>100</v>
      </c>
      <c r="D150" s="110" t="s">
        <v>3994</v>
      </c>
      <c r="E150" s="103">
        <v>2016</v>
      </c>
      <c r="F150" s="108" t="s">
        <v>8260</v>
      </c>
      <c r="G150" s="111" t="s">
        <v>109</v>
      </c>
      <c r="H150" s="110" t="s">
        <v>10451</v>
      </c>
      <c r="I150" s="112">
        <f>IF(Dashboard!$B$16="Current USD",'Bottom-up tagging'!BR150,'Bottom-up tagging'!BR150/'Bottom-up tagging'!BQ150)</f>
        <v>2206308.0888763205</v>
      </c>
      <c r="J150" s="117" t="s">
        <v>10474</v>
      </c>
      <c r="K150" s="112"/>
      <c r="L150" s="135">
        <v>1</v>
      </c>
      <c r="M150" s="135">
        <v>1</v>
      </c>
      <c r="N150" s="112"/>
      <c r="O150" s="112"/>
      <c r="P150" s="112" t="str">
        <f>VLOOKUP(B150, 'Companies covered restructured'!$B$7:$K$470, 9, FALSE)</f>
        <v>Agri marketplaces</v>
      </c>
      <c r="Q150" s="112" t="str">
        <f>VLOOKUP(B150, 'Companies covered restructured'!$B$7:$K$470, 6, FALSE)</f>
        <v>#Crops(100)</v>
      </c>
      <c r="R150" s="112" t="str">
        <f t="shared" si="72"/>
        <v>#Investment Fund(100)</v>
      </c>
      <c r="S150" s="112" t="s">
        <v>11003</v>
      </c>
      <c r="T150" s="112" t="s">
        <v>10466</v>
      </c>
      <c r="U150" s="213" t="s">
        <v>10970</v>
      </c>
      <c r="V150" s="112" t="str">
        <f>VLOOKUP(P150, 'Bottom-up Tagging Assumptions'!$B$12:$F$39, 5, FALSE)</f>
        <v>#Process Innovation(100)</v>
      </c>
      <c r="W150" s="112" t="str">
        <f>VLOOKUP(B150, 'Companies covered restructured'!$B$7:$K$470, 7, FALSE)</f>
        <v>#Farm/Household(100)</v>
      </c>
      <c r="X150" s="112" t="s">
        <v>10558</v>
      </c>
      <c r="Y150" s="212" t="str">
        <f>VLOOKUP(P150, 'Bottom-up Tagging Assumptions'!$B$12:$C$56, 2, FALSE)</f>
        <v>#Other Economic(P); Social(S)</v>
      </c>
      <c r="Z150" s="112" t="str">
        <f>VLOOKUP(P150, 'Bottom-up Tagging Assumptions'!$B$12:$F$56, 3, FALSE)</f>
        <v>#Improve price realization(P)</v>
      </c>
      <c r="AA150" s="112" t="str">
        <f>VLOOKUP(P150, 'Bottom-up Tagging Assumptions'!$B$12:$F$56, 4, FALSE)</f>
        <v>#Level 4(100)</v>
      </c>
      <c r="AB150" s="110" t="s">
        <v>2501</v>
      </c>
      <c r="AC150" s="110"/>
      <c r="AD150" s="110" t="s">
        <v>1308</v>
      </c>
      <c r="AE150" s="110" t="str">
        <f>VLOOKUP(AD150,  '1.2'!$B$7:$C$2033, 2, FALSE)</f>
        <v>FUND</v>
      </c>
      <c r="AF150" s="112">
        <v>8062080</v>
      </c>
      <c r="AG150" s="110" t="s">
        <v>904</v>
      </c>
      <c r="AH150" s="121">
        <f t="shared" si="73"/>
        <v>0</v>
      </c>
      <c r="AI150" s="121">
        <f t="shared" si="74"/>
        <v>0</v>
      </c>
      <c r="AJ150" s="121">
        <f t="shared" si="75"/>
        <v>1</v>
      </c>
      <c r="AK150" s="121">
        <f t="shared" si="76"/>
        <v>1</v>
      </c>
      <c r="AL150" s="121">
        <f t="shared" si="77"/>
        <v>0</v>
      </c>
      <c r="AM150" s="121">
        <f t="shared" si="78"/>
        <v>0</v>
      </c>
      <c r="AN150" s="121">
        <f t="shared" si="79"/>
        <v>1</v>
      </c>
      <c r="AO150" s="121">
        <f t="shared" si="80"/>
        <v>0</v>
      </c>
      <c r="AP150" s="22">
        <f t="shared" si="81"/>
        <v>0</v>
      </c>
      <c r="AQ150" s="22">
        <f t="shared" si="82"/>
        <v>2206308.0888763205</v>
      </c>
      <c r="AR150" s="22">
        <f t="shared" si="83"/>
        <v>0</v>
      </c>
      <c r="AS150" s="121" t="str">
        <f t="shared" si="84"/>
        <v>Crops</v>
      </c>
      <c r="AT150" s="121" t="str">
        <f t="shared" si="70"/>
        <v xml:space="preserve"> </v>
      </c>
      <c r="AU150" s="121" t="str">
        <f t="shared" si="70"/>
        <v xml:space="preserve"> </v>
      </c>
      <c r="AV150" s="121" t="str">
        <f t="shared" si="70"/>
        <v xml:space="preserve"> </v>
      </c>
      <c r="AW150" s="130" t="str">
        <f t="shared" si="71"/>
        <v>100</v>
      </c>
      <c r="AX150" s="130" t="str">
        <f t="shared" si="71"/>
        <v xml:space="preserve"> </v>
      </c>
      <c r="AY150" s="130" t="str">
        <f t="shared" si="71"/>
        <v xml:space="preserve"> </v>
      </c>
      <c r="AZ150" s="130" t="str">
        <f t="shared" si="71"/>
        <v xml:space="preserve"> </v>
      </c>
      <c r="BA150" s="121">
        <f t="shared" si="85"/>
        <v>2206308.0888763205</v>
      </c>
      <c r="BB150" s="121">
        <f t="shared" si="86"/>
        <v>0</v>
      </c>
      <c r="BC150" s="121">
        <f t="shared" si="87"/>
        <v>0</v>
      </c>
      <c r="BD150" s="121">
        <f t="shared" si="88"/>
        <v>0</v>
      </c>
      <c r="BE150" s="121">
        <f t="shared" si="89"/>
        <v>0</v>
      </c>
      <c r="BF150" s="121">
        <f t="shared" si="90"/>
        <v>0</v>
      </c>
      <c r="BG150" s="121">
        <f t="shared" si="91"/>
        <v>0</v>
      </c>
      <c r="BH150" s="121">
        <f t="shared" si="92"/>
        <v>0</v>
      </c>
      <c r="BI150" s="121">
        <f t="shared" si="93"/>
        <v>2206308.0888763205</v>
      </c>
      <c r="BJ150" s="121">
        <f t="shared" si="94"/>
        <v>2206308.0888763205</v>
      </c>
      <c r="BK150" s="121">
        <f t="shared" si="95"/>
        <v>2206308.0888763205</v>
      </c>
      <c r="BL150" s="121">
        <f t="shared" si="96"/>
        <v>2206308.0888763205</v>
      </c>
      <c r="BM150" s="121">
        <f t="shared" si="97"/>
        <v>0</v>
      </c>
      <c r="BN150" s="121">
        <f t="shared" si="98"/>
        <v>0</v>
      </c>
      <c r="BO150" s="121">
        <f t="shared" si="99"/>
        <v>0</v>
      </c>
      <c r="BP150" s="121">
        <f t="shared" si="100"/>
        <v>0</v>
      </c>
      <c r="BQ150" s="199">
        <f>INDEX('GDP deflators'!$C$6:$M$36,MATCH('Bottom-up tagging'!$D150,'GDP deflators'!$B$6:$B$36,),MATCH('Bottom-up tagging'!$E150,'GDP deflators'!$C$5:$L$5,))/100</f>
        <v>1.3597375702538033</v>
      </c>
      <c r="BR150" s="24">
        <v>3000000</v>
      </c>
    </row>
    <row r="151" spans="2:70" ht="26.15" hidden="1" customHeight="1">
      <c r="B151" s="110" t="s">
        <v>2487</v>
      </c>
      <c r="C151" s="110" t="s">
        <v>2489</v>
      </c>
      <c r="D151" s="110" t="s">
        <v>2057</v>
      </c>
      <c r="E151" s="103">
        <v>2016</v>
      </c>
      <c r="F151" s="108" t="s">
        <v>9060</v>
      </c>
      <c r="G151" s="111" t="s">
        <v>124</v>
      </c>
      <c r="H151" s="110" t="s">
        <v>10451</v>
      </c>
      <c r="I151" s="112">
        <f>IF(Dashboard!$B$16="Current USD",'Bottom-up tagging'!BR151,'Bottom-up tagging'!BR151/'Bottom-up tagging'!BQ151)</f>
        <v>2587053.1585258995</v>
      </c>
      <c r="J151" s="118" t="s">
        <v>10474</v>
      </c>
      <c r="K151" s="112"/>
      <c r="L151" s="135">
        <v>1</v>
      </c>
      <c r="M151" s="135">
        <v>1</v>
      </c>
      <c r="N151" s="112"/>
      <c r="O151" s="112"/>
      <c r="P151" s="112" t="str">
        <f>VLOOKUP(B151, 'Companies covered restructured'!$B$7:$K$470, 9, FALSE)</f>
        <v>AI/analytics based advisory algorithms (incl. weather)</v>
      </c>
      <c r="Q151" s="112" t="str">
        <f>VLOOKUP(B151, 'Companies covered restructured'!$B$7:$K$470, 6, FALSE)</f>
        <v>#Crops(100)</v>
      </c>
      <c r="R151" s="112" t="str">
        <f t="shared" si="72"/>
        <v>N/A</v>
      </c>
      <c r="S151" s="112" t="s">
        <v>11003</v>
      </c>
      <c r="T151" s="112" t="s">
        <v>10466</v>
      </c>
      <c r="U151" s="103" t="s">
        <v>10970</v>
      </c>
      <c r="V151" s="112" t="str">
        <f>VLOOKUP(P151, 'Bottom-up Tagging Assumptions'!$B$12:$F$39, 5, FALSE)</f>
        <v>#Science &amp; tech(100)</v>
      </c>
      <c r="W151" s="112" t="str">
        <f>VLOOKUP(B151, 'Companies covered restructured'!$B$7:$K$470, 7, FALSE)</f>
        <v>#Farm/Household(100)</v>
      </c>
      <c r="X151" s="112" t="str">
        <f>VLOOKUP(B151, 'Companies covered restructured'!$B$7:$K$470, 8, FALSE)</f>
        <v>N/A</v>
      </c>
      <c r="Y151" s="212" t="str">
        <f>VLOOKUP(P151, 'Bottom-up Tagging Assumptions'!$B$12:$C$56, 2, FALSE)</f>
        <v>#Other Economic(P); #Productivity(S)</v>
      </c>
      <c r="Z151" s="112" t="str">
        <f>VLOOKUP(P151, 'Bottom-up Tagging Assumptions'!$B$12:$F$56, 3, FALSE)</f>
        <v>#Increasing output per unit input(P); #Increasing crop or animal yield(S)</v>
      </c>
      <c r="AA151" s="112" t="str">
        <f>VLOOKUP(P151, 'Bottom-up Tagging Assumptions'!$B$12:$F$56, 4, FALSE)</f>
        <v>#Level 1(100)</v>
      </c>
      <c r="AB151" s="110"/>
      <c r="AC151" s="110"/>
      <c r="AD151" s="110"/>
      <c r="AE151" s="110" t="s">
        <v>10558</v>
      </c>
      <c r="AF151" s="112">
        <v>65736870</v>
      </c>
      <c r="AG151" s="110" t="s">
        <v>190</v>
      </c>
      <c r="AH151" s="121">
        <f t="shared" si="73"/>
        <v>0</v>
      </c>
      <c r="AI151" s="121">
        <f t="shared" si="74"/>
        <v>1</v>
      </c>
      <c r="AJ151" s="121">
        <f t="shared" si="75"/>
        <v>1</v>
      </c>
      <c r="AK151" s="121">
        <f t="shared" si="76"/>
        <v>0</v>
      </c>
      <c r="AL151" s="121">
        <f t="shared" si="77"/>
        <v>0</v>
      </c>
      <c r="AM151" s="121">
        <f t="shared" si="78"/>
        <v>0</v>
      </c>
      <c r="AN151" s="121">
        <f t="shared" si="79"/>
        <v>0</v>
      </c>
      <c r="AO151" s="121">
        <f t="shared" si="80"/>
        <v>0</v>
      </c>
      <c r="AP151" s="22">
        <f t="shared" si="81"/>
        <v>0</v>
      </c>
      <c r="AQ151" s="22">
        <f t="shared" si="82"/>
        <v>0</v>
      </c>
      <c r="AR151" s="22">
        <f t="shared" si="83"/>
        <v>0</v>
      </c>
      <c r="AS151" s="121" t="str">
        <f t="shared" si="84"/>
        <v>Crops</v>
      </c>
      <c r="AT151" s="121" t="str">
        <f t="shared" si="70"/>
        <v xml:space="preserve"> </v>
      </c>
      <c r="AU151" s="121" t="str">
        <f t="shared" si="70"/>
        <v xml:space="preserve"> </v>
      </c>
      <c r="AV151" s="121" t="str">
        <f t="shared" si="70"/>
        <v xml:space="preserve"> </v>
      </c>
      <c r="AW151" s="130" t="str">
        <f t="shared" si="71"/>
        <v>100</v>
      </c>
      <c r="AX151" s="130" t="str">
        <f t="shared" si="71"/>
        <v xml:space="preserve"> </v>
      </c>
      <c r="AY151" s="130" t="str">
        <f t="shared" si="71"/>
        <v xml:space="preserve"> </v>
      </c>
      <c r="AZ151" s="130" t="str">
        <f t="shared" si="71"/>
        <v xml:space="preserve"> </v>
      </c>
      <c r="BA151" s="121">
        <f t="shared" si="85"/>
        <v>2587053.1585258995</v>
      </c>
      <c r="BB151" s="121">
        <f t="shared" si="86"/>
        <v>0</v>
      </c>
      <c r="BC151" s="121">
        <f t="shared" si="87"/>
        <v>0</v>
      </c>
      <c r="BD151" s="121">
        <f t="shared" si="88"/>
        <v>0</v>
      </c>
      <c r="BE151" s="121">
        <f t="shared" si="89"/>
        <v>0</v>
      </c>
      <c r="BF151" s="121">
        <f t="shared" si="90"/>
        <v>0</v>
      </c>
      <c r="BG151" s="121">
        <f t="shared" si="91"/>
        <v>0</v>
      </c>
      <c r="BH151" s="121">
        <f t="shared" si="92"/>
        <v>0</v>
      </c>
      <c r="BI151" s="121">
        <f t="shared" si="93"/>
        <v>0</v>
      </c>
      <c r="BJ151" s="121">
        <f t="shared" si="94"/>
        <v>0</v>
      </c>
      <c r="BK151" s="121">
        <f t="shared" si="95"/>
        <v>0</v>
      </c>
      <c r="BL151" s="121">
        <f t="shared" si="96"/>
        <v>0</v>
      </c>
      <c r="BM151" s="121">
        <f t="shared" si="97"/>
        <v>0</v>
      </c>
      <c r="BN151" s="121">
        <f t="shared" si="98"/>
        <v>0</v>
      </c>
      <c r="BO151" s="121">
        <f t="shared" si="99"/>
        <v>0</v>
      </c>
      <c r="BP151" s="121">
        <f t="shared" si="100"/>
        <v>0</v>
      </c>
      <c r="BQ151" s="199">
        <f>INDEX('GDP deflators'!$C$6:$M$36,MATCH('Bottom-up tagging'!$D151,'GDP deflators'!$B$6:$B$36,),MATCH('Bottom-up tagging'!$E151,'GDP deflators'!$C$5:$L$5,))/100</f>
        <v>1.1575830941589131</v>
      </c>
      <c r="BR151" s="24">
        <v>2994729</v>
      </c>
    </row>
    <row r="152" spans="2:70" ht="26.15" hidden="1" customHeight="1">
      <c r="B152" s="110" t="s">
        <v>139</v>
      </c>
      <c r="C152" s="110" t="s">
        <v>144</v>
      </c>
      <c r="D152" s="110" t="s">
        <v>5208</v>
      </c>
      <c r="E152" s="103">
        <v>2020</v>
      </c>
      <c r="F152" s="108" t="s">
        <v>6327</v>
      </c>
      <c r="G152" s="111" t="s">
        <v>34</v>
      </c>
      <c r="H152" s="110" t="s">
        <v>10451</v>
      </c>
      <c r="I152" s="212">
        <v>0</v>
      </c>
      <c r="J152" s="118" t="s">
        <v>10474</v>
      </c>
      <c r="K152" s="112"/>
      <c r="L152" s="135">
        <v>1</v>
      </c>
      <c r="M152" s="135">
        <v>1</v>
      </c>
      <c r="N152" s="112"/>
      <c r="O152" s="112"/>
      <c r="P152" s="112" t="str">
        <f>VLOOKUP(B152, 'Companies covered restructured'!$B$7:$K$470, 9, FALSE)</f>
        <v xml:space="preserve">Hydroponics </v>
      </c>
      <c r="Q152" s="112" t="str">
        <f>VLOOKUP(B152, 'Companies covered restructured'!$B$7:$K$470, 6, FALSE)</f>
        <v>#Crops(100)</v>
      </c>
      <c r="R152" s="112" t="str">
        <f t="shared" si="72"/>
        <v>N/A</v>
      </c>
      <c r="S152" s="112" t="s">
        <v>11003</v>
      </c>
      <c r="T152" s="112" t="s">
        <v>10466</v>
      </c>
      <c r="U152" s="103" t="s">
        <v>10970</v>
      </c>
      <c r="V152" s="112" t="str">
        <f>VLOOKUP(P152, 'Bottom-up Tagging Assumptions'!$B$12:$F$39, 5, FALSE)</f>
        <v>#Science &amp; tech(100)</v>
      </c>
      <c r="W152" s="112" t="str">
        <f>VLOOKUP(B152, 'Companies covered restructured'!$B$7:$K$470, 7, FALSE)</f>
        <v>#Field/Animal Herd(100)</v>
      </c>
      <c r="X152" s="112" t="s">
        <v>10558</v>
      </c>
      <c r="Y152" s="112" t="str">
        <f>VLOOKUP(P152, '[2]Bottom-up Tagging Assumptions'!$B$12:$F$56, 2, FALSE)</f>
        <v>#Human Condition(P); #Environmental(S); #Productivity(S)</v>
      </c>
      <c r="Z152" s="112" t="str">
        <f>VLOOKUP(P152, 'Bottom-up Tagging Assumptions'!$B$12:$F$56, 3, FALSE)</f>
        <v>#Food security(P); #Reducing production variability(S)</v>
      </c>
      <c r="AA152" s="112" t="str">
        <f>VLOOKUP(P152, 'Bottom-up Tagging Assumptions'!$B$12:$F$56, 4, FALSE)</f>
        <v>#Level 2(100)</v>
      </c>
      <c r="AB152" s="110" t="s">
        <v>141</v>
      </c>
      <c r="AC152" s="110"/>
      <c r="AD152" s="110" t="s">
        <v>142</v>
      </c>
      <c r="AE152" s="110" t="s">
        <v>10558</v>
      </c>
      <c r="AF152" s="112">
        <v>6141730</v>
      </c>
      <c r="AG152" s="110" t="s">
        <v>1481</v>
      </c>
      <c r="AH152" s="121">
        <f t="shared" si="73"/>
        <v>1</v>
      </c>
      <c r="AI152" s="121">
        <f t="shared" si="74"/>
        <v>1</v>
      </c>
      <c r="AJ152" s="121">
        <f t="shared" si="75"/>
        <v>0</v>
      </c>
      <c r="AK152" s="121">
        <f t="shared" si="76"/>
        <v>0</v>
      </c>
      <c r="AL152" s="121">
        <f t="shared" si="77"/>
        <v>1</v>
      </c>
      <c r="AM152" s="121">
        <f t="shared" si="78"/>
        <v>1</v>
      </c>
      <c r="AN152" s="121">
        <f t="shared" si="79"/>
        <v>1</v>
      </c>
      <c r="AO152" s="121">
        <f t="shared" si="80"/>
        <v>1</v>
      </c>
      <c r="AP152" s="22">
        <f t="shared" si="81"/>
        <v>0</v>
      </c>
      <c r="AQ152" s="22">
        <f t="shared" si="82"/>
        <v>0</v>
      </c>
      <c r="AR152" s="22">
        <f t="shared" si="83"/>
        <v>0</v>
      </c>
      <c r="AS152" s="121" t="str">
        <f t="shared" si="84"/>
        <v>Crops</v>
      </c>
      <c r="AT152" s="121" t="str">
        <f t="shared" ref="AT152:AV171" si="101">IFERROR(IFERROR(MID($Q152,FIND("~",SUBSTITUTE($Q152,";","~",AT$10-1))+3,(FIND("~",SUBSTITUTE($Q152,";","~",AT$10))+0-(FIND("~",SUBSTITUTE($Q152,";","~",AT$10-1))+2))-6),MID($Q152,FIND("~",SUBSTITUTE($Q152,";","~",AT$10-1))+3,(LEN($Q152)-6-FIND("~",SUBSTITUTE($Q152,";","~",AT$10-1))-1)))," ")</f>
        <v xml:space="preserve"> </v>
      </c>
      <c r="AU152" s="121" t="str">
        <f t="shared" si="101"/>
        <v xml:space="preserve"> </v>
      </c>
      <c r="AV152" s="121" t="str">
        <f t="shared" si="101"/>
        <v xml:space="preserve"> </v>
      </c>
      <c r="AW152" s="130" t="str">
        <f t="shared" ref="AW152:AZ171" si="102">IFERROR(MID($Q152,FIND("~",SUBSTITUTE($Q152,"(","~",AW$10))+1,3)," ")</f>
        <v>100</v>
      </c>
      <c r="AX152" s="130" t="str">
        <f t="shared" si="102"/>
        <v xml:space="preserve"> </v>
      </c>
      <c r="AY152" s="130" t="str">
        <f t="shared" si="102"/>
        <v xml:space="preserve"> </v>
      </c>
      <c r="AZ152" s="130" t="str">
        <f t="shared" si="102"/>
        <v xml:space="preserve"> </v>
      </c>
      <c r="BA152" s="121">
        <f t="shared" si="85"/>
        <v>0</v>
      </c>
      <c r="BB152" s="121">
        <f t="shared" si="86"/>
        <v>0</v>
      </c>
      <c r="BC152" s="121">
        <f t="shared" si="87"/>
        <v>0</v>
      </c>
      <c r="BD152" s="121">
        <f t="shared" si="88"/>
        <v>0</v>
      </c>
      <c r="BE152" s="121">
        <f t="shared" si="89"/>
        <v>0</v>
      </c>
      <c r="BF152" s="121">
        <f t="shared" si="90"/>
        <v>0</v>
      </c>
      <c r="BG152" s="121">
        <f t="shared" si="91"/>
        <v>0</v>
      </c>
      <c r="BH152" s="121">
        <f t="shared" si="92"/>
        <v>0</v>
      </c>
      <c r="BI152" s="121">
        <f t="shared" si="93"/>
        <v>0</v>
      </c>
      <c r="BJ152" s="121">
        <f t="shared" si="94"/>
        <v>0</v>
      </c>
      <c r="BK152" s="121">
        <f t="shared" si="95"/>
        <v>0</v>
      </c>
      <c r="BL152" s="121">
        <f t="shared" si="96"/>
        <v>0</v>
      </c>
      <c r="BM152" s="121">
        <f t="shared" si="97"/>
        <v>0</v>
      </c>
      <c r="BN152" s="121">
        <f t="shared" si="98"/>
        <v>0</v>
      </c>
      <c r="BO152" s="121">
        <f t="shared" si="99"/>
        <v>0</v>
      </c>
      <c r="BP152" s="121">
        <f t="shared" si="100"/>
        <v>0</v>
      </c>
      <c r="BQ152" s="199" t="e">
        <f>INDEX('GDP deflators'!$C$6:$M$36,MATCH('Bottom-up tagging'!$D152,'GDP deflators'!$B$6:$B$36,),MATCH('Bottom-up tagging'!$E152,'GDP deflators'!$C$5:$L$5,))/100</f>
        <v>#N/A</v>
      </c>
      <c r="BR152" s="24">
        <v>2955090</v>
      </c>
    </row>
    <row r="153" spans="2:70" ht="26.15" hidden="1" customHeight="1">
      <c r="B153" s="110" t="s">
        <v>153</v>
      </c>
      <c r="C153" s="110" t="s">
        <v>158</v>
      </c>
      <c r="D153" s="110" t="s">
        <v>2057</v>
      </c>
      <c r="E153" s="103">
        <v>2020</v>
      </c>
      <c r="F153" s="108" t="s">
        <v>7621</v>
      </c>
      <c r="G153" s="111" t="s">
        <v>34</v>
      </c>
      <c r="H153" s="110" t="s">
        <v>10451</v>
      </c>
      <c r="I153" s="212">
        <v>0</v>
      </c>
      <c r="J153" s="117" t="s">
        <v>10474</v>
      </c>
      <c r="K153" s="112"/>
      <c r="L153" s="135">
        <v>1</v>
      </c>
      <c r="M153" s="135">
        <v>1</v>
      </c>
      <c r="N153" s="112"/>
      <c r="O153" s="112"/>
      <c r="P153" s="112" t="str">
        <f>VLOOKUP(B153, 'Companies covered restructured'!$B$7:$K$470, 9, FALSE)</f>
        <v>Insect-protein based food</v>
      </c>
      <c r="Q153" s="112" t="str">
        <f>VLOOKUP(B153, 'Companies covered restructured'!$B$7:$K$470, 6, FALSE)</f>
        <v>#Crops(100)</v>
      </c>
      <c r="R153" s="112" t="str">
        <f t="shared" si="72"/>
        <v>#Corporate(100)</v>
      </c>
      <c r="S153" s="112" t="s">
        <v>11003</v>
      </c>
      <c r="T153" s="112" t="s">
        <v>10466</v>
      </c>
      <c r="U153" s="103" t="s">
        <v>10970</v>
      </c>
      <c r="V153" s="112" t="str">
        <f>VLOOKUP(P153, 'Bottom-up Tagging Assumptions'!$B$12:$F$39, 5, FALSE)</f>
        <v>#Product Development(100)</v>
      </c>
      <c r="W153" s="112" t="str">
        <f>VLOOKUP(B153, 'Companies covered restructured'!$B$7:$K$470, 7, FALSE)</f>
        <v>#Farm/Household(100)</v>
      </c>
      <c r="X153" s="112" t="s">
        <v>10558</v>
      </c>
      <c r="Y153" s="112" t="str">
        <f>VLOOKUP(P153, '[2]Bottom-up Tagging Assumptions'!$B$12:$F$56, 2, FALSE)</f>
        <v>#Human Condition(P), #Environmental</v>
      </c>
      <c r="Z153" s="112" t="str">
        <f>VLOOKUP(P153, 'Bottom-up Tagging Assumptions'!$B$12:$F$56, 3, FALSE)</f>
        <v>#Improved nutrition(P)</v>
      </c>
      <c r="AA153" s="112" t="str">
        <f>VLOOKUP(P153, 'Bottom-up Tagging Assumptions'!$B$12:$F$56, 4, FALSE)</f>
        <v>#Level 3(100)</v>
      </c>
      <c r="AB153" s="110" t="s">
        <v>155</v>
      </c>
      <c r="AC153" s="110"/>
      <c r="AD153" s="110" t="s">
        <v>156</v>
      </c>
      <c r="AE153" s="110" t="str">
        <f>VLOOKUP(AD153,  '1.2'!$B$7:$C$2033, 2, FALSE)</f>
        <v>CORPORATE_INVESTOR</v>
      </c>
      <c r="AF153" s="112"/>
      <c r="AG153" s="110" t="s">
        <v>672</v>
      </c>
      <c r="AH153" s="121">
        <f t="shared" si="73"/>
        <v>1</v>
      </c>
      <c r="AI153" s="121">
        <f t="shared" si="74"/>
        <v>0</v>
      </c>
      <c r="AJ153" s="121">
        <f t="shared" si="75"/>
        <v>0</v>
      </c>
      <c r="AK153" s="121">
        <f t="shared" si="76"/>
        <v>0</v>
      </c>
      <c r="AL153" s="121">
        <f t="shared" si="77"/>
        <v>1</v>
      </c>
      <c r="AM153" s="121">
        <f t="shared" si="78"/>
        <v>0</v>
      </c>
      <c r="AN153" s="121">
        <f t="shared" si="79"/>
        <v>0</v>
      </c>
      <c r="AO153" s="121">
        <f t="shared" si="80"/>
        <v>0</v>
      </c>
      <c r="AP153" s="22">
        <f t="shared" si="81"/>
        <v>0</v>
      </c>
      <c r="AQ153" s="22">
        <f t="shared" si="82"/>
        <v>0</v>
      </c>
      <c r="AR153" s="22">
        <f t="shared" si="83"/>
        <v>0</v>
      </c>
      <c r="AS153" s="121" t="str">
        <f t="shared" si="84"/>
        <v>Crops</v>
      </c>
      <c r="AT153" s="121" t="str">
        <f t="shared" si="101"/>
        <v xml:space="preserve"> </v>
      </c>
      <c r="AU153" s="121" t="str">
        <f t="shared" si="101"/>
        <v xml:space="preserve"> </v>
      </c>
      <c r="AV153" s="121" t="str">
        <f t="shared" si="101"/>
        <v xml:space="preserve"> </v>
      </c>
      <c r="AW153" s="130" t="str">
        <f t="shared" si="102"/>
        <v>100</v>
      </c>
      <c r="AX153" s="130" t="str">
        <f t="shared" si="102"/>
        <v xml:space="preserve"> </v>
      </c>
      <c r="AY153" s="130" t="str">
        <f t="shared" si="102"/>
        <v xml:space="preserve"> </v>
      </c>
      <c r="AZ153" s="130" t="str">
        <f t="shared" si="102"/>
        <v xml:space="preserve"> </v>
      </c>
      <c r="BA153" s="121">
        <f t="shared" si="85"/>
        <v>0</v>
      </c>
      <c r="BB153" s="121">
        <f t="shared" si="86"/>
        <v>0</v>
      </c>
      <c r="BC153" s="121">
        <f t="shared" si="87"/>
        <v>0</v>
      </c>
      <c r="BD153" s="121">
        <f t="shared" si="88"/>
        <v>0</v>
      </c>
      <c r="BE153" s="121">
        <f t="shared" si="89"/>
        <v>0</v>
      </c>
      <c r="BF153" s="121">
        <f t="shared" si="90"/>
        <v>0</v>
      </c>
      <c r="BG153" s="121">
        <f t="shared" si="91"/>
        <v>0</v>
      </c>
      <c r="BH153" s="121">
        <f t="shared" si="92"/>
        <v>0</v>
      </c>
      <c r="BI153" s="121">
        <f t="shared" si="93"/>
        <v>0</v>
      </c>
      <c r="BJ153" s="121">
        <f t="shared" si="94"/>
        <v>0</v>
      </c>
      <c r="BK153" s="121">
        <f t="shared" si="95"/>
        <v>0</v>
      </c>
      <c r="BL153" s="121">
        <f t="shared" si="96"/>
        <v>0</v>
      </c>
      <c r="BM153" s="121">
        <f t="shared" si="97"/>
        <v>0</v>
      </c>
      <c r="BN153" s="121">
        <f t="shared" si="98"/>
        <v>0</v>
      </c>
      <c r="BO153" s="121">
        <f t="shared" si="99"/>
        <v>0</v>
      </c>
      <c r="BP153" s="121">
        <f t="shared" si="100"/>
        <v>0</v>
      </c>
      <c r="BQ153" s="199" t="e">
        <f>INDEX('GDP deflators'!$C$6:$M$36,MATCH('Bottom-up tagging'!$D153,'GDP deflators'!$B$6:$B$36,),MATCH('Bottom-up tagging'!$E153,'GDP deflators'!$C$5:$L$5,))/100</f>
        <v>#N/A</v>
      </c>
      <c r="BR153" s="24">
        <v>2954680</v>
      </c>
    </row>
    <row r="154" spans="2:70" ht="26.15" hidden="1" customHeight="1">
      <c r="B154" s="110" t="s">
        <v>2126</v>
      </c>
      <c r="C154" s="110" t="s">
        <v>2128</v>
      </c>
      <c r="D154" s="110" t="s">
        <v>2057</v>
      </c>
      <c r="E154" s="103">
        <v>2017</v>
      </c>
      <c r="F154" s="108" t="s">
        <v>9135</v>
      </c>
      <c r="G154" s="111" t="s">
        <v>34</v>
      </c>
      <c r="H154" s="110" t="s">
        <v>10451</v>
      </c>
      <c r="I154" s="112">
        <f>IF(Dashboard!$B$16="Current USD",'Bottom-up tagging'!BR154,'Bottom-up tagging'!BR154/'Bottom-up tagging'!BQ154)</f>
        <v>2409358.1480878815</v>
      </c>
      <c r="J154" s="118" t="s">
        <v>10474</v>
      </c>
      <c r="K154" s="112"/>
      <c r="L154" s="135">
        <v>1</v>
      </c>
      <c r="M154" s="135">
        <v>1</v>
      </c>
      <c r="N154" s="112"/>
      <c r="O154" s="112"/>
      <c r="P154" s="112" t="str">
        <f>VLOOKUP(B154, 'Companies covered restructured'!$B$7:$K$470, 9, FALSE)</f>
        <v>Farmer engagement platforms (including marketplaces and information platforms)</v>
      </c>
      <c r="Q154" s="112" t="str">
        <f>VLOOKUP(B154, 'Companies covered restructured'!$B$7:$K$470, 6, FALSE)</f>
        <v>#Crops(100)</v>
      </c>
      <c r="R154" s="112" t="str">
        <f t="shared" si="72"/>
        <v>N/A</v>
      </c>
      <c r="S154" s="112" t="s">
        <v>11003</v>
      </c>
      <c r="T154" s="112" t="s">
        <v>10466</v>
      </c>
      <c r="U154" s="103" t="s">
        <v>10970</v>
      </c>
      <c r="V154" s="112" t="str">
        <f>VLOOKUP(P154, 'Bottom-up Tagging Assumptions'!$B$12:$F$39, 5, FALSE)</f>
        <v>#Process Innovation(100)</v>
      </c>
      <c r="W154" s="112" t="str">
        <f>VLOOKUP(B154, 'Companies covered restructured'!$B$7:$K$470, 7, FALSE)</f>
        <v>N/A</v>
      </c>
      <c r="X154" s="112" t="str">
        <f>VLOOKUP(B154, 'Companies covered restructured'!$B$7:$K$470, 8, FALSE)</f>
        <v>N/A</v>
      </c>
      <c r="Y154" s="212" t="str">
        <f>VLOOKUP(P154, 'Bottom-up Tagging Assumptions'!$B$12:$C$56, 2, FALSE)</f>
        <v>#Other Economic(P); #Productivity(S)</v>
      </c>
      <c r="Z154" s="112" t="str">
        <f>VLOOKUP(P154, 'Bottom-up Tagging Assumptions'!$B$12:$F$56, 3, FALSE)</f>
        <v>#Improve price realization(P); #Increasing crop or animal yield(S)</v>
      </c>
      <c r="AA154" s="112" t="str">
        <f>VLOOKUP(P154, 'Bottom-up Tagging Assumptions'!$B$12:$F$56, 4, FALSE)</f>
        <v>#Level 4(100)</v>
      </c>
      <c r="AB154" s="110"/>
      <c r="AC154" s="110"/>
      <c r="AD154" s="110"/>
      <c r="AE154" s="110" t="s">
        <v>10558</v>
      </c>
      <c r="AF154" s="112">
        <v>2000000</v>
      </c>
      <c r="AG154" s="110" t="s">
        <v>1153</v>
      </c>
      <c r="AH154" s="121">
        <f t="shared" si="73"/>
        <v>0</v>
      </c>
      <c r="AI154" s="121">
        <f t="shared" si="74"/>
        <v>1</v>
      </c>
      <c r="AJ154" s="121">
        <f t="shared" si="75"/>
        <v>1</v>
      </c>
      <c r="AK154" s="121">
        <f t="shared" si="76"/>
        <v>0</v>
      </c>
      <c r="AL154" s="121">
        <f t="shared" si="77"/>
        <v>0</v>
      </c>
      <c r="AM154" s="121">
        <f t="shared" si="78"/>
        <v>0</v>
      </c>
      <c r="AN154" s="121">
        <f t="shared" si="79"/>
        <v>0</v>
      </c>
      <c r="AO154" s="121">
        <f t="shared" si="80"/>
        <v>0</v>
      </c>
      <c r="AP154" s="22">
        <f t="shared" si="81"/>
        <v>0</v>
      </c>
      <c r="AQ154" s="22">
        <f t="shared" si="82"/>
        <v>0</v>
      </c>
      <c r="AR154" s="22">
        <f t="shared" si="83"/>
        <v>0</v>
      </c>
      <c r="AS154" s="121" t="str">
        <f t="shared" si="84"/>
        <v>Crops</v>
      </c>
      <c r="AT154" s="121" t="str">
        <f t="shared" si="101"/>
        <v xml:space="preserve"> </v>
      </c>
      <c r="AU154" s="121" t="str">
        <f t="shared" si="101"/>
        <v xml:space="preserve"> </v>
      </c>
      <c r="AV154" s="121" t="str">
        <f t="shared" si="101"/>
        <v xml:space="preserve"> </v>
      </c>
      <c r="AW154" s="130" t="str">
        <f t="shared" si="102"/>
        <v>100</v>
      </c>
      <c r="AX154" s="130" t="str">
        <f t="shared" si="102"/>
        <v xml:space="preserve"> </v>
      </c>
      <c r="AY154" s="130" t="str">
        <f t="shared" si="102"/>
        <v xml:space="preserve"> </v>
      </c>
      <c r="AZ154" s="130" t="str">
        <f t="shared" si="102"/>
        <v xml:space="preserve"> </v>
      </c>
      <c r="BA154" s="121">
        <f t="shared" si="85"/>
        <v>2409358.1480878815</v>
      </c>
      <c r="BB154" s="121">
        <f t="shared" si="86"/>
        <v>0</v>
      </c>
      <c r="BC154" s="121">
        <f t="shared" si="87"/>
        <v>0</v>
      </c>
      <c r="BD154" s="121">
        <f t="shared" si="88"/>
        <v>0</v>
      </c>
      <c r="BE154" s="121">
        <f t="shared" si="89"/>
        <v>0</v>
      </c>
      <c r="BF154" s="121">
        <f t="shared" si="90"/>
        <v>0</v>
      </c>
      <c r="BG154" s="121">
        <f t="shared" si="91"/>
        <v>0</v>
      </c>
      <c r="BH154" s="121">
        <f t="shared" si="92"/>
        <v>0</v>
      </c>
      <c r="BI154" s="121">
        <f t="shared" si="93"/>
        <v>0</v>
      </c>
      <c r="BJ154" s="121">
        <f t="shared" si="94"/>
        <v>0</v>
      </c>
      <c r="BK154" s="121">
        <f t="shared" si="95"/>
        <v>0</v>
      </c>
      <c r="BL154" s="121">
        <f t="shared" si="96"/>
        <v>0</v>
      </c>
      <c r="BM154" s="121">
        <f t="shared" si="97"/>
        <v>0</v>
      </c>
      <c r="BN154" s="121">
        <f t="shared" si="98"/>
        <v>0</v>
      </c>
      <c r="BO154" s="121">
        <f t="shared" si="99"/>
        <v>0</v>
      </c>
      <c r="BP154" s="121">
        <f t="shared" si="100"/>
        <v>0</v>
      </c>
      <c r="BQ154" s="199">
        <f>INDEX('GDP deflators'!$C$6:$M$36,MATCH('Bottom-up tagging'!$D154,'GDP deflators'!$B$6:$B$36,),MATCH('Bottom-up tagging'!$E154,'GDP deflators'!$C$5:$L$5,))/100</f>
        <v>1.2065910592441995</v>
      </c>
      <c r="BR154" s="24">
        <v>2907110</v>
      </c>
    </row>
    <row r="155" spans="2:70" ht="26.15" hidden="1" customHeight="1">
      <c r="B155" s="110" t="s">
        <v>96</v>
      </c>
      <c r="C155" s="110" t="s">
        <v>100</v>
      </c>
      <c r="D155" s="110" t="s">
        <v>3994</v>
      </c>
      <c r="E155" s="103">
        <v>2019</v>
      </c>
      <c r="F155" s="108" t="s">
        <v>8260</v>
      </c>
      <c r="G155" s="111" t="s">
        <v>302</v>
      </c>
      <c r="H155" s="110" t="s">
        <v>10451</v>
      </c>
      <c r="I155" s="112">
        <f>IF(Dashboard!$B$16="Current USD",'Bottom-up tagging'!BR155,'Bottom-up tagging'!BR155/'Bottom-up tagging'!BQ155)</f>
        <v>1902379.6437903375</v>
      </c>
      <c r="J155" s="105" t="s">
        <v>10474</v>
      </c>
      <c r="K155" s="112"/>
      <c r="L155" s="135">
        <v>1</v>
      </c>
      <c r="M155" s="135">
        <v>1</v>
      </c>
      <c r="N155" s="112"/>
      <c r="O155" s="112"/>
      <c r="P155" s="112" t="str">
        <f>VLOOKUP(B155, 'Companies covered restructured'!$B$7:$K$470, 9, FALSE)</f>
        <v>Agri marketplaces</v>
      </c>
      <c r="Q155" s="112" t="str">
        <f>VLOOKUP(B155, 'Companies covered restructured'!$B$7:$K$470, 6, FALSE)</f>
        <v>#Crops(100)</v>
      </c>
      <c r="R155" s="112" t="str">
        <f t="shared" si="72"/>
        <v>N/A</v>
      </c>
      <c r="S155" s="112" t="s">
        <v>11003</v>
      </c>
      <c r="T155" s="112" t="s">
        <v>10464</v>
      </c>
      <c r="U155" s="103" t="s">
        <v>10970</v>
      </c>
      <c r="V155" s="112" t="str">
        <f>VLOOKUP(P155, 'Bottom-up Tagging Assumptions'!$B$12:$F$39, 5, FALSE)</f>
        <v>#Process Innovation(100)</v>
      </c>
      <c r="W155" s="112" t="str">
        <f>VLOOKUP(B155, 'Companies covered restructured'!$B$7:$K$470, 7, FALSE)</f>
        <v>#Farm/Household(100)</v>
      </c>
      <c r="X155" s="112" t="s">
        <v>10558</v>
      </c>
      <c r="Y155" s="212" t="str">
        <f>VLOOKUP(P155, 'Bottom-up Tagging Assumptions'!$B$12:$C$56, 2, FALSE)</f>
        <v>#Other Economic(P); Social(S)</v>
      </c>
      <c r="Z155" s="112" t="str">
        <f>VLOOKUP(P155, 'Bottom-up Tagging Assumptions'!$B$12:$F$56, 3, FALSE)</f>
        <v>#Improve price realization(P)</v>
      </c>
      <c r="AA155" s="112" t="str">
        <f>VLOOKUP(P155, 'Bottom-up Tagging Assumptions'!$B$12:$F$56, 4, FALSE)</f>
        <v>#Level 4(100)</v>
      </c>
      <c r="AB155" s="110" t="s">
        <v>723</v>
      </c>
      <c r="AC155" s="110"/>
      <c r="AD155" s="110"/>
      <c r="AE155" s="110" t="s">
        <v>10558</v>
      </c>
      <c r="AF155" s="112">
        <v>5386498</v>
      </c>
      <c r="AG155" s="110" t="s">
        <v>1676</v>
      </c>
      <c r="AH155" s="121">
        <f t="shared" si="73"/>
        <v>0</v>
      </c>
      <c r="AI155" s="121">
        <f t="shared" si="74"/>
        <v>0</v>
      </c>
      <c r="AJ155" s="121">
        <f t="shared" si="75"/>
        <v>1</v>
      </c>
      <c r="AK155" s="121">
        <f t="shared" si="76"/>
        <v>1</v>
      </c>
      <c r="AL155" s="121">
        <f t="shared" si="77"/>
        <v>0</v>
      </c>
      <c r="AM155" s="121">
        <f t="shared" si="78"/>
        <v>0</v>
      </c>
      <c r="AN155" s="121">
        <f t="shared" si="79"/>
        <v>1</v>
      </c>
      <c r="AO155" s="121">
        <f t="shared" si="80"/>
        <v>0</v>
      </c>
      <c r="AP155" s="22">
        <f t="shared" si="81"/>
        <v>0</v>
      </c>
      <c r="AQ155" s="22">
        <f t="shared" si="82"/>
        <v>1902379.6437903375</v>
      </c>
      <c r="AR155" s="22">
        <f t="shared" si="83"/>
        <v>0</v>
      </c>
      <c r="AS155" s="121" t="str">
        <f t="shared" si="84"/>
        <v>Crops</v>
      </c>
      <c r="AT155" s="121" t="str">
        <f t="shared" si="101"/>
        <v xml:space="preserve"> </v>
      </c>
      <c r="AU155" s="121" t="str">
        <f t="shared" si="101"/>
        <v xml:space="preserve"> </v>
      </c>
      <c r="AV155" s="121" t="str">
        <f t="shared" si="101"/>
        <v xml:space="preserve"> </v>
      </c>
      <c r="AW155" s="130" t="str">
        <f t="shared" si="102"/>
        <v>100</v>
      </c>
      <c r="AX155" s="130" t="str">
        <f t="shared" si="102"/>
        <v xml:space="preserve"> </v>
      </c>
      <c r="AY155" s="130" t="str">
        <f t="shared" si="102"/>
        <v xml:space="preserve"> </v>
      </c>
      <c r="AZ155" s="130" t="str">
        <f t="shared" si="102"/>
        <v xml:space="preserve"> </v>
      </c>
      <c r="BA155" s="121">
        <f t="shared" si="85"/>
        <v>1902379.6437903375</v>
      </c>
      <c r="BB155" s="121">
        <f t="shared" si="86"/>
        <v>0</v>
      </c>
      <c r="BC155" s="121">
        <f t="shared" si="87"/>
        <v>0</v>
      </c>
      <c r="BD155" s="121">
        <f t="shared" si="88"/>
        <v>0</v>
      </c>
      <c r="BE155" s="121">
        <f t="shared" si="89"/>
        <v>0</v>
      </c>
      <c r="BF155" s="121">
        <f t="shared" si="90"/>
        <v>0</v>
      </c>
      <c r="BG155" s="121">
        <f t="shared" si="91"/>
        <v>0</v>
      </c>
      <c r="BH155" s="121">
        <f t="shared" si="92"/>
        <v>0</v>
      </c>
      <c r="BI155" s="121">
        <f t="shared" si="93"/>
        <v>1902379.6437903375</v>
      </c>
      <c r="BJ155" s="121">
        <f t="shared" si="94"/>
        <v>1902379.6437903375</v>
      </c>
      <c r="BK155" s="121">
        <f t="shared" si="95"/>
        <v>1902379.6437903375</v>
      </c>
      <c r="BL155" s="121">
        <f t="shared" si="96"/>
        <v>1902379.6437903375</v>
      </c>
      <c r="BM155" s="121">
        <f t="shared" si="97"/>
        <v>0</v>
      </c>
      <c r="BN155" s="121">
        <f t="shared" si="98"/>
        <v>0</v>
      </c>
      <c r="BO155" s="121">
        <f t="shared" si="99"/>
        <v>0</v>
      </c>
      <c r="BP155" s="121">
        <f t="shared" si="100"/>
        <v>0</v>
      </c>
      <c r="BQ155" s="199">
        <f>INDEX('GDP deflators'!$C$6:$M$36,MATCH('Bottom-up tagging'!$D155,'GDP deflators'!$B$6:$B$36,),MATCH('Bottom-up tagging'!$E155,'GDP deflators'!$C$5:$L$5,))/100</f>
        <v>1.5094883975306472</v>
      </c>
      <c r="BR155" s="24">
        <v>2871620</v>
      </c>
    </row>
    <row r="156" spans="2:70" ht="26.15" hidden="1" customHeight="1">
      <c r="B156" s="110" t="s">
        <v>223</v>
      </c>
      <c r="C156" s="110" t="s">
        <v>226</v>
      </c>
      <c r="D156" s="110" t="s">
        <v>2057</v>
      </c>
      <c r="E156" s="103">
        <v>2020</v>
      </c>
      <c r="F156" s="108" t="s">
        <v>5184</v>
      </c>
      <c r="G156" s="111" t="s">
        <v>34</v>
      </c>
      <c r="H156" s="110" t="s">
        <v>10451</v>
      </c>
      <c r="I156" s="212">
        <v>0</v>
      </c>
      <c r="J156" s="118" t="s">
        <v>10474</v>
      </c>
      <c r="K156" s="112"/>
      <c r="L156" s="135">
        <v>1</v>
      </c>
      <c r="M156" s="135">
        <v>1</v>
      </c>
      <c r="N156" s="112"/>
      <c r="O156" s="112"/>
      <c r="P156" s="112" t="str">
        <f>VLOOKUP(B156, 'Companies covered restructured'!$B$7:$K$470, 9, FALSE)</f>
        <v>Agri marketplaces</v>
      </c>
      <c r="Q156" s="112" t="str">
        <f>VLOOKUP(B156, 'Companies covered restructured'!$B$7:$K$470, 6, FALSE)</f>
        <v>#Crops(100)</v>
      </c>
      <c r="R156" s="112" t="str">
        <f t="shared" si="72"/>
        <v>N/A</v>
      </c>
      <c r="S156" s="112" t="s">
        <v>11003</v>
      </c>
      <c r="T156" s="112" t="s">
        <v>10466</v>
      </c>
      <c r="U156" s="103" t="s">
        <v>10970</v>
      </c>
      <c r="V156" s="112" t="str">
        <f>VLOOKUP(P156, 'Bottom-up Tagging Assumptions'!$B$12:$F$39, 5, FALSE)</f>
        <v>#Process Innovation(100)</v>
      </c>
      <c r="W156" s="112" t="str">
        <f>VLOOKUP(B156, 'Companies covered restructured'!$B$7:$K$470, 7, FALSE)</f>
        <v>#Farm/Household(100)</v>
      </c>
      <c r="X156" s="112" t="s">
        <v>10558</v>
      </c>
      <c r="Y156" s="112" t="str">
        <f>VLOOKUP(P156, '[2]Bottom-up Tagging Assumptions'!$B$12:$F$56, 2, FALSE)</f>
        <v>#Other Economic(P); Social(S)</v>
      </c>
      <c r="Z156" s="112" t="str">
        <f>VLOOKUP(P156, 'Bottom-up Tagging Assumptions'!$B$12:$F$56, 3, FALSE)</f>
        <v>#Improve price realization(P)</v>
      </c>
      <c r="AA156" s="112" t="str">
        <f>VLOOKUP(P156, 'Bottom-up Tagging Assumptions'!$B$12:$F$56, 4, FALSE)</f>
        <v>#Level 4(100)</v>
      </c>
      <c r="AB156" s="110"/>
      <c r="AC156" s="110"/>
      <c r="AD156" s="110"/>
      <c r="AE156" s="110" t="s">
        <v>10558</v>
      </c>
      <c r="AF156" s="112">
        <v>40000000</v>
      </c>
      <c r="AG156" s="110" t="s">
        <v>549</v>
      </c>
      <c r="AH156" s="121">
        <f t="shared" si="73"/>
        <v>0</v>
      </c>
      <c r="AI156" s="121">
        <f t="shared" si="74"/>
        <v>0</v>
      </c>
      <c r="AJ156" s="121">
        <f t="shared" si="75"/>
        <v>1</v>
      </c>
      <c r="AK156" s="121">
        <f t="shared" si="76"/>
        <v>1</v>
      </c>
      <c r="AL156" s="121">
        <f t="shared" si="77"/>
        <v>0</v>
      </c>
      <c r="AM156" s="121">
        <f t="shared" si="78"/>
        <v>0</v>
      </c>
      <c r="AN156" s="121">
        <f t="shared" si="79"/>
        <v>1</v>
      </c>
      <c r="AO156" s="121">
        <f t="shared" si="80"/>
        <v>0</v>
      </c>
      <c r="AP156" s="22">
        <f t="shared" si="81"/>
        <v>0</v>
      </c>
      <c r="AQ156" s="22">
        <f t="shared" si="82"/>
        <v>0</v>
      </c>
      <c r="AR156" s="22">
        <f t="shared" si="83"/>
        <v>0</v>
      </c>
      <c r="AS156" s="121" t="str">
        <f t="shared" si="84"/>
        <v>Crops</v>
      </c>
      <c r="AT156" s="121" t="str">
        <f t="shared" si="101"/>
        <v xml:space="preserve"> </v>
      </c>
      <c r="AU156" s="121" t="str">
        <f t="shared" si="101"/>
        <v xml:space="preserve"> </v>
      </c>
      <c r="AV156" s="121" t="str">
        <f t="shared" si="101"/>
        <v xml:space="preserve"> </v>
      </c>
      <c r="AW156" s="130" t="str">
        <f t="shared" si="102"/>
        <v>100</v>
      </c>
      <c r="AX156" s="130" t="str">
        <f t="shared" si="102"/>
        <v xml:space="preserve"> </v>
      </c>
      <c r="AY156" s="130" t="str">
        <f t="shared" si="102"/>
        <v xml:space="preserve"> </v>
      </c>
      <c r="AZ156" s="130" t="str">
        <f t="shared" si="102"/>
        <v xml:space="preserve"> </v>
      </c>
      <c r="BA156" s="121">
        <f t="shared" si="85"/>
        <v>0</v>
      </c>
      <c r="BB156" s="121">
        <f t="shared" si="86"/>
        <v>0</v>
      </c>
      <c r="BC156" s="121">
        <f t="shared" si="87"/>
        <v>0</v>
      </c>
      <c r="BD156" s="121">
        <f t="shared" si="88"/>
        <v>0</v>
      </c>
      <c r="BE156" s="121">
        <f t="shared" si="89"/>
        <v>0</v>
      </c>
      <c r="BF156" s="121">
        <f t="shared" si="90"/>
        <v>0</v>
      </c>
      <c r="BG156" s="121">
        <f t="shared" si="91"/>
        <v>0</v>
      </c>
      <c r="BH156" s="121">
        <f t="shared" si="92"/>
        <v>0</v>
      </c>
      <c r="BI156" s="121">
        <f t="shared" si="93"/>
        <v>0</v>
      </c>
      <c r="BJ156" s="121">
        <f t="shared" si="94"/>
        <v>0</v>
      </c>
      <c r="BK156" s="121">
        <f t="shared" si="95"/>
        <v>0</v>
      </c>
      <c r="BL156" s="121">
        <f t="shared" si="96"/>
        <v>0</v>
      </c>
      <c r="BM156" s="121">
        <f t="shared" si="97"/>
        <v>0</v>
      </c>
      <c r="BN156" s="121">
        <f t="shared" si="98"/>
        <v>0</v>
      </c>
      <c r="BO156" s="121">
        <f t="shared" si="99"/>
        <v>0</v>
      </c>
      <c r="BP156" s="121">
        <f t="shared" si="100"/>
        <v>0</v>
      </c>
      <c r="BQ156" s="199" t="e">
        <f>INDEX('GDP deflators'!$C$6:$M$36,MATCH('Bottom-up tagging'!$D156,'GDP deflators'!$B$6:$B$36,),MATCH('Bottom-up tagging'!$E156,'GDP deflators'!$C$5:$L$5,))/100</f>
        <v>#N/A</v>
      </c>
      <c r="BR156" s="24">
        <v>2854850</v>
      </c>
    </row>
    <row r="157" spans="2:70" ht="26.15" hidden="1" customHeight="1">
      <c r="B157" s="110" t="s">
        <v>458</v>
      </c>
      <c r="C157" s="110" t="s">
        <v>463</v>
      </c>
      <c r="D157" s="110" t="s">
        <v>3994</v>
      </c>
      <c r="E157" s="103">
        <v>2019</v>
      </c>
      <c r="F157" s="108" t="s">
        <v>8465</v>
      </c>
      <c r="G157" s="111" t="s">
        <v>302</v>
      </c>
      <c r="H157" s="110" t="s">
        <v>10451</v>
      </c>
      <c r="I157" s="112">
        <f>IF(Dashboard!$B$16="Current USD",'Bottom-up tagging'!BR157,'Bottom-up tagging'!BR157/'Bottom-up tagging'!BQ157)</f>
        <v>1877861.4030005811</v>
      </c>
      <c r="J157" s="117" t="s">
        <v>10474</v>
      </c>
      <c r="K157" s="112"/>
      <c r="L157" s="135">
        <v>1</v>
      </c>
      <c r="M157" s="135">
        <v>1</v>
      </c>
      <c r="N157" s="112"/>
      <c r="O157" s="112"/>
      <c r="P157" s="112" t="str">
        <f>VLOOKUP(B157, 'Companies covered restructured'!$B$7:$K$470, 9, FALSE)</f>
        <v>Farmer engagement platforms (including marketplaces and information platforms)</v>
      </c>
      <c r="Q157" s="112" t="str">
        <f>VLOOKUP(B157, 'Companies covered restructured'!$B$7:$K$470, 6, FALSE)</f>
        <v>#Crops(100)</v>
      </c>
      <c r="R157" s="112" t="str">
        <f t="shared" si="72"/>
        <v>N/A</v>
      </c>
      <c r="S157" s="112" t="s">
        <v>11003</v>
      </c>
      <c r="T157" s="112" t="s">
        <v>10464</v>
      </c>
      <c r="U157" s="103" t="s">
        <v>10970</v>
      </c>
      <c r="V157" s="112" t="str">
        <f>VLOOKUP(P157, 'Bottom-up Tagging Assumptions'!$B$12:$F$39, 5, FALSE)</f>
        <v>#Process Innovation(100)</v>
      </c>
      <c r="W157" s="112" t="str">
        <f>VLOOKUP(B157, 'Companies covered restructured'!$B$7:$K$470, 7, FALSE)</f>
        <v>#Field/Animal Herd(100)</v>
      </c>
      <c r="X157" s="112" t="s">
        <v>10558</v>
      </c>
      <c r="Y157" s="212" t="str">
        <f>VLOOKUP(P157, 'Bottom-up Tagging Assumptions'!$B$12:$C$56, 2, FALSE)</f>
        <v>#Other Economic(P); #Productivity(S)</v>
      </c>
      <c r="Z157" s="112" t="str">
        <f>VLOOKUP(P157, 'Bottom-up Tagging Assumptions'!$B$12:$F$56, 3, FALSE)</f>
        <v>#Improve price realization(P); #Increasing crop or animal yield(S)</v>
      </c>
      <c r="AA157" s="112" t="str">
        <f>VLOOKUP(P157, 'Bottom-up Tagging Assumptions'!$B$12:$F$56, 4, FALSE)</f>
        <v>#Level 4(100)</v>
      </c>
      <c r="AB157" s="110" t="s">
        <v>723</v>
      </c>
      <c r="AC157" s="110"/>
      <c r="AD157" s="110"/>
      <c r="AE157" s="110" t="s">
        <v>10558</v>
      </c>
      <c r="AF157" s="112">
        <v>101208</v>
      </c>
      <c r="AG157" s="110" t="s">
        <v>1062</v>
      </c>
      <c r="AH157" s="121">
        <f t="shared" si="73"/>
        <v>0</v>
      </c>
      <c r="AI157" s="121">
        <f t="shared" si="74"/>
        <v>1</v>
      </c>
      <c r="AJ157" s="121">
        <f t="shared" si="75"/>
        <v>1</v>
      </c>
      <c r="AK157" s="121">
        <f t="shared" si="76"/>
        <v>0</v>
      </c>
      <c r="AL157" s="121">
        <f t="shared" si="77"/>
        <v>0</v>
      </c>
      <c r="AM157" s="121">
        <f t="shared" si="78"/>
        <v>0</v>
      </c>
      <c r="AN157" s="121">
        <f t="shared" si="79"/>
        <v>0</v>
      </c>
      <c r="AO157" s="121">
        <f t="shared" si="80"/>
        <v>0</v>
      </c>
      <c r="AP157" s="22">
        <f t="shared" si="81"/>
        <v>0</v>
      </c>
      <c r="AQ157" s="22">
        <f t="shared" si="82"/>
        <v>0</v>
      </c>
      <c r="AR157" s="22">
        <f t="shared" si="83"/>
        <v>0</v>
      </c>
      <c r="AS157" s="121" t="str">
        <f t="shared" si="84"/>
        <v>Crops</v>
      </c>
      <c r="AT157" s="121" t="str">
        <f t="shared" si="101"/>
        <v xml:space="preserve"> </v>
      </c>
      <c r="AU157" s="121" t="str">
        <f t="shared" si="101"/>
        <v xml:space="preserve"> </v>
      </c>
      <c r="AV157" s="121" t="str">
        <f t="shared" si="101"/>
        <v xml:space="preserve"> </v>
      </c>
      <c r="AW157" s="130" t="str">
        <f t="shared" si="102"/>
        <v>100</v>
      </c>
      <c r="AX157" s="130" t="str">
        <f t="shared" si="102"/>
        <v xml:space="preserve"> </v>
      </c>
      <c r="AY157" s="130" t="str">
        <f t="shared" si="102"/>
        <v xml:space="preserve"> </v>
      </c>
      <c r="AZ157" s="130" t="str">
        <f t="shared" si="102"/>
        <v xml:space="preserve"> </v>
      </c>
      <c r="BA157" s="121">
        <f t="shared" si="85"/>
        <v>1877861.4030005811</v>
      </c>
      <c r="BB157" s="121">
        <f t="shared" si="86"/>
        <v>0</v>
      </c>
      <c r="BC157" s="121">
        <f t="shared" si="87"/>
        <v>0</v>
      </c>
      <c r="BD157" s="121">
        <f t="shared" si="88"/>
        <v>0</v>
      </c>
      <c r="BE157" s="121">
        <f t="shared" si="89"/>
        <v>0</v>
      </c>
      <c r="BF157" s="121">
        <f t="shared" si="90"/>
        <v>0</v>
      </c>
      <c r="BG157" s="121">
        <f t="shared" si="91"/>
        <v>0</v>
      </c>
      <c r="BH157" s="121">
        <f t="shared" si="92"/>
        <v>0</v>
      </c>
      <c r="BI157" s="121">
        <f t="shared" si="93"/>
        <v>0</v>
      </c>
      <c r="BJ157" s="121">
        <f t="shared" si="94"/>
        <v>0</v>
      </c>
      <c r="BK157" s="121">
        <f t="shared" si="95"/>
        <v>0</v>
      </c>
      <c r="BL157" s="121">
        <f t="shared" si="96"/>
        <v>0</v>
      </c>
      <c r="BM157" s="121">
        <f t="shared" si="97"/>
        <v>0</v>
      </c>
      <c r="BN157" s="121">
        <f t="shared" si="98"/>
        <v>0</v>
      </c>
      <c r="BO157" s="121">
        <f t="shared" si="99"/>
        <v>0</v>
      </c>
      <c r="BP157" s="121">
        <f t="shared" si="100"/>
        <v>0</v>
      </c>
      <c r="BQ157" s="199">
        <f>INDEX('GDP deflators'!$C$6:$M$36,MATCH('Bottom-up tagging'!$D157,'GDP deflators'!$B$6:$B$36,),MATCH('Bottom-up tagging'!$E157,'GDP deflators'!$C$5:$L$5,))/100</f>
        <v>1.5094883975306472</v>
      </c>
      <c r="BR157" s="24">
        <v>2834610</v>
      </c>
    </row>
    <row r="158" spans="2:70" ht="26.15" hidden="1" customHeight="1">
      <c r="B158" s="110" t="s">
        <v>1417</v>
      </c>
      <c r="C158" s="110" t="s">
        <v>1422</v>
      </c>
      <c r="D158" s="110" t="s">
        <v>2057</v>
      </c>
      <c r="E158" s="103">
        <v>2018</v>
      </c>
      <c r="F158" s="108" t="s">
        <v>8278</v>
      </c>
      <c r="G158" s="111" t="s">
        <v>109</v>
      </c>
      <c r="H158" s="110" t="s">
        <v>10451</v>
      </c>
      <c r="I158" s="112">
        <f>IF(Dashboard!$B$16="Current USD",'Bottom-up tagging'!BR158,'Bottom-up tagging'!BR158/'Bottom-up tagging'!BQ158)</f>
        <v>2242157.4878920647</v>
      </c>
      <c r="J158" s="105" t="s">
        <v>10474</v>
      </c>
      <c r="K158" s="112"/>
      <c r="L158" s="135">
        <v>1</v>
      </c>
      <c r="M158" s="135">
        <v>1</v>
      </c>
      <c r="N158" s="112"/>
      <c r="O158" s="112"/>
      <c r="P158" s="112" t="str">
        <f>VLOOKUP(B158, 'Companies covered restructured'!$B$7:$K$470, 9, FALSE)</f>
        <v>AI/analytics based advisory algorithms (incl. weather)</v>
      </c>
      <c r="Q158" s="112" t="str">
        <f>VLOOKUP(B158, 'Companies covered restructured'!$B$7:$K$470, 6, FALSE)</f>
        <v>#Crops(100)</v>
      </c>
      <c r="R158" s="112" t="str">
        <f t="shared" si="72"/>
        <v>#Investment Fund(100)</v>
      </c>
      <c r="S158" s="112" t="s">
        <v>11003</v>
      </c>
      <c r="T158" s="112" t="s">
        <v>10466</v>
      </c>
      <c r="U158" s="103" t="s">
        <v>10970</v>
      </c>
      <c r="V158" s="112" t="str">
        <f>VLOOKUP(P158, 'Bottom-up Tagging Assumptions'!$B$12:$F$39, 5, FALSE)</f>
        <v>#Science &amp; tech(100)</v>
      </c>
      <c r="W158" s="112" t="str">
        <f>VLOOKUP(B158, 'Companies covered restructured'!$B$7:$K$470, 7, FALSE)</f>
        <v>N/A</v>
      </c>
      <c r="X158" s="112" t="str">
        <f>VLOOKUP(B158, 'Companies covered restructured'!$B$7:$K$470, 8, FALSE)</f>
        <v>#Large(100)</v>
      </c>
      <c r="Y158" s="212" t="str">
        <f>VLOOKUP(P158, 'Bottom-up Tagging Assumptions'!$B$12:$C$56, 2, FALSE)</f>
        <v>#Other Economic(P); #Productivity(S)</v>
      </c>
      <c r="Z158" s="112" t="str">
        <f>VLOOKUP(P158, 'Bottom-up Tagging Assumptions'!$B$12:$F$56, 3, FALSE)</f>
        <v>#Increasing output per unit input(P); #Increasing crop or animal yield(S)</v>
      </c>
      <c r="AA158" s="112" t="str">
        <f>VLOOKUP(P158, 'Bottom-up Tagging Assumptions'!$B$12:$F$56, 4, FALSE)</f>
        <v>#Level 1(100)</v>
      </c>
      <c r="AB158" s="110" t="s">
        <v>1419</v>
      </c>
      <c r="AC158" s="110" t="s">
        <v>1420</v>
      </c>
      <c r="AD158" s="110" t="s">
        <v>1421</v>
      </c>
      <c r="AE158" s="110" t="s">
        <v>3114</v>
      </c>
      <c r="AF158" s="112">
        <v>774776</v>
      </c>
      <c r="AG158" s="110" t="s">
        <v>1496</v>
      </c>
      <c r="AH158" s="121">
        <f t="shared" si="73"/>
        <v>0</v>
      </c>
      <c r="AI158" s="121">
        <f t="shared" si="74"/>
        <v>1</v>
      </c>
      <c r="AJ158" s="121">
        <f t="shared" si="75"/>
        <v>1</v>
      </c>
      <c r="AK158" s="121">
        <f t="shared" si="76"/>
        <v>0</v>
      </c>
      <c r="AL158" s="121">
        <f t="shared" si="77"/>
        <v>0</v>
      </c>
      <c r="AM158" s="121">
        <f t="shared" si="78"/>
        <v>0</v>
      </c>
      <c r="AN158" s="121">
        <f t="shared" si="79"/>
        <v>0</v>
      </c>
      <c r="AO158" s="121">
        <f t="shared" si="80"/>
        <v>0</v>
      </c>
      <c r="AP158" s="22">
        <f t="shared" si="81"/>
        <v>0</v>
      </c>
      <c r="AQ158" s="22">
        <f t="shared" si="82"/>
        <v>0</v>
      </c>
      <c r="AR158" s="22">
        <f t="shared" si="83"/>
        <v>0</v>
      </c>
      <c r="AS158" s="121" t="str">
        <f t="shared" si="84"/>
        <v>Crops</v>
      </c>
      <c r="AT158" s="121" t="str">
        <f t="shared" si="101"/>
        <v xml:space="preserve"> </v>
      </c>
      <c r="AU158" s="121" t="str">
        <f t="shared" si="101"/>
        <v xml:space="preserve"> </v>
      </c>
      <c r="AV158" s="121" t="str">
        <f t="shared" si="101"/>
        <v xml:space="preserve"> </v>
      </c>
      <c r="AW158" s="130" t="str">
        <f t="shared" si="102"/>
        <v>100</v>
      </c>
      <c r="AX158" s="130" t="str">
        <f t="shared" si="102"/>
        <v xml:space="preserve"> </v>
      </c>
      <c r="AY158" s="130" t="str">
        <f t="shared" si="102"/>
        <v xml:space="preserve"> </v>
      </c>
      <c r="AZ158" s="130" t="str">
        <f t="shared" si="102"/>
        <v xml:space="preserve"> </v>
      </c>
      <c r="BA158" s="121">
        <f t="shared" si="85"/>
        <v>2242157.4878920647</v>
      </c>
      <c r="BB158" s="121">
        <f t="shared" si="86"/>
        <v>0</v>
      </c>
      <c r="BC158" s="121">
        <f t="shared" si="87"/>
        <v>0</v>
      </c>
      <c r="BD158" s="121">
        <f t="shared" si="88"/>
        <v>0</v>
      </c>
      <c r="BE158" s="121">
        <f t="shared" si="89"/>
        <v>0</v>
      </c>
      <c r="BF158" s="121">
        <f t="shared" si="90"/>
        <v>0</v>
      </c>
      <c r="BG158" s="121">
        <f t="shared" si="91"/>
        <v>0</v>
      </c>
      <c r="BH158" s="121">
        <f t="shared" si="92"/>
        <v>0</v>
      </c>
      <c r="BI158" s="121">
        <f t="shared" si="93"/>
        <v>0</v>
      </c>
      <c r="BJ158" s="121">
        <f t="shared" si="94"/>
        <v>0</v>
      </c>
      <c r="BK158" s="121">
        <f t="shared" si="95"/>
        <v>0</v>
      </c>
      <c r="BL158" s="121">
        <f t="shared" si="96"/>
        <v>0</v>
      </c>
      <c r="BM158" s="121">
        <f t="shared" si="97"/>
        <v>0</v>
      </c>
      <c r="BN158" s="121">
        <f t="shared" si="98"/>
        <v>0</v>
      </c>
      <c r="BO158" s="121">
        <f t="shared" si="99"/>
        <v>0</v>
      </c>
      <c r="BP158" s="121">
        <f t="shared" si="100"/>
        <v>0</v>
      </c>
      <c r="BQ158" s="199">
        <f>INDEX('GDP deflators'!$C$6:$M$36,MATCH('Bottom-up tagging'!$D158,'GDP deflators'!$B$6:$B$36,),MATCH('Bottom-up tagging'!$E158,'GDP deflators'!$C$5:$L$5,))/100</f>
        <v>1.2487972031939574</v>
      </c>
      <c r="BR158" s="24">
        <v>2800000</v>
      </c>
    </row>
    <row r="159" spans="2:70" ht="26.15" hidden="1" customHeight="1">
      <c r="B159" s="110" t="s">
        <v>185</v>
      </c>
      <c r="C159" s="110" t="s">
        <v>189</v>
      </c>
      <c r="D159" s="110" t="s">
        <v>3994</v>
      </c>
      <c r="E159" s="103">
        <v>2017</v>
      </c>
      <c r="F159" s="108" t="s">
        <v>6465</v>
      </c>
      <c r="G159" s="111" t="s">
        <v>34</v>
      </c>
      <c r="H159" s="110" t="s">
        <v>10451</v>
      </c>
      <c r="I159" s="112">
        <f>IF(Dashboard!$B$16="Current USD",'Bottom-up tagging'!BR159,'Bottom-up tagging'!BR159/'Bottom-up tagging'!BQ159)</f>
        <v>1913387.600091513</v>
      </c>
      <c r="J159" s="105" t="s">
        <v>10474</v>
      </c>
      <c r="K159" s="112"/>
      <c r="L159" s="135">
        <v>1</v>
      </c>
      <c r="M159" s="135">
        <v>1</v>
      </c>
      <c r="N159" s="112"/>
      <c r="O159" s="112"/>
      <c r="P159" s="112" t="str">
        <f>VLOOKUP(B159, 'Companies covered restructured'!$B$7:$K$470, 9, FALSE)</f>
        <v>Agri marketplaces</v>
      </c>
      <c r="Q159" s="112" t="str">
        <f>VLOOKUP(B159, 'Companies covered restructured'!$B$7:$K$470, 6, FALSE)</f>
        <v>#Crops(100)</v>
      </c>
      <c r="R159" s="112" t="str">
        <f t="shared" si="72"/>
        <v>#Investment Fund(100)</v>
      </c>
      <c r="S159" s="112" t="s">
        <v>11003</v>
      </c>
      <c r="T159" s="112" t="s">
        <v>10466</v>
      </c>
      <c r="U159" s="103" t="s">
        <v>10970</v>
      </c>
      <c r="V159" s="112" t="str">
        <f>VLOOKUP(P159, 'Bottom-up Tagging Assumptions'!$B$12:$F$39, 5, FALSE)</f>
        <v>#Process Innovation(100)</v>
      </c>
      <c r="W159" s="112" t="str">
        <f>VLOOKUP(B159, 'Companies covered restructured'!$B$7:$K$470, 7, FALSE)</f>
        <v>#Field/Animal Herd(100)</v>
      </c>
      <c r="X159" s="112" t="s">
        <v>10558</v>
      </c>
      <c r="Y159" s="212" t="str">
        <f>VLOOKUP(P159, 'Bottom-up Tagging Assumptions'!$B$12:$C$56, 2, FALSE)</f>
        <v>#Other Economic(P); Social(S)</v>
      </c>
      <c r="Z159" s="112" t="str">
        <f>VLOOKUP(P159, 'Bottom-up Tagging Assumptions'!$B$12:$F$56, 3, FALSE)</f>
        <v>#Improve price realization(P)</v>
      </c>
      <c r="AA159" s="112" t="str">
        <f>VLOOKUP(P159, 'Bottom-up Tagging Assumptions'!$B$12:$F$56, 4, FALSE)</f>
        <v>#Level 4(100)</v>
      </c>
      <c r="AB159" s="110" t="s">
        <v>2155</v>
      </c>
      <c r="AC159" s="110"/>
      <c r="AD159" s="110" t="s">
        <v>746</v>
      </c>
      <c r="AE159" s="110" t="str">
        <f>VLOOKUP(AD159,  '1.2'!$B$7:$C$2033, 2, FALSE)</f>
        <v>FUND</v>
      </c>
      <c r="AF159" s="112">
        <v>350000</v>
      </c>
      <c r="AG159" s="110" t="s">
        <v>1820</v>
      </c>
      <c r="AH159" s="121">
        <f t="shared" si="73"/>
        <v>0</v>
      </c>
      <c r="AI159" s="121">
        <f t="shared" si="74"/>
        <v>0</v>
      </c>
      <c r="AJ159" s="121">
        <f t="shared" si="75"/>
        <v>1</v>
      </c>
      <c r="AK159" s="121">
        <f t="shared" si="76"/>
        <v>1</v>
      </c>
      <c r="AL159" s="121">
        <f t="shared" si="77"/>
        <v>0</v>
      </c>
      <c r="AM159" s="121">
        <f t="shared" si="78"/>
        <v>0</v>
      </c>
      <c r="AN159" s="121">
        <f t="shared" si="79"/>
        <v>1</v>
      </c>
      <c r="AO159" s="121">
        <f t="shared" si="80"/>
        <v>0</v>
      </c>
      <c r="AP159" s="22">
        <f t="shared" si="81"/>
        <v>0</v>
      </c>
      <c r="AQ159" s="22">
        <f t="shared" si="82"/>
        <v>1913387.600091513</v>
      </c>
      <c r="AR159" s="22">
        <f t="shared" si="83"/>
        <v>0</v>
      </c>
      <c r="AS159" s="121" t="str">
        <f t="shared" si="84"/>
        <v>Crops</v>
      </c>
      <c r="AT159" s="121" t="str">
        <f t="shared" si="101"/>
        <v xml:space="preserve"> </v>
      </c>
      <c r="AU159" s="121" t="str">
        <f t="shared" si="101"/>
        <v xml:space="preserve"> </v>
      </c>
      <c r="AV159" s="121" t="str">
        <f t="shared" si="101"/>
        <v xml:space="preserve"> </v>
      </c>
      <c r="AW159" s="130" t="str">
        <f t="shared" si="102"/>
        <v>100</v>
      </c>
      <c r="AX159" s="130" t="str">
        <f t="shared" si="102"/>
        <v xml:space="preserve"> </v>
      </c>
      <c r="AY159" s="130" t="str">
        <f t="shared" si="102"/>
        <v xml:space="preserve"> </v>
      </c>
      <c r="AZ159" s="130" t="str">
        <f t="shared" si="102"/>
        <v xml:space="preserve"> </v>
      </c>
      <c r="BA159" s="121">
        <f t="shared" si="85"/>
        <v>1913387.600091513</v>
      </c>
      <c r="BB159" s="121">
        <f t="shared" si="86"/>
        <v>0</v>
      </c>
      <c r="BC159" s="121">
        <f t="shared" si="87"/>
        <v>0</v>
      </c>
      <c r="BD159" s="121">
        <f t="shared" si="88"/>
        <v>0</v>
      </c>
      <c r="BE159" s="121">
        <f t="shared" si="89"/>
        <v>0</v>
      </c>
      <c r="BF159" s="121">
        <f t="shared" si="90"/>
        <v>0</v>
      </c>
      <c r="BG159" s="121">
        <f t="shared" si="91"/>
        <v>0</v>
      </c>
      <c r="BH159" s="121">
        <f t="shared" si="92"/>
        <v>0</v>
      </c>
      <c r="BI159" s="121">
        <f t="shared" si="93"/>
        <v>1913387.600091513</v>
      </c>
      <c r="BJ159" s="121">
        <f t="shared" si="94"/>
        <v>1913387.600091513</v>
      </c>
      <c r="BK159" s="121">
        <f t="shared" si="95"/>
        <v>1913387.600091513</v>
      </c>
      <c r="BL159" s="121">
        <f t="shared" si="96"/>
        <v>1913387.600091513</v>
      </c>
      <c r="BM159" s="121">
        <f t="shared" si="97"/>
        <v>0</v>
      </c>
      <c r="BN159" s="121">
        <f t="shared" si="98"/>
        <v>0</v>
      </c>
      <c r="BO159" s="121">
        <f t="shared" si="99"/>
        <v>0</v>
      </c>
      <c r="BP159" s="121">
        <f t="shared" si="100"/>
        <v>0</v>
      </c>
      <c r="BQ159" s="199">
        <f>INDEX('GDP deflators'!$C$6:$M$36,MATCH('Bottom-up tagging'!$D159,'GDP deflators'!$B$6:$B$36,),MATCH('Bottom-up tagging'!$E159,'GDP deflators'!$C$5:$L$5,))/100</f>
        <v>1.4111098032990623</v>
      </c>
      <c r="BR159" s="24">
        <v>2700000</v>
      </c>
    </row>
    <row r="160" spans="2:70" ht="26.15" hidden="1" customHeight="1">
      <c r="B160" s="110" t="s">
        <v>1595</v>
      </c>
      <c r="C160" s="110" t="s">
        <v>1599</v>
      </c>
      <c r="D160" s="110" t="s">
        <v>5208</v>
      </c>
      <c r="E160" s="103">
        <v>2018</v>
      </c>
      <c r="F160" s="108" t="s">
        <v>6354</v>
      </c>
      <c r="G160" s="111" t="s">
        <v>109</v>
      </c>
      <c r="H160" s="110" t="s">
        <v>10451</v>
      </c>
      <c r="I160" s="112">
        <f>IF(Dashboard!$B$16="Current USD",'Bottom-up tagging'!BR160,'Bottom-up tagging'!BR160/'Bottom-up tagging'!BQ160)</f>
        <v>1572567.5390343003</v>
      </c>
      <c r="J160" s="105" t="s">
        <v>10474</v>
      </c>
      <c r="K160" s="112"/>
      <c r="L160" s="135">
        <v>1</v>
      </c>
      <c r="M160" s="135">
        <v>1</v>
      </c>
      <c r="N160" s="112"/>
      <c r="O160" s="112"/>
      <c r="P160" s="112" t="str">
        <f>VLOOKUP(B160, 'Companies covered restructured'!$B$7:$K$470, 9, FALSE)</f>
        <v>Precision livestock farming</v>
      </c>
      <c r="Q160" s="112" t="str">
        <f>VLOOKUP(B160, 'Companies covered restructured'!$B$7:$K$470, 6, FALSE)</f>
        <v>#Livestock(100)</v>
      </c>
      <c r="R160" s="112" t="str">
        <f t="shared" si="72"/>
        <v>N/A</v>
      </c>
      <c r="S160" s="112" t="s">
        <v>11003</v>
      </c>
      <c r="T160" s="112" t="s">
        <v>10466</v>
      </c>
      <c r="U160" s="103" t="s">
        <v>10970</v>
      </c>
      <c r="V160" s="112" t="str">
        <f>VLOOKUP(P160, 'Bottom-up Tagging Assumptions'!$B$12:$F$39, 5, FALSE)</f>
        <v>#Science &amp; tech(100)</v>
      </c>
      <c r="W160" s="112" t="str">
        <f>VLOOKUP(B160, 'Companies covered restructured'!$B$7:$K$470, 7, FALSE)</f>
        <v>#Field/Animal Herd(100)</v>
      </c>
      <c r="X160" s="112" t="s">
        <v>10558</v>
      </c>
      <c r="Y160" s="212" t="str">
        <f>VLOOKUP(P160, 'Bottom-up Tagging Assumptions'!$B$12:$C$56, 2, FALSE)</f>
        <v>#Other Economic(P); #Productivity(S)</v>
      </c>
      <c r="Z160" s="112" t="str">
        <f>VLOOKUP(P160, 'Bottom-up Tagging Assumptions'!$B$12:$F$56, 3, FALSE)</f>
        <v>#Increasing output per unit input(P); #Increasing crop or animal yield(S)</v>
      </c>
      <c r="AA160" s="112" t="str">
        <f>VLOOKUP(P160, 'Bottom-up Tagging Assumptions'!$B$12:$F$56, 4, FALSE)</f>
        <v>#Level 1(100)</v>
      </c>
      <c r="AB160" s="110" t="s">
        <v>1597</v>
      </c>
      <c r="AC160" s="110"/>
      <c r="AD160" s="110"/>
      <c r="AE160" s="110" t="s">
        <v>10558</v>
      </c>
      <c r="AF160" s="112">
        <v>2653460</v>
      </c>
      <c r="AG160" s="110" t="s">
        <v>1447</v>
      </c>
      <c r="AH160" s="121">
        <f t="shared" si="73"/>
        <v>0</v>
      </c>
      <c r="AI160" s="121">
        <f t="shared" si="74"/>
        <v>1</v>
      </c>
      <c r="AJ160" s="121">
        <f t="shared" si="75"/>
        <v>1</v>
      </c>
      <c r="AK160" s="121">
        <f t="shared" si="76"/>
        <v>0</v>
      </c>
      <c r="AL160" s="121">
        <f t="shared" si="77"/>
        <v>0</v>
      </c>
      <c r="AM160" s="121">
        <f t="shared" si="78"/>
        <v>0</v>
      </c>
      <c r="AN160" s="121">
        <f t="shared" si="79"/>
        <v>0</v>
      </c>
      <c r="AO160" s="121">
        <f t="shared" si="80"/>
        <v>0</v>
      </c>
      <c r="AP160" s="22">
        <f t="shared" si="81"/>
        <v>0</v>
      </c>
      <c r="AQ160" s="22">
        <f t="shared" si="82"/>
        <v>0</v>
      </c>
      <c r="AR160" s="22">
        <f t="shared" si="83"/>
        <v>0</v>
      </c>
      <c r="AS160" s="121" t="str">
        <f t="shared" si="84"/>
        <v>Livestock</v>
      </c>
      <c r="AT160" s="121" t="str">
        <f t="shared" si="101"/>
        <v xml:space="preserve"> </v>
      </c>
      <c r="AU160" s="121" t="str">
        <f t="shared" si="101"/>
        <v xml:space="preserve"> </v>
      </c>
      <c r="AV160" s="121" t="str">
        <f t="shared" si="101"/>
        <v xml:space="preserve"> </v>
      </c>
      <c r="AW160" s="130" t="str">
        <f t="shared" si="102"/>
        <v>100</v>
      </c>
      <c r="AX160" s="130" t="str">
        <f t="shared" si="102"/>
        <v xml:space="preserve"> </v>
      </c>
      <c r="AY160" s="130" t="str">
        <f t="shared" si="102"/>
        <v xml:space="preserve"> </v>
      </c>
      <c r="AZ160" s="130" t="str">
        <f t="shared" si="102"/>
        <v xml:space="preserve"> </v>
      </c>
      <c r="BA160" s="121">
        <f t="shared" si="85"/>
        <v>1572567.5390343003</v>
      </c>
      <c r="BB160" s="121">
        <f t="shared" si="86"/>
        <v>0</v>
      </c>
      <c r="BC160" s="121">
        <f t="shared" si="87"/>
        <v>0</v>
      </c>
      <c r="BD160" s="121">
        <f t="shared" si="88"/>
        <v>0</v>
      </c>
      <c r="BE160" s="121">
        <f t="shared" si="89"/>
        <v>0</v>
      </c>
      <c r="BF160" s="121">
        <f t="shared" si="90"/>
        <v>0</v>
      </c>
      <c r="BG160" s="121">
        <f t="shared" si="91"/>
        <v>0</v>
      </c>
      <c r="BH160" s="121">
        <f t="shared" si="92"/>
        <v>0</v>
      </c>
      <c r="BI160" s="121">
        <f t="shared" si="93"/>
        <v>0</v>
      </c>
      <c r="BJ160" s="121">
        <f t="shared" si="94"/>
        <v>0</v>
      </c>
      <c r="BK160" s="121">
        <f t="shared" si="95"/>
        <v>0</v>
      </c>
      <c r="BL160" s="121">
        <f t="shared" si="96"/>
        <v>0</v>
      </c>
      <c r="BM160" s="121">
        <f t="shared" si="97"/>
        <v>0</v>
      </c>
      <c r="BN160" s="121">
        <f t="shared" si="98"/>
        <v>0</v>
      </c>
      <c r="BO160" s="121">
        <f t="shared" si="99"/>
        <v>0</v>
      </c>
      <c r="BP160" s="121">
        <f t="shared" si="100"/>
        <v>0</v>
      </c>
      <c r="BQ160" s="199">
        <f>INDEX('GDP deflators'!$C$6:$M$36,MATCH('Bottom-up tagging'!$D160,'GDP deflators'!$B$6:$B$36,),MATCH('Bottom-up tagging'!$E160,'GDP deflators'!$C$5:$L$5,))/100</f>
        <v>1.6873424728259787</v>
      </c>
      <c r="BR160" s="24">
        <v>2653460</v>
      </c>
    </row>
    <row r="161" spans="2:70" ht="26.15" hidden="1" customHeight="1">
      <c r="B161" s="110" t="s">
        <v>419</v>
      </c>
      <c r="C161" s="110" t="s">
        <v>423</v>
      </c>
      <c r="D161" s="110" t="s">
        <v>3994</v>
      </c>
      <c r="E161" s="103">
        <v>2019</v>
      </c>
      <c r="F161" s="108" t="s">
        <v>5229</v>
      </c>
      <c r="G161" s="111" t="s">
        <v>34</v>
      </c>
      <c r="H161" s="110" t="s">
        <v>10451</v>
      </c>
      <c r="I161" s="112">
        <f>IF(Dashboard!$B$16="Current USD",'Bottom-up tagging'!BR161,'Bottom-up tagging'!BR161/'Bottom-up tagging'!BQ161)</f>
        <v>1716992.3294805444</v>
      </c>
      <c r="J161" s="117" t="s">
        <v>10474</v>
      </c>
      <c r="K161" s="112"/>
      <c r="L161" s="135">
        <v>1</v>
      </c>
      <c r="M161" s="135">
        <v>1</v>
      </c>
      <c r="N161" s="112"/>
      <c r="O161" s="112"/>
      <c r="P161" s="112" t="str">
        <f>VLOOKUP(B161, 'Companies covered restructured'!$B$7:$K$470, 9, FALSE)</f>
        <v>Agri marketplaces</v>
      </c>
      <c r="Q161" s="112" t="str">
        <f>VLOOKUP(B161, 'Companies covered restructured'!$B$7:$K$470, 6, FALSE)</f>
        <v>#Crops(100)</v>
      </c>
      <c r="R161" s="112" t="str">
        <f t="shared" si="72"/>
        <v>#Investment Fund(100)</v>
      </c>
      <c r="S161" s="112" t="s">
        <v>11003</v>
      </c>
      <c r="T161" s="112" t="s">
        <v>10466</v>
      </c>
      <c r="U161" s="103" t="s">
        <v>10970</v>
      </c>
      <c r="V161" s="112" t="str">
        <f>VLOOKUP(P161, 'Bottom-up Tagging Assumptions'!$B$12:$F$39, 5, FALSE)</f>
        <v>#Process Innovation(100)</v>
      </c>
      <c r="W161" s="112" t="str">
        <f>VLOOKUP(B161, 'Companies covered restructured'!$B$7:$K$470, 7, FALSE)</f>
        <v>#Farm/Household(100)</v>
      </c>
      <c r="X161" s="112" t="s">
        <v>10558</v>
      </c>
      <c r="Y161" s="212" t="str">
        <f>VLOOKUP(P161, 'Bottom-up Tagging Assumptions'!$B$12:$C$56, 2, FALSE)</f>
        <v>#Other Economic(P); Social(S)</v>
      </c>
      <c r="Z161" s="112" t="str">
        <f>VLOOKUP(P161, 'Bottom-up Tagging Assumptions'!$B$12:$F$56, 3, FALSE)</f>
        <v>#Improve price realization(P)</v>
      </c>
      <c r="AA161" s="112" t="str">
        <f>VLOOKUP(P161, 'Bottom-up Tagging Assumptions'!$B$12:$F$56, 4, FALSE)</f>
        <v>#Level 4(100)</v>
      </c>
      <c r="AB161" s="110" t="s">
        <v>767</v>
      </c>
      <c r="AC161" s="110" t="s">
        <v>768</v>
      </c>
      <c r="AD161" s="110" t="s">
        <v>766</v>
      </c>
      <c r="AE161" s="110" t="str">
        <f>VLOOKUP(AD161,  '1.2'!$B$7:$C$2033, 2, FALSE)</f>
        <v>FUND</v>
      </c>
      <c r="AF161" s="112">
        <v>234941</v>
      </c>
      <c r="AG161" s="110" t="s">
        <v>1559</v>
      </c>
      <c r="AH161" s="121">
        <f t="shared" si="73"/>
        <v>0</v>
      </c>
      <c r="AI161" s="121">
        <f t="shared" si="74"/>
        <v>0</v>
      </c>
      <c r="AJ161" s="121">
        <f t="shared" si="75"/>
        <v>1</v>
      </c>
      <c r="AK161" s="121">
        <f t="shared" si="76"/>
        <v>1</v>
      </c>
      <c r="AL161" s="121">
        <f t="shared" si="77"/>
        <v>0</v>
      </c>
      <c r="AM161" s="121">
        <f t="shared" si="78"/>
        <v>0</v>
      </c>
      <c r="AN161" s="121">
        <f t="shared" si="79"/>
        <v>1</v>
      </c>
      <c r="AO161" s="121">
        <f t="shared" si="80"/>
        <v>0</v>
      </c>
      <c r="AP161" s="22">
        <f t="shared" si="81"/>
        <v>0</v>
      </c>
      <c r="AQ161" s="22">
        <f t="shared" si="82"/>
        <v>1716992.3294805444</v>
      </c>
      <c r="AR161" s="22">
        <f t="shared" si="83"/>
        <v>0</v>
      </c>
      <c r="AS161" s="121" t="str">
        <f t="shared" si="84"/>
        <v>Crops</v>
      </c>
      <c r="AT161" s="121" t="str">
        <f t="shared" si="101"/>
        <v xml:space="preserve"> </v>
      </c>
      <c r="AU161" s="121" t="str">
        <f t="shared" si="101"/>
        <v xml:space="preserve"> </v>
      </c>
      <c r="AV161" s="121" t="str">
        <f t="shared" si="101"/>
        <v xml:space="preserve"> </v>
      </c>
      <c r="AW161" s="130" t="str">
        <f t="shared" si="102"/>
        <v>100</v>
      </c>
      <c r="AX161" s="130" t="str">
        <f t="shared" si="102"/>
        <v xml:space="preserve"> </v>
      </c>
      <c r="AY161" s="130" t="str">
        <f t="shared" si="102"/>
        <v xml:space="preserve"> </v>
      </c>
      <c r="AZ161" s="130" t="str">
        <f t="shared" si="102"/>
        <v xml:space="preserve"> </v>
      </c>
      <c r="BA161" s="121">
        <f t="shared" si="85"/>
        <v>1716992.3294805444</v>
      </c>
      <c r="BB161" s="121">
        <f t="shared" si="86"/>
        <v>0</v>
      </c>
      <c r="BC161" s="121">
        <f t="shared" si="87"/>
        <v>0</v>
      </c>
      <c r="BD161" s="121">
        <f t="shared" si="88"/>
        <v>0</v>
      </c>
      <c r="BE161" s="121">
        <f t="shared" si="89"/>
        <v>0</v>
      </c>
      <c r="BF161" s="121">
        <f t="shared" si="90"/>
        <v>0</v>
      </c>
      <c r="BG161" s="121">
        <f t="shared" si="91"/>
        <v>0</v>
      </c>
      <c r="BH161" s="121">
        <f t="shared" si="92"/>
        <v>0</v>
      </c>
      <c r="BI161" s="121">
        <f t="shared" si="93"/>
        <v>1716992.3294805444</v>
      </c>
      <c r="BJ161" s="121">
        <f t="shared" si="94"/>
        <v>1716992.3294805444</v>
      </c>
      <c r="BK161" s="121">
        <f t="shared" si="95"/>
        <v>1716992.3294805444</v>
      </c>
      <c r="BL161" s="121">
        <f t="shared" si="96"/>
        <v>1716992.3294805444</v>
      </c>
      <c r="BM161" s="121">
        <f t="shared" si="97"/>
        <v>0</v>
      </c>
      <c r="BN161" s="121">
        <f t="shared" si="98"/>
        <v>0</v>
      </c>
      <c r="BO161" s="121">
        <f t="shared" si="99"/>
        <v>0</v>
      </c>
      <c r="BP161" s="121">
        <f t="shared" si="100"/>
        <v>0</v>
      </c>
      <c r="BQ161" s="199">
        <f>INDEX('GDP deflators'!$C$6:$M$36,MATCH('Bottom-up tagging'!$D161,'GDP deflators'!$B$6:$B$36,),MATCH('Bottom-up tagging'!$E161,'GDP deflators'!$C$5:$L$5,))/100</f>
        <v>1.5094883975306472</v>
      </c>
      <c r="BR161" s="24">
        <v>2591780</v>
      </c>
    </row>
    <row r="162" spans="2:70" ht="26.15" hidden="1" customHeight="1">
      <c r="B162" s="110" t="s">
        <v>259</v>
      </c>
      <c r="C162" s="110" t="s">
        <v>264</v>
      </c>
      <c r="D162" s="110" t="s">
        <v>3994</v>
      </c>
      <c r="E162" s="103">
        <v>2017</v>
      </c>
      <c r="F162" s="108" t="s">
        <v>7396</v>
      </c>
      <c r="G162" s="111" t="s">
        <v>34</v>
      </c>
      <c r="H162" s="110" t="s">
        <v>10451</v>
      </c>
      <c r="I162" s="112">
        <f>IF(Dashboard!$B$16="Current USD",'Bottom-up tagging'!BR162,'Bottom-up tagging'!BR162/'Bottom-up tagging'!BQ162)</f>
        <v>1828504.0568548606</v>
      </c>
      <c r="J162" s="117" t="s">
        <v>10474</v>
      </c>
      <c r="K162" s="112"/>
      <c r="L162" s="135">
        <v>1</v>
      </c>
      <c r="M162" s="135">
        <v>1</v>
      </c>
      <c r="N162" s="112"/>
      <c r="O162" s="112"/>
      <c r="P162" s="112" t="str">
        <f>VLOOKUP(B162, 'Companies covered restructured'!$B$7:$K$470, 9, FALSE)</f>
        <v>Precision agriculture</v>
      </c>
      <c r="Q162" s="112" t="str">
        <f>VLOOKUP(B162, 'Companies covered restructured'!$B$7:$K$470, 6, FALSE)</f>
        <v>#Crops(100)</v>
      </c>
      <c r="R162" s="112" t="str">
        <f t="shared" si="72"/>
        <v>#Investment Fund(100)</v>
      </c>
      <c r="S162" s="112" t="s">
        <v>11003</v>
      </c>
      <c r="T162" s="112" t="s">
        <v>10466</v>
      </c>
      <c r="U162" s="103" t="s">
        <v>10970</v>
      </c>
      <c r="V162" s="112" t="str">
        <f>VLOOKUP(P162, 'Bottom-up Tagging Assumptions'!$B$12:$F$39, 5, FALSE)</f>
        <v>#Science &amp; tech(100)</v>
      </c>
      <c r="W162" s="112" t="str">
        <f>VLOOKUP(B162, 'Companies covered restructured'!$B$7:$K$470, 7, FALSE)</f>
        <v>#Field/Animal Herd(100)</v>
      </c>
      <c r="X162" s="112" t="s">
        <v>10558</v>
      </c>
      <c r="Y162" s="212" t="str">
        <f>VLOOKUP(P162, 'Bottom-up Tagging Assumptions'!$B$12:$C$56, 2, FALSE)</f>
        <v>#Other Economic(P); #Productivity(S)</v>
      </c>
      <c r="Z162" s="112" t="str">
        <f>VLOOKUP(P162, 'Bottom-up Tagging Assumptions'!$B$12:$F$56, 3, FALSE)</f>
        <v>#Increasing output per unit input(P); #Increasing crop or animal yield(S)</v>
      </c>
      <c r="AA162" s="112" t="str">
        <f>VLOOKUP(P162, 'Bottom-up Tagging Assumptions'!$B$12:$F$56, 4, FALSE)</f>
        <v>#Level 1(100)</v>
      </c>
      <c r="AB162" s="110" t="s">
        <v>2012</v>
      </c>
      <c r="AC162" s="110" t="s">
        <v>2013</v>
      </c>
      <c r="AD162" s="110" t="s">
        <v>2014</v>
      </c>
      <c r="AE162" s="110" t="str">
        <f>VLOOKUP(AD162,  '1.2'!$B$7:$C$2033, 2, FALSE)</f>
        <v>FUND</v>
      </c>
      <c r="AF162" s="112">
        <v>120000</v>
      </c>
      <c r="AG162" s="110" t="s">
        <v>1088</v>
      </c>
      <c r="AH162" s="121">
        <f t="shared" si="73"/>
        <v>0</v>
      </c>
      <c r="AI162" s="121">
        <f t="shared" si="74"/>
        <v>1</v>
      </c>
      <c r="AJ162" s="121">
        <f t="shared" si="75"/>
        <v>1</v>
      </c>
      <c r="AK162" s="121">
        <f t="shared" si="76"/>
        <v>0</v>
      </c>
      <c r="AL162" s="121">
        <f t="shared" si="77"/>
        <v>0</v>
      </c>
      <c r="AM162" s="121">
        <f t="shared" si="78"/>
        <v>0</v>
      </c>
      <c r="AN162" s="121">
        <f t="shared" si="79"/>
        <v>0</v>
      </c>
      <c r="AO162" s="121">
        <f t="shared" si="80"/>
        <v>0</v>
      </c>
      <c r="AP162" s="22">
        <f t="shared" si="81"/>
        <v>0</v>
      </c>
      <c r="AQ162" s="22">
        <f t="shared" si="82"/>
        <v>0</v>
      </c>
      <c r="AR162" s="22">
        <f t="shared" si="83"/>
        <v>0</v>
      </c>
      <c r="AS162" s="121" t="str">
        <f t="shared" si="84"/>
        <v>Crops</v>
      </c>
      <c r="AT162" s="121" t="str">
        <f t="shared" si="101"/>
        <v xml:space="preserve"> </v>
      </c>
      <c r="AU162" s="121" t="str">
        <f t="shared" si="101"/>
        <v xml:space="preserve"> </v>
      </c>
      <c r="AV162" s="121" t="str">
        <f t="shared" si="101"/>
        <v xml:space="preserve"> </v>
      </c>
      <c r="AW162" s="130" t="str">
        <f t="shared" si="102"/>
        <v>100</v>
      </c>
      <c r="AX162" s="130" t="str">
        <f t="shared" si="102"/>
        <v xml:space="preserve"> </v>
      </c>
      <c r="AY162" s="130" t="str">
        <f t="shared" si="102"/>
        <v xml:space="preserve"> </v>
      </c>
      <c r="AZ162" s="130" t="str">
        <f t="shared" si="102"/>
        <v xml:space="preserve"> </v>
      </c>
      <c r="BA162" s="121">
        <f t="shared" si="85"/>
        <v>1828504.0568548604</v>
      </c>
      <c r="BB162" s="121">
        <f t="shared" si="86"/>
        <v>0</v>
      </c>
      <c r="BC162" s="121">
        <f t="shared" si="87"/>
        <v>0</v>
      </c>
      <c r="BD162" s="121">
        <f t="shared" si="88"/>
        <v>0</v>
      </c>
      <c r="BE162" s="121">
        <f t="shared" si="89"/>
        <v>0</v>
      </c>
      <c r="BF162" s="121">
        <f t="shared" si="90"/>
        <v>0</v>
      </c>
      <c r="BG162" s="121">
        <f t="shared" si="91"/>
        <v>0</v>
      </c>
      <c r="BH162" s="121">
        <f t="shared" si="92"/>
        <v>0</v>
      </c>
      <c r="BI162" s="121">
        <f t="shared" si="93"/>
        <v>0</v>
      </c>
      <c r="BJ162" s="121">
        <f t="shared" si="94"/>
        <v>0</v>
      </c>
      <c r="BK162" s="121">
        <f t="shared" si="95"/>
        <v>0</v>
      </c>
      <c r="BL162" s="121">
        <f t="shared" si="96"/>
        <v>0</v>
      </c>
      <c r="BM162" s="121">
        <f t="shared" si="97"/>
        <v>0</v>
      </c>
      <c r="BN162" s="121">
        <f t="shared" si="98"/>
        <v>0</v>
      </c>
      <c r="BO162" s="121">
        <f t="shared" si="99"/>
        <v>0</v>
      </c>
      <c r="BP162" s="121">
        <f t="shared" si="100"/>
        <v>0</v>
      </c>
      <c r="BQ162" s="199">
        <f>INDEX('GDP deflators'!$C$6:$M$36,MATCH('Bottom-up tagging'!$D162,'GDP deflators'!$B$6:$B$36,),MATCH('Bottom-up tagging'!$E162,'GDP deflators'!$C$5:$L$5,))/100</f>
        <v>1.4111098032990623</v>
      </c>
      <c r="BR162" s="24">
        <v>2580220</v>
      </c>
    </row>
    <row r="163" spans="2:70" ht="26.15" hidden="1" customHeight="1">
      <c r="B163" s="110" t="s">
        <v>1763</v>
      </c>
      <c r="C163" s="110" t="s">
        <v>1767</v>
      </c>
      <c r="D163" s="110" t="s">
        <v>3994</v>
      </c>
      <c r="E163" s="103">
        <v>2013</v>
      </c>
      <c r="F163" s="108" t="s">
        <v>5596</v>
      </c>
      <c r="G163" s="111" t="s">
        <v>34</v>
      </c>
      <c r="H163" s="110" t="s">
        <v>10451</v>
      </c>
      <c r="I163" s="112">
        <f>IF(Dashboard!$B$16="Current USD",'Bottom-up tagging'!BR163,'Bottom-up tagging'!BR163/'Bottom-up tagging'!BQ163)</f>
        <v>2014211.6689008032</v>
      </c>
      <c r="J163" s="105" t="s">
        <v>10474</v>
      </c>
      <c r="K163" s="112"/>
      <c r="L163" s="135">
        <v>1</v>
      </c>
      <c r="M163" s="135">
        <v>1</v>
      </c>
      <c r="N163" s="112"/>
      <c r="O163" s="112"/>
      <c r="P163" s="112" t="str">
        <f>VLOOKUP(B163, 'Companies covered restructured'!$B$7:$K$470, 9, FALSE)</f>
        <v>Farmer engagement platforms (including marketplaces and information platforms)</v>
      </c>
      <c r="Q163" s="112" t="str">
        <f>VLOOKUP(B163, 'Companies covered restructured'!$B$7:$K$470, 6, FALSE)</f>
        <v>#Crops(100)</v>
      </c>
      <c r="R163" s="112" t="str">
        <f t="shared" si="72"/>
        <v>#Investment Fund(100)</v>
      </c>
      <c r="S163" s="112" t="s">
        <v>11003</v>
      </c>
      <c r="T163" s="112" t="s">
        <v>10466</v>
      </c>
      <c r="U163" s="103" t="s">
        <v>10970</v>
      </c>
      <c r="V163" s="112" t="str">
        <f>VLOOKUP(P163, 'Bottom-up Tagging Assumptions'!$B$12:$F$39, 5, FALSE)</f>
        <v>#Process Innovation(100)</v>
      </c>
      <c r="W163" s="112" t="str">
        <f>VLOOKUP(B163, 'Companies covered restructured'!$B$7:$K$470, 7, FALSE)</f>
        <v>#Field/Animal Herd(100)</v>
      </c>
      <c r="X163" s="112" t="s">
        <v>10558</v>
      </c>
      <c r="Y163" s="212" t="str">
        <f>VLOOKUP(P163, 'Bottom-up Tagging Assumptions'!$B$12:$C$56, 2, FALSE)</f>
        <v>#Other Economic(P); #Productivity(S)</v>
      </c>
      <c r="Z163" s="112" t="str">
        <f>VLOOKUP(P163, 'Bottom-up Tagging Assumptions'!$B$12:$F$56, 3, FALSE)</f>
        <v>#Improve price realization(P); #Increasing crop or animal yield(S)</v>
      </c>
      <c r="AA163" s="112" t="str">
        <f>VLOOKUP(P163, 'Bottom-up Tagging Assumptions'!$B$12:$F$56, 4, FALSE)</f>
        <v>#Level 4(100)</v>
      </c>
      <c r="AB163" s="110" t="s">
        <v>2222</v>
      </c>
      <c r="AC163" s="110"/>
      <c r="AD163" s="110" t="s">
        <v>2223</v>
      </c>
      <c r="AE163" s="110" t="s">
        <v>3114</v>
      </c>
      <c r="AF163" s="112">
        <v>567108</v>
      </c>
      <c r="AG163" s="110" t="s">
        <v>1195</v>
      </c>
      <c r="AH163" s="121">
        <f t="shared" si="73"/>
        <v>0</v>
      </c>
      <c r="AI163" s="121">
        <f t="shared" si="74"/>
        <v>1</v>
      </c>
      <c r="AJ163" s="121">
        <f t="shared" si="75"/>
        <v>1</v>
      </c>
      <c r="AK163" s="121">
        <f t="shared" si="76"/>
        <v>0</v>
      </c>
      <c r="AL163" s="121">
        <f t="shared" si="77"/>
        <v>0</v>
      </c>
      <c r="AM163" s="121">
        <f t="shared" si="78"/>
        <v>0</v>
      </c>
      <c r="AN163" s="121">
        <f t="shared" si="79"/>
        <v>0</v>
      </c>
      <c r="AO163" s="121">
        <f t="shared" si="80"/>
        <v>0</v>
      </c>
      <c r="AP163" s="22">
        <f t="shared" si="81"/>
        <v>0</v>
      </c>
      <c r="AQ163" s="22">
        <f t="shared" si="82"/>
        <v>0</v>
      </c>
      <c r="AR163" s="22">
        <f t="shared" si="83"/>
        <v>0</v>
      </c>
      <c r="AS163" s="121" t="str">
        <f t="shared" si="84"/>
        <v>Crops</v>
      </c>
      <c r="AT163" s="121" t="str">
        <f t="shared" si="101"/>
        <v xml:space="preserve"> </v>
      </c>
      <c r="AU163" s="121" t="str">
        <f t="shared" si="101"/>
        <v xml:space="preserve"> </v>
      </c>
      <c r="AV163" s="121" t="str">
        <f t="shared" si="101"/>
        <v xml:space="preserve"> </v>
      </c>
      <c r="AW163" s="130" t="str">
        <f t="shared" si="102"/>
        <v>100</v>
      </c>
      <c r="AX163" s="130" t="str">
        <f t="shared" si="102"/>
        <v xml:space="preserve"> </v>
      </c>
      <c r="AY163" s="130" t="str">
        <f t="shared" si="102"/>
        <v xml:space="preserve"> </v>
      </c>
      <c r="AZ163" s="130" t="str">
        <f t="shared" si="102"/>
        <v xml:space="preserve"> </v>
      </c>
      <c r="BA163" s="121">
        <f t="shared" si="85"/>
        <v>2014211.6689008034</v>
      </c>
      <c r="BB163" s="121">
        <f t="shared" si="86"/>
        <v>0</v>
      </c>
      <c r="BC163" s="121">
        <f t="shared" si="87"/>
        <v>0</v>
      </c>
      <c r="BD163" s="121">
        <f t="shared" si="88"/>
        <v>0</v>
      </c>
      <c r="BE163" s="121">
        <f t="shared" si="89"/>
        <v>0</v>
      </c>
      <c r="BF163" s="121">
        <f t="shared" si="90"/>
        <v>0</v>
      </c>
      <c r="BG163" s="121">
        <f t="shared" si="91"/>
        <v>0</v>
      </c>
      <c r="BH163" s="121">
        <f t="shared" si="92"/>
        <v>0</v>
      </c>
      <c r="BI163" s="121">
        <f t="shared" si="93"/>
        <v>0</v>
      </c>
      <c r="BJ163" s="121">
        <f t="shared" si="94"/>
        <v>0</v>
      </c>
      <c r="BK163" s="121">
        <f t="shared" si="95"/>
        <v>0</v>
      </c>
      <c r="BL163" s="121">
        <f t="shared" si="96"/>
        <v>0</v>
      </c>
      <c r="BM163" s="121">
        <f t="shared" si="97"/>
        <v>0</v>
      </c>
      <c r="BN163" s="121">
        <f t="shared" si="98"/>
        <v>0</v>
      </c>
      <c r="BO163" s="121">
        <f t="shared" si="99"/>
        <v>0</v>
      </c>
      <c r="BP163" s="121">
        <f t="shared" si="100"/>
        <v>0</v>
      </c>
      <c r="BQ163" s="199">
        <f>INDEX('GDP deflators'!$C$6:$M$36,MATCH('Bottom-up tagging'!$D163,'GDP deflators'!$B$6:$B$36,),MATCH('Bottom-up tagging'!$E163,'GDP deflators'!$C$5:$L$5,))/100</f>
        <v>1.2462146053248888</v>
      </c>
      <c r="BR163" s="24">
        <v>2510140</v>
      </c>
    </row>
    <row r="164" spans="2:70" ht="26.15" hidden="1" customHeight="1">
      <c r="B164" s="110" t="s">
        <v>236</v>
      </c>
      <c r="C164" s="110" t="s">
        <v>241</v>
      </c>
      <c r="D164" s="110" t="s">
        <v>3994</v>
      </c>
      <c r="E164" s="103">
        <v>2020</v>
      </c>
      <c r="F164" s="108" t="s">
        <v>5072</v>
      </c>
      <c r="G164" s="111" t="s">
        <v>34</v>
      </c>
      <c r="H164" s="110" t="s">
        <v>10451</v>
      </c>
      <c r="I164" s="212">
        <v>0</v>
      </c>
      <c r="J164" s="105" t="s">
        <v>10474</v>
      </c>
      <c r="K164" s="112"/>
      <c r="L164" s="135">
        <v>1</v>
      </c>
      <c r="M164" s="135">
        <v>1</v>
      </c>
      <c r="N164" s="112"/>
      <c r="O164" s="112"/>
      <c r="P164" s="112" t="str">
        <f>VLOOKUP(B164, 'Companies covered restructured'!$B$7:$K$470, 9, FALSE)</f>
        <v>AI/analytics based advisory algorithms (incl. weather)</v>
      </c>
      <c r="Q164" s="112" t="str">
        <f>VLOOKUP(B164, 'Companies covered restructured'!$B$7:$K$470, 6, FALSE)</f>
        <v>#Crops(100)</v>
      </c>
      <c r="R164" s="112" t="str">
        <f t="shared" si="72"/>
        <v>#Investment Fund(100)</v>
      </c>
      <c r="S164" s="112" t="s">
        <v>11003</v>
      </c>
      <c r="T164" s="112" t="s">
        <v>10466</v>
      </c>
      <c r="U164" s="103" t="s">
        <v>10970</v>
      </c>
      <c r="V164" s="112" t="str">
        <f>VLOOKUP(P164, 'Bottom-up Tagging Assumptions'!$B$12:$F$39, 5, FALSE)</f>
        <v>#Science &amp; tech(100)</v>
      </c>
      <c r="W164" s="112" t="str">
        <f>VLOOKUP(B164, 'Companies covered restructured'!$B$7:$K$470, 7, FALSE)</f>
        <v>#Field/Animal Herd(100)</v>
      </c>
      <c r="X164" s="112" t="s">
        <v>10558</v>
      </c>
      <c r="Y164" s="112" t="str">
        <f>VLOOKUP(P164, '[2]Bottom-up Tagging Assumptions'!$B$12:$F$56, 2, FALSE)</f>
        <v>#Other Economic(P); #Productivity(S)</v>
      </c>
      <c r="Z164" s="112" t="str">
        <f>VLOOKUP(P164, 'Bottom-up Tagging Assumptions'!$B$12:$F$56, 3, FALSE)</f>
        <v>#Increasing output per unit input(P); #Increasing crop or animal yield(S)</v>
      </c>
      <c r="AA164" s="112" t="str">
        <f>VLOOKUP(P164, 'Bottom-up Tagging Assumptions'!$B$12:$F$56, 4, FALSE)</f>
        <v>#Level 1(100)</v>
      </c>
      <c r="AB164" s="110" t="s">
        <v>238</v>
      </c>
      <c r="AC164" s="110" t="s">
        <v>239</v>
      </c>
      <c r="AD164" s="110" t="s">
        <v>240</v>
      </c>
      <c r="AE164" s="110" t="s">
        <v>3114</v>
      </c>
      <c r="AF164" s="112">
        <v>3160468</v>
      </c>
      <c r="AG164" s="110" t="s">
        <v>49</v>
      </c>
      <c r="AH164" s="121">
        <f t="shared" si="73"/>
        <v>0</v>
      </c>
      <c r="AI164" s="121">
        <f t="shared" si="74"/>
        <v>1</v>
      </c>
      <c r="AJ164" s="121">
        <f t="shared" si="75"/>
        <v>1</v>
      </c>
      <c r="AK164" s="121">
        <f t="shared" si="76"/>
        <v>0</v>
      </c>
      <c r="AL164" s="121">
        <f t="shared" si="77"/>
        <v>0</v>
      </c>
      <c r="AM164" s="121">
        <f t="shared" si="78"/>
        <v>0</v>
      </c>
      <c r="AN164" s="121">
        <f t="shared" si="79"/>
        <v>0</v>
      </c>
      <c r="AO164" s="121">
        <f t="shared" si="80"/>
        <v>0</v>
      </c>
      <c r="AP164" s="22">
        <f t="shared" si="81"/>
        <v>0</v>
      </c>
      <c r="AQ164" s="22">
        <f t="shared" si="82"/>
        <v>0</v>
      </c>
      <c r="AR164" s="22">
        <f t="shared" si="83"/>
        <v>0</v>
      </c>
      <c r="AS164" s="121" t="str">
        <f t="shared" si="84"/>
        <v>Crops</v>
      </c>
      <c r="AT164" s="121" t="str">
        <f t="shared" si="101"/>
        <v xml:space="preserve"> </v>
      </c>
      <c r="AU164" s="121" t="str">
        <f t="shared" si="101"/>
        <v xml:space="preserve"> </v>
      </c>
      <c r="AV164" s="121" t="str">
        <f t="shared" si="101"/>
        <v xml:space="preserve"> </v>
      </c>
      <c r="AW164" s="130" t="str">
        <f t="shared" si="102"/>
        <v>100</v>
      </c>
      <c r="AX164" s="130" t="str">
        <f t="shared" si="102"/>
        <v xml:space="preserve"> </v>
      </c>
      <c r="AY164" s="130" t="str">
        <f t="shared" si="102"/>
        <v xml:space="preserve"> </v>
      </c>
      <c r="AZ164" s="130" t="str">
        <f t="shared" si="102"/>
        <v xml:space="preserve"> </v>
      </c>
      <c r="BA164" s="121">
        <f t="shared" si="85"/>
        <v>0</v>
      </c>
      <c r="BB164" s="121">
        <f t="shared" si="86"/>
        <v>0</v>
      </c>
      <c r="BC164" s="121">
        <f t="shared" si="87"/>
        <v>0</v>
      </c>
      <c r="BD164" s="121">
        <f t="shared" si="88"/>
        <v>0</v>
      </c>
      <c r="BE164" s="121">
        <f t="shared" si="89"/>
        <v>0</v>
      </c>
      <c r="BF164" s="121">
        <f t="shared" si="90"/>
        <v>0</v>
      </c>
      <c r="BG164" s="121">
        <f t="shared" si="91"/>
        <v>0</v>
      </c>
      <c r="BH164" s="121">
        <f t="shared" si="92"/>
        <v>0</v>
      </c>
      <c r="BI164" s="121">
        <f t="shared" si="93"/>
        <v>0</v>
      </c>
      <c r="BJ164" s="121">
        <f t="shared" si="94"/>
        <v>0</v>
      </c>
      <c r="BK164" s="121">
        <f t="shared" si="95"/>
        <v>0</v>
      </c>
      <c r="BL164" s="121">
        <f t="shared" si="96"/>
        <v>0</v>
      </c>
      <c r="BM164" s="121">
        <f t="shared" si="97"/>
        <v>0</v>
      </c>
      <c r="BN164" s="121">
        <f t="shared" si="98"/>
        <v>0</v>
      </c>
      <c r="BO164" s="121">
        <f t="shared" si="99"/>
        <v>0</v>
      </c>
      <c r="BP164" s="121">
        <f t="shared" si="100"/>
        <v>0</v>
      </c>
      <c r="BQ164" s="199" t="e">
        <f>INDEX('GDP deflators'!$C$6:$M$36,MATCH('Bottom-up tagging'!$D164,'GDP deflators'!$B$6:$B$36,),MATCH('Bottom-up tagging'!$E164,'GDP deflators'!$C$5:$L$5,))/100</f>
        <v>#N/A</v>
      </c>
      <c r="BR164" s="24">
        <v>2500000</v>
      </c>
    </row>
    <row r="165" spans="2:70" ht="26.15" hidden="1" customHeight="1">
      <c r="B165" s="110" t="s">
        <v>743</v>
      </c>
      <c r="C165" s="110" t="s">
        <v>747</v>
      </c>
      <c r="D165" s="110" t="s">
        <v>3994</v>
      </c>
      <c r="E165" s="103">
        <v>2019</v>
      </c>
      <c r="F165" s="108" t="s">
        <v>8148</v>
      </c>
      <c r="G165" s="111" t="s">
        <v>25</v>
      </c>
      <c r="H165" s="110" t="s">
        <v>10451</v>
      </c>
      <c r="I165" s="112">
        <f>IF(Dashboard!$B$16="Current USD",'Bottom-up tagging'!BR165,'Bottom-up tagging'!BR165/'Bottom-up tagging'!BQ165)</f>
        <v>1580906.4871938173</v>
      </c>
      <c r="J165" s="105" t="s">
        <v>10474</v>
      </c>
      <c r="K165" s="112"/>
      <c r="L165" s="135">
        <v>1</v>
      </c>
      <c r="M165" s="135">
        <v>1</v>
      </c>
      <c r="N165" s="112"/>
      <c r="O165" s="112"/>
      <c r="P165" s="112" t="str">
        <f>VLOOKUP(B165, 'Companies covered restructured'!$B$7:$K$470, 9, FALSE)</f>
        <v>Farm mechanization</v>
      </c>
      <c r="Q165" s="112" t="str">
        <f>VLOOKUP(B165, 'Companies covered restructured'!$B$7:$K$470, 6, FALSE)</f>
        <v>#Crops(100)</v>
      </c>
      <c r="R165" s="112" t="str">
        <f t="shared" si="72"/>
        <v>#Investment Fund(100)</v>
      </c>
      <c r="S165" s="112" t="s">
        <v>11003</v>
      </c>
      <c r="T165" s="112" t="s">
        <v>10466</v>
      </c>
      <c r="U165" s="103" t="s">
        <v>10970</v>
      </c>
      <c r="V165" s="112" t="str">
        <f>VLOOKUP(P165, 'Bottom-up Tagging Assumptions'!$B$12:$F$39, 5, FALSE)</f>
        <v>#Product Development(100)</v>
      </c>
      <c r="W165" s="112" t="str">
        <f>VLOOKUP(B165, 'Companies covered restructured'!$B$7:$K$470, 7, FALSE)</f>
        <v>#Field/Animal Herd(100)</v>
      </c>
      <c r="X165" s="112" t="s">
        <v>10558</v>
      </c>
      <c r="Y165" s="212" t="str">
        <f>VLOOKUP(P165, 'Bottom-up Tagging Assumptions'!$B$12:$C$56, 2, FALSE)</f>
        <v>#Productivity(P); #Other economic(S)</v>
      </c>
      <c r="Z165" s="112" t="str">
        <f>VLOOKUP(P165, 'Bottom-up Tagging Assumptions'!$B$12:$F$56, 3, FALSE)</f>
        <v>#Reducing human effort(P)</v>
      </c>
      <c r="AA165" s="112" t="str">
        <f>VLOOKUP(P165, 'Bottom-up Tagging Assumptions'!$B$12:$F$56, 4, FALSE)</f>
        <v>#Level 1(100)</v>
      </c>
      <c r="AB165" s="110" t="s">
        <v>745</v>
      </c>
      <c r="AC165" s="110"/>
      <c r="AD165" s="110" t="s">
        <v>746</v>
      </c>
      <c r="AE165" s="110" t="str">
        <f>VLOOKUP(AD165,  '1.2'!$B$7:$C$2033, 2, FALSE)</f>
        <v>FUND</v>
      </c>
      <c r="AF165" s="112">
        <v>2257449</v>
      </c>
      <c r="AG165" s="110" t="s">
        <v>1691</v>
      </c>
      <c r="AH165" s="121">
        <f t="shared" si="73"/>
        <v>0</v>
      </c>
      <c r="AI165" s="121">
        <f t="shared" si="74"/>
        <v>1</v>
      </c>
      <c r="AJ165" s="121">
        <f t="shared" si="75"/>
        <v>1</v>
      </c>
      <c r="AK165" s="121">
        <f t="shared" si="76"/>
        <v>0</v>
      </c>
      <c r="AL165" s="121">
        <f t="shared" si="77"/>
        <v>0</v>
      </c>
      <c r="AM165" s="121">
        <f t="shared" si="78"/>
        <v>0</v>
      </c>
      <c r="AN165" s="121">
        <f t="shared" si="79"/>
        <v>0</v>
      </c>
      <c r="AO165" s="121">
        <f t="shared" si="80"/>
        <v>0</v>
      </c>
      <c r="AP165" s="22">
        <f t="shared" si="81"/>
        <v>0</v>
      </c>
      <c r="AQ165" s="22">
        <f t="shared" si="82"/>
        <v>0</v>
      </c>
      <c r="AR165" s="22">
        <f t="shared" si="83"/>
        <v>0</v>
      </c>
      <c r="AS165" s="121" t="str">
        <f t="shared" si="84"/>
        <v>Crops</v>
      </c>
      <c r="AT165" s="121" t="str">
        <f t="shared" si="101"/>
        <v xml:space="preserve"> </v>
      </c>
      <c r="AU165" s="121" t="str">
        <f t="shared" si="101"/>
        <v xml:space="preserve"> </v>
      </c>
      <c r="AV165" s="121" t="str">
        <f t="shared" si="101"/>
        <v xml:space="preserve"> </v>
      </c>
      <c r="AW165" s="130" t="str">
        <f t="shared" si="102"/>
        <v>100</v>
      </c>
      <c r="AX165" s="130" t="str">
        <f t="shared" si="102"/>
        <v xml:space="preserve"> </v>
      </c>
      <c r="AY165" s="130" t="str">
        <f t="shared" si="102"/>
        <v xml:space="preserve"> </v>
      </c>
      <c r="AZ165" s="130" t="str">
        <f t="shared" si="102"/>
        <v xml:space="preserve"> </v>
      </c>
      <c r="BA165" s="121">
        <f t="shared" si="85"/>
        <v>1580906.4871938173</v>
      </c>
      <c r="BB165" s="121">
        <f t="shared" si="86"/>
        <v>0</v>
      </c>
      <c r="BC165" s="121">
        <f t="shared" si="87"/>
        <v>0</v>
      </c>
      <c r="BD165" s="121">
        <f t="shared" si="88"/>
        <v>0</v>
      </c>
      <c r="BE165" s="121">
        <f t="shared" si="89"/>
        <v>0</v>
      </c>
      <c r="BF165" s="121">
        <f t="shared" si="90"/>
        <v>0</v>
      </c>
      <c r="BG165" s="121">
        <f t="shared" si="91"/>
        <v>0</v>
      </c>
      <c r="BH165" s="121">
        <f t="shared" si="92"/>
        <v>0</v>
      </c>
      <c r="BI165" s="121">
        <f t="shared" si="93"/>
        <v>0</v>
      </c>
      <c r="BJ165" s="121">
        <f t="shared" si="94"/>
        <v>0</v>
      </c>
      <c r="BK165" s="121">
        <f t="shared" si="95"/>
        <v>0</v>
      </c>
      <c r="BL165" s="121">
        <f t="shared" si="96"/>
        <v>0</v>
      </c>
      <c r="BM165" s="121">
        <f t="shared" si="97"/>
        <v>0</v>
      </c>
      <c r="BN165" s="121">
        <f t="shared" si="98"/>
        <v>0</v>
      </c>
      <c r="BO165" s="121">
        <f t="shared" si="99"/>
        <v>0</v>
      </c>
      <c r="BP165" s="121">
        <f t="shared" si="100"/>
        <v>0</v>
      </c>
      <c r="BQ165" s="199">
        <f>INDEX('GDP deflators'!$C$6:$M$36,MATCH('Bottom-up tagging'!$D165,'GDP deflators'!$B$6:$B$36,),MATCH('Bottom-up tagging'!$E165,'GDP deflators'!$C$5:$L$5,))/100</f>
        <v>1.5094883975306472</v>
      </c>
      <c r="BR165" s="24">
        <v>2386360</v>
      </c>
    </row>
    <row r="166" spans="2:70" ht="26.15" hidden="1" customHeight="1">
      <c r="B166" s="110" t="s">
        <v>2025</v>
      </c>
      <c r="C166" s="110" t="s">
        <v>2028</v>
      </c>
      <c r="D166" s="110" t="s">
        <v>6632</v>
      </c>
      <c r="E166" s="103">
        <v>2017</v>
      </c>
      <c r="F166" s="108" t="s">
        <v>7572</v>
      </c>
      <c r="G166" s="111" t="s">
        <v>109</v>
      </c>
      <c r="H166" s="110" t="s">
        <v>10451</v>
      </c>
      <c r="I166" s="112">
        <f>IF(Dashboard!$B$16="Current USD",'Bottom-up tagging'!BR166,'Bottom-up tagging'!BR166/'Bottom-up tagging'!BQ166)</f>
        <v>1825927.3272085818</v>
      </c>
      <c r="J166" s="105" t="s">
        <v>10474</v>
      </c>
      <c r="K166" s="112"/>
      <c r="L166" s="135">
        <v>1</v>
      </c>
      <c r="M166" s="135">
        <v>1</v>
      </c>
      <c r="N166" s="112"/>
      <c r="O166" s="112"/>
      <c r="P166" s="112" t="str">
        <f>VLOOKUP(B166, 'Companies covered restructured'!$B$7:$K$470, 9, FALSE)</f>
        <v xml:space="preserve">Agriculture financing systems </v>
      </c>
      <c r="Q166" s="112" t="str">
        <f>VLOOKUP(B166, 'Companies covered restructured'!$B$7:$K$470, 6, FALSE)</f>
        <v>#Cross-cutting(100)</v>
      </c>
      <c r="R166" s="112" t="str">
        <f t="shared" si="72"/>
        <v>N/A</v>
      </c>
      <c r="S166" s="112" t="s">
        <v>11003</v>
      </c>
      <c r="T166" s="112" t="s">
        <v>10466</v>
      </c>
      <c r="U166" s="103" t="s">
        <v>10970</v>
      </c>
      <c r="V166" s="112" t="str">
        <f>VLOOKUP(P166, 'Bottom-up Tagging Assumptions'!$B$12:$F$39, 5, FALSE)</f>
        <v>#Process Innovation(100)</v>
      </c>
      <c r="W166" s="112" t="str">
        <f>VLOOKUP(B166, 'Companies covered restructured'!$B$7:$K$470, 7, FALSE)</f>
        <v>#Landscape(100)</v>
      </c>
      <c r="X166" s="112" t="s">
        <v>10558</v>
      </c>
      <c r="Y166" s="212" t="str">
        <f>VLOOKUP(P166, 'Bottom-up Tagging Assumptions'!$B$12:$C$56, 2, FALSE)</f>
        <v>#Other Economic(P); Social(S)</v>
      </c>
      <c r="Z166" s="112" t="str">
        <f>VLOOKUP(P166, 'Bottom-up Tagging Assumptions'!$B$12:$F$56, 3, FALSE)</f>
        <v>NA</v>
      </c>
      <c r="AA166" s="112" t="str">
        <f>VLOOKUP(P166, 'Bottom-up Tagging Assumptions'!$B$12:$F$56, 4, FALSE)</f>
        <v>#Level 1(100)</v>
      </c>
      <c r="AB166" s="110"/>
      <c r="AC166" s="110"/>
      <c r="AD166" s="110"/>
      <c r="AE166" s="110" t="s">
        <v>10558</v>
      </c>
      <c r="AF166" s="112">
        <v>163285834</v>
      </c>
      <c r="AG166" s="110" t="s">
        <v>101</v>
      </c>
      <c r="AH166" s="121">
        <f t="shared" si="73"/>
        <v>0</v>
      </c>
      <c r="AI166" s="121">
        <f t="shared" si="74"/>
        <v>0</v>
      </c>
      <c r="AJ166" s="121">
        <f t="shared" si="75"/>
        <v>1</v>
      </c>
      <c r="AK166" s="121">
        <f t="shared" si="76"/>
        <v>1</v>
      </c>
      <c r="AL166" s="121">
        <f t="shared" si="77"/>
        <v>0</v>
      </c>
      <c r="AM166" s="121">
        <f t="shared" si="78"/>
        <v>0</v>
      </c>
      <c r="AN166" s="121">
        <f t="shared" si="79"/>
        <v>1</v>
      </c>
      <c r="AO166" s="121">
        <f t="shared" si="80"/>
        <v>0</v>
      </c>
      <c r="AP166" s="22">
        <f t="shared" si="81"/>
        <v>0</v>
      </c>
      <c r="AQ166" s="22">
        <f t="shared" si="82"/>
        <v>1825927.3272085818</v>
      </c>
      <c r="AR166" s="22">
        <f t="shared" si="83"/>
        <v>0</v>
      </c>
      <c r="AS166" s="121" t="str">
        <f t="shared" si="84"/>
        <v>Cross-cutting</v>
      </c>
      <c r="AT166" s="121" t="str">
        <f t="shared" si="101"/>
        <v xml:space="preserve"> </v>
      </c>
      <c r="AU166" s="121" t="str">
        <f t="shared" si="101"/>
        <v xml:space="preserve"> </v>
      </c>
      <c r="AV166" s="121" t="str">
        <f t="shared" si="101"/>
        <v xml:space="preserve"> </v>
      </c>
      <c r="AW166" s="130" t="str">
        <f t="shared" si="102"/>
        <v>100</v>
      </c>
      <c r="AX166" s="130" t="str">
        <f t="shared" si="102"/>
        <v xml:space="preserve"> </v>
      </c>
      <c r="AY166" s="130" t="str">
        <f t="shared" si="102"/>
        <v xml:space="preserve"> </v>
      </c>
      <c r="AZ166" s="130" t="str">
        <f t="shared" si="102"/>
        <v xml:space="preserve"> </v>
      </c>
      <c r="BA166" s="121">
        <f t="shared" si="85"/>
        <v>1825927.3272085818</v>
      </c>
      <c r="BB166" s="121">
        <f t="shared" si="86"/>
        <v>0</v>
      </c>
      <c r="BC166" s="121">
        <f t="shared" si="87"/>
        <v>0</v>
      </c>
      <c r="BD166" s="121">
        <f t="shared" si="88"/>
        <v>0</v>
      </c>
      <c r="BE166" s="121">
        <f t="shared" si="89"/>
        <v>0</v>
      </c>
      <c r="BF166" s="121">
        <f t="shared" si="90"/>
        <v>0</v>
      </c>
      <c r="BG166" s="121">
        <f t="shared" si="91"/>
        <v>0</v>
      </c>
      <c r="BH166" s="121">
        <f t="shared" si="92"/>
        <v>0</v>
      </c>
      <c r="BI166" s="121">
        <f t="shared" si="93"/>
        <v>1825927.3272085818</v>
      </c>
      <c r="BJ166" s="121">
        <f t="shared" si="94"/>
        <v>1825927.3272085818</v>
      </c>
      <c r="BK166" s="121">
        <f t="shared" si="95"/>
        <v>1825927.3272085818</v>
      </c>
      <c r="BL166" s="121">
        <f t="shared" si="96"/>
        <v>1825927.3272085818</v>
      </c>
      <c r="BM166" s="121">
        <f t="shared" si="97"/>
        <v>0</v>
      </c>
      <c r="BN166" s="121">
        <f t="shared" si="98"/>
        <v>0</v>
      </c>
      <c r="BO166" s="121">
        <f t="shared" si="99"/>
        <v>0</v>
      </c>
      <c r="BP166" s="121">
        <f t="shared" si="100"/>
        <v>0</v>
      </c>
      <c r="BQ166" s="199">
        <f>INDEX('GDP deflators'!$C$6:$M$36,MATCH('Bottom-up tagging'!$D166,'GDP deflators'!$B$6:$B$36,),MATCH('Bottom-up tagging'!$E166,'GDP deflators'!$C$5:$L$5,))/100</f>
        <v>1.3007089409362325</v>
      </c>
      <c r="BR166" s="24">
        <v>2375000</v>
      </c>
    </row>
    <row r="167" spans="2:70" ht="26.15" hidden="1" customHeight="1">
      <c r="B167" s="110" t="s">
        <v>1239</v>
      </c>
      <c r="C167" s="110" t="s">
        <v>1244</v>
      </c>
      <c r="D167" s="110" t="s">
        <v>3994</v>
      </c>
      <c r="E167" s="103">
        <v>2018</v>
      </c>
      <c r="F167" s="108" t="s">
        <v>6843</v>
      </c>
      <c r="G167" s="111" t="s">
        <v>34</v>
      </c>
      <c r="H167" s="110" t="s">
        <v>10451</v>
      </c>
      <c r="I167" s="112">
        <f>IF(Dashboard!$B$16="Current USD",'Bottom-up tagging'!BR167,'Bottom-up tagging'!BR167/'Bottom-up tagging'!BQ167)</f>
        <v>1578616.1065156127</v>
      </c>
      <c r="J167" s="105" t="s">
        <v>10474</v>
      </c>
      <c r="K167" s="112"/>
      <c r="L167" s="135">
        <v>1</v>
      </c>
      <c r="M167" s="135">
        <v>1</v>
      </c>
      <c r="N167" s="112"/>
      <c r="O167" s="112"/>
      <c r="P167" s="112" t="str">
        <f>VLOOKUP(B167, 'Companies covered restructured'!$B$7:$K$470, 9, FALSE)</f>
        <v>Quality testing technologies</v>
      </c>
      <c r="Q167" s="112" t="str">
        <f>VLOOKUP(B167, 'Companies covered restructured'!$B$7:$K$470, 6, FALSE)</f>
        <v>#Crops(100)</v>
      </c>
      <c r="R167" s="112" t="str">
        <f t="shared" si="72"/>
        <v>#Investment Fund(100)</v>
      </c>
      <c r="S167" s="112" t="s">
        <v>11003</v>
      </c>
      <c r="T167" s="112" t="s">
        <v>10466</v>
      </c>
      <c r="U167" s="103" t="s">
        <v>10970</v>
      </c>
      <c r="V167" s="112" t="str">
        <f>VLOOKUP(P167, 'Bottom-up Tagging Assumptions'!$B$12:$F$39, 5, FALSE)</f>
        <v>#Science &amp; tech(100)</v>
      </c>
      <c r="W167" s="112" t="str">
        <f>VLOOKUP(B167, 'Companies covered restructured'!$B$7:$K$470, 7, FALSE)</f>
        <v>#Farm/Household(100)</v>
      </c>
      <c r="X167" s="112" t="s">
        <v>10558</v>
      </c>
      <c r="Y167" s="212" t="str">
        <f>VLOOKUP(P167, 'Bottom-up Tagging Assumptions'!$B$12:$C$56, 2, FALSE)</f>
        <v>#Human Condition(P); #Other Economic(S)</v>
      </c>
      <c r="Z167" s="112" t="str">
        <f>VLOOKUP(P167, 'Bottom-up Tagging Assumptions'!$B$12:$F$56, 3, FALSE)</f>
        <v>#Health(P); #Reducing variability of profits(S)</v>
      </c>
      <c r="AA167" s="112" t="str">
        <f>VLOOKUP(P167, 'Bottom-up Tagging Assumptions'!$B$12:$F$56, 4, FALSE)</f>
        <v>#Level 1(100)</v>
      </c>
      <c r="AB167" s="110" t="s">
        <v>643</v>
      </c>
      <c r="AC167" s="110" t="s">
        <v>1772</v>
      </c>
      <c r="AD167" s="110" t="s">
        <v>644</v>
      </c>
      <c r="AE167" s="110" t="str">
        <f>VLOOKUP(AD167,  '1.2'!$B$7:$C$2033, 2, FALSE)</f>
        <v>FUND</v>
      </c>
      <c r="AF167" s="112">
        <v>62610600</v>
      </c>
      <c r="AG167" s="110" t="s">
        <v>1416</v>
      </c>
      <c r="AH167" s="121">
        <f t="shared" si="73"/>
        <v>0</v>
      </c>
      <c r="AI167" s="121">
        <f t="shared" si="74"/>
        <v>0</v>
      </c>
      <c r="AJ167" s="121">
        <f t="shared" si="75"/>
        <v>1</v>
      </c>
      <c r="AK167" s="121">
        <f t="shared" si="76"/>
        <v>0</v>
      </c>
      <c r="AL167" s="121">
        <f t="shared" si="77"/>
        <v>1</v>
      </c>
      <c r="AM167" s="121">
        <f t="shared" si="78"/>
        <v>0</v>
      </c>
      <c r="AN167" s="121">
        <f t="shared" si="79"/>
        <v>1</v>
      </c>
      <c r="AO167" s="121">
        <f t="shared" si="80"/>
        <v>0</v>
      </c>
      <c r="AP167" s="22">
        <f t="shared" si="81"/>
        <v>0</v>
      </c>
      <c r="AQ167" s="22">
        <f t="shared" si="82"/>
        <v>1578616.1065156127</v>
      </c>
      <c r="AR167" s="22">
        <f t="shared" si="83"/>
        <v>0</v>
      </c>
      <c r="AS167" s="121" t="str">
        <f t="shared" si="84"/>
        <v>Crops</v>
      </c>
      <c r="AT167" s="121" t="str">
        <f t="shared" si="101"/>
        <v xml:space="preserve"> </v>
      </c>
      <c r="AU167" s="121" t="str">
        <f t="shared" si="101"/>
        <v xml:space="preserve"> </v>
      </c>
      <c r="AV167" s="121" t="str">
        <f t="shared" si="101"/>
        <v xml:space="preserve"> </v>
      </c>
      <c r="AW167" s="130" t="str">
        <f t="shared" si="102"/>
        <v>100</v>
      </c>
      <c r="AX167" s="130" t="str">
        <f t="shared" si="102"/>
        <v xml:space="preserve"> </v>
      </c>
      <c r="AY167" s="130" t="str">
        <f t="shared" si="102"/>
        <v xml:space="preserve"> </v>
      </c>
      <c r="AZ167" s="130" t="str">
        <f t="shared" si="102"/>
        <v xml:space="preserve"> </v>
      </c>
      <c r="BA167" s="121">
        <f t="shared" si="85"/>
        <v>1578616.1065156127</v>
      </c>
      <c r="BB167" s="121">
        <f t="shared" si="86"/>
        <v>0</v>
      </c>
      <c r="BC167" s="121">
        <f t="shared" si="87"/>
        <v>0</v>
      </c>
      <c r="BD167" s="121">
        <f t="shared" si="88"/>
        <v>0</v>
      </c>
      <c r="BE167" s="121">
        <f t="shared" si="89"/>
        <v>0</v>
      </c>
      <c r="BF167" s="121">
        <f t="shared" si="90"/>
        <v>0</v>
      </c>
      <c r="BG167" s="121">
        <f t="shared" si="91"/>
        <v>0</v>
      </c>
      <c r="BH167" s="121">
        <f t="shared" si="92"/>
        <v>0</v>
      </c>
      <c r="BI167" s="121">
        <f t="shared" si="93"/>
        <v>1578616.1065156127</v>
      </c>
      <c r="BJ167" s="121">
        <f t="shared" si="94"/>
        <v>1578616.1065156127</v>
      </c>
      <c r="BK167" s="121">
        <f t="shared" si="95"/>
        <v>1578616.1065156127</v>
      </c>
      <c r="BL167" s="121">
        <f t="shared" si="96"/>
        <v>1578616.1065156127</v>
      </c>
      <c r="BM167" s="121">
        <f t="shared" si="97"/>
        <v>0</v>
      </c>
      <c r="BN167" s="121">
        <f t="shared" si="98"/>
        <v>0</v>
      </c>
      <c r="BO167" s="121">
        <f t="shared" si="99"/>
        <v>0</v>
      </c>
      <c r="BP167" s="121">
        <f t="shared" si="100"/>
        <v>0</v>
      </c>
      <c r="BQ167" s="199">
        <f>INDEX('GDP deflators'!$C$6:$M$36,MATCH('Bottom-up tagging'!$D167,'GDP deflators'!$B$6:$B$36,),MATCH('Bottom-up tagging'!$E167,'GDP deflators'!$C$5:$L$5,))/100</f>
        <v>1.4753935363936217</v>
      </c>
      <c r="BR167" s="24">
        <v>2329080</v>
      </c>
    </row>
    <row r="168" spans="2:70" ht="26.15" hidden="1" customHeight="1">
      <c r="B168" s="110" t="s">
        <v>1773</v>
      </c>
      <c r="C168" s="110" t="s">
        <v>1776</v>
      </c>
      <c r="D168" s="110" t="s">
        <v>7133</v>
      </c>
      <c r="E168" s="103">
        <v>2018</v>
      </c>
      <c r="F168" s="108" t="s">
        <v>7135</v>
      </c>
      <c r="G168" s="111" t="s">
        <v>184</v>
      </c>
      <c r="H168" s="110" t="s">
        <v>10451</v>
      </c>
      <c r="I168" s="112">
        <f>IF(Dashboard!$B$16="Current USD",'Bottom-up tagging'!BR168,'Bottom-up tagging'!BR168/'Bottom-up tagging'!BQ168)</f>
        <v>1482342.828690863</v>
      </c>
      <c r="J168" s="118" t="s">
        <v>10474</v>
      </c>
      <c r="K168" s="112"/>
      <c r="L168" s="135">
        <v>1</v>
      </c>
      <c r="M168" s="135">
        <v>1</v>
      </c>
      <c r="N168" s="112"/>
      <c r="O168" s="112"/>
      <c r="P168" s="112" t="str">
        <f>VLOOKUP(B168, 'Companies covered restructured'!$B$7:$K$470, 9, FALSE)</f>
        <v>Farmer engagement platforms (including marketplaces and information platforms)</v>
      </c>
      <c r="Q168" s="112" t="str">
        <f>VLOOKUP(B168, 'Companies covered restructured'!$B$7:$K$470, 6, FALSE)</f>
        <v>#Crops(100)</v>
      </c>
      <c r="R168" s="112" t="str">
        <f t="shared" si="72"/>
        <v>N/A</v>
      </c>
      <c r="S168" s="112" t="s">
        <v>11003</v>
      </c>
      <c r="T168" s="112" t="s">
        <v>10465</v>
      </c>
      <c r="U168" s="103" t="s">
        <v>10970</v>
      </c>
      <c r="V168" s="112" t="str">
        <f>VLOOKUP(P168, 'Bottom-up Tagging Assumptions'!$B$12:$F$39, 5, FALSE)</f>
        <v>#Process Innovation(100)</v>
      </c>
      <c r="W168" s="112" t="str">
        <f>VLOOKUP(B168, 'Companies covered restructured'!$B$7:$K$470, 7, FALSE)</f>
        <v>#Field/Animal Herd(100)</v>
      </c>
      <c r="X168" s="112" t="str">
        <f>VLOOKUP(B168, 'Companies covered restructured'!$B$7:$K$470, 8, FALSE)</f>
        <v>#Small(100)</v>
      </c>
      <c r="Y168" s="212" t="str">
        <f>VLOOKUP(P168, 'Bottom-up Tagging Assumptions'!$B$12:$C$56, 2, FALSE)</f>
        <v>#Other Economic(P); #Productivity(S)</v>
      </c>
      <c r="Z168" s="112" t="str">
        <f>VLOOKUP(P168, 'Bottom-up Tagging Assumptions'!$B$12:$F$56, 3, FALSE)</f>
        <v>#Improve price realization(P); #Increasing crop or animal yield(S)</v>
      </c>
      <c r="AA168" s="112" t="str">
        <f>VLOOKUP(P168, 'Bottom-up Tagging Assumptions'!$B$12:$F$56, 4, FALSE)</f>
        <v>#Level 4(100)</v>
      </c>
      <c r="AB168" s="110" t="s">
        <v>1775</v>
      </c>
      <c r="AC168" s="110"/>
      <c r="AD168" s="110"/>
      <c r="AE168" s="110" t="s">
        <v>10558</v>
      </c>
      <c r="AF168" s="112">
        <v>10590520</v>
      </c>
      <c r="AG168" s="110" t="s">
        <v>646</v>
      </c>
      <c r="AH168" s="121">
        <f t="shared" si="73"/>
        <v>0</v>
      </c>
      <c r="AI168" s="121">
        <f t="shared" si="74"/>
        <v>1</v>
      </c>
      <c r="AJ168" s="121">
        <f t="shared" si="75"/>
        <v>1</v>
      </c>
      <c r="AK168" s="121">
        <f t="shared" si="76"/>
        <v>0</v>
      </c>
      <c r="AL168" s="121">
        <f t="shared" si="77"/>
        <v>0</v>
      </c>
      <c r="AM168" s="121">
        <f t="shared" si="78"/>
        <v>0</v>
      </c>
      <c r="AN168" s="121">
        <f t="shared" si="79"/>
        <v>0</v>
      </c>
      <c r="AO168" s="121">
        <f t="shared" si="80"/>
        <v>0</v>
      </c>
      <c r="AP168" s="22">
        <f t="shared" si="81"/>
        <v>0</v>
      </c>
      <c r="AQ168" s="22">
        <f t="shared" si="82"/>
        <v>0</v>
      </c>
      <c r="AR168" s="22">
        <f t="shared" si="83"/>
        <v>0</v>
      </c>
      <c r="AS168" s="121" t="str">
        <f t="shared" si="84"/>
        <v>Crops</v>
      </c>
      <c r="AT168" s="121" t="str">
        <f t="shared" si="101"/>
        <v xml:space="preserve"> </v>
      </c>
      <c r="AU168" s="121" t="str">
        <f t="shared" si="101"/>
        <v xml:space="preserve"> </v>
      </c>
      <c r="AV168" s="121" t="str">
        <f t="shared" si="101"/>
        <v xml:space="preserve"> </v>
      </c>
      <c r="AW168" s="130" t="str">
        <f t="shared" si="102"/>
        <v>100</v>
      </c>
      <c r="AX168" s="130" t="str">
        <f t="shared" si="102"/>
        <v xml:space="preserve"> </v>
      </c>
      <c r="AY168" s="130" t="str">
        <f t="shared" si="102"/>
        <v xml:space="preserve"> </v>
      </c>
      <c r="AZ168" s="130" t="str">
        <f t="shared" si="102"/>
        <v xml:space="preserve"> </v>
      </c>
      <c r="BA168" s="121">
        <f t="shared" si="85"/>
        <v>1482342.828690863</v>
      </c>
      <c r="BB168" s="121">
        <f t="shared" si="86"/>
        <v>0</v>
      </c>
      <c r="BC168" s="121">
        <f t="shared" si="87"/>
        <v>0</v>
      </c>
      <c r="BD168" s="121">
        <f t="shared" si="88"/>
        <v>0</v>
      </c>
      <c r="BE168" s="121">
        <f t="shared" si="89"/>
        <v>0</v>
      </c>
      <c r="BF168" s="121">
        <f t="shared" si="90"/>
        <v>0</v>
      </c>
      <c r="BG168" s="121">
        <f t="shared" si="91"/>
        <v>0</v>
      </c>
      <c r="BH168" s="121">
        <f t="shared" si="92"/>
        <v>0</v>
      </c>
      <c r="BI168" s="121">
        <f t="shared" si="93"/>
        <v>0</v>
      </c>
      <c r="BJ168" s="121">
        <f t="shared" si="94"/>
        <v>0</v>
      </c>
      <c r="BK168" s="121">
        <f t="shared" si="95"/>
        <v>0</v>
      </c>
      <c r="BL168" s="121">
        <f t="shared" si="96"/>
        <v>0</v>
      </c>
      <c r="BM168" s="121">
        <f t="shared" si="97"/>
        <v>0</v>
      </c>
      <c r="BN168" s="121">
        <f t="shared" si="98"/>
        <v>0</v>
      </c>
      <c r="BO168" s="121">
        <f t="shared" si="99"/>
        <v>0</v>
      </c>
      <c r="BP168" s="121">
        <f t="shared" si="100"/>
        <v>0</v>
      </c>
      <c r="BQ168" s="199">
        <f>INDEX('GDP deflators'!$C$6:$M$36,MATCH('Bottom-up tagging'!$D168,'GDP deflators'!$B$6:$B$36,),MATCH('Bottom-up tagging'!$E168,'GDP deflators'!$C$5:$L$5,))/100</f>
        <v>1.5515978864560327</v>
      </c>
      <c r="BR168" s="24">
        <v>2300000</v>
      </c>
    </row>
    <row r="169" spans="2:70" ht="26.15" hidden="1" customHeight="1">
      <c r="B169" s="110" t="s">
        <v>1763</v>
      </c>
      <c r="C169" s="110" t="s">
        <v>1767</v>
      </c>
      <c r="D169" s="110" t="s">
        <v>3994</v>
      </c>
      <c r="E169" s="103">
        <v>2015</v>
      </c>
      <c r="F169" s="108" t="s">
        <v>5596</v>
      </c>
      <c r="G169" s="111" t="s">
        <v>34</v>
      </c>
      <c r="H169" s="110" t="s">
        <v>10451</v>
      </c>
      <c r="I169" s="112">
        <f>IF(Dashboard!$B$16="Current USD",'Bottom-up tagging'!BR169,'Bottom-up tagging'!BR169/'Bottom-up tagging'!BQ169)</f>
        <v>1722994.7151066777</v>
      </c>
      <c r="J169" s="105" t="s">
        <v>10474</v>
      </c>
      <c r="K169" s="112"/>
      <c r="L169" s="135">
        <v>1</v>
      </c>
      <c r="M169" s="135">
        <v>1</v>
      </c>
      <c r="N169" s="112"/>
      <c r="O169" s="112"/>
      <c r="P169" s="112" t="str">
        <f>VLOOKUP(B169, 'Companies covered restructured'!$B$7:$K$470, 9, FALSE)</f>
        <v>Farmer engagement platforms (including marketplaces and information platforms)</v>
      </c>
      <c r="Q169" s="112" t="str">
        <f>VLOOKUP(B169, 'Companies covered restructured'!$B$7:$K$470, 6, FALSE)</f>
        <v>#Crops(100)</v>
      </c>
      <c r="R169" s="112" t="str">
        <f t="shared" si="72"/>
        <v>#Investment Fund(100)</v>
      </c>
      <c r="S169" s="112" t="s">
        <v>11003</v>
      </c>
      <c r="T169" s="112" t="s">
        <v>10466</v>
      </c>
      <c r="U169" s="103" t="s">
        <v>10970</v>
      </c>
      <c r="V169" s="112" t="str">
        <f>VLOOKUP(P169, 'Bottom-up Tagging Assumptions'!$B$12:$F$39, 5, FALSE)</f>
        <v>#Process Innovation(100)</v>
      </c>
      <c r="W169" s="112" t="str">
        <f>VLOOKUP(B169, 'Companies covered restructured'!$B$7:$K$470, 7, FALSE)</f>
        <v>#Field/Animal Herd(100)</v>
      </c>
      <c r="X169" s="112" t="s">
        <v>10558</v>
      </c>
      <c r="Y169" s="212" t="str">
        <f>VLOOKUP(P169, 'Bottom-up Tagging Assumptions'!$B$12:$C$56, 2, FALSE)</f>
        <v>#Other Economic(P); #Productivity(S)</v>
      </c>
      <c r="Z169" s="112" t="str">
        <f>VLOOKUP(P169, 'Bottom-up Tagging Assumptions'!$B$12:$F$56, 3, FALSE)</f>
        <v>#Improve price realization(P); #Increasing crop or animal yield(S)</v>
      </c>
      <c r="AA169" s="112" t="str">
        <f>VLOOKUP(P169, 'Bottom-up Tagging Assumptions'!$B$12:$F$56, 4, FALSE)</f>
        <v>#Level 4(100)</v>
      </c>
      <c r="AB169" s="110" t="s">
        <v>2222</v>
      </c>
      <c r="AC169" s="110" t="s">
        <v>2596</v>
      </c>
      <c r="AD169" s="110" t="s">
        <v>2223</v>
      </c>
      <c r="AE169" s="110" t="s">
        <v>3114</v>
      </c>
      <c r="AF169" s="112">
        <v>1875400</v>
      </c>
      <c r="AG169" s="110" t="s">
        <v>294</v>
      </c>
      <c r="AH169" s="121">
        <f t="shared" si="73"/>
        <v>0</v>
      </c>
      <c r="AI169" s="121">
        <f t="shared" si="74"/>
        <v>1</v>
      </c>
      <c r="AJ169" s="121">
        <f t="shared" si="75"/>
        <v>1</v>
      </c>
      <c r="AK169" s="121">
        <f t="shared" si="76"/>
        <v>0</v>
      </c>
      <c r="AL169" s="121">
        <f t="shared" si="77"/>
        <v>0</v>
      </c>
      <c r="AM169" s="121">
        <f t="shared" si="78"/>
        <v>0</v>
      </c>
      <c r="AN169" s="121">
        <f t="shared" si="79"/>
        <v>0</v>
      </c>
      <c r="AO169" s="121">
        <f t="shared" si="80"/>
        <v>0</v>
      </c>
      <c r="AP169" s="22">
        <f t="shared" si="81"/>
        <v>0</v>
      </c>
      <c r="AQ169" s="22">
        <f t="shared" si="82"/>
        <v>0</v>
      </c>
      <c r="AR169" s="22">
        <f t="shared" si="83"/>
        <v>0</v>
      </c>
      <c r="AS169" s="121" t="str">
        <f t="shared" si="84"/>
        <v>Crops</v>
      </c>
      <c r="AT169" s="121" t="str">
        <f t="shared" si="101"/>
        <v xml:space="preserve"> </v>
      </c>
      <c r="AU169" s="121" t="str">
        <f t="shared" si="101"/>
        <v xml:space="preserve"> </v>
      </c>
      <c r="AV169" s="121" t="str">
        <f t="shared" si="101"/>
        <v xml:space="preserve"> </v>
      </c>
      <c r="AW169" s="130" t="str">
        <f t="shared" si="102"/>
        <v>100</v>
      </c>
      <c r="AX169" s="130" t="str">
        <f t="shared" si="102"/>
        <v xml:space="preserve"> </v>
      </c>
      <c r="AY169" s="130" t="str">
        <f t="shared" si="102"/>
        <v xml:space="preserve"> </v>
      </c>
      <c r="AZ169" s="130" t="str">
        <f t="shared" si="102"/>
        <v xml:space="preserve"> </v>
      </c>
      <c r="BA169" s="121">
        <f t="shared" si="85"/>
        <v>1722994.7151066777</v>
      </c>
      <c r="BB169" s="121">
        <f t="shared" si="86"/>
        <v>0</v>
      </c>
      <c r="BC169" s="121">
        <f t="shared" si="87"/>
        <v>0</v>
      </c>
      <c r="BD169" s="121">
        <f t="shared" si="88"/>
        <v>0</v>
      </c>
      <c r="BE169" s="121">
        <f t="shared" si="89"/>
        <v>0</v>
      </c>
      <c r="BF169" s="121">
        <f t="shared" si="90"/>
        <v>0</v>
      </c>
      <c r="BG169" s="121">
        <f t="shared" si="91"/>
        <v>0</v>
      </c>
      <c r="BH169" s="121">
        <f t="shared" si="92"/>
        <v>0</v>
      </c>
      <c r="BI169" s="121">
        <f t="shared" si="93"/>
        <v>0</v>
      </c>
      <c r="BJ169" s="121">
        <f t="shared" si="94"/>
        <v>0</v>
      </c>
      <c r="BK169" s="121">
        <f t="shared" si="95"/>
        <v>0</v>
      </c>
      <c r="BL169" s="121">
        <f t="shared" si="96"/>
        <v>0</v>
      </c>
      <c r="BM169" s="121">
        <f t="shared" si="97"/>
        <v>0</v>
      </c>
      <c r="BN169" s="121">
        <f t="shared" si="98"/>
        <v>0</v>
      </c>
      <c r="BO169" s="121">
        <f t="shared" si="99"/>
        <v>0</v>
      </c>
      <c r="BP169" s="121">
        <f t="shared" si="100"/>
        <v>0</v>
      </c>
      <c r="BQ169" s="199">
        <f>INDEX('GDP deflators'!$C$6:$M$36,MATCH('Bottom-up tagging'!$D169,'GDP deflators'!$B$6:$B$36,),MATCH('Bottom-up tagging'!$E169,'GDP deflators'!$C$5:$L$5,))/100</f>
        <v>1.3170905169372478</v>
      </c>
      <c r="BR169" s="24">
        <v>2269340</v>
      </c>
    </row>
    <row r="170" spans="2:70" ht="26.15" hidden="1" customHeight="1">
      <c r="B170" s="110" t="s">
        <v>878</v>
      </c>
      <c r="C170" s="110" t="s">
        <v>883</v>
      </c>
      <c r="D170" s="110" t="s">
        <v>3994</v>
      </c>
      <c r="E170" s="103">
        <v>2019</v>
      </c>
      <c r="F170" s="108" t="s">
        <v>8198</v>
      </c>
      <c r="G170" s="111" t="s">
        <v>109</v>
      </c>
      <c r="H170" s="110" t="s">
        <v>10451</v>
      </c>
      <c r="I170" s="112">
        <f>IF(Dashboard!$B$16="Current USD",'Bottom-up tagging'!BR170,'Bottom-up tagging'!BR170/'Bottom-up tagging'!BQ170)</f>
        <v>1475135.5516495721</v>
      </c>
      <c r="J170" s="117" t="s">
        <v>10474</v>
      </c>
      <c r="K170" s="112"/>
      <c r="L170" s="135">
        <v>1</v>
      </c>
      <c r="M170" s="135">
        <v>1</v>
      </c>
      <c r="N170" s="112"/>
      <c r="O170" s="112"/>
      <c r="P170" s="112" t="str">
        <f>VLOOKUP(B170, 'Companies covered restructured'!$B$7:$K$470, 9, FALSE)</f>
        <v>Agri marketplaces</v>
      </c>
      <c r="Q170" s="112" t="str">
        <f>VLOOKUP(B170, 'Companies covered restructured'!$B$7:$K$470, 6, FALSE)</f>
        <v>#Livestock(100)</v>
      </c>
      <c r="R170" s="112" t="str">
        <f t="shared" si="72"/>
        <v>#Investment Fund(100)</v>
      </c>
      <c r="S170" s="112" t="s">
        <v>11003</v>
      </c>
      <c r="T170" s="112" t="s">
        <v>10466</v>
      </c>
      <c r="U170" s="103" t="s">
        <v>10970</v>
      </c>
      <c r="V170" s="112" t="str">
        <f>VLOOKUP(P170, 'Bottom-up Tagging Assumptions'!$B$12:$F$39, 5, FALSE)</f>
        <v>#Process Innovation(100)</v>
      </c>
      <c r="W170" s="112" t="str">
        <f>VLOOKUP(B170, 'Companies covered restructured'!$B$7:$K$470, 7, FALSE)</f>
        <v>#Farm/Household(100)</v>
      </c>
      <c r="X170" s="112" t="str">
        <f>VLOOKUP(B170, 'Companies covered restructured'!$B$7:$K$470, 8, FALSE)</f>
        <v>N/A</v>
      </c>
      <c r="Y170" s="212" t="str">
        <f>VLOOKUP(P170, 'Bottom-up Tagging Assumptions'!$B$12:$C$56, 2, FALSE)</f>
        <v>#Other Economic(P); Social(S)</v>
      </c>
      <c r="Z170" s="112" t="str">
        <f>VLOOKUP(P170, 'Bottom-up Tagging Assumptions'!$B$12:$F$56, 3, FALSE)</f>
        <v>#Improve price realization(P)</v>
      </c>
      <c r="AA170" s="112" t="str">
        <f>VLOOKUP(P170, 'Bottom-up Tagging Assumptions'!$B$12:$F$56, 4, FALSE)</f>
        <v>#Level 4(100)</v>
      </c>
      <c r="AB170" s="110" t="s">
        <v>880</v>
      </c>
      <c r="AC170" s="110" t="s">
        <v>881</v>
      </c>
      <c r="AD170" s="110" t="s">
        <v>882</v>
      </c>
      <c r="AE170" s="110" t="str">
        <f>VLOOKUP(AD170,  '1.2'!$B$7:$C$2033, 2, FALSE)</f>
        <v>FUND</v>
      </c>
      <c r="AF170" s="112"/>
      <c r="AG170" s="110" t="s">
        <v>1840</v>
      </c>
      <c r="AH170" s="121">
        <f t="shared" si="73"/>
        <v>0</v>
      </c>
      <c r="AI170" s="121">
        <f t="shared" si="74"/>
        <v>0</v>
      </c>
      <c r="AJ170" s="121">
        <f t="shared" si="75"/>
        <v>1</v>
      </c>
      <c r="AK170" s="121">
        <f t="shared" si="76"/>
        <v>1</v>
      </c>
      <c r="AL170" s="121">
        <f t="shared" si="77"/>
        <v>0</v>
      </c>
      <c r="AM170" s="121">
        <f t="shared" si="78"/>
        <v>0</v>
      </c>
      <c r="AN170" s="121">
        <f t="shared" si="79"/>
        <v>1</v>
      </c>
      <c r="AO170" s="121">
        <f t="shared" si="80"/>
        <v>0</v>
      </c>
      <c r="AP170" s="22">
        <f t="shared" si="81"/>
        <v>0</v>
      </c>
      <c r="AQ170" s="22">
        <f t="shared" si="82"/>
        <v>1475135.5516495721</v>
      </c>
      <c r="AR170" s="22">
        <f t="shared" si="83"/>
        <v>0</v>
      </c>
      <c r="AS170" s="121" t="str">
        <f t="shared" si="84"/>
        <v>Livestock</v>
      </c>
      <c r="AT170" s="121" t="str">
        <f t="shared" si="101"/>
        <v xml:space="preserve"> </v>
      </c>
      <c r="AU170" s="121" t="str">
        <f t="shared" si="101"/>
        <v xml:space="preserve"> </v>
      </c>
      <c r="AV170" s="121" t="str">
        <f t="shared" si="101"/>
        <v xml:space="preserve"> </v>
      </c>
      <c r="AW170" s="130" t="str">
        <f t="shared" si="102"/>
        <v>100</v>
      </c>
      <c r="AX170" s="130" t="str">
        <f t="shared" si="102"/>
        <v xml:space="preserve"> </v>
      </c>
      <c r="AY170" s="130" t="str">
        <f t="shared" si="102"/>
        <v xml:space="preserve"> </v>
      </c>
      <c r="AZ170" s="130" t="str">
        <f t="shared" si="102"/>
        <v xml:space="preserve"> </v>
      </c>
      <c r="BA170" s="121">
        <f t="shared" si="85"/>
        <v>1475135.5516495719</v>
      </c>
      <c r="BB170" s="121">
        <f t="shared" si="86"/>
        <v>0</v>
      </c>
      <c r="BC170" s="121">
        <f t="shared" si="87"/>
        <v>0</v>
      </c>
      <c r="BD170" s="121">
        <f t="shared" si="88"/>
        <v>0</v>
      </c>
      <c r="BE170" s="121">
        <f t="shared" si="89"/>
        <v>0</v>
      </c>
      <c r="BF170" s="121">
        <f t="shared" si="90"/>
        <v>0</v>
      </c>
      <c r="BG170" s="121">
        <f t="shared" si="91"/>
        <v>0</v>
      </c>
      <c r="BH170" s="121">
        <f t="shared" si="92"/>
        <v>0</v>
      </c>
      <c r="BI170" s="121">
        <f t="shared" si="93"/>
        <v>1475135.5516495719</v>
      </c>
      <c r="BJ170" s="121">
        <f t="shared" si="94"/>
        <v>1475135.5516495721</v>
      </c>
      <c r="BK170" s="121">
        <f t="shared" si="95"/>
        <v>1475135.5516495721</v>
      </c>
      <c r="BL170" s="121">
        <f t="shared" si="96"/>
        <v>1475135.5516495721</v>
      </c>
      <c r="BM170" s="121">
        <f t="shared" si="97"/>
        <v>0</v>
      </c>
      <c r="BN170" s="121">
        <f t="shared" si="98"/>
        <v>0</v>
      </c>
      <c r="BO170" s="121">
        <f t="shared" si="99"/>
        <v>0</v>
      </c>
      <c r="BP170" s="121">
        <f t="shared" si="100"/>
        <v>0</v>
      </c>
      <c r="BQ170" s="199">
        <f>INDEX('GDP deflators'!$C$6:$M$36,MATCH('Bottom-up tagging'!$D170,'GDP deflators'!$B$6:$B$36,),MATCH('Bottom-up tagging'!$E170,'GDP deflators'!$C$5:$L$5,))/100</f>
        <v>1.5094883975306472</v>
      </c>
      <c r="BR170" s="24">
        <v>2226700</v>
      </c>
    </row>
    <row r="171" spans="2:70" ht="26.15" hidden="1" customHeight="1">
      <c r="B171" s="110" t="s">
        <v>1178</v>
      </c>
      <c r="C171" s="110" t="s">
        <v>1183</v>
      </c>
      <c r="D171" s="110" t="s">
        <v>3994</v>
      </c>
      <c r="E171" s="103">
        <v>2019</v>
      </c>
      <c r="F171" s="108" t="s">
        <v>8093</v>
      </c>
      <c r="G171" s="111" t="s">
        <v>34</v>
      </c>
      <c r="H171" s="110" t="s">
        <v>10451</v>
      </c>
      <c r="I171" s="112">
        <f>IF(Dashboard!$B$16="Current USD",'Bottom-up tagging'!BR171,'Bottom-up tagging'!BR171/'Bottom-up tagging'!BQ171)</f>
        <v>1417261.6387775613</v>
      </c>
      <c r="J171" s="118" t="s">
        <v>10474</v>
      </c>
      <c r="K171" s="112"/>
      <c r="L171" s="135">
        <v>1</v>
      </c>
      <c r="M171" s="135">
        <v>1</v>
      </c>
      <c r="N171" s="112"/>
      <c r="O171" s="112"/>
      <c r="P171" s="112" t="str">
        <f>VLOOKUP(B171, 'Companies covered restructured'!$B$7:$K$470, 9, FALSE)</f>
        <v>Drone technologies/robotics</v>
      </c>
      <c r="Q171" s="112" t="str">
        <f>VLOOKUP(B171, 'Companies covered restructured'!$B$7:$K$470, 6, FALSE)</f>
        <v>#Crops(100)</v>
      </c>
      <c r="R171" s="112" t="str">
        <f t="shared" si="72"/>
        <v>#Investment Fund(100)</v>
      </c>
      <c r="S171" s="112" t="s">
        <v>11003</v>
      </c>
      <c r="T171" s="112" t="s">
        <v>10466</v>
      </c>
      <c r="U171" s="103" t="s">
        <v>10970</v>
      </c>
      <c r="V171" s="112" t="str">
        <f>VLOOKUP(P171, 'Bottom-up Tagging Assumptions'!$B$12:$F$39, 5, FALSE)</f>
        <v>#Process Innovation(100)</v>
      </c>
      <c r="W171" s="112" t="str">
        <f>VLOOKUP(B171, 'Companies covered restructured'!$B$7:$K$470, 7, FALSE)</f>
        <v>#Field/Animal Herd(100)</v>
      </c>
      <c r="X171" s="112" t="str">
        <f>VLOOKUP(B171, 'Companies covered restructured'!$B$7:$K$470, 8, FALSE)</f>
        <v>#Large(100)</v>
      </c>
      <c r="Y171" s="212" t="str">
        <f>VLOOKUP(P171, 'Bottom-up Tagging Assumptions'!$B$12:$C$56, 2, FALSE)</f>
        <v>#Productivity(P); #Other Economic(P)</v>
      </c>
      <c r="Z171" s="112" t="str">
        <f>VLOOKUP(P171, 'Bottom-up Tagging Assumptions'!$B$12:$F$56, 3, FALSE)</f>
        <v>#Reducing human effort(P)</v>
      </c>
      <c r="AA171" s="112" t="str">
        <f>VLOOKUP(P171, 'Bottom-up Tagging Assumptions'!$B$12:$F$56, 4, FALSE)</f>
        <v>#Level 1(100)</v>
      </c>
      <c r="AB171" s="110" t="s">
        <v>1180</v>
      </c>
      <c r="AC171" s="110" t="s">
        <v>1181</v>
      </c>
      <c r="AD171" s="110" t="s">
        <v>1182</v>
      </c>
      <c r="AE171" s="110" t="s">
        <v>3114</v>
      </c>
      <c r="AF171" s="112">
        <v>19009146</v>
      </c>
      <c r="AG171" s="110" t="s">
        <v>307</v>
      </c>
      <c r="AH171" s="121">
        <f t="shared" si="73"/>
        <v>0</v>
      </c>
      <c r="AI171" s="121">
        <f t="shared" si="74"/>
        <v>1</v>
      </c>
      <c r="AJ171" s="121">
        <f t="shared" si="75"/>
        <v>1</v>
      </c>
      <c r="AK171" s="121">
        <f t="shared" si="76"/>
        <v>0</v>
      </c>
      <c r="AL171" s="121">
        <f t="shared" si="77"/>
        <v>0</v>
      </c>
      <c r="AM171" s="121">
        <f t="shared" si="78"/>
        <v>0</v>
      </c>
      <c r="AN171" s="121">
        <f t="shared" si="79"/>
        <v>0</v>
      </c>
      <c r="AO171" s="121">
        <f t="shared" si="80"/>
        <v>0</v>
      </c>
      <c r="AP171" s="22">
        <f t="shared" si="81"/>
        <v>0</v>
      </c>
      <c r="AQ171" s="22">
        <f t="shared" si="82"/>
        <v>0</v>
      </c>
      <c r="AR171" s="22">
        <f t="shared" si="83"/>
        <v>0</v>
      </c>
      <c r="AS171" s="121" t="str">
        <f t="shared" si="84"/>
        <v>Crops</v>
      </c>
      <c r="AT171" s="121" t="str">
        <f t="shared" si="101"/>
        <v xml:space="preserve"> </v>
      </c>
      <c r="AU171" s="121" t="str">
        <f t="shared" si="101"/>
        <v xml:space="preserve"> </v>
      </c>
      <c r="AV171" s="121" t="str">
        <f t="shared" si="101"/>
        <v xml:space="preserve"> </v>
      </c>
      <c r="AW171" s="130" t="str">
        <f t="shared" si="102"/>
        <v>100</v>
      </c>
      <c r="AX171" s="130" t="str">
        <f t="shared" si="102"/>
        <v xml:space="preserve"> </v>
      </c>
      <c r="AY171" s="130" t="str">
        <f t="shared" si="102"/>
        <v xml:space="preserve"> </v>
      </c>
      <c r="AZ171" s="130" t="str">
        <f t="shared" si="102"/>
        <v xml:space="preserve"> </v>
      </c>
      <c r="BA171" s="121">
        <f t="shared" si="85"/>
        <v>1417261.6387775613</v>
      </c>
      <c r="BB171" s="121">
        <f t="shared" si="86"/>
        <v>0</v>
      </c>
      <c r="BC171" s="121">
        <f t="shared" si="87"/>
        <v>0</v>
      </c>
      <c r="BD171" s="121">
        <f t="shared" si="88"/>
        <v>0</v>
      </c>
      <c r="BE171" s="121">
        <f t="shared" si="89"/>
        <v>0</v>
      </c>
      <c r="BF171" s="121">
        <f t="shared" si="90"/>
        <v>0</v>
      </c>
      <c r="BG171" s="121">
        <f t="shared" si="91"/>
        <v>0</v>
      </c>
      <c r="BH171" s="121">
        <f t="shared" si="92"/>
        <v>0</v>
      </c>
      <c r="BI171" s="121">
        <f t="shared" si="93"/>
        <v>0</v>
      </c>
      <c r="BJ171" s="121">
        <f t="shared" si="94"/>
        <v>0</v>
      </c>
      <c r="BK171" s="121">
        <f t="shared" si="95"/>
        <v>0</v>
      </c>
      <c r="BL171" s="121">
        <f t="shared" si="96"/>
        <v>0</v>
      </c>
      <c r="BM171" s="121">
        <f t="shared" si="97"/>
        <v>0</v>
      </c>
      <c r="BN171" s="121">
        <f t="shared" si="98"/>
        <v>0</v>
      </c>
      <c r="BO171" s="121">
        <f t="shared" si="99"/>
        <v>0</v>
      </c>
      <c r="BP171" s="121">
        <f t="shared" si="100"/>
        <v>0</v>
      </c>
      <c r="BQ171" s="199">
        <f>INDEX('GDP deflators'!$C$6:$M$36,MATCH('Bottom-up tagging'!$D171,'GDP deflators'!$B$6:$B$36,),MATCH('Bottom-up tagging'!$E171,'GDP deflators'!$C$5:$L$5,))/100</f>
        <v>1.5094883975306472</v>
      </c>
      <c r="BR171" s="24">
        <v>2139340</v>
      </c>
    </row>
    <row r="172" spans="2:70" ht="26.15" hidden="1" customHeight="1">
      <c r="B172" s="110" t="s">
        <v>622</v>
      </c>
      <c r="C172" s="110" t="s">
        <v>625</v>
      </c>
      <c r="D172" s="110" t="s">
        <v>3994</v>
      </c>
      <c r="E172" s="103">
        <v>2015</v>
      </c>
      <c r="F172" s="108" t="s">
        <v>8796</v>
      </c>
      <c r="G172" s="111" t="s">
        <v>109</v>
      </c>
      <c r="H172" s="110" t="s">
        <v>10451</v>
      </c>
      <c r="I172" s="112">
        <f>IF(Dashboard!$B$16="Current USD",'Bottom-up tagging'!BR172,'Bottom-up tagging'!BR172/'Bottom-up tagging'!BQ172)</f>
        <v>1594104.5607725938</v>
      </c>
      <c r="J172" s="117" t="s">
        <v>10474</v>
      </c>
      <c r="K172" s="112"/>
      <c r="L172" s="135">
        <v>1</v>
      </c>
      <c r="M172" s="135">
        <v>1</v>
      </c>
      <c r="N172" s="112"/>
      <c r="O172" s="112"/>
      <c r="P172" s="112" t="str">
        <f>VLOOKUP(B172, 'Companies covered restructured'!$B$7:$K$470, 9, FALSE)</f>
        <v xml:space="preserve">Pesticides </v>
      </c>
      <c r="Q172" s="112" t="str">
        <f>VLOOKUP(B172, 'Companies covered restructured'!$B$7:$K$470, 6, FALSE)</f>
        <v>#Crops(100)</v>
      </c>
      <c r="R172" s="112" t="str">
        <f t="shared" si="72"/>
        <v>#Investment Fund(100)</v>
      </c>
      <c r="S172" s="112" t="s">
        <v>11003</v>
      </c>
      <c r="T172" s="112" t="s">
        <v>10466</v>
      </c>
      <c r="U172" s="116" t="s">
        <v>10970</v>
      </c>
      <c r="V172" s="112" t="str">
        <f>VLOOKUP(P172, 'Bottom-up Tagging Assumptions'!$B$12:$F$39, 5, FALSE)</f>
        <v>#Product Development(100)</v>
      </c>
      <c r="W172" s="112" t="str">
        <f>VLOOKUP(B172, 'Companies covered restructured'!$B$7:$K$470, 7, FALSE)</f>
        <v>N/A</v>
      </c>
      <c r="X172" s="112" t="str">
        <f>VLOOKUP(B172, 'Companies covered restructured'!$B$7:$K$470, 8, FALSE)</f>
        <v>N/A</v>
      </c>
      <c r="Y172" s="212" t="str">
        <f>VLOOKUP(P172, 'Bottom-up Tagging Assumptions'!$B$12:$C$56, 2, FALSE)</f>
        <v>#Other economic(P); #Productivity(S)</v>
      </c>
      <c r="Z172" s="112" t="str">
        <f>VLOOKUP(P172, 'Bottom-up Tagging Assumptions'!$B$12:$F$56, 3, FALSE)</f>
        <v>#Waste reduction(P)</v>
      </c>
      <c r="AA172" s="112" t="str">
        <f>VLOOKUP(P172, 'Bottom-up Tagging Assumptions'!$B$12:$F$56, 4, FALSE)</f>
        <v>#Level 1(100)</v>
      </c>
      <c r="AB172" s="110" t="s">
        <v>643</v>
      </c>
      <c r="AC172" s="110"/>
      <c r="AD172" s="110" t="s">
        <v>644</v>
      </c>
      <c r="AE172" s="110" t="str">
        <f>VLOOKUP(AD172,  '1.2'!$B$7:$C$2033, 2, FALSE)</f>
        <v>FUND</v>
      </c>
      <c r="AF172" s="112">
        <v>1303000000</v>
      </c>
      <c r="AG172" s="110" t="s">
        <v>1416</v>
      </c>
      <c r="AH172" s="121">
        <f t="shared" si="73"/>
        <v>0</v>
      </c>
      <c r="AI172" s="121">
        <f t="shared" si="74"/>
        <v>1</v>
      </c>
      <c r="AJ172" s="121">
        <f t="shared" si="75"/>
        <v>1</v>
      </c>
      <c r="AK172" s="121">
        <f t="shared" si="76"/>
        <v>0</v>
      </c>
      <c r="AL172" s="121">
        <f t="shared" si="77"/>
        <v>0</v>
      </c>
      <c r="AM172" s="121">
        <f t="shared" si="78"/>
        <v>0</v>
      </c>
      <c r="AN172" s="121">
        <f t="shared" si="79"/>
        <v>0</v>
      </c>
      <c r="AO172" s="121">
        <f t="shared" si="80"/>
        <v>0</v>
      </c>
      <c r="AP172" s="22">
        <f t="shared" si="81"/>
        <v>0</v>
      </c>
      <c r="AQ172" s="22">
        <f t="shared" si="82"/>
        <v>0</v>
      </c>
      <c r="AR172" s="22">
        <f t="shared" si="83"/>
        <v>0</v>
      </c>
      <c r="AS172" s="121" t="str">
        <f t="shared" si="84"/>
        <v>Crops</v>
      </c>
      <c r="AT172" s="121" t="str">
        <f t="shared" ref="AT172:AV191" si="103">IFERROR(IFERROR(MID($Q172,FIND("~",SUBSTITUTE($Q172,";","~",AT$10-1))+3,(FIND("~",SUBSTITUTE($Q172,";","~",AT$10))+0-(FIND("~",SUBSTITUTE($Q172,";","~",AT$10-1))+2))-6),MID($Q172,FIND("~",SUBSTITUTE($Q172,";","~",AT$10-1))+3,(LEN($Q172)-6-FIND("~",SUBSTITUTE($Q172,";","~",AT$10-1))-1)))," ")</f>
        <v xml:space="preserve"> </v>
      </c>
      <c r="AU172" s="121" t="str">
        <f t="shared" si="103"/>
        <v xml:space="preserve"> </v>
      </c>
      <c r="AV172" s="121" t="str">
        <f t="shared" si="103"/>
        <v xml:space="preserve"> </v>
      </c>
      <c r="AW172" s="130" t="str">
        <f t="shared" ref="AW172:AZ191" si="104">IFERROR(MID($Q172,FIND("~",SUBSTITUTE($Q172,"(","~",AW$10))+1,3)," ")</f>
        <v>100</v>
      </c>
      <c r="AX172" s="130" t="str">
        <f t="shared" si="104"/>
        <v xml:space="preserve"> </v>
      </c>
      <c r="AY172" s="130" t="str">
        <f t="shared" si="104"/>
        <v xml:space="preserve"> </v>
      </c>
      <c r="AZ172" s="130" t="str">
        <f t="shared" si="104"/>
        <v xml:space="preserve"> </v>
      </c>
      <c r="BA172" s="121">
        <f t="shared" si="85"/>
        <v>1594104.5607725938</v>
      </c>
      <c r="BB172" s="121">
        <f t="shared" si="86"/>
        <v>0</v>
      </c>
      <c r="BC172" s="121">
        <f t="shared" si="87"/>
        <v>0</v>
      </c>
      <c r="BD172" s="121">
        <f t="shared" si="88"/>
        <v>0</v>
      </c>
      <c r="BE172" s="121">
        <f t="shared" si="89"/>
        <v>0</v>
      </c>
      <c r="BF172" s="121">
        <f t="shared" si="90"/>
        <v>0</v>
      </c>
      <c r="BG172" s="121">
        <f t="shared" si="91"/>
        <v>0</v>
      </c>
      <c r="BH172" s="121">
        <f t="shared" si="92"/>
        <v>0</v>
      </c>
      <c r="BI172" s="121">
        <f t="shared" si="93"/>
        <v>0</v>
      </c>
      <c r="BJ172" s="121">
        <f t="shared" si="94"/>
        <v>0</v>
      </c>
      <c r="BK172" s="121">
        <f t="shared" si="95"/>
        <v>0</v>
      </c>
      <c r="BL172" s="121">
        <f t="shared" si="96"/>
        <v>0</v>
      </c>
      <c r="BM172" s="121">
        <f t="shared" si="97"/>
        <v>0</v>
      </c>
      <c r="BN172" s="121">
        <f t="shared" si="98"/>
        <v>0</v>
      </c>
      <c r="BO172" s="121">
        <f t="shared" si="99"/>
        <v>0</v>
      </c>
      <c r="BP172" s="121">
        <f t="shared" si="100"/>
        <v>0</v>
      </c>
      <c r="BQ172" s="199">
        <f>INDEX('GDP deflators'!$C$6:$M$36,MATCH('Bottom-up tagging'!$D172,'GDP deflators'!$B$6:$B$36,),MATCH('Bottom-up tagging'!$E172,'GDP deflators'!$C$5:$L$5,))/100</f>
        <v>1.3170905169372478</v>
      </c>
      <c r="BR172" s="24">
        <v>2099580</v>
      </c>
    </row>
    <row r="173" spans="2:70" ht="26.15" hidden="1" customHeight="1">
      <c r="B173" s="110" t="s">
        <v>308</v>
      </c>
      <c r="C173" s="110" t="s">
        <v>314</v>
      </c>
      <c r="D173" s="110" t="s">
        <v>3994</v>
      </c>
      <c r="E173" s="103">
        <v>2019</v>
      </c>
      <c r="F173" s="108" t="s">
        <v>6094</v>
      </c>
      <c r="G173" s="111" t="s">
        <v>34</v>
      </c>
      <c r="H173" s="110" t="s">
        <v>10451</v>
      </c>
      <c r="I173" s="112">
        <f>IF(Dashboard!$B$16="Current USD",'Bottom-up tagging'!BR173,'Bottom-up tagging'!BR173/'Bottom-up tagging'!BQ173)</f>
        <v>1361984.6322523714</v>
      </c>
      <c r="J173" s="105" t="s">
        <v>10474</v>
      </c>
      <c r="K173" s="112"/>
      <c r="L173" s="135">
        <v>1</v>
      </c>
      <c r="M173" s="135">
        <v>1</v>
      </c>
      <c r="N173" s="112"/>
      <c r="O173" s="112"/>
      <c r="P173" s="112" t="str">
        <f>VLOOKUP(B173, 'Companies covered restructured'!$B$7:$K$470, 9, FALSE)</f>
        <v>Farmer engagement platforms (including marketplaces and information platforms)</v>
      </c>
      <c r="Q173" s="112" t="str">
        <f>VLOOKUP(B173, 'Companies covered restructured'!$B$7:$K$470, 6, FALSE)</f>
        <v>#Crops(100)</v>
      </c>
      <c r="R173" s="112" t="str">
        <f t="shared" si="72"/>
        <v>#Investment Fund(100)</v>
      </c>
      <c r="S173" s="112" t="s">
        <v>11003</v>
      </c>
      <c r="T173" s="112" t="s">
        <v>10466</v>
      </c>
      <c r="U173" s="103" t="s">
        <v>10970</v>
      </c>
      <c r="V173" s="112" t="str">
        <f>VLOOKUP(P173, 'Bottom-up Tagging Assumptions'!$B$12:$F$39, 5, FALSE)</f>
        <v>#Process Innovation(100)</v>
      </c>
      <c r="W173" s="112" t="str">
        <f>VLOOKUP(B173, 'Companies covered restructured'!$B$7:$K$470, 7, FALSE)</f>
        <v>#Field/Animal Herd(100)</v>
      </c>
      <c r="X173" s="112" t="s">
        <v>10558</v>
      </c>
      <c r="Y173" s="212" t="str">
        <f>VLOOKUP(P173, 'Bottom-up Tagging Assumptions'!$B$12:$C$56, 2, FALSE)</f>
        <v>#Other Economic(P); #Productivity(S)</v>
      </c>
      <c r="Z173" s="112" t="str">
        <f>VLOOKUP(P173, 'Bottom-up Tagging Assumptions'!$B$12:$F$56, 3, FALSE)</f>
        <v>#Improve price realization(P); #Increasing crop or animal yield(S)</v>
      </c>
      <c r="AA173" s="112" t="str">
        <f>VLOOKUP(P173, 'Bottom-up Tagging Assumptions'!$B$12:$F$56, 4, FALSE)</f>
        <v>#Level 4(100)</v>
      </c>
      <c r="AB173" s="110" t="s">
        <v>1201</v>
      </c>
      <c r="AC173" s="110" t="s">
        <v>1202</v>
      </c>
      <c r="AD173" s="110" t="s">
        <v>928</v>
      </c>
      <c r="AE173" s="110" t="str">
        <f>VLOOKUP(AD173,  '1.2'!$B$7:$C$2033, 2, FALSE)</f>
        <v>FUND</v>
      </c>
      <c r="AF173" s="112">
        <v>214702</v>
      </c>
      <c r="AG173" s="110" t="s">
        <v>1851</v>
      </c>
      <c r="AH173" s="121">
        <f t="shared" si="73"/>
        <v>0</v>
      </c>
      <c r="AI173" s="121">
        <f t="shared" si="74"/>
        <v>1</v>
      </c>
      <c r="AJ173" s="121">
        <f t="shared" si="75"/>
        <v>1</v>
      </c>
      <c r="AK173" s="121">
        <f t="shared" si="76"/>
        <v>0</v>
      </c>
      <c r="AL173" s="121">
        <f t="shared" si="77"/>
        <v>0</v>
      </c>
      <c r="AM173" s="121">
        <f t="shared" si="78"/>
        <v>0</v>
      </c>
      <c r="AN173" s="121">
        <f t="shared" si="79"/>
        <v>0</v>
      </c>
      <c r="AO173" s="121">
        <f t="shared" si="80"/>
        <v>0</v>
      </c>
      <c r="AP173" s="22">
        <f t="shared" si="81"/>
        <v>0</v>
      </c>
      <c r="AQ173" s="22">
        <f t="shared" si="82"/>
        <v>0</v>
      </c>
      <c r="AR173" s="22">
        <f t="shared" si="83"/>
        <v>0</v>
      </c>
      <c r="AS173" s="121" t="str">
        <f t="shared" si="84"/>
        <v>Crops</v>
      </c>
      <c r="AT173" s="121" t="str">
        <f t="shared" si="103"/>
        <v xml:space="preserve"> </v>
      </c>
      <c r="AU173" s="121" t="str">
        <f t="shared" si="103"/>
        <v xml:space="preserve"> </v>
      </c>
      <c r="AV173" s="121" t="str">
        <f t="shared" si="103"/>
        <v xml:space="preserve"> </v>
      </c>
      <c r="AW173" s="130" t="str">
        <f t="shared" si="104"/>
        <v>100</v>
      </c>
      <c r="AX173" s="130" t="str">
        <f t="shared" si="104"/>
        <v xml:space="preserve"> </v>
      </c>
      <c r="AY173" s="130" t="str">
        <f t="shared" si="104"/>
        <v xml:space="preserve"> </v>
      </c>
      <c r="AZ173" s="130" t="str">
        <f t="shared" si="104"/>
        <v xml:space="preserve"> </v>
      </c>
      <c r="BA173" s="121">
        <f t="shared" si="85"/>
        <v>1361984.6322523714</v>
      </c>
      <c r="BB173" s="121">
        <f t="shared" si="86"/>
        <v>0</v>
      </c>
      <c r="BC173" s="121">
        <f t="shared" si="87"/>
        <v>0</v>
      </c>
      <c r="BD173" s="121">
        <f t="shared" si="88"/>
        <v>0</v>
      </c>
      <c r="BE173" s="121">
        <f t="shared" si="89"/>
        <v>0</v>
      </c>
      <c r="BF173" s="121">
        <f t="shared" si="90"/>
        <v>0</v>
      </c>
      <c r="BG173" s="121">
        <f t="shared" si="91"/>
        <v>0</v>
      </c>
      <c r="BH173" s="121">
        <f t="shared" si="92"/>
        <v>0</v>
      </c>
      <c r="BI173" s="121">
        <f t="shared" si="93"/>
        <v>0</v>
      </c>
      <c r="BJ173" s="121">
        <f t="shared" si="94"/>
        <v>0</v>
      </c>
      <c r="BK173" s="121">
        <f t="shared" si="95"/>
        <v>0</v>
      </c>
      <c r="BL173" s="121">
        <f t="shared" si="96"/>
        <v>0</v>
      </c>
      <c r="BM173" s="121">
        <f t="shared" si="97"/>
        <v>0</v>
      </c>
      <c r="BN173" s="121">
        <f t="shared" si="98"/>
        <v>0</v>
      </c>
      <c r="BO173" s="121">
        <f t="shared" si="99"/>
        <v>0</v>
      </c>
      <c r="BP173" s="121">
        <f t="shared" si="100"/>
        <v>0</v>
      </c>
      <c r="BQ173" s="199">
        <f>INDEX('GDP deflators'!$C$6:$M$36,MATCH('Bottom-up tagging'!$D173,'GDP deflators'!$B$6:$B$36,),MATCH('Bottom-up tagging'!$E173,'GDP deflators'!$C$5:$L$5,))/100</f>
        <v>1.5094883975306472</v>
      </c>
      <c r="BR173" s="24">
        <v>2055900</v>
      </c>
    </row>
    <row r="174" spans="2:70" ht="26.15" hidden="1" customHeight="1">
      <c r="B174" s="110" t="s">
        <v>404</v>
      </c>
      <c r="C174" s="110" t="s">
        <v>408</v>
      </c>
      <c r="D174" s="110" t="s">
        <v>3994</v>
      </c>
      <c r="E174" s="103">
        <v>2019</v>
      </c>
      <c r="F174" s="108" t="s">
        <v>7119</v>
      </c>
      <c r="G174" s="111" t="s">
        <v>34</v>
      </c>
      <c r="H174" s="110" t="s">
        <v>10451</v>
      </c>
      <c r="I174" s="112">
        <f>IF(Dashboard!$B$16="Current USD",'Bottom-up tagging'!BR174,'Bottom-up tagging'!BR174/'Bottom-up tagging'!BQ174)</f>
        <v>1339513.4426390631</v>
      </c>
      <c r="J174" s="118" t="s">
        <v>10474</v>
      </c>
      <c r="K174" s="112"/>
      <c r="L174" s="135">
        <v>1</v>
      </c>
      <c r="M174" s="135">
        <v>1</v>
      </c>
      <c r="N174" s="112"/>
      <c r="O174" s="112"/>
      <c r="P174" s="112" t="str">
        <f>VLOOKUP(B174, 'Companies covered restructured'!$B$7:$K$470, 9, FALSE)</f>
        <v>AI/analytics based advisory algorithms (incl. weather)</v>
      </c>
      <c r="Q174" s="112" t="str">
        <f>VLOOKUP(B174, 'Companies covered restructured'!$B$7:$K$470, 6, FALSE)</f>
        <v>#Crops(100)</v>
      </c>
      <c r="R174" s="112" t="str">
        <f t="shared" si="72"/>
        <v>#Investment Fund(100)</v>
      </c>
      <c r="S174" s="112" t="s">
        <v>11003</v>
      </c>
      <c r="T174" s="112" t="s">
        <v>10466</v>
      </c>
      <c r="U174" s="103" t="s">
        <v>10970</v>
      </c>
      <c r="V174" s="112" t="str">
        <f>VLOOKUP(P174, 'Bottom-up Tagging Assumptions'!$B$12:$F$39, 5, FALSE)</f>
        <v>#Science &amp; tech(100)</v>
      </c>
      <c r="W174" s="112" t="str">
        <f>VLOOKUP(B174, 'Companies covered restructured'!$B$7:$K$470, 7, FALSE)</f>
        <v>#Field/Animal Herd(100)</v>
      </c>
      <c r="X174" s="112" t="s">
        <v>10558</v>
      </c>
      <c r="Y174" s="212" t="str">
        <f>VLOOKUP(P174, 'Bottom-up Tagging Assumptions'!$B$12:$C$56, 2, FALSE)</f>
        <v>#Other Economic(P); #Productivity(S)</v>
      </c>
      <c r="Z174" s="112" t="str">
        <f>VLOOKUP(P174, 'Bottom-up Tagging Assumptions'!$B$12:$F$56, 3, FALSE)</f>
        <v>#Increasing output per unit input(P); #Increasing crop or animal yield(S)</v>
      </c>
      <c r="AA174" s="112" t="str">
        <f>VLOOKUP(P174, 'Bottom-up Tagging Assumptions'!$B$12:$F$56, 4, FALSE)</f>
        <v>#Level 1(100)</v>
      </c>
      <c r="AB174" s="110" t="s">
        <v>1098</v>
      </c>
      <c r="AC174" s="110"/>
      <c r="AD174" s="110" t="s">
        <v>1099</v>
      </c>
      <c r="AE174" s="110" t="s">
        <v>3114</v>
      </c>
      <c r="AF174" s="112"/>
      <c r="AG174" s="110" t="s">
        <v>1857</v>
      </c>
      <c r="AH174" s="121">
        <f t="shared" si="73"/>
        <v>0</v>
      </c>
      <c r="AI174" s="121">
        <f t="shared" si="74"/>
        <v>1</v>
      </c>
      <c r="AJ174" s="121">
        <f t="shared" si="75"/>
        <v>1</v>
      </c>
      <c r="AK174" s="121">
        <f t="shared" si="76"/>
        <v>0</v>
      </c>
      <c r="AL174" s="121">
        <f t="shared" si="77"/>
        <v>0</v>
      </c>
      <c r="AM174" s="121">
        <f t="shared" si="78"/>
        <v>0</v>
      </c>
      <c r="AN174" s="121">
        <f t="shared" si="79"/>
        <v>0</v>
      </c>
      <c r="AO174" s="121">
        <f t="shared" si="80"/>
        <v>0</v>
      </c>
      <c r="AP174" s="22">
        <f t="shared" si="81"/>
        <v>0</v>
      </c>
      <c r="AQ174" s="22">
        <f t="shared" si="82"/>
        <v>0</v>
      </c>
      <c r="AR174" s="22">
        <f t="shared" si="83"/>
        <v>0</v>
      </c>
      <c r="AS174" s="121" t="str">
        <f t="shared" si="84"/>
        <v>Crops</v>
      </c>
      <c r="AT174" s="121" t="str">
        <f t="shared" si="103"/>
        <v xml:space="preserve"> </v>
      </c>
      <c r="AU174" s="121" t="str">
        <f t="shared" si="103"/>
        <v xml:space="preserve"> </v>
      </c>
      <c r="AV174" s="121" t="str">
        <f t="shared" si="103"/>
        <v xml:space="preserve"> </v>
      </c>
      <c r="AW174" s="130" t="str">
        <f t="shared" si="104"/>
        <v>100</v>
      </c>
      <c r="AX174" s="130" t="str">
        <f t="shared" si="104"/>
        <v xml:space="preserve"> </v>
      </c>
      <c r="AY174" s="130" t="str">
        <f t="shared" si="104"/>
        <v xml:space="preserve"> </v>
      </c>
      <c r="AZ174" s="130" t="str">
        <f t="shared" si="104"/>
        <v xml:space="preserve"> </v>
      </c>
      <c r="BA174" s="121">
        <f t="shared" si="85"/>
        <v>1339513.4426390631</v>
      </c>
      <c r="BB174" s="121">
        <f t="shared" si="86"/>
        <v>0</v>
      </c>
      <c r="BC174" s="121">
        <f t="shared" si="87"/>
        <v>0</v>
      </c>
      <c r="BD174" s="121">
        <f t="shared" si="88"/>
        <v>0</v>
      </c>
      <c r="BE174" s="121">
        <f t="shared" si="89"/>
        <v>0</v>
      </c>
      <c r="BF174" s="121">
        <f t="shared" si="90"/>
        <v>0</v>
      </c>
      <c r="BG174" s="121">
        <f t="shared" si="91"/>
        <v>0</v>
      </c>
      <c r="BH174" s="121">
        <f t="shared" si="92"/>
        <v>0</v>
      </c>
      <c r="BI174" s="121">
        <f t="shared" si="93"/>
        <v>0</v>
      </c>
      <c r="BJ174" s="121">
        <f t="shared" si="94"/>
        <v>0</v>
      </c>
      <c r="BK174" s="121">
        <f t="shared" si="95"/>
        <v>0</v>
      </c>
      <c r="BL174" s="121">
        <f t="shared" si="96"/>
        <v>0</v>
      </c>
      <c r="BM174" s="121">
        <f t="shared" si="97"/>
        <v>0</v>
      </c>
      <c r="BN174" s="121">
        <f t="shared" si="98"/>
        <v>0</v>
      </c>
      <c r="BO174" s="121">
        <f t="shared" si="99"/>
        <v>0</v>
      </c>
      <c r="BP174" s="121">
        <f t="shared" si="100"/>
        <v>0</v>
      </c>
      <c r="BQ174" s="199">
        <f>INDEX('GDP deflators'!$C$6:$M$36,MATCH('Bottom-up tagging'!$D174,'GDP deflators'!$B$6:$B$36,),MATCH('Bottom-up tagging'!$E174,'GDP deflators'!$C$5:$L$5,))/100</f>
        <v>1.5094883975306472</v>
      </c>
      <c r="BR174" s="24">
        <v>2021980</v>
      </c>
    </row>
    <row r="175" spans="2:70" ht="26.15" hidden="1" customHeight="1">
      <c r="B175" s="110" t="s">
        <v>897</v>
      </c>
      <c r="C175" s="110" t="s">
        <v>903</v>
      </c>
      <c r="D175" s="110" t="s">
        <v>3994</v>
      </c>
      <c r="E175" s="103">
        <v>2019</v>
      </c>
      <c r="F175" s="108" t="s">
        <v>8506</v>
      </c>
      <c r="G175" s="111" t="s">
        <v>109</v>
      </c>
      <c r="H175" s="110" t="s">
        <v>10451</v>
      </c>
      <c r="I175" s="112">
        <f>IF(Dashboard!$B$16="Current USD",'Bottom-up tagging'!BR175,'Bottom-up tagging'!BR175/'Bottom-up tagging'!BQ175)</f>
        <v>1332954.9291611223</v>
      </c>
      <c r="J175" s="117" t="s">
        <v>10474</v>
      </c>
      <c r="K175" s="112"/>
      <c r="L175" s="135">
        <v>1</v>
      </c>
      <c r="M175" s="135">
        <v>1</v>
      </c>
      <c r="N175" s="112"/>
      <c r="O175" s="112"/>
      <c r="P175" s="112" t="str">
        <f>VLOOKUP(B175, 'Companies covered restructured'!$B$7:$K$470, 9, FALSE)</f>
        <v>AI/analytics based advisory algorithms (incl. weather)</v>
      </c>
      <c r="Q175" s="112" t="str">
        <f>VLOOKUP(B175, 'Companies covered restructured'!$B$7:$K$470, 6, FALSE)</f>
        <v>#Crops(100)</v>
      </c>
      <c r="R175" s="112" t="str">
        <f t="shared" si="72"/>
        <v>#Investment Fund(100)</v>
      </c>
      <c r="S175" s="112" t="s">
        <v>11003</v>
      </c>
      <c r="T175" s="112" t="s">
        <v>10466</v>
      </c>
      <c r="U175" s="103" t="s">
        <v>10970</v>
      </c>
      <c r="V175" s="112" t="str">
        <f>VLOOKUP(P175, 'Bottom-up Tagging Assumptions'!$B$12:$F$39, 5, FALSE)</f>
        <v>#Science &amp; tech(100)</v>
      </c>
      <c r="W175" s="112" t="str">
        <f>VLOOKUP(B175, 'Companies covered restructured'!$B$7:$K$470, 7, FALSE)</f>
        <v>N/A</v>
      </c>
      <c r="X175" s="112" t="str">
        <f>VLOOKUP(B175, 'Companies covered restructured'!$B$7:$K$470, 8, FALSE)</f>
        <v>N/A</v>
      </c>
      <c r="Y175" s="212" t="str">
        <f>VLOOKUP(P175, 'Bottom-up Tagging Assumptions'!$B$12:$C$56, 2, FALSE)</f>
        <v>#Other Economic(P); #Productivity(S)</v>
      </c>
      <c r="Z175" s="112" t="str">
        <f>VLOOKUP(P175, 'Bottom-up Tagging Assumptions'!$B$12:$F$56, 3, FALSE)</f>
        <v>#Increasing output per unit input(P); #Increasing crop or animal yield(S)</v>
      </c>
      <c r="AA175" s="112" t="str">
        <f>VLOOKUP(P175, 'Bottom-up Tagging Assumptions'!$B$12:$F$56, 4, FALSE)</f>
        <v>#Level 1(100)</v>
      </c>
      <c r="AB175" s="110" t="s">
        <v>1092</v>
      </c>
      <c r="AC175" s="110"/>
      <c r="AD175" s="110" t="s">
        <v>1093</v>
      </c>
      <c r="AE175" s="110" t="str">
        <f>VLOOKUP(AD175,  '1.2'!$B$7:$C$2033, 2, FALSE)</f>
        <v>FUND</v>
      </c>
      <c r="AF175" s="112"/>
      <c r="AG175" s="110" t="s">
        <v>1861</v>
      </c>
      <c r="AH175" s="121">
        <f t="shared" si="73"/>
        <v>0</v>
      </c>
      <c r="AI175" s="121">
        <f t="shared" si="74"/>
        <v>1</v>
      </c>
      <c r="AJ175" s="121">
        <f t="shared" si="75"/>
        <v>1</v>
      </c>
      <c r="AK175" s="121">
        <f t="shared" si="76"/>
        <v>0</v>
      </c>
      <c r="AL175" s="121">
        <f t="shared" si="77"/>
        <v>0</v>
      </c>
      <c r="AM175" s="121">
        <f t="shared" si="78"/>
        <v>0</v>
      </c>
      <c r="AN175" s="121">
        <f t="shared" si="79"/>
        <v>0</v>
      </c>
      <c r="AO175" s="121">
        <f t="shared" si="80"/>
        <v>0</v>
      </c>
      <c r="AP175" s="22">
        <f t="shared" si="81"/>
        <v>0</v>
      </c>
      <c r="AQ175" s="22">
        <f t="shared" si="82"/>
        <v>0</v>
      </c>
      <c r="AR175" s="22">
        <f t="shared" si="83"/>
        <v>0</v>
      </c>
      <c r="AS175" s="121" t="str">
        <f t="shared" si="84"/>
        <v>Crops</v>
      </c>
      <c r="AT175" s="121" t="str">
        <f t="shared" si="103"/>
        <v xml:space="preserve"> </v>
      </c>
      <c r="AU175" s="121" t="str">
        <f t="shared" si="103"/>
        <v xml:space="preserve"> </v>
      </c>
      <c r="AV175" s="121" t="str">
        <f t="shared" si="103"/>
        <v xml:space="preserve"> </v>
      </c>
      <c r="AW175" s="130" t="str">
        <f t="shared" si="104"/>
        <v>100</v>
      </c>
      <c r="AX175" s="130" t="str">
        <f t="shared" si="104"/>
        <v xml:space="preserve"> </v>
      </c>
      <c r="AY175" s="130" t="str">
        <f t="shared" si="104"/>
        <v xml:space="preserve"> </v>
      </c>
      <c r="AZ175" s="130" t="str">
        <f t="shared" si="104"/>
        <v xml:space="preserve"> </v>
      </c>
      <c r="BA175" s="121">
        <f t="shared" si="85"/>
        <v>1332954.9291611223</v>
      </c>
      <c r="BB175" s="121">
        <f t="shared" si="86"/>
        <v>0</v>
      </c>
      <c r="BC175" s="121">
        <f t="shared" si="87"/>
        <v>0</v>
      </c>
      <c r="BD175" s="121">
        <f t="shared" si="88"/>
        <v>0</v>
      </c>
      <c r="BE175" s="121">
        <f t="shared" si="89"/>
        <v>0</v>
      </c>
      <c r="BF175" s="121">
        <f t="shared" si="90"/>
        <v>0</v>
      </c>
      <c r="BG175" s="121">
        <f t="shared" si="91"/>
        <v>0</v>
      </c>
      <c r="BH175" s="121">
        <f t="shared" si="92"/>
        <v>0</v>
      </c>
      <c r="BI175" s="121">
        <f t="shared" si="93"/>
        <v>0</v>
      </c>
      <c r="BJ175" s="121">
        <f t="shared" si="94"/>
        <v>0</v>
      </c>
      <c r="BK175" s="121">
        <f t="shared" si="95"/>
        <v>0</v>
      </c>
      <c r="BL175" s="121">
        <f t="shared" si="96"/>
        <v>0</v>
      </c>
      <c r="BM175" s="121">
        <f t="shared" si="97"/>
        <v>0</v>
      </c>
      <c r="BN175" s="121">
        <f t="shared" si="98"/>
        <v>0</v>
      </c>
      <c r="BO175" s="121">
        <f t="shared" si="99"/>
        <v>0</v>
      </c>
      <c r="BP175" s="121">
        <f t="shared" si="100"/>
        <v>0</v>
      </c>
      <c r="BQ175" s="199">
        <f>INDEX('GDP deflators'!$C$6:$M$36,MATCH('Bottom-up tagging'!$D175,'GDP deflators'!$B$6:$B$36,),MATCH('Bottom-up tagging'!$E175,'GDP deflators'!$C$5:$L$5,))/100</f>
        <v>1.5094883975306472</v>
      </c>
      <c r="BR175" s="24">
        <v>2012080</v>
      </c>
    </row>
    <row r="176" spans="2:70" ht="26.15" hidden="1" customHeight="1">
      <c r="B176" s="110" t="s">
        <v>191</v>
      </c>
      <c r="C176" s="110" t="s">
        <v>196</v>
      </c>
      <c r="D176" s="110" t="s">
        <v>3468</v>
      </c>
      <c r="E176" s="103">
        <v>2020</v>
      </c>
      <c r="F176" s="108" t="s">
        <v>6545</v>
      </c>
      <c r="G176" s="111" t="s">
        <v>34</v>
      </c>
      <c r="H176" s="110" t="s">
        <v>10451</v>
      </c>
      <c r="I176" s="212">
        <v>0</v>
      </c>
      <c r="J176" s="117" t="s">
        <v>10474</v>
      </c>
      <c r="K176" s="112"/>
      <c r="L176" s="135">
        <v>1</v>
      </c>
      <c r="M176" s="135">
        <v>1</v>
      </c>
      <c r="N176" s="112"/>
      <c r="O176" s="112"/>
      <c r="P176" s="112" t="str">
        <f>VLOOKUP(B176, 'Companies covered restructured'!$B$7:$K$470, 9, FALSE)</f>
        <v>Farmer engagement platforms (including marketplaces and information platforms)</v>
      </c>
      <c r="Q176" s="112" t="str">
        <f>VLOOKUP(B176, 'Companies covered restructured'!$B$7:$K$470, 6, FALSE)</f>
        <v>#Crops(100)</v>
      </c>
      <c r="R176" s="112" t="str">
        <f t="shared" si="72"/>
        <v>#Investment Fund(100)</v>
      </c>
      <c r="S176" s="112" t="s">
        <v>11003</v>
      </c>
      <c r="T176" s="112" t="s">
        <v>10466</v>
      </c>
      <c r="U176" s="103" t="s">
        <v>10970</v>
      </c>
      <c r="V176" s="112" t="str">
        <f>VLOOKUP(P176, 'Bottom-up Tagging Assumptions'!$B$12:$F$39, 5, FALSE)</f>
        <v>#Process Innovation(100)</v>
      </c>
      <c r="W176" s="112" t="str">
        <f>VLOOKUP(B176, 'Companies covered restructured'!$B$7:$K$470, 7, FALSE)</f>
        <v>#Field/Animal Herd(100)</v>
      </c>
      <c r="X176" s="112" t="s">
        <v>10558</v>
      </c>
      <c r="Y176" s="112" t="str">
        <f>VLOOKUP(P176, '[2]Bottom-up Tagging Assumptions'!$B$12:$F$56, 2, FALSE)</f>
        <v>#Other Economic(P); #Productivity(S)</v>
      </c>
      <c r="Z176" s="112" t="str">
        <f>VLOOKUP(P176, 'Bottom-up Tagging Assumptions'!$B$12:$F$56, 3, FALSE)</f>
        <v>#Improve price realization(P); #Increasing crop or animal yield(S)</v>
      </c>
      <c r="AA176" s="112" t="str">
        <f>VLOOKUP(P176, 'Bottom-up Tagging Assumptions'!$B$12:$F$56, 4, FALSE)</f>
        <v>#Level 4(100)</v>
      </c>
      <c r="AB176" s="110" t="s">
        <v>193</v>
      </c>
      <c r="AC176" s="110"/>
      <c r="AD176" s="110" t="s">
        <v>194</v>
      </c>
      <c r="AE176" s="110" t="s">
        <v>3114</v>
      </c>
      <c r="AF176" s="112">
        <v>1437605</v>
      </c>
      <c r="AG176" s="110" t="s">
        <v>1759</v>
      </c>
      <c r="AH176" s="121">
        <f t="shared" si="73"/>
        <v>0</v>
      </c>
      <c r="AI176" s="121">
        <f t="shared" si="74"/>
        <v>1</v>
      </c>
      <c r="AJ176" s="121">
        <f t="shared" si="75"/>
        <v>1</v>
      </c>
      <c r="AK176" s="121">
        <f t="shared" si="76"/>
        <v>0</v>
      </c>
      <c r="AL176" s="121">
        <f t="shared" si="77"/>
        <v>0</v>
      </c>
      <c r="AM176" s="121">
        <f t="shared" si="78"/>
        <v>0</v>
      </c>
      <c r="AN176" s="121">
        <f t="shared" si="79"/>
        <v>0</v>
      </c>
      <c r="AO176" s="121">
        <f t="shared" si="80"/>
        <v>0</v>
      </c>
      <c r="AP176" s="22">
        <f t="shared" si="81"/>
        <v>0</v>
      </c>
      <c r="AQ176" s="22">
        <f t="shared" si="82"/>
        <v>0</v>
      </c>
      <c r="AR176" s="22">
        <f t="shared" si="83"/>
        <v>0</v>
      </c>
      <c r="AS176" s="121" t="str">
        <f t="shared" si="84"/>
        <v>Crops</v>
      </c>
      <c r="AT176" s="121" t="str">
        <f t="shared" si="103"/>
        <v xml:space="preserve"> </v>
      </c>
      <c r="AU176" s="121" t="str">
        <f t="shared" si="103"/>
        <v xml:space="preserve"> </v>
      </c>
      <c r="AV176" s="121" t="str">
        <f t="shared" si="103"/>
        <v xml:space="preserve"> </v>
      </c>
      <c r="AW176" s="130" t="str">
        <f t="shared" si="104"/>
        <v>100</v>
      </c>
      <c r="AX176" s="130" t="str">
        <f t="shared" si="104"/>
        <v xml:space="preserve"> </v>
      </c>
      <c r="AY176" s="130" t="str">
        <f t="shared" si="104"/>
        <v xml:space="preserve"> </v>
      </c>
      <c r="AZ176" s="130" t="str">
        <f t="shared" si="104"/>
        <v xml:space="preserve"> </v>
      </c>
      <c r="BA176" s="121">
        <f t="shared" si="85"/>
        <v>0</v>
      </c>
      <c r="BB176" s="121">
        <f t="shared" si="86"/>
        <v>0</v>
      </c>
      <c r="BC176" s="121">
        <f t="shared" si="87"/>
        <v>0</v>
      </c>
      <c r="BD176" s="121">
        <f t="shared" si="88"/>
        <v>0</v>
      </c>
      <c r="BE176" s="121">
        <f t="shared" si="89"/>
        <v>0</v>
      </c>
      <c r="BF176" s="121">
        <f t="shared" si="90"/>
        <v>0</v>
      </c>
      <c r="BG176" s="121">
        <f t="shared" si="91"/>
        <v>0</v>
      </c>
      <c r="BH176" s="121">
        <f t="shared" si="92"/>
        <v>0</v>
      </c>
      <c r="BI176" s="121">
        <f t="shared" si="93"/>
        <v>0</v>
      </c>
      <c r="BJ176" s="121">
        <f t="shared" si="94"/>
        <v>0</v>
      </c>
      <c r="BK176" s="121">
        <f t="shared" si="95"/>
        <v>0</v>
      </c>
      <c r="BL176" s="121">
        <f t="shared" si="96"/>
        <v>0</v>
      </c>
      <c r="BM176" s="121">
        <f t="shared" si="97"/>
        <v>0</v>
      </c>
      <c r="BN176" s="121">
        <f t="shared" si="98"/>
        <v>0</v>
      </c>
      <c r="BO176" s="121">
        <f t="shared" si="99"/>
        <v>0</v>
      </c>
      <c r="BP176" s="121">
        <f t="shared" si="100"/>
        <v>0</v>
      </c>
      <c r="BQ176" s="199" t="e">
        <f>INDEX('GDP deflators'!$C$6:$M$36,MATCH('Bottom-up tagging'!$D176,'GDP deflators'!$B$6:$B$36,),MATCH('Bottom-up tagging'!$E176,'GDP deflators'!$C$5:$L$5,))/100</f>
        <v>#N/A</v>
      </c>
      <c r="BR176" s="24">
        <v>2000000</v>
      </c>
    </row>
    <row r="177" spans="2:70" ht="26.15" hidden="1" customHeight="1">
      <c r="B177" s="110" t="s">
        <v>217</v>
      </c>
      <c r="C177" s="110" t="s">
        <v>221</v>
      </c>
      <c r="D177" s="110" t="s">
        <v>3994</v>
      </c>
      <c r="E177" s="103">
        <v>2020</v>
      </c>
      <c r="F177" s="108" t="s">
        <v>8133</v>
      </c>
      <c r="G177" s="111" t="s">
        <v>34</v>
      </c>
      <c r="H177" s="110" t="s">
        <v>10451</v>
      </c>
      <c r="I177" s="212">
        <v>0</v>
      </c>
      <c r="J177" s="105" t="s">
        <v>10474</v>
      </c>
      <c r="K177" s="112"/>
      <c r="L177" s="135">
        <v>1</v>
      </c>
      <c r="M177" s="135">
        <v>1</v>
      </c>
      <c r="N177" s="112"/>
      <c r="O177" s="112"/>
      <c r="P177" s="112" t="str">
        <f>VLOOKUP(B177, 'Companies covered restructured'!$B$7:$K$470, 9, FALSE)</f>
        <v>Agri input e-commerce platforms</v>
      </c>
      <c r="Q177" s="112" t="str">
        <f>VLOOKUP(B177, 'Companies covered restructured'!$B$7:$K$470, 6, FALSE)</f>
        <v>#Crops(100)</v>
      </c>
      <c r="R177" s="112" t="str">
        <f t="shared" si="72"/>
        <v>#Investment Fund(100)</v>
      </c>
      <c r="S177" s="112" t="s">
        <v>11003</v>
      </c>
      <c r="T177" s="112" t="s">
        <v>10466</v>
      </c>
      <c r="U177" s="103" t="s">
        <v>10970</v>
      </c>
      <c r="V177" s="112" t="str">
        <f>VLOOKUP(P177, 'Bottom-up Tagging Assumptions'!$B$12:$F$39, 5, FALSE)</f>
        <v>#Process Innovation(100)</v>
      </c>
      <c r="W177" s="112" t="str">
        <f>VLOOKUP(B177, 'Companies covered restructured'!$B$7:$K$470, 7, FALSE)</f>
        <v>#Landscape(100)</v>
      </c>
      <c r="X177" s="112" t="str">
        <f>VLOOKUP(B177, 'Companies covered restructured'!$B$7:$K$470, 8, FALSE)</f>
        <v>N/A</v>
      </c>
      <c r="Y177" s="112" t="str">
        <f>VLOOKUP(P177, '[2]Bottom-up Tagging Assumptions'!$B$12:$F$56, 2, FALSE)</f>
        <v>#Other Economic(P); Productivity(S)</v>
      </c>
      <c r="Z177" s="112" t="str">
        <f>VLOOKUP(P177, 'Bottom-up Tagging Assumptions'!$B$12:$F$56, 3, FALSE)</f>
        <v>#Reduce cost of inputs(P)</v>
      </c>
      <c r="AA177" s="112" t="str">
        <f>VLOOKUP(P177, 'Bottom-up Tagging Assumptions'!$B$12:$F$56, 4, FALSE)</f>
        <v>#Level 1(100)</v>
      </c>
      <c r="AB177" s="110" t="s">
        <v>219</v>
      </c>
      <c r="AC177" s="110"/>
      <c r="AD177" s="110" t="s">
        <v>220</v>
      </c>
      <c r="AE177" s="110" t="str">
        <f>VLOOKUP(AD177,  '1.2'!$B$7:$C$2033, 2, FALSE)</f>
        <v>FUND</v>
      </c>
      <c r="AF177" s="112">
        <v>2000000</v>
      </c>
      <c r="AG177" s="110" t="s">
        <v>1153</v>
      </c>
      <c r="AH177" s="121">
        <f t="shared" si="73"/>
        <v>0</v>
      </c>
      <c r="AI177" s="121">
        <f t="shared" si="74"/>
        <v>1</v>
      </c>
      <c r="AJ177" s="121">
        <f t="shared" si="75"/>
        <v>1</v>
      </c>
      <c r="AK177" s="121">
        <f t="shared" si="76"/>
        <v>0</v>
      </c>
      <c r="AL177" s="121">
        <f t="shared" si="77"/>
        <v>0</v>
      </c>
      <c r="AM177" s="121">
        <f t="shared" si="78"/>
        <v>0</v>
      </c>
      <c r="AN177" s="121">
        <f t="shared" si="79"/>
        <v>0</v>
      </c>
      <c r="AO177" s="121">
        <f t="shared" si="80"/>
        <v>0</v>
      </c>
      <c r="AP177" s="22">
        <f t="shared" si="81"/>
        <v>0</v>
      </c>
      <c r="AQ177" s="22">
        <f t="shared" si="82"/>
        <v>0</v>
      </c>
      <c r="AR177" s="22">
        <f t="shared" si="83"/>
        <v>0</v>
      </c>
      <c r="AS177" s="121" t="str">
        <f t="shared" si="84"/>
        <v>Crops</v>
      </c>
      <c r="AT177" s="121" t="str">
        <f t="shared" si="103"/>
        <v xml:space="preserve"> </v>
      </c>
      <c r="AU177" s="121" t="str">
        <f t="shared" si="103"/>
        <v xml:space="preserve"> </v>
      </c>
      <c r="AV177" s="121" t="str">
        <f t="shared" si="103"/>
        <v xml:space="preserve"> </v>
      </c>
      <c r="AW177" s="130" t="str">
        <f t="shared" si="104"/>
        <v>100</v>
      </c>
      <c r="AX177" s="130" t="str">
        <f t="shared" si="104"/>
        <v xml:space="preserve"> </v>
      </c>
      <c r="AY177" s="130" t="str">
        <f t="shared" si="104"/>
        <v xml:space="preserve"> </v>
      </c>
      <c r="AZ177" s="130" t="str">
        <f t="shared" si="104"/>
        <v xml:space="preserve"> </v>
      </c>
      <c r="BA177" s="121">
        <f t="shared" si="85"/>
        <v>0</v>
      </c>
      <c r="BB177" s="121">
        <f t="shared" si="86"/>
        <v>0</v>
      </c>
      <c r="BC177" s="121">
        <f t="shared" si="87"/>
        <v>0</v>
      </c>
      <c r="BD177" s="121">
        <f t="shared" si="88"/>
        <v>0</v>
      </c>
      <c r="BE177" s="121">
        <f t="shared" si="89"/>
        <v>0</v>
      </c>
      <c r="BF177" s="121">
        <f t="shared" si="90"/>
        <v>0</v>
      </c>
      <c r="BG177" s="121">
        <f t="shared" si="91"/>
        <v>0</v>
      </c>
      <c r="BH177" s="121">
        <f t="shared" si="92"/>
        <v>0</v>
      </c>
      <c r="BI177" s="121">
        <f t="shared" si="93"/>
        <v>0</v>
      </c>
      <c r="BJ177" s="121">
        <f t="shared" si="94"/>
        <v>0</v>
      </c>
      <c r="BK177" s="121">
        <f t="shared" si="95"/>
        <v>0</v>
      </c>
      <c r="BL177" s="121">
        <f t="shared" si="96"/>
        <v>0</v>
      </c>
      <c r="BM177" s="121">
        <f t="shared" si="97"/>
        <v>0</v>
      </c>
      <c r="BN177" s="121">
        <f t="shared" si="98"/>
        <v>0</v>
      </c>
      <c r="BO177" s="121">
        <f t="shared" si="99"/>
        <v>0</v>
      </c>
      <c r="BP177" s="121">
        <f t="shared" si="100"/>
        <v>0</v>
      </c>
      <c r="BQ177" s="199" t="e">
        <f>INDEX('GDP deflators'!$C$6:$M$36,MATCH('Bottom-up tagging'!$D177,'GDP deflators'!$B$6:$B$36,),MATCH('Bottom-up tagging'!$E177,'GDP deflators'!$C$5:$L$5,))/100</f>
        <v>#N/A</v>
      </c>
      <c r="BR177" s="24">
        <v>2000000</v>
      </c>
    </row>
    <row r="178" spans="2:70" ht="26.15" hidden="1" customHeight="1">
      <c r="B178" s="110" t="s">
        <v>259</v>
      </c>
      <c r="C178" s="110" t="s">
        <v>264</v>
      </c>
      <c r="D178" s="110" t="s">
        <v>3994</v>
      </c>
      <c r="E178" s="103">
        <v>2020</v>
      </c>
      <c r="F178" s="108" t="s">
        <v>7396</v>
      </c>
      <c r="G178" s="111" t="s">
        <v>34</v>
      </c>
      <c r="H178" s="110" t="s">
        <v>10451</v>
      </c>
      <c r="I178" s="212">
        <v>0</v>
      </c>
      <c r="J178" s="105" t="s">
        <v>10474</v>
      </c>
      <c r="K178" s="112"/>
      <c r="L178" s="135">
        <v>1</v>
      </c>
      <c r="M178" s="135">
        <v>1</v>
      </c>
      <c r="N178" s="112"/>
      <c r="O178" s="112"/>
      <c r="P178" s="112" t="str">
        <f>VLOOKUP(B178, 'Companies covered restructured'!$B$7:$K$470, 9, FALSE)</f>
        <v>Precision agriculture</v>
      </c>
      <c r="Q178" s="112" t="str">
        <f>VLOOKUP(B178, 'Companies covered restructured'!$B$7:$K$470, 6, FALSE)</f>
        <v>#Crops(100)</v>
      </c>
      <c r="R178" s="112" t="str">
        <f t="shared" si="72"/>
        <v>#Investment Fund(100)</v>
      </c>
      <c r="S178" s="112" t="s">
        <v>11003</v>
      </c>
      <c r="T178" s="112" t="s">
        <v>10466</v>
      </c>
      <c r="U178" s="103" t="s">
        <v>10970</v>
      </c>
      <c r="V178" s="112" t="str">
        <f>VLOOKUP(P178, 'Bottom-up Tagging Assumptions'!$B$12:$F$39, 5, FALSE)</f>
        <v>#Science &amp; tech(100)</v>
      </c>
      <c r="W178" s="112" t="str">
        <f>VLOOKUP(B178, 'Companies covered restructured'!$B$7:$K$470, 7, FALSE)</f>
        <v>#Field/Animal Herd(100)</v>
      </c>
      <c r="X178" s="112" t="s">
        <v>10558</v>
      </c>
      <c r="Y178" s="112" t="str">
        <f>VLOOKUP(P178, '[2]Bottom-up Tagging Assumptions'!$B$12:$F$56, 2, FALSE)</f>
        <v>#Other Economic(P); #Productivity(S)</v>
      </c>
      <c r="Z178" s="112" t="str">
        <f>VLOOKUP(P178, 'Bottom-up Tagging Assumptions'!$B$12:$F$56, 3, FALSE)</f>
        <v>#Increasing output per unit input(P); #Increasing crop or animal yield(S)</v>
      </c>
      <c r="AA178" s="112" t="str">
        <f>VLOOKUP(P178, 'Bottom-up Tagging Assumptions'!$B$12:$F$56, 4, FALSE)</f>
        <v>#Level 1(100)</v>
      </c>
      <c r="AB178" s="110" t="s">
        <v>261</v>
      </c>
      <c r="AC178" s="110" t="s">
        <v>262</v>
      </c>
      <c r="AD178" s="110" t="s">
        <v>263</v>
      </c>
      <c r="AE178" s="110" t="str">
        <f>VLOOKUP(AD178,  '1.2'!$B$7:$C$2033, 2, FALSE)</f>
        <v>FUND</v>
      </c>
      <c r="AF178" s="112">
        <v>11768115</v>
      </c>
      <c r="AG178" s="110" t="s">
        <v>1871</v>
      </c>
      <c r="AH178" s="121">
        <f t="shared" si="73"/>
        <v>0</v>
      </c>
      <c r="AI178" s="121">
        <f t="shared" si="74"/>
        <v>1</v>
      </c>
      <c r="AJ178" s="121">
        <f t="shared" si="75"/>
        <v>1</v>
      </c>
      <c r="AK178" s="121">
        <f t="shared" si="76"/>
        <v>0</v>
      </c>
      <c r="AL178" s="121">
        <f t="shared" si="77"/>
        <v>0</v>
      </c>
      <c r="AM178" s="121">
        <f t="shared" si="78"/>
        <v>0</v>
      </c>
      <c r="AN178" s="121">
        <f t="shared" si="79"/>
        <v>0</v>
      </c>
      <c r="AO178" s="121">
        <f t="shared" si="80"/>
        <v>0</v>
      </c>
      <c r="AP178" s="22">
        <f t="shared" si="81"/>
        <v>0</v>
      </c>
      <c r="AQ178" s="22">
        <f t="shared" si="82"/>
        <v>0</v>
      </c>
      <c r="AR178" s="22">
        <f t="shared" si="83"/>
        <v>0</v>
      </c>
      <c r="AS178" s="121" t="str">
        <f t="shared" si="84"/>
        <v>Crops</v>
      </c>
      <c r="AT178" s="121" t="str">
        <f t="shared" si="103"/>
        <v xml:space="preserve"> </v>
      </c>
      <c r="AU178" s="121" t="str">
        <f t="shared" si="103"/>
        <v xml:space="preserve"> </v>
      </c>
      <c r="AV178" s="121" t="str">
        <f t="shared" si="103"/>
        <v xml:space="preserve"> </v>
      </c>
      <c r="AW178" s="130" t="str">
        <f t="shared" si="104"/>
        <v>100</v>
      </c>
      <c r="AX178" s="130" t="str">
        <f t="shared" si="104"/>
        <v xml:space="preserve"> </v>
      </c>
      <c r="AY178" s="130" t="str">
        <f t="shared" si="104"/>
        <v xml:space="preserve"> </v>
      </c>
      <c r="AZ178" s="130" t="str">
        <f t="shared" si="104"/>
        <v xml:space="preserve"> </v>
      </c>
      <c r="BA178" s="121">
        <f t="shared" si="85"/>
        <v>0</v>
      </c>
      <c r="BB178" s="121">
        <f t="shared" si="86"/>
        <v>0</v>
      </c>
      <c r="BC178" s="121">
        <f t="shared" si="87"/>
        <v>0</v>
      </c>
      <c r="BD178" s="121">
        <f t="shared" si="88"/>
        <v>0</v>
      </c>
      <c r="BE178" s="121">
        <f t="shared" si="89"/>
        <v>0</v>
      </c>
      <c r="BF178" s="121">
        <f t="shared" si="90"/>
        <v>0</v>
      </c>
      <c r="BG178" s="121">
        <f t="shared" si="91"/>
        <v>0</v>
      </c>
      <c r="BH178" s="121">
        <f t="shared" si="92"/>
        <v>0</v>
      </c>
      <c r="BI178" s="121">
        <f t="shared" si="93"/>
        <v>0</v>
      </c>
      <c r="BJ178" s="121">
        <f t="shared" si="94"/>
        <v>0</v>
      </c>
      <c r="BK178" s="121">
        <f t="shared" si="95"/>
        <v>0</v>
      </c>
      <c r="BL178" s="121">
        <f t="shared" si="96"/>
        <v>0</v>
      </c>
      <c r="BM178" s="121">
        <f t="shared" si="97"/>
        <v>0</v>
      </c>
      <c r="BN178" s="121">
        <f t="shared" si="98"/>
        <v>0</v>
      </c>
      <c r="BO178" s="121">
        <f t="shared" si="99"/>
        <v>0</v>
      </c>
      <c r="BP178" s="121">
        <f t="shared" si="100"/>
        <v>0</v>
      </c>
      <c r="BQ178" s="199" t="e">
        <f>INDEX('GDP deflators'!$C$6:$M$36,MATCH('Bottom-up tagging'!$D178,'GDP deflators'!$B$6:$B$36,),MATCH('Bottom-up tagging'!$E178,'GDP deflators'!$C$5:$L$5,))/100</f>
        <v>#N/A</v>
      </c>
      <c r="BR178" s="24">
        <v>2000000</v>
      </c>
    </row>
    <row r="179" spans="2:70" ht="26.15" hidden="1" customHeight="1">
      <c r="B179" s="110" t="s">
        <v>996</v>
      </c>
      <c r="C179" s="110" t="s">
        <v>1001</v>
      </c>
      <c r="D179" s="110" t="s">
        <v>3994</v>
      </c>
      <c r="E179" s="103">
        <v>2019</v>
      </c>
      <c r="F179" s="108" t="s">
        <v>5699</v>
      </c>
      <c r="G179" s="111" t="s">
        <v>34</v>
      </c>
      <c r="H179" s="110" t="s">
        <v>10451</v>
      </c>
      <c r="I179" s="112">
        <f>IF(Dashboard!$B$16="Current USD",'Bottom-up tagging'!BR179,'Bottom-up tagging'!BR179/'Bottom-up tagging'!BQ179)</f>
        <v>1324952.2177658167</v>
      </c>
      <c r="J179" s="105" t="s">
        <v>10474</v>
      </c>
      <c r="K179" s="112"/>
      <c r="L179" s="135">
        <v>1</v>
      </c>
      <c r="M179" s="135">
        <v>1</v>
      </c>
      <c r="N179" s="112"/>
      <c r="O179" s="112"/>
      <c r="P179" s="112" t="str">
        <f>VLOOKUP(B179, 'Companies covered restructured'!$B$7:$K$470, 9, FALSE)</f>
        <v>Agri marketplaces</v>
      </c>
      <c r="Q179" s="112" t="str">
        <f>VLOOKUP(B179, 'Companies covered restructured'!$B$7:$K$470, 6, FALSE)</f>
        <v>#Crops(100)</v>
      </c>
      <c r="R179" s="112" t="str">
        <f t="shared" si="72"/>
        <v>#Investment Fund(100)</v>
      </c>
      <c r="S179" s="112" t="s">
        <v>11003</v>
      </c>
      <c r="T179" s="112" t="s">
        <v>10466</v>
      </c>
      <c r="U179" s="103" t="s">
        <v>10970</v>
      </c>
      <c r="V179" s="112" t="str">
        <f>VLOOKUP(P179, 'Bottom-up Tagging Assumptions'!$B$12:$F$39, 5, FALSE)</f>
        <v>#Process Innovation(100)</v>
      </c>
      <c r="W179" s="112" t="str">
        <f>VLOOKUP(B179, 'Companies covered restructured'!$B$7:$K$470, 7, FALSE)</f>
        <v>#Farm/Household(100)</v>
      </c>
      <c r="X179" s="112" t="s">
        <v>10558</v>
      </c>
      <c r="Y179" s="212" t="str">
        <f>VLOOKUP(P179, 'Bottom-up Tagging Assumptions'!$B$12:$C$56, 2, FALSE)</f>
        <v>#Other Economic(P); Social(S)</v>
      </c>
      <c r="Z179" s="112" t="str">
        <f>VLOOKUP(P179, 'Bottom-up Tagging Assumptions'!$B$12:$F$56, 3, FALSE)</f>
        <v>#Improve price realization(P)</v>
      </c>
      <c r="AA179" s="112" t="str">
        <f>VLOOKUP(P179, 'Bottom-up Tagging Assumptions'!$B$12:$F$56, 4, FALSE)</f>
        <v>#Level 4(100)</v>
      </c>
      <c r="AB179" s="110" t="s">
        <v>998</v>
      </c>
      <c r="AC179" s="110" t="s">
        <v>999</v>
      </c>
      <c r="AD179" s="110" t="s">
        <v>1000</v>
      </c>
      <c r="AE179" s="110" t="s">
        <v>3114</v>
      </c>
      <c r="AF179" s="112"/>
      <c r="AG179" s="110" t="s">
        <v>1875</v>
      </c>
      <c r="AH179" s="121">
        <f t="shared" si="73"/>
        <v>0</v>
      </c>
      <c r="AI179" s="121">
        <f t="shared" si="74"/>
        <v>0</v>
      </c>
      <c r="AJ179" s="121">
        <f t="shared" si="75"/>
        <v>1</v>
      </c>
      <c r="AK179" s="121">
        <f t="shared" si="76"/>
        <v>1</v>
      </c>
      <c r="AL179" s="121">
        <f t="shared" si="77"/>
        <v>0</v>
      </c>
      <c r="AM179" s="121">
        <f t="shared" si="78"/>
        <v>0</v>
      </c>
      <c r="AN179" s="121">
        <f t="shared" si="79"/>
        <v>1</v>
      </c>
      <c r="AO179" s="121">
        <f t="shared" si="80"/>
        <v>0</v>
      </c>
      <c r="AP179" s="22">
        <f t="shared" si="81"/>
        <v>0</v>
      </c>
      <c r="AQ179" s="22">
        <f t="shared" si="82"/>
        <v>1324952.2177658167</v>
      </c>
      <c r="AR179" s="22">
        <f t="shared" si="83"/>
        <v>0</v>
      </c>
      <c r="AS179" s="121" t="str">
        <f t="shared" si="84"/>
        <v>Crops</v>
      </c>
      <c r="AT179" s="121" t="str">
        <f t="shared" si="103"/>
        <v xml:space="preserve"> </v>
      </c>
      <c r="AU179" s="121" t="str">
        <f t="shared" si="103"/>
        <v xml:space="preserve"> </v>
      </c>
      <c r="AV179" s="121" t="str">
        <f t="shared" si="103"/>
        <v xml:space="preserve"> </v>
      </c>
      <c r="AW179" s="130" t="str">
        <f t="shared" si="104"/>
        <v>100</v>
      </c>
      <c r="AX179" s="130" t="str">
        <f t="shared" si="104"/>
        <v xml:space="preserve"> </v>
      </c>
      <c r="AY179" s="130" t="str">
        <f t="shared" si="104"/>
        <v xml:space="preserve"> </v>
      </c>
      <c r="AZ179" s="130" t="str">
        <f t="shared" si="104"/>
        <v xml:space="preserve"> </v>
      </c>
      <c r="BA179" s="121">
        <f t="shared" si="85"/>
        <v>1324952.2177658167</v>
      </c>
      <c r="BB179" s="121">
        <f t="shared" si="86"/>
        <v>0</v>
      </c>
      <c r="BC179" s="121">
        <f t="shared" si="87"/>
        <v>0</v>
      </c>
      <c r="BD179" s="121">
        <f t="shared" si="88"/>
        <v>0</v>
      </c>
      <c r="BE179" s="121">
        <f t="shared" si="89"/>
        <v>0</v>
      </c>
      <c r="BF179" s="121">
        <f t="shared" si="90"/>
        <v>0</v>
      </c>
      <c r="BG179" s="121">
        <f t="shared" si="91"/>
        <v>0</v>
      </c>
      <c r="BH179" s="121">
        <f t="shared" si="92"/>
        <v>0</v>
      </c>
      <c r="BI179" s="121">
        <f t="shared" si="93"/>
        <v>1324952.2177658167</v>
      </c>
      <c r="BJ179" s="121">
        <f t="shared" si="94"/>
        <v>1324952.2177658167</v>
      </c>
      <c r="BK179" s="121">
        <f t="shared" si="95"/>
        <v>1324952.2177658167</v>
      </c>
      <c r="BL179" s="121">
        <f t="shared" si="96"/>
        <v>1324952.2177658167</v>
      </c>
      <c r="BM179" s="121">
        <f t="shared" si="97"/>
        <v>0</v>
      </c>
      <c r="BN179" s="121">
        <f t="shared" si="98"/>
        <v>0</v>
      </c>
      <c r="BO179" s="121">
        <f t="shared" si="99"/>
        <v>0</v>
      </c>
      <c r="BP179" s="121">
        <f t="shared" si="100"/>
        <v>0</v>
      </c>
      <c r="BQ179" s="199">
        <f>INDEX('GDP deflators'!$C$6:$M$36,MATCH('Bottom-up tagging'!$D179,'GDP deflators'!$B$6:$B$36,),MATCH('Bottom-up tagging'!$E179,'GDP deflators'!$C$5:$L$5,))/100</f>
        <v>1.5094883975306472</v>
      </c>
      <c r="BR179" s="24">
        <v>2000000</v>
      </c>
    </row>
    <row r="180" spans="2:70" ht="26.15" hidden="1" customHeight="1">
      <c r="B180" s="110" t="s">
        <v>378</v>
      </c>
      <c r="C180" s="110" t="s">
        <v>383</v>
      </c>
      <c r="D180" s="110" t="s">
        <v>6297</v>
      </c>
      <c r="E180" s="103">
        <v>2019</v>
      </c>
      <c r="F180" s="108" t="s">
        <v>6906</v>
      </c>
      <c r="G180" s="111" t="s">
        <v>109</v>
      </c>
      <c r="H180" s="110" t="s">
        <v>10451</v>
      </c>
      <c r="I180" s="112">
        <f>IF(Dashboard!$B$16="Current USD",'Bottom-up tagging'!BR180,'Bottom-up tagging'!BR180/'Bottom-up tagging'!BQ180)</f>
        <v>1240476.6093687129</v>
      </c>
      <c r="J180" s="105" t="s">
        <v>10474</v>
      </c>
      <c r="K180" s="112"/>
      <c r="L180" s="135">
        <v>1</v>
      </c>
      <c r="M180" s="135">
        <v>1</v>
      </c>
      <c r="N180" s="112"/>
      <c r="O180" s="112"/>
      <c r="P180" s="112" t="str">
        <f>VLOOKUP(B180, 'Companies covered restructured'!$B$7:$K$470, 9, FALSE)</f>
        <v>AI/analytics based advisory algorithms (incl. weather)</v>
      </c>
      <c r="Q180" s="112" t="str">
        <f>VLOOKUP(B180, 'Companies covered restructured'!$B$7:$K$470, 6, FALSE)</f>
        <v>#Crops(100)</v>
      </c>
      <c r="R180" s="112" t="str">
        <f t="shared" si="72"/>
        <v>#Investment Fund(100)</v>
      </c>
      <c r="S180" s="112" t="s">
        <v>11003</v>
      </c>
      <c r="T180" s="112" t="s">
        <v>10466</v>
      </c>
      <c r="U180" s="103" t="s">
        <v>10970</v>
      </c>
      <c r="V180" s="112" t="str">
        <f>VLOOKUP(P180, 'Bottom-up Tagging Assumptions'!$B$12:$F$39, 5, FALSE)</f>
        <v>#Science &amp; tech(100)</v>
      </c>
      <c r="W180" s="112" t="str">
        <f>VLOOKUP(B180, 'Companies covered restructured'!$B$7:$K$470, 7, FALSE)</f>
        <v>#Field/Animal Herd(100)</v>
      </c>
      <c r="X180" s="112" t="s">
        <v>10558</v>
      </c>
      <c r="Y180" s="212" t="str">
        <f>VLOOKUP(P180, 'Bottom-up Tagging Assumptions'!$B$12:$C$56, 2, FALSE)</f>
        <v>#Other Economic(P); #Productivity(S)</v>
      </c>
      <c r="Z180" s="112" t="str">
        <f>VLOOKUP(P180, 'Bottom-up Tagging Assumptions'!$B$12:$F$56, 3, FALSE)</f>
        <v>#Increasing output per unit input(P); #Increasing crop or animal yield(S)</v>
      </c>
      <c r="AA180" s="112" t="str">
        <f>VLOOKUP(P180, 'Bottom-up Tagging Assumptions'!$B$12:$F$56, 4, FALSE)</f>
        <v>#Level 1(100)</v>
      </c>
      <c r="AB180" s="110" t="s">
        <v>1203</v>
      </c>
      <c r="AC180" s="110"/>
      <c r="AD180" s="110" t="s">
        <v>1204</v>
      </c>
      <c r="AE180" s="110" t="str">
        <f>VLOOKUP(AD180,  '1.2'!$B$7:$C$2033, 2, FALSE)</f>
        <v>FUND</v>
      </c>
      <c r="AF180" s="112">
        <v>264994</v>
      </c>
      <c r="AG180" s="110" t="s">
        <v>968</v>
      </c>
      <c r="AH180" s="121">
        <f t="shared" si="73"/>
        <v>0</v>
      </c>
      <c r="AI180" s="121">
        <f t="shared" si="74"/>
        <v>1</v>
      </c>
      <c r="AJ180" s="121">
        <f t="shared" si="75"/>
        <v>1</v>
      </c>
      <c r="AK180" s="121">
        <f t="shared" si="76"/>
        <v>0</v>
      </c>
      <c r="AL180" s="121">
        <f t="shared" si="77"/>
        <v>0</v>
      </c>
      <c r="AM180" s="121">
        <f t="shared" si="78"/>
        <v>0</v>
      </c>
      <c r="AN180" s="121">
        <f t="shared" si="79"/>
        <v>0</v>
      </c>
      <c r="AO180" s="121">
        <f t="shared" si="80"/>
        <v>0</v>
      </c>
      <c r="AP180" s="22">
        <f t="shared" si="81"/>
        <v>0</v>
      </c>
      <c r="AQ180" s="22">
        <f t="shared" si="82"/>
        <v>0</v>
      </c>
      <c r="AR180" s="22">
        <f t="shared" si="83"/>
        <v>0</v>
      </c>
      <c r="AS180" s="121" t="str">
        <f t="shared" si="84"/>
        <v>Crops</v>
      </c>
      <c r="AT180" s="121" t="str">
        <f t="shared" si="103"/>
        <v xml:space="preserve"> </v>
      </c>
      <c r="AU180" s="121" t="str">
        <f t="shared" si="103"/>
        <v xml:space="preserve"> </v>
      </c>
      <c r="AV180" s="121" t="str">
        <f t="shared" si="103"/>
        <v xml:space="preserve"> </v>
      </c>
      <c r="AW180" s="130" t="str">
        <f t="shared" si="104"/>
        <v>100</v>
      </c>
      <c r="AX180" s="130" t="str">
        <f t="shared" si="104"/>
        <v xml:space="preserve"> </v>
      </c>
      <c r="AY180" s="130" t="str">
        <f t="shared" si="104"/>
        <v xml:space="preserve"> </v>
      </c>
      <c r="AZ180" s="130" t="str">
        <f t="shared" si="104"/>
        <v xml:space="preserve"> </v>
      </c>
      <c r="BA180" s="121">
        <f t="shared" si="85"/>
        <v>1240476.6093687129</v>
      </c>
      <c r="BB180" s="121">
        <f t="shared" si="86"/>
        <v>0</v>
      </c>
      <c r="BC180" s="121">
        <f t="shared" si="87"/>
        <v>0</v>
      </c>
      <c r="BD180" s="121">
        <f t="shared" si="88"/>
        <v>0</v>
      </c>
      <c r="BE180" s="121">
        <f t="shared" si="89"/>
        <v>0</v>
      </c>
      <c r="BF180" s="121">
        <f t="shared" si="90"/>
        <v>0</v>
      </c>
      <c r="BG180" s="121">
        <f t="shared" si="91"/>
        <v>0</v>
      </c>
      <c r="BH180" s="121">
        <f t="shared" si="92"/>
        <v>0</v>
      </c>
      <c r="BI180" s="121">
        <f t="shared" si="93"/>
        <v>0</v>
      </c>
      <c r="BJ180" s="121">
        <f t="shared" si="94"/>
        <v>0</v>
      </c>
      <c r="BK180" s="121">
        <f t="shared" si="95"/>
        <v>0</v>
      </c>
      <c r="BL180" s="121">
        <f t="shared" si="96"/>
        <v>0</v>
      </c>
      <c r="BM180" s="121">
        <f t="shared" si="97"/>
        <v>0</v>
      </c>
      <c r="BN180" s="121">
        <f t="shared" si="98"/>
        <v>0</v>
      </c>
      <c r="BO180" s="121">
        <f t="shared" si="99"/>
        <v>0</v>
      </c>
      <c r="BP180" s="121">
        <f t="shared" si="100"/>
        <v>0</v>
      </c>
      <c r="BQ180" s="199">
        <f>INDEX('GDP deflators'!$C$6:$M$36,MATCH('Bottom-up tagging'!$D180,'GDP deflators'!$B$6:$B$36,),MATCH('Bottom-up tagging'!$E180,'GDP deflators'!$C$5:$L$5,))/100</f>
        <v>1.6122835246509113</v>
      </c>
      <c r="BR180" s="24">
        <v>2000000</v>
      </c>
    </row>
    <row r="181" spans="2:70" ht="26.15" hidden="1" customHeight="1">
      <c r="B181" s="110" t="s">
        <v>1239</v>
      </c>
      <c r="C181" s="110" t="s">
        <v>1244</v>
      </c>
      <c r="D181" s="110" t="s">
        <v>3994</v>
      </c>
      <c r="E181" s="103">
        <v>2019</v>
      </c>
      <c r="F181" s="108" t="s">
        <v>6843</v>
      </c>
      <c r="G181" s="111" t="s">
        <v>34</v>
      </c>
      <c r="H181" s="110" t="s">
        <v>10451</v>
      </c>
      <c r="I181" s="112">
        <f>IF(Dashboard!$B$16="Current USD",'Bottom-up tagging'!BR181,'Bottom-up tagging'!BR181/'Bottom-up tagging'!BQ181)</f>
        <v>1324952.2177658167</v>
      </c>
      <c r="J181" s="118" t="s">
        <v>10474</v>
      </c>
      <c r="K181" s="112"/>
      <c r="L181" s="135">
        <v>1</v>
      </c>
      <c r="M181" s="135">
        <v>1</v>
      </c>
      <c r="N181" s="112"/>
      <c r="O181" s="112"/>
      <c r="P181" s="112" t="str">
        <f>VLOOKUP(B181, 'Companies covered restructured'!$B$7:$K$470, 9, FALSE)</f>
        <v>Quality testing technologies</v>
      </c>
      <c r="Q181" s="112" t="str">
        <f>VLOOKUP(B181, 'Companies covered restructured'!$B$7:$K$470, 6, FALSE)</f>
        <v>#Crops(100)</v>
      </c>
      <c r="R181" s="112" t="str">
        <f t="shared" si="72"/>
        <v>#Investment Fund(100)</v>
      </c>
      <c r="S181" s="112" t="s">
        <v>11003</v>
      </c>
      <c r="T181" s="112" t="s">
        <v>10466</v>
      </c>
      <c r="U181" s="116" t="s">
        <v>10970</v>
      </c>
      <c r="V181" s="112" t="str">
        <f>VLOOKUP(P181, 'Bottom-up Tagging Assumptions'!$B$12:$F$39, 5, FALSE)</f>
        <v>#Science &amp; tech(100)</v>
      </c>
      <c r="W181" s="112" t="str">
        <f>VLOOKUP(B181, 'Companies covered restructured'!$B$7:$K$470, 7, FALSE)</f>
        <v>#Farm/Household(100)</v>
      </c>
      <c r="X181" s="112" t="s">
        <v>10558</v>
      </c>
      <c r="Y181" s="212" t="str">
        <f>VLOOKUP(P181, 'Bottom-up Tagging Assumptions'!$B$12:$C$56, 2, FALSE)</f>
        <v>#Human Condition(P); #Other Economic(S)</v>
      </c>
      <c r="Z181" s="112" t="str">
        <f>VLOOKUP(P181, 'Bottom-up Tagging Assumptions'!$B$12:$F$56, 3, FALSE)</f>
        <v>#Health(P); #Reducing variability of profits(S)</v>
      </c>
      <c r="AA181" s="112" t="str">
        <f>VLOOKUP(P181, 'Bottom-up Tagging Assumptions'!$B$12:$F$56, 4, FALSE)</f>
        <v>#Level 1(100)</v>
      </c>
      <c r="AB181" s="110" t="s">
        <v>1241</v>
      </c>
      <c r="AC181" s="110"/>
      <c r="AD181" s="110" t="s">
        <v>1242</v>
      </c>
      <c r="AE181" s="110" t="str">
        <f>VLOOKUP(AD181,  '1.2'!$B$7:$C$2033, 2, FALSE)</f>
        <v>FUND</v>
      </c>
      <c r="AF181" s="112"/>
      <c r="AG181" s="110" t="s">
        <v>1884</v>
      </c>
      <c r="AH181" s="121">
        <f t="shared" si="73"/>
        <v>0</v>
      </c>
      <c r="AI181" s="121">
        <f t="shared" si="74"/>
        <v>0</v>
      </c>
      <c r="AJ181" s="121">
        <f t="shared" si="75"/>
        <v>1</v>
      </c>
      <c r="AK181" s="121">
        <f t="shared" si="76"/>
        <v>0</v>
      </c>
      <c r="AL181" s="121">
        <f t="shared" si="77"/>
        <v>1</v>
      </c>
      <c r="AM181" s="121">
        <f t="shared" si="78"/>
        <v>0</v>
      </c>
      <c r="AN181" s="121">
        <f t="shared" si="79"/>
        <v>1</v>
      </c>
      <c r="AO181" s="121">
        <f t="shared" si="80"/>
        <v>0</v>
      </c>
      <c r="AP181" s="22">
        <f t="shared" si="81"/>
        <v>0</v>
      </c>
      <c r="AQ181" s="22">
        <f t="shared" si="82"/>
        <v>1324952.2177658167</v>
      </c>
      <c r="AR181" s="22">
        <f t="shared" si="83"/>
        <v>0</v>
      </c>
      <c r="AS181" s="121" t="str">
        <f t="shared" si="84"/>
        <v>Crops</v>
      </c>
      <c r="AT181" s="121" t="str">
        <f t="shared" si="103"/>
        <v xml:space="preserve"> </v>
      </c>
      <c r="AU181" s="121" t="str">
        <f t="shared" si="103"/>
        <v xml:space="preserve"> </v>
      </c>
      <c r="AV181" s="121" t="str">
        <f t="shared" si="103"/>
        <v xml:space="preserve"> </v>
      </c>
      <c r="AW181" s="130" t="str">
        <f t="shared" si="104"/>
        <v>100</v>
      </c>
      <c r="AX181" s="130" t="str">
        <f t="shared" si="104"/>
        <v xml:space="preserve"> </v>
      </c>
      <c r="AY181" s="130" t="str">
        <f t="shared" si="104"/>
        <v xml:space="preserve"> </v>
      </c>
      <c r="AZ181" s="130" t="str">
        <f t="shared" si="104"/>
        <v xml:space="preserve"> </v>
      </c>
      <c r="BA181" s="121">
        <f t="shared" si="85"/>
        <v>1324952.2177658167</v>
      </c>
      <c r="BB181" s="121">
        <f t="shared" si="86"/>
        <v>0</v>
      </c>
      <c r="BC181" s="121">
        <f t="shared" si="87"/>
        <v>0</v>
      </c>
      <c r="BD181" s="121">
        <f t="shared" si="88"/>
        <v>0</v>
      </c>
      <c r="BE181" s="121">
        <f t="shared" si="89"/>
        <v>0</v>
      </c>
      <c r="BF181" s="121">
        <f t="shared" si="90"/>
        <v>0</v>
      </c>
      <c r="BG181" s="121">
        <f t="shared" si="91"/>
        <v>0</v>
      </c>
      <c r="BH181" s="121">
        <f t="shared" si="92"/>
        <v>0</v>
      </c>
      <c r="BI181" s="121">
        <f t="shared" si="93"/>
        <v>1324952.2177658167</v>
      </c>
      <c r="BJ181" s="121">
        <f t="shared" si="94"/>
        <v>1324952.2177658167</v>
      </c>
      <c r="BK181" s="121">
        <f t="shared" si="95"/>
        <v>1324952.2177658167</v>
      </c>
      <c r="BL181" s="121">
        <f t="shared" si="96"/>
        <v>1324952.2177658167</v>
      </c>
      <c r="BM181" s="121">
        <f t="shared" si="97"/>
        <v>0</v>
      </c>
      <c r="BN181" s="121">
        <f t="shared" si="98"/>
        <v>0</v>
      </c>
      <c r="BO181" s="121">
        <f t="shared" si="99"/>
        <v>0</v>
      </c>
      <c r="BP181" s="121">
        <f t="shared" si="100"/>
        <v>0</v>
      </c>
      <c r="BQ181" s="199">
        <f>INDEX('GDP deflators'!$C$6:$M$36,MATCH('Bottom-up tagging'!$D181,'GDP deflators'!$B$6:$B$36,),MATCH('Bottom-up tagging'!$E181,'GDP deflators'!$C$5:$L$5,))/100</f>
        <v>1.5094883975306472</v>
      </c>
      <c r="BR181" s="24">
        <v>2000000</v>
      </c>
    </row>
    <row r="182" spans="2:70" ht="26.15" hidden="1" customHeight="1">
      <c r="B182" s="110" t="s">
        <v>378</v>
      </c>
      <c r="C182" s="110" t="s">
        <v>383</v>
      </c>
      <c r="D182" s="110" t="s">
        <v>6297</v>
      </c>
      <c r="E182" s="103">
        <v>2018</v>
      </c>
      <c r="F182" s="108" t="s">
        <v>6906</v>
      </c>
      <c r="G182" s="111" t="s">
        <v>109</v>
      </c>
      <c r="H182" s="110" t="s">
        <v>10451</v>
      </c>
      <c r="I182" s="112">
        <f>IF(Dashboard!$B$16="Current USD",'Bottom-up tagging'!BR182,'Bottom-up tagging'!BR182/'Bottom-up tagging'!BQ182)</f>
        <v>1290358.9116314629</v>
      </c>
      <c r="J182" s="105" t="s">
        <v>10474</v>
      </c>
      <c r="K182" s="112"/>
      <c r="L182" s="135">
        <v>1</v>
      </c>
      <c r="M182" s="135">
        <v>1</v>
      </c>
      <c r="N182" s="112"/>
      <c r="O182" s="112"/>
      <c r="P182" s="112" t="str">
        <f>VLOOKUP(B182, 'Companies covered restructured'!$B$7:$K$470, 9, FALSE)</f>
        <v>AI/analytics based advisory algorithms (incl. weather)</v>
      </c>
      <c r="Q182" s="112" t="str">
        <f>VLOOKUP(B182, 'Companies covered restructured'!$B$7:$K$470, 6, FALSE)</f>
        <v>#Crops(100)</v>
      </c>
      <c r="R182" s="112" t="str">
        <f t="shared" si="72"/>
        <v>#Corporate(100)</v>
      </c>
      <c r="S182" s="112" t="s">
        <v>11003</v>
      </c>
      <c r="T182" s="112" t="s">
        <v>10466</v>
      </c>
      <c r="U182" s="103" t="s">
        <v>10970</v>
      </c>
      <c r="V182" s="112" t="str">
        <f>VLOOKUP(P182, 'Bottom-up Tagging Assumptions'!$B$12:$F$39, 5, FALSE)</f>
        <v>#Science &amp; tech(100)</v>
      </c>
      <c r="W182" s="112" t="str">
        <f>VLOOKUP(B182, 'Companies covered restructured'!$B$7:$K$470, 7, FALSE)</f>
        <v>#Field/Animal Herd(100)</v>
      </c>
      <c r="X182" s="112" t="s">
        <v>10558</v>
      </c>
      <c r="Y182" s="212" t="str">
        <f>VLOOKUP(P182, 'Bottom-up Tagging Assumptions'!$B$12:$C$56, 2, FALSE)</f>
        <v>#Other Economic(P); #Productivity(S)</v>
      </c>
      <c r="Z182" s="112" t="str">
        <f>VLOOKUP(P182, 'Bottom-up Tagging Assumptions'!$B$12:$F$56, 3, FALSE)</f>
        <v>#Increasing output per unit input(P); #Increasing crop or animal yield(S)</v>
      </c>
      <c r="AA182" s="112" t="str">
        <f>VLOOKUP(P182, 'Bottom-up Tagging Assumptions'!$B$12:$F$56, 4, FALSE)</f>
        <v>#Level 1(100)</v>
      </c>
      <c r="AB182" s="110" t="s">
        <v>1560</v>
      </c>
      <c r="AC182" s="110" t="s">
        <v>1561</v>
      </c>
      <c r="AD182" s="110" t="s">
        <v>1562</v>
      </c>
      <c r="AE182" s="110" t="str">
        <f>VLOOKUP(AD182,  '1.2'!$B$7:$C$2033, 2, FALSE)</f>
        <v>CORPORATE_INVESTOR</v>
      </c>
      <c r="AF182" s="112">
        <v>133229</v>
      </c>
      <c r="AG182" s="110" t="s">
        <v>1890</v>
      </c>
      <c r="AH182" s="121">
        <f t="shared" si="73"/>
        <v>0</v>
      </c>
      <c r="AI182" s="121">
        <f t="shared" si="74"/>
        <v>1</v>
      </c>
      <c r="AJ182" s="121">
        <f t="shared" si="75"/>
        <v>1</v>
      </c>
      <c r="AK182" s="121">
        <f t="shared" si="76"/>
        <v>0</v>
      </c>
      <c r="AL182" s="121">
        <f t="shared" si="77"/>
        <v>0</v>
      </c>
      <c r="AM182" s="121">
        <f t="shared" si="78"/>
        <v>0</v>
      </c>
      <c r="AN182" s="121">
        <f t="shared" si="79"/>
        <v>0</v>
      </c>
      <c r="AO182" s="121">
        <f t="shared" si="80"/>
        <v>0</v>
      </c>
      <c r="AP182" s="22">
        <f t="shared" si="81"/>
        <v>0</v>
      </c>
      <c r="AQ182" s="22">
        <f t="shared" si="82"/>
        <v>0</v>
      </c>
      <c r="AR182" s="22">
        <f t="shared" si="83"/>
        <v>0</v>
      </c>
      <c r="AS182" s="121" t="str">
        <f t="shared" si="84"/>
        <v>Crops</v>
      </c>
      <c r="AT182" s="121" t="str">
        <f t="shared" si="103"/>
        <v xml:space="preserve"> </v>
      </c>
      <c r="AU182" s="121" t="str">
        <f t="shared" si="103"/>
        <v xml:space="preserve"> </v>
      </c>
      <c r="AV182" s="121" t="str">
        <f t="shared" si="103"/>
        <v xml:space="preserve"> </v>
      </c>
      <c r="AW182" s="130" t="str">
        <f t="shared" si="104"/>
        <v>100</v>
      </c>
      <c r="AX182" s="130" t="str">
        <f t="shared" si="104"/>
        <v xml:space="preserve"> </v>
      </c>
      <c r="AY182" s="130" t="str">
        <f t="shared" si="104"/>
        <v xml:space="preserve"> </v>
      </c>
      <c r="AZ182" s="130" t="str">
        <f t="shared" si="104"/>
        <v xml:space="preserve"> </v>
      </c>
      <c r="BA182" s="121">
        <f t="shared" si="85"/>
        <v>1290358.9116314629</v>
      </c>
      <c r="BB182" s="121">
        <f t="shared" si="86"/>
        <v>0</v>
      </c>
      <c r="BC182" s="121">
        <f t="shared" si="87"/>
        <v>0</v>
      </c>
      <c r="BD182" s="121">
        <f t="shared" si="88"/>
        <v>0</v>
      </c>
      <c r="BE182" s="121">
        <f t="shared" si="89"/>
        <v>0</v>
      </c>
      <c r="BF182" s="121">
        <f t="shared" si="90"/>
        <v>0</v>
      </c>
      <c r="BG182" s="121">
        <f t="shared" si="91"/>
        <v>0</v>
      </c>
      <c r="BH182" s="121">
        <f t="shared" si="92"/>
        <v>0</v>
      </c>
      <c r="BI182" s="121">
        <f t="shared" si="93"/>
        <v>0</v>
      </c>
      <c r="BJ182" s="121">
        <f t="shared" si="94"/>
        <v>0</v>
      </c>
      <c r="BK182" s="121">
        <f t="shared" si="95"/>
        <v>0</v>
      </c>
      <c r="BL182" s="121">
        <f t="shared" si="96"/>
        <v>0</v>
      </c>
      <c r="BM182" s="121">
        <f t="shared" si="97"/>
        <v>0</v>
      </c>
      <c r="BN182" s="121">
        <f t="shared" si="98"/>
        <v>0</v>
      </c>
      <c r="BO182" s="121">
        <f t="shared" si="99"/>
        <v>0</v>
      </c>
      <c r="BP182" s="121">
        <f t="shared" si="100"/>
        <v>0</v>
      </c>
      <c r="BQ182" s="199">
        <f>INDEX('GDP deflators'!$C$6:$M$36,MATCH('Bottom-up tagging'!$D182,'GDP deflators'!$B$6:$B$36,),MATCH('Bottom-up tagging'!$E182,'GDP deflators'!$C$5:$L$5,))/100</f>
        <v>1.5499563586314939</v>
      </c>
      <c r="BR182" s="24">
        <v>2000000</v>
      </c>
    </row>
    <row r="183" spans="2:70" ht="26.15" customHeight="1">
      <c r="B183" s="110" t="s">
        <v>473</v>
      </c>
      <c r="C183" s="110" t="s">
        <v>475</v>
      </c>
      <c r="D183" s="110" t="s">
        <v>5391</v>
      </c>
      <c r="E183" s="103">
        <v>2017</v>
      </c>
      <c r="F183" s="108" t="s">
        <v>5547</v>
      </c>
      <c r="G183" s="111" t="s">
        <v>184</v>
      </c>
      <c r="H183" s="110" t="s">
        <v>10451</v>
      </c>
      <c r="I183" s="112">
        <f>IF(Dashboard!$B$16="Current USD",'Bottom-up tagging'!BR183,'Bottom-up tagging'!BR183/'Bottom-up tagging'!BQ183)</f>
        <v>1127050.1429850077</v>
      </c>
      <c r="J183" s="117" t="s">
        <v>10474</v>
      </c>
      <c r="K183" s="112"/>
      <c r="L183" s="135">
        <v>1</v>
      </c>
      <c r="M183" s="135">
        <v>1</v>
      </c>
      <c r="N183" s="112"/>
      <c r="O183" s="112"/>
      <c r="P183" s="112" t="str">
        <f>VLOOKUP(B183, 'Companies covered restructured'!$B$7:$K$470, 9, FALSE)</f>
        <v>Agri marketplaces</v>
      </c>
      <c r="Q183" s="112" t="str">
        <f>VLOOKUP(B183, 'Companies covered restructured'!$B$7:$K$470, 6, FALSE)</f>
        <v>#Crops(100)</v>
      </c>
      <c r="R183" s="112" t="str">
        <f t="shared" si="72"/>
        <v>N/A</v>
      </c>
      <c r="S183" s="112" t="s">
        <v>11003</v>
      </c>
      <c r="T183" s="112" t="s">
        <v>10465</v>
      </c>
      <c r="U183" s="213" t="s">
        <v>10970</v>
      </c>
      <c r="V183" s="112" t="str">
        <f>VLOOKUP(P183, 'Bottom-up Tagging Assumptions'!$B$12:$F$39, 5, FALSE)</f>
        <v>#Process Innovation(100)</v>
      </c>
      <c r="W183" s="112" t="str">
        <f>VLOOKUP(B183, 'Companies covered restructured'!$B$7:$K$470, 7, FALSE)</f>
        <v>#Farm/Household(100)</v>
      </c>
      <c r="X183" s="112" t="s">
        <v>10558</v>
      </c>
      <c r="Y183" s="212" t="str">
        <f>VLOOKUP(P183, 'Bottom-up Tagging Assumptions'!$B$12:$C$56, 2, FALSE)</f>
        <v>#Other Economic(P); Social(S)</v>
      </c>
      <c r="Z183" s="112" t="str">
        <f>VLOOKUP(P183, 'Bottom-up Tagging Assumptions'!$B$12:$F$56, 3, FALSE)</f>
        <v>#Improve price realization(P)</v>
      </c>
      <c r="AA183" s="112" t="str">
        <f>VLOOKUP(P183, 'Bottom-up Tagging Assumptions'!$B$12:$F$56, 4, FALSE)</f>
        <v>#Level 4(100)</v>
      </c>
      <c r="AB183" s="110" t="s">
        <v>2024</v>
      </c>
      <c r="AC183" s="110"/>
      <c r="AD183" s="110"/>
      <c r="AE183" s="110" t="s">
        <v>10558</v>
      </c>
      <c r="AF183" s="112"/>
      <c r="AG183" s="110" t="s">
        <v>1894</v>
      </c>
      <c r="AH183" s="121">
        <f t="shared" si="73"/>
        <v>0</v>
      </c>
      <c r="AI183" s="121">
        <f t="shared" si="74"/>
        <v>0</v>
      </c>
      <c r="AJ183" s="121">
        <f t="shared" si="75"/>
        <v>1</v>
      </c>
      <c r="AK183" s="121">
        <f t="shared" si="76"/>
        <v>1</v>
      </c>
      <c r="AL183" s="121">
        <f t="shared" si="77"/>
        <v>0</v>
      </c>
      <c r="AM183" s="121">
        <f t="shared" si="78"/>
        <v>0</v>
      </c>
      <c r="AN183" s="121">
        <f t="shared" si="79"/>
        <v>1</v>
      </c>
      <c r="AO183" s="121">
        <f t="shared" si="80"/>
        <v>0</v>
      </c>
      <c r="AP183" s="22">
        <f t="shared" si="81"/>
        <v>0</v>
      </c>
      <c r="AQ183" s="22">
        <f t="shared" si="82"/>
        <v>1127050.1429850077</v>
      </c>
      <c r="AR183" s="22">
        <f t="shared" si="83"/>
        <v>0</v>
      </c>
      <c r="AS183" s="121" t="str">
        <f t="shared" si="84"/>
        <v>Crops</v>
      </c>
      <c r="AT183" s="121" t="str">
        <f t="shared" si="103"/>
        <v xml:space="preserve"> </v>
      </c>
      <c r="AU183" s="121" t="str">
        <f t="shared" si="103"/>
        <v xml:space="preserve"> </v>
      </c>
      <c r="AV183" s="121" t="str">
        <f t="shared" si="103"/>
        <v xml:space="preserve"> </v>
      </c>
      <c r="AW183" s="130" t="str">
        <f t="shared" si="104"/>
        <v>100</v>
      </c>
      <c r="AX183" s="130" t="str">
        <f t="shared" si="104"/>
        <v xml:space="preserve"> </v>
      </c>
      <c r="AY183" s="130" t="str">
        <f t="shared" si="104"/>
        <v xml:space="preserve"> </v>
      </c>
      <c r="AZ183" s="130" t="str">
        <f t="shared" si="104"/>
        <v xml:space="preserve"> </v>
      </c>
      <c r="BA183" s="121">
        <f t="shared" si="85"/>
        <v>1127050.1429850077</v>
      </c>
      <c r="BB183" s="121">
        <f t="shared" si="86"/>
        <v>0</v>
      </c>
      <c r="BC183" s="121">
        <f t="shared" si="87"/>
        <v>0</v>
      </c>
      <c r="BD183" s="121">
        <f t="shared" si="88"/>
        <v>0</v>
      </c>
      <c r="BE183" s="121">
        <f t="shared" si="89"/>
        <v>0</v>
      </c>
      <c r="BF183" s="121">
        <f t="shared" si="90"/>
        <v>0</v>
      </c>
      <c r="BG183" s="121">
        <f t="shared" si="91"/>
        <v>0</v>
      </c>
      <c r="BH183" s="121">
        <f t="shared" si="92"/>
        <v>0</v>
      </c>
      <c r="BI183" s="121">
        <f t="shared" si="93"/>
        <v>1127050.1429850077</v>
      </c>
      <c r="BJ183" s="121">
        <f t="shared" si="94"/>
        <v>1127050.1429850077</v>
      </c>
      <c r="BK183" s="121">
        <f t="shared" si="95"/>
        <v>1127050.1429850077</v>
      </c>
      <c r="BL183" s="121">
        <f t="shared" si="96"/>
        <v>1127050.1429850077</v>
      </c>
      <c r="BM183" s="121">
        <f t="shared" si="97"/>
        <v>0</v>
      </c>
      <c r="BN183" s="121">
        <f t="shared" si="98"/>
        <v>0</v>
      </c>
      <c r="BO183" s="121">
        <f t="shared" si="99"/>
        <v>0</v>
      </c>
      <c r="BP183" s="121">
        <f t="shared" si="100"/>
        <v>0</v>
      </c>
      <c r="BQ183" s="199">
        <f>INDEX('GDP deflators'!$C$6:$M$36,MATCH('Bottom-up tagging'!$D183,'GDP deflators'!$B$6:$B$36,),MATCH('Bottom-up tagging'!$E183,'GDP deflators'!$C$5:$L$5,))/100</f>
        <v>1.7745439388375148</v>
      </c>
      <c r="BR183" s="24">
        <v>2000000</v>
      </c>
    </row>
    <row r="184" spans="2:70" ht="26.15" hidden="1" customHeight="1">
      <c r="B184" s="110" t="s">
        <v>228</v>
      </c>
      <c r="C184" s="110" t="s">
        <v>234</v>
      </c>
      <c r="D184" s="110" t="s">
        <v>11148</v>
      </c>
      <c r="E184" s="103">
        <v>2016</v>
      </c>
      <c r="F184" s="108" t="s">
        <v>7793</v>
      </c>
      <c r="G184" s="111" t="s">
        <v>34</v>
      </c>
      <c r="H184" s="110" t="s">
        <v>10451</v>
      </c>
      <c r="I184" s="112">
        <f>IF(Dashboard!$B$16="Current USD",'Bottom-up tagging'!BR184,'Bottom-up tagging'!BR184/'Bottom-up tagging'!BQ184)</f>
        <v>1268768.2135310194</v>
      </c>
      <c r="J184" s="105" t="s">
        <v>10474</v>
      </c>
      <c r="K184" s="112"/>
      <c r="L184" s="135">
        <v>1</v>
      </c>
      <c r="M184" s="135">
        <v>1</v>
      </c>
      <c r="N184" s="112"/>
      <c r="O184" s="112"/>
      <c r="P184" s="112" t="str">
        <f>VLOOKUP(B184, 'Companies covered restructured'!$B$7:$K$470, 9, FALSE)</f>
        <v>AI/analytics based advisory algorithms (incl. weather)</v>
      </c>
      <c r="Q184" s="112" t="str">
        <f>VLOOKUP(B184, 'Companies covered restructured'!$B$7:$K$470, 6, FALSE)</f>
        <v>#Crops(100)</v>
      </c>
      <c r="R184" s="112" t="str">
        <f t="shared" si="72"/>
        <v>#Investment Fund(100)</v>
      </c>
      <c r="S184" s="112" t="s">
        <v>11003</v>
      </c>
      <c r="T184" s="112" t="s">
        <v>10466</v>
      </c>
      <c r="U184" s="103" t="s">
        <v>10970</v>
      </c>
      <c r="V184" s="112" t="str">
        <f>VLOOKUP(P184, 'Bottom-up Tagging Assumptions'!$B$12:$F$39, 5, FALSE)</f>
        <v>#Science &amp; tech(100)</v>
      </c>
      <c r="W184" s="112" t="str">
        <f>VLOOKUP(B184, 'Companies covered restructured'!$B$7:$K$470, 7, FALSE)</f>
        <v>#Field/Animal Herd(100)</v>
      </c>
      <c r="X184" s="112" t="s">
        <v>10558</v>
      </c>
      <c r="Y184" s="212" t="str">
        <f>VLOOKUP(P184, 'Bottom-up Tagging Assumptions'!$B$12:$C$56, 2, FALSE)</f>
        <v>#Other Economic(P); #Productivity(S)</v>
      </c>
      <c r="Z184" s="112" t="str">
        <f>VLOOKUP(P184, 'Bottom-up Tagging Assumptions'!$B$12:$F$56, 3, FALSE)</f>
        <v>#Increasing output per unit input(P); #Increasing crop or animal yield(S)</v>
      </c>
      <c r="AA184" s="112" t="str">
        <f>VLOOKUP(P184, 'Bottom-up Tagging Assumptions'!$B$12:$F$56, 4, FALSE)</f>
        <v>#Level 1(100)</v>
      </c>
      <c r="AB184" s="110" t="s">
        <v>2484</v>
      </c>
      <c r="AC184" s="110" t="s">
        <v>2485</v>
      </c>
      <c r="AD184" s="110" t="s">
        <v>2486</v>
      </c>
      <c r="AE184" s="110" t="s">
        <v>3114</v>
      </c>
      <c r="AF184" s="112">
        <v>17346190</v>
      </c>
      <c r="AG184" s="110" t="s">
        <v>1899</v>
      </c>
      <c r="AH184" s="121">
        <f t="shared" si="73"/>
        <v>0</v>
      </c>
      <c r="AI184" s="121">
        <f t="shared" si="74"/>
        <v>1</v>
      </c>
      <c r="AJ184" s="121">
        <f t="shared" si="75"/>
        <v>1</v>
      </c>
      <c r="AK184" s="121">
        <f t="shared" si="76"/>
        <v>0</v>
      </c>
      <c r="AL184" s="121">
        <f t="shared" si="77"/>
        <v>0</v>
      </c>
      <c r="AM184" s="121">
        <f t="shared" si="78"/>
        <v>0</v>
      </c>
      <c r="AN184" s="121">
        <f t="shared" si="79"/>
        <v>0</v>
      </c>
      <c r="AO184" s="121">
        <f t="shared" si="80"/>
        <v>0</v>
      </c>
      <c r="AP184" s="22">
        <f t="shared" si="81"/>
        <v>0</v>
      </c>
      <c r="AQ184" s="22">
        <f t="shared" si="82"/>
        <v>0</v>
      </c>
      <c r="AR184" s="22">
        <f t="shared" si="83"/>
        <v>0</v>
      </c>
      <c r="AS184" s="121" t="str">
        <f t="shared" si="84"/>
        <v>Crops</v>
      </c>
      <c r="AT184" s="121" t="str">
        <f t="shared" si="103"/>
        <v xml:space="preserve"> </v>
      </c>
      <c r="AU184" s="121" t="str">
        <f t="shared" si="103"/>
        <v xml:space="preserve"> </v>
      </c>
      <c r="AV184" s="121" t="str">
        <f t="shared" si="103"/>
        <v xml:space="preserve"> </v>
      </c>
      <c r="AW184" s="130" t="str">
        <f t="shared" si="104"/>
        <v>100</v>
      </c>
      <c r="AX184" s="130" t="str">
        <f t="shared" si="104"/>
        <v xml:space="preserve"> </v>
      </c>
      <c r="AY184" s="130" t="str">
        <f t="shared" si="104"/>
        <v xml:space="preserve"> </v>
      </c>
      <c r="AZ184" s="130" t="str">
        <f t="shared" si="104"/>
        <v xml:space="preserve"> </v>
      </c>
      <c r="BA184" s="121">
        <f t="shared" si="85"/>
        <v>1268768.2135310194</v>
      </c>
      <c r="BB184" s="121">
        <f t="shared" si="86"/>
        <v>0</v>
      </c>
      <c r="BC184" s="121">
        <f t="shared" si="87"/>
        <v>0</v>
      </c>
      <c r="BD184" s="121">
        <f t="shared" si="88"/>
        <v>0</v>
      </c>
      <c r="BE184" s="121">
        <f t="shared" si="89"/>
        <v>0</v>
      </c>
      <c r="BF184" s="121">
        <f t="shared" si="90"/>
        <v>0</v>
      </c>
      <c r="BG184" s="121">
        <f t="shared" si="91"/>
        <v>0</v>
      </c>
      <c r="BH184" s="121">
        <f t="shared" si="92"/>
        <v>0</v>
      </c>
      <c r="BI184" s="121">
        <f t="shared" si="93"/>
        <v>0</v>
      </c>
      <c r="BJ184" s="121">
        <f t="shared" si="94"/>
        <v>0</v>
      </c>
      <c r="BK184" s="121">
        <f t="shared" si="95"/>
        <v>0</v>
      </c>
      <c r="BL184" s="121">
        <f t="shared" si="96"/>
        <v>0</v>
      </c>
      <c r="BM184" s="121">
        <f t="shared" si="97"/>
        <v>0</v>
      </c>
      <c r="BN184" s="121">
        <f t="shared" si="98"/>
        <v>0</v>
      </c>
      <c r="BO184" s="121">
        <f t="shared" si="99"/>
        <v>0</v>
      </c>
      <c r="BP184" s="121">
        <f t="shared" si="100"/>
        <v>0</v>
      </c>
      <c r="BQ184" s="199">
        <f>INDEX('GDP deflators'!$C$6:$M$36,MATCH('Bottom-up tagging'!$D184,'GDP deflators'!$B$6:$B$36,),MATCH('Bottom-up tagging'!$E184,'GDP deflators'!$C$5:$L$5,))/100</f>
        <v>1.5763320507801348</v>
      </c>
      <c r="BR184" s="24">
        <v>2000000</v>
      </c>
    </row>
    <row r="185" spans="2:70" ht="26.15" hidden="1" customHeight="1">
      <c r="B185" s="110" t="s">
        <v>2651</v>
      </c>
      <c r="C185" s="110" t="s">
        <v>2656</v>
      </c>
      <c r="D185" s="110" t="s">
        <v>3994</v>
      </c>
      <c r="E185" s="103">
        <v>2010</v>
      </c>
      <c r="F185" s="108" t="s">
        <v>9450</v>
      </c>
      <c r="G185" s="111" t="s">
        <v>124</v>
      </c>
      <c r="H185" s="110" t="s">
        <v>10451</v>
      </c>
      <c r="I185" s="112">
        <f>IF(Dashboard!$B$16="Current USD",'Bottom-up tagging'!BR185,'Bottom-up tagging'!BR185/'Bottom-up tagging'!BQ185)</f>
        <v>2000000</v>
      </c>
      <c r="J185" s="117" t="s">
        <v>10474</v>
      </c>
      <c r="K185" s="112"/>
      <c r="L185" s="135">
        <v>1</v>
      </c>
      <c r="M185" s="135">
        <v>1</v>
      </c>
      <c r="N185" s="112"/>
      <c r="O185" s="112"/>
      <c r="P185" s="112" t="str">
        <f>VLOOKUP(B185, 'Companies covered restructured'!$B$7:$K$470, 9, FALSE)</f>
        <v>Plant breeding &amp; biofortification</v>
      </c>
      <c r="Q185" s="112" t="str">
        <f>VLOOKUP(B185, 'Companies covered restructured'!$B$7:$K$470, 6, FALSE)</f>
        <v>#Crops(100)</v>
      </c>
      <c r="R185" s="112" t="str">
        <f t="shared" si="72"/>
        <v>#Angel Investor(100)</v>
      </c>
      <c r="S185" s="112" t="s">
        <v>11003</v>
      </c>
      <c r="T185" s="112" t="s">
        <v>10466</v>
      </c>
      <c r="U185" s="103" t="s">
        <v>10970</v>
      </c>
      <c r="V185" s="112" t="str">
        <f>VLOOKUP(P185, 'Bottom-up Tagging Assumptions'!$B$12:$F$39, 5, FALSE)</f>
        <v>#Process Innovation(100)</v>
      </c>
      <c r="W185" s="112" t="str">
        <f>VLOOKUP(B185, 'Companies covered restructured'!$B$7:$K$470, 7, FALSE)</f>
        <v>N/A</v>
      </c>
      <c r="X185" s="112" t="str">
        <f>VLOOKUP(B185, 'Companies covered restructured'!$B$7:$K$470, 8, FALSE)</f>
        <v>#Large(100)</v>
      </c>
      <c r="Y185" s="212" t="str">
        <f>VLOOKUP(P185, 'Bottom-up Tagging Assumptions'!$B$12:$C$56, 2, FALSE)</f>
        <v>#Human Condition(P); Productivity(S)</v>
      </c>
      <c r="Z185" s="112" t="str">
        <f>VLOOKUP(P185, 'Bottom-up Tagging Assumptions'!$B$12:$F$56, 3, FALSE)</f>
        <v>#Improved nutrition(P)</v>
      </c>
      <c r="AA185" s="112" t="str">
        <f>VLOOKUP(P185, 'Bottom-up Tagging Assumptions'!$B$12:$F$56, 4, FALSE)</f>
        <v>#Level 1(100)</v>
      </c>
      <c r="AB185" s="110"/>
      <c r="AC185" s="110" t="s">
        <v>3071</v>
      </c>
      <c r="AD185" s="110" t="s">
        <v>3071</v>
      </c>
      <c r="AE185" s="110" t="str">
        <f>VLOOKUP(AD185,  '1.2'!$B$7:$C$2033, 2, FALSE)</f>
        <v>ANGEL</v>
      </c>
      <c r="AF185" s="112">
        <v>9059375</v>
      </c>
      <c r="AG185" s="110" t="s">
        <v>884</v>
      </c>
      <c r="AH185" s="121">
        <f t="shared" si="73"/>
        <v>0</v>
      </c>
      <c r="AI185" s="121">
        <f t="shared" si="74"/>
        <v>1</v>
      </c>
      <c r="AJ185" s="121">
        <f t="shared" si="75"/>
        <v>0</v>
      </c>
      <c r="AK185" s="121">
        <f t="shared" si="76"/>
        <v>0</v>
      </c>
      <c r="AL185" s="121">
        <f t="shared" si="77"/>
        <v>1</v>
      </c>
      <c r="AM185" s="121">
        <f t="shared" si="78"/>
        <v>0</v>
      </c>
      <c r="AN185" s="121">
        <f t="shared" si="79"/>
        <v>1</v>
      </c>
      <c r="AO185" s="121">
        <f t="shared" si="80"/>
        <v>0</v>
      </c>
      <c r="AP185" s="22">
        <f t="shared" si="81"/>
        <v>0</v>
      </c>
      <c r="AQ185" s="22">
        <f t="shared" si="82"/>
        <v>2000000</v>
      </c>
      <c r="AR185" s="22">
        <f t="shared" si="83"/>
        <v>0</v>
      </c>
      <c r="AS185" s="121" t="str">
        <f t="shared" si="84"/>
        <v>Crops</v>
      </c>
      <c r="AT185" s="121" t="str">
        <f t="shared" si="103"/>
        <v xml:space="preserve"> </v>
      </c>
      <c r="AU185" s="121" t="str">
        <f t="shared" si="103"/>
        <v xml:space="preserve"> </v>
      </c>
      <c r="AV185" s="121" t="str">
        <f t="shared" si="103"/>
        <v xml:space="preserve"> </v>
      </c>
      <c r="AW185" s="130" t="str">
        <f t="shared" si="104"/>
        <v>100</v>
      </c>
      <c r="AX185" s="130" t="str">
        <f t="shared" si="104"/>
        <v xml:space="preserve"> </v>
      </c>
      <c r="AY185" s="130" t="str">
        <f t="shared" si="104"/>
        <v xml:space="preserve"> </v>
      </c>
      <c r="AZ185" s="130" t="str">
        <f t="shared" si="104"/>
        <v xml:space="preserve"> </v>
      </c>
      <c r="BA185" s="121">
        <f t="shared" si="85"/>
        <v>2000000</v>
      </c>
      <c r="BB185" s="121">
        <f t="shared" si="86"/>
        <v>0</v>
      </c>
      <c r="BC185" s="121">
        <f t="shared" si="87"/>
        <v>0</v>
      </c>
      <c r="BD185" s="121">
        <f t="shared" si="88"/>
        <v>0</v>
      </c>
      <c r="BE185" s="121">
        <f t="shared" si="89"/>
        <v>0</v>
      </c>
      <c r="BF185" s="121">
        <f t="shared" si="90"/>
        <v>0</v>
      </c>
      <c r="BG185" s="121">
        <f t="shared" si="91"/>
        <v>0</v>
      </c>
      <c r="BH185" s="121">
        <f t="shared" si="92"/>
        <v>0</v>
      </c>
      <c r="BI185" s="121">
        <f t="shared" si="93"/>
        <v>2000000</v>
      </c>
      <c r="BJ185" s="121">
        <f t="shared" si="94"/>
        <v>2000000</v>
      </c>
      <c r="BK185" s="121">
        <f t="shared" si="95"/>
        <v>2000000</v>
      </c>
      <c r="BL185" s="121">
        <f t="shared" si="96"/>
        <v>2000000</v>
      </c>
      <c r="BM185" s="121">
        <f t="shared" si="97"/>
        <v>0</v>
      </c>
      <c r="BN185" s="121">
        <f t="shared" si="98"/>
        <v>0</v>
      </c>
      <c r="BO185" s="121">
        <f t="shared" si="99"/>
        <v>0</v>
      </c>
      <c r="BP185" s="121">
        <f t="shared" si="100"/>
        <v>0</v>
      </c>
      <c r="BQ185" s="199">
        <f>INDEX('GDP deflators'!$C$6:$M$36,MATCH('Bottom-up tagging'!$D185,'GDP deflators'!$B$6:$B$36,),MATCH('Bottom-up tagging'!$E185,'GDP deflators'!$C$5:$L$5,))/100</f>
        <v>1</v>
      </c>
      <c r="BR185" s="24">
        <v>2000000</v>
      </c>
    </row>
    <row r="186" spans="2:70" ht="26.15" hidden="1" customHeight="1">
      <c r="B186" s="110" t="s">
        <v>303</v>
      </c>
      <c r="C186" s="110" t="s">
        <v>306</v>
      </c>
      <c r="D186" s="110" t="s">
        <v>3994</v>
      </c>
      <c r="E186" s="103">
        <v>2017</v>
      </c>
      <c r="F186" s="108" t="s">
        <v>8813</v>
      </c>
      <c r="G186" s="111" t="s">
        <v>109</v>
      </c>
      <c r="H186" s="110" t="s">
        <v>10451</v>
      </c>
      <c r="I186" s="112">
        <f>IF(Dashboard!$B$16="Current USD",'Bottom-up tagging'!BR186,'Bottom-up tagging'!BR186/'Bottom-up tagging'!BQ186)</f>
        <v>1400670.5894743984</v>
      </c>
      <c r="J186" s="105" t="s">
        <v>10474</v>
      </c>
      <c r="K186" s="112"/>
      <c r="L186" s="135">
        <v>1</v>
      </c>
      <c r="M186" s="135">
        <v>1</v>
      </c>
      <c r="N186" s="112"/>
      <c r="O186" s="112"/>
      <c r="P186" s="112" t="str">
        <f>VLOOKUP(B186, 'Companies covered restructured'!$B$7:$K$470, 9, FALSE)</f>
        <v>Animal and fish monitoring systems</v>
      </c>
      <c r="Q186" s="112" t="str">
        <f>VLOOKUP(B186, 'Companies covered restructured'!$B$7:$K$470, 6, FALSE)</f>
        <v>#Livestock(100)</v>
      </c>
      <c r="R186" s="112" t="str">
        <f t="shared" si="72"/>
        <v>#Investment Fund(100)</v>
      </c>
      <c r="S186" s="112" t="s">
        <v>11003</v>
      </c>
      <c r="T186" s="112" t="s">
        <v>10466</v>
      </c>
      <c r="U186" s="103" t="s">
        <v>10970</v>
      </c>
      <c r="V186" s="112" t="str">
        <f>VLOOKUP(P186, 'Bottom-up Tagging Assumptions'!$B$12:$F$39, 5, FALSE)</f>
        <v>#Product Development(100)</v>
      </c>
      <c r="W186" s="112" t="str">
        <f>VLOOKUP(B186, 'Companies covered restructured'!$B$7:$K$470, 7, FALSE)</f>
        <v>#Field/Animal Herd(100)</v>
      </c>
      <c r="X186" s="112" t="s">
        <v>10558</v>
      </c>
      <c r="Y186" s="212" t="str">
        <f>VLOOKUP(P186, 'Bottom-up Tagging Assumptions'!$B$12:$C$56, 2, FALSE)</f>
        <v>#Productivity(P); Other economic(S)</v>
      </c>
      <c r="Z186" s="112" t="str">
        <f>VLOOKUP(P186, 'Bottom-up Tagging Assumptions'!$B$12:$F$56, 3, FALSE)</f>
        <v>#Increasing crop or animal yield(P)</v>
      </c>
      <c r="AA186" s="112" t="str">
        <f>VLOOKUP(P186, 'Bottom-up Tagging Assumptions'!$B$12:$F$56, 4, FALSE)</f>
        <v>#Level 2(100)</v>
      </c>
      <c r="AB186" s="110" t="s">
        <v>2039</v>
      </c>
      <c r="AC186" s="110" t="s">
        <v>1629</v>
      </c>
      <c r="AD186" s="110" t="s">
        <v>928</v>
      </c>
      <c r="AE186" s="110" t="str">
        <f>VLOOKUP(AD186,  '1.2'!$B$7:$C$2033, 2, FALSE)</f>
        <v>FUND</v>
      </c>
      <c r="AF186" s="112">
        <v>37911025</v>
      </c>
      <c r="AG186" s="110" t="s">
        <v>257</v>
      </c>
      <c r="AH186" s="121">
        <f t="shared" si="73"/>
        <v>0</v>
      </c>
      <c r="AI186" s="121">
        <f t="shared" si="74"/>
        <v>1</v>
      </c>
      <c r="AJ186" s="121">
        <f t="shared" si="75"/>
        <v>1</v>
      </c>
      <c r="AK186" s="121">
        <f t="shared" si="76"/>
        <v>0</v>
      </c>
      <c r="AL186" s="121">
        <f t="shared" si="77"/>
        <v>0</v>
      </c>
      <c r="AM186" s="121">
        <f t="shared" si="78"/>
        <v>0</v>
      </c>
      <c r="AN186" s="121">
        <f t="shared" si="79"/>
        <v>0</v>
      </c>
      <c r="AO186" s="121">
        <f t="shared" si="80"/>
        <v>0</v>
      </c>
      <c r="AP186" s="22">
        <f t="shared" si="81"/>
        <v>0</v>
      </c>
      <c r="AQ186" s="22">
        <f t="shared" si="82"/>
        <v>0</v>
      </c>
      <c r="AR186" s="22">
        <f t="shared" si="83"/>
        <v>0</v>
      </c>
      <c r="AS186" s="121" t="str">
        <f t="shared" si="84"/>
        <v>Livestock</v>
      </c>
      <c r="AT186" s="121" t="str">
        <f t="shared" si="103"/>
        <v xml:space="preserve"> </v>
      </c>
      <c r="AU186" s="121" t="str">
        <f t="shared" si="103"/>
        <v xml:space="preserve"> </v>
      </c>
      <c r="AV186" s="121" t="str">
        <f t="shared" si="103"/>
        <v xml:space="preserve"> </v>
      </c>
      <c r="AW186" s="130" t="str">
        <f t="shared" si="104"/>
        <v>100</v>
      </c>
      <c r="AX186" s="130" t="str">
        <f t="shared" si="104"/>
        <v xml:space="preserve"> </v>
      </c>
      <c r="AY186" s="130" t="str">
        <f t="shared" si="104"/>
        <v xml:space="preserve"> </v>
      </c>
      <c r="AZ186" s="130" t="str">
        <f t="shared" si="104"/>
        <v xml:space="preserve"> </v>
      </c>
      <c r="BA186" s="121">
        <f t="shared" si="85"/>
        <v>1400670.5894743984</v>
      </c>
      <c r="BB186" s="121">
        <f t="shared" si="86"/>
        <v>0</v>
      </c>
      <c r="BC186" s="121">
        <f t="shared" si="87"/>
        <v>0</v>
      </c>
      <c r="BD186" s="121">
        <f t="shared" si="88"/>
        <v>0</v>
      </c>
      <c r="BE186" s="121">
        <f t="shared" si="89"/>
        <v>0</v>
      </c>
      <c r="BF186" s="121">
        <f t="shared" si="90"/>
        <v>0</v>
      </c>
      <c r="BG186" s="121">
        <f t="shared" si="91"/>
        <v>0</v>
      </c>
      <c r="BH186" s="121">
        <f t="shared" si="92"/>
        <v>0</v>
      </c>
      <c r="BI186" s="121">
        <f t="shared" si="93"/>
        <v>0</v>
      </c>
      <c r="BJ186" s="121">
        <f t="shared" si="94"/>
        <v>0</v>
      </c>
      <c r="BK186" s="121">
        <f t="shared" si="95"/>
        <v>0</v>
      </c>
      <c r="BL186" s="121">
        <f t="shared" si="96"/>
        <v>0</v>
      </c>
      <c r="BM186" s="121">
        <f t="shared" si="97"/>
        <v>0</v>
      </c>
      <c r="BN186" s="121">
        <f t="shared" si="98"/>
        <v>0</v>
      </c>
      <c r="BO186" s="121">
        <f t="shared" si="99"/>
        <v>0</v>
      </c>
      <c r="BP186" s="121">
        <f t="shared" si="100"/>
        <v>0</v>
      </c>
      <c r="BQ186" s="199">
        <f>INDEX('GDP deflators'!$C$6:$M$36,MATCH('Bottom-up tagging'!$D186,'GDP deflators'!$B$6:$B$36,),MATCH('Bottom-up tagging'!$E186,'GDP deflators'!$C$5:$L$5,))/100</f>
        <v>1.4111098032990623</v>
      </c>
      <c r="BR186" s="24">
        <v>1976500</v>
      </c>
    </row>
    <row r="187" spans="2:70" ht="26.15" hidden="1" customHeight="1">
      <c r="B187" s="110" t="s">
        <v>74</v>
      </c>
      <c r="C187" s="110" t="s">
        <v>80</v>
      </c>
      <c r="D187" s="110" t="s">
        <v>3994</v>
      </c>
      <c r="E187" s="103">
        <v>2019</v>
      </c>
      <c r="F187" s="108" t="s">
        <v>8707</v>
      </c>
      <c r="G187" s="111" t="s">
        <v>25</v>
      </c>
      <c r="H187" s="110" t="s">
        <v>10451</v>
      </c>
      <c r="I187" s="112">
        <f>IF(Dashboard!$B$16="Current USD",'Bottom-up tagging'!BR187,'Bottom-up tagging'!BR187/'Bottom-up tagging'!BQ187)</f>
        <v>1307953.0808118815</v>
      </c>
      <c r="J187" s="105" t="s">
        <v>10474</v>
      </c>
      <c r="K187" s="112"/>
      <c r="L187" s="135">
        <v>1</v>
      </c>
      <c r="M187" s="135">
        <v>1</v>
      </c>
      <c r="N187" s="112"/>
      <c r="O187" s="112"/>
      <c r="P187" s="112" t="str">
        <f>VLOOKUP(B187, 'Companies covered restructured'!$B$7:$K$470, 9, FALSE)</f>
        <v>Agri marketplaces</v>
      </c>
      <c r="Q187" s="112" t="str">
        <f>VLOOKUP(B187, 'Companies covered restructured'!$B$7:$K$470, 6, FALSE)</f>
        <v>#Crops(100)</v>
      </c>
      <c r="R187" s="112" t="str">
        <f t="shared" si="72"/>
        <v>#Investment Fund(100)</v>
      </c>
      <c r="S187" s="112" t="s">
        <v>11003</v>
      </c>
      <c r="T187" s="112" t="s">
        <v>10466</v>
      </c>
      <c r="U187" s="103" t="s">
        <v>10970</v>
      </c>
      <c r="V187" s="112" t="str">
        <f>VLOOKUP(P187, 'Bottom-up Tagging Assumptions'!$B$12:$F$39, 5, FALSE)</f>
        <v>#Process Innovation(100)</v>
      </c>
      <c r="W187" s="112" t="str">
        <f>VLOOKUP(B187, 'Companies covered restructured'!$B$7:$K$470, 7, FALSE)</f>
        <v>#Farm/Household(100)</v>
      </c>
      <c r="X187" s="112" t="s">
        <v>10558</v>
      </c>
      <c r="Y187" s="212" t="str">
        <f>VLOOKUP(P187, 'Bottom-up Tagging Assumptions'!$B$12:$C$56, 2, FALSE)</f>
        <v>#Other Economic(P); Social(S)</v>
      </c>
      <c r="Z187" s="112" t="str">
        <f>VLOOKUP(P187, 'Bottom-up Tagging Assumptions'!$B$12:$F$56, 3, FALSE)</f>
        <v>#Improve price realization(P)</v>
      </c>
      <c r="AA187" s="112" t="str">
        <f>VLOOKUP(P187, 'Bottom-up Tagging Assumptions'!$B$12:$F$56, 4, FALSE)</f>
        <v>#Level 4(100)</v>
      </c>
      <c r="AB187" s="110" t="s">
        <v>721</v>
      </c>
      <c r="AC187" s="110" t="s">
        <v>77</v>
      </c>
      <c r="AD187" s="110" t="s">
        <v>722</v>
      </c>
      <c r="AE187" s="110" t="s">
        <v>3114</v>
      </c>
      <c r="AF187" s="112">
        <v>57163</v>
      </c>
      <c r="AG187" s="110" t="s">
        <v>1911</v>
      </c>
      <c r="AH187" s="121">
        <f t="shared" si="73"/>
        <v>0</v>
      </c>
      <c r="AI187" s="121">
        <f t="shared" si="74"/>
        <v>0</v>
      </c>
      <c r="AJ187" s="121">
        <f t="shared" si="75"/>
        <v>1</v>
      </c>
      <c r="AK187" s="121">
        <f t="shared" si="76"/>
        <v>1</v>
      </c>
      <c r="AL187" s="121">
        <f t="shared" si="77"/>
        <v>0</v>
      </c>
      <c r="AM187" s="121">
        <f t="shared" si="78"/>
        <v>0</v>
      </c>
      <c r="AN187" s="121">
        <f t="shared" si="79"/>
        <v>1</v>
      </c>
      <c r="AO187" s="121">
        <f t="shared" si="80"/>
        <v>0</v>
      </c>
      <c r="AP187" s="22">
        <f t="shared" si="81"/>
        <v>0</v>
      </c>
      <c r="AQ187" s="22">
        <f t="shared" si="82"/>
        <v>1307953.0808118815</v>
      </c>
      <c r="AR187" s="22">
        <f t="shared" si="83"/>
        <v>0</v>
      </c>
      <c r="AS187" s="121" t="str">
        <f t="shared" si="84"/>
        <v>Crops</v>
      </c>
      <c r="AT187" s="121" t="str">
        <f t="shared" si="103"/>
        <v xml:space="preserve"> </v>
      </c>
      <c r="AU187" s="121" t="str">
        <f t="shared" si="103"/>
        <v xml:space="preserve"> </v>
      </c>
      <c r="AV187" s="121" t="str">
        <f t="shared" si="103"/>
        <v xml:space="preserve"> </v>
      </c>
      <c r="AW187" s="130" t="str">
        <f t="shared" si="104"/>
        <v>100</v>
      </c>
      <c r="AX187" s="130" t="str">
        <f t="shared" si="104"/>
        <v xml:space="preserve"> </v>
      </c>
      <c r="AY187" s="130" t="str">
        <f t="shared" si="104"/>
        <v xml:space="preserve"> </v>
      </c>
      <c r="AZ187" s="130" t="str">
        <f t="shared" si="104"/>
        <v xml:space="preserve"> </v>
      </c>
      <c r="BA187" s="121">
        <f t="shared" si="85"/>
        <v>1307953.0808118815</v>
      </c>
      <c r="BB187" s="121">
        <f t="shared" si="86"/>
        <v>0</v>
      </c>
      <c r="BC187" s="121">
        <f t="shared" si="87"/>
        <v>0</v>
      </c>
      <c r="BD187" s="121">
        <f t="shared" si="88"/>
        <v>0</v>
      </c>
      <c r="BE187" s="121">
        <f t="shared" si="89"/>
        <v>0</v>
      </c>
      <c r="BF187" s="121">
        <f t="shared" si="90"/>
        <v>0</v>
      </c>
      <c r="BG187" s="121">
        <f t="shared" si="91"/>
        <v>0</v>
      </c>
      <c r="BH187" s="121">
        <f t="shared" si="92"/>
        <v>0</v>
      </c>
      <c r="BI187" s="121">
        <f t="shared" si="93"/>
        <v>1307953.0808118815</v>
      </c>
      <c r="BJ187" s="121">
        <f t="shared" si="94"/>
        <v>1307953.0808118815</v>
      </c>
      <c r="BK187" s="121">
        <f t="shared" si="95"/>
        <v>1307953.0808118815</v>
      </c>
      <c r="BL187" s="121">
        <f t="shared" si="96"/>
        <v>1307953.0808118815</v>
      </c>
      <c r="BM187" s="121">
        <f t="shared" si="97"/>
        <v>0</v>
      </c>
      <c r="BN187" s="121">
        <f t="shared" si="98"/>
        <v>0</v>
      </c>
      <c r="BO187" s="121">
        <f t="shared" si="99"/>
        <v>0</v>
      </c>
      <c r="BP187" s="121">
        <f t="shared" si="100"/>
        <v>0</v>
      </c>
      <c r="BQ187" s="199">
        <f>INDEX('GDP deflators'!$C$6:$M$36,MATCH('Bottom-up tagging'!$D187,'GDP deflators'!$B$6:$B$36,),MATCH('Bottom-up tagging'!$E187,'GDP deflators'!$C$5:$L$5,))/100</f>
        <v>1.5094883975306472</v>
      </c>
      <c r="BR187" s="24">
        <v>1974340</v>
      </c>
    </row>
    <row r="188" spans="2:70" ht="26.15" hidden="1" customHeight="1">
      <c r="B188" s="110" t="s">
        <v>3003</v>
      </c>
      <c r="C188" s="110" t="s">
        <v>3006</v>
      </c>
      <c r="D188" s="110" t="s">
        <v>2057</v>
      </c>
      <c r="E188" s="103">
        <v>2012</v>
      </c>
      <c r="F188" s="108" t="s">
        <v>9908</v>
      </c>
      <c r="G188" s="111" t="s">
        <v>109</v>
      </c>
      <c r="H188" s="110" t="s">
        <v>10451</v>
      </c>
      <c r="I188" s="112">
        <f>IF(Dashboard!$B$16="Current USD",'Bottom-up tagging'!BR188,'Bottom-up tagging'!BR188/'Bottom-up tagging'!BQ188)</f>
        <v>1781204.8926253945</v>
      </c>
      <c r="J188" s="105" t="s">
        <v>10474</v>
      </c>
      <c r="K188" s="112"/>
      <c r="L188" s="135">
        <v>1</v>
      </c>
      <c r="M188" s="135">
        <v>1</v>
      </c>
      <c r="N188" s="112"/>
      <c r="O188" s="112"/>
      <c r="P188" s="112" t="str">
        <f>VLOOKUP(B188, 'Companies covered restructured'!$B$7:$K$470, 9, FALSE)</f>
        <v>Waste management</v>
      </c>
      <c r="Q188" s="112" t="str">
        <f>VLOOKUP(B188, 'Companies covered restructured'!$B$7:$K$470, 6, FALSE)</f>
        <v>#Crops(100)</v>
      </c>
      <c r="R188" s="112" t="str">
        <f t="shared" si="72"/>
        <v>N/A</v>
      </c>
      <c r="S188" s="112" t="s">
        <v>11003</v>
      </c>
      <c r="T188" s="112" t="s">
        <v>10466</v>
      </c>
      <c r="U188" s="103" t="s">
        <v>10970</v>
      </c>
      <c r="V188" s="112" t="str">
        <f>VLOOKUP(P188, 'Bottom-up Tagging Assumptions'!$B$12:$F$39, 5, FALSE)</f>
        <v>#Product Development(100)</v>
      </c>
      <c r="W188" s="112" t="str">
        <f>VLOOKUP(B188, 'Companies covered restructured'!$B$7:$K$470, 7, FALSE)</f>
        <v>#Landscape(100)</v>
      </c>
      <c r="X188" s="112" t="str">
        <f>VLOOKUP(B188, 'Companies covered restructured'!$B$7:$K$470, 8, FALSE)</f>
        <v>N/A</v>
      </c>
      <c r="Y188" s="212" t="str">
        <f>VLOOKUP(P188, 'Bottom-up Tagging Assumptions'!$B$12:$C$56, 2, FALSE)</f>
        <v>#Environmental(P); #Other economic(S)</v>
      </c>
      <c r="Z188" s="112" t="str">
        <f>VLOOKUP(P188, 'Bottom-up Tagging Assumptions'!$B$12:$F$56, 3, FALSE)</f>
        <v>#Waste reduction(P)</v>
      </c>
      <c r="AA188" s="112" t="str">
        <f>VLOOKUP(P188, 'Bottom-up Tagging Assumptions'!$B$12:$F$56, 4, FALSE)</f>
        <v>#Level 2(100)</v>
      </c>
      <c r="AB188" s="110"/>
      <c r="AC188" s="110"/>
      <c r="AD188" s="110"/>
      <c r="AE188" s="110" t="s">
        <v>10558</v>
      </c>
      <c r="AF188" s="112">
        <v>28150000</v>
      </c>
      <c r="AG188" s="110" t="s">
        <v>457</v>
      </c>
      <c r="AH188" s="121">
        <f t="shared" si="73"/>
        <v>1</v>
      </c>
      <c r="AI188" s="121">
        <f t="shared" si="74"/>
        <v>0</v>
      </c>
      <c r="AJ188" s="121">
        <f t="shared" si="75"/>
        <v>1</v>
      </c>
      <c r="AK188" s="121">
        <f t="shared" si="76"/>
        <v>0</v>
      </c>
      <c r="AL188" s="121">
        <f t="shared" si="77"/>
        <v>0</v>
      </c>
      <c r="AM188" s="121">
        <f t="shared" si="78"/>
        <v>0</v>
      </c>
      <c r="AN188" s="121">
        <f t="shared" si="79"/>
        <v>1</v>
      </c>
      <c r="AO188" s="121">
        <f t="shared" si="80"/>
        <v>0</v>
      </c>
      <c r="AP188" s="22">
        <f t="shared" si="81"/>
        <v>0</v>
      </c>
      <c r="AQ188" s="22">
        <f t="shared" si="82"/>
        <v>1781204.8926253945</v>
      </c>
      <c r="AR188" s="22">
        <f t="shared" si="83"/>
        <v>0</v>
      </c>
      <c r="AS188" s="121" t="str">
        <f t="shared" si="84"/>
        <v>Crops</v>
      </c>
      <c r="AT188" s="121" t="str">
        <f t="shared" si="103"/>
        <v xml:space="preserve"> </v>
      </c>
      <c r="AU188" s="121" t="str">
        <f t="shared" si="103"/>
        <v xml:space="preserve"> </v>
      </c>
      <c r="AV188" s="121" t="str">
        <f t="shared" si="103"/>
        <v xml:space="preserve"> </v>
      </c>
      <c r="AW188" s="130" t="str">
        <f t="shared" si="104"/>
        <v>100</v>
      </c>
      <c r="AX188" s="130" t="str">
        <f t="shared" si="104"/>
        <v xml:space="preserve"> </v>
      </c>
      <c r="AY188" s="130" t="str">
        <f t="shared" si="104"/>
        <v xml:space="preserve"> </v>
      </c>
      <c r="AZ188" s="130" t="str">
        <f t="shared" si="104"/>
        <v xml:space="preserve"> </v>
      </c>
      <c r="BA188" s="121">
        <f t="shared" si="85"/>
        <v>1781204.8926253945</v>
      </c>
      <c r="BB188" s="121">
        <f t="shared" si="86"/>
        <v>0</v>
      </c>
      <c r="BC188" s="121">
        <f t="shared" si="87"/>
        <v>0</v>
      </c>
      <c r="BD188" s="121">
        <f t="shared" si="88"/>
        <v>0</v>
      </c>
      <c r="BE188" s="121">
        <f t="shared" si="89"/>
        <v>0</v>
      </c>
      <c r="BF188" s="121">
        <f t="shared" si="90"/>
        <v>0</v>
      </c>
      <c r="BG188" s="121">
        <f t="shared" si="91"/>
        <v>0</v>
      </c>
      <c r="BH188" s="121">
        <f t="shared" si="92"/>
        <v>0</v>
      </c>
      <c r="BI188" s="121">
        <f t="shared" si="93"/>
        <v>1781204.8926253945</v>
      </c>
      <c r="BJ188" s="121">
        <f t="shared" si="94"/>
        <v>1781204.8926253945</v>
      </c>
      <c r="BK188" s="121">
        <f t="shared" si="95"/>
        <v>1781204.8926253945</v>
      </c>
      <c r="BL188" s="121">
        <f t="shared" si="96"/>
        <v>1781204.8926253945</v>
      </c>
      <c r="BM188" s="121">
        <f t="shared" si="97"/>
        <v>0</v>
      </c>
      <c r="BN188" s="121">
        <f t="shared" si="98"/>
        <v>0</v>
      </c>
      <c r="BO188" s="121">
        <f t="shared" si="99"/>
        <v>0</v>
      </c>
      <c r="BP188" s="121">
        <f t="shared" si="100"/>
        <v>0</v>
      </c>
      <c r="BQ188" s="199">
        <f>INDEX('GDP deflators'!$C$6:$M$36,MATCH('Bottom-up tagging'!$D188,'GDP deflators'!$B$6:$B$36,),MATCH('Bottom-up tagging'!$E188,'GDP deflators'!$C$5:$L$5,))/100</f>
        <v>1.1059929198242502</v>
      </c>
      <c r="BR188" s="24">
        <v>1970000</v>
      </c>
    </row>
    <row r="189" spans="2:70" ht="26.15" hidden="1" customHeight="1">
      <c r="B189" s="110" t="s">
        <v>74</v>
      </c>
      <c r="C189" s="110" t="s">
        <v>80</v>
      </c>
      <c r="D189" s="110" t="s">
        <v>3994</v>
      </c>
      <c r="E189" s="103">
        <v>2016</v>
      </c>
      <c r="F189" s="108" t="s">
        <v>8707</v>
      </c>
      <c r="G189" s="111" t="s">
        <v>34</v>
      </c>
      <c r="H189" s="110" t="s">
        <v>10451</v>
      </c>
      <c r="I189" s="112">
        <f>IF(Dashboard!$B$16="Current USD",'Bottom-up tagging'!BR189,'Bottom-up tagging'!BR189/'Bottom-up tagging'!BQ189)</f>
        <v>1441454.6180658627</v>
      </c>
      <c r="J189" s="105" t="s">
        <v>10474</v>
      </c>
      <c r="K189" s="112"/>
      <c r="L189" s="135">
        <v>1</v>
      </c>
      <c r="M189" s="135">
        <v>1</v>
      </c>
      <c r="N189" s="112"/>
      <c r="O189" s="112"/>
      <c r="P189" s="112" t="str">
        <f>VLOOKUP(B189, 'Companies covered restructured'!$B$7:$K$470, 9, FALSE)</f>
        <v>Agri marketplaces</v>
      </c>
      <c r="Q189" s="112" t="str">
        <f>VLOOKUP(B189, 'Companies covered restructured'!$B$7:$K$470, 6, FALSE)</f>
        <v>#Crops(100)</v>
      </c>
      <c r="R189" s="112" t="str">
        <f t="shared" si="72"/>
        <v>#Investment Fund(100)</v>
      </c>
      <c r="S189" s="112" t="s">
        <v>11003</v>
      </c>
      <c r="T189" s="112" t="s">
        <v>10466</v>
      </c>
      <c r="U189" s="103" t="s">
        <v>10970</v>
      </c>
      <c r="V189" s="112" t="str">
        <f>VLOOKUP(P189, 'Bottom-up Tagging Assumptions'!$B$12:$F$39, 5, FALSE)</f>
        <v>#Process Innovation(100)</v>
      </c>
      <c r="W189" s="112" t="str">
        <f>VLOOKUP(B189, 'Companies covered restructured'!$B$7:$K$470, 7, FALSE)</f>
        <v>#Farm/Household(100)</v>
      </c>
      <c r="X189" s="112" t="s">
        <v>10558</v>
      </c>
      <c r="Y189" s="212" t="str">
        <f>VLOOKUP(P189, 'Bottom-up Tagging Assumptions'!$B$12:$C$56, 2, FALSE)</f>
        <v>#Other Economic(P); Social(S)</v>
      </c>
      <c r="Z189" s="112" t="str">
        <f>VLOOKUP(P189, 'Bottom-up Tagging Assumptions'!$B$12:$F$56, 3, FALSE)</f>
        <v>#Improve price realization(P)</v>
      </c>
      <c r="AA189" s="112" t="str">
        <f>VLOOKUP(P189, 'Bottom-up Tagging Assumptions'!$B$12:$F$56, 4, FALSE)</f>
        <v>#Level 4(100)</v>
      </c>
      <c r="AB189" s="110" t="s">
        <v>2354</v>
      </c>
      <c r="AC189" s="110"/>
      <c r="AD189" s="110" t="s">
        <v>2355</v>
      </c>
      <c r="AE189" s="110" t="str">
        <f>VLOOKUP(AD189,  '1.2'!$B$7:$C$2033, 2, FALSE)</f>
        <v>FUND</v>
      </c>
      <c r="AF189" s="112">
        <v>3071720</v>
      </c>
      <c r="AG189" s="110" t="s">
        <v>1924</v>
      </c>
      <c r="AH189" s="121">
        <f t="shared" si="73"/>
        <v>0</v>
      </c>
      <c r="AI189" s="121">
        <f t="shared" si="74"/>
        <v>0</v>
      </c>
      <c r="AJ189" s="121">
        <f t="shared" si="75"/>
        <v>1</v>
      </c>
      <c r="AK189" s="121">
        <f t="shared" si="76"/>
        <v>1</v>
      </c>
      <c r="AL189" s="121">
        <f t="shared" si="77"/>
        <v>0</v>
      </c>
      <c r="AM189" s="121">
        <f t="shared" si="78"/>
        <v>0</v>
      </c>
      <c r="AN189" s="121">
        <f t="shared" si="79"/>
        <v>1</v>
      </c>
      <c r="AO189" s="121">
        <f t="shared" si="80"/>
        <v>0</v>
      </c>
      <c r="AP189" s="22">
        <f t="shared" si="81"/>
        <v>0</v>
      </c>
      <c r="AQ189" s="22">
        <f t="shared" si="82"/>
        <v>1441454.6180658627</v>
      </c>
      <c r="AR189" s="22">
        <f t="shared" si="83"/>
        <v>0</v>
      </c>
      <c r="AS189" s="121" t="str">
        <f t="shared" si="84"/>
        <v>Crops</v>
      </c>
      <c r="AT189" s="121" t="str">
        <f t="shared" si="103"/>
        <v xml:space="preserve"> </v>
      </c>
      <c r="AU189" s="121" t="str">
        <f t="shared" si="103"/>
        <v xml:space="preserve"> </v>
      </c>
      <c r="AV189" s="121" t="str">
        <f t="shared" si="103"/>
        <v xml:space="preserve"> </v>
      </c>
      <c r="AW189" s="130" t="str">
        <f t="shared" si="104"/>
        <v>100</v>
      </c>
      <c r="AX189" s="130" t="str">
        <f t="shared" si="104"/>
        <v xml:space="preserve"> </v>
      </c>
      <c r="AY189" s="130" t="str">
        <f t="shared" si="104"/>
        <v xml:space="preserve"> </v>
      </c>
      <c r="AZ189" s="130" t="str">
        <f t="shared" si="104"/>
        <v xml:space="preserve"> </v>
      </c>
      <c r="BA189" s="121">
        <f t="shared" si="85"/>
        <v>1441454.6180658627</v>
      </c>
      <c r="BB189" s="121">
        <f t="shared" si="86"/>
        <v>0</v>
      </c>
      <c r="BC189" s="121">
        <f t="shared" si="87"/>
        <v>0</v>
      </c>
      <c r="BD189" s="121">
        <f t="shared" si="88"/>
        <v>0</v>
      </c>
      <c r="BE189" s="121">
        <f t="shared" si="89"/>
        <v>0</v>
      </c>
      <c r="BF189" s="121">
        <f t="shared" si="90"/>
        <v>0</v>
      </c>
      <c r="BG189" s="121">
        <f t="shared" si="91"/>
        <v>0</v>
      </c>
      <c r="BH189" s="121">
        <f t="shared" si="92"/>
        <v>0</v>
      </c>
      <c r="BI189" s="121">
        <f t="shared" si="93"/>
        <v>1441454.6180658627</v>
      </c>
      <c r="BJ189" s="121">
        <f t="shared" si="94"/>
        <v>1441454.6180658627</v>
      </c>
      <c r="BK189" s="121">
        <f t="shared" si="95"/>
        <v>1441454.6180658627</v>
      </c>
      <c r="BL189" s="121">
        <f t="shared" si="96"/>
        <v>1441454.6180658627</v>
      </c>
      <c r="BM189" s="121">
        <f t="shared" si="97"/>
        <v>0</v>
      </c>
      <c r="BN189" s="121">
        <f t="shared" si="98"/>
        <v>0</v>
      </c>
      <c r="BO189" s="121">
        <f t="shared" si="99"/>
        <v>0</v>
      </c>
      <c r="BP189" s="121">
        <f t="shared" si="100"/>
        <v>0</v>
      </c>
      <c r="BQ189" s="199">
        <f>INDEX('GDP deflators'!$C$6:$M$36,MATCH('Bottom-up tagging'!$D189,'GDP deflators'!$B$6:$B$36,),MATCH('Bottom-up tagging'!$E189,'GDP deflators'!$C$5:$L$5,))/100</f>
        <v>1.3597375702538033</v>
      </c>
      <c r="BR189" s="24">
        <v>1960000</v>
      </c>
    </row>
    <row r="190" spans="2:70" ht="26.15" hidden="1" customHeight="1">
      <c r="B190" s="110" t="s">
        <v>1024</v>
      </c>
      <c r="C190" s="110" t="s">
        <v>1029</v>
      </c>
      <c r="D190" s="110" t="s">
        <v>1028</v>
      </c>
      <c r="E190" s="103">
        <v>2019</v>
      </c>
      <c r="F190" s="108" t="s">
        <v>5622</v>
      </c>
      <c r="G190" s="111" t="s">
        <v>34</v>
      </c>
      <c r="H190" s="110" t="s">
        <v>10451</v>
      </c>
      <c r="I190" s="112">
        <f>IF(Dashboard!$B$16="Current USD",'Bottom-up tagging'!BR190,'Bottom-up tagging'!BR190/'Bottom-up tagging'!BQ190)</f>
        <v>1686709.2140146377</v>
      </c>
      <c r="J190" s="105" t="s">
        <v>10474</v>
      </c>
      <c r="K190" s="112"/>
      <c r="L190" s="135">
        <v>1</v>
      </c>
      <c r="M190" s="135">
        <v>1</v>
      </c>
      <c r="N190" s="112"/>
      <c r="O190" s="112"/>
      <c r="P190" s="112" t="str">
        <f>VLOOKUP(B190, 'Companies covered restructured'!$B$7:$K$470, 9, FALSE)</f>
        <v>Farm Equipment</v>
      </c>
      <c r="Q190" s="112" t="str">
        <f>VLOOKUP(B190, 'Companies covered restructured'!$B$7:$K$470, 6, FALSE)</f>
        <v>#Crops(100)</v>
      </c>
      <c r="R190" s="112" t="str">
        <f t="shared" si="72"/>
        <v>#Corporate(100)</v>
      </c>
      <c r="S190" s="112" t="s">
        <v>11003</v>
      </c>
      <c r="T190" s="112" t="s">
        <v>10466</v>
      </c>
      <c r="U190" s="103" t="s">
        <v>10970</v>
      </c>
      <c r="V190" s="112" t="str">
        <f>VLOOKUP(P190, 'Bottom-up Tagging Assumptions'!$B$12:$F$39, 5, FALSE)</f>
        <v>#Product Development(100)</v>
      </c>
      <c r="W190" s="112" t="str">
        <f>VLOOKUP(B190, 'Companies covered restructured'!$B$7:$K$470, 7, FALSE)</f>
        <v>#Field/Animal Herd(100)</v>
      </c>
      <c r="X190" s="112" t="s">
        <v>10558</v>
      </c>
      <c r="Y190" s="212" t="str">
        <f>VLOOKUP(P190, 'Bottom-up Tagging Assumptions'!$B$12:$C$56, 2, FALSE)</f>
        <v>#Productivity(P); #Other economic(S)</v>
      </c>
      <c r="Z190" s="112" t="str">
        <f>VLOOKUP(P190, 'Bottom-up Tagging Assumptions'!$B$12:$F$56, 3, FALSE)</f>
        <v>#Reducing human effort(P)</v>
      </c>
      <c r="AA190" s="112" t="str">
        <f>VLOOKUP(P190, 'Bottom-up Tagging Assumptions'!$B$12:$F$56, 4, FALSE)</f>
        <v>#Level 1(100)</v>
      </c>
      <c r="AB190" s="110" t="s">
        <v>1026</v>
      </c>
      <c r="AC190" s="110"/>
      <c r="AD190" s="110" t="s">
        <v>1027</v>
      </c>
      <c r="AE190" s="110" t="s">
        <v>3139</v>
      </c>
      <c r="AF190" s="112">
        <v>114859</v>
      </c>
      <c r="AG190" s="110" t="s">
        <v>1452</v>
      </c>
      <c r="AH190" s="121">
        <f t="shared" si="73"/>
        <v>0</v>
      </c>
      <c r="AI190" s="121">
        <f t="shared" si="74"/>
        <v>1</v>
      </c>
      <c r="AJ190" s="121">
        <f t="shared" si="75"/>
        <v>1</v>
      </c>
      <c r="AK190" s="121">
        <f t="shared" si="76"/>
        <v>0</v>
      </c>
      <c r="AL190" s="121">
        <f t="shared" si="77"/>
        <v>0</v>
      </c>
      <c r="AM190" s="121">
        <f t="shared" si="78"/>
        <v>0</v>
      </c>
      <c r="AN190" s="121">
        <f t="shared" si="79"/>
        <v>0</v>
      </c>
      <c r="AO190" s="121">
        <f t="shared" si="80"/>
        <v>0</v>
      </c>
      <c r="AP190" s="22">
        <f t="shared" si="81"/>
        <v>0</v>
      </c>
      <c r="AQ190" s="22">
        <f t="shared" si="82"/>
        <v>0</v>
      </c>
      <c r="AR190" s="22">
        <f t="shared" si="83"/>
        <v>0</v>
      </c>
      <c r="AS190" s="121" t="str">
        <f t="shared" si="84"/>
        <v>Crops</v>
      </c>
      <c r="AT190" s="121" t="str">
        <f t="shared" si="103"/>
        <v xml:space="preserve"> </v>
      </c>
      <c r="AU190" s="121" t="str">
        <f t="shared" si="103"/>
        <v xml:space="preserve"> </v>
      </c>
      <c r="AV190" s="121" t="str">
        <f t="shared" si="103"/>
        <v xml:space="preserve"> </v>
      </c>
      <c r="AW190" s="130" t="str">
        <f t="shared" si="104"/>
        <v>100</v>
      </c>
      <c r="AX190" s="130" t="str">
        <f t="shared" si="104"/>
        <v xml:space="preserve"> </v>
      </c>
      <c r="AY190" s="130" t="str">
        <f t="shared" si="104"/>
        <v xml:space="preserve"> </v>
      </c>
      <c r="AZ190" s="130" t="str">
        <f t="shared" si="104"/>
        <v xml:space="preserve"> </v>
      </c>
      <c r="BA190" s="121">
        <f t="shared" si="85"/>
        <v>1686709.2140146377</v>
      </c>
      <c r="BB190" s="121">
        <f t="shared" si="86"/>
        <v>0</v>
      </c>
      <c r="BC190" s="121">
        <f t="shared" si="87"/>
        <v>0</v>
      </c>
      <c r="BD190" s="121">
        <f t="shared" si="88"/>
        <v>0</v>
      </c>
      <c r="BE190" s="121">
        <f t="shared" si="89"/>
        <v>0</v>
      </c>
      <c r="BF190" s="121">
        <f t="shared" si="90"/>
        <v>0</v>
      </c>
      <c r="BG190" s="121">
        <f t="shared" si="91"/>
        <v>0</v>
      </c>
      <c r="BH190" s="121">
        <f t="shared" si="92"/>
        <v>0</v>
      </c>
      <c r="BI190" s="121">
        <f t="shared" si="93"/>
        <v>0</v>
      </c>
      <c r="BJ190" s="121">
        <f t="shared" si="94"/>
        <v>0</v>
      </c>
      <c r="BK190" s="121">
        <f t="shared" si="95"/>
        <v>0</v>
      </c>
      <c r="BL190" s="121">
        <f t="shared" si="96"/>
        <v>0</v>
      </c>
      <c r="BM190" s="121">
        <f t="shared" si="97"/>
        <v>0</v>
      </c>
      <c r="BN190" s="121">
        <f t="shared" si="98"/>
        <v>0</v>
      </c>
      <c r="BO190" s="121">
        <f t="shared" si="99"/>
        <v>0</v>
      </c>
      <c r="BP190" s="121">
        <f t="shared" si="100"/>
        <v>0</v>
      </c>
      <c r="BQ190" s="199">
        <f>INDEX('GDP deflators'!$C$6:$M$36,MATCH('Bottom-up tagging'!$D190,'GDP deflators'!$B$6:$B$36,),MATCH('Bottom-up tagging'!$E190,'GDP deflators'!$C$5:$L$5,))/100</f>
        <v>1.1264537978527407</v>
      </c>
      <c r="BR190" s="24">
        <v>1900000</v>
      </c>
    </row>
    <row r="191" spans="2:70" ht="26.15" hidden="1" customHeight="1">
      <c r="B191" s="110" t="s">
        <v>641</v>
      </c>
      <c r="C191" s="110" t="s">
        <v>645</v>
      </c>
      <c r="D191" s="110" t="s">
        <v>3994</v>
      </c>
      <c r="E191" s="103">
        <v>2019</v>
      </c>
      <c r="F191" s="108" t="s">
        <v>8736</v>
      </c>
      <c r="G191" s="111" t="s">
        <v>109</v>
      </c>
      <c r="H191" s="110" t="s">
        <v>10451</v>
      </c>
      <c r="I191" s="112">
        <f>IF(Dashboard!$B$16="Current USD",'Bottom-up tagging'!BR191,'Bottom-up tagging'!BR191/'Bottom-up tagging'!BQ191)</f>
        <v>1255643.9672544869</v>
      </c>
      <c r="J191" s="117" t="s">
        <v>10474</v>
      </c>
      <c r="K191" s="112"/>
      <c r="L191" s="135">
        <v>1</v>
      </c>
      <c r="M191" s="135">
        <v>1</v>
      </c>
      <c r="N191" s="112"/>
      <c r="O191" s="112"/>
      <c r="P191" s="112" t="str">
        <f>VLOOKUP(B191, 'Companies covered restructured'!$B$7:$K$470, 9, FALSE)</f>
        <v>Irrigation systems</v>
      </c>
      <c r="Q191" s="112" t="str">
        <f>VLOOKUP(B191, 'Companies covered restructured'!$B$7:$K$470, 6, FALSE)</f>
        <v>#Crops(100)</v>
      </c>
      <c r="R191" s="112" t="str">
        <f t="shared" si="72"/>
        <v>#Investment Fund(100)</v>
      </c>
      <c r="S191" s="112" t="s">
        <v>11003</v>
      </c>
      <c r="T191" s="112" t="s">
        <v>10466</v>
      </c>
      <c r="U191" s="116" t="s">
        <v>10970</v>
      </c>
      <c r="V191" s="212" t="s">
        <v>10977</v>
      </c>
      <c r="W191" s="112" t="str">
        <f>VLOOKUP(B191, 'Companies covered restructured'!$B$7:$K$470, 7, FALSE)</f>
        <v>#Farm/Household(100)</v>
      </c>
      <c r="X191" s="112" t="s">
        <v>10558</v>
      </c>
      <c r="Y191" s="212" t="str">
        <f>VLOOKUP(P191, 'Bottom-up Tagging Assumptions'!$B$12:$C$56, 2, FALSE)</f>
        <v>#Other Economic(P); Environmental(S)</v>
      </c>
      <c r="Z191" s="112" t="str">
        <f>VLOOKUP(P191, 'Bottom-up Tagging Assumptions'!$B$12:$F$56, 3, FALSE)</f>
        <v>#Waste reduction(P)</v>
      </c>
      <c r="AA191" s="112" t="str">
        <f>VLOOKUP(P191, 'Bottom-up Tagging Assumptions'!$B$12:$F$56, 4, FALSE)</f>
        <v>#Level 1(100)</v>
      </c>
      <c r="AB191" s="110" t="s">
        <v>937</v>
      </c>
      <c r="AC191" s="110"/>
      <c r="AD191" s="110" t="s">
        <v>938</v>
      </c>
      <c r="AE191" s="110" t="s">
        <v>3114</v>
      </c>
      <c r="AF191" s="112">
        <v>878298</v>
      </c>
      <c r="AG191" s="110" t="s">
        <v>1931</v>
      </c>
      <c r="AH191" s="121">
        <f t="shared" si="73"/>
        <v>1</v>
      </c>
      <c r="AI191" s="121">
        <f t="shared" si="74"/>
        <v>0</v>
      </c>
      <c r="AJ191" s="121">
        <f t="shared" si="75"/>
        <v>1</v>
      </c>
      <c r="AK191" s="121">
        <f t="shared" si="76"/>
        <v>0</v>
      </c>
      <c r="AL191" s="121">
        <f t="shared" si="77"/>
        <v>0</v>
      </c>
      <c r="AM191" s="121">
        <f t="shared" si="78"/>
        <v>0</v>
      </c>
      <c r="AN191" s="121">
        <f t="shared" si="79"/>
        <v>1</v>
      </c>
      <c r="AO191" s="121">
        <f t="shared" si="80"/>
        <v>0</v>
      </c>
      <c r="AP191" s="22">
        <f t="shared" si="81"/>
        <v>0</v>
      </c>
      <c r="AQ191" s="22">
        <f t="shared" si="82"/>
        <v>1255643.9672544869</v>
      </c>
      <c r="AR191" s="22">
        <f t="shared" si="83"/>
        <v>0</v>
      </c>
      <c r="AS191" s="121" t="str">
        <f t="shared" si="84"/>
        <v>Crops</v>
      </c>
      <c r="AT191" s="121" t="str">
        <f t="shared" si="103"/>
        <v xml:space="preserve"> </v>
      </c>
      <c r="AU191" s="121" t="str">
        <f t="shared" si="103"/>
        <v xml:space="preserve"> </v>
      </c>
      <c r="AV191" s="121" t="str">
        <f t="shared" si="103"/>
        <v xml:space="preserve"> </v>
      </c>
      <c r="AW191" s="130" t="str">
        <f t="shared" si="104"/>
        <v>100</v>
      </c>
      <c r="AX191" s="130" t="str">
        <f t="shared" si="104"/>
        <v xml:space="preserve"> </v>
      </c>
      <c r="AY191" s="130" t="str">
        <f t="shared" si="104"/>
        <v xml:space="preserve"> </v>
      </c>
      <c r="AZ191" s="130" t="str">
        <f t="shared" si="104"/>
        <v xml:space="preserve"> </v>
      </c>
      <c r="BA191" s="121">
        <f t="shared" si="85"/>
        <v>1255643.9672544869</v>
      </c>
      <c r="BB191" s="121">
        <f t="shared" si="86"/>
        <v>0</v>
      </c>
      <c r="BC191" s="121">
        <f t="shared" si="87"/>
        <v>0</v>
      </c>
      <c r="BD191" s="121">
        <f t="shared" si="88"/>
        <v>0</v>
      </c>
      <c r="BE191" s="121">
        <f t="shared" si="89"/>
        <v>0</v>
      </c>
      <c r="BF191" s="121">
        <f t="shared" si="90"/>
        <v>0</v>
      </c>
      <c r="BG191" s="121">
        <f t="shared" si="91"/>
        <v>0</v>
      </c>
      <c r="BH191" s="121">
        <f t="shared" si="92"/>
        <v>0</v>
      </c>
      <c r="BI191" s="121">
        <f t="shared" si="93"/>
        <v>1255643.9672544869</v>
      </c>
      <c r="BJ191" s="121">
        <f t="shared" si="94"/>
        <v>1255643.9672544869</v>
      </c>
      <c r="BK191" s="121">
        <f t="shared" si="95"/>
        <v>1255643.9672544869</v>
      </c>
      <c r="BL191" s="121">
        <f t="shared" si="96"/>
        <v>1255643.9672544869</v>
      </c>
      <c r="BM191" s="121">
        <f t="shared" si="97"/>
        <v>0</v>
      </c>
      <c r="BN191" s="121">
        <f t="shared" si="98"/>
        <v>0</v>
      </c>
      <c r="BO191" s="121">
        <f t="shared" si="99"/>
        <v>0</v>
      </c>
      <c r="BP191" s="121">
        <f t="shared" si="100"/>
        <v>0</v>
      </c>
      <c r="BQ191" s="199">
        <f>INDEX('GDP deflators'!$C$6:$M$36,MATCH('Bottom-up tagging'!$D191,'GDP deflators'!$B$6:$B$36,),MATCH('Bottom-up tagging'!$E191,'GDP deflators'!$C$5:$L$5,))/100</f>
        <v>1.5094883975306472</v>
      </c>
      <c r="BR191" s="24">
        <v>1895380</v>
      </c>
    </row>
    <row r="192" spans="2:70" ht="26.15" hidden="1" customHeight="1">
      <c r="B192" s="110" t="s">
        <v>1834</v>
      </c>
      <c r="C192" s="110" t="s">
        <v>1616</v>
      </c>
      <c r="D192" s="110" t="s">
        <v>5208</v>
      </c>
      <c r="E192" s="103">
        <v>2018</v>
      </c>
      <c r="F192" s="108" t="s">
        <v>5805</v>
      </c>
      <c r="G192" s="111" t="s">
        <v>34</v>
      </c>
      <c r="H192" s="110" t="s">
        <v>10451</v>
      </c>
      <c r="I192" s="112">
        <f>IF(Dashboard!$B$16="Current USD",'Bottom-up tagging'!BR192,'Bottom-up tagging'!BR192/'Bottom-up tagging'!BQ192)</f>
        <v>1112127.5201809809</v>
      </c>
      <c r="J192" s="105" t="s">
        <v>10474</v>
      </c>
      <c r="K192" s="112"/>
      <c r="L192" s="135">
        <v>1</v>
      </c>
      <c r="M192" s="135">
        <v>1</v>
      </c>
      <c r="N192" s="112"/>
      <c r="O192" s="112"/>
      <c r="P192" s="112" t="str">
        <f>VLOOKUP(B192, 'Companies covered restructured'!$B$7:$K$470, 9, FALSE)</f>
        <v>Biologicals</v>
      </c>
      <c r="Q192" s="112" t="str">
        <f>VLOOKUP(B192, 'Companies covered restructured'!$B$7:$K$470, 6, FALSE)</f>
        <v>#Crops(100)</v>
      </c>
      <c r="R192" s="112" t="str">
        <f t="shared" si="72"/>
        <v>N/A</v>
      </c>
      <c r="S192" s="112" t="s">
        <v>11003</v>
      </c>
      <c r="T192" s="112" t="s">
        <v>10466</v>
      </c>
      <c r="U192" s="103" t="s">
        <v>10970</v>
      </c>
      <c r="V192" s="112" t="str">
        <f>VLOOKUP(P192, 'Bottom-up Tagging Assumptions'!$B$12:$F$39, 5, FALSE)</f>
        <v>#Product Development(100)</v>
      </c>
      <c r="W192" s="112" t="str">
        <f>VLOOKUP(B192, 'Companies covered restructured'!$B$7:$K$470, 7, FALSE)</f>
        <v>#Field/Animal Herd(100)</v>
      </c>
      <c r="X192" s="112" t="s">
        <v>10558</v>
      </c>
      <c r="Y192" s="212" t="str">
        <f>VLOOKUP(P192, 'Bottom-up Tagging Assumptions'!$B$12:$C$56, 2, FALSE)</f>
        <v>#Other Economic(P); #Environmental(P)</v>
      </c>
      <c r="Z192" s="112" t="str">
        <f>VLOOKUP(P192, 'Bottom-up Tagging Assumptions'!$B$12:$F$56, 3, FALSE)</f>
        <v>#Waste reduction(P); #Improved biodiversity(S)</v>
      </c>
      <c r="AA192" s="112" t="str">
        <f>VLOOKUP(P192, 'Bottom-up Tagging Assumptions'!$B$12:$F$56, 4, FALSE)</f>
        <v>#Level 2(100)</v>
      </c>
      <c r="AB192" s="110" t="s">
        <v>1744</v>
      </c>
      <c r="AC192" s="110"/>
      <c r="AD192" s="110"/>
      <c r="AE192" s="110" t="s">
        <v>10558</v>
      </c>
      <c r="AF192" s="112">
        <v>755029</v>
      </c>
      <c r="AG192" s="110" t="s">
        <v>1935</v>
      </c>
      <c r="AH192" s="121">
        <f t="shared" si="73"/>
        <v>1</v>
      </c>
      <c r="AI192" s="121">
        <f t="shared" si="74"/>
        <v>0</v>
      </c>
      <c r="AJ192" s="121">
        <f t="shared" si="75"/>
        <v>1</v>
      </c>
      <c r="AK192" s="121">
        <f t="shared" si="76"/>
        <v>0</v>
      </c>
      <c r="AL192" s="121">
        <f t="shared" si="77"/>
        <v>0</v>
      </c>
      <c r="AM192" s="121">
        <f t="shared" si="78"/>
        <v>0</v>
      </c>
      <c r="AN192" s="121">
        <f t="shared" si="79"/>
        <v>1</v>
      </c>
      <c r="AO192" s="121">
        <f t="shared" si="80"/>
        <v>0</v>
      </c>
      <c r="AP192" s="22">
        <f t="shared" si="81"/>
        <v>0</v>
      </c>
      <c r="AQ192" s="22">
        <f t="shared" si="82"/>
        <v>1112127.5201809809</v>
      </c>
      <c r="AR192" s="22">
        <f t="shared" si="83"/>
        <v>0</v>
      </c>
      <c r="AS192" s="121" t="str">
        <f t="shared" si="84"/>
        <v>Crops</v>
      </c>
      <c r="AT192" s="121" t="str">
        <f t="shared" ref="AT192:AV211" si="105">IFERROR(IFERROR(MID($Q192,FIND("~",SUBSTITUTE($Q192,";","~",AT$10-1))+3,(FIND("~",SUBSTITUTE($Q192,";","~",AT$10))+0-(FIND("~",SUBSTITUTE($Q192,";","~",AT$10-1))+2))-6),MID($Q192,FIND("~",SUBSTITUTE($Q192,";","~",AT$10-1))+3,(LEN($Q192)-6-FIND("~",SUBSTITUTE($Q192,";","~",AT$10-1))-1)))," ")</f>
        <v xml:space="preserve"> </v>
      </c>
      <c r="AU192" s="121" t="str">
        <f t="shared" si="105"/>
        <v xml:space="preserve"> </v>
      </c>
      <c r="AV192" s="121" t="str">
        <f t="shared" si="105"/>
        <v xml:space="preserve"> </v>
      </c>
      <c r="AW192" s="130" t="str">
        <f t="shared" ref="AW192:AZ211" si="106">IFERROR(MID($Q192,FIND("~",SUBSTITUTE($Q192,"(","~",AW$10))+1,3)," ")</f>
        <v>100</v>
      </c>
      <c r="AX192" s="130" t="str">
        <f t="shared" si="106"/>
        <v xml:space="preserve"> </v>
      </c>
      <c r="AY192" s="130" t="str">
        <f t="shared" si="106"/>
        <v xml:space="preserve"> </v>
      </c>
      <c r="AZ192" s="130" t="str">
        <f t="shared" si="106"/>
        <v xml:space="preserve"> </v>
      </c>
      <c r="BA192" s="121">
        <f t="shared" si="85"/>
        <v>1112127.5201809809</v>
      </c>
      <c r="BB192" s="121">
        <f t="shared" si="86"/>
        <v>0</v>
      </c>
      <c r="BC192" s="121">
        <f t="shared" si="87"/>
        <v>0</v>
      </c>
      <c r="BD192" s="121">
        <f t="shared" si="88"/>
        <v>0</v>
      </c>
      <c r="BE192" s="121">
        <f t="shared" si="89"/>
        <v>0</v>
      </c>
      <c r="BF192" s="121">
        <f t="shared" si="90"/>
        <v>0</v>
      </c>
      <c r="BG192" s="121">
        <f t="shared" si="91"/>
        <v>0</v>
      </c>
      <c r="BH192" s="121">
        <f t="shared" si="92"/>
        <v>0</v>
      </c>
      <c r="BI192" s="121">
        <f t="shared" si="93"/>
        <v>1112127.5201809809</v>
      </c>
      <c r="BJ192" s="121">
        <f t="shared" si="94"/>
        <v>1112127.5201809809</v>
      </c>
      <c r="BK192" s="121">
        <f t="shared" si="95"/>
        <v>1112127.5201809809</v>
      </c>
      <c r="BL192" s="121">
        <f t="shared" si="96"/>
        <v>1112127.5201809809</v>
      </c>
      <c r="BM192" s="121">
        <f t="shared" si="97"/>
        <v>0</v>
      </c>
      <c r="BN192" s="121">
        <f t="shared" si="98"/>
        <v>0</v>
      </c>
      <c r="BO192" s="121">
        <f t="shared" si="99"/>
        <v>0</v>
      </c>
      <c r="BP192" s="121">
        <f t="shared" si="100"/>
        <v>0</v>
      </c>
      <c r="BQ192" s="199">
        <f>INDEX('GDP deflators'!$C$6:$M$36,MATCH('Bottom-up tagging'!$D192,'GDP deflators'!$B$6:$B$36,),MATCH('Bottom-up tagging'!$E192,'GDP deflators'!$C$5:$L$5,))/100</f>
        <v>1.6873424728259787</v>
      </c>
      <c r="BR192" s="24">
        <v>1876540</v>
      </c>
    </row>
    <row r="193" spans="2:70" ht="26.15" hidden="1" customHeight="1">
      <c r="B193" s="110" t="s">
        <v>191</v>
      </c>
      <c r="C193" s="110" t="s">
        <v>196</v>
      </c>
      <c r="D193" s="110" t="s">
        <v>3468</v>
      </c>
      <c r="E193" s="103">
        <v>2018</v>
      </c>
      <c r="F193" s="108" t="s">
        <v>6545</v>
      </c>
      <c r="G193" s="111" t="s">
        <v>34</v>
      </c>
      <c r="H193" s="110" t="s">
        <v>10451</v>
      </c>
      <c r="I193" s="112">
        <f>IF(Dashboard!$B$16="Current USD",'Bottom-up tagging'!BR193,'Bottom-up tagging'!BR193/'Bottom-up tagging'!BQ193)</f>
        <v>1140081.9953268357</v>
      </c>
      <c r="J193" s="105" t="s">
        <v>10474</v>
      </c>
      <c r="K193" s="112"/>
      <c r="L193" s="135">
        <v>1</v>
      </c>
      <c r="M193" s="135">
        <v>1</v>
      </c>
      <c r="N193" s="112"/>
      <c r="O193" s="112"/>
      <c r="P193" s="112" t="str">
        <f>VLOOKUP(B193, 'Companies covered restructured'!$B$7:$K$470, 9, FALSE)</f>
        <v>Farmer engagement platforms (including marketplaces and information platforms)</v>
      </c>
      <c r="Q193" s="112" t="str">
        <f>VLOOKUP(B193, 'Companies covered restructured'!$B$7:$K$470, 6, FALSE)</f>
        <v>#Crops(100)</v>
      </c>
      <c r="R193" s="112" t="str">
        <f t="shared" si="72"/>
        <v>#Corporate(100)</v>
      </c>
      <c r="S193" s="112" t="s">
        <v>11003</v>
      </c>
      <c r="T193" s="112" t="s">
        <v>10466</v>
      </c>
      <c r="U193" s="103" t="s">
        <v>10970</v>
      </c>
      <c r="V193" s="112" t="str">
        <f>VLOOKUP(P193, 'Bottom-up Tagging Assumptions'!$B$12:$F$39, 5, FALSE)</f>
        <v>#Process Innovation(100)</v>
      </c>
      <c r="W193" s="112" t="str">
        <f>VLOOKUP(B193, 'Companies covered restructured'!$B$7:$K$470, 7, FALSE)</f>
        <v>#Field/Animal Herd(100)</v>
      </c>
      <c r="X193" s="112" t="s">
        <v>10558</v>
      </c>
      <c r="Y193" s="212" t="str">
        <f>VLOOKUP(P193, 'Bottom-up Tagging Assumptions'!$B$12:$C$56, 2, FALSE)</f>
        <v>#Other Economic(P); #Productivity(S)</v>
      </c>
      <c r="Z193" s="112" t="str">
        <f>VLOOKUP(P193, 'Bottom-up Tagging Assumptions'!$B$12:$F$56, 3, FALSE)</f>
        <v>#Improve price realization(P); #Increasing crop or animal yield(S)</v>
      </c>
      <c r="AA193" s="112" t="str">
        <f>VLOOKUP(P193, 'Bottom-up Tagging Assumptions'!$B$12:$F$56, 4, FALSE)</f>
        <v>#Level 4(100)</v>
      </c>
      <c r="AB193" s="110" t="s">
        <v>1600</v>
      </c>
      <c r="AC193" s="110"/>
      <c r="AD193" s="110" t="s">
        <v>1601</v>
      </c>
      <c r="AE193" s="110" t="s">
        <v>3139</v>
      </c>
      <c r="AF193" s="112">
        <v>2569628</v>
      </c>
      <c r="AG193" s="110" t="s">
        <v>222</v>
      </c>
      <c r="AH193" s="121">
        <f t="shared" si="73"/>
        <v>0</v>
      </c>
      <c r="AI193" s="121">
        <f t="shared" si="74"/>
        <v>1</v>
      </c>
      <c r="AJ193" s="121">
        <f t="shared" si="75"/>
        <v>1</v>
      </c>
      <c r="AK193" s="121">
        <f t="shared" si="76"/>
        <v>0</v>
      </c>
      <c r="AL193" s="121">
        <f t="shared" si="77"/>
        <v>0</v>
      </c>
      <c r="AM193" s="121">
        <f t="shared" si="78"/>
        <v>0</v>
      </c>
      <c r="AN193" s="121">
        <f t="shared" si="79"/>
        <v>0</v>
      </c>
      <c r="AO193" s="121">
        <f t="shared" si="80"/>
        <v>0</v>
      </c>
      <c r="AP193" s="22">
        <f t="shared" si="81"/>
        <v>0</v>
      </c>
      <c r="AQ193" s="22">
        <f t="shared" si="82"/>
        <v>0</v>
      </c>
      <c r="AR193" s="22">
        <f t="shared" si="83"/>
        <v>0</v>
      </c>
      <c r="AS193" s="121" t="str">
        <f t="shared" si="84"/>
        <v>Crops</v>
      </c>
      <c r="AT193" s="121" t="str">
        <f t="shared" si="105"/>
        <v xml:space="preserve"> </v>
      </c>
      <c r="AU193" s="121" t="str">
        <f t="shared" si="105"/>
        <v xml:space="preserve"> </v>
      </c>
      <c r="AV193" s="121" t="str">
        <f t="shared" si="105"/>
        <v xml:space="preserve"> </v>
      </c>
      <c r="AW193" s="130" t="str">
        <f t="shared" si="106"/>
        <v>100</v>
      </c>
      <c r="AX193" s="130" t="str">
        <f t="shared" si="106"/>
        <v xml:space="preserve"> </v>
      </c>
      <c r="AY193" s="130" t="str">
        <f t="shared" si="106"/>
        <v xml:space="preserve"> </v>
      </c>
      <c r="AZ193" s="130" t="str">
        <f t="shared" si="106"/>
        <v xml:space="preserve"> </v>
      </c>
      <c r="BA193" s="121">
        <f t="shared" si="85"/>
        <v>1140081.9953268357</v>
      </c>
      <c r="BB193" s="121">
        <f t="shared" si="86"/>
        <v>0</v>
      </c>
      <c r="BC193" s="121">
        <f t="shared" si="87"/>
        <v>0</v>
      </c>
      <c r="BD193" s="121">
        <f t="shared" si="88"/>
        <v>0</v>
      </c>
      <c r="BE193" s="121">
        <f t="shared" si="89"/>
        <v>0</v>
      </c>
      <c r="BF193" s="121">
        <f t="shared" si="90"/>
        <v>0</v>
      </c>
      <c r="BG193" s="121">
        <f t="shared" si="91"/>
        <v>0</v>
      </c>
      <c r="BH193" s="121">
        <f t="shared" si="92"/>
        <v>0</v>
      </c>
      <c r="BI193" s="121">
        <f t="shared" si="93"/>
        <v>0</v>
      </c>
      <c r="BJ193" s="121">
        <f t="shared" si="94"/>
        <v>0</v>
      </c>
      <c r="BK193" s="121">
        <f t="shared" si="95"/>
        <v>0</v>
      </c>
      <c r="BL193" s="121">
        <f t="shared" si="96"/>
        <v>0</v>
      </c>
      <c r="BM193" s="121">
        <f t="shared" si="97"/>
        <v>0</v>
      </c>
      <c r="BN193" s="121">
        <f t="shared" si="98"/>
        <v>0</v>
      </c>
      <c r="BO193" s="121">
        <f t="shared" si="99"/>
        <v>0</v>
      </c>
      <c r="BP193" s="121">
        <f t="shared" si="100"/>
        <v>0</v>
      </c>
      <c r="BQ193" s="199">
        <f>INDEX('GDP deflators'!$C$6:$M$36,MATCH('Bottom-up tagging'!$D193,'GDP deflators'!$B$6:$B$36,),MATCH('Bottom-up tagging'!$E193,'GDP deflators'!$C$5:$L$5,))/100</f>
        <v>1.6226903043667897</v>
      </c>
      <c r="BR193" s="24">
        <v>1850000</v>
      </c>
    </row>
    <row r="194" spans="2:70" ht="26.15" hidden="1" customHeight="1">
      <c r="B194" s="110" t="s">
        <v>2237</v>
      </c>
      <c r="C194" s="110" t="s">
        <v>2240</v>
      </c>
      <c r="D194" s="110" t="s">
        <v>2057</v>
      </c>
      <c r="E194" s="103">
        <v>2016</v>
      </c>
      <c r="F194" s="108" t="s">
        <v>9573</v>
      </c>
      <c r="G194" s="111" t="s">
        <v>109</v>
      </c>
      <c r="H194" s="110" t="s">
        <v>10451</v>
      </c>
      <c r="I194" s="112">
        <f>IF(Dashboard!$B$16="Current USD",'Bottom-up tagging'!BR194,'Bottom-up tagging'!BR194/'Bottom-up tagging'!BQ194)</f>
        <v>1554963.9668052164</v>
      </c>
      <c r="J194" s="105" t="s">
        <v>10474</v>
      </c>
      <c r="K194" s="112"/>
      <c r="L194" s="135">
        <v>1</v>
      </c>
      <c r="M194" s="135">
        <v>1</v>
      </c>
      <c r="N194" s="112"/>
      <c r="O194" s="112"/>
      <c r="P194" s="112" t="str">
        <f>VLOOKUP(B194, 'Companies covered restructured'!$B$7:$K$470, 9, FALSE)</f>
        <v xml:space="preserve">Agriculture financing systems </v>
      </c>
      <c r="Q194" s="112" t="str">
        <f>VLOOKUP(B194, 'Companies covered restructured'!$B$7:$K$470, 6, FALSE)</f>
        <v>#Cross-cutting(100)</v>
      </c>
      <c r="R194" s="112" t="str">
        <f t="shared" si="72"/>
        <v>N/A</v>
      </c>
      <c r="S194" s="112" t="s">
        <v>11003</v>
      </c>
      <c r="T194" s="112" t="s">
        <v>10466</v>
      </c>
      <c r="U194" s="103" t="s">
        <v>10970</v>
      </c>
      <c r="V194" s="112" t="str">
        <f>VLOOKUP(P194, 'Bottom-up Tagging Assumptions'!$B$12:$F$39, 5, FALSE)</f>
        <v>#Process Innovation(100)</v>
      </c>
      <c r="W194" s="112" t="str">
        <f>VLOOKUP(B194, 'Companies covered restructured'!$B$7:$K$470, 7, FALSE)</f>
        <v>#Landscape(100)</v>
      </c>
      <c r="X194" s="112" t="str">
        <f>VLOOKUP(B194, 'Companies covered restructured'!$B$7:$K$470, 8, FALSE)</f>
        <v>N/A</v>
      </c>
      <c r="Y194" s="212" t="str">
        <f>VLOOKUP(P194, 'Bottom-up Tagging Assumptions'!$B$12:$C$56, 2, FALSE)</f>
        <v>#Other Economic(P); Social(S)</v>
      </c>
      <c r="Z194" s="112" t="str">
        <f>VLOOKUP(P194, 'Bottom-up Tagging Assumptions'!$B$12:$F$56, 3, FALSE)</f>
        <v>NA</v>
      </c>
      <c r="AA194" s="112" t="str">
        <f>VLOOKUP(P194, 'Bottom-up Tagging Assumptions'!$B$12:$F$56, 4, FALSE)</f>
        <v>#Level 1(100)</v>
      </c>
      <c r="AB194" s="110" t="s">
        <v>2239</v>
      </c>
      <c r="AC194" s="110"/>
      <c r="AD194" s="110"/>
      <c r="AE194" s="110" t="s">
        <v>10558</v>
      </c>
      <c r="AF194" s="112">
        <v>2000000</v>
      </c>
      <c r="AG194" s="110" t="s">
        <v>1153</v>
      </c>
      <c r="AH194" s="121">
        <f t="shared" si="73"/>
        <v>0</v>
      </c>
      <c r="AI194" s="121">
        <f t="shared" si="74"/>
        <v>0</v>
      </c>
      <c r="AJ194" s="121">
        <f t="shared" si="75"/>
        <v>1</v>
      </c>
      <c r="AK194" s="121">
        <f t="shared" si="76"/>
        <v>1</v>
      </c>
      <c r="AL194" s="121">
        <f t="shared" si="77"/>
        <v>0</v>
      </c>
      <c r="AM194" s="121">
        <f t="shared" si="78"/>
        <v>0</v>
      </c>
      <c r="AN194" s="121">
        <f t="shared" si="79"/>
        <v>1</v>
      </c>
      <c r="AO194" s="121">
        <f t="shared" si="80"/>
        <v>0</v>
      </c>
      <c r="AP194" s="22">
        <f t="shared" si="81"/>
        <v>0</v>
      </c>
      <c r="AQ194" s="22">
        <f t="shared" si="82"/>
        <v>1554963.9668052164</v>
      </c>
      <c r="AR194" s="22">
        <f t="shared" si="83"/>
        <v>0</v>
      </c>
      <c r="AS194" s="121" t="str">
        <f t="shared" si="84"/>
        <v>Cross-cutting</v>
      </c>
      <c r="AT194" s="121" t="str">
        <f t="shared" si="105"/>
        <v xml:space="preserve"> </v>
      </c>
      <c r="AU194" s="121" t="str">
        <f t="shared" si="105"/>
        <v xml:space="preserve"> </v>
      </c>
      <c r="AV194" s="121" t="str">
        <f t="shared" si="105"/>
        <v xml:space="preserve"> </v>
      </c>
      <c r="AW194" s="130" t="str">
        <f t="shared" si="106"/>
        <v>100</v>
      </c>
      <c r="AX194" s="130" t="str">
        <f t="shared" si="106"/>
        <v xml:space="preserve"> </v>
      </c>
      <c r="AY194" s="130" t="str">
        <f t="shared" si="106"/>
        <v xml:space="preserve"> </v>
      </c>
      <c r="AZ194" s="130" t="str">
        <f t="shared" si="106"/>
        <v xml:space="preserve"> </v>
      </c>
      <c r="BA194" s="121">
        <f t="shared" si="85"/>
        <v>1554963.9668052164</v>
      </c>
      <c r="BB194" s="121">
        <f t="shared" si="86"/>
        <v>0</v>
      </c>
      <c r="BC194" s="121">
        <f t="shared" si="87"/>
        <v>0</v>
      </c>
      <c r="BD194" s="121">
        <f t="shared" si="88"/>
        <v>0</v>
      </c>
      <c r="BE194" s="121">
        <f t="shared" si="89"/>
        <v>0</v>
      </c>
      <c r="BF194" s="121">
        <f t="shared" si="90"/>
        <v>0</v>
      </c>
      <c r="BG194" s="121">
        <f t="shared" si="91"/>
        <v>0</v>
      </c>
      <c r="BH194" s="121">
        <f t="shared" si="92"/>
        <v>0</v>
      </c>
      <c r="BI194" s="121">
        <f t="shared" si="93"/>
        <v>1554963.9668052164</v>
      </c>
      <c r="BJ194" s="121">
        <f t="shared" si="94"/>
        <v>1554963.9668052164</v>
      </c>
      <c r="BK194" s="121">
        <f t="shared" si="95"/>
        <v>1554963.9668052164</v>
      </c>
      <c r="BL194" s="121">
        <f t="shared" si="96"/>
        <v>1554963.9668052164</v>
      </c>
      <c r="BM194" s="121">
        <f t="shared" si="97"/>
        <v>0</v>
      </c>
      <c r="BN194" s="121">
        <f t="shared" si="98"/>
        <v>0</v>
      </c>
      <c r="BO194" s="121">
        <f t="shared" si="99"/>
        <v>0</v>
      </c>
      <c r="BP194" s="121">
        <f t="shared" si="100"/>
        <v>0</v>
      </c>
      <c r="BQ194" s="199">
        <f>INDEX('GDP deflators'!$C$6:$M$36,MATCH('Bottom-up tagging'!$D194,'GDP deflators'!$B$6:$B$36,),MATCH('Bottom-up tagging'!$E194,'GDP deflators'!$C$5:$L$5,))/100</f>
        <v>1.1575830941589131</v>
      </c>
      <c r="BR194" s="24">
        <v>1800000</v>
      </c>
    </row>
    <row r="195" spans="2:70" ht="26.15" hidden="1" customHeight="1">
      <c r="B195" s="110" t="s">
        <v>452</v>
      </c>
      <c r="C195" s="110" t="s">
        <v>456</v>
      </c>
      <c r="D195" s="110" t="s">
        <v>7086</v>
      </c>
      <c r="E195" s="103">
        <v>2019</v>
      </c>
      <c r="F195" s="108" t="s">
        <v>7089</v>
      </c>
      <c r="G195" s="111" t="s">
        <v>34</v>
      </c>
      <c r="H195" s="110" t="s">
        <v>10451</v>
      </c>
      <c r="I195" s="112">
        <f>IF(Dashboard!$B$16="Current USD",'Bottom-up tagging'!BR195,'Bottom-up tagging'!BR195/'Bottom-up tagging'!BQ195)</f>
        <v>1681676.496441975</v>
      </c>
      <c r="J195" s="118" t="s">
        <v>10474</v>
      </c>
      <c r="K195" s="112"/>
      <c r="L195" s="135">
        <v>1</v>
      </c>
      <c r="M195" s="135">
        <v>1</v>
      </c>
      <c r="N195" s="112"/>
      <c r="O195" s="112"/>
      <c r="P195" s="112" t="str">
        <f>VLOOKUP(B195, 'Companies covered restructured'!$B$7:$K$470, 9, FALSE)</f>
        <v xml:space="preserve">Hydroponics </v>
      </c>
      <c r="Q195" s="112" t="str">
        <f>VLOOKUP(B195, 'Companies covered restructured'!$B$7:$K$470, 6, FALSE)</f>
        <v>#Crops(100)</v>
      </c>
      <c r="R195" s="112" t="str">
        <f t="shared" si="72"/>
        <v>#Investment Fund(100)</v>
      </c>
      <c r="S195" s="112" t="s">
        <v>11003</v>
      </c>
      <c r="T195" s="112" t="s">
        <v>10466</v>
      </c>
      <c r="U195" s="213" t="s">
        <v>10970</v>
      </c>
      <c r="V195" s="112" t="str">
        <f>VLOOKUP(P195, 'Bottom-up Tagging Assumptions'!$B$12:$F$39, 5, FALSE)</f>
        <v>#Science &amp; tech(100)</v>
      </c>
      <c r="W195" s="112" t="str">
        <f>VLOOKUP(B195, 'Companies covered restructured'!$B$7:$K$470, 7, FALSE)</f>
        <v>#Field/Animal Herd(100)</v>
      </c>
      <c r="X195" s="112" t="s">
        <v>10558</v>
      </c>
      <c r="Y195" s="212" t="str">
        <f>VLOOKUP(P195, 'Bottom-up Tagging Assumptions'!$B$12:$C$56, 2, FALSE)</f>
        <v>#Human Condition(P); #Environmental(S); #Productivity(S)</v>
      </c>
      <c r="Z195" s="112" t="str">
        <f>VLOOKUP(P195, 'Bottom-up Tagging Assumptions'!$B$12:$F$56, 3, FALSE)</f>
        <v>#Food security(P); #Reducing production variability(S)</v>
      </c>
      <c r="AA195" s="112" t="str">
        <f>VLOOKUP(P195, 'Bottom-up Tagging Assumptions'!$B$12:$F$56, 4, FALSE)</f>
        <v>#Level 2(100)</v>
      </c>
      <c r="AB195" s="110" t="s">
        <v>841</v>
      </c>
      <c r="AC195" s="110"/>
      <c r="AD195" s="110" t="s">
        <v>842</v>
      </c>
      <c r="AE195" s="110" t="s">
        <v>3114</v>
      </c>
      <c r="AF195" s="112">
        <v>9099055</v>
      </c>
      <c r="AG195" s="110" t="s">
        <v>1768</v>
      </c>
      <c r="AH195" s="121">
        <f t="shared" si="73"/>
        <v>1</v>
      </c>
      <c r="AI195" s="121">
        <f t="shared" si="74"/>
        <v>1</v>
      </c>
      <c r="AJ195" s="121">
        <f t="shared" si="75"/>
        <v>0</v>
      </c>
      <c r="AK195" s="121">
        <f t="shared" si="76"/>
        <v>0</v>
      </c>
      <c r="AL195" s="121">
        <f t="shared" si="77"/>
        <v>1</v>
      </c>
      <c r="AM195" s="121">
        <f t="shared" si="78"/>
        <v>1</v>
      </c>
      <c r="AN195" s="121">
        <f t="shared" si="79"/>
        <v>1</v>
      </c>
      <c r="AO195" s="121">
        <f t="shared" si="80"/>
        <v>1</v>
      </c>
      <c r="AP195" s="22">
        <f t="shared" si="81"/>
        <v>1681676.496441975</v>
      </c>
      <c r="AQ195" s="22">
        <f t="shared" si="82"/>
        <v>1681676.496441975</v>
      </c>
      <c r="AR195" s="22">
        <f t="shared" si="83"/>
        <v>1681676.496441975</v>
      </c>
      <c r="AS195" s="121" t="str">
        <f t="shared" si="84"/>
        <v>Crops</v>
      </c>
      <c r="AT195" s="121" t="str">
        <f t="shared" si="105"/>
        <v xml:space="preserve"> </v>
      </c>
      <c r="AU195" s="121" t="str">
        <f t="shared" si="105"/>
        <v xml:space="preserve"> </v>
      </c>
      <c r="AV195" s="121" t="str">
        <f t="shared" si="105"/>
        <v xml:space="preserve"> </v>
      </c>
      <c r="AW195" s="130" t="str">
        <f t="shared" si="106"/>
        <v>100</v>
      </c>
      <c r="AX195" s="130" t="str">
        <f t="shared" si="106"/>
        <v xml:space="preserve"> </v>
      </c>
      <c r="AY195" s="130" t="str">
        <f t="shared" si="106"/>
        <v xml:space="preserve"> </v>
      </c>
      <c r="AZ195" s="130" t="str">
        <f t="shared" si="106"/>
        <v xml:space="preserve"> </v>
      </c>
      <c r="BA195" s="121">
        <f t="shared" si="85"/>
        <v>1681676.496441975</v>
      </c>
      <c r="BB195" s="121">
        <f t="shared" si="86"/>
        <v>0</v>
      </c>
      <c r="BC195" s="121">
        <f t="shared" si="87"/>
        <v>0</v>
      </c>
      <c r="BD195" s="121">
        <f t="shared" si="88"/>
        <v>0</v>
      </c>
      <c r="BE195" s="121">
        <f t="shared" si="89"/>
        <v>1681676.496441975</v>
      </c>
      <c r="BF195" s="121">
        <f t="shared" si="90"/>
        <v>1681676.496441975</v>
      </c>
      <c r="BG195" s="121">
        <f t="shared" si="91"/>
        <v>1681676.496441975</v>
      </c>
      <c r="BH195" s="121">
        <f t="shared" si="92"/>
        <v>1681676.496441975</v>
      </c>
      <c r="BI195" s="121">
        <f t="shared" si="93"/>
        <v>1681676.496441975</v>
      </c>
      <c r="BJ195" s="121">
        <f t="shared" si="94"/>
        <v>1681676.496441975</v>
      </c>
      <c r="BK195" s="121">
        <f t="shared" si="95"/>
        <v>1681676.496441975</v>
      </c>
      <c r="BL195" s="121">
        <f t="shared" si="96"/>
        <v>1681676.496441975</v>
      </c>
      <c r="BM195" s="121">
        <f t="shared" si="97"/>
        <v>1681676.496441975</v>
      </c>
      <c r="BN195" s="121">
        <f t="shared" si="98"/>
        <v>1681676.496441975</v>
      </c>
      <c r="BO195" s="121">
        <f t="shared" si="99"/>
        <v>1681676.496441975</v>
      </c>
      <c r="BP195" s="121">
        <f t="shared" si="100"/>
        <v>1681676.496441975</v>
      </c>
      <c r="BQ195" s="199">
        <f>INDEX('GDP deflators'!$C$6:$M$36,MATCH('Bottom-up tagging'!$D195,'GDP deflators'!$B$6:$B$36,),MATCH('Bottom-up tagging'!$E195,'GDP deflators'!$C$5:$L$5,))/100</f>
        <v>1.0406282086373813</v>
      </c>
      <c r="BR195" s="24">
        <v>1750000</v>
      </c>
    </row>
    <row r="196" spans="2:70" ht="26.15" hidden="1" customHeight="1">
      <c r="B196" s="110" t="s">
        <v>2822</v>
      </c>
      <c r="C196" s="110" t="s">
        <v>2825</v>
      </c>
      <c r="D196" s="110" t="s">
        <v>5208</v>
      </c>
      <c r="E196" s="103">
        <v>2014</v>
      </c>
      <c r="F196" s="108" t="s">
        <v>9868</v>
      </c>
      <c r="G196" s="111" t="s">
        <v>109</v>
      </c>
      <c r="H196" s="110" t="s">
        <v>10451</v>
      </c>
      <c r="I196" s="112">
        <f>IF(Dashboard!$B$16="Current USD",'Bottom-up tagging'!BR196,'Bottom-up tagging'!BR196/'Bottom-up tagging'!BQ196)</f>
        <v>1277094.2904462232</v>
      </c>
      <c r="J196" s="118" t="s">
        <v>10474</v>
      </c>
      <c r="K196" s="112"/>
      <c r="L196" s="135">
        <v>1</v>
      </c>
      <c r="M196" s="135">
        <v>1</v>
      </c>
      <c r="N196" s="112"/>
      <c r="O196" s="112"/>
      <c r="P196" s="112" t="str">
        <f>VLOOKUP(B196, 'Companies covered restructured'!$B$7:$K$470, 9, FALSE)</f>
        <v xml:space="preserve">Pesticides </v>
      </c>
      <c r="Q196" s="112" t="str">
        <f>VLOOKUP(B196, 'Companies covered restructured'!$B$7:$K$470, 6, FALSE)</f>
        <v>#Crops(100)</v>
      </c>
      <c r="R196" s="112" t="str">
        <f t="shared" si="72"/>
        <v>N/A</v>
      </c>
      <c r="S196" s="112" t="s">
        <v>11003</v>
      </c>
      <c r="T196" s="112" t="s">
        <v>10466</v>
      </c>
      <c r="U196" s="103" t="s">
        <v>10970</v>
      </c>
      <c r="V196" s="112" t="str">
        <f>VLOOKUP(P196, 'Bottom-up Tagging Assumptions'!$B$12:$F$39, 5, FALSE)</f>
        <v>#Product Development(100)</v>
      </c>
      <c r="W196" s="112" t="str">
        <f>VLOOKUP(B196, 'Companies covered restructured'!$B$7:$K$470, 7, FALSE)</f>
        <v>#Farm/Household(100)</v>
      </c>
      <c r="X196" s="112" t="str">
        <f>VLOOKUP(B196, 'Companies covered restructured'!$B$7:$K$470, 8, FALSE)</f>
        <v>N/A</v>
      </c>
      <c r="Y196" s="212" t="str">
        <f>VLOOKUP(P196, 'Bottom-up Tagging Assumptions'!$B$12:$C$56, 2, FALSE)</f>
        <v>#Other economic(P); #Productivity(S)</v>
      </c>
      <c r="Z196" s="112" t="str">
        <f>VLOOKUP(P196, 'Bottom-up Tagging Assumptions'!$B$12:$F$56, 3, FALSE)</f>
        <v>#Waste reduction(P)</v>
      </c>
      <c r="AA196" s="112" t="str">
        <f>VLOOKUP(P196, 'Bottom-up Tagging Assumptions'!$B$12:$F$56, 4, FALSE)</f>
        <v>#Level 1(100)</v>
      </c>
      <c r="AB196" s="110" t="s">
        <v>1744</v>
      </c>
      <c r="AC196" s="110"/>
      <c r="AD196" s="110"/>
      <c r="AE196" s="110" t="s">
        <v>10558</v>
      </c>
      <c r="AF196" s="112">
        <v>9356810</v>
      </c>
      <c r="AG196" s="110" t="s">
        <v>1943</v>
      </c>
      <c r="AH196" s="121">
        <f t="shared" si="73"/>
        <v>0</v>
      </c>
      <c r="AI196" s="121">
        <f t="shared" si="74"/>
        <v>1</v>
      </c>
      <c r="AJ196" s="121">
        <f t="shared" si="75"/>
        <v>1</v>
      </c>
      <c r="AK196" s="121">
        <f t="shared" si="76"/>
        <v>0</v>
      </c>
      <c r="AL196" s="121">
        <f t="shared" si="77"/>
        <v>0</v>
      </c>
      <c r="AM196" s="121">
        <f t="shared" si="78"/>
        <v>0</v>
      </c>
      <c r="AN196" s="121">
        <f t="shared" si="79"/>
        <v>0</v>
      </c>
      <c r="AO196" s="121">
        <f t="shared" si="80"/>
        <v>0</v>
      </c>
      <c r="AP196" s="22">
        <f t="shared" si="81"/>
        <v>0</v>
      </c>
      <c r="AQ196" s="22">
        <f t="shared" si="82"/>
        <v>0</v>
      </c>
      <c r="AR196" s="22">
        <f t="shared" si="83"/>
        <v>0</v>
      </c>
      <c r="AS196" s="121" t="str">
        <f t="shared" si="84"/>
        <v>Crops</v>
      </c>
      <c r="AT196" s="121" t="str">
        <f t="shared" si="105"/>
        <v xml:space="preserve"> </v>
      </c>
      <c r="AU196" s="121" t="str">
        <f t="shared" si="105"/>
        <v xml:space="preserve"> </v>
      </c>
      <c r="AV196" s="121" t="str">
        <f t="shared" si="105"/>
        <v xml:space="preserve"> </v>
      </c>
      <c r="AW196" s="130" t="str">
        <f t="shared" si="106"/>
        <v>100</v>
      </c>
      <c r="AX196" s="130" t="str">
        <f t="shared" si="106"/>
        <v xml:space="preserve"> </v>
      </c>
      <c r="AY196" s="130" t="str">
        <f t="shared" si="106"/>
        <v xml:space="preserve"> </v>
      </c>
      <c r="AZ196" s="130" t="str">
        <f t="shared" si="106"/>
        <v xml:space="preserve"> </v>
      </c>
      <c r="BA196" s="121">
        <f t="shared" si="85"/>
        <v>1277094.2904462232</v>
      </c>
      <c r="BB196" s="121">
        <f t="shared" si="86"/>
        <v>0</v>
      </c>
      <c r="BC196" s="121">
        <f t="shared" si="87"/>
        <v>0</v>
      </c>
      <c r="BD196" s="121">
        <f t="shared" si="88"/>
        <v>0</v>
      </c>
      <c r="BE196" s="121">
        <f t="shared" si="89"/>
        <v>0</v>
      </c>
      <c r="BF196" s="121">
        <f t="shared" si="90"/>
        <v>0</v>
      </c>
      <c r="BG196" s="121">
        <f t="shared" si="91"/>
        <v>0</v>
      </c>
      <c r="BH196" s="121">
        <f t="shared" si="92"/>
        <v>0</v>
      </c>
      <c r="BI196" s="121">
        <f t="shared" si="93"/>
        <v>0</v>
      </c>
      <c r="BJ196" s="121">
        <f t="shared" si="94"/>
        <v>0</v>
      </c>
      <c r="BK196" s="121">
        <f t="shared" si="95"/>
        <v>0</v>
      </c>
      <c r="BL196" s="121">
        <f t="shared" si="96"/>
        <v>0</v>
      </c>
      <c r="BM196" s="121">
        <f t="shared" si="97"/>
        <v>0</v>
      </c>
      <c r="BN196" s="121">
        <f t="shared" si="98"/>
        <v>0</v>
      </c>
      <c r="BO196" s="121">
        <f t="shared" si="99"/>
        <v>0</v>
      </c>
      <c r="BP196" s="121">
        <f t="shared" si="100"/>
        <v>0</v>
      </c>
      <c r="BQ196" s="199">
        <f>INDEX('GDP deflators'!$C$6:$M$36,MATCH('Bottom-up tagging'!$D196,'GDP deflators'!$B$6:$B$36,),MATCH('Bottom-up tagging'!$E196,'GDP deflators'!$C$5:$L$5,))/100</f>
        <v>1.3556007672660564</v>
      </c>
      <c r="BR196" s="24">
        <v>1731230</v>
      </c>
    </row>
    <row r="197" spans="2:70" ht="26.15" hidden="1" customHeight="1">
      <c r="B197" s="110" t="s">
        <v>707</v>
      </c>
      <c r="C197" s="110" t="s">
        <v>710</v>
      </c>
      <c r="D197" s="110" t="s">
        <v>3994</v>
      </c>
      <c r="E197" s="103">
        <v>2019</v>
      </c>
      <c r="F197" s="108" t="s">
        <v>5869</v>
      </c>
      <c r="G197" s="111" t="s">
        <v>34</v>
      </c>
      <c r="H197" s="110" t="s">
        <v>10451</v>
      </c>
      <c r="I197" s="112">
        <f>IF(Dashboard!$B$16="Current USD",'Bottom-up tagging'!BR197,'Bottom-up tagging'!BR197/'Bottom-up tagging'!BQ197)</f>
        <v>1143652.3810478314</v>
      </c>
      <c r="J197" s="118" t="s">
        <v>10474</v>
      </c>
      <c r="K197" s="112"/>
      <c r="L197" s="135">
        <v>1</v>
      </c>
      <c r="M197" s="135">
        <v>1</v>
      </c>
      <c r="N197" s="112"/>
      <c r="O197" s="112"/>
      <c r="P197" s="112" t="str">
        <f>VLOOKUP(B197, 'Companies covered restructured'!$B$7:$K$470, 9, FALSE)</f>
        <v>Precision agriculture</v>
      </c>
      <c r="Q197" s="112" t="str">
        <f>VLOOKUP(B197, 'Companies covered restructured'!$B$7:$K$470, 6, FALSE)</f>
        <v>#Crops(100)</v>
      </c>
      <c r="R197" s="112" t="str">
        <f t="shared" si="72"/>
        <v>#Investment Fund(100)</v>
      </c>
      <c r="S197" s="112" t="s">
        <v>11003</v>
      </c>
      <c r="T197" s="112" t="s">
        <v>10466</v>
      </c>
      <c r="U197" s="103" t="s">
        <v>10970</v>
      </c>
      <c r="V197" s="112" t="str">
        <f>VLOOKUP(P197, 'Bottom-up Tagging Assumptions'!$B$12:$F$39, 5, FALSE)</f>
        <v>#Science &amp; tech(100)</v>
      </c>
      <c r="W197" s="112" t="str">
        <f>VLOOKUP(B197, 'Companies covered restructured'!$B$7:$K$470, 7, FALSE)</f>
        <v>#Field/Animal Herd(100)</v>
      </c>
      <c r="X197" s="112" t="s">
        <v>10558</v>
      </c>
      <c r="Y197" s="212" t="str">
        <f>VLOOKUP(P197, 'Bottom-up Tagging Assumptions'!$B$12:$C$56, 2, FALSE)</f>
        <v>#Other Economic(P); #Productivity(S)</v>
      </c>
      <c r="Z197" s="112" t="str">
        <f>VLOOKUP(P197, 'Bottom-up Tagging Assumptions'!$B$12:$F$56, 3, FALSE)</f>
        <v>#Increasing output per unit input(P); #Increasing crop or animal yield(S)</v>
      </c>
      <c r="AA197" s="112" t="str">
        <f>VLOOKUP(P197, 'Bottom-up Tagging Assumptions'!$B$12:$F$56, 4, FALSE)</f>
        <v>#Level 1(100)</v>
      </c>
      <c r="AB197" s="110" t="s">
        <v>709</v>
      </c>
      <c r="AC197" s="110"/>
      <c r="AD197" s="110" t="s">
        <v>644</v>
      </c>
      <c r="AE197" s="110" t="str">
        <f>VLOOKUP(AD197,  '1.2'!$B$7:$C$2033, 2, FALSE)</f>
        <v>FUND</v>
      </c>
      <c r="AF197" s="112">
        <v>532546</v>
      </c>
      <c r="AG197" s="110" t="s">
        <v>130</v>
      </c>
      <c r="AH197" s="121">
        <f t="shared" si="73"/>
        <v>0</v>
      </c>
      <c r="AI197" s="121">
        <f t="shared" si="74"/>
        <v>1</v>
      </c>
      <c r="AJ197" s="121">
        <f t="shared" si="75"/>
        <v>1</v>
      </c>
      <c r="AK197" s="121">
        <f t="shared" si="76"/>
        <v>0</v>
      </c>
      <c r="AL197" s="121">
        <f t="shared" si="77"/>
        <v>0</v>
      </c>
      <c r="AM197" s="121">
        <f t="shared" si="78"/>
        <v>0</v>
      </c>
      <c r="AN197" s="121">
        <f t="shared" si="79"/>
        <v>0</v>
      </c>
      <c r="AO197" s="121">
        <f t="shared" si="80"/>
        <v>0</v>
      </c>
      <c r="AP197" s="22">
        <f t="shared" si="81"/>
        <v>0</v>
      </c>
      <c r="AQ197" s="22">
        <f t="shared" si="82"/>
        <v>0</v>
      </c>
      <c r="AR197" s="22">
        <f t="shared" si="83"/>
        <v>0</v>
      </c>
      <c r="AS197" s="121" t="str">
        <f t="shared" si="84"/>
        <v>Crops</v>
      </c>
      <c r="AT197" s="121" t="str">
        <f t="shared" si="105"/>
        <v xml:space="preserve"> </v>
      </c>
      <c r="AU197" s="121" t="str">
        <f t="shared" si="105"/>
        <v xml:space="preserve"> </v>
      </c>
      <c r="AV197" s="121" t="str">
        <f t="shared" si="105"/>
        <v xml:space="preserve"> </v>
      </c>
      <c r="AW197" s="130" t="str">
        <f t="shared" si="106"/>
        <v>100</v>
      </c>
      <c r="AX197" s="130" t="str">
        <f t="shared" si="106"/>
        <v xml:space="preserve"> </v>
      </c>
      <c r="AY197" s="130" t="str">
        <f t="shared" si="106"/>
        <v xml:space="preserve"> </v>
      </c>
      <c r="AZ197" s="130" t="str">
        <f t="shared" si="106"/>
        <v xml:space="preserve"> </v>
      </c>
      <c r="BA197" s="121">
        <f t="shared" si="85"/>
        <v>1143652.3810478314</v>
      </c>
      <c r="BB197" s="121">
        <f t="shared" si="86"/>
        <v>0</v>
      </c>
      <c r="BC197" s="121">
        <f t="shared" si="87"/>
        <v>0</v>
      </c>
      <c r="BD197" s="121">
        <f t="shared" si="88"/>
        <v>0</v>
      </c>
      <c r="BE197" s="121">
        <f t="shared" si="89"/>
        <v>0</v>
      </c>
      <c r="BF197" s="121">
        <f t="shared" si="90"/>
        <v>0</v>
      </c>
      <c r="BG197" s="121">
        <f t="shared" si="91"/>
        <v>0</v>
      </c>
      <c r="BH197" s="121">
        <f t="shared" si="92"/>
        <v>0</v>
      </c>
      <c r="BI197" s="121">
        <f t="shared" si="93"/>
        <v>0</v>
      </c>
      <c r="BJ197" s="121">
        <f t="shared" si="94"/>
        <v>0</v>
      </c>
      <c r="BK197" s="121">
        <f t="shared" si="95"/>
        <v>0</v>
      </c>
      <c r="BL197" s="121">
        <f t="shared" si="96"/>
        <v>0</v>
      </c>
      <c r="BM197" s="121">
        <f t="shared" si="97"/>
        <v>0</v>
      </c>
      <c r="BN197" s="121">
        <f t="shared" si="98"/>
        <v>0</v>
      </c>
      <c r="BO197" s="121">
        <f t="shared" si="99"/>
        <v>0</v>
      </c>
      <c r="BP197" s="121">
        <f t="shared" si="100"/>
        <v>0</v>
      </c>
      <c r="BQ197" s="199">
        <f>INDEX('GDP deflators'!$C$6:$M$36,MATCH('Bottom-up tagging'!$D197,'GDP deflators'!$B$6:$B$36,),MATCH('Bottom-up tagging'!$E197,'GDP deflators'!$C$5:$L$5,))/100</f>
        <v>1.5094883975306472</v>
      </c>
      <c r="BR197" s="24">
        <v>1726330</v>
      </c>
    </row>
    <row r="198" spans="2:70" ht="26.15" hidden="1" customHeight="1">
      <c r="B198" s="110" t="s">
        <v>116</v>
      </c>
      <c r="C198" s="110" t="s">
        <v>122</v>
      </c>
      <c r="D198" s="110" t="s">
        <v>3994</v>
      </c>
      <c r="E198" s="103">
        <v>2020</v>
      </c>
      <c r="F198" s="108" t="s">
        <v>5025</v>
      </c>
      <c r="G198" s="111" t="s">
        <v>34</v>
      </c>
      <c r="H198" s="110" t="s">
        <v>10451</v>
      </c>
      <c r="I198" s="212">
        <v>0</v>
      </c>
      <c r="J198" s="105" t="s">
        <v>10474</v>
      </c>
      <c r="K198" s="112"/>
      <c r="L198" s="135">
        <v>1</v>
      </c>
      <c r="M198" s="135">
        <v>1</v>
      </c>
      <c r="N198" s="112"/>
      <c r="O198" s="112"/>
      <c r="P198" s="112" t="str">
        <f>VLOOKUP(B198, 'Companies covered restructured'!$B$7:$K$470, 9, FALSE)</f>
        <v>Agri input e-commerce platforms</v>
      </c>
      <c r="Q198" s="112" t="str">
        <f>VLOOKUP(B198, 'Companies covered restructured'!$B$7:$K$470, 6, FALSE)</f>
        <v>#Crops(100)</v>
      </c>
      <c r="R198" s="112" t="str">
        <f t="shared" si="72"/>
        <v>#Investment Fund(100)</v>
      </c>
      <c r="S198" s="112" t="s">
        <v>11003</v>
      </c>
      <c r="T198" s="112" t="s">
        <v>10466</v>
      </c>
      <c r="U198" s="103" t="s">
        <v>10970</v>
      </c>
      <c r="V198" s="112" t="str">
        <f>VLOOKUP(P198, 'Bottom-up Tagging Assumptions'!$B$12:$F$39, 5, FALSE)</f>
        <v>#Process Innovation(100)</v>
      </c>
      <c r="W198" s="112" t="str">
        <f>VLOOKUP(B198, 'Companies covered restructured'!$B$7:$K$470, 7, FALSE)</f>
        <v>#Field/Animal Herd(100)</v>
      </c>
      <c r="X198" s="112" t="s">
        <v>10558</v>
      </c>
      <c r="Y198" s="112" t="str">
        <f>VLOOKUP(P198, '[2]Bottom-up Tagging Assumptions'!$B$12:$F$56, 2, FALSE)</f>
        <v>#Other Economic(P); Productivity(S)</v>
      </c>
      <c r="Z198" s="112" t="str">
        <f>VLOOKUP(P198, 'Bottom-up Tagging Assumptions'!$B$12:$F$56, 3, FALSE)</f>
        <v>#Reduce cost of inputs(P)</v>
      </c>
      <c r="AA198" s="112" t="str">
        <f>VLOOKUP(P198, 'Bottom-up Tagging Assumptions'!$B$12:$F$56, 4, FALSE)</f>
        <v>#Level 1(100)</v>
      </c>
      <c r="AB198" s="110" t="s">
        <v>118</v>
      </c>
      <c r="AC198" s="110" t="s">
        <v>119</v>
      </c>
      <c r="AD198" s="110" t="s">
        <v>120</v>
      </c>
      <c r="AE198" s="110" t="str">
        <f>VLOOKUP(AD198,  '1.2'!$B$7:$C$2033, 2, FALSE)</f>
        <v>FUND</v>
      </c>
      <c r="AF198" s="112">
        <v>10693115</v>
      </c>
      <c r="AG198" s="110" t="s">
        <v>1952</v>
      </c>
      <c r="AH198" s="121">
        <f t="shared" si="73"/>
        <v>0</v>
      </c>
      <c r="AI198" s="121">
        <f t="shared" si="74"/>
        <v>1</v>
      </c>
      <c r="AJ198" s="121">
        <f t="shared" si="75"/>
        <v>1</v>
      </c>
      <c r="AK198" s="121">
        <f t="shared" si="76"/>
        <v>0</v>
      </c>
      <c r="AL198" s="121">
        <f t="shared" si="77"/>
        <v>0</v>
      </c>
      <c r="AM198" s="121">
        <f t="shared" si="78"/>
        <v>0</v>
      </c>
      <c r="AN198" s="121">
        <f t="shared" si="79"/>
        <v>0</v>
      </c>
      <c r="AO198" s="121">
        <f t="shared" si="80"/>
        <v>0</v>
      </c>
      <c r="AP198" s="22">
        <f t="shared" si="81"/>
        <v>0</v>
      </c>
      <c r="AQ198" s="22">
        <f t="shared" si="82"/>
        <v>0</v>
      </c>
      <c r="AR198" s="22">
        <f t="shared" si="83"/>
        <v>0</v>
      </c>
      <c r="AS198" s="121" t="str">
        <f t="shared" si="84"/>
        <v>Crops</v>
      </c>
      <c r="AT198" s="121" t="str">
        <f t="shared" si="105"/>
        <v xml:space="preserve"> </v>
      </c>
      <c r="AU198" s="121" t="str">
        <f t="shared" si="105"/>
        <v xml:space="preserve"> </v>
      </c>
      <c r="AV198" s="121" t="str">
        <f t="shared" si="105"/>
        <v xml:space="preserve"> </v>
      </c>
      <c r="AW198" s="130" t="str">
        <f t="shared" si="106"/>
        <v>100</v>
      </c>
      <c r="AX198" s="130" t="str">
        <f t="shared" si="106"/>
        <v xml:space="preserve"> </v>
      </c>
      <c r="AY198" s="130" t="str">
        <f t="shared" si="106"/>
        <v xml:space="preserve"> </v>
      </c>
      <c r="AZ198" s="130" t="str">
        <f t="shared" si="106"/>
        <v xml:space="preserve"> </v>
      </c>
      <c r="BA198" s="121">
        <f t="shared" si="85"/>
        <v>0</v>
      </c>
      <c r="BB198" s="121">
        <f t="shared" si="86"/>
        <v>0</v>
      </c>
      <c r="BC198" s="121">
        <f t="shared" si="87"/>
        <v>0</v>
      </c>
      <c r="BD198" s="121">
        <f t="shared" si="88"/>
        <v>0</v>
      </c>
      <c r="BE198" s="121">
        <f t="shared" si="89"/>
        <v>0</v>
      </c>
      <c r="BF198" s="121">
        <f t="shared" si="90"/>
        <v>0</v>
      </c>
      <c r="BG198" s="121">
        <f t="shared" si="91"/>
        <v>0</v>
      </c>
      <c r="BH198" s="121">
        <f t="shared" si="92"/>
        <v>0</v>
      </c>
      <c r="BI198" s="121">
        <f t="shared" si="93"/>
        <v>0</v>
      </c>
      <c r="BJ198" s="121">
        <f t="shared" si="94"/>
        <v>0</v>
      </c>
      <c r="BK198" s="121">
        <f t="shared" si="95"/>
        <v>0</v>
      </c>
      <c r="BL198" s="121">
        <f t="shared" si="96"/>
        <v>0</v>
      </c>
      <c r="BM198" s="121">
        <f t="shared" si="97"/>
        <v>0</v>
      </c>
      <c r="BN198" s="121">
        <f t="shared" si="98"/>
        <v>0</v>
      </c>
      <c r="BO198" s="121">
        <f t="shared" si="99"/>
        <v>0</v>
      </c>
      <c r="BP198" s="121">
        <f t="shared" si="100"/>
        <v>0</v>
      </c>
      <c r="BQ198" s="199" t="e">
        <f>INDEX('GDP deflators'!$C$6:$M$36,MATCH('Bottom-up tagging'!$D198,'GDP deflators'!$B$6:$B$36,),MATCH('Bottom-up tagging'!$E198,'GDP deflators'!$C$5:$L$5,))/100</f>
        <v>#N/A</v>
      </c>
      <c r="BR198" s="24">
        <v>1700000</v>
      </c>
    </row>
    <row r="199" spans="2:70" ht="26.15" hidden="1" customHeight="1">
      <c r="B199" s="110" t="s">
        <v>2936</v>
      </c>
      <c r="C199" s="110" t="s">
        <v>2938</v>
      </c>
      <c r="D199" s="110" t="s">
        <v>3994</v>
      </c>
      <c r="E199" s="103">
        <v>2013</v>
      </c>
      <c r="F199" s="108" t="s">
        <v>10260</v>
      </c>
      <c r="G199" s="111" t="s">
        <v>109</v>
      </c>
      <c r="H199" s="110" t="s">
        <v>10451</v>
      </c>
      <c r="I199" s="112">
        <f>IF(Dashboard!$B$16="Current USD",'Bottom-up tagging'!BR199,'Bottom-up tagging'!BR199/'Bottom-up tagging'!BQ199)</f>
        <v>1344587.0340792215</v>
      </c>
      <c r="J199" s="105" t="s">
        <v>10474</v>
      </c>
      <c r="K199" s="112"/>
      <c r="L199" s="135">
        <v>1</v>
      </c>
      <c r="M199" s="135">
        <v>1</v>
      </c>
      <c r="N199" s="112"/>
      <c r="O199" s="112"/>
      <c r="P199" s="112" t="str">
        <f>VLOOKUP(B199, 'Companies covered restructured'!$B$7:$K$470, 9, FALSE)</f>
        <v>Irrigation systems</v>
      </c>
      <c r="Q199" s="112" t="str">
        <f>VLOOKUP(B199, 'Companies covered restructured'!$B$7:$K$470, 6, FALSE)</f>
        <v>#Crops(100)</v>
      </c>
      <c r="R199" s="112" t="str">
        <f t="shared" si="72"/>
        <v>N/A</v>
      </c>
      <c r="S199" s="112" t="s">
        <v>11003</v>
      </c>
      <c r="T199" s="112" t="s">
        <v>10466</v>
      </c>
      <c r="U199" s="103" t="s">
        <v>10970</v>
      </c>
      <c r="V199" s="212" t="s">
        <v>10977</v>
      </c>
      <c r="W199" s="112" t="str">
        <f>VLOOKUP(B199, 'Companies covered restructured'!$B$7:$K$470, 7, FALSE)</f>
        <v>#Farm/Household(100)</v>
      </c>
      <c r="X199" s="112" t="str">
        <f>VLOOKUP(B199, 'Companies covered restructured'!$B$7:$K$470, 8, FALSE)</f>
        <v>#Small(100)</v>
      </c>
      <c r="Y199" s="212" t="str">
        <f>VLOOKUP(P199, 'Bottom-up Tagging Assumptions'!$B$12:$C$56, 2, FALSE)</f>
        <v>#Other Economic(P); Environmental(S)</v>
      </c>
      <c r="Z199" s="112" t="str">
        <f>VLOOKUP(P199, 'Bottom-up Tagging Assumptions'!$B$12:$F$56, 3, FALSE)</f>
        <v>#Waste reduction(P)</v>
      </c>
      <c r="AA199" s="112" t="str">
        <f>VLOOKUP(P199, 'Bottom-up Tagging Assumptions'!$B$12:$F$56, 4, FALSE)</f>
        <v>#Level 1(100)</v>
      </c>
      <c r="AB199" s="110"/>
      <c r="AC199" s="110"/>
      <c r="AD199" s="110"/>
      <c r="AE199" s="110" t="s">
        <v>10558</v>
      </c>
      <c r="AF199" s="112">
        <v>317198</v>
      </c>
      <c r="AG199" s="110" t="s">
        <v>1957</v>
      </c>
      <c r="AH199" s="121">
        <f t="shared" si="73"/>
        <v>1</v>
      </c>
      <c r="AI199" s="121">
        <f t="shared" si="74"/>
        <v>0</v>
      </c>
      <c r="AJ199" s="121">
        <f t="shared" si="75"/>
        <v>1</v>
      </c>
      <c r="AK199" s="121">
        <f t="shared" si="76"/>
        <v>0</v>
      </c>
      <c r="AL199" s="121">
        <f t="shared" si="77"/>
        <v>0</v>
      </c>
      <c r="AM199" s="121">
        <f t="shared" si="78"/>
        <v>0</v>
      </c>
      <c r="AN199" s="121">
        <f t="shared" si="79"/>
        <v>1</v>
      </c>
      <c r="AO199" s="121">
        <f t="shared" si="80"/>
        <v>0</v>
      </c>
      <c r="AP199" s="22">
        <f t="shared" si="81"/>
        <v>0</v>
      </c>
      <c r="AQ199" s="22">
        <f t="shared" si="82"/>
        <v>1344587.0340792215</v>
      </c>
      <c r="AR199" s="22">
        <f t="shared" si="83"/>
        <v>0</v>
      </c>
      <c r="AS199" s="121" t="str">
        <f t="shared" si="84"/>
        <v>Crops</v>
      </c>
      <c r="AT199" s="121" t="str">
        <f t="shared" si="105"/>
        <v xml:space="preserve"> </v>
      </c>
      <c r="AU199" s="121" t="str">
        <f t="shared" si="105"/>
        <v xml:space="preserve"> </v>
      </c>
      <c r="AV199" s="121" t="str">
        <f t="shared" si="105"/>
        <v xml:space="preserve"> </v>
      </c>
      <c r="AW199" s="130" t="str">
        <f t="shared" si="106"/>
        <v>100</v>
      </c>
      <c r="AX199" s="130" t="str">
        <f t="shared" si="106"/>
        <v xml:space="preserve"> </v>
      </c>
      <c r="AY199" s="130" t="str">
        <f t="shared" si="106"/>
        <v xml:space="preserve"> </v>
      </c>
      <c r="AZ199" s="130" t="str">
        <f t="shared" si="106"/>
        <v xml:space="preserve"> </v>
      </c>
      <c r="BA199" s="121">
        <f t="shared" si="85"/>
        <v>1344587.0340792215</v>
      </c>
      <c r="BB199" s="121">
        <f t="shared" si="86"/>
        <v>0</v>
      </c>
      <c r="BC199" s="121">
        <f t="shared" si="87"/>
        <v>0</v>
      </c>
      <c r="BD199" s="121">
        <f t="shared" si="88"/>
        <v>0</v>
      </c>
      <c r="BE199" s="121">
        <f t="shared" si="89"/>
        <v>0</v>
      </c>
      <c r="BF199" s="121">
        <f t="shared" si="90"/>
        <v>0</v>
      </c>
      <c r="BG199" s="121">
        <f t="shared" si="91"/>
        <v>0</v>
      </c>
      <c r="BH199" s="121">
        <f t="shared" si="92"/>
        <v>0</v>
      </c>
      <c r="BI199" s="121">
        <f t="shared" si="93"/>
        <v>1344587.0340792215</v>
      </c>
      <c r="BJ199" s="121">
        <f t="shared" si="94"/>
        <v>1344587.0340792215</v>
      </c>
      <c r="BK199" s="121">
        <f t="shared" si="95"/>
        <v>1344587.0340792215</v>
      </c>
      <c r="BL199" s="121">
        <f t="shared" si="96"/>
        <v>1344587.0340792215</v>
      </c>
      <c r="BM199" s="121">
        <f t="shared" si="97"/>
        <v>0</v>
      </c>
      <c r="BN199" s="121">
        <f t="shared" si="98"/>
        <v>0</v>
      </c>
      <c r="BO199" s="121">
        <f t="shared" si="99"/>
        <v>0</v>
      </c>
      <c r="BP199" s="121">
        <f t="shared" si="100"/>
        <v>0</v>
      </c>
      <c r="BQ199" s="199">
        <f>INDEX('GDP deflators'!$C$6:$M$36,MATCH('Bottom-up tagging'!$D199,'GDP deflators'!$B$6:$B$36,),MATCH('Bottom-up tagging'!$E199,'GDP deflators'!$C$5:$L$5,))/100</f>
        <v>1.2462146053248888</v>
      </c>
      <c r="BR199" s="24">
        <v>1675644</v>
      </c>
    </row>
    <row r="200" spans="2:70" ht="26.15" hidden="1" customHeight="1">
      <c r="B200" s="110" t="s">
        <v>2414</v>
      </c>
      <c r="C200" s="110" t="s">
        <v>2416</v>
      </c>
      <c r="D200" s="110" t="s">
        <v>2057</v>
      </c>
      <c r="E200" s="103">
        <v>2016</v>
      </c>
      <c r="F200" s="108" t="s">
        <v>8905</v>
      </c>
      <c r="G200" s="111" t="s">
        <v>124</v>
      </c>
      <c r="H200" s="110" t="s">
        <v>10451</v>
      </c>
      <c r="I200" s="112">
        <f>IF(Dashboard!$B$16="Current USD",'Bottom-up tagging'!BR200,'Bottom-up tagging'!BR200/'Bottom-up tagging'!BQ200)</f>
        <v>1442677.4271556004</v>
      </c>
      <c r="J200" s="118" t="s">
        <v>10474</v>
      </c>
      <c r="K200" s="112"/>
      <c r="L200" s="135">
        <v>1</v>
      </c>
      <c r="M200" s="135">
        <v>1</v>
      </c>
      <c r="N200" s="112"/>
      <c r="O200" s="112"/>
      <c r="P200" s="112" t="str">
        <f>VLOOKUP(B200, 'Companies covered restructured'!$B$7:$K$470, 9, FALSE)</f>
        <v>Precision livestock farming</v>
      </c>
      <c r="Q200" s="112" t="str">
        <f>VLOOKUP(B200, 'Companies covered restructured'!$B$7:$K$470, 6, FALSE)</f>
        <v>#Livestock(100)</v>
      </c>
      <c r="R200" s="112" t="str">
        <f t="shared" si="72"/>
        <v>N/A</v>
      </c>
      <c r="S200" s="112" t="s">
        <v>11003</v>
      </c>
      <c r="T200" s="112" t="s">
        <v>10466</v>
      </c>
      <c r="U200" s="103" t="s">
        <v>10970</v>
      </c>
      <c r="V200" s="112" t="str">
        <f>VLOOKUP(P200, 'Bottom-up Tagging Assumptions'!$B$12:$F$39, 5, FALSE)</f>
        <v>#Science &amp; tech(100)</v>
      </c>
      <c r="W200" s="112" t="str">
        <f>VLOOKUP(B200, 'Companies covered restructured'!$B$7:$K$470, 7, FALSE)</f>
        <v>N/A</v>
      </c>
      <c r="X200" s="112" t="str">
        <f>VLOOKUP(B200, 'Companies covered restructured'!$B$7:$K$470, 8, FALSE)</f>
        <v>N/A</v>
      </c>
      <c r="Y200" s="212" t="str">
        <f>VLOOKUP(P200, 'Bottom-up Tagging Assumptions'!$B$12:$C$56, 2, FALSE)</f>
        <v>#Other Economic(P); #Productivity(S)</v>
      </c>
      <c r="Z200" s="112" t="str">
        <f>VLOOKUP(P200, 'Bottom-up Tagging Assumptions'!$B$12:$F$56, 3, FALSE)</f>
        <v>#Increasing output per unit input(P); #Increasing crop or animal yield(S)</v>
      </c>
      <c r="AA200" s="112" t="str">
        <f>VLOOKUP(P200, 'Bottom-up Tagging Assumptions'!$B$12:$F$56, 4, FALSE)</f>
        <v>#Level 1(100)</v>
      </c>
      <c r="AB200" s="110"/>
      <c r="AC200" s="110"/>
      <c r="AD200" s="110"/>
      <c r="AE200" s="110" t="s">
        <v>10558</v>
      </c>
      <c r="AF200" s="112">
        <v>1670019</v>
      </c>
      <c r="AG200" s="110" t="s">
        <v>1734</v>
      </c>
      <c r="AH200" s="121">
        <f t="shared" si="73"/>
        <v>0</v>
      </c>
      <c r="AI200" s="121">
        <f t="shared" si="74"/>
        <v>1</v>
      </c>
      <c r="AJ200" s="121">
        <f t="shared" si="75"/>
        <v>1</v>
      </c>
      <c r="AK200" s="121">
        <f t="shared" si="76"/>
        <v>0</v>
      </c>
      <c r="AL200" s="121">
        <f t="shared" si="77"/>
        <v>0</v>
      </c>
      <c r="AM200" s="121">
        <f t="shared" si="78"/>
        <v>0</v>
      </c>
      <c r="AN200" s="121">
        <f t="shared" si="79"/>
        <v>0</v>
      </c>
      <c r="AO200" s="121">
        <f t="shared" si="80"/>
        <v>0</v>
      </c>
      <c r="AP200" s="22">
        <f t="shared" si="81"/>
        <v>0</v>
      </c>
      <c r="AQ200" s="22">
        <f t="shared" si="82"/>
        <v>0</v>
      </c>
      <c r="AR200" s="22">
        <f t="shared" si="83"/>
        <v>0</v>
      </c>
      <c r="AS200" s="121" t="str">
        <f t="shared" si="84"/>
        <v>Livestock</v>
      </c>
      <c r="AT200" s="121" t="str">
        <f t="shared" si="105"/>
        <v xml:space="preserve"> </v>
      </c>
      <c r="AU200" s="121" t="str">
        <f t="shared" si="105"/>
        <v xml:space="preserve"> </v>
      </c>
      <c r="AV200" s="121" t="str">
        <f t="shared" si="105"/>
        <v xml:space="preserve"> </v>
      </c>
      <c r="AW200" s="130" t="str">
        <f t="shared" si="106"/>
        <v>100</v>
      </c>
      <c r="AX200" s="130" t="str">
        <f t="shared" si="106"/>
        <v xml:space="preserve"> </v>
      </c>
      <c r="AY200" s="130" t="str">
        <f t="shared" si="106"/>
        <v xml:space="preserve"> </v>
      </c>
      <c r="AZ200" s="130" t="str">
        <f t="shared" si="106"/>
        <v xml:space="preserve"> </v>
      </c>
      <c r="BA200" s="121">
        <f t="shared" si="85"/>
        <v>1442677.4271556004</v>
      </c>
      <c r="BB200" s="121">
        <f t="shared" si="86"/>
        <v>0</v>
      </c>
      <c r="BC200" s="121">
        <f t="shared" si="87"/>
        <v>0</v>
      </c>
      <c r="BD200" s="121">
        <f t="shared" si="88"/>
        <v>0</v>
      </c>
      <c r="BE200" s="121">
        <f t="shared" si="89"/>
        <v>0</v>
      </c>
      <c r="BF200" s="121">
        <f t="shared" si="90"/>
        <v>0</v>
      </c>
      <c r="BG200" s="121">
        <f t="shared" si="91"/>
        <v>0</v>
      </c>
      <c r="BH200" s="121">
        <f t="shared" si="92"/>
        <v>0</v>
      </c>
      <c r="BI200" s="121">
        <f t="shared" si="93"/>
        <v>0</v>
      </c>
      <c r="BJ200" s="121">
        <f t="shared" si="94"/>
        <v>0</v>
      </c>
      <c r="BK200" s="121">
        <f t="shared" si="95"/>
        <v>0</v>
      </c>
      <c r="BL200" s="121">
        <f t="shared" si="96"/>
        <v>0</v>
      </c>
      <c r="BM200" s="121">
        <f t="shared" si="97"/>
        <v>0</v>
      </c>
      <c r="BN200" s="121">
        <f t="shared" si="98"/>
        <v>0</v>
      </c>
      <c r="BO200" s="121">
        <f t="shared" si="99"/>
        <v>0</v>
      </c>
      <c r="BP200" s="121">
        <f t="shared" si="100"/>
        <v>0</v>
      </c>
      <c r="BQ200" s="199">
        <f>INDEX('GDP deflators'!$C$6:$M$36,MATCH('Bottom-up tagging'!$D200,'GDP deflators'!$B$6:$B$36,),MATCH('Bottom-up tagging'!$E200,'GDP deflators'!$C$5:$L$5,))/100</f>
        <v>1.1575830941589131</v>
      </c>
      <c r="BR200" s="24">
        <v>1670019</v>
      </c>
    </row>
    <row r="201" spans="2:70" ht="26.15" hidden="1" customHeight="1">
      <c r="B201" s="110" t="s">
        <v>1411</v>
      </c>
      <c r="C201" s="110" t="s">
        <v>1415</v>
      </c>
      <c r="D201" s="110" t="s">
        <v>2057</v>
      </c>
      <c r="E201" s="103">
        <v>2014</v>
      </c>
      <c r="F201" s="108" t="s">
        <v>8230</v>
      </c>
      <c r="G201" s="111" t="s">
        <v>124</v>
      </c>
      <c r="H201" s="110" t="s">
        <v>10451</v>
      </c>
      <c r="I201" s="112">
        <f>IF(Dashboard!$B$16="Current USD",'Bottom-up tagging'!BR201,'Bottom-up tagging'!BR201/'Bottom-up tagging'!BQ201)</f>
        <v>1419114.6845827901</v>
      </c>
      <c r="J201" s="118" t="s">
        <v>10474</v>
      </c>
      <c r="K201" s="112"/>
      <c r="L201" s="135">
        <v>1</v>
      </c>
      <c r="M201" s="135">
        <v>1</v>
      </c>
      <c r="N201" s="112"/>
      <c r="O201" s="112"/>
      <c r="P201" s="112" t="str">
        <f>VLOOKUP(B201, 'Companies covered restructured'!$B$7:$K$470, 9, FALSE)</f>
        <v>Agri marketplaces</v>
      </c>
      <c r="Q201" s="112" t="str">
        <f>VLOOKUP(B201, 'Companies covered restructured'!$B$7:$K$470, 6, FALSE)</f>
        <v>#Cross-cutting(100)</v>
      </c>
      <c r="R201" s="112" t="str">
        <f t="shared" si="72"/>
        <v>N/A</v>
      </c>
      <c r="S201" s="112" t="s">
        <v>11003</v>
      </c>
      <c r="T201" s="112" t="s">
        <v>10466</v>
      </c>
      <c r="U201" s="103" t="s">
        <v>10970</v>
      </c>
      <c r="V201" s="112" t="str">
        <f>VLOOKUP(P201, 'Bottom-up Tagging Assumptions'!$B$12:$F$39, 5, FALSE)</f>
        <v>#Process Innovation(100)</v>
      </c>
      <c r="W201" s="112" t="str">
        <f>VLOOKUP(B201, 'Companies covered restructured'!$B$7:$K$470, 7, FALSE)</f>
        <v>#Farm/Household(100)</v>
      </c>
      <c r="X201" s="112" t="s">
        <v>10558</v>
      </c>
      <c r="Y201" s="212" t="str">
        <f>VLOOKUP(P201, 'Bottom-up Tagging Assumptions'!$B$12:$C$56, 2, FALSE)</f>
        <v>#Other Economic(P); Social(S)</v>
      </c>
      <c r="Z201" s="112" t="str">
        <f>VLOOKUP(P201, 'Bottom-up Tagging Assumptions'!$B$12:$F$56, 3, FALSE)</f>
        <v>#Improve price realization(P)</v>
      </c>
      <c r="AA201" s="112" t="str">
        <f>VLOOKUP(P201, 'Bottom-up Tagging Assumptions'!$B$12:$F$56, 4, FALSE)</f>
        <v>#Level 4(100)</v>
      </c>
      <c r="AB201" s="110"/>
      <c r="AC201" s="110"/>
      <c r="AD201" s="110"/>
      <c r="AE201" s="110" t="s">
        <v>10558</v>
      </c>
      <c r="AF201" s="112"/>
      <c r="AG201" s="110" t="s">
        <v>1962</v>
      </c>
      <c r="AH201" s="121">
        <f t="shared" si="73"/>
        <v>0</v>
      </c>
      <c r="AI201" s="121">
        <f t="shared" si="74"/>
        <v>0</v>
      </c>
      <c r="AJ201" s="121">
        <f t="shared" si="75"/>
        <v>1</v>
      </c>
      <c r="AK201" s="121">
        <f t="shared" si="76"/>
        <v>1</v>
      </c>
      <c r="AL201" s="121">
        <f t="shared" si="77"/>
        <v>0</v>
      </c>
      <c r="AM201" s="121">
        <f t="shared" si="78"/>
        <v>0</v>
      </c>
      <c r="AN201" s="121">
        <f t="shared" si="79"/>
        <v>1</v>
      </c>
      <c r="AO201" s="121">
        <f t="shared" si="80"/>
        <v>0</v>
      </c>
      <c r="AP201" s="22">
        <f t="shared" si="81"/>
        <v>0</v>
      </c>
      <c r="AQ201" s="22">
        <f t="shared" si="82"/>
        <v>1419114.6845827901</v>
      </c>
      <c r="AR201" s="22">
        <f t="shared" si="83"/>
        <v>0</v>
      </c>
      <c r="AS201" s="121" t="str">
        <f t="shared" si="84"/>
        <v>Cross-cutting</v>
      </c>
      <c r="AT201" s="121" t="str">
        <f t="shared" si="105"/>
        <v xml:space="preserve"> </v>
      </c>
      <c r="AU201" s="121" t="str">
        <f t="shared" si="105"/>
        <v xml:space="preserve"> </v>
      </c>
      <c r="AV201" s="121" t="str">
        <f t="shared" si="105"/>
        <v xml:space="preserve"> </v>
      </c>
      <c r="AW201" s="130" t="str">
        <f t="shared" si="106"/>
        <v>100</v>
      </c>
      <c r="AX201" s="130" t="str">
        <f t="shared" si="106"/>
        <v xml:space="preserve"> </v>
      </c>
      <c r="AY201" s="130" t="str">
        <f t="shared" si="106"/>
        <v xml:space="preserve"> </v>
      </c>
      <c r="AZ201" s="130" t="str">
        <f t="shared" si="106"/>
        <v xml:space="preserve"> </v>
      </c>
      <c r="BA201" s="121">
        <f t="shared" si="85"/>
        <v>1419114.6845827901</v>
      </c>
      <c r="BB201" s="121">
        <f t="shared" si="86"/>
        <v>0</v>
      </c>
      <c r="BC201" s="121">
        <f t="shared" si="87"/>
        <v>0</v>
      </c>
      <c r="BD201" s="121">
        <f t="shared" si="88"/>
        <v>0</v>
      </c>
      <c r="BE201" s="121">
        <f t="shared" si="89"/>
        <v>0</v>
      </c>
      <c r="BF201" s="121">
        <f t="shared" si="90"/>
        <v>0</v>
      </c>
      <c r="BG201" s="121">
        <f t="shared" si="91"/>
        <v>0</v>
      </c>
      <c r="BH201" s="121">
        <f t="shared" si="92"/>
        <v>0</v>
      </c>
      <c r="BI201" s="121">
        <f t="shared" si="93"/>
        <v>1419114.6845827901</v>
      </c>
      <c r="BJ201" s="121">
        <f t="shared" si="94"/>
        <v>1419114.6845827901</v>
      </c>
      <c r="BK201" s="121">
        <f t="shared" si="95"/>
        <v>1419114.6845827901</v>
      </c>
      <c r="BL201" s="121">
        <f t="shared" si="96"/>
        <v>1419114.6845827901</v>
      </c>
      <c r="BM201" s="121">
        <f t="shared" si="97"/>
        <v>0</v>
      </c>
      <c r="BN201" s="121">
        <f t="shared" si="98"/>
        <v>0</v>
      </c>
      <c r="BO201" s="121">
        <f t="shared" si="99"/>
        <v>0</v>
      </c>
      <c r="BP201" s="121">
        <f t="shared" si="100"/>
        <v>0</v>
      </c>
      <c r="BQ201" s="199">
        <f>INDEX('GDP deflators'!$C$6:$M$36,MATCH('Bottom-up tagging'!$D201,'GDP deflators'!$B$6:$B$36,),MATCH('Bottom-up tagging'!$E201,'GDP deflators'!$C$5:$L$5,))/100</f>
        <v>1.1415567871995269</v>
      </c>
      <c r="BR201" s="24">
        <v>1620000</v>
      </c>
    </row>
    <row r="202" spans="2:70" ht="26.15" hidden="1" customHeight="1">
      <c r="B202" s="110" t="s">
        <v>712</v>
      </c>
      <c r="C202" s="110" t="s">
        <v>710</v>
      </c>
      <c r="D202" s="110" t="s">
        <v>3994</v>
      </c>
      <c r="E202" s="103">
        <v>2019</v>
      </c>
      <c r="F202" s="108" t="s">
        <v>5869</v>
      </c>
      <c r="G202" s="111" t="s">
        <v>34</v>
      </c>
      <c r="H202" s="110" t="s">
        <v>10451</v>
      </c>
      <c r="I202" s="112">
        <f>IF(Dashboard!$B$16="Current USD",'Bottom-up tagging'!BR202,'Bottom-up tagging'!BR202/'Bottom-up tagging'!BQ202)</f>
        <v>1059961.7742126535</v>
      </c>
      <c r="J202" s="105" t="s">
        <v>10474</v>
      </c>
      <c r="K202" s="112"/>
      <c r="L202" s="135">
        <v>1</v>
      </c>
      <c r="M202" s="135">
        <v>1</v>
      </c>
      <c r="N202" s="112"/>
      <c r="O202" s="112"/>
      <c r="P202" s="112" t="str">
        <f>VLOOKUP(B202, 'Companies covered restructured'!$B$7:$K$470, 9, FALSE)</f>
        <v>Precision agriculture</v>
      </c>
      <c r="Q202" s="112" t="str">
        <f>VLOOKUP(B202, 'Companies covered restructured'!$B$7:$K$470, 6, FALSE)</f>
        <v>#Crops(100)</v>
      </c>
      <c r="R202" s="112" t="str">
        <f t="shared" si="72"/>
        <v>#Investment Fund(100)</v>
      </c>
      <c r="S202" s="112" t="s">
        <v>11003</v>
      </c>
      <c r="T202" s="112" t="s">
        <v>10466</v>
      </c>
      <c r="U202" s="103" t="s">
        <v>10970</v>
      </c>
      <c r="V202" s="112" t="str">
        <f>VLOOKUP(P202, 'Bottom-up Tagging Assumptions'!$B$12:$F$39, 5, FALSE)</f>
        <v>#Science &amp; tech(100)</v>
      </c>
      <c r="W202" s="112" t="str">
        <f>VLOOKUP(B202, 'Companies covered restructured'!$B$7:$K$470, 7, FALSE)</f>
        <v>#Field/Animal Herd(100)</v>
      </c>
      <c r="X202" s="112" t="s">
        <v>10558</v>
      </c>
      <c r="Y202" s="212" t="str">
        <f>VLOOKUP(P202, 'Bottom-up Tagging Assumptions'!$B$12:$C$56, 2, FALSE)</f>
        <v>#Other Economic(P); #Productivity(S)</v>
      </c>
      <c r="Z202" s="112" t="str">
        <f>VLOOKUP(P202, 'Bottom-up Tagging Assumptions'!$B$12:$F$56, 3, FALSE)</f>
        <v>#Increasing output per unit input(P); #Increasing crop or animal yield(S)</v>
      </c>
      <c r="AA202" s="112" t="str">
        <f>VLOOKUP(P202, 'Bottom-up Tagging Assumptions'!$B$12:$F$56, 4, FALSE)</f>
        <v>#Level 1(100)</v>
      </c>
      <c r="AB202" s="110" t="s">
        <v>714</v>
      </c>
      <c r="AC202" s="110"/>
      <c r="AD202" s="110" t="s">
        <v>715</v>
      </c>
      <c r="AE202" s="110" t="s">
        <v>3114</v>
      </c>
      <c r="AF202" s="112">
        <v>15568800</v>
      </c>
      <c r="AG202" s="110" t="s">
        <v>1335</v>
      </c>
      <c r="AH202" s="121">
        <f t="shared" si="73"/>
        <v>0</v>
      </c>
      <c r="AI202" s="121">
        <f t="shared" si="74"/>
        <v>1</v>
      </c>
      <c r="AJ202" s="121">
        <f t="shared" si="75"/>
        <v>1</v>
      </c>
      <c r="AK202" s="121">
        <f t="shared" si="76"/>
        <v>0</v>
      </c>
      <c r="AL202" s="121">
        <f t="shared" si="77"/>
        <v>0</v>
      </c>
      <c r="AM202" s="121">
        <f t="shared" si="78"/>
        <v>0</v>
      </c>
      <c r="AN202" s="121">
        <f t="shared" si="79"/>
        <v>0</v>
      </c>
      <c r="AO202" s="121">
        <f t="shared" si="80"/>
        <v>0</v>
      </c>
      <c r="AP202" s="22">
        <f t="shared" si="81"/>
        <v>0</v>
      </c>
      <c r="AQ202" s="22">
        <f t="shared" si="82"/>
        <v>0</v>
      </c>
      <c r="AR202" s="22">
        <f t="shared" si="83"/>
        <v>0</v>
      </c>
      <c r="AS202" s="121" t="str">
        <f t="shared" si="84"/>
        <v>Crops</v>
      </c>
      <c r="AT202" s="121" t="str">
        <f t="shared" si="105"/>
        <v xml:space="preserve"> </v>
      </c>
      <c r="AU202" s="121" t="str">
        <f t="shared" si="105"/>
        <v xml:space="preserve"> </v>
      </c>
      <c r="AV202" s="121" t="str">
        <f t="shared" si="105"/>
        <v xml:space="preserve"> </v>
      </c>
      <c r="AW202" s="130" t="str">
        <f t="shared" si="106"/>
        <v>100</v>
      </c>
      <c r="AX202" s="130" t="str">
        <f t="shared" si="106"/>
        <v xml:space="preserve"> </v>
      </c>
      <c r="AY202" s="130" t="str">
        <f t="shared" si="106"/>
        <v xml:space="preserve"> </v>
      </c>
      <c r="AZ202" s="130" t="str">
        <f t="shared" si="106"/>
        <v xml:space="preserve"> </v>
      </c>
      <c r="BA202" s="121">
        <f t="shared" si="85"/>
        <v>1059961.7742126535</v>
      </c>
      <c r="BB202" s="121">
        <f t="shared" si="86"/>
        <v>0</v>
      </c>
      <c r="BC202" s="121">
        <f t="shared" si="87"/>
        <v>0</v>
      </c>
      <c r="BD202" s="121">
        <f t="shared" si="88"/>
        <v>0</v>
      </c>
      <c r="BE202" s="121">
        <f t="shared" si="89"/>
        <v>0</v>
      </c>
      <c r="BF202" s="121">
        <f t="shared" si="90"/>
        <v>0</v>
      </c>
      <c r="BG202" s="121">
        <f t="shared" si="91"/>
        <v>0</v>
      </c>
      <c r="BH202" s="121">
        <f t="shared" si="92"/>
        <v>0</v>
      </c>
      <c r="BI202" s="121">
        <f t="shared" si="93"/>
        <v>0</v>
      </c>
      <c r="BJ202" s="121">
        <f t="shared" si="94"/>
        <v>0</v>
      </c>
      <c r="BK202" s="121">
        <f t="shared" si="95"/>
        <v>0</v>
      </c>
      <c r="BL202" s="121">
        <f t="shared" si="96"/>
        <v>0</v>
      </c>
      <c r="BM202" s="121">
        <f t="shared" si="97"/>
        <v>0</v>
      </c>
      <c r="BN202" s="121">
        <f t="shared" si="98"/>
        <v>0</v>
      </c>
      <c r="BO202" s="121">
        <f t="shared" si="99"/>
        <v>0</v>
      </c>
      <c r="BP202" s="121">
        <f t="shared" si="100"/>
        <v>0</v>
      </c>
      <c r="BQ202" s="199">
        <f>INDEX('GDP deflators'!$C$6:$M$36,MATCH('Bottom-up tagging'!$D202,'GDP deflators'!$B$6:$B$36,),MATCH('Bottom-up tagging'!$E202,'GDP deflators'!$C$5:$L$5,))/100</f>
        <v>1.5094883975306472</v>
      </c>
      <c r="BR202" s="24">
        <v>1600000</v>
      </c>
    </row>
    <row r="203" spans="2:70" ht="26.15" hidden="1" customHeight="1">
      <c r="B203" s="110" t="s">
        <v>303</v>
      </c>
      <c r="C203" s="110" t="s">
        <v>306</v>
      </c>
      <c r="D203" s="110" t="s">
        <v>3994</v>
      </c>
      <c r="E203" s="103">
        <v>2015</v>
      </c>
      <c r="F203" s="108" t="s">
        <v>8813</v>
      </c>
      <c r="G203" s="111" t="s">
        <v>34</v>
      </c>
      <c r="H203" s="110" t="s">
        <v>10451</v>
      </c>
      <c r="I203" s="112">
        <f>IF(Dashboard!$B$16="Current USD",'Bottom-up tagging'!BR203,'Bottom-up tagging'!BR203/'Bottom-up tagging'!BQ203)</f>
        <v>1211336.6389654251</v>
      </c>
      <c r="J203" s="117" t="s">
        <v>10474</v>
      </c>
      <c r="K203" s="112"/>
      <c r="L203" s="135">
        <v>1</v>
      </c>
      <c r="M203" s="135">
        <v>1</v>
      </c>
      <c r="N203" s="112"/>
      <c r="O203" s="112"/>
      <c r="P203" s="112" t="str">
        <f>VLOOKUP(B203, 'Companies covered restructured'!$B$7:$K$470, 9, FALSE)</f>
        <v>Animal and fish monitoring systems</v>
      </c>
      <c r="Q203" s="112" t="str">
        <f>VLOOKUP(B203, 'Companies covered restructured'!$B$7:$K$470, 6, FALSE)</f>
        <v>#Livestock(100)</v>
      </c>
      <c r="R203" s="112" t="str">
        <f t="shared" si="72"/>
        <v>#Investment Fund(100)</v>
      </c>
      <c r="S203" s="112" t="s">
        <v>11003</v>
      </c>
      <c r="T203" s="112" t="s">
        <v>10466</v>
      </c>
      <c r="U203" s="103" t="s">
        <v>10970</v>
      </c>
      <c r="V203" s="112" t="str">
        <f>VLOOKUP(P203, 'Bottom-up Tagging Assumptions'!$B$12:$F$39, 5, FALSE)</f>
        <v>#Product Development(100)</v>
      </c>
      <c r="W203" s="112" t="str">
        <f>VLOOKUP(B203, 'Companies covered restructured'!$B$7:$K$470, 7, FALSE)</f>
        <v>#Field/Animal Herd(100)</v>
      </c>
      <c r="X203" s="112" t="s">
        <v>10558</v>
      </c>
      <c r="Y203" s="212" t="str">
        <f>VLOOKUP(P203, 'Bottom-up Tagging Assumptions'!$B$12:$C$56, 2, FALSE)</f>
        <v>#Productivity(P); Other economic(S)</v>
      </c>
      <c r="Z203" s="112" t="str">
        <f>VLOOKUP(P203, 'Bottom-up Tagging Assumptions'!$B$12:$F$56, 3, FALSE)</f>
        <v>#Increasing crop or animal yield(P)</v>
      </c>
      <c r="AA203" s="112" t="str">
        <f>VLOOKUP(P203, 'Bottom-up Tagging Assumptions'!$B$12:$F$56, 4, FALSE)</f>
        <v>#Level 2(100)</v>
      </c>
      <c r="AB203" s="110" t="s">
        <v>643</v>
      </c>
      <c r="AC203" s="110"/>
      <c r="AD203" s="110" t="s">
        <v>644</v>
      </c>
      <c r="AE203" s="110" t="str">
        <f>VLOOKUP(AD203,  '1.2'!$B$7:$C$2033, 2, FALSE)</f>
        <v>FUND</v>
      </c>
      <c r="AF203" s="112">
        <v>452321</v>
      </c>
      <c r="AG203" s="110" t="s">
        <v>527</v>
      </c>
      <c r="AH203" s="121">
        <f t="shared" si="73"/>
        <v>0</v>
      </c>
      <c r="AI203" s="121">
        <f t="shared" si="74"/>
        <v>1</v>
      </c>
      <c r="AJ203" s="121">
        <f t="shared" si="75"/>
        <v>1</v>
      </c>
      <c r="AK203" s="121">
        <f t="shared" si="76"/>
        <v>0</v>
      </c>
      <c r="AL203" s="121">
        <f t="shared" si="77"/>
        <v>0</v>
      </c>
      <c r="AM203" s="121">
        <f t="shared" si="78"/>
        <v>0</v>
      </c>
      <c r="AN203" s="121">
        <f t="shared" si="79"/>
        <v>0</v>
      </c>
      <c r="AO203" s="121">
        <f t="shared" si="80"/>
        <v>0</v>
      </c>
      <c r="AP203" s="22">
        <f t="shared" si="81"/>
        <v>0</v>
      </c>
      <c r="AQ203" s="22">
        <f t="shared" si="82"/>
        <v>0</v>
      </c>
      <c r="AR203" s="22">
        <f t="shared" si="83"/>
        <v>0</v>
      </c>
      <c r="AS203" s="121" t="str">
        <f t="shared" si="84"/>
        <v>Livestock</v>
      </c>
      <c r="AT203" s="121" t="str">
        <f t="shared" si="105"/>
        <v xml:space="preserve"> </v>
      </c>
      <c r="AU203" s="121" t="str">
        <f t="shared" si="105"/>
        <v xml:space="preserve"> </v>
      </c>
      <c r="AV203" s="121" t="str">
        <f t="shared" si="105"/>
        <v xml:space="preserve"> </v>
      </c>
      <c r="AW203" s="130" t="str">
        <f t="shared" si="106"/>
        <v>100</v>
      </c>
      <c r="AX203" s="130" t="str">
        <f t="shared" si="106"/>
        <v xml:space="preserve"> </v>
      </c>
      <c r="AY203" s="130" t="str">
        <f t="shared" si="106"/>
        <v xml:space="preserve"> </v>
      </c>
      <c r="AZ203" s="130" t="str">
        <f t="shared" si="106"/>
        <v xml:space="preserve"> </v>
      </c>
      <c r="BA203" s="121">
        <f t="shared" si="85"/>
        <v>1211336.6389654251</v>
      </c>
      <c r="BB203" s="121">
        <f t="shared" si="86"/>
        <v>0</v>
      </c>
      <c r="BC203" s="121">
        <f t="shared" si="87"/>
        <v>0</v>
      </c>
      <c r="BD203" s="121">
        <f t="shared" si="88"/>
        <v>0</v>
      </c>
      <c r="BE203" s="121">
        <f t="shared" si="89"/>
        <v>0</v>
      </c>
      <c r="BF203" s="121">
        <f t="shared" si="90"/>
        <v>0</v>
      </c>
      <c r="BG203" s="121">
        <f t="shared" si="91"/>
        <v>0</v>
      </c>
      <c r="BH203" s="121">
        <f t="shared" si="92"/>
        <v>0</v>
      </c>
      <c r="BI203" s="121">
        <f t="shared" si="93"/>
        <v>0</v>
      </c>
      <c r="BJ203" s="121">
        <f t="shared" si="94"/>
        <v>0</v>
      </c>
      <c r="BK203" s="121">
        <f t="shared" si="95"/>
        <v>0</v>
      </c>
      <c r="BL203" s="121">
        <f t="shared" si="96"/>
        <v>0</v>
      </c>
      <c r="BM203" s="121">
        <f t="shared" si="97"/>
        <v>0</v>
      </c>
      <c r="BN203" s="121">
        <f t="shared" si="98"/>
        <v>0</v>
      </c>
      <c r="BO203" s="121">
        <f t="shared" si="99"/>
        <v>0</v>
      </c>
      <c r="BP203" s="121">
        <f t="shared" si="100"/>
        <v>0</v>
      </c>
      <c r="BQ203" s="199">
        <f>INDEX('GDP deflators'!$C$6:$M$36,MATCH('Bottom-up tagging'!$D203,'GDP deflators'!$B$6:$B$36,),MATCH('Bottom-up tagging'!$E203,'GDP deflators'!$C$5:$L$5,))/100</f>
        <v>1.3170905169372478</v>
      </c>
      <c r="BR203" s="24">
        <v>1595440</v>
      </c>
    </row>
    <row r="204" spans="2:70" ht="26.15" hidden="1" customHeight="1">
      <c r="B204" s="110" t="s">
        <v>2560</v>
      </c>
      <c r="C204" s="110" t="s">
        <v>2562</v>
      </c>
      <c r="D204" s="110" t="s">
        <v>2057</v>
      </c>
      <c r="E204" s="103">
        <v>2015</v>
      </c>
      <c r="F204" s="108" t="s">
        <v>9342</v>
      </c>
      <c r="G204" s="111" t="s">
        <v>109</v>
      </c>
      <c r="H204" s="110" t="s">
        <v>10451</v>
      </c>
      <c r="I204" s="112">
        <f>IF(Dashboard!$B$16="Current USD",'Bottom-up tagging'!BR204,'Bottom-up tagging'!BR204/'Bottom-up tagging'!BQ204)</f>
        <v>1384122.4106047519</v>
      </c>
      <c r="J204" s="118" t="s">
        <v>10474</v>
      </c>
      <c r="K204" s="112"/>
      <c r="L204" s="135">
        <v>1</v>
      </c>
      <c r="M204" s="135">
        <v>1</v>
      </c>
      <c r="N204" s="112"/>
      <c r="O204" s="112"/>
      <c r="P204" s="112" t="str">
        <f>VLOOKUP(B204, 'Companies covered restructured'!$B$7:$K$470, 9, FALSE)</f>
        <v>Agri marketplaces</v>
      </c>
      <c r="Q204" s="112" t="str">
        <f>VLOOKUP(B204, 'Companies covered restructured'!$B$7:$K$470, 6, FALSE)</f>
        <v>#Livestock(050); #Fisheries and Aquaculture(050)</v>
      </c>
      <c r="R204" s="112" t="str">
        <f t="shared" ref="R204:R267" si="107">IF(AE204="FUND", "#Investment Fund(100)", IF(AE204="CORPORATE_INVESTOR", "#Corporate(100)", IF(AE204="ANGEL", "#Angel Investor(100)", "N/A")))</f>
        <v>N/A</v>
      </c>
      <c r="S204" s="112" t="s">
        <v>11003</v>
      </c>
      <c r="T204" s="112" t="s">
        <v>10466</v>
      </c>
      <c r="U204" s="103" t="s">
        <v>10970</v>
      </c>
      <c r="V204" s="112" t="str">
        <f>VLOOKUP(P204, 'Bottom-up Tagging Assumptions'!$B$12:$F$39, 5, FALSE)</f>
        <v>#Process Innovation(100)</v>
      </c>
      <c r="W204" s="112" t="str">
        <f>VLOOKUP(B204, 'Companies covered restructured'!$B$7:$K$470, 7, FALSE)</f>
        <v>N/A</v>
      </c>
      <c r="X204" s="112" t="str">
        <f>VLOOKUP(B204, 'Companies covered restructured'!$B$7:$K$470, 8, FALSE)</f>
        <v>N/A</v>
      </c>
      <c r="Y204" s="212" t="str">
        <f>VLOOKUP(P204, 'Bottom-up Tagging Assumptions'!$B$12:$C$56, 2, FALSE)</f>
        <v>#Other Economic(P); Social(S)</v>
      </c>
      <c r="Z204" s="112" t="str">
        <f>VLOOKUP(P204, 'Bottom-up Tagging Assumptions'!$B$12:$F$56, 3, FALSE)</f>
        <v>#Improve price realization(P)</v>
      </c>
      <c r="AA204" s="112" t="str">
        <f>VLOOKUP(P204, 'Bottom-up Tagging Assumptions'!$B$12:$F$56, 4, FALSE)</f>
        <v>#Level 4(100)</v>
      </c>
      <c r="AB204" s="110"/>
      <c r="AC204" s="110"/>
      <c r="AD204" s="110"/>
      <c r="AE204" s="110" t="s">
        <v>10558</v>
      </c>
      <c r="AF204" s="112">
        <v>17990</v>
      </c>
      <c r="AG204" s="110" t="s">
        <v>742</v>
      </c>
      <c r="AH204" s="121">
        <f t="shared" ref="AH204:AH267" si="108">IF(ISNUMBER(SEARCH("Environmental",$Y204))=TRUE,1,0)</f>
        <v>0</v>
      </c>
      <c r="AI204" s="121">
        <f t="shared" ref="AI204:AI267" si="109">IF(ISNUMBER(SEARCH("Productivity",$Y204))=TRUE,1,0)</f>
        <v>0</v>
      </c>
      <c r="AJ204" s="121">
        <f t="shared" ref="AJ204:AJ267" si="110">IF(ISNUMBER(SEARCH("Other Economic",$Y204))=TRUE,1,0)</f>
        <v>1</v>
      </c>
      <c r="AK204" s="121">
        <f t="shared" ref="AK204:AK267" si="111">IF(ISNUMBER(SEARCH("Social",$Y204))=TRUE,1,0)</f>
        <v>1</v>
      </c>
      <c r="AL204" s="121">
        <f t="shared" ref="AL204:AL267" si="112">IF(ISNUMBER(SEARCH("Human Condition",$Y204))=TRUE,1,0)</f>
        <v>0</v>
      </c>
      <c r="AM204" s="121">
        <f t="shared" ref="AM204:AM267" si="113">IF((AI204+AH204+AK204)=3,1,IF((AI204+AH204+AL204)=3,1,0))</f>
        <v>0</v>
      </c>
      <c r="AN204" s="121">
        <f t="shared" ref="AN204:AN267" si="114">IF(AND(SUM(AI204:AJ204)&gt;0,SUM(AK204:AL204,AH204)&gt;0),1,0)</f>
        <v>1</v>
      </c>
      <c r="AO204" s="121">
        <f t="shared" ref="AO204:AO267" si="115">IF(AI204+AH204=2, 1, 0)</f>
        <v>0</v>
      </c>
      <c r="AP204" s="22">
        <f t="shared" ref="AP204:AP267" si="116">IF(AM204=1, I204, 0)</f>
        <v>0</v>
      </c>
      <c r="AQ204" s="22">
        <f t="shared" ref="AQ204:AQ267" si="117">IF(AN204=1, I204, 0)</f>
        <v>1384122.4106047519</v>
      </c>
      <c r="AR204" s="22">
        <f t="shared" ref="AR204:AR267" si="118">IF(AO204=1, I204, 0)</f>
        <v>0</v>
      </c>
      <c r="AS204" s="121" t="str">
        <f t="shared" ref="AS204:AS267" si="119">IFERROR(MID($Q204,2,(FIND("~",SUBSTITUTE($Q204,")","~",AS$10))-6)),$Q204)</f>
        <v>Livestock</v>
      </c>
      <c r="AT204" s="121" t="str">
        <f t="shared" si="105"/>
        <v>Fisheries and Aquaculture</v>
      </c>
      <c r="AU204" s="121" t="str">
        <f t="shared" si="105"/>
        <v xml:space="preserve"> </v>
      </c>
      <c r="AV204" s="121" t="str">
        <f t="shared" si="105"/>
        <v xml:space="preserve"> </v>
      </c>
      <c r="AW204" s="130" t="str">
        <f t="shared" si="106"/>
        <v>050</v>
      </c>
      <c r="AX204" s="130" t="str">
        <f t="shared" si="106"/>
        <v>050</v>
      </c>
      <c r="AY204" s="130" t="str">
        <f t="shared" si="106"/>
        <v xml:space="preserve"> </v>
      </c>
      <c r="AZ204" s="130" t="str">
        <f t="shared" si="106"/>
        <v xml:space="preserve"> </v>
      </c>
      <c r="BA204" s="121">
        <f t="shared" ref="BA204:BA267" si="120">IFERROR($I204*AW204/100,$I204)</f>
        <v>692061.20530237595</v>
      </c>
      <c r="BB204" s="121">
        <f t="shared" ref="BB204:BB267" si="121">IFERROR($I204*AX204/100,0)</f>
        <v>692061.20530237595</v>
      </c>
      <c r="BC204" s="121">
        <f t="shared" ref="BC204:BC267" si="122">IFERROR($I204*AY204/100,0)</f>
        <v>0</v>
      </c>
      <c r="BD204" s="121">
        <f t="shared" ref="BD204:BD267" si="123">IFERROR($I204*AZ204/100,0)</f>
        <v>0</v>
      </c>
      <c r="BE204" s="121">
        <f t="shared" ref="BE204:BE267" si="124">IFERROR($AP204*AW204/100,$AP204)</f>
        <v>0</v>
      </c>
      <c r="BF204" s="121">
        <f t="shared" ref="BF204:BF267" si="125">IFERROR($AP204*AX204/100,$AP204)</f>
        <v>0</v>
      </c>
      <c r="BG204" s="121">
        <f t="shared" ref="BG204:BG267" si="126">IFERROR($AP204*AY204/100,$AP204)</f>
        <v>0</v>
      </c>
      <c r="BH204" s="121">
        <f t="shared" ref="BH204:BH267" si="127">IFERROR($AP204*AZ204/100,$AP204)</f>
        <v>0</v>
      </c>
      <c r="BI204" s="121">
        <f t="shared" ref="BI204:BI267" si="128">IFERROR($AQ204*AW204/100,$AQ204)</f>
        <v>692061.20530237595</v>
      </c>
      <c r="BJ204" s="121">
        <f t="shared" ref="BJ204:BJ267" si="129">IFERROR($AQ204*AX204/100,$AQ204)</f>
        <v>692061.20530237595</v>
      </c>
      <c r="BK204" s="121">
        <f t="shared" ref="BK204:BK267" si="130">IFERROR($AQ204*AY204/100,$AQ204)</f>
        <v>1384122.4106047519</v>
      </c>
      <c r="BL204" s="121">
        <f t="shared" ref="BL204:BL267" si="131">IFERROR($AQ204*AZ204/100,$AQ204)</f>
        <v>1384122.4106047519</v>
      </c>
      <c r="BM204" s="121">
        <f t="shared" ref="BM204:BM267" si="132">IFERROR($AR204*AW204/100,$AR204)</f>
        <v>0</v>
      </c>
      <c r="BN204" s="121">
        <f t="shared" ref="BN204:BN267" si="133">IFERROR($AR204*AX204/100,$AR204)</f>
        <v>0</v>
      </c>
      <c r="BO204" s="121">
        <f t="shared" ref="BO204:BO267" si="134">IFERROR($AR204*AY204/100,$AR204)</f>
        <v>0</v>
      </c>
      <c r="BP204" s="121">
        <f t="shared" ref="BP204:BP267" si="135">IFERROR($AR204*AZ204/100,$AR204)</f>
        <v>0</v>
      </c>
      <c r="BQ204" s="199">
        <f>INDEX('GDP deflators'!$C$6:$M$36,MATCH('Bottom-up tagging'!$D204,'GDP deflators'!$B$6:$B$36,),MATCH('Bottom-up tagging'!$E204,'GDP deflators'!$C$5:$L$5,))/100</f>
        <v>1.1415175333442258</v>
      </c>
      <c r="BR204" s="24">
        <v>1580000</v>
      </c>
    </row>
    <row r="205" spans="2:70" ht="26.15" hidden="1" customHeight="1">
      <c r="B205" s="110" t="s">
        <v>610</v>
      </c>
      <c r="C205" s="110" t="s">
        <v>613</v>
      </c>
      <c r="D205" s="110" t="s">
        <v>2057</v>
      </c>
      <c r="E205" s="103">
        <v>2018</v>
      </c>
      <c r="F205" s="108" t="s">
        <v>7334</v>
      </c>
      <c r="G205" s="111" t="s">
        <v>109</v>
      </c>
      <c r="H205" s="110" t="s">
        <v>10451</v>
      </c>
      <c r="I205" s="112">
        <f>IF(Dashboard!$B$16="Current USD",'Bottom-up tagging'!BR205,'Bottom-up tagging'!BR205/'Bottom-up tagging'!BQ205)</f>
        <v>1262997.7036832236</v>
      </c>
      <c r="J205" s="117" t="s">
        <v>10474</v>
      </c>
      <c r="K205" s="112"/>
      <c r="L205" s="135">
        <v>1</v>
      </c>
      <c r="M205" s="135">
        <v>1</v>
      </c>
      <c r="N205" s="112"/>
      <c r="O205" s="112"/>
      <c r="P205" s="112" t="str">
        <f>VLOOKUP(B205, 'Companies covered restructured'!$B$7:$K$470, 9, FALSE)</f>
        <v>AI/analytics based advisory algorithms (incl. weather)</v>
      </c>
      <c r="Q205" s="112" t="str">
        <f>VLOOKUP(B205, 'Companies covered restructured'!$B$7:$K$470, 6, FALSE)</f>
        <v>#Crops(100)</v>
      </c>
      <c r="R205" s="112" t="str">
        <f t="shared" si="107"/>
        <v>#Corporate(100)</v>
      </c>
      <c r="S205" s="112" t="s">
        <v>11003</v>
      </c>
      <c r="T205" s="112" t="s">
        <v>10466</v>
      </c>
      <c r="U205" s="116" t="s">
        <v>10970</v>
      </c>
      <c r="V205" s="112" t="str">
        <f>VLOOKUP(P205, 'Bottom-up Tagging Assumptions'!$B$12:$F$39, 5, FALSE)</f>
        <v>#Science &amp; tech(100)</v>
      </c>
      <c r="W205" s="112" t="str">
        <f>VLOOKUP(B205, 'Companies covered restructured'!$B$7:$K$470, 7, FALSE)</f>
        <v>#Field/Animal Herd(100)</v>
      </c>
      <c r="X205" s="112" t="s">
        <v>10558</v>
      </c>
      <c r="Y205" s="212" t="str">
        <f>VLOOKUP(P205, 'Bottom-up Tagging Assumptions'!$B$12:$C$56, 2, FALSE)</f>
        <v>#Other Economic(P); #Productivity(S)</v>
      </c>
      <c r="Z205" s="112" t="str">
        <f>VLOOKUP(P205, 'Bottom-up Tagging Assumptions'!$B$12:$F$56, 3, FALSE)</f>
        <v>#Increasing output per unit input(P); #Increasing crop or animal yield(S)</v>
      </c>
      <c r="AA205" s="112" t="str">
        <f>VLOOKUP(P205, 'Bottom-up Tagging Assumptions'!$B$12:$F$56, 4, FALSE)</f>
        <v>#Level 1(100)</v>
      </c>
      <c r="AB205" s="110" t="s">
        <v>1620</v>
      </c>
      <c r="AC205" s="110"/>
      <c r="AD205" s="110" t="s">
        <v>1621</v>
      </c>
      <c r="AE205" s="110" t="str">
        <f>VLOOKUP(AD205,  '1.2'!$B$7:$C$2033, 2, FALSE)</f>
        <v>CORPORATE_INVESTOR</v>
      </c>
      <c r="AF205" s="112">
        <v>10726419</v>
      </c>
      <c r="AG205" s="110" t="s">
        <v>115</v>
      </c>
      <c r="AH205" s="121">
        <f t="shared" si="108"/>
        <v>0</v>
      </c>
      <c r="AI205" s="121">
        <f t="shared" si="109"/>
        <v>1</v>
      </c>
      <c r="AJ205" s="121">
        <f t="shared" si="110"/>
        <v>1</v>
      </c>
      <c r="AK205" s="121">
        <f t="shared" si="111"/>
        <v>0</v>
      </c>
      <c r="AL205" s="121">
        <f t="shared" si="112"/>
        <v>0</v>
      </c>
      <c r="AM205" s="121">
        <f t="shared" si="113"/>
        <v>0</v>
      </c>
      <c r="AN205" s="121">
        <f t="shared" si="114"/>
        <v>0</v>
      </c>
      <c r="AO205" s="121">
        <f t="shared" si="115"/>
        <v>0</v>
      </c>
      <c r="AP205" s="22">
        <f t="shared" si="116"/>
        <v>0</v>
      </c>
      <c r="AQ205" s="22">
        <f t="shared" si="117"/>
        <v>0</v>
      </c>
      <c r="AR205" s="22">
        <f t="shared" si="118"/>
        <v>0</v>
      </c>
      <c r="AS205" s="121" t="str">
        <f t="shared" si="119"/>
        <v>Crops</v>
      </c>
      <c r="AT205" s="121" t="str">
        <f t="shared" si="105"/>
        <v xml:space="preserve"> </v>
      </c>
      <c r="AU205" s="121" t="str">
        <f t="shared" si="105"/>
        <v xml:space="preserve"> </v>
      </c>
      <c r="AV205" s="121" t="str">
        <f t="shared" si="105"/>
        <v xml:space="preserve"> </v>
      </c>
      <c r="AW205" s="130" t="str">
        <f t="shared" si="106"/>
        <v>100</v>
      </c>
      <c r="AX205" s="130" t="str">
        <f t="shared" si="106"/>
        <v xml:space="preserve"> </v>
      </c>
      <c r="AY205" s="130" t="str">
        <f t="shared" si="106"/>
        <v xml:space="preserve"> </v>
      </c>
      <c r="AZ205" s="130" t="str">
        <f t="shared" si="106"/>
        <v xml:space="preserve"> </v>
      </c>
      <c r="BA205" s="121">
        <f t="shared" si="120"/>
        <v>1262997.7036832236</v>
      </c>
      <c r="BB205" s="121">
        <f t="shared" si="121"/>
        <v>0</v>
      </c>
      <c r="BC205" s="121">
        <f t="shared" si="122"/>
        <v>0</v>
      </c>
      <c r="BD205" s="121">
        <f t="shared" si="123"/>
        <v>0</v>
      </c>
      <c r="BE205" s="121">
        <f t="shared" si="124"/>
        <v>0</v>
      </c>
      <c r="BF205" s="121">
        <f t="shared" si="125"/>
        <v>0</v>
      </c>
      <c r="BG205" s="121">
        <f t="shared" si="126"/>
        <v>0</v>
      </c>
      <c r="BH205" s="121">
        <f t="shared" si="127"/>
        <v>0</v>
      </c>
      <c r="BI205" s="121">
        <f t="shared" si="128"/>
        <v>0</v>
      </c>
      <c r="BJ205" s="121">
        <f t="shared" si="129"/>
        <v>0</v>
      </c>
      <c r="BK205" s="121">
        <f t="shared" si="130"/>
        <v>0</v>
      </c>
      <c r="BL205" s="121">
        <f t="shared" si="131"/>
        <v>0</v>
      </c>
      <c r="BM205" s="121">
        <f t="shared" si="132"/>
        <v>0</v>
      </c>
      <c r="BN205" s="121">
        <f t="shared" si="133"/>
        <v>0</v>
      </c>
      <c r="BO205" s="121">
        <f t="shared" si="134"/>
        <v>0</v>
      </c>
      <c r="BP205" s="121">
        <f t="shared" si="135"/>
        <v>0</v>
      </c>
      <c r="BQ205" s="199">
        <f>INDEX('GDP deflators'!$C$6:$M$36,MATCH('Bottom-up tagging'!$D205,'GDP deflators'!$B$6:$B$36,),MATCH('Bottom-up tagging'!$E205,'GDP deflators'!$C$5:$L$5,))/100</f>
        <v>1.2487972031939574</v>
      </c>
      <c r="BR205" s="24">
        <v>1577228</v>
      </c>
    </row>
    <row r="206" spans="2:70" ht="26.15" hidden="1" customHeight="1">
      <c r="B206" s="110" t="s">
        <v>2139</v>
      </c>
      <c r="C206" s="110" t="s">
        <v>2142</v>
      </c>
      <c r="D206" s="110" t="s">
        <v>2057</v>
      </c>
      <c r="E206" s="103">
        <v>2015</v>
      </c>
      <c r="F206" s="108" t="s">
        <v>9063</v>
      </c>
      <c r="G206" s="111" t="s">
        <v>124</v>
      </c>
      <c r="H206" s="110" t="s">
        <v>10451</v>
      </c>
      <c r="I206" s="112">
        <f>IF(Dashboard!$B$16="Current USD",'Bottom-up tagging'!BR206,'Bottom-up tagging'!BR206/'Bottom-up tagging'!BQ206)</f>
        <v>1366601.8737616537</v>
      </c>
      <c r="J206" s="105" t="s">
        <v>10474</v>
      </c>
      <c r="K206" s="112"/>
      <c r="L206" s="135">
        <v>1</v>
      </c>
      <c r="M206" s="135">
        <v>1</v>
      </c>
      <c r="N206" s="112"/>
      <c r="O206" s="112"/>
      <c r="P206" s="112" t="str">
        <f>VLOOKUP(B206, 'Companies covered restructured'!$B$7:$K$470, 9, FALSE)</f>
        <v>Agri marketplaces</v>
      </c>
      <c r="Q206" s="112" t="str">
        <f>VLOOKUP(B206, 'Companies covered restructured'!$B$7:$K$470, 6, FALSE)</f>
        <v>#Crops(100)</v>
      </c>
      <c r="R206" s="112" t="str">
        <f t="shared" si="107"/>
        <v>N/A</v>
      </c>
      <c r="S206" s="112" t="s">
        <v>11003</v>
      </c>
      <c r="T206" s="112" t="s">
        <v>10466</v>
      </c>
      <c r="U206" s="103" t="s">
        <v>10970</v>
      </c>
      <c r="V206" s="112" t="str">
        <f>VLOOKUP(P206, 'Bottom-up Tagging Assumptions'!$B$12:$F$39, 5, FALSE)</f>
        <v>#Process Innovation(100)</v>
      </c>
      <c r="W206" s="112" t="str">
        <f>VLOOKUP(B206, 'Companies covered restructured'!$B$7:$K$470, 7, FALSE)</f>
        <v>#Landscape(100)</v>
      </c>
      <c r="X206" s="112" t="str">
        <f>VLOOKUP(B206, 'Companies covered restructured'!$B$7:$K$470, 8, FALSE)</f>
        <v>N/A</v>
      </c>
      <c r="Y206" s="212" t="str">
        <f>VLOOKUP(P206, 'Bottom-up Tagging Assumptions'!$B$12:$C$56, 2, FALSE)</f>
        <v>#Other Economic(P); Social(S)</v>
      </c>
      <c r="Z206" s="112" t="str">
        <f>VLOOKUP(P206, 'Bottom-up Tagging Assumptions'!$B$12:$F$56, 3, FALSE)</f>
        <v>#Improve price realization(P)</v>
      </c>
      <c r="AA206" s="112" t="str">
        <f>VLOOKUP(P206, 'Bottom-up Tagging Assumptions'!$B$12:$F$56, 4, FALSE)</f>
        <v>#Level 4(100)</v>
      </c>
      <c r="AB206" s="110"/>
      <c r="AC206" s="110"/>
      <c r="AD206" s="110"/>
      <c r="AE206" s="110" t="s">
        <v>10558</v>
      </c>
      <c r="AF206" s="112"/>
      <c r="AG206" s="110" t="s">
        <v>183</v>
      </c>
      <c r="AH206" s="121">
        <f t="shared" si="108"/>
        <v>0</v>
      </c>
      <c r="AI206" s="121">
        <f t="shared" si="109"/>
        <v>0</v>
      </c>
      <c r="AJ206" s="121">
        <f t="shared" si="110"/>
        <v>1</v>
      </c>
      <c r="AK206" s="121">
        <f t="shared" si="111"/>
        <v>1</v>
      </c>
      <c r="AL206" s="121">
        <f t="shared" si="112"/>
        <v>0</v>
      </c>
      <c r="AM206" s="121">
        <f t="shared" si="113"/>
        <v>0</v>
      </c>
      <c r="AN206" s="121">
        <f t="shared" si="114"/>
        <v>1</v>
      </c>
      <c r="AO206" s="121">
        <f t="shared" si="115"/>
        <v>0</v>
      </c>
      <c r="AP206" s="22">
        <f t="shared" si="116"/>
        <v>0</v>
      </c>
      <c r="AQ206" s="22">
        <f t="shared" si="117"/>
        <v>1366601.8737616537</v>
      </c>
      <c r="AR206" s="22">
        <f t="shared" si="118"/>
        <v>0</v>
      </c>
      <c r="AS206" s="121" t="str">
        <f t="shared" si="119"/>
        <v>Crops</v>
      </c>
      <c r="AT206" s="121" t="str">
        <f t="shared" si="105"/>
        <v xml:space="preserve"> </v>
      </c>
      <c r="AU206" s="121" t="str">
        <f t="shared" si="105"/>
        <v xml:space="preserve"> </v>
      </c>
      <c r="AV206" s="121" t="str">
        <f t="shared" si="105"/>
        <v xml:space="preserve"> </v>
      </c>
      <c r="AW206" s="130" t="str">
        <f t="shared" si="106"/>
        <v>100</v>
      </c>
      <c r="AX206" s="130" t="str">
        <f t="shared" si="106"/>
        <v xml:space="preserve"> </v>
      </c>
      <c r="AY206" s="130" t="str">
        <f t="shared" si="106"/>
        <v xml:space="preserve"> </v>
      </c>
      <c r="AZ206" s="130" t="str">
        <f t="shared" si="106"/>
        <v xml:space="preserve"> </v>
      </c>
      <c r="BA206" s="121">
        <f t="shared" si="120"/>
        <v>1366601.8737616537</v>
      </c>
      <c r="BB206" s="121">
        <f t="shared" si="121"/>
        <v>0</v>
      </c>
      <c r="BC206" s="121">
        <f t="shared" si="122"/>
        <v>0</v>
      </c>
      <c r="BD206" s="121">
        <f t="shared" si="123"/>
        <v>0</v>
      </c>
      <c r="BE206" s="121">
        <f t="shared" si="124"/>
        <v>0</v>
      </c>
      <c r="BF206" s="121">
        <f t="shared" si="125"/>
        <v>0</v>
      </c>
      <c r="BG206" s="121">
        <f t="shared" si="126"/>
        <v>0</v>
      </c>
      <c r="BH206" s="121">
        <f t="shared" si="127"/>
        <v>0</v>
      </c>
      <c r="BI206" s="121">
        <f t="shared" si="128"/>
        <v>1366601.8737616537</v>
      </c>
      <c r="BJ206" s="121">
        <f t="shared" si="129"/>
        <v>1366601.8737616537</v>
      </c>
      <c r="BK206" s="121">
        <f t="shared" si="130"/>
        <v>1366601.8737616537</v>
      </c>
      <c r="BL206" s="121">
        <f t="shared" si="131"/>
        <v>1366601.8737616537</v>
      </c>
      <c r="BM206" s="121">
        <f t="shared" si="132"/>
        <v>0</v>
      </c>
      <c r="BN206" s="121">
        <f t="shared" si="133"/>
        <v>0</v>
      </c>
      <c r="BO206" s="121">
        <f t="shared" si="134"/>
        <v>0</v>
      </c>
      <c r="BP206" s="121">
        <f t="shared" si="135"/>
        <v>0</v>
      </c>
      <c r="BQ206" s="199">
        <f>INDEX('GDP deflators'!$C$6:$M$36,MATCH('Bottom-up tagging'!$D206,'GDP deflators'!$B$6:$B$36,),MATCH('Bottom-up tagging'!$E206,'GDP deflators'!$C$5:$L$5,))/100</f>
        <v>1.1415175333442258</v>
      </c>
      <c r="BR206" s="24">
        <v>1560000</v>
      </c>
    </row>
    <row r="207" spans="2:70" ht="26.15" hidden="1" customHeight="1">
      <c r="B207" s="110" t="s">
        <v>878</v>
      </c>
      <c r="C207" s="110" t="s">
        <v>883</v>
      </c>
      <c r="D207" s="110" t="s">
        <v>3994</v>
      </c>
      <c r="E207" s="103">
        <v>2018</v>
      </c>
      <c r="F207" s="108" t="s">
        <v>8198</v>
      </c>
      <c r="G207" s="111" t="s">
        <v>34</v>
      </c>
      <c r="H207" s="110" t="s">
        <v>10451</v>
      </c>
      <c r="I207" s="112">
        <f>IF(Dashboard!$B$16="Current USD",'Bottom-up tagging'!BR207,'Bottom-up tagging'!BR207/'Bottom-up tagging'!BQ207)</f>
        <v>1039885.2659678988</v>
      </c>
      <c r="J207" s="118" t="s">
        <v>10474</v>
      </c>
      <c r="K207" s="112"/>
      <c r="L207" s="135">
        <v>1</v>
      </c>
      <c r="M207" s="135">
        <v>1</v>
      </c>
      <c r="N207" s="112"/>
      <c r="O207" s="112"/>
      <c r="P207" s="112" t="str">
        <f>VLOOKUP(B207, 'Companies covered restructured'!$B$7:$K$470, 9, FALSE)</f>
        <v>Agri marketplaces</v>
      </c>
      <c r="Q207" s="112" t="str">
        <f>VLOOKUP(B207, 'Companies covered restructured'!$B$7:$K$470, 6, FALSE)</f>
        <v>#Livestock(100)</v>
      </c>
      <c r="R207" s="112" t="str">
        <f t="shared" si="107"/>
        <v>N/A</v>
      </c>
      <c r="S207" s="112" t="s">
        <v>11003</v>
      </c>
      <c r="T207" s="112" t="s">
        <v>10466</v>
      </c>
      <c r="U207" s="103" t="s">
        <v>10970</v>
      </c>
      <c r="V207" s="112" t="str">
        <f>VLOOKUP(P207, 'Bottom-up Tagging Assumptions'!$B$12:$F$39, 5, FALSE)</f>
        <v>#Process Innovation(100)</v>
      </c>
      <c r="W207" s="112" t="str">
        <f>VLOOKUP(B207, 'Companies covered restructured'!$B$7:$K$470, 7, FALSE)</f>
        <v>#Farm/Household(100)</v>
      </c>
      <c r="X207" s="112" t="str">
        <f>VLOOKUP(B207, 'Companies covered restructured'!$B$7:$K$470, 8, FALSE)</f>
        <v>N/A</v>
      </c>
      <c r="Y207" s="212" t="str">
        <f>VLOOKUP(P207, 'Bottom-up Tagging Assumptions'!$B$12:$C$56, 2, FALSE)</f>
        <v>#Other Economic(P); Social(S)</v>
      </c>
      <c r="Z207" s="112" t="str">
        <f>VLOOKUP(P207, 'Bottom-up Tagging Assumptions'!$B$12:$F$56, 3, FALSE)</f>
        <v>#Improve price realization(P)</v>
      </c>
      <c r="AA207" s="112" t="str">
        <f>VLOOKUP(P207, 'Bottom-up Tagging Assumptions'!$B$12:$F$56, 4, FALSE)</f>
        <v>#Level 4(100)</v>
      </c>
      <c r="AB207" s="110" t="s">
        <v>1794</v>
      </c>
      <c r="AC207" s="110"/>
      <c r="AD207" s="110"/>
      <c r="AE207" s="110" t="s">
        <v>10558</v>
      </c>
      <c r="AF207" s="112">
        <v>296585</v>
      </c>
      <c r="AG207" s="110" t="s">
        <v>1982</v>
      </c>
      <c r="AH207" s="121">
        <f t="shared" si="108"/>
        <v>0</v>
      </c>
      <c r="AI207" s="121">
        <f t="shared" si="109"/>
        <v>0</v>
      </c>
      <c r="AJ207" s="121">
        <f t="shared" si="110"/>
        <v>1</v>
      </c>
      <c r="AK207" s="121">
        <f t="shared" si="111"/>
        <v>1</v>
      </c>
      <c r="AL207" s="121">
        <f t="shared" si="112"/>
        <v>0</v>
      </c>
      <c r="AM207" s="121">
        <f t="shared" si="113"/>
        <v>0</v>
      </c>
      <c r="AN207" s="121">
        <f t="shared" si="114"/>
        <v>1</v>
      </c>
      <c r="AO207" s="121">
        <f t="shared" si="115"/>
        <v>0</v>
      </c>
      <c r="AP207" s="22">
        <f t="shared" si="116"/>
        <v>0</v>
      </c>
      <c r="AQ207" s="22">
        <f t="shared" si="117"/>
        <v>1039885.2659678988</v>
      </c>
      <c r="AR207" s="22">
        <f t="shared" si="118"/>
        <v>0</v>
      </c>
      <c r="AS207" s="121" t="str">
        <f t="shared" si="119"/>
        <v>Livestock</v>
      </c>
      <c r="AT207" s="121" t="str">
        <f t="shared" si="105"/>
        <v xml:space="preserve"> </v>
      </c>
      <c r="AU207" s="121" t="str">
        <f t="shared" si="105"/>
        <v xml:space="preserve"> </v>
      </c>
      <c r="AV207" s="121" t="str">
        <f t="shared" si="105"/>
        <v xml:space="preserve"> </v>
      </c>
      <c r="AW207" s="130" t="str">
        <f t="shared" si="106"/>
        <v>100</v>
      </c>
      <c r="AX207" s="130" t="str">
        <f t="shared" si="106"/>
        <v xml:space="preserve"> </v>
      </c>
      <c r="AY207" s="130" t="str">
        <f t="shared" si="106"/>
        <v xml:space="preserve"> </v>
      </c>
      <c r="AZ207" s="130" t="str">
        <f t="shared" si="106"/>
        <v xml:space="preserve"> </v>
      </c>
      <c r="BA207" s="121">
        <f t="shared" si="120"/>
        <v>1039885.2659678988</v>
      </c>
      <c r="BB207" s="121">
        <f t="shared" si="121"/>
        <v>0</v>
      </c>
      <c r="BC207" s="121">
        <f t="shared" si="122"/>
        <v>0</v>
      </c>
      <c r="BD207" s="121">
        <f t="shared" si="123"/>
        <v>0</v>
      </c>
      <c r="BE207" s="121">
        <f t="shared" si="124"/>
        <v>0</v>
      </c>
      <c r="BF207" s="121">
        <f t="shared" si="125"/>
        <v>0</v>
      </c>
      <c r="BG207" s="121">
        <f t="shared" si="126"/>
        <v>0</v>
      </c>
      <c r="BH207" s="121">
        <f t="shared" si="127"/>
        <v>0</v>
      </c>
      <c r="BI207" s="121">
        <f t="shared" si="128"/>
        <v>1039885.2659678988</v>
      </c>
      <c r="BJ207" s="121">
        <f t="shared" si="129"/>
        <v>1039885.2659678988</v>
      </c>
      <c r="BK207" s="121">
        <f t="shared" si="130"/>
        <v>1039885.2659678988</v>
      </c>
      <c r="BL207" s="121">
        <f t="shared" si="131"/>
        <v>1039885.2659678988</v>
      </c>
      <c r="BM207" s="121">
        <f t="shared" si="132"/>
        <v>0</v>
      </c>
      <c r="BN207" s="121">
        <f t="shared" si="133"/>
        <v>0</v>
      </c>
      <c r="BO207" s="121">
        <f t="shared" si="134"/>
        <v>0</v>
      </c>
      <c r="BP207" s="121">
        <f t="shared" si="135"/>
        <v>0</v>
      </c>
      <c r="BQ207" s="199">
        <f>INDEX('GDP deflators'!$C$6:$M$36,MATCH('Bottom-up tagging'!$D207,'GDP deflators'!$B$6:$B$36,),MATCH('Bottom-up tagging'!$E207,'GDP deflators'!$C$5:$L$5,))/100</f>
        <v>1.4753935363936217</v>
      </c>
      <c r="BR207" s="24">
        <v>1534240</v>
      </c>
    </row>
    <row r="208" spans="2:70" ht="26.15" hidden="1" customHeight="1">
      <c r="B208" s="110" t="s">
        <v>2849</v>
      </c>
      <c r="C208" s="110" t="s">
        <v>2852</v>
      </c>
      <c r="D208" s="110" t="s">
        <v>2057</v>
      </c>
      <c r="E208" s="103">
        <v>2010</v>
      </c>
      <c r="F208" s="108" t="s">
        <v>10033</v>
      </c>
      <c r="G208" s="111" t="s">
        <v>109</v>
      </c>
      <c r="H208" s="110" t="s">
        <v>10451</v>
      </c>
      <c r="I208" s="112">
        <f>IF(Dashboard!$B$16="Current USD",'Bottom-up tagging'!BR208,'Bottom-up tagging'!BR208/'Bottom-up tagging'!BQ208)</f>
        <v>1514622</v>
      </c>
      <c r="J208" s="118" t="s">
        <v>10474</v>
      </c>
      <c r="K208" s="112"/>
      <c r="L208" s="135">
        <v>1</v>
      </c>
      <c r="M208" s="135">
        <v>1</v>
      </c>
      <c r="N208" s="112"/>
      <c r="O208" s="112"/>
      <c r="P208" s="112" t="str">
        <f>VLOOKUP(B208, 'Companies covered restructured'!$B$7:$K$470, 9, FALSE)</f>
        <v>Agri marketplaces</v>
      </c>
      <c r="Q208" s="112" t="str">
        <f>VLOOKUP(B208, 'Companies covered restructured'!$B$7:$K$470, 6, FALSE)</f>
        <v>#Crops(100)</v>
      </c>
      <c r="R208" s="112" t="str">
        <f t="shared" si="107"/>
        <v>#Investment Fund(100)</v>
      </c>
      <c r="S208" s="112" t="s">
        <v>11003</v>
      </c>
      <c r="T208" s="112" t="s">
        <v>10466</v>
      </c>
      <c r="U208" s="103" t="s">
        <v>10970</v>
      </c>
      <c r="V208" s="112" t="str">
        <f>VLOOKUP(P208, 'Bottom-up Tagging Assumptions'!$B$12:$F$39, 5, FALSE)</f>
        <v>#Process Innovation(100)</v>
      </c>
      <c r="W208" s="112" t="str">
        <f>VLOOKUP(B208, 'Companies covered restructured'!$B$7:$K$470, 7, FALSE)</f>
        <v>N/A</v>
      </c>
      <c r="X208" s="112" t="str">
        <f>VLOOKUP(B208, 'Companies covered restructured'!$B$7:$K$470, 8, FALSE)</f>
        <v>N/A</v>
      </c>
      <c r="Y208" s="212" t="str">
        <f>VLOOKUP(P208, 'Bottom-up Tagging Assumptions'!$B$12:$C$56, 2, FALSE)</f>
        <v>#Other Economic(P); Social(S)</v>
      </c>
      <c r="Z208" s="112" t="str">
        <f>VLOOKUP(P208, 'Bottom-up Tagging Assumptions'!$B$12:$F$56, 3, FALSE)</f>
        <v>#Improve price realization(P)</v>
      </c>
      <c r="AA208" s="112" t="str">
        <f>VLOOKUP(P208, 'Bottom-up Tagging Assumptions'!$B$12:$F$56, 4, FALSE)</f>
        <v>#Level 4(100)</v>
      </c>
      <c r="AB208" s="110" t="s">
        <v>3079</v>
      </c>
      <c r="AC208" s="110"/>
      <c r="AD208" s="110" t="s">
        <v>3080</v>
      </c>
      <c r="AE208" s="110" t="str">
        <f>VLOOKUP(AD208,  '1.2'!$B$7:$C$2033, 2, FALSE)</f>
        <v>FUND</v>
      </c>
      <c r="AF208" s="112"/>
      <c r="AG208" s="110" t="s">
        <v>1987</v>
      </c>
      <c r="AH208" s="121">
        <f t="shared" si="108"/>
        <v>0</v>
      </c>
      <c r="AI208" s="121">
        <f t="shared" si="109"/>
        <v>0</v>
      </c>
      <c r="AJ208" s="121">
        <f t="shared" si="110"/>
        <v>1</v>
      </c>
      <c r="AK208" s="121">
        <f t="shared" si="111"/>
        <v>1</v>
      </c>
      <c r="AL208" s="121">
        <f t="shared" si="112"/>
        <v>0</v>
      </c>
      <c r="AM208" s="121">
        <f t="shared" si="113"/>
        <v>0</v>
      </c>
      <c r="AN208" s="121">
        <f t="shared" si="114"/>
        <v>1</v>
      </c>
      <c r="AO208" s="121">
        <f t="shared" si="115"/>
        <v>0</v>
      </c>
      <c r="AP208" s="22">
        <f t="shared" si="116"/>
        <v>0</v>
      </c>
      <c r="AQ208" s="22">
        <f t="shared" si="117"/>
        <v>1514622</v>
      </c>
      <c r="AR208" s="22">
        <f t="shared" si="118"/>
        <v>0</v>
      </c>
      <c r="AS208" s="121" t="str">
        <f t="shared" si="119"/>
        <v>Crops</v>
      </c>
      <c r="AT208" s="121" t="str">
        <f t="shared" si="105"/>
        <v xml:space="preserve"> </v>
      </c>
      <c r="AU208" s="121" t="str">
        <f t="shared" si="105"/>
        <v xml:space="preserve"> </v>
      </c>
      <c r="AV208" s="121" t="str">
        <f t="shared" si="105"/>
        <v xml:space="preserve"> </v>
      </c>
      <c r="AW208" s="130" t="str">
        <f t="shared" si="106"/>
        <v>100</v>
      </c>
      <c r="AX208" s="130" t="str">
        <f t="shared" si="106"/>
        <v xml:space="preserve"> </v>
      </c>
      <c r="AY208" s="130" t="str">
        <f t="shared" si="106"/>
        <v xml:space="preserve"> </v>
      </c>
      <c r="AZ208" s="130" t="str">
        <f t="shared" si="106"/>
        <v xml:space="preserve"> </v>
      </c>
      <c r="BA208" s="121">
        <f t="shared" si="120"/>
        <v>1514622</v>
      </c>
      <c r="BB208" s="121">
        <f t="shared" si="121"/>
        <v>0</v>
      </c>
      <c r="BC208" s="121">
        <f t="shared" si="122"/>
        <v>0</v>
      </c>
      <c r="BD208" s="121">
        <f t="shared" si="123"/>
        <v>0</v>
      </c>
      <c r="BE208" s="121">
        <f t="shared" si="124"/>
        <v>0</v>
      </c>
      <c r="BF208" s="121">
        <f t="shared" si="125"/>
        <v>0</v>
      </c>
      <c r="BG208" s="121">
        <f t="shared" si="126"/>
        <v>0</v>
      </c>
      <c r="BH208" s="121">
        <f t="shared" si="127"/>
        <v>0</v>
      </c>
      <c r="BI208" s="121">
        <f t="shared" si="128"/>
        <v>1514622</v>
      </c>
      <c r="BJ208" s="121">
        <f t="shared" si="129"/>
        <v>1514622</v>
      </c>
      <c r="BK208" s="121">
        <f t="shared" si="130"/>
        <v>1514622</v>
      </c>
      <c r="BL208" s="121">
        <f t="shared" si="131"/>
        <v>1514622</v>
      </c>
      <c r="BM208" s="121">
        <f t="shared" si="132"/>
        <v>0</v>
      </c>
      <c r="BN208" s="121">
        <f t="shared" si="133"/>
        <v>0</v>
      </c>
      <c r="BO208" s="121">
        <f t="shared" si="134"/>
        <v>0</v>
      </c>
      <c r="BP208" s="121">
        <f t="shared" si="135"/>
        <v>0</v>
      </c>
      <c r="BQ208" s="199">
        <f>INDEX('GDP deflators'!$C$6:$M$36,MATCH('Bottom-up tagging'!$D208,'GDP deflators'!$B$6:$B$36,),MATCH('Bottom-up tagging'!$E208,'GDP deflators'!$C$5:$L$5,))/100</f>
        <v>1</v>
      </c>
      <c r="BR208" s="24">
        <v>1514622</v>
      </c>
    </row>
    <row r="209" spans="2:70" ht="26.15" hidden="1" customHeight="1">
      <c r="B209" s="110" t="s">
        <v>266</v>
      </c>
      <c r="C209" s="110" t="s">
        <v>271</v>
      </c>
      <c r="D209" s="110" t="s">
        <v>7133</v>
      </c>
      <c r="E209" s="103">
        <v>2018</v>
      </c>
      <c r="F209" s="108" t="s">
        <v>8651</v>
      </c>
      <c r="G209" s="111" t="s">
        <v>289</v>
      </c>
      <c r="H209" s="110" t="s">
        <v>10451</v>
      </c>
      <c r="I209" s="112">
        <f>IF(Dashboard!$B$16="Current USD",'Bottom-up tagging'!BR209,'Bottom-up tagging'!BR209/'Bottom-up tagging'!BQ209)</f>
        <v>966745.32305925852</v>
      </c>
      <c r="J209" s="118" t="s">
        <v>10474</v>
      </c>
      <c r="K209" s="112"/>
      <c r="L209" s="135">
        <v>1</v>
      </c>
      <c r="M209" s="135">
        <v>1</v>
      </c>
      <c r="N209" s="112"/>
      <c r="O209" s="112"/>
      <c r="P209" s="112" t="str">
        <f>VLOOKUP(B209, 'Companies covered restructured'!$B$7:$K$470, 9, FALSE)</f>
        <v>Irrigation systems</v>
      </c>
      <c r="Q209" s="112" t="str">
        <f>VLOOKUP(B209, 'Companies covered restructured'!$B$7:$K$470, 6, FALSE)</f>
        <v>#Crops(100)</v>
      </c>
      <c r="R209" s="112" t="str">
        <f t="shared" si="107"/>
        <v>N/A</v>
      </c>
      <c r="S209" s="112" t="s">
        <v>11003</v>
      </c>
      <c r="T209" s="112" t="s">
        <v>10464</v>
      </c>
      <c r="U209" s="103" t="s">
        <v>10970</v>
      </c>
      <c r="V209" s="212" t="s">
        <v>10977</v>
      </c>
      <c r="W209" s="112" t="str">
        <f>VLOOKUP(B209, 'Companies covered restructured'!$B$7:$K$470, 7, FALSE)</f>
        <v>#Field/Animal Herd(100)</v>
      </c>
      <c r="X209" s="112" t="s">
        <v>10558</v>
      </c>
      <c r="Y209" s="212" t="str">
        <f>VLOOKUP(P209, 'Bottom-up Tagging Assumptions'!$B$12:$C$56, 2, FALSE)</f>
        <v>#Other Economic(P); Environmental(S)</v>
      </c>
      <c r="Z209" s="112" t="str">
        <f>VLOOKUP(P209, 'Bottom-up Tagging Assumptions'!$B$12:$F$56, 3, FALSE)</f>
        <v>#Waste reduction(P)</v>
      </c>
      <c r="AA209" s="112" t="str">
        <f>VLOOKUP(P209, 'Bottom-up Tagging Assumptions'!$B$12:$F$56, 4, FALSE)</f>
        <v>#Level 1(100)</v>
      </c>
      <c r="AB209" s="110" t="s">
        <v>1391</v>
      </c>
      <c r="AC209" s="110"/>
      <c r="AD209" s="110"/>
      <c r="AE209" s="110" t="s">
        <v>10558</v>
      </c>
      <c r="AF209" s="112"/>
      <c r="AG209" s="110" t="s">
        <v>1080</v>
      </c>
      <c r="AH209" s="121">
        <f t="shared" si="108"/>
        <v>1</v>
      </c>
      <c r="AI209" s="121">
        <f t="shared" si="109"/>
        <v>0</v>
      </c>
      <c r="AJ209" s="121">
        <f t="shared" si="110"/>
        <v>1</v>
      </c>
      <c r="AK209" s="121">
        <f t="shared" si="111"/>
        <v>0</v>
      </c>
      <c r="AL209" s="121">
        <f t="shared" si="112"/>
        <v>0</v>
      </c>
      <c r="AM209" s="121">
        <f t="shared" si="113"/>
        <v>0</v>
      </c>
      <c r="AN209" s="121">
        <f t="shared" si="114"/>
        <v>1</v>
      </c>
      <c r="AO209" s="121">
        <f t="shared" si="115"/>
        <v>0</v>
      </c>
      <c r="AP209" s="22">
        <f t="shared" si="116"/>
        <v>0</v>
      </c>
      <c r="AQ209" s="22">
        <f t="shared" si="117"/>
        <v>966745.32305925852</v>
      </c>
      <c r="AR209" s="22">
        <f t="shared" si="118"/>
        <v>0</v>
      </c>
      <c r="AS209" s="121" t="str">
        <f t="shared" si="119"/>
        <v>Crops</v>
      </c>
      <c r="AT209" s="121" t="str">
        <f t="shared" si="105"/>
        <v xml:space="preserve"> </v>
      </c>
      <c r="AU209" s="121" t="str">
        <f t="shared" si="105"/>
        <v xml:space="preserve"> </v>
      </c>
      <c r="AV209" s="121" t="str">
        <f t="shared" si="105"/>
        <v xml:space="preserve"> </v>
      </c>
      <c r="AW209" s="130" t="str">
        <f t="shared" si="106"/>
        <v>100</v>
      </c>
      <c r="AX209" s="130" t="str">
        <f t="shared" si="106"/>
        <v xml:space="preserve"> </v>
      </c>
      <c r="AY209" s="130" t="str">
        <f t="shared" si="106"/>
        <v xml:space="preserve"> </v>
      </c>
      <c r="AZ209" s="130" t="str">
        <f t="shared" si="106"/>
        <v xml:space="preserve"> </v>
      </c>
      <c r="BA209" s="121">
        <f t="shared" si="120"/>
        <v>966745.32305925852</v>
      </c>
      <c r="BB209" s="121">
        <f t="shared" si="121"/>
        <v>0</v>
      </c>
      <c r="BC209" s="121">
        <f t="shared" si="122"/>
        <v>0</v>
      </c>
      <c r="BD209" s="121">
        <f t="shared" si="123"/>
        <v>0</v>
      </c>
      <c r="BE209" s="121">
        <f t="shared" si="124"/>
        <v>0</v>
      </c>
      <c r="BF209" s="121">
        <f t="shared" si="125"/>
        <v>0</v>
      </c>
      <c r="BG209" s="121">
        <f t="shared" si="126"/>
        <v>0</v>
      </c>
      <c r="BH209" s="121">
        <f t="shared" si="127"/>
        <v>0</v>
      </c>
      <c r="BI209" s="121">
        <f t="shared" si="128"/>
        <v>966745.32305925852</v>
      </c>
      <c r="BJ209" s="121">
        <f t="shared" si="129"/>
        <v>966745.32305925852</v>
      </c>
      <c r="BK209" s="121">
        <f t="shared" si="130"/>
        <v>966745.32305925852</v>
      </c>
      <c r="BL209" s="121">
        <f t="shared" si="131"/>
        <v>966745.32305925852</v>
      </c>
      <c r="BM209" s="121">
        <f t="shared" si="132"/>
        <v>0</v>
      </c>
      <c r="BN209" s="121">
        <f t="shared" si="133"/>
        <v>0</v>
      </c>
      <c r="BO209" s="121">
        <f t="shared" si="134"/>
        <v>0</v>
      </c>
      <c r="BP209" s="121">
        <f t="shared" si="135"/>
        <v>0</v>
      </c>
      <c r="BQ209" s="199">
        <f>INDEX('GDP deflators'!$C$6:$M$36,MATCH('Bottom-up tagging'!$D209,'GDP deflators'!$B$6:$B$36,),MATCH('Bottom-up tagging'!$E209,'GDP deflators'!$C$5:$L$5,))/100</f>
        <v>1.5515978864560327</v>
      </c>
      <c r="BR209" s="24">
        <v>1500000</v>
      </c>
    </row>
    <row r="210" spans="2:70" ht="26.15" hidden="1" customHeight="1">
      <c r="B210" s="110" t="s">
        <v>897</v>
      </c>
      <c r="C210" s="110" t="s">
        <v>903</v>
      </c>
      <c r="D210" s="110" t="s">
        <v>3994</v>
      </c>
      <c r="E210" s="103">
        <v>2017</v>
      </c>
      <c r="F210" s="108" t="s">
        <v>8506</v>
      </c>
      <c r="G210" s="111" t="s">
        <v>34</v>
      </c>
      <c r="H210" s="110" t="s">
        <v>10451</v>
      </c>
      <c r="I210" s="112">
        <f>IF(Dashboard!$B$16="Current USD",'Bottom-up tagging'!BR210,'Bottom-up tagging'!BR210/'Bottom-up tagging'!BQ210)</f>
        <v>1062993.1111619517</v>
      </c>
      <c r="J210" s="118" t="s">
        <v>10474</v>
      </c>
      <c r="K210" s="112"/>
      <c r="L210" s="135">
        <v>1</v>
      </c>
      <c r="M210" s="135">
        <v>1</v>
      </c>
      <c r="N210" s="112"/>
      <c r="O210" s="112"/>
      <c r="P210" s="112" t="str">
        <f>VLOOKUP(B210, 'Companies covered restructured'!$B$7:$K$470, 9, FALSE)</f>
        <v>AI/analytics based advisory algorithms (incl. weather)</v>
      </c>
      <c r="Q210" s="112" t="str">
        <f>VLOOKUP(B210, 'Companies covered restructured'!$B$7:$K$470, 6, FALSE)</f>
        <v>#Crops(100)</v>
      </c>
      <c r="R210" s="112" t="str">
        <f t="shared" si="107"/>
        <v>#Angel Investor(100)</v>
      </c>
      <c r="S210" s="112" t="s">
        <v>11003</v>
      </c>
      <c r="T210" s="112" t="s">
        <v>10466</v>
      </c>
      <c r="U210" s="103" t="s">
        <v>10970</v>
      </c>
      <c r="V210" s="112" t="str">
        <f>VLOOKUP(P210, 'Bottom-up Tagging Assumptions'!$B$12:$F$39, 5, FALSE)</f>
        <v>#Science &amp; tech(100)</v>
      </c>
      <c r="W210" s="112" t="str">
        <f>VLOOKUP(B210, 'Companies covered restructured'!$B$7:$K$470, 7, FALSE)</f>
        <v>N/A</v>
      </c>
      <c r="X210" s="112" t="str">
        <f>VLOOKUP(B210, 'Companies covered restructured'!$B$7:$K$470, 8, FALSE)</f>
        <v>N/A</v>
      </c>
      <c r="Y210" s="212" t="str">
        <f>VLOOKUP(P210, 'Bottom-up Tagging Assumptions'!$B$12:$C$56, 2, FALSE)</f>
        <v>#Other Economic(P); #Productivity(S)</v>
      </c>
      <c r="Z210" s="112" t="str">
        <f>VLOOKUP(P210, 'Bottom-up Tagging Assumptions'!$B$12:$F$56, 3, FALSE)</f>
        <v>#Increasing output per unit input(P); #Increasing crop or animal yield(S)</v>
      </c>
      <c r="AA210" s="112" t="str">
        <f>VLOOKUP(P210, 'Bottom-up Tagging Assumptions'!$B$12:$F$56, 4, FALSE)</f>
        <v>#Level 1(100)</v>
      </c>
      <c r="AB210" s="110"/>
      <c r="AC210" s="110" t="s">
        <v>2124</v>
      </c>
      <c r="AD210" s="110" t="s">
        <v>2125</v>
      </c>
      <c r="AE210" s="110" t="str">
        <f>VLOOKUP(AD210,  '1.2'!$B$7:$C$2033, 2, FALSE)</f>
        <v>ANGEL</v>
      </c>
      <c r="AF210" s="112"/>
      <c r="AG210" s="110" t="s">
        <v>1993</v>
      </c>
      <c r="AH210" s="121">
        <f t="shared" si="108"/>
        <v>0</v>
      </c>
      <c r="AI210" s="121">
        <f t="shared" si="109"/>
        <v>1</v>
      </c>
      <c r="AJ210" s="121">
        <f t="shared" si="110"/>
        <v>1</v>
      </c>
      <c r="AK210" s="121">
        <f t="shared" si="111"/>
        <v>0</v>
      </c>
      <c r="AL210" s="121">
        <f t="shared" si="112"/>
        <v>0</v>
      </c>
      <c r="AM210" s="121">
        <f t="shared" si="113"/>
        <v>0</v>
      </c>
      <c r="AN210" s="121">
        <f t="shared" si="114"/>
        <v>0</v>
      </c>
      <c r="AO210" s="121">
        <f t="shared" si="115"/>
        <v>0</v>
      </c>
      <c r="AP210" s="22">
        <f t="shared" si="116"/>
        <v>0</v>
      </c>
      <c r="AQ210" s="22">
        <f t="shared" si="117"/>
        <v>0</v>
      </c>
      <c r="AR210" s="22">
        <f t="shared" si="118"/>
        <v>0</v>
      </c>
      <c r="AS210" s="121" t="str">
        <f t="shared" si="119"/>
        <v>Crops</v>
      </c>
      <c r="AT210" s="121" t="str">
        <f t="shared" si="105"/>
        <v xml:space="preserve"> </v>
      </c>
      <c r="AU210" s="121" t="str">
        <f t="shared" si="105"/>
        <v xml:space="preserve"> </v>
      </c>
      <c r="AV210" s="121" t="str">
        <f t="shared" si="105"/>
        <v xml:space="preserve"> </v>
      </c>
      <c r="AW210" s="130" t="str">
        <f t="shared" si="106"/>
        <v>100</v>
      </c>
      <c r="AX210" s="130" t="str">
        <f t="shared" si="106"/>
        <v xml:space="preserve"> </v>
      </c>
      <c r="AY210" s="130" t="str">
        <f t="shared" si="106"/>
        <v xml:space="preserve"> </v>
      </c>
      <c r="AZ210" s="130" t="str">
        <f t="shared" si="106"/>
        <v xml:space="preserve"> </v>
      </c>
      <c r="BA210" s="121">
        <f t="shared" si="120"/>
        <v>1062993.1111619517</v>
      </c>
      <c r="BB210" s="121">
        <f t="shared" si="121"/>
        <v>0</v>
      </c>
      <c r="BC210" s="121">
        <f t="shared" si="122"/>
        <v>0</v>
      </c>
      <c r="BD210" s="121">
        <f t="shared" si="123"/>
        <v>0</v>
      </c>
      <c r="BE210" s="121">
        <f t="shared" si="124"/>
        <v>0</v>
      </c>
      <c r="BF210" s="121">
        <f t="shared" si="125"/>
        <v>0</v>
      </c>
      <c r="BG210" s="121">
        <f t="shared" si="126"/>
        <v>0</v>
      </c>
      <c r="BH210" s="121">
        <f t="shared" si="127"/>
        <v>0</v>
      </c>
      <c r="BI210" s="121">
        <f t="shared" si="128"/>
        <v>0</v>
      </c>
      <c r="BJ210" s="121">
        <f t="shared" si="129"/>
        <v>0</v>
      </c>
      <c r="BK210" s="121">
        <f t="shared" si="130"/>
        <v>0</v>
      </c>
      <c r="BL210" s="121">
        <f t="shared" si="131"/>
        <v>0</v>
      </c>
      <c r="BM210" s="121">
        <f t="shared" si="132"/>
        <v>0</v>
      </c>
      <c r="BN210" s="121">
        <f t="shared" si="133"/>
        <v>0</v>
      </c>
      <c r="BO210" s="121">
        <f t="shared" si="134"/>
        <v>0</v>
      </c>
      <c r="BP210" s="121">
        <f t="shared" si="135"/>
        <v>0</v>
      </c>
      <c r="BQ210" s="199">
        <f>INDEX('GDP deflators'!$C$6:$M$36,MATCH('Bottom-up tagging'!$D210,'GDP deflators'!$B$6:$B$36,),MATCH('Bottom-up tagging'!$E210,'GDP deflators'!$C$5:$L$5,))/100</f>
        <v>1.4111098032990623</v>
      </c>
      <c r="BR210" s="24">
        <v>1500000</v>
      </c>
    </row>
    <row r="211" spans="2:70" ht="26.15" hidden="1" customHeight="1">
      <c r="B211" s="110" t="s">
        <v>160</v>
      </c>
      <c r="C211" s="110" t="s">
        <v>164</v>
      </c>
      <c r="D211" s="110" t="s">
        <v>3994</v>
      </c>
      <c r="E211" s="103">
        <v>2016</v>
      </c>
      <c r="F211" s="108" t="s">
        <v>7497</v>
      </c>
      <c r="G211" s="111" t="s">
        <v>34</v>
      </c>
      <c r="H211" s="110" t="s">
        <v>10451</v>
      </c>
      <c r="I211" s="112">
        <f>IF(Dashboard!$B$16="Current USD",'Bottom-up tagging'!BR211,'Bottom-up tagging'!BR211/'Bottom-up tagging'!BQ211)</f>
        <v>1103154.0444381603</v>
      </c>
      <c r="J211" s="117" t="s">
        <v>10474</v>
      </c>
      <c r="K211" s="112"/>
      <c r="L211" s="135">
        <v>1</v>
      </c>
      <c r="M211" s="135">
        <v>1</v>
      </c>
      <c r="N211" s="112"/>
      <c r="O211" s="112"/>
      <c r="P211" s="112" t="str">
        <f>VLOOKUP(B211, 'Companies covered restructured'!$B$7:$K$470, 9, FALSE)</f>
        <v>Supply chain technologies</v>
      </c>
      <c r="Q211" s="112" t="str">
        <f>VLOOKUP(B211, 'Companies covered restructured'!$B$7:$K$470, 6, FALSE)</f>
        <v>#Crops(100)</v>
      </c>
      <c r="R211" s="112" t="str">
        <f t="shared" si="107"/>
        <v>#Investment Fund(100)</v>
      </c>
      <c r="S211" s="112" t="s">
        <v>11003</v>
      </c>
      <c r="T211" s="112" t="s">
        <v>10466</v>
      </c>
      <c r="U211" s="103" t="s">
        <v>10970</v>
      </c>
      <c r="V211" s="112" t="str">
        <f>VLOOKUP(P211, 'Bottom-up Tagging Assumptions'!$B$12:$F$39, 5, FALSE)</f>
        <v>#Process Innovation(100)</v>
      </c>
      <c r="W211" s="112" t="str">
        <f>VLOOKUP(B211, 'Companies covered restructured'!$B$7:$K$470, 7, FALSE)</f>
        <v>#Farm/Household(100)</v>
      </c>
      <c r="X211" s="112" t="s">
        <v>10558</v>
      </c>
      <c r="Y211" s="212" t="str">
        <f>VLOOKUP(P211, 'Bottom-up Tagging Assumptions'!$B$12:$C$56, 2, FALSE)</f>
        <v>#Other Economic(P); Social(S)</v>
      </c>
      <c r="Z211" s="112" t="str">
        <f>VLOOKUP(P211, 'Bottom-up Tagging Assumptions'!$B$12:$F$56, 3, FALSE)</f>
        <v>#Improve price realization(P)</v>
      </c>
      <c r="AA211" s="112" t="str">
        <f>VLOOKUP(P211, 'Bottom-up Tagging Assumptions'!$B$12:$F$56, 4, FALSE)</f>
        <v>#Level 3(100)</v>
      </c>
      <c r="AB211" s="110" t="s">
        <v>2356</v>
      </c>
      <c r="AC211" s="110" t="s">
        <v>2357</v>
      </c>
      <c r="AD211" s="110" t="s">
        <v>2358</v>
      </c>
      <c r="AE211" s="110" t="str">
        <f>VLOOKUP(AD211,  '1.2'!$B$7:$C$2033, 2, FALSE)</f>
        <v>FUND</v>
      </c>
      <c r="AF211" s="112"/>
      <c r="AG211" s="110" t="s">
        <v>1998</v>
      </c>
      <c r="AH211" s="121">
        <f t="shared" si="108"/>
        <v>0</v>
      </c>
      <c r="AI211" s="121">
        <f t="shared" si="109"/>
        <v>0</v>
      </c>
      <c r="AJ211" s="121">
        <f t="shared" si="110"/>
        <v>1</v>
      </c>
      <c r="AK211" s="121">
        <f t="shared" si="111"/>
        <v>1</v>
      </c>
      <c r="AL211" s="121">
        <f t="shared" si="112"/>
        <v>0</v>
      </c>
      <c r="AM211" s="121">
        <f t="shared" si="113"/>
        <v>0</v>
      </c>
      <c r="AN211" s="121">
        <f t="shared" si="114"/>
        <v>1</v>
      </c>
      <c r="AO211" s="121">
        <f t="shared" si="115"/>
        <v>0</v>
      </c>
      <c r="AP211" s="22">
        <f t="shared" si="116"/>
        <v>0</v>
      </c>
      <c r="AQ211" s="22">
        <f t="shared" si="117"/>
        <v>1103154.0444381603</v>
      </c>
      <c r="AR211" s="22">
        <f t="shared" si="118"/>
        <v>0</v>
      </c>
      <c r="AS211" s="121" t="str">
        <f t="shared" si="119"/>
        <v>Crops</v>
      </c>
      <c r="AT211" s="121" t="str">
        <f t="shared" si="105"/>
        <v xml:space="preserve"> </v>
      </c>
      <c r="AU211" s="121" t="str">
        <f t="shared" si="105"/>
        <v xml:space="preserve"> </v>
      </c>
      <c r="AV211" s="121" t="str">
        <f t="shared" si="105"/>
        <v xml:space="preserve"> </v>
      </c>
      <c r="AW211" s="130" t="str">
        <f t="shared" si="106"/>
        <v>100</v>
      </c>
      <c r="AX211" s="130" t="str">
        <f t="shared" si="106"/>
        <v xml:space="preserve"> </v>
      </c>
      <c r="AY211" s="130" t="str">
        <f t="shared" si="106"/>
        <v xml:space="preserve"> </v>
      </c>
      <c r="AZ211" s="130" t="str">
        <f t="shared" si="106"/>
        <v xml:space="preserve"> </v>
      </c>
      <c r="BA211" s="121">
        <f t="shared" si="120"/>
        <v>1103154.0444381603</v>
      </c>
      <c r="BB211" s="121">
        <f t="shared" si="121"/>
        <v>0</v>
      </c>
      <c r="BC211" s="121">
        <f t="shared" si="122"/>
        <v>0</v>
      </c>
      <c r="BD211" s="121">
        <f t="shared" si="123"/>
        <v>0</v>
      </c>
      <c r="BE211" s="121">
        <f t="shared" si="124"/>
        <v>0</v>
      </c>
      <c r="BF211" s="121">
        <f t="shared" si="125"/>
        <v>0</v>
      </c>
      <c r="BG211" s="121">
        <f t="shared" si="126"/>
        <v>0</v>
      </c>
      <c r="BH211" s="121">
        <f t="shared" si="127"/>
        <v>0</v>
      </c>
      <c r="BI211" s="121">
        <f t="shared" si="128"/>
        <v>1103154.0444381603</v>
      </c>
      <c r="BJ211" s="121">
        <f t="shared" si="129"/>
        <v>1103154.0444381603</v>
      </c>
      <c r="BK211" s="121">
        <f t="shared" si="130"/>
        <v>1103154.0444381603</v>
      </c>
      <c r="BL211" s="121">
        <f t="shared" si="131"/>
        <v>1103154.0444381603</v>
      </c>
      <c r="BM211" s="121">
        <f t="shared" si="132"/>
        <v>0</v>
      </c>
      <c r="BN211" s="121">
        <f t="shared" si="133"/>
        <v>0</v>
      </c>
      <c r="BO211" s="121">
        <f t="shared" si="134"/>
        <v>0</v>
      </c>
      <c r="BP211" s="121">
        <f t="shared" si="135"/>
        <v>0</v>
      </c>
      <c r="BQ211" s="199">
        <f>INDEX('GDP deflators'!$C$6:$M$36,MATCH('Bottom-up tagging'!$D211,'GDP deflators'!$B$6:$B$36,),MATCH('Bottom-up tagging'!$E211,'GDP deflators'!$C$5:$L$5,))/100</f>
        <v>1.3597375702538033</v>
      </c>
      <c r="BR211" s="24">
        <v>1500000</v>
      </c>
    </row>
    <row r="212" spans="2:70" ht="26.15" hidden="1" customHeight="1">
      <c r="B212" s="110" t="s">
        <v>1500</v>
      </c>
      <c r="C212" s="110" t="s">
        <v>1503</v>
      </c>
      <c r="D212" s="110" t="s">
        <v>3994</v>
      </c>
      <c r="E212" s="103">
        <v>2016</v>
      </c>
      <c r="F212" s="108" t="s">
        <v>8610</v>
      </c>
      <c r="G212" s="111" t="s">
        <v>34</v>
      </c>
      <c r="H212" s="110" t="s">
        <v>10451</v>
      </c>
      <c r="I212" s="112">
        <f>IF(Dashboard!$B$16="Current USD",'Bottom-up tagging'!BR212,'Bottom-up tagging'!BR212/'Bottom-up tagging'!BQ212)</f>
        <v>1103154.0444381603</v>
      </c>
      <c r="J212" s="117" t="s">
        <v>10474</v>
      </c>
      <c r="K212" s="112"/>
      <c r="L212" s="135">
        <v>1</v>
      </c>
      <c r="M212" s="135">
        <v>1</v>
      </c>
      <c r="N212" s="112"/>
      <c r="O212" s="112"/>
      <c r="P212" s="112" t="str">
        <f>VLOOKUP(B212, 'Companies covered restructured'!$B$7:$K$470, 9, FALSE)</f>
        <v>AI/analytics based advisory algorithms (incl. weather)</v>
      </c>
      <c r="Q212" s="112" t="str">
        <f>VLOOKUP(B212, 'Companies covered restructured'!$B$7:$K$470, 6, FALSE)</f>
        <v>#Cross-cutting(100)</v>
      </c>
      <c r="R212" s="112" t="str">
        <f t="shared" si="107"/>
        <v>#Corporate(100)</v>
      </c>
      <c r="S212" s="112" t="s">
        <v>11003</v>
      </c>
      <c r="T212" s="112" t="s">
        <v>10466</v>
      </c>
      <c r="U212" s="103" t="s">
        <v>10970</v>
      </c>
      <c r="V212" s="112" t="str">
        <f>VLOOKUP(P212, 'Bottom-up Tagging Assumptions'!$B$12:$F$39, 5, FALSE)</f>
        <v>#Science &amp; tech(100)</v>
      </c>
      <c r="W212" s="112" t="str">
        <f>VLOOKUP(B212, 'Companies covered restructured'!$B$7:$K$470, 7, FALSE)</f>
        <v>N/A</v>
      </c>
      <c r="X212" s="112" t="str">
        <f>VLOOKUP(B212, 'Companies covered restructured'!$B$7:$K$470, 8, FALSE)</f>
        <v>N/A</v>
      </c>
      <c r="Y212" s="212" t="str">
        <f>VLOOKUP(P212, 'Bottom-up Tagging Assumptions'!$B$12:$C$56, 2, FALSE)</f>
        <v>#Other Economic(P); #Productivity(S)</v>
      </c>
      <c r="Z212" s="112" t="str">
        <f>VLOOKUP(P212, 'Bottom-up Tagging Assumptions'!$B$12:$F$56, 3, FALSE)</f>
        <v>#Increasing output per unit input(P); #Increasing crop or animal yield(S)</v>
      </c>
      <c r="AA212" s="112" t="str">
        <f>VLOOKUP(P212, 'Bottom-up Tagging Assumptions'!$B$12:$F$56, 4, FALSE)</f>
        <v>#Level 1(100)</v>
      </c>
      <c r="AB212" s="110" t="s">
        <v>1502</v>
      </c>
      <c r="AC212" s="110"/>
      <c r="AD212" s="110" t="s">
        <v>1407</v>
      </c>
      <c r="AE212" s="110" t="str">
        <f>VLOOKUP(AD212,  '1.2'!$B$7:$C$2033, 2, FALSE)</f>
        <v>CORPORATE_INVESTOR</v>
      </c>
      <c r="AF212" s="112">
        <v>205825</v>
      </c>
      <c r="AG212" s="110" t="s">
        <v>2004</v>
      </c>
      <c r="AH212" s="121">
        <f t="shared" si="108"/>
        <v>0</v>
      </c>
      <c r="AI212" s="121">
        <f t="shared" si="109"/>
        <v>1</v>
      </c>
      <c r="AJ212" s="121">
        <f t="shared" si="110"/>
        <v>1</v>
      </c>
      <c r="AK212" s="121">
        <f t="shared" si="111"/>
        <v>0</v>
      </c>
      <c r="AL212" s="121">
        <f t="shared" si="112"/>
        <v>0</v>
      </c>
      <c r="AM212" s="121">
        <f t="shared" si="113"/>
        <v>0</v>
      </c>
      <c r="AN212" s="121">
        <f t="shared" si="114"/>
        <v>0</v>
      </c>
      <c r="AO212" s="121">
        <f t="shared" si="115"/>
        <v>0</v>
      </c>
      <c r="AP212" s="22">
        <f t="shared" si="116"/>
        <v>0</v>
      </c>
      <c r="AQ212" s="22">
        <f t="shared" si="117"/>
        <v>0</v>
      </c>
      <c r="AR212" s="22">
        <f t="shared" si="118"/>
        <v>0</v>
      </c>
      <c r="AS212" s="121" t="str">
        <f t="shared" si="119"/>
        <v>Cross-cutting</v>
      </c>
      <c r="AT212" s="121" t="str">
        <f t="shared" ref="AT212:AV231" si="136">IFERROR(IFERROR(MID($Q212,FIND("~",SUBSTITUTE($Q212,";","~",AT$10-1))+3,(FIND("~",SUBSTITUTE($Q212,";","~",AT$10))+0-(FIND("~",SUBSTITUTE($Q212,";","~",AT$10-1))+2))-6),MID($Q212,FIND("~",SUBSTITUTE($Q212,";","~",AT$10-1))+3,(LEN($Q212)-6-FIND("~",SUBSTITUTE($Q212,";","~",AT$10-1))-1)))," ")</f>
        <v xml:space="preserve"> </v>
      </c>
      <c r="AU212" s="121" t="str">
        <f t="shared" si="136"/>
        <v xml:space="preserve"> </v>
      </c>
      <c r="AV212" s="121" t="str">
        <f t="shared" si="136"/>
        <v xml:space="preserve"> </v>
      </c>
      <c r="AW212" s="130" t="str">
        <f t="shared" ref="AW212:AZ231" si="137">IFERROR(MID($Q212,FIND("~",SUBSTITUTE($Q212,"(","~",AW$10))+1,3)," ")</f>
        <v>100</v>
      </c>
      <c r="AX212" s="130" t="str">
        <f t="shared" si="137"/>
        <v xml:space="preserve"> </v>
      </c>
      <c r="AY212" s="130" t="str">
        <f t="shared" si="137"/>
        <v xml:space="preserve"> </v>
      </c>
      <c r="AZ212" s="130" t="str">
        <f t="shared" si="137"/>
        <v xml:space="preserve"> </v>
      </c>
      <c r="BA212" s="121">
        <f t="shared" si="120"/>
        <v>1103154.0444381603</v>
      </c>
      <c r="BB212" s="121">
        <f t="shared" si="121"/>
        <v>0</v>
      </c>
      <c r="BC212" s="121">
        <f t="shared" si="122"/>
        <v>0</v>
      </c>
      <c r="BD212" s="121">
        <f t="shared" si="123"/>
        <v>0</v>
      </c>
      <c r="BE212" s="121">
        <f t="shared" si="124"/>
        <v>0</v>
      </c>
      <c r="BF212" s="121">
        <f t="shared" si="125"/>
        <v>0</v>
      </c>
      <c r="BG212" s="121">
        <f t="shared" si="126"/>
        <v>0</v>
      </c>
      <c r="BH212" s="121">
        <f t="shared" si="127"/>
        <v>0</v>
      </c>
      <c r="BI212" s="121">
        <f t="shared" si="128"/>
        <v>0</v>
      </c>
      <c r="BJ212" s="121">
        <f t="shared" si="129"/>
        <v>0</v>
      </c>
      <c r="BK212" s="121">
        <f t="shared" si="130"/>
        <v>0</v>
      </c>
      <c r="BL212" s="121">
        <f t="shared" si="131"/>
        <v>0</v>
      </c>
      <c r="BM212" s="121">
        <f t="shared" si="132"/>
        <v>0</v>
      </c>
      <c r="BN212" s="121">
        <f t="shared" si="133"/>
        <v>0</v>
      </c>
      <c r="BO212" s="121">
        <f t="shared" si="134"/>
        <v>0</v>
      </c>
      <c r="BP212" s="121">
        <f t="shared" si="135"/>
        <v>0</v>
      </c>
      <c r="BQ212" s="199">
        <f>INDEX('GDP deflators'!$C$6:$M$36,MATCH('Bottom-up tagging'!$D212,'GDP deflators'!$B$6:$B$36,),MATCH('Bottom-up tagging'!$E212,'GDP deflators'!$C$5:$L$5,))/100</f>
        <v>1.3597375702538033</v>
      </c>
      <c r="BR212" s="24">
        <v>1500000</v>
      </c>
    </row>
    <row r="213" spans="2:70" ht="26.15" hidden="1" customHeight="1">
      <c r="B213" s="110" t="s">
        <v>2732</v>
      </c>
      <c r="C213" s="110" t="s">
        <v>2734</v>
      </c>
      <c r="D213" s="110" t="s">
        <v>2057</v>
      </c>
      <c r="E213" s="103">
        <v>2015</v>
      </c>
      <c r="F213" s="108" t="s">
        <v>8991</v>
      </c>
      <c r="G213" s="111" t="s">
        <v>124</v>
      </c>
      <c r="H213" s="110" t="s">
        <v>10451</v>
      </c>
      <c r="I213" s="112">
        <f>IF(Dashboard!$B$16="Current USD",'Bottom-up tagging'!BR213,'Bottom-up tagging'!BR213/'Bottom-up tagging'!BQ213)</f>
        <v>1314040.2632323594</v>
      </c>
      <c r="J213" s="117" t="s">
        <v>10474</v>
      </c>
      <c r="K213" s="112"/>
      <c r="L213" s="135">
        <v>1</v>
      </c>
      <c r="M213" s="135">
        <v>1</v>
      </c>
      <c r="N213" s="112"/>
      <c r="O213" s="112"/>
      <c r="P213" s="112" t="str">
        <f>VLOOKUP(B213, 'Companies covered restructured'!$B$7:$K$470, 9, FALSE)</f>
        <v>Agri input e-commerce platforms</v>
      </c>
      <c r="Q213" s="112" t="str">
        <f>VLOOKUP(B213, 'Companies covered restructured'!$B$7:$K$470, 6, FALSE)</f>
        <v>#Livestock(100)</v>
      </c>
      <c r="R213" s="112" t="str">
        <f t="shared" si="107"/>
        <v>N/A</v>
      </c>
      <c r="S213" s="112" t="s">
        <v>11003</v>
      </c>
      <c r="T213" s="112" t="s">
        <v>10466</v>
      </c>
      <c r="U213" s="103" t="s">
        <v>10970</v>
      </c>
      <c r="V213" s="112" t="str">
        <f>VLOOKUP(P213, 'Bottom-up Tagging Assumptions'!$B$12:$F$39, 5, FALSE)</f>
        <v>#Process Innovation(100)</v>
      </c>
      <c r="W213" s="112" t="str">
        <f>VLOOKUP(B213, 'Companies covered restructured'!$B$7:$K$470, 7, FALSE)</f>
        <v>#Field/Animal Herd(100)</v>
      </c>
      <c r="X213" s="112" t="str">
        <f>VLOOKUP(B213, 'Companies covered restructured'!$B$7:$K$470, 8, FALSE)</f>
        <v>N/A</v>
      </c>
      <c r="Y213" s="212" t="str">
        <f>VLOOKUP(P213, 'Bottom-up Tagging Assumptions'!$B$12:$C$56, 2, FALSE)</f>
        <v>#Other Economic(P); Productivity(S)</v>
      </c>
      <c r="Z213" s="112" t="str">
        <f>VLOOKUP(P213, 'Bottom-up Tagging Assumptions'!$B$12:$F$56, 3, FALSE)</f>
        <v>#Reduce cost of inputs(P)</v>
      </c>
      <c r="AA213" s="112" t="str">
        <f>VLOOKUP(P213, 'Bottom-up Tagging Assumptions'!$B$12:$F$56, 4, FALSE)</f>
        <v>#Level 1(100)</v>
      </c>
      <c r="AB213" s="110"/>
      <c r="AC213" s="110"/>
      <c r="AD213" s="110"/>
      <c r="AE213" s="110" t="s">
        <v>10558</v>
      </c>
      <c r="AF213" s="112"/>
      <c r="AG213" s="110" t="s">
        <v>2010</v>
      </c>
      <c r="AH213" s="121">
        <f t="shared" si="108"/>
        <v>0</v>
      </c>
      <c r="AI213" s="121">
        <f t="shared" si="109"/>
        <v>1</v>
      </c>
      <c r="AJ213" s="121">
        <f t="shared" si="110"/>
        <v>1</v>
      </c>
      <c r="AK213" s="121">
        <f t="shared" si="111"/>
        <v>0</v>
      </c>
      <c r="AL213" s="121">
        <f t="shared" si="112"/>
        <v>0</v>
      </c>
      <c r="AM213" s="121">
        <f t="shared" si="113"/>
        <v>0</v>
      </c>
      <c r="AN213" s="121">
        <f t="shared" si="114"/>
        <v>0</v>
      </c>
      <c r="AO213" s="121">
        <f t="shared" si="115"/>
        <v>0</v>
      </c>
      <c r="AP213" s="22">
        <f t="shared" si="116"/>
        <v>0</v>
      </c>
      <c r="AQ213" s="22">
        <f t="shared" si="117"/>
        <v>0</v>
      </c>
      <c r="AR213" s="22">
        <f t="shared" si="118"/>
        <v>0</v>
      </c>
      <c r="AS213" s="121" t="str">
        <f t="shared" si="119"/>
        <v>Livestock</v>
      </c>
      <c r="AT213" s="121" t="str">
        <f t="shared" si="136"/>
        <v xml:space="preserve"> </v>
      </c>
      <c r="AU213" s="121" t="str">
        <f t="shared" si="136"/>
        <v xml:space="preserve"> </v>
      </c>
      <c r="AV213" s="121" t="str">
        <f t="shared" si="136"/>
        <v xml:space="preserve"> </v>
      </c>
      <c r="AW213" s="130" t="str">
        <f t="shared" si="137"/>
        <v>100</v>
      </c>
      <c r="AX213" s="130" t="str">
        <f t="shared" si="137"/>
        <v xml:space="preserve"> </v>
      </c>
      <c r="AY213" s="130" t="str">
        <f t="shared" si="137"/>
        <v xml:space="preserve"> </v>
      </c>
      <c r="AZ213" s="130" t="str">
        <f t="shared" si="137"/>
        <v xml:space="preserve"> </v>
      </c>
      <c r="BA213" s="121">
        <f t="shared" si="120"/>
        <v>1314040.2632323594</v>
      </c>
      <c r="BB213" s="121">
        <f t="shared" si="121"/>
        <v>0</v>
      </c>
      <c r="BC213" s="121">
        <f t="shared" si="122"/>
        <v>0</v>
      </c>
      <c r="BD213" s="121">
        <f t="shared" si="123"/>
        <v>0</v>
      </c>
      <c r="BE213" s="121">
        <f t="shared" si="124"/>
        <v>0</v>
      </c>
      <c r="BF213" s="121">
        <f t="shared" si="125"/>
        <v>0</v>
      </c>
      <c r="BG213" s="121">
        <f t="shared" si="126"/>
        <v>0</v>
      </c>
      <c r="BH213" s="121">
        <f t="shared" si="127"/>
        <v>0</v>
      </c>
      <c r="BI213" s="121">
        <f t="shared" si="128"/>
        <v>0</v>
      </c>
      <c r="BJ213" s="121">
        <f t="shared" si="129"/>
        <v>0</v>
      </c>
      <c r="BK213" s="121">
        <f t="shared" si="130"/>
        <v>0</v>
      </c>
      <c r="BL213" s="121">
        <f t="shared" si="131"/>
        <v>0</v>
      </c>
      <c r="BM213" s="121">
        <f t="shared" si="132"/>
        <v>0</v>
      </c>
      <c r="BN213" s="121">
        <f t="shared" si="133"/>
        <v>0</v>
      </c>
      <c r="BO213" s="121">
        <f t="shared" si="134"/>
        <v>0</v>
      </c>
      <c r="BP213" s="121">
        <f t="shared" si="135"/>
        <v>0</v>
      </c>
      <c r="BQ213" s="199">
        <f>INDEX('GDP deflators'!$C$6:$M$36,MATCH('Bottom-up tagging'!$D213,'GDP deflators'!$B$6:$B$36,),MATCH('Bottom-up tagging'!$E213,'GDP deflators'!$C$5:$L$5,))/100</f>
        <v>1.1415175333442258</v>
      </c>
      <c r="BR213" s="24">
        <v>1500000</v>
      </c>
    </row>
    <row r="214" spans="2:70" ht="26.15" hidden="1" customHeight="1">
      <c r="B214" s="110" t="s">
        <v>2319</v>
      </c>
      <c r="C214" s="110" t="s">
        <v>2322</v>
      </c>
      <c r="D214" s="110" t="s">
        <v>5524</v>
      </c>
      <c r="E214" s="103">
        <v>2014</v>
      </c>
      <c r="F214" s="108" t="s">
        <v>10232</v>
      </c>
      <c r="G214" s="111" t="s">
        <v>34</v>
      </c>
      <c r="H214" s="110" t="s">
        <v>10451</v>
      </c>
      <c r="I214" s="112">
        <f>IF(Dashboard!$B$16="Current USD",'Bottom-up tagging'!BR214,'Bottom-up tagging'!BR214/'Bottom-up tagging'!BQ214)</f>
        <v>611554.61158157233</v>
      </c>
      <c r="J214" s="117" t="s">
        <v>10474</v>
      </c>
      <c r="K214" s="112"/>
      <c r="L214" s="135">
        <v>1</v>
      </c>
      <c r="M214" s="135">
        <v>1</v>
      </c>
      <c r="N214" s="112"/>
      <c r="O214" s="112"/>
      <c r="P214" s="112" t="str">
        <f>VLOOKUP(B214, 'Companies covered restructured'!$B$7:$K$470, 9, FALSE)</f>
        <v>Farmer engagement platforms (including marketplaces and information platforms)</v>
      </c>
      <c r="Q214" s="112" t="str">
        <f>VLOOKUP(B214, 'Companies covered restructured'!$B$7:$K$470, 6, FALSE)</f>
        <v>#Crops(100)</v>
      </c>
      <c r="R214" s="112" t="str">
        <f t="shared" si="107"/>
        <v>#Investment Fund(100)</v>
      </c>
      <c r="S214" s="112" t="s">
        <v>11003</v>
      </c>
      <c r="T214" s="112" t="s">
        <v>10466</v>
      </c>
      <c r="U214" s="103" t="s">
        <v>10970</v>
      </c>
      <c r="V214" s="112" t="str">
        <f>VLOOKUP(P214, 'Bottom-up Tagging Assumptions'!$B$12:$F$39, 5, FALSE)</f>
        <v>#Process Innovation(100)</v>
      </c>
      <c r="W214" s="112" t="str">
        <f>VLOOKUP(B214, 'Companies covered restructured'!$B$7:$K$470, 7, FALSE)</f>
        <v>#Farm/Household(100)</v>
      </c>
      <c r="X214" s="112" t="str">
        <f>VLOOKUP(B214, 'Companies covered restructured'!$B$7:$K$470, 8, FALSE)</f>
        <v>#Small(100)</v>
      </c>
      <c r="Y214" s="212" t="str">
        <f>VLOOKUP(P214, 'Bottom-up Tagging Assumptions'!$B$12:$C$56, 2, FALSE)</f>
        <v>#Other Economic(P); #Productivity(S)</v>
      </c>
      <c r="Z214" s="112" t="str">
        <f>VLOOKUP(P214, 'Bottom-up Tagging Assumptions'!$B$12:$F$56, 3, FALSE)</f>
        <v>#Improve price realization(P); #Increasing crop or animal yield(S)</v>
      </c>
      <c r="AA214" s="112" t="str">
        <f>VLOOKUP(P214, 'Bottom-up Tagging Assumptions'!$B$12:$F$56, 4, FALSE)</f>
        <v>#Level 4(100)</v>
      </c>
      <c r="AB214" s="110" t="s">
        <v>2897</v>
      </c>
      <c r="AC214" s="110"/>
      <c r="AD214" s="110" t="s">
        <v>2898</v>
      </c>
      <c r="AE214" s="110" t="s">
        <v>3114</v>
      </c>
      <c r="AF214" s="112">
        <v>100000</v>
      </c>
      <c r="AG214" s="110" t="s">
        <v>1097</v>
      </c>
      <c r="AH214" s="121">
        <f t="shared" si="108"/>
        <v>0</v>
      </c>
      <c r="AI214" s="121">
        <f t="shared" si="109"/>
        <v>1</v>
      </c>
      <c r="AJ214" s="121">
        <f t="shared" si="110"/>
        <v>1</v>
      </c>
      <c r="AK214" s="121">
        <f t="shared" si="111"/>
        <v>0</v>
      </c>
      <c r="AL214" s="121">
        <f t="shared" si="112"/>
        <v>0</v>
      </c>
      <c r="AM214" s="121">
        <f t="shared" si="113"/>
        <v>0</v>
      </c>
      <c r="AN214" s="121">
        <f t="shared" si="114"/>
        <v>0</v>
      </c>
      <c r="AO214" s="121">
        <f t="shared" si="115"/>
        <v>0</v>
      </c>
      <c r="AP214" s="22">
        <f t="shared" si="116"/>
        <v>0</v>
      </c>
      <c r="AQ214" s="22">
        <f t="shared" si="117"/>
        <v>0</v>
      </c>
      <c r="AR214" s="22">
        <f t="shared" si="118"/>
        <v>0</v>
      </c>
      <c r="AS214" s="121" t="str">
        <f t="shared" si="119"/>
        <v>Crops</v>
      </c>
      <c r="AT214" s="121" t="str">
        <f t="shared" si="136"/>
        <v xml:space="preserve"> </v>
      </c>
      <c r="AU214" s="121" t="str">
        <f t="shared" si="136"/>
        <v xml:space="preserve"> </v>
      </c>
      <c r="AV214" s="121" t="str">
        <f t="shared" si="136"/>
        <v xml:space="preserve"> </v>
      </c>
      <c r="AW214" s="130" t="str">
        <f t="shared" si="137"/>
        <v>100</v>
      </c>
      <c r="AX214" s="130" t="str">
        <f t="shared" si="137"/>
        <v xml:space="preserve"> </v>
      </c>
      <c r="AY214" s="130" t="str">
        <f t="shared" si="137"/>
        <v xml:space="preserve"> </v>
      </c>
      <c r="AZ214" s="130" t="str">
        <f t="shared" si="137"/>
        <v xml:space="preserve"> </v>
      </c>
      <c r="BA214" s="121">
        <f t="shared" si="120"/>
        <v>611554.61158157233</v>
      </c>
      <c r="BB214" s="121">
        <f t="shared" si="121"/>
        <v>0</v>
      </c>
      <c r="BC214" s="121">
        <f t="shared" si="122"/>
        <v>0</v>
      </c>
      <c r="BD214" s="121">
        <f t="shared" si="123"/>
        <v>0</v>
      </c>
      <c r="BE214" s="121">
        <f t="shared" si="124"/>
        <v>0</v>
      </c>
      <c r="BF214" s="121">
        <f t="shared" si="125"/>
        <v>0</v>
      </c>
      <c r="BG214" s="121">
        <f t="shared" si="126"/>
        <v>0</v>
      </c>
      <c r="BH214" s="121">
        <f t="shared" si="127"/>
        <v>0</v>
      </c>
      <c r="BI214" s="121">
        <f t="shared" si="128"/>
        <v>0</v>
      </c>
      <c r="BJ214" s="121">
        <f t="shared" si="129"/>
        <v>0</v>
      </c>
      <c r="BK214" s="121">
        <f t="shared" si="130"/>
        <v>0</v>
      </c>
      <c r="BL214" s="121">
        <f t="shared" si="131"/>
        <v>0</v>
      </c>
      <c r="BM214" s="121">
        <f t="shared" si="132"/>
        <v>0</v>
      </c>
      <c r="BN214" s="121">
        <f t="shared" si="133"/>
        <v>0</v>
      </c>
      <c r="BO214" s="121">
        <f t="shared" si="134"/>
        <v>0</v>
      </c>
      <c r="BP214" s="121">
        <f t="shared" si="135"/>
        <v>0</v>
      </c>
      <c r="BQ214" s="199">
        <f>INDEX('GDP deflators'!$C$6:$M$36,MATCH('Bottom-up tagging'!$D214,'GDP deflators'!$B$6:$B$36,),MATCH('Bottom-up tagging'!$E214,'GDP deflators'!$C$5:$L$5,))/100</f>
        <v>2.4527654139027324</v>
      </c>
      <c r="BR214" s="24">
        <v>1500000</v>
      </c>
    </row>
    <row r="215" spans="2:70" ht="26.15" hidden="1" customHeight="1">
      <c r="B215" s="110" t="s">
        <v>2901</v>
      </c>
      <c r="C215" s="110" t="s">
        <v>2903</v>
      </c>
      <c r="D215" s="110" t="s">
        <v>3994</v>
      </c>
      <c r="E215" s="103">
        <v>2014</v>
      </c>
      <c r="F215" s="108" t="s">
        <v>10371</v>
      </c>
      <c r="G215" s="111" t="s">
        <v>124</v>
      </c>
      <c r="H215" s="110" t="s">
        <v>10451</v>
      </c>
      <c r="I215" s="112">
        <f>IF(Dashboard!$B$16="Current USD",'Bottom-up tagging'!BR215,'Bottom-up tagging'!BR215/'Bottom-up tagging'!BQ215)</f>
        <v>1164835.5288461943</v>
      </c>
      <c r="J215" s="118" t="s">
        <v>10474</v>
      </c>
      <c r="K215" s="112"/>
      <c r="L215" s="135">
        <v>1</v>
      </c>
      <c r="M215" s="135">
        <v>1</v>
      </c>
      <c r="N215" s="112"/>
      <c r="O215" s="112"/>
      <c r="P215" s="112" t="str">
        <f>VLOOKUP(B215, 'Companies covered restructured'!$B$7:$K$470, 9, FALSE)</f>
        <v>Agri marketplaces</v>
      </c>
      <c r="Q215" s="112" t="str">
        <f>VLOOKUP(B215, 'Companies covered restructured'!$B$7:$K$470, 6, FALSE)</f>
        <v>#Crops(100)</v>
      </c>
      <c r="R215" s="112" t="str">
        <f t="shared" si="107"/>
        <v>N/A</v>
      </c>
      <c r="S215" s="112" t="s">
        <v>11003</v>
      </c>
      <c r="T215" s="112" t="s">
        <v>10466</v>
      </c>
      <c r="U215" s="103" t="s">
        <v>10970</v>
      </c>
      <c r="V215" s="112" t="str">
        <f>VLOOKUP(P215, 'Bottom-up Tagging Assumptions'!$B$12:$F$39, 5, FALSE)</f>
        <v>#Process Innovation(100)</v>
      </c>
      <c r="W215" s="112" t="str">
        <f>VLOOKUP(B215, 'Companies covered restructured'!$B$7:$K$470, 7, FALSE)</f>
        <v>#Farm/Household(100)</v>
      </c>
      <c r="X215" s="112" t="str">
        <f>VLOOKUP(B215, 'Companies covered restructured'!$B$7:$K$470, 8, FALSE)</f>
        <v>N/A</v>
      </c>
      <c r="Y215" s="212" t="str">
        <f>VLOOKUP(P215, 'Bottom-up Tagging Assumptions'!$B$12:$C$56, 2, FALSE)</f>
        <v>#Other Economic(P); Social(S)</v>
      </c>
      <c r="Z215" s="112" t="str">
        <f>VLOOKUP(P215, 'Bottom-up Tagging Assumptions'!$B$12:$F$56, 3, FALSE)</f>
        <v>#Improve price realization(P)</v>
      </c>
      <c r="AA215" s="112" t="str">
        <f>VLOOKUP(P215, 'Bottom-up Tagging Assumptions'!$B$12:$F$56, 4, FALSE)</f>
        <v>#Level 4(100)</v>
      </c>
      <c r="AB215" s="110"/>
      <c r="AC215" s="110"/>
      <c r="AD215" s="110"/>
      <c r="AE215" s="110" t="s">
        <v>10558</v>
      </c>
      <c r="AF215" s="112">
        <v>14634837</v>
      </c>
      <c r="AG215" s="110" t="s">
        <v>1119</v>
      </c>
      <c r="AH215" s="121">
        <f t="shared" si="108"/>
        <v>0</v>
      </c>
      <c r="AI215" s="121">
        <f t="shared" si="109"/>
        <v>0</v>
      </c>
      <c r="AJ215" s="121">
        <f t="shared" si="110"/>
        <v>1</v>
      </c>
      <c r="AK215" s="121">
        <f t="shared" si="111"/>
        <v>1</v>
      </c>
      <c r="AL215" s="121">
        <f t="shared" si="112"/>
        <v>0</v>
      </c>
      <c r="AM215" s="121">
        <f t="shared" si="113"/>
        <v>0</v>
      </c>
      <c r="AN215" s="121">
        <f t="shared" si="114"/>
        <v>1</v>
      </c>
      <c r="AO215" s="121">
        <f t="shared" si="115"/>
        <v>0</v>
      </c>
      <c r="AP215" s="22">
        <f t="shared" si="116"/>
        <v>0</v>
      </c>
      <c r="AQ215" s="22">
        <f t="shared" si="117"/>
        <v>1164835.5288461943</v>
      </c>
      <c r="AR215" s="22">
        <f t="shared" si="118"/>
        <v>0</v>
      </c>
      <c r="AS215" s="121" t="str">
        <f t="shared" si="119"/>
        <v>Crops</v>
      </c>
      <c r="AT215" s="121" t="str">
        <f t="shared" si="136"/>
        <v xml:space="preserve"> </v>
      </c>
      <c r="AU215" s="121" t="str">
        <f t="shared" si="136"/>
        <v xml:space="preserve"> </v>
      </c>
      <c r="AV215" s="121" t="str">
        <f t="shared" si="136"/>
        <v xml:space="preserve"> </v>
      </c>
      <c r="AW215" s="130" t="str">
        <f t="shared" si="137"/>
        <v>100</v>
      </c>
      <c r="AX215" s="130" t="str">
        <f t="shared" si="137"/>
        <v xml:space="preserve"> </v>
      </c>
      <c r="AY215" s="130" t="str">
        <f t="shared" si="137"/>
        <v xml:space="preserve"> </v>
      </c>
      <c r="AZ215" s="130" t="str">
        <f t="shared" si="137"/>
        <v xml:space="preserve"> </v>
      </c>
      <c r="BA215" s="121">
        <f t="shared" si="120"/>
        <v>1164835.5288461943</v>
      </c>
      <c r="BB215" s="121">
        <f t="shared" si="121"/>
        <v>0</v>
      </c>
      <c r="BC215" s="121">
        <f t="shared" si="122"/>
        <v>0</v>
      </c>
      <c r="BD215" s="121">
        <f t="shared" si="123"/>
        <v>0</v>
      </c>
      <c r="BE215" s="121">
        <f t="shared" si="124"/>
        <v>0</v>
      </c>
      <c r="BF215" s="121">
        <f t="shared" si="125"/>
        <v>0</v>
      </c>
      <c r="BG215" s="121">
        <f t="shared" si="126"/>
        <v>0</v>
      </c>
      <c r="BH215" s="121">
        <f t="shared" si="127"/>
        <v>0</v>
      </c>
      <c r="BI215" s="121">
        <f t="shared" si="128"/>
        <v>1164835.5288461943</v>
      </c>
      <c r="BJ215" s="121">
        <f t="shared" si="129"/>
        <v>1164835.5288461943</v>
      </c>
      <c r="BK215" s="121">
        <f t="shared" si="130"/>
        <v>1164835.5288461943</v>
      </c>
      <c r="BL215" s="121">
        <f t="shared" si="131"/>
        <v>1164835.5288461943</v>
      </c>
      <c r="BM215" s="121">
        <f t="shared" si="132"/>
        <v>0</v>
      </c>
      <c r="BN215" s="121">
        <f t="shared" si="133"/>
        <v>0</v>
      </c>
      <c r="BO215" s="121">
        <f t="shared" si="134"/>
        <v>0</v>
      </c>
      <c r="BP215" s="121">
        <f t="shared" si="135"/>
        <v>0</v>
      </c>
      <c r="BQ215" s="199">
        <f>INDEX('GDP deflators'!$C$6:$M$36,MATCH('Bottom-up tagging'!$D215,'GDP deflators'!$B$6:$B$36,),MATCH('Bottom-up tagging'!$E215,'GDP deflators'!$C$5:$L$5,))/100</f>
        <v>1.2877354466392321</v>
      </c>
      <c r="BR215" s="24">
        <v>1500000</v>
      </c>
    </row>
    <row r="216" spans="2:70" ht="26.15" customHeight="1">
      <c r="B216" s="110" t="s">
        <v>2993</v>
      </c>
      <c r="C216" s="110" t="s">
        <v>2995</v>
      </c>
      <c r="D216" s="110" t="s">
        <v>5391</v>
      </c>
      <c r="E216" s="103">
        <v>2012</v>
      </c>
      <c r="F216" s="108" t="s">
        <v>10009</v>
      </c>
      <c r="G216" s="111" t="s">
        <v>109</v>
      </c>
      <c r="H216" s="110" t="s">
        <v>10451</v>
      </c>
      <c r="I216" s="112">
        <f>IF(Dashboard!$B$16="Current USD",'Bottom-up tagging'!BR216,'Bottom-up tagging'!BR216/'Bottom-up tagging'!BQ216)</f>
        <v>1237765.2136678048</v>
      </c>
      <c r="J216" s="117" t="s">
        <v>10474</v>
      </c>
      <c r="K216" s="112"/>
      <c r="L216" s="135">
        <v>1</v>
      </c>
      <c r="M216" s="135">
        <v>1</v>
      </c>
      <c r="N216" s="112"/>
      <c r="O216" s="112"/>
      <c r="P216" s="112" t="str">
        <f>VLOOKUP(B216, 'Companies covered restructured'!$B$7:$K$470, 9, FALSE)</f>
        <v>Farmer engagement platforms (including marketplaces and information platforms)</v>
      </c>
      <c r="Q216" s="112" t="str">
        <f>VLOOKUP(B216, 'Companies covered restructured'!$B$7:$K$470, 6, FALSE)</f>
        <v>#Cross-cutting(100)</v>
      </c>
      <c r="R216" s="112" t="str">
        <f t="shared" si="107"/>
        <v>N/A</v>
      </c>
      <c r="S216" s="112" t="s">
        <v>11003</v>
      </c>
      <c r="T216" s="112" t="s">
        <v>10466</v>
      </c>
      <c r="U216" s="103" t="s">
        <v>10970</v>
      </c>
      <c r="V216" s="112" t="str">
        <f>VLOOKUP(P216, 'Bottom-up Tagging Assumptions'!$B$12:$F$39, 5, FALSE)</f>
        <v>#Process Innovation(100)</v>
      </c>
      <c r="W216" s="112" t="str">
        <f>VLOOKUP(B216, 'Companies covered restructured'!$B$7:$K$470, 7, FALSE)</f>
        <v>#Field/Animal Herd(100)</v>
      </c>
      <c r="X216" s="112" t="str">
        <f>VLOOKUP(B216, 'Companies covered restructured'!$B$7:$K$470, 8, FALSE)</f>
        <v>#Both(100)</v>
      </c>
      <c r="Y216" s="212" t="str">
        <f>VLOOKUP(P216, 'Bottom-up Tagging Assumptions'!$B$12:$C$56, 2, FALSE)</f>
        <v>#Other Economic(P); #Productivity(S)</v>
      </c>
      <c r="Z216" s="112" t="str">
        <f>VLOOKUP(P216, 'Bottom-up Tagging Assumptions'!$B$12:$F$56, 3, FALSE)</f>
        <v>#Improve price realization(P); #Increasing crop or animal yield(S)</v>
      </c>
      <c r="AA216" s="112" t="str">
        <f>VLOOKUP(P216, 'Bottom-up Tagging Assumptions'!$B$12:$F$56, 4, FALSE)</f>
        <v>#Level 4(100)</v>
      </c>
      <c r="AB216" s="110" t="s">
        <v>2871</v>
      </c>
      <c r="AC216" s="110"/>
      <c r="AD216" s="110"/>
      <c r="AE216" s="110" t="s">
        <v>10558</v>
      </c>
      <c r="AF216" s="112">
        <v>5345286</v>
      </c>
      <c r="AG216" s="110" t="s">
        <v>265</v>
      </c>
      <c r="AH216" s="121">
        <f t="shared" si="108"/>
        <v>0</v>
      </c>
      <c r="AI216" s="121">
        <f t="shared" si="109"/>
        <v>1</v>
      </c>
      <c r="AJ216" s="121">
        <f t="shared" si="110"/>
        <v>1</v>
      </c>
      <c r="AK216" s="121">
        <f t="shared" si="111"/>
        <v>0</v>
      </c>
      <c r="AL216" s="121">
        <f t="shared" si="112"/>
        <v>0</v>
      </c>
      <c r="AM216" s="121">
        <f t="shared" si="113"/>
        <v>0</v>
      </c>
      <c r="AN216" s="121">
        <f t="shared" si="114"/>
        <v>0</v>
      </c>
      <c r="AO216" s="121">
        <f t="shared" si="115"/>
        <v>0</v>
      </c>
      <c r="AP216" s="22">
        <f t="shared" si="116"/>
        <v>0</v>
      </c>
      <c r="AQ216" s="22">
        <f t="shared" si="117"/>
        <v>0</v>
      </c>
      <c r="AR216" s="22">
        <f t="shared" si="118"/>
        <v>0</v>
      </c>
      <c r="AS216" s="121" t="str">
        <f t="shared" si="119"/>
        <v>Cross-cutting</v>
      </c>
      <c r="AT216" s="121" t="str">
        <f t="shared" si="136"/>
        <v xml:space="preserve"> </v>
      </c>
      <c r="AU216" s="121" t="str">
        <f t="shared" si="136"/>
        <v xml:space="preserve"> </v>
      </c>
      <c r="AV216" s="121" t="str">
        <f t="shared" si="136"/>
        <v xml:space="preserve"> </v>
      </c>
      <c r="AW216" s="130" t="str">
        <f t="shared" si="137"/>
        <v>100</v>
      </c>
      <c r="AX216" s="130" t="str">
        <f t="shared" si="137"/>
        <v xml:space="preserve"> </v>
      </c>
      <c r="AY216" s="130" t="str">
        <f t="shared" si="137"/>
        <v xml:space="preserve"> </v>
      </c>
      <c r="AZ216" s="130" t="str">
        <f t="shared" si="137"/>
        <v xml:space="preserve"> </v>
      </c>
      <c r="BA216" s="121">
        <f t="shared" si="120"/>
        <v>1237765.2136678048</v>
      </c>
      <c r="BB216" s="121">
        <f t="shared" si="121"/>
        <v>0</v>
      </c>
      <c r="BC216" s="121">
        <f t="shared" si="122"/>
        <v>0</v>
      </c>
      <c r="BD216" s="121">
        <f t="shared" si="123"/>
        <v>0</v>
      </c>
      <c r="BE216" s="121">
        <f t="shared" si="124"/>
        <v>0</v>
      </c>
      <c r="BF216" s="121">
        <f t="shared" si="125"/>
        <v>0</v>
      </c>
      <c r="BG216" s="121">
        <f t="shared" si="126"/>
        <v>0</v>
      </c>
      <c r="BH216" s="121">
        <f t="shared" si="127"/>
        <v>0</v>
      </c>
      <c r="BI216" s="121">
        <f t="shared" si="128"/>
        <v>0</v>
      </c>
      <c r="BJ216" s="121">
        <f t="shared" si="129"/>
        <v>0</v>
      </c>
      <c r="BK216" s="121">
        <f t="shared" si="130"/>
        <v>0</v>
      </c>
      <c r="BL216" s="121">
        <f t="shared" si="131"/>
        <v>0</v>
      </c>
      <c r="BM216" s="121">
        <f t="shared" si="132"/>
        <v>0</v>
      </c>
      <c r="BN216" s="121">
        <f t="shared" si="133"/>
        <v>0</v>
      </c>
      <c r="BO216" s="121">
        <f t="shared" si="134"/>
        <v>0</v>
      </c>
      <c r="BP216" s="121">
        <f t="shared" si="135"/>
        <v>0</v>
      </c>
      <c r="BQ216" s="199">
        <f>INDEX('GDP deflators'!$C$6:$M$36,MATCH('Bottom-up tagging'!$D216,'GDP deflators'!$B$6:$B$36,),MATCH('Bottom-up tagging'!$E216,'GDP deflators'!$C$5:$L$5,))/100</f>
        <v>1.2118614931462879</v>
      </c>
      <c r="BR216" s="24">
        <v>1500000</v>
      </c>
    </row>
    <row r="217" spans="2:70" ht="26.15" hidden="1" customHeight="1">
      <c r="B217" s="110" t="s">
        <v>1211</v>
      </c>
      <c r="C217" s="110" t="s">
        <v>1216</v>
      </c>
      <c r="D217" s="110" t="s">
        <v>2057</v>
      </c>
      <c r="E217" s="103">
        <v>2019</v>
      </c>
      <c r="F217" s="108" t="s">
        <v>7267</v>
      </c>
      <c r="G217" s="111" t="s">
        <v>34</v>
      </c>
      <c r="H217" s="110" t="s">
        <v>10451</v>
      </c>
      <c r="I217" s="112">
        <f>IF(Dashboard!$B$16="Current USD",'Bottom-up tagging'!BR217,'Bottom-up tagging'!BR217/'Bottom-up tagging'!BQ217)</f>
        <v>1179316.2568538291</v>
      </c>
      <c r="J217" s="117" t="s">
        <v>10474</v>
      </c>
      <c r="K217" s="112"/>
      <c r="L217" s="135">
        <v>1</v>
      </c>
      <c r="M217" s="135">
        <v>1</v>
      </c>
      <c r="N217" s="112"/>
      <c r="O217" s="112"/>
      <c r="P217" s="112" t="str">
        <f>VLOOKUP(B217, 'Companies covered restructured'!$B$7:$K$470, 9, FALSE)</f>
        <v>AI/analytics based advisory algorithms (incl. weather)</v>
      </c>
      <c r="Q217" s="112" t="str">
        <f>VLOOKUP(B217, 'Companies covered restructured'!$B$7:$K$470, 6, FALSE)</f>
        <v>#Crops(100)</v>
      </c>
      <c r="R217" s="112" t="str">
        <f t="shared" si="107"/>
        <v>#Investment Fund(100)</v>
      </c>
      <c r="S217" s="112" t="s">
        <v>11003</v>
      </c>
      <c r="T217" s="112" t="s">
        <v>10466</v>
      </c>
      <c r="U217" s="213" t="s">
        <v>10970</v>
      </c>
      <c r="V217" s="112" t="str">
        <f>VLOOKUP(P217, 'Bottom-up Tagging Assumptions'!$B$12:$F$39, 5, FALSE)</f>
        <v>#Science &amp; tech(100)</v>
      </c>
      <c r="W217" s="112" t="str">
        <f>VLOOKUP(B217, 'Companies covered restructured'!$B$7:$K$470, 7, FALSE)</f>
        <v>#Field/Animal Herd(100)</v>
      </c>
      <c r="X217" s="112" t="s">
        <v>10558</v>
      </c>
      <c r="Y217" s="212" t="str">
        <f>VLOOKUP(P217, 'Bottom-up Tagging Assumptions'!$B$12:$C$56, 2, FALSE)</f>
        <v>#Other Economic(P); #Productivity(S)</v>
      </c>
      <c r="Z217" s="112" t="str">
        <f>VLOOKUP(P217, 'Bottom-up Tagging Assumptions'!$B$12:$F$56, 3, FALSE)</f>
        <v>#Increasing output per unit input(P); #Increasing crop or animal yield(S)</v>
      </c>
      <c r="AA217" s="112" t="str">
        <f>VLOOKUP(P217, 'Bottom-up Tagging Assumptions'!$B$12:$F$56, 4, FALSE)</f>
        <v>#Level 1(100)</v>
      </c>
      <c r="AB217" s="110" t="s">
        <v>1213</v>
      </c>
      <c r="AC217" s="110"/>
      <c r="AD217" s="110" t="s">
        <v>1214</v>
      </c>
      <c r="AE217" s="110" t="str">
        <f>VLOOKUP(AD217,  '1.2'!$B$7:$C$2033, 2, FALSE)</f>
        <v>FUND</v>
      </c>
      <c r="AF217" s="112">
        <v>5866696</v>
      </c>
      <c r="AG217" s="110" t="s">
        <v>165</v>
      </c>
      <c r="AH217" s="121">
        <f t="shared" si="108"/>
        <v>0</v>
      </c>
      <c r="AI217" s="121">
        <f t="shared" si="109"/>
        <v>1</v>
      </c>
      <c r="AJ217" s="121">
        <f t="shared" si="110"/>
        <v>1</v>
      </c>
      <c r="AK217" s="121">
        <f t="shared" si="111"/>
        <v>0</v>
      </c>
      <c r="AL217" s="121">
        <f t="shared" si="112"/>
        <v>0</v>
      </c>
      <c r="AM217" s="121">
        <f t="shared" si="113"/>
        <v>0</v>
      </c>
      <c r="AN217" s="121">
        <f t="shared" si="114"/>
        <v>0</v>
      </c>
      <c r="AO217" s="121">
        <f t="shared" si="115"/>
        <v>0</v>
      </c>
      <c r="AP217" s="22">
        <f t="shared" si="116"/>
        <v>0</v>
      </c>
      <c r="AQ217" s="22">
        <f t="shared" si="117"/>
        <v>0</v>
      </c>
      <c r="AR217" s="22">
        <f t="shared" si="118"/>
        <v>0</v>
      </c>
      <c r="AS217" s="121" t="str">
        <f t="shared" si="119"/>
        <v>Crops</v>
      </c>
      <c r="AT217" s="121" t="str">
        <f t="shared" si="136"/>
        <v xml:space="preserve"> </v>
      </c>
      <c r="AU217" s="121" t="str">
        <f t="shared" si="136"/>
        <v xml:space="preserve"> </v>
      </c>
      <c r="AV217" s="121" t="str">
        <f t="shared" si="136"/>
        <v xml:space="preserve"> </v>
      </c>
      <c r="AW217" s="130" t="str">
        <f t="shared" si="137"/>
        <v>100</v>
      </c>
      <c r="AX217" s="130" t="str">
        <f t="shared" si="137"/>
        <v xml:space="preserve"> </v>
      </c>
      <c r="AY217" s="130" t="str">
        <f t="shared" si="137"/>
        <v xml:space="preserve"> </v>
      </c>
      <c r="AZ217" s="130" t="str">
        <f t="shared" si="137"/>
        <v xml:space="preserve"> </v>
      </c>
      <c r="BA217" s="121">
        <f t="shared" si="120"/>
        <v>1179316.2568538291</v>
      </c>
      <c r="BB217" s="121">
        <f t="shared" si="121"/>
        <v>0</v>
      </c>
      <c r="BC217" s="121">
        <f t="shared" si="122"/>
        <v>0</v>
      </c>
      <c r="BD217" s="121">
        <f t="shared" si="123"/>
        <v>0</v>
      </c>
      <c r="BE217" s="121">
        <f t="shared" si="124"/>
        <v>0</v>
      </c>
      <c r="BF217" s="121">
        <f t="shared" si="125"/>
        <v>0</v>
      </c>
      <c r="BG217" s="121">
        <f t="shared" si="126"/>
        <v>0</v>
      </c>
      <c r="BH217" s="121">
        <f t="shared" si="127"/>
        <v>0</v>
      </c>
      <c r="BI217" s="121">
        <f t="shared" si="128"/>
        <v>0</v>
      </c>
      <c r="BJ217" s="121">
        <f t="shared" si="129"/>
        <v>0</v>
      </c>
      <c r="BK217" s="121">
        <f t="shared" si="130"/>
        <v>0</v>
      </c>
      <c r="BL217" s="121">
        <f t="shared" si="131"/>
        <v>0</v>
      </c>
      <c r="BM217" s="121">
        <f t="shared" si="132"/>
        <v>0</v>
      </c>
      <c r="BN217" s="121">
        <f t="shared" si="133"/>
        <v>0</v>
      </c>
      <c r="BO217" s="121">
        <f t="shared" si="134"/>
        <v>0</v>
      </c>
      <c r="BP217" s="121">
        <f t="shared" si="135"/>
        <v>0</v>
      </c>
      <c r="BQ217" s="199">
        <f>INDEX('GDP deflators'!$C$6:$M$36,MATCH('Bottom-up tagging'!$D217,'GDP deflators'!$B$6:$B$36,),MATCH('Bottom-up tagging'!$E217,'GDP deflators'!$C$5:$L$5,))/100</f>
        <v>1.2685503072696345</v>
      </c>
      <c r="BR217" s="24">
        <v>1496022</v>
      </c>
    </row>
    <row r="218" spans="2:70" ht="26.15" hidden="1" customHeight="1">
      <c r="B218" s="110" t="s">
        <v>329</v>
      </c>
      <c r="C218" s="110" t="s">
        <v>334</v>
      </c>
      <c r="D218" s="110" t="s">
        <v>2057</v>
      </c>
      <c r="E218" s="103">
        <v>2019</v>
      </c>
      <c r="F218" s="108" t="s">
        <v>6432</v>
      </c>
      <c r="G218" s="111" t="s">
        <v>34</v>
      </c>
      <c r="H218" s="110" t="s">
        <v>10451</v>
      </c>
      <c r="I218" s="112">
        <f>IF(Dashboard!$B$16="Current USD",'Bottom-up tagging'!BR218,'Bottom-up tagging'!BR218/'Bottom-up tagging'!BQ218)</f>
        <v>1174356.264361657</v>
      </c>
      <c r="J218" s="105" t="s">
        <v>10474</v>
      </c>
      <c r="K218" s="112"/>
      <c r="L218" s="135">
        <v>1</v>
      </c>
      <c r="M218" s="135">
        <v>1</v>
      </c>
      <c r="N218" s="112"/>
      <c r="O218" s="112"/>
      <c r="P218" s="112" t="str">
        <f>VLOOKUP(B218, 'Companies covered restructured'!$B$7:$K$470, 9, FALSE)</f>
        <v>Supply chain technologies</v>
      </c>
      <c r="Q218" s="112" t="str">
        <f>VLOOKUP(B218, 'Companies covered restructured'!$B$7:$K$470, 6, FALSE)</f>
        <v>#Crops(100)</v>
      </c>
      <c r="R218" s="112" t="str">
        <f t="shared" si="107"/>
        <v>#Investment Fund(100)</v>
      </c>
      <c r="S218" s="112" t="s">
        <v>11003</v>
      </c>
      <c r="T218" s="112" t="s">
        <v>10466</v>
      </c>
      <c r="U218" s="103" t="s">
        <v>10970</v>
      </c>
      <c r="V218" s="112" t="str">
        <f>VLOOKUP(P218, 'Bottom-up Tagging Assumptions'!$B$12:$F$39, 5, FALSE)</f>
        <v>#Process Innovation(100)</v>
      </c>
      <c r="W218" s="112" t="str">
        <f>VLOOKUP(B218, 'Companies covered restructured'!$B$7:$K$470, 7, FALSE)</f>
        <v>#Farm/Household(100)</v>
      </c>
      <c r="X218" s="112" t="s">
        <v>10558</v>
      </c>
      <c r="Y218" s="212" t="str">
        <f>VLOOKUP(P218, 'Bottom-up Tagging Assumptions'!$B$12:$C$56, 2, FALSE)</f>
        <v>#Other Economic(P); Social(S)</v>
      </c>
      <c r="Z218" s="112" t="str">
        <f>VLOOKUP(P218, 'Bottom-up Tagging Assumptions'!$B$12:$F$56, 3, FALSE)</f>
        <v>#Improve price realization(P)</v>
      </c>
      <c r="AA218" s="112" t="str">
        <f>VLOOKUP(P218, 'Bottom-up Tagging Assumptions'!$B$12:$F$56, 4, FALSE)</f>
        <v>#Level 3(100)</v>
      </c>
      <c r="AB218" s="110" t="s">
        <v>1106</v>
      </c>
      <c r="AC218" s="110"/>
      <c r="AD218" s="110" t="s">
        <v>1107</v>
      </c>
      <c r="AE218" s="110" t="str">
        <f>VLOOKUP(AD218,  '1.2'!$B$7:$C$2033, 2, FALSE)</f>
        <v>FUND</v>
      </c>
      <c r="AF218" s="112">
        <v>17022002</v>
      </c>
      <c r="AG218" s="110" t="s">
        <v>748</v>
      </c>
      <c r="AH218" s="121">
        <f t="shared" si="108"/>
        <v>0</v>
      </c>
      <c r="AI218" s="121">
        <f t="shared" si="109"/>
        <v>0</v>
      </c>
      <c r="AJ218" s="121">
        <f t="shared" si="110"/>
        <v>1</v>
      </c>
      <c r="AK218" s="121">
        <f t="shared" si="111"/>
        <v>1</v>
      </c>
      <c r="AL218" s="121">
        <f t="shared" si="112"/>
        <v>0</v>
      </c>
      <c r="AM218" s="121">
        <f t="shared" si="113"/>
        <v>0</v>
      </c>
      <c r="AN218" s="121">
        <f t="shared" si="114"/>
        <v>1</v>
      </c>
      <c r="AO218" s="121">
        <f t="shared" si="115"/>
        <v>0</v>
      </c>
      <c r="AP218" s="22">
        <f t="shared" si="116"/>
        <v>0</v>
      </c>
      <c r="AQ218" s="22">
        <f t="shared" si="117"/>
        <v>1174356.264361657</v>
      </c>
      <c r="AR218" s="22">
        <f t="shared" si="118"/>
        <v>0</v>
      </c>
      <c r="AS218" s="121" t="str">
        <f t="shared" si="119"/>
        <v>Crops</v>
      </c>
      <c r="AT218" s="121" t="str">
        <f t="shared" si="136"/>
        <v xml:space="preserve"> </v>
      </c>
      <c r="AU218" s="121" t="str">
        <f t="shared" si="136"/>
        <v xml:space="preserve"> </v>
      </c>
      <c r="AV218" s="121" t="str">
        <f t="shared" si="136"/>
        <v xml:space="preserve"> </v>
      </c>
      <c r="AW218" s="130" t="str">
        <f t="shared" si="137"/>
        <v>100</v>
      </c>
      <c r="AX218" s="130" t="str">
        <f t="shared" si="137"/>
        <v xml:space="preserve"> </v>
      </c>
      <c r="AY218" s="130" t="str">
        <f t="shared" si="137"/>
        <v xml:space="preserve"> </v>
      </c>
      <c r="AZ218" s="130" t="str">
        <f t="shared" si="137"/>
        <v xml:space="preserve"> </v>
      </c>
      <c r="BA218" s="121">
        <f t="shared" si="120"/>
        <v>1174356.264361657</v>
      </c>
      <c r="BB218" s="121">
        <f t="shared" si="121"/>
        <v>0</v>
      </c>
      <c r="BC218" s="121">
        <f t="shared" si="122"/>
        <v>0</v>
      </c>
      <c r="BD218" s="121">
        <f t="shared" si="123"/>
        <v>0</v>
      </c>
      <c r="BE218" s="121">
        <f t="shared" si="124"/>
        <v>0</v>
      </c>
      <c r="BF218" s="121">
        <f t="shared" si="125"/>
        <v>0</v>
      </c>
      <c r="BG218" s="121">
        <f t="shared" si="126"/>
        <v>0</v>
      </c>
      <c r="BH218" s="121">
        <f t="shared" si="127"/>
        <v>0</v>
      </c>
      <c r="BI218" s="121">
        <f t="shared" si="128"/>
        <v>1174356.264361657</v>
      </c>
      <c r="BJ218" s="121">
        <f t="shared" si="129"/>
        <v>1174356.264361657</v>
      </c>
      <c r="BK218" s="121">
        <f t="shared" si="130"/>
        <v>1174356.264361657</v>
      </c>
      <c r="BL218" s="121">
        <f t="shared" si="131"/>
        <v>1174356.264361657</v>
      </c>
      <c r="BM218" s="121">
        <f t="shared" si="132"/>
        <v>0</v>
      </c>
      <c r="BN218" s="121">
        <f t="shared" si="133"/>
        <v>0</v>
      </c>
      <c r="BO218" s="121">
        <f t="shared" si="134"/>
        <v>0</v>
      </c>
      <c r="BP218" s="121">
        <f t="shared" si="135"/>
        <v>0</v>
      </c>
      <c r="BQ218" s="199">
        <f>INDEX('GDP deflators'!$C$6:$M$36,MATCH('Bottom-up tagging'!$D218,'GDP deflators'!$B$6:$B$36,),MATCH('Bottom-up tagging'!$E218,'GDP deflators'!$C$5:$L$5,))/100</f>
        <v>1.2685503072696345</v>
      </c>
      <c r="BR218" s="24">
        <v>1489730</v>
      </c>
    </row>
    <row r="219" spans="2:70" ht="26.15" hidden="1" customHeight="1">
      <c r="B219" s="110" t="s">
        <v>1434</v>
      </c>
      <c r="C219" s="110" t="s">
        <v>1437</v>
      </c>
      <c r="D219" s="110" t="s">
        <v>5208</v>
      </c>
      <c r="E219" s="103">
        <v>2018</v>
      </c>
      <c r="F219" s="108" t="s">
        <v>6337</v>
      </c>
      <c r="G219" s="111" t="s">
        <v>34</v>
      </c>
      <c r="H219" s="110" t="s">
        <v>10451</v>
      </c>
      <c r="I219" s="112">
        <f>IF(Dashboard!$B$16="Current USD",'Bottom-up tagging'!BR219,'Bottom-up tagging'!BR219/'Bottom-up tagging'!BQ219)</f>
        <v>874600.16195076192</v>
      </c>
      <c r="J219" s="105" t="s">
        <v>10474</v>
      </c>
      <c r="K219" s="112"/>
      <c r="L219" s="135">
        <v>1</v>
      </c>
      <c r="M219" s="135">
        <v>1</v>
      </c>
      <c r="N219" s="112"/>
      <c r="O219" s="112"/>
      <c r="P219" s="112" t="str">
        <f>VLOOKUP(B219, 'Companies covered restructured'!$B$7:$K$470, 9, FALSE)</f>
        <v xml:space="preserve">Value-chain financing and risk management </v>
      </c>
      <c r="Q219" s="112" t="str">
        <f>VLOOKUP(B219, 'Companies covered restructured'!$B$7:$K$470, 6, FALSE)</f>
        <v>#Crops(100)</v>
      </c>
      <c r="R219" s="112" t="str">
        <f t="shared" si="107"/>
        <v>N/A</v>
      </c>
      <c r="S219" s="112" t="s">
        <v>11003</v>
      </c>
      <c r="T219" s="112" t="s">
        <v>10466</v>
      </c>
      <c r="U219" s="103" t="s">
        <v>10970</v>
      </c>
      <c r="V219" s="112" t="str">
        <f>VLOOKUP(P219, 'Bottom-up Tagging Assumptions'!$B$12:$F$39, 5, FALSE)</f>
        <v>#Product Development(100)</v>
      </c>
      <c r="W219" s="112" t="str">
        <f>VLOOKUP(B219, 'Companies covered restructured'!$B$7:$K$470, 7, FALSE)</f>
        <v>#Field/Animal Herd(100)</v>
      </c>
      <c r="X219" s="112" t="s">
        <v>10558</v>
      </c>
      <c r="Y219" s="212" t="str">
        <f>VLOOKUP(P219, 'Bottom-up Tagging Assumptions'!$B$12:$C$56, 2, FALSE)</f>
        <v>#Other Economic(P); Social(S)</v>
      </c>
      <c r="Z219" s="112" t="str">
        <f>VLOOKUP(P219, 'Bottom-up Tagging Assumptions'!$B$12:$F$56, 3, FALSE)</f>
        <v>#Reducing variability of profits(P)</v>
      </c>
      <c r="AA219" s="112" t="str">
        <f>VLOOKUP(P219, 'Bottom-up Tagging Assumptions'!$B$12:$F$56, 4, FALSE)</f>
        <v>#Level 3(100)</v>
      </c>
      <c r="AB219" s="110" t="s">
        <v>1436</v>
      </c>
      <c r="AC219" s="110"/>
      <c r="AD219" s="110"/>
      <c r="AE219" s="110" t="s">
        <v>10558</v>
      </c>
      <c r="AF219" s="112">
        <v>214702</v>
      </c>
      <c r="AG219" s="110" t="s">
        <v>1851</v>
      </c>
      <c r="AH219" s="121">
        <f t="shared" si="108"/>
        <v>0</v>
      </c>
      <c r="AI219" s="121">
        <f t="shared" si="109"/>
        <v>0</v>
      </c>
      <c r="AJ219" s="121">
        <f t="shared" si="110"/>
        <v>1</v>
      </c>
      <c r="AK219" s="121">
        <f t="shared" si="111"/>
        <v>1</v>
      </c>
      <c r="AL219" s="121">
        <f t="shared" si="112"/>
        <v>0</v>
      </c>
      <c r="AM219" s="121">
        <f t="shared" si="113"/>
        <v>0</v>
      </c>
      <c r="AN219" s="121">
        <f t="shared" si="114"/>
        <v>1</v>
      </c>
      <c r="AO219" s="121">
        <f t="shared" si="115"/>
        <v>0</v>
      </c>
      <c r="AP219" s="22">
        <f t="shared" si="116"/>
        <v>0</v>
      </c>
      <c r="AQ219" s="22">
        <f t="shared" si="117"/>
        <v>874600.16195076192</v>
      </c>
      <c r="AR219" s="22">
        <f t="shared" si="118"/>
        <v>0</v>
      </c>
      <c r="AS219" s="121" t="str">
        <f t="shared" si="119"/>
        <v>Crops</v>
      </c>
      <c r="AT219" s="121" t="str">
        <f t="shared" si="136"/>
        <v xml:space="preserve"> </v>
      </c>
      <c r="AU219" s="121" t="str">
        <f t="shared" si="136"/>
        <v xml:space="preserve"> </v>
      </c>
      <c r="AV219" s="121" t="str">
        <f t="shared" si="136"/>
        <v xml:space="preserve"> </v>
      </c>
      <c r="AW219" s="130" t="str">
        <f t="shared" si="137"/>
        <v>100</v>
      </c>
      <c r="AX219" s="130" t="str">
        <f t="shared" si="137"/>
        <v xml:space="preserve"> </v>
      </c>
      <c r="AY219" s="130" t="str">
        <f t="shared" si="137"/>
        <v xml:space="preserve"> </v>
      </c>
      <c r="AZ219" s="130" t="str">
        <f t="shared" si="137"/>
        <v xml:space="preserve"> </v>
      </c>
      <c r="BA219" s="121">
        <f t="shared" si="120"/>
        <v>874600.16195076192</v>
      </c>
      <c r="BB219" s="121">
        <f t="shared" si="121"/>
        <v>0</v>
      </c>
      <c r="BC219" s="121">
        <f t="shared" si="122"/>
        <v>0</v>
      </c>
      <c r="BD219" s="121">
        <f t="shared" si="123"/>
        <v>0</v>
      </c>
      <c r="BE219" s="121">
        <f t="shared" si="124"/>
        <v>0</v>
      </c>
      <c r="BF219" s="121">
        <f t="shared" si="125"/>
        <v>0</v>
      </c>
      <c r="BG219" s="121">
        <f t="shared" si="126"/>
        <v>0</v>
      </c>
      <c r="BH219" s="121">
        <f t="shared" si="127"/>
        <v>0</v>
      </c>
      <c r="BI219" s="121">
        <f t="shared" si="128"/>
        <v>874600.16195076192</v>
      </c>
      <c r="BJ219" s="121">
        <f t="shared" si="129"/>
        <v>874600.16195076192</v>
      </c>
      <c r="BK219" s="121">
        <f t="shared" si="130"/>
        <v>874600.16195076192</v>
      </c>
      <c r="BL219" s="121">
        <f t="shared" si="131"/>
        <v>874600.16195076192</v>
      </c>
      <c r="BM219" s="121">
        <f t="shared" si="132"/>
        <v>0</v>
      </c>
      <c r="BN219" s="121">
        <f t="shared" si="133"/>
        <v>0</v>
      </c>
      <c r="BO219" s="121">
        <f t="shared" si="134"/>
        <v>0</v>
      </c>
      <c r="BP219" s="121">
        <f t="shared" si="135"/>
        <v>0</v>
      </c>
      <c r="BQ219" s="199">
        <f>INDEX('GDP deflators'!$C$6:$M$36,MATCH('Bottom-up tagging'!$D219,'GDP deflators'!$B$6:$B$36,),MATCH('Bottom-up tagging'!$E219,'GDP deflators'!$C$5:$L$5,))/100</f>
        <v>1.6873424728259787</v>
      </c>
      <c r="BR219" s="24">
        <v>1475750</v>
      </c>
    </row>
    <row r="220" spans="2:70" ht="26.15" hidden="1" customHeight="1">
      <c r="B220" s="110" t="s">
        <v>1525</v>
      </c>
      <c r="C220" s="110" t="s">
        <v>1529</v>
      </c>
      <c r="D220" s="110" t="s">
        <v>2057</v>
      </c>
      <c r="E220" s="103">
        <v>2018</v>
      </c>
      <c r="F220" s="108" t="s">
        <v>6727</v>
      </c>
      <c r="G220" s="111" t="s">
        <v>34</v>
      </c>
      <c r="H220" s="110" t="s">
        <v>10451</v>
      </c>
      <c r="I220" s="112">
        <f>IF(Dashboard!$B$16="Current USD",'Bottom-up tagging'!BR220,'Bottom-up tagging'!BR220/'Bottom-up tagging'!BQ220)</f>
        <v>1181320.7110225039</v>
      </c>
      <c r="J220" s="118" t="s">
        <v>10474</v>
      </c>
      <c r="K220" s="112"/>
      <c r="L220" s="135">
        <v>1</v>
      </c>
      <c r="M220" s="135">
        <v>1</v>
      </c>
      <c r="N220" s="112"/>
      <c r="O220" s="112"/>
      <c r="P220" s="112" t="str">
        <f>VLOOKUP(B220, 'Companies covered restructured'!$B$7:$K$470, 9, FALSE)</f>
        <v>Agri marketplaces</v>
      </c>
      <c r="Q220" s="112" t="str">
        <f>VLOOKUP(B220, 'Companies covered restructured'!$B$7:$K$470, 6, FALSE)</f>
        <v>#Livestock(100)</v>
      </c>
      <c r="R220" s="112" t="str">
        <f t="shared" si="107"/>
        <v>N/A</v>
      </c>
      <c r="S220" s="112" t="s">
        <v>11003</v>
      </c>
      <c r="T220" s="112" t="s">
        <v>10466</v>
      </c>
      <c r="U220" s="103" t="s">
        <v>10970</v>
      </c>
      <c r="V220" s="112" t="str">
        <f>VLOOKUP(P220, 'Bottom-up Tagging Assumptions'!$B$12:$F$39, 5, FALSE)</f>
        <v>#Process Innovation(100)</v>
      </c>
      <c r="W220" s="112" t="str">
        <f>VLOOKUP(B220, 'Companies covered restructured'!$B$7:$K$470, 7, FALSE)</f>
        <v>#Farm/Household(100)</v>
      </c>
      <c r="X220" s="112" t="s">
        <v>10558</v>
      </c>
      <c r="Y220" s="212" t="str">
        <f>VLOOKUP(P220, 'Bottom-up Tagging Assumptions'!$B$12:$C$56, 2, FALSE)</f>
        <v>#Other Economic(P); Social(S)</v>
      </c>
      <c r="Z220" s="112" t="str">
        <f>VLOOKUP(P220, 'Bottom-up Tagging Assumptions'!$B$12:$F$56, 3, FALSE)</f>
        <v>#Improve price realization(P)</v>
      </c>
      <c r="AA220" s="112" t="str">
        <f>VLOOKUP(P220, 'Bottom-up Tagging Assumptions'!$B$12:$F$56, 4, FALSE)</f>
        <v>#Level 4(100)</v>
      </c>
      <c r="AB220" s="110" t="s">
        <v>1527</v>
      </c>
      <c r="AC220" s="110"/>
      <c r="AD220" s="110"/>
      <c r="AE220" s="110" t="s">
        <v>10558</v>
      </c>
      <c r="AF220" s="112">
        <v>46450000</v>
      </c>
      <c r="AG220" s="110" t="s">
        <v>476</v>
      </c>
      <c r="AH220" s="121">
        <f t="shared" si="108"/>
        <v>0</v>
      </c>
      <c r="AI220" s="121">
        <f t="shared" si="109"/>
        <v>0</v>
      </c>
      <c r="AJ220" s="121">
        <f t="shared" si="110"/>
        <v>1</v>
      </c>
      <c r="AK220" s="121">
        <f t="shared" si="111"/>
        <v>1</v>
      </c>
      <c r="AL220" s="121">
        <f t="shared" si="112"/>
        <v>0</v>
      </c>
      <c r="AM220" s="121">
        <f t="shared" si="113"/>
        <v>0</v>
      </c>
      <c r="AN220" s="121">
        <f t="shared" si="114"/>
        <v>1</v>
      </c>
      <c r="AO220" s="121">
        <f t="shared" si="115"/>
        <v>0</v>
      </c>
      <c r="AP220" s="22">
        <f t="shared" si="116"/>
        <v>0</v>
      </c>
      <c r="AQ220" s="22">
        <f t="shared" si="117"/>
        <v>1181320.7110225039</v>
      </c>
      <c r="AR220" s="22">
        <f t="shared" si="118"/>
        <v>0</v>
      </c>
      <c r="AS220" s="121" t="str">
        <f t="shared" si="119"/>
        <v>Livestock</v>
      </c>
      <c r="AT220" s="121" t="str">
        <f t="shared" si="136"/>
        <v xml:space="preserve"> </v>
      </c>
      <c r="AU220" s="121" t="str">
        <f t="shared" si="136"/>
        <v xml:space="preserve"> </v>
      </c>
      <c r="AV220" s="121" t="str">
        <f t="shared" si="136"/>
        <v xml:space="preserve"> </v>
      </c>
      <c r="AW220" s="130" t="str">
        <f t="shared" si="137"/>
        <v>100</v>
      </c>
      <c r="AX220" s="130" t="str">
        <f t="shared" si="137"/>
        <v xml:space="preserve"> </v>
      </c>
      <c r="AY220" s="130" t="str">
        <f t="shared" si="137"/>
        <v xml:space="preserve"> </v>
      </c>
      <c r="AZ220" s="130" t="str">
        <f t="shared" si="137"/>
        <v xml:space="preserve"> </v>
      </c>
      <c r="BA220" s="121">
        <f t="shared" si="120"/>
        <v>1181320.7110225039</v>
      </c>
      <c r="BB220" s="121">
        <f t="shared" si="121"/>
        <v>0</v>
      </c>
      <c r="BC220" s="121">
        <f t="shared" si="122"/>
        <v>0</v>
      </c>
      <c r="BD220" s="121">
        <f t="shared" si="123"/>
        <v>0</v>
      </c>
      <c r="BE220" s="121">
        <f t="shared" si="124"/>
        <v>0</v>
      </c>
      <c r="BF220" s="121">
        <f t="shared" si="125"/>
        <v>0</v>
      </c>
      <c r="BG220" s="121">
        <f t="shared" si="126"/>
        <v>0</v>
      </c>
      <c r="BH220" s="121">
        <f t="shared" si="127"/>
        <v>0</v>
      </c>
      <c r="BI220" s="121">
        <f t="shared" si="128"/>
        <v>1181320.7110225039</v>
      </c>
      <c r="BJ220" s="121">
        <f t="shared" si="129"/>
        <v>1181320.7110225039</v>
      </c>
      <c r="BK220" s="121">
        <f t="shared" si="130"/>
        <v>1181320.7110225039</v>
      </c>
      <c r="BL220" s="121">
        <f t="shared" si="131"/>
        <v>1181320.7110225039</v>
      </c>
      <c r="BM220" s="121">
        <f t="shared" si="132"/>
        <v>0</v>
      </c>
      <c r="BN220" s="121">
        <f t="shared" si="133"/>
        <v>0</v>
      </c>
      <c r="BO220" s="121">
        <f t="shared" si="134"/>
        <v>0</v>
      </c>
      <c r="BP220" s="121">
        <f t="shared" si="135"/>
        <v>0</v>
      </c>
      <c r="BQ220" s="199">
        <f>INDEX('GDP deflators'!$C$6:$M$36,MATCH('Bottom-up tagging'!$D220,'GDP deflators'!$B$6:$B$36,),MATCH('Bottom-up tagging'!$E220,'GDP deflators'!$C$5:$L$5,))/100</f>
        <v>1.2487972031939574</v>
      </c>
      <c r="BR220" s="24">
        <v>1475230</v>
      </c>
    </row>
    <row r="221" spans="2:70" ht="26.15" hidden="1" customHeight="1">
      <c r="B221" s="110" t="s">
        <v>1115</v>
      </c>
      <c r="C221" s="110" t="s">
        <v>1118</v>
      </c>
      <c r="D221" s="110" t="s">
        <v>3994</v>
      </c>
      <c r="E221" s="103">
        <v>2011</v>
      </c>
      <c r="F221" s="108" t="s">
        <v>8829</v>
      </c>
      <c r="G221" s="111" t="s">
        <v>34</v>
      </c>
      <c r="H221" s="110" t="s">
        <v>10451</v>
      </c>
      <c r="I221" s="112">
        <f>IF(Dashboard!$B$16="Current USD",'Bottom-up tagging'!BR221,'Bottom-up tagging'!BR221/'Bottom-up tagging'!BQ221)</f>
        <v>1353822.8286301319</v>
      </c>
      <c r="J221" s="105" t="s">
        <v>10474</v>
      </c>
      <c r="K221" s="112"/>
      <c r="L221" s="135">
        <v>1</v>
      </c>
      <c r="M221" s="135">
        <v>1</v>
      </c>
      <c r="N221" s="112"/>
      <c r="O221" s="112"/>
      <c r="P221" s="112" t="str">
        <f>VLOOKUP(B221, 'Companies covered restructured'!$B$7:$K$470, 9, FALSE)</f>
        <v>Farmer engagement platforms (including marketplaces and information platforms)</v>
      </c>
      <c r="Q221" s="112" t="str">
        <f>VLOOKUP(B221, 'Companies covered restructured'!$B$7:$K$470, 6, FALSE)</f>
        <v>#Crops(100)</v>
      </c>
      <c r="R221" s="112" t="str">
        <f t="shared" si="107"/>
        <v>#Investment Fund(100)</v>
      </c>
      <c r="S221" s="112" t="s">
        <v>11003</v>
      </c>
      <c r="T221" s="112" t="s">
        <v>10466</v>
      </c>
      <c r="U221" s="103" t="s">
        <v>10970</v>
      </c>
      <c r="V221" s="112" t="str">
        <f>VLOOKUP(P221, 'Bottom-up Tagging Assumptions'!$B$12:$F$39, 5, FALSE)</f>
        <v>#Process Innovation(100)</v>
      </c>
      <c r="W221" s="112" t="str">
        <f>VLOOKUP(B221, 'Companies covered restructured'!$B$7:$K$470, 7, FALSE)</f>
        <v>#Field/Animal Herd(100)</v>
      </c>
      <c r="X221" s="112" t="s">
        <v>10558</v>
      </c>
      <c r="Y221" s="212" t="str">
        <f>VLOOKUP(P221, 'Bottom-up Tagging Assumptions'!$B$12:$C$56, 2, FALSE)</f>
        <v>#Other Economic(P); #Productivity(S)</v>
      </c>
      <c r="Z221" s="112" t="str">
        <f>VLOOKUP(P221, 'Bottom-up Tagging Assumptions'!$B$12:$F$56, 3, FALSE)</f>
        <v>#Improve price realization(P); #Increasing crop or animal yield(S)</v>
      </c>
      <c r="AA221" s="112" t="str">
        <f>VLOOKUP(P221, 'Bottom-up Tagging Assumptions'!$B$12:$F$56, 4, FALSE)</f>
        <v>#Level 4(100)</v>
      </c>
      <c r="AB221" s="110" t="s">
        <v>2911</v>
      </c>
      <c r="AC221" s="110" t="s">
        <v>3057</v>
      </c>
      <c r="AD221" s="110" t="s">
        <v>3058</v>
      </c>
      <c r="AE221" s="110" t="str">
        <f>VLOOKUP(AD221,  '1.2'!$B$7:$C$2033, 2, FALSE)</f>
        <v>FUND</v>
      </c>
      <c r="AF221" s="112">
        <v>46450000</v>
      </c>
      <c r="AG221" s="110" t="s">
        <v>476</v>
      </c>
      <c r="AH221" s="121">
        <f t="shared" si="108"/>
        <v>0</v>
      </c>
      <c r="AI221" s="121">
        <f t="shared" si="109"/>
        <v>1</v>
      </c>
      <c r="AJ221" s="121">
        <f t="shared" si="110"/>
        <v>1</v>
      </c>
      <c r="AK221" s="121">
        <f t="shared" si="111"/>
        <v>0</v>
      </c>
      <c r="AL221" s="121">
        <f t="shared" si="112"/>
        <v>0</v>
      </c>
      <c r="AM221" s="121">
        <f t="shared" si="113"/>
        <v>0</v>
      </c>
      <c r="AN221" s="121">
        <f t="shared" si="114"/>
        <v>0</v>
      </c>
      <c r="AO221" s="121">
        <f t="shared" si="115"/>
        <v>0</v>
      </c>
      <c r="AP221" s="22">
        <f t="shared" si="116"/>
        <v>0</v>
      </c>
      <c r="AQ221" s="22">
        <f t="shared" si="117"/>
        <v>0</v>
      </c>
      <c r="AR221" s="22">
        <f t="shared" si="118"/>
        <v>0</v>
      </c>
      <c r="AS221" s="121" t="str">
        <f t="shared" si="119"/>
        <v>Crops</v>
      </c>
      <c r="AT221" s="121" t="str">
        <f t="shared" si="136"/>
        <v xml:space="preserve"> </v>
      </c>
      <c r="AU221" s="121" t="str">
        <f t="shared" si="136"/>
        <v xml:space="preserve"> </v>
      </c>
      <c r="AV221" s="121" t="str">
        <f t="shared" si="136"/>
        <v xml:space="preserve"> </v>
      </c>
      <c r="AW221" s="130" t="str">
        <f t="shared" si="137"/>
        <v>100</v>
      </c>
      <c r="AX221" s="130" t="str">
        <f t="shared" si="137"/>
        <v xml:space="preserve"> </v>
      </c>
      <c r="AY221" s="130" t="str">
        <f t="shared" si="137"/>
        <v xml:space="preserve"> </v>
      </c>
      <c r="AZ221" s="130" t="str">
        <f t="shared" si="137"/>
        <v xml:space="preserve"> </v>
      </c>
      <c r="BA221" s="121">
        <f t="shared" si="120"/>
        <v>1353822.8286301317</v>
      </c>
      <c r="BB221" s="121">
        <f t="shared" si="121"/>
        <v>0</v>
      </c>
      <c r="BC221" s="121">
        <f t="shared" si="122"/>
        <v>0</v>
      </c>
      <c r="BD221" s="121">
        <f t="shared" si="123"/>
        <v>0</v>
      </c>
      <c r="BE221" s="121">
        <f t="shared" si="124"/>
        <v>0</v>
      </c>
      <c r="BF221" s="121">
        <f t="shared" si="125"/>
        <v>0</v>
      </c>
      <c r="BG221" s="121">
        <f t="shared" si="126"/>
        <v>0</v>
      </c>
      <c r="BH221" s="121">
        <f t="shared" si="127"/>
        <v>0</v>
      </c>
      <c r="BI221" s="121">
        <f t="shared" si="128"/>
        <v>0</v>
      </c>
      <c r="BJ221" s="121">
        <f t="shared" si="129"/>
        <v>0</v>
      </c>
      <c r="BK221" s="121">
        <f t="shared" si="130"/>
        <v>0</v>
      </c>
      <c r="BL221" s="121">
        <f t="shared" si="131"/>
        <v>0</v>
      </c>
      <c r="BM221" s="121">
        <f t="shared" si="132"/>
        <v>0</v>
      </c>
      <c r="BN221" s="121">
        <f t="shared" si="133"/>
        <v>0</v>
      </c>
      <c r="BO221" s="121">
        <f t="shared" si="134"/>
        <v>0</v>
      </c>
      <c r="BP221" s="121">
        <f t="shared" si="135"/>
        <v>0</v>
      </c>
      <c r="BQ221" s="199">
        <f>INDEX('GDP deflators'!$C$6:$M$36,MATCH('Bottom-up tagging'!$D221,'GDP deflators'!$B$6:$B$36,),MATCH('Bottom-up tagging'!$E221,'GDP deflators'!$C$5:$L$5,))/100</f>
        <v>1.0873357790025646</v>
      </c>
      <c r="BR221" s="24">
        <v>1472060</v>
      </c>
    </row>
    <row r="222" spans="2:70" ht="26.15" hidden="1" customHeight="1">
      <c r="B222" s="110" t="s">
        <v>1946</v>
      </c>
      <c r="C222" s="110" t="s">
        <v>1951</v>
      </c>
      <c r="D222" s="110" t="s">
        <v>3994</v>
      </c>
      <c r="E222" s="103">
        <v>2016</v>
      </c>
      <c r="F222" s="108" t="s">
        <v>7944</v>
      </c>
      <c r="G222" s="111" t="s">
        <v>34</v>
      </c>
      <c r="H222" s="110" t="s">
        <v>10451</v>
      </c>
      <c r="I222" s="112">
        <f>IF(Dashboard!$B$16="Current USD",'Bottom-up tagging'!BR222,'Bottom-up tagging'!BR222/'Bottom-up tagging'!BQ222)</f>
        <v>1072464.2989218906</v>
      </c>
      <c r="J222" s="118" t="s">
        <v>10474</v>
      </c>
      <c r="K222" s="112"/>
      <c r="L222" s="135">
        <v>1</v>
      </c>
      <c r="M222" s="135">
        <v>1</v>
      </c>
      <c r="N222" s="112"/>
      <c r="O222" s="112"/>
      <c r="P222" s="112" t="str">
        <f>VLOOKUP(B222, 'Companies covered restructured'!$B$7:$K$470, 9, FALSE)</f>
        <v>Supply chain technologies</v>
      </c>
      <c r="Q222" s="112" t="str">
        <f>VLOOKUP(B222, 'Companies covered restructured'!$B$7:$K$470, 6, FALSE)</f>
        <v>#Crops(100)</v>
      </c>
      <c r="R222" s="112" t="str">
        <f t="shared" si="107"/>
        <v>#Investment Fund(100)</v>
      </c>
      <c r="S222" s="112" t="s">
        <v>11003</v>
      </c>
      <c r="T222" s="112" t="s">
        <v>10466</v>
      </c>
      <c r="U222" s="213" t="s">
        <v>10970</v>
      </c>
      <c r="V222" s="112" t="str">
        <f>VLOOKUP(P222, 'Bottom-up Tagging Assumptions'!$B$12:$F$39, 5, FALSE)</f>
        <v>#Process Innovation(100)</v>
      </c>
      <c r="W222" s="112" t="str">
        <f>VLOOKUP(B222, 'Companies covered restructured'!$B$7:$K$470, 7, FALSE)</f>
        <v>#Farm/Household(100)</v>
      </c>
      <c r="X222" s="112" t="s">
        <v>10558</v>
      </c>
      <c r="Y222" s="212" t="str">
        <f>VLOOKUP(P222, 'Bottom-up Tagging Assumptions'!$B$12:$C$56, 2, FALSE)</f>
        <v>#Other Economic(P); Social(S)</v>
      </c>
      <c r="Z222" s="112" t="str">
        <f>VLOOKUP(P222, 'Bottom-up Tagging Assumptions'!$B$12:$F$56, 3, FALSE)</f>
        <v>#Improve price realization(P)</v>
      </c>
      <c r="AA222" s="112" t="str">
        <f>VLOOKUP(P222, 'Bottom-up Tagging Assumptions'!$B$12:$F$56, 4, FALSE)</f>
        <v>#Level 3(100)</v>
      </c>
      <c r="AB222" s="110" t="s">
        <v>2424</v>
      </c>
      <c r="AC222" s="110"/>
      <c r="AD222" s="110" t="s">
        <v>2425</v>
      </c>
      <c r="AE222" s="110" t="str">
        <f>VLOOKUP(AD222,  '1.2'!$B$7:$C$2033, 2, FALSE)</f>
        <v>FUND</v>
      </c>
      <c r="AF222" s="112">
        <v>46450000</v>
      </c>
      <c r="AG222" s="110" t="s">
        <v>476</v>
      </c>
      <c r="AH222" s="121">
        <f t="shared" si="108"/>
        <v>0</v>
      </c>
      <c r="AI222" s="121">
        <f t="shared" si="109"/>
        <v>0</v>
      </c>
      <c r="AJ222" s="121">
        <f t="shared" si="110"/>
        <v>1</v>
      </c>
      <c r="AK222" s="121">
        <f t="shared" si="111"/>
        <v>1</v>
      </c>
      <c r="AL222" s="121">
        <f t="shared" si="112"/>
        <v>0</v>
      </c>
      <c r="AM222" s="121">
        <f t="shared" si="113"/>
        <v>0</v>
      </c>
      <c r="AN222" s="121">
        <f t="shared" si="114"/>
        <v>1</v>
      </c>
      <c r="AO222" s="121">
        <f t="shared" si="115"/>
        <v>0</v>
      </c>
      <c r="AP222" s="22">
        <f t="shared" si="116"/>
        <v>0</v>
      </c>
      <c r="AQ222" s="22">
        <f t="shared" si="117"/>
        <v>1072464.2989218906</v>
      </c>
      <c r="AR222" s="22">
        <f t="shared" si="118"/>
        <v>0</v>
      </c>
      <c r="AS222" s="121" t="str">
        <f t="shared" si="119"/>
        <v>Crops</v>
      </c>
      <c r="AT222" s="121" t="str">
        <f t="shared" si="136"/>
        <v xml:space="preserve"> </v>
      </c>
      <c r="AU222" s="121" t="str">
        <f t="shared" si="136"/>
        <v xml:space="preserve"> </v>
      </c>
      <c r="AV222" s="121" t="str">
        <f t="shared" si="136"/>
        <v xml:space="preserve"> </v>
      </c>
      <c r="AW222" s="130" t="str">
        <f t="shared" si="137"/>
        <v>100</v>
      </c>
      <c r="AX222" s="130" t="str">
        <f t="shared" si="137"/>
        <v xml:space="preserve"> </v>
      </c>
      <c r="AY222" s="130" t="str">
        <f t="shared" si="137"/>
        <v xml:space="preserve"> </v>
      </c>
      <c r="AZ222" s="130" t="str">
        <f t="shared" si="137"/>
        <v xml:space="preserve"> </v>
      </c>
      <c r="BA222" s="121">
        <f t="shared" si="120"/>
        <v>1072464.2989218906</v>
      </c>
      <c r="BB222" s="121">
        <f t="shared" si="121"/>
        <v>0</v>
      </c>
      <c r="BC222" s="121">
        <f t="shared" si="122"/>
        <v>0</v>
      </c>
      <c r="BD222" s="121">
        <f t="shared" si="123"/>
        <v>0</v>
      </c>
      <c r="BE222" s="121">
        <f t="shared" si="124"/>
        <v>0</v>
      </c>
      <c r="BF222" s="121">
        <f t="shared" si="125"/>
        <v>0</v>
      </c>
      <c r="BG222" s="121">
        <f t="shared" si="126"/>
        <v>0</v>
      </c>
      <c r="BH222" s="121">
        <f t="shared" si="127"/>
        <v>0</v>
      </c>
      <c r="BI222" s="121">
        <f t="shared" si="128"/>
        <v>1072464.2989218906</v>
      </c>
      <c r="BJ222" s="121">
        <f t="shared" si="129"/>
        <v>1072464.2989218906</v>
      </c>
      <c r="BK222" s="121">
        <f t="shared" si="130"/>
        <v>1072464.2989218906</v>
      </c>
      <c r="BL222" s="121">
        <f t="shared" si="131"/>
        <v>1072464.2989218906</v>
      </c>
      <c r="BM222" s="121">
        <f t="shared" si="132"/>
        <v>0</v>
      </c>
      <c r="BN222" s="121">
        <f t="shared" si="133"/>
        <v>0</v>
      </c>
      <c r="BO222" s="121">
        <f t="shared" si="134"/>
        <v>0</v>
      </c>
      <c r="BP222" s="121">
        <f t="shared" si="135"/>
        <v>0</v>
      </c>
      <c r="BQ222" s="199">
        <f>INDEX('GDP deflators'!$C$6:$M$36,MATCH('Bottom-up tagging'!$D222,'GDP deflators'!$B$6:$B$36,),MATCH('Bottom-up tagging'!$E222,'GDP deflators'!$C$5:$L$5,))/100</f>
        <v>1.3597375702538033</v>
      </c>
      <c r="BR222" s="24">
        <v>1458270</v>
      </c>
    </row>
    <row r="223" spans="2:70" ht="26.15" hidden="1" customHeight="1">
      <c r="B223" s="110" t="s">
        <v>2139</v>
      </c>
      <c r="C223" s="110" t="s">
        <v>2142</v>
      </c>
      <c r="D223" s="110" t="s">
        <v>2057</v>
      </c>
      <c r="E223" s="103">
        <v>2017</v>
      </c>
      <c r="F223" s="108" t="s">
        <v>9063</v>
      </c>
      <c r="G223" s="111" t="s">
        <v>34</v>
      </c>
      <c r="H223" s="110" t="s">
        <v>10451</v>
      </c>
      <c r="I223" s="112">
        <f>IF(Dashboard!$B$16="Current USD",'Bottom-up tagging'!BR223,'Bottom-up tagging'!BR223/'Bottom-up tagging'!BQ223)</f>
        <v>1205031.3060588758</v>
      </c>
      <c r="J223" s="105" t="s">
        <v>10474</v>
      </c>
      <c r="K223" s="112"/>
      <c r="L223" s="135">
        <v>1</v>
      </c>
      <c r="M223" s="135">
        <v>1</v>
      </c>
      <c r="N223" s="112"/>
      <c r="O223" s="112"/>
      <c r="P223" s="112" t="str">
        <f>VLOOKUP(B223, 'Companies covered restructured'!$B$7:$K$470, 9, FALSE)</f>
        <v>Agri marketplaces</v>
      </c>
      <c r="Q223" s="112" t="str">
        <f>VLOOKUP(B223, 'Companies covered restructured'!$B$7:$K$470, 6, FALSE)</f>
        <v>#Crops(100)</v>
      </c>
      <c r="R223" s="112" t="str">
        <f t="shared" si="107"/>
        <v>N/A</v>
      </c>
      <c r="S223" s="112" t="s">
        <v>11003</v>
      </c>
      <c r="T223" s="112" t="s">
        <v>10466</v>
      </c>
      <c r="U223" s="103" t="s">
        <v>10970</v>
      </c>
      <c r="V223" s="112" t="str">
        <f>VLOOKUP(P223, 'Bottom-up Tagging Assumptions'!$B$12:$F$39, 5, FALSE)</f>
        <v>#Process Innovation(100)</v>
      </c>
      <c r="W223" s="112" t="str">
        <f>VLOOKUP(B223, 'Companies covered restructured'!$B$7:$K$470, 7, FALSE)</f>
        <v>#Landscape(100)</v>
      </c>
      <c r="X223" s="112" t="str">
        <f>VLOOKUP(B223, 'Companies covered restructured'!$B$7:$K$470, 8, FALSE)</f>
        <v>N/A</v>
      </c>
      <c r="Y223" s="212" t="str">
        <f>VLOOKUP(P223, 'Bottom-up Tagging Assumptions'!$B$12:$C$56, 2, FALSE)</f>
        <v>#Other Economic(P); Social(S)</v>
      </c>
      <c r="Z223" s="112" t="str">
        <f>VLOOKUP(P223, 'Bottom-up Tagging Assumptions'!$B$12:$F$56, 3, FALSE)</f>
        <v>#Improve price realization(P)</v>
      </c>
      <c r="AA223" s="112" t="str">
        <f>VLOOKUP(P223, 'Bottom-up Tagging Assumptions'!$B$12:$F$56, 4, FALSE)</f>
        <v>#Level 4(100)</v>
      </c>
      <c r="AB223" s="110" t="s">
        <v>2141</v>
      </c>
      <c r="AC223" s="110"/>
      <c r="AD223" s="110"/>
      <c r="AE223" s="110" t="s">
        <v>10558</v>
      </c>
      <c r="AF223" s="112">
        <v>2839000</v>
      </c>
      <c r="AG223" s="110" t="s">
        <v>2029</v>
      </c>
      <c r="AH223" s="121">
        <f t="shared" si="108"/>
        <v>0</v>
      </c>
      <c r="AI223" s="121">
        <f t="shared" si="109"/>
        <v>0</v>
      </c>
      <c r="AJ223" s="121">
        <f t="shared" si="110"/>
        <v>1</v>
      </c>
      <c r="AK223" s="121">
        <f t="shared" si="111"/>
        <v>1</v>
      </c>
      <c r="AL223" s="121">
        <f t="shared" si="112"/>
        <v>0</v>
      </c>
      <c r="AM223" s="121">
        <f t="shared" si="113"/>
        <v>0</v>
      </c>
      <c r="AN223" s="121">
        <f t="shared" si="114"/>
        <v>1</v>
      </c>
      <c r="AO223" s="121">
        <f t="shared" si="115"/>
        <v>0</v>
      </c>
      <c r="AP223" s="22">
        <f t="shared" si="116"/>
        <v>0</v>
      </c>
      <c r="AQ223" s="22">
        <f t="shared" si="117"/>
        <v>1205031.3060588758</v>
      </c>
      <c r="AR223" s="22">
        <f t="shared" si="118"/>
        <v>0</v>
      </c>
      <c r="AS223" s="121" t="str">
        <f t="shared" si="119"/>
        <v>Crops</v>
      </c>
      <c r="AT223" s="121" t="str">
        <f t="shared" si="136"/>
        <v xml:space="preserve"> </v>
      </c>
      <c r="AU223" s="121" t="str">
        <f t="shared" si="136"/>
        <v xml:space="preserve"> </v>
      </c>
      <c r="AV223" s="121" t="str">
        <f t="shared" si="136"/>
        <v xml:space="preserve"> </v>
      </c>
      <c r="AW223" s="130" t="str">
        <f t="shared" si="137"/>
        <v>100</v>
      </c>
      <c r="AX223" s="130" t="str">
        <f t="shared" si="137"/>
        <v xml:space="preserve"> </v>
      </c>
      <c r="AY223" s="130" t="str">
        <f t="shared" si="137"/>
        <v xml:space="preserve"> </v>
      </c>
      <c r="AZ223" s="130" t="str">
        <f t="shared" si="137"/>
        <v xml:space="preserve"> </v>
      </c>
      <c r="BA223" s="121">
        <f t="shared" si="120"/>
        <v>1205031.3060588758</v>
      </c>
      <c r="BB223" s="121">
        <f t="shared" si="121"/>
        <v>0</v>
      </c>
      <c r="BC223" s="121">
        <f t="shared" si="122"/>
        <v>0</v>
      </c>
      <c r="BD223" s="121">
        <f t="shared" si="123"/>
        <v>0</v>
      </c>
      <c r="BE223" s="121">
        <f t="shared" si="124"/>
        <v>0</v>
      </c>
      <c r="BF223" s="121">
        <f t="shared" si="125"/>
        <v>0</v>
      </c>
      <c r="BG223" s="121">
        <f t="shared" si="126"/>
        <v>0</v>
      </c>
      <c r="BH223" s="121">
        <f t="shared" si="127"/>
        <v>0</v>
      </c>
      <c r="BI223" s="121">
        <f t="shared" si="128"/>
        <v>1205031.3060588758</v>
      </c>
      <c r="BJ223" s="121">
        <f t="shared" si="129"/>
        <v>1205031.3060588758</v>
      </c>
      <c r="BK223" s="121">
        <f t="shared" si="130"/>
        <v>1205031.3060588758</v>
      </c>
      <c r="BL223" s="121">
        <f t="shared" si="131"/>
        <v>1205031.3060588758</v>
      </c>
      <c r="BM223" s="121">
        <f t="shared" si="132"/>
        <v>0</v>
      </c>
      <c r="BN223" s="121">
        <f t="shared" si="133"/>
        <v>0</v>
      </c>
      <c r="BO223" s="121">
        <f t="shared" si="134"/>
        <v>0</v>
      </c>
      <c r="BP223" s="121">
        <f t="shared" si="135"/>
        <v>0</v>
      </c>
      <c r="BQ223" s="199">
        <f>INDEX('GDP deflators'!$C$6:$M$36,MATCH('Bottom-up tagging'!$D223,'GDP deflators'!$B$6:$B$36,),MATCH('Bottom-up tagging'!$E223,'GDP deflators'!$C$5:$L$5,))/100</f>
        <v>1.2065910592441995</v>
      </c>
      <c r="BR223" s="24">
        <v>1453980</v>
      </c>
    </row>
    <row r="224" spans="2:70" ht="26.15" hidden="1" customHeight="1">
      <c r="B224" s="110" t="s">
        <v>777</v>
      </c>
      <c r="C224" s="110" t="s">
        <v>781</v>
      </c>
      <c r="D224" s="110" t="s">
        <v>3994</v>
      </c>
      <c r="E224" s="103">
        <v>2019</v>
      </c>
      <c r="F224" s="108" t="s">
        <v>8570</v>
      </c>
      <c r="G224" s="111" t="s">
        <v>109</v>
      </c>
      <c r="H224" s="110" t="s">
        <v>10451</v>
      </c>
      <c r="I224" s="112">
        <f>IF(Dashboard!$B$16="Current USD",'Bottom-up tagging'!BR224,'Bottom-up tagging'!BR224/'Bottom-up tagging'!BQ224)</f>
        <v>953223.62354943925</v>
      </c>
      <c r="J224" s="118" t="s">
        <v>10474</v>
      </c>
      <c r="K224" s="112"/>
      <c r="L224" s="135">
        <v>1</v>
      </c>
      <c r="M224" s="135">
        <v>1</v>
      </c>
      <c r="N224" s="112"/>
      <c r="O224" s="112"/>
      <c r="P224" s="112" t="str">
        <f>VLOOKUP(B224, 'Companies covered restructured'!$B$7:$K$470, 9, FALSE)</f>
        <v>AI/analytics based advisory algorithms (incl. weather)</v>
      </c>
      <c r="Q224" s="112" t="str">
        <f>VLOOKUP(B224, 'Companies covered restructured'!$B$7:$K$470, 6, FALSE)</f>
        <v>#Crops(100)</v>
      </c>
      <c r="R224" s="112" t="str">
        <f t="shared" si="107"/>
        <v>N/A</v>
      </c>
      <c r="S224" s="112" t="s">
        <v>11003</v>
      </c>
      <c r="T224" s="112" t="s">
        <v>10466</v>
      </c>
      <c r="U224" s="103" t="s">
        <v>10970</v>
      </c>
      <c r="V224" s="112" t="str">
        <f>VLOOKUP(P224, 'Bottom-up Tagging Assumptions'!$B$12:$F$39, 5, FALSE)</f>
        <v>#Science &amp; tech(100)</v>
      </c>
      <c r="W224" s="112" t="str">
        <f>VLOOKUP(B224, 'Companies covered restructured'!$B$7:$K$470, 7, FALSE)</f>
        <v>#Farm/Household(100)</v>
      </c>
      <c r="X224" s="112" t="str">
        <f>VLOOKUP(B224, 'Companies covered restructured'!$B$7:$K$470, 8, FALSE)</f>
        <v>N/A</v>
      </c>
      <c r="Y224" s="212" t="str">
        <f>VLOOKUP(P224, 'Bottom-up Tagging Assumptions'!$B$12:$C$56, 2, FALSE)</f>
        <v>#Other Economic(P); #Productivity(S)</v>
      </c>
      <c r="Z224" s="112" t="str">
        <f>VLOOKUP(P224, 'Bottom-up Tagging Assumptions'!$B$12:$F$56, 3, FALSE)</f>
        <v>#Increasing output per unit input(P); #Increasing crop or animal yield(S)</v>
      </c>
      <c r="AA224" s="112" t="str">
        <f>VLOOKUP(P224, 'Bottom-up Tagging Assumptions'!$B$12:$F$56, 4, FALSE)</f>
        <v>#Level 1(100)</v>
      </c>
      <c r="AB224" s="110" t="s">
        <v>779</v>
      </c>
      <c r="AC224" s="110"/>
      <c r="AD224" s="110" t="s">
        <v>780</v>
      </c>
      <c r="AE224" s="110" t="s">
        <v>10558</v>
      </c>
      <c r="AF224" s="112">
        <v>40000000</v>
      </c>
      <c r="AG224" s="110" t="s">
        <v>549</v>
      </c>
      <c r="AH224" s="121">
        <f t="shared" si="108"/>
        <v>0</v>
      </c>
      <c r="AI224" s="121">
        <f t="shared" si="109"/>
        <v>1</v>
      </c>
      <c r="AJ224" s="121">
        <f t="shared" si="110"/>
        <v>1</v>
      </c>
      <c r="AK224" s="121">
        <f t="shared" si="111"/>
        <v>0</v>
      </c>
      <c r="AL224" s="121">
        <f t="shared" si="112"/>
        <v>0</v>
      </c>
      <c r="AM224" s="121">
        <f t="shared" si="113"/>
        <v>0</v>
      </c>
      <c r="AN224" s="121">
        <f t="shared" si="114"/>
        <v>0</v>
      </c>
      <c r="AO224" s="121">
        <f t="shared" si="115"/>
        <v>0</v>
      </c>
      <c r="AP224" s="22">
        <f t="shared" si="116"/>
        <v>0</v>
      </c>
      <c r="AQ224" s="22">
        <f t="shared" si="117"/>
        <v>0</v>
      </c>
      <c r="AR224" s="22">
        <f t="shared" si="118"/>
        <v>0</v>
      </c>
      <c r="AS224" s="121" t="str">
        <f t="shared" si="119"/>
        <v>Crops</v>
      </c>
      <c r="AT224" s="121" t="str">
        <f t="shared" si="136"/>
        <v xml:space="preserve"> </v>
      </c>
      <c r="AU224" s="121" t="str">
        <f t="shared" si="136"/>
        <v xml:space="preserve"> </v>
      </c>
      <c r="AV224" s="121" t="str">
        <f t="shared" si="136"/>
        <v xml:space="preserve"> </v>
      </c>
      <c r="AW224" s="130" t="str">
        <f t="shared" si="137"/>
        <v>100</v>
      </c>
      <c r="AX224" s="130" t="str">
        <f t="shared" si="137"/>
        <v xml:space="preserve"> </v>
      </c>
      <c r="AY224" s="130" t="str">
        <f t="shared" si="137"/>
        <v xml:space="preserve"> </v>
      </c>
      <c r="AZ224" s="130" t="str">
        <f t="shared" si="137"/>
        <v xml:space="preserve"> </v>
      </c>
      <c r="BA224" s="121">
        <f t="shared" si="120"/>
        <v>953223.62354943936</v>
      </c>
      <c r="BB224" s="121">
        <f t="shared" si="121"/>
        <v>0</v>
      </c>
      <c r="BC224" s="121">
        <f t="shared" si="122"/>
        <v>0</v>
      </c>
      <c r="BD224" s="121">
        <f t="shared" si="123"/>
        <v>0</v>
      </c>
      <c r="BE224" s="121">
        <f t="shared" si="124"/>
        <v>0</v>
      </c>
      <c r="BF224" s="121">
        <f t="shared" si="125"/>
        <v>0</v>
      </c>
      <c r="BG224" s="121">
        <f t="shared" si="126"/>
        <v>0</v>
      </c>
      <c r="BH224" s="121">
        <f t="shared" si="127"/>
        <v>0</v>
      </c>
      <c r="BI224" s="121">
        <f t="shared" si="128"/>
        <v>0</v>
      </c>
      <c r="BJ224" s="121">
        <f t="shared" si="129"/>
        <v>0</v>
      </c>
      <c r="BK224" s="121">
        <f t="shared" si="130"/>
        <v>0</v>
      </c>
      <c r="BL224" s="121">
        <f t="shared" si="131"/>
        <v>0</v>
      </c>
      <c r="BM224" s="121">
        <f t="shared" si="132"/>
        <v>0</v>
      </c>
      <c r="BN224" s="121">
        <f t="shared" si="133"/>
        <v>0</v>
      </c>
      <c r="BO224" s="121">
        <f t="shared" si="134"/>
        <v>0</v>
      </c>
      <c r="BP224" s="121">
        <f t="shared" si="135"/>
        <v>0</v>
      </c>
      <c r="BQ224" s="199">
        <f>INDEX('GDP deflators'!$C$6:$M$36,MATCH('Bottom-up tagging'!$D224,'GDP deflators'!$B$6:$B$36,),MATCH('Bottom-up tagging'!$E224,'GDP deflators'!$C$5:$L$5,))/100</f>
        <v>1.5094883975306472</v>
      </c>
      <c r="BR224" s="24">
        <v>1438880</v>
      </c>
    </row>
    <row r="225" spans="2:70" ht="26.15" hidden="1" customHeight="1">
      <c r="B225" s="110" t="s">
        <v>673</v>
      </c>
      <c r="C225" s="110" t="s">
        <v>678</v>
      </c>
      <c r="D225" s="110" t="s">
        <v>2057</v>
      </c>
      <c r="E225" s="103">
        <v>2019</v>
      </c>
      <c r="F225" s="108" t="s">
        <v>5269</v>
      </c>
      <c r="G225" s="111" t="s">
        <v>34</v>
      </c>
      <c r="H225" s="110" t="s">
        <v>10451</v>
      </c>
      <c r="I225" s="112">
        <f>IF(Dashboard!$B$16="Current USD",'Bottom-up tagging'!BR225,'Bottom-up tagging'!BR225/'Bottom-up tagging'!BQ225)</f>
        <v>1122903.8311187972</v>
      </c>
      <c r="J225" s="105" t="s">
        <v>10474</v>
      </c>
      <c r="K225" s="112"/>
      <c r="L225" s="135">
        <v>1</v>
      </c>
      <c r="M225" s="135">
        <v>1</v>
      </c>
      <c r="N225" s="112"/>
      <c r="O225" s="112"/>
      <c r="P225" s="112" t="str">
        <f>VLOOKUP(B225, 'Companies covered restructured'!$B$7:$K$470, 9, FALSE)</f>
        <v>Agri marketplaces</v>
      </c>
      <c r="Q225" s="112" t="str">
        <f>VLOOKUP(B225, 'Companies covered restructured'!$B$7:$K$470, 6, FALSE)</f>
        <v>#Livestock(100)</v>
      </c>
      <c r="R225" s="112" t="str">
        <f t="shared" si="107"/>
        <v>#Investment Fund(100)</v>
      </c>
      <c r="S225" s="112" t="s">
        <v>11003</v>
      </c>
      <c r="T225" s="112" t="s">
        <v>10466</v>
      </c>
      <c r="U225" s="103" t="s">
        <v>10970</v>
      </c>
      <c r="V225" s="112" t="str">
        <f>VLOOKUP(P225, 'Bottom-up Tagging Assumptions'!$B$12:$F$39, 5, FALSE)</f>
        <v>#Process Innovation(100)</v>
      </c>
      <c r="W225" s="112" t="str">
        <f>VLOOKUP(B225, 'Companies covered restructured'!$B$7:$K$470, 7, FALSE)</f>
        <v>#Farm/Household(100)</v>
      </c>
      <c r="X225" s="112" t="s">
        <v>10558</v>
      </c>
      <c r="Y225" s="212" t="str">
        <f>VLOOKUP(P225, 'Bottom-up Tagging Assumptions'!$B$12:$C$56, 2, FALSE)</f>
        <v>#Other Economic(P); Social(S)</v>
      </c>
      <c r="Z225" s="112" t="str">
        <f>VLOOKUP(P225, 'Bottom-up Tagging Assumptions'!$B$12:$F$56, 3, FALSE)</f>
        <v>#Improve price realization(P)</v>
      </c>
      <c r="AA225" s="112" t="str">
        <f>VLOOKUP(P225, 'Bottom-up Tagging Assumptions'!$B$12:$F$56, 4, FALSE)</f>
        <v>#Level 4(100)</v>
      </c>
      <c r="AB225" s="110" t="s">
        <v>675</v>
      </c>
      <c r="AC225" s="110"/>
      <c r="AD225" s="110" t="s">
        <v>676</v>
      </c>
      <c r="AE225" s="110" t="str">
        <f>VLOOKUP(AD225,  '1.2'!$B$7:$C$2033, 2, FALSE)</f>
        <v>FUND</v>
      </c>
      <c r="AF225" s="112">
        <v>19009146</v>
      </c>
      <c r="AG225" s="110" t="s">
        <v>307</v>
      </c>
      <c r="AH225" s="121">
        <f t="shared" si="108"/>
        <v>0</v>
      </c>
      <c r="AI225" s="121">
        <f t="shared" si="109"/>
        <v>0</v>
      </c>
      <c r="AJ225" s="121">
        <f t="shared" si="110"/>
        <v>1</v>
      </c>
      <c r="AK225" s="121">
        <f t="shared" si="111"/>
        <v>1</v>
      </c>
      <c r="AL225" s="121">
        <f t="shared" si="112"/>
        <v>0</v>
      </c>
      <c r="AM225" s="121">
        <f t="shared" si="113"/>
        <v>0</v>
      </c>
      <c r="AN225" s="121">
        <f t="shared" si="114"/>
        <v>1</v>
      </c>
      <c r="AO225" s="121">
        <f t="shared" si="115"/>
        <v>0</v>
      </c>
      <c r="AP225" s="22">
        <f t="shared" si="116"/>
        <v>0</v>
      </c>
      <c r="AQ225" s="22">
        <f t="shared" si="117"/>
        <v>1122903.8311187972</v>
      </c>
      <c r="AR225" s="22">
        <f t="shared" si="118"/>
        <v>0</v>
      </c>
      <c r="AS225" s="121" t="str">
        <f t="shared" si="119"/>
        <v>Livestock</v>
      </c>
      <c r="AT225" s="121" t="str">
        <f t="shared" si="136"/>
        <v xml:space="preserve"> </v>
      </c>
      <c r="AU225" s="121" t="str">
        <f t="shared" si="136"/>
        <v xml:space="preserve"> </v>
      </c>
      <c r="AV225" s="121" t="str">
        <f t="shared" si="136"/>
        <v xml:space="preserve"> </v>
      </c>
      <c r="AW225" s="130" t="str">
        <f t="shared" si="137"/>
        <v>100</v>
      </c>
      <c r="AX225" s="130" t="str">
        <f t="shared" si="137"/>
        <v xml:space="preserve"> </v>
      </c>
      <c r="AY225" s="130" t="str">
        <f t="shared" si="137"/>
        <v xml:space="preserve"> </v>
      </c>
      <c r="AZ225" s="130" t="str">
        <f t="shared" si="137"/>
        <v xml:space="preserve"> </v>
      </c>
      <c r="BA225" s="121">
        <f t="shared" si="120"/>
        <v>1122903.8311187972</v>
      </c>
      <c r="BB225" s="121">
        <f t="shared" si="121"/>
        <v>0</v>
      </c>
      <c r="BC225" s="121">
        <f t="shared" si="122"/>
        <v>0</v>
      </c>
      <c r="BD225" s="121">
        <f t="shared" si="123"/>
        <v>0</v>
      </c>
      <c r="BE225" s="121">
        <f t="shared" si="124"/>
        <v>0</v>
      </c>
      <c r="BF225" s="121">
        <f t="shared" si="125"/>
        <v>0</v>
      </c>
      <c r="BG225" s="121">
        <f t="shared" si="126"/>
        <v>0</v>
      </c>
      <c r="BH225" s="121">
        <f t="shared" si="127"/>
        <v>0</v>
      </c>
      <c r="BI225" s="121">
        <f t="shared" si="128"/>
        <v>1122903.8311187972</v>
      </c>
      <c r="BJ225" s="121">
        <f t="shared" si="129"/>
        <v>1122903.8311187972</v>
      </c>
      <c r="BK225" s="121">
        <f t="shared" si="130"/>
        <v>1122903.8311187972</v>
      </c>
      <c r="BL225" s="121">
        <f t="shared" si="131"/>
        <v>1122903.8311187972</v>
      </c>
      <c r="BM225" s="121">
        <f t="shared" si="132"/>
        <v>0</v>
      </c>
      <c r="BN225" s="121">
        <f t="shared" si="133"/>
        <v>0</v>
      </c>
      <c r="BO225" s="121">
        <f t="shared" si="134"/>
        <v>0</v>
      </c>
      <c r="BP225" s="121">
        <f t="shared" si="135"/>
        <v>0</v>
      </c>
      <c r="BQ225" s="199">
        <f>INDEX('GDP deflators'!$C$6:$M$36,MATCH('Bottom-up tagging'!$D225,'GDP deflators'!$B$6:$B$36,),MATCH('Bottom-up tagging'!$E225,'GDP deflators'!$C$5:$L$5,))/100</f>
        <v>1.2685503072696345</v>
      </c>
      <c r="BR225" s="24">
        <v>1424460</v>
      </c>
    </row>
    <row r="226" spans="2:70" ht="26.15" hidden="1" customHeight="1">
      <c r="B226" s="110" t="s">
        <v>1330</v>
      </c>
      <c r="C226" s="110" t="s">
        <v>1334</v>
      </c>
      <c r="D226" s="110" t="s">
        <v>3994</v>
      </c>
      <c r="E226" s="103">
        <v>2016</v>
      </c>
      <c r="F226" s="108" t="s">
        <v>8242</v>
      </c>
      <c r="G226" s="111" t="s">
        <v>109</v>
      </c>
      <c r="H226" s="110" t="s">
        <v>10451</v>
      </c>
      <c r="I226" s="112">
        <f>IF(Dashboard!$B$16="Current USD",'Bottom-up tagging'!BR226,'Bottom-up tagging'!BR226/'Bottom-up tagging'!BQ226)</f>
        <v>1044856.0303697515</v>
      </c>
      <c r="J226" s="105" t="s">
        <v>10474</v>
      </c>
      <c r="K226" s="112"/>
      <c r="L226" s="135">
        <v>1</v>
      </c>
      <c r="M226" s="135">
        <v>1</v>
      </c>
      <c r="N226" s="112"/>
      <c r="O226" s="112"/>
      <c r="P226" s="112" t="str">
        <f>VLOOKUP(B226, 'Companies covered restructured'!$B$7:$K$470, 9, FALSE)</f>
        <v>AI/analytics based advisory algorithms (incl. weather)</v>
      </c>
      <c r="Q226" s="112" t="str">
        <f>VLOOKUP(B226, 'Companies covered restructured'!$B$7:$K$470, 6, FALSE)</f>
        <v>#Crops(100)</v>
      </c>
      <c r="R226" s="112" t="str">
        <f t="shared" si="107"/>
        <v>N/A</v>
      </c>
      <c r="S226" s="112" t="s">
        <v>11003</v>
      </c>
      <c r="T226" s="112" t="s">
        <v>10466</v>
      </c>
      <c r="U226" s="103" t="s">
        <v>10970</v>
      </c>
      <c r="V226" s="112" t="str">
        <f>VLOOKUP(P226, 'Bottom-up Tagging Assumptions'!$B$12:$F$39, 5, FALSE)</f>
        <v>#Science &amp; tech(100)</v>
      </c>
      <c r="W226" s="112" t="str">
        <f>VLOOKUP(B226, 'Companies covered restructured'!$B$7:$K$470, 7, FALSE)</f>
        <v>#Field/Animal Herd(100)</v>
      </c>
      <c r="X226" s="112" t="s">
        <v>10558</v>
      </c>
      <c r="Y226" s="212" t="str">
        <f>VLOOKUP(P226, 'Bottom-up Tagging Assumptions'!$B$12:$C$56, 2, FALSE)</f>
        <v>#Other Economic(P); #Productivity(S)</v>
      </c>
      <c r="Z226" s="112" t="str">
        <f>VLOOKUP(P226, 'Bottom-up Tagging Assumptions'!$B$12:$F$56, 3, FALSE)</f>
        <v>#Increasing output per unit input(P); #Increasing crop or animal yield(S)</v>
      </c>
      <c r="AA226" s="112" t="str">
        <f>VLOOKUP(P226, 'Bottom-up Tagging Assumptions'!$B$12:$F$56, 4, FALSE)</f>
        <v>#Level 1(100)</v>
      </c>
      <c r="AB226" s="110" t="s">
        <v>2314</v>
      </c>
      <c r="AC226" s="110"/>
      <c r="AD226" s="110"/>
      <c r="AE226" s="110" t="s">
        <v>10558</v>
      </c>
      <c r="AF226" s="112">
        <v>10000000</v>
      </c>
      <c r="AG226" s="110" t="s">
        <v>2045</v>
      </c>
      <c r="AH226" s="121">
        <f t="shared" si="108"/>
        <v>0</v>
      </c>
      <c r="AI226" s="121">
        <f t="shared" si="109"/>
        <v>1</v>
      </c>
      <c r="AJ226" s="121">
        <f t="shared" si="110"/>
        <v>1</v>
      </c>
      <c r="AK226" s="121">
        <f t="shared" si="111"/>
        <v>0</v>
      </c>
      <c r="AL226" s="121">
        <f t="shared" si="112"/>
        <v>0</v>
      </c>
      <c r="AM226" s="121">
        <f t="shared" si="113"/>
        <v>0</v>
      </c>
      <c r="AN226" s="121">
        <f t="shared" si="114"/>
        <v>0</v>
      </c>
      <c r="AO226" s="121">
        <f t="shared" si="115"/>
        <v>0</v>
      </c>
      <c r="AP226" s="22">
        <f t="shared" si="116"/>
        <v>0</v>
      </c>
      <c r="AQ226" s="22">
        <f t="shared" si="117"/>
        <v>0</v>
      </c>
      <c r="AR226" s="22">
        <f t="shared" si="118"/>
        <v>0</v>
      </c>
      <c r="AS226" s="121" t="str">
        <f t="shared" si="119"/>
        <v>Crops</v>
      </c>
      <c r="AT226" s="121" t="str">
        <f t="shared" si="136"/>
        <v xml:space="preserve"> </v>
      </c>
      <c r="AU226" s="121" t="str">
        <f t="shared" si="136"/>
        <v xml:space="preserve"> </v>
      </c>
      <c r="AV226" s="121" t="str">
        <f t="shared" si="136"/>
        <v xml:space="preserve"> </v>
      </c>
      <c r="AW226" s="130" t="str">
        <f t="shared" si="137"/>
        <v>100</v>
      </c>
      <c r="AX226" s="130" t="str">
        <f t="shared" si="137"/>
        <v xml:space="preserve"> </v>
      </c>
      <c r="AY226" s="130" t="str">
        <f t="shared" si="137"/>
        <v xml:space="preserve"> </v>
      </c>
      <c r="AZ226" s="130" t="str">
        <f t="shared" si="137"/>
        <v xml:space="preserve"> </v>
      </c>
      <c r="BA226" s="121">
        <f t="shared" si="120"/>
        <v>1044856.0303697515</v>
      </c>
      <c r="BB226" s="121">
        <f t="shared" si="121"/>
        <v>0</v>
      </c>
      <c r="BC226" s="121">
        <f t="shared" si="122"/>
        <v>0</v>
      </c>
      <c r="BD226" s="121">
        <f t="shared" si="123"/>
        <v>0</v>
      </c>
      <c r="BE226" s="121">
        <f t="shared" si="124"/>
        <v>0</v>
      </c>
      <c r="BF226" s="121">
        <f t="shared" si="125"/>
        <v>0</v>
      </c>
      <c r="BG226" s="121">
        <f t="shared" si="126"/>
        <v>0</v>
      </c>
      <c r="BH226" s="121">
        <f t="shared" si="127"/>
        <v>0</v>
      </c>
      <c r="BI226" s="121">
        <f t="shared" si="128"/>
        <v>0</v>
      </c>
      <c r="BJ226" s="121">
        <f t="shared" si="129"/>
        <v>0</v>
      </c>
      <c r="BK226" s="121">
        <f t="shared" si="130"/>
        <v>0</v>
      </c>
      <c r="BL226" s="121">
        <f t="shared" si="131"/>
        <v>0</v>
      </c>
      <c r="BM226" s="121">
        <f t="shared" si="132"/>
        <v>0</v>
      </c>
      <c r="BN226" s="121">
        <f t="shared" si="133"/>
        <v>0</v>
      </c>
      <c r="BO226" s="121">
        <f t="shared" si="134"/>
        <v>0</v>
      </c>
      <c r="BP226" s="121">
        <f t="shared" si="135"/>
        <v>0</v>
      </c>
      <c r="BQ226" s="199">
        <f>INDEX('GDP deflators'!$C$6:$M$36,MATCH('Bottom-up tagging'!$D226,'GDP deflators'!$B$6:$B$36,),MATCH('Bottom-up tagging'!$E226,'GDP deflators'!$C$5:$L$5,))/100</f>
        <v>1.3597375702538033</v>
      </c>
      <c r="BR226" s="24">
        <v>1420730</v>
      </c>
    </row>
    <row r="227" spans="2:70" ht="26.15" hidden="1" customHeight="1">
      <c r="B227" s="110" t="s">
        <v>59</v>
      </c>
      <c r="C227" s="110" t="s">
        <v>64</v>
      </c>
      <c r="D227" s="110" t="s">
        <v>3994</v>
      </c>
      <c r="E227" s="103">
        <v>2020</v>
      </c>
      <c r="F227" s="108" t="s">
        <v>6968</v>
      </c>
      <c r="G227" s="111" t="s">
        <v>34</v>
      </c>
      <c r="H227" s="110" t="s">
        <v>10451</v>
      </c>
      <c r="I227" s="212">
        <v>0</v>
      </c>
      <c r="J227" s="117" t="s">
        <v>10474</v>
      </c>
      <c r="K227" s="112"/>
      <c r="L227" s="135">
        <v>1</v>
      </c>
      <c r="M227" s="135">
        <v>1</v>
      </c>
      <c r="N227" s="112"/>
      <c r="O227" s="112"/>
      <c r="P227" s="112" t="str">
        <f>VLOOKUP(B227, 'Companies covered restructured'!$B$7:$K$470, 9, FALSE)</f>
        <v>Agri marketplaces</v>
      </c>
      <c r="Q227" s="112" t="str">
        <f>VLOOKUP(B227, 'Companies covered restructured'!$B$7:$K$470, 6, FALSE)</f>
        <v>#Crops(100)</v>
      </c>
      <c r="R227" s="112" t="str">
        <f t="shared" si="107"/>
        <v>#Investment Fund(100)</v>
      </c>
      <c r="S227" s="112" t="s">
        <v>11003</v>
      </c>
      <c r="T227" s="112" t="s">
        <v>10466</v>
      </c>
      <c r="U227" s="103" t="s">
        <v>10970</v>
      </c>
      <c r="V227" s="112" t="str">
        <f>VLOOKUP(P227, 'Bottom-up Tagging Assumptions'!$B$12:$F$39, 5, FALSE)</f>
        <v>#Process Innovation(100)</v>
      </c>
      <c r="W227" s="112" t="str">
        <f>VLOOKUP(B227, 'Companies covered restructured'!$B$7:$K$470, 7, FALSE)</f>
        <v>#Farm/Household(100)</v>
      </c>
      <c r="X227" s="112" t="s">
        <v>10558</v>
      </c>
      <c r="Y227" s="112" t="str">
        <f>VLOOKUP(P227, '[2]Bottom-up Tagging Assumptions'!$B$12:$F$56, 2, FALSE)</f>
        <v>#Other Economic(P); Social(S)</v>
      </c>
      <c r="Z227" s="112" t="str">
        <f>VLOOKUP(P227, 'Bottom-up Tagging Assumptions'!$B$12:$F$56, 3, FALSE)</f>
        <v>#Improve price realization(P)</v>
      </c>
      <c r="AA227" s="112" t="str">
        <f>VLOOKUP(P227, 'Bottom-up Tagging Assumptions'!$B$12:$F$56, 4, FALSE)</f>
        <v>#Level 4(100)</v>
      </c>
      <c r="AB227" s="110" t="s">
        <v>61</v>
      </c>
      <c r="AC227" s="110"/>
      <c r="AD227" s="110" t="s">
        <v>62</v>
      </c>
      <c r="AE227" s="110" t="s">
        <v>3114</v>
      </c>
      <c r="AF227" s="112">
        <v>36362460</v>
      </c>
      <c r="AG227" s="110" t="s">
        <v>81</v>
      </c>
      <c r="AH227" s="121">
        <f t="shared" si="108"/>
        <v>0</v>
      </c>
      <c r="AI227" s="121">
        <f t="shared" si="109"/>
        <v>0</v>
      </c>
      <c r="AJ227" s="121">
        <f t="shared" si="110"/>
        <v>1</v>
      </c>
      <c r="AK227" s="121">
        <f t="shared" si="111"/>
        <v>1</v>
      </c>
      <c r="AL227" s="121">
        <f t="shared" si="112"/>
        <v>0</v>
      </c>
      <c r="AM227" s="121">
        <f t="shared" si="113"/>
        <v>0</v>
      </c>
      <c r="AN227" s="121">
        <f t="shared" si="114"/>
        <v>1</v>
      </c>
      <c r="AO227" s="121">
        <f t="shared" si="115"/>
        <v>0</v>
      </c>
      <c r="AP227" s="22">
        <f t="shared" si="116"/>
        <v>0</v>
      </c>
      <c r="AQ227" s="22">
        <f t="shared" si="117"/>
        <v>0</v>
      </c>
      <c r="AR227" s="22">
        <f t="shared" si="118"/>
        <v>0</v>
      </c>
      <c r="AS227" s="121" t="str">
        <f t="shared" si="119"/>
        <v>Crops</v>
      </c>
      <c r="AT227" s="121" t="str">
        <f t="shared" si="136"/>
        <v xml:space="preserve"> </v>
      </c>
      <c r="AU227" s="121" t="str">
        <f t="shared" si="136"/>
        <v xml:space="preserve"> </v>
      </c>
      <c r="AV227" s="121" t="str">
        <f t="shared" si="136"/>
        <v xml:space="preserve"> </v>
      </c>
      <c r="AW227" s="130" t="str">
        <f t="shared" si="137"/>
        <v>100</v>
      </c>
      <c r="AX227" s="130" t="str">
        <f t="shared" si="137"/>
        <v xml:space="preserve"> </v>
      </c>
      <c r="AY227" s="130" t="str">
        <f t="shared" si="137"/>
        <v xml:space="preserve"> </v>
      </c>
      <c r="AZ227" s="130" t="str">
        <f t="shared" si="137"/>
        <v xml:space="preserve"> </v>
      </c>
      <c r="BA227" s="121">
        <f t="shared" si="120"/>
        <v>0</v>
      </c>
      <c r="BB227" s="121">
        <f t="shared" si="121"/>
        <v>0</v>
      </c>
      <c r="BC227" s="121">
        <f t="shared" si="122"/>
        <v>0</v>
      </c>
      <c r="BD227" s="121">
        <f t="shared" si="123"/>
        <v>0</v>
      </c>
      <c r="BE227" s="121">
        <f t="shared" si="124"/>
        <v>0</v>
      </c>
      <c r="BF227" s="121">
        <f t="shared" si="125"/>
        <v>0</v>
      </c>
      <c r="BG227" s="121">
        <f t="shared" si="126"/>
        <v>0</v>
      </c>
      <c r="BH227" s="121">
        <f t="shared" si="127"/>
        <v>0</v>
      </c>
      <c r="BI227" s="121">
        <f t="shared" si="128"/>
        <v>0</v>
      </c>
      <c r="BJ227" s="121">
        <f t="shared" si="129"/>
        <v>0</v>
      </c>
      <c r="BK227" s="121">
        <f t="shared" si="130"/>
        <v>0</v>
      </c>
      <c r="BL227" s="121">
        <f t="shared" si="131"/>
        <v>0</v>
      </c>
      <c r="BM227" s="121">
        <f t="shared" si="132"/>
        <v>0</v>
      </c>
      <c r="BN227" s="121">
        <f t="shared" si="133"/>
        <v>0</v>
      </c>
      <c r="BO227" s="121">
        <f t="shared" si="134"/>
        <v>0</v>
      </c>
      <c r="BP227" s="121">
        <f t="shared" si="135"/>
        <v>0</v>
      </c>
      <c r="BQ227" s="199" t="e">
        <f>INDEX('GDP deflators'!$C$6:$M$36,MATCH('Bottom-up tagging'!$D227,'GDP deflators'!$B$6:$B$36,),MATCH('Bottom-up tagging'!$E227,'GDP deflators'!$C$5:$L$5,))/100</f>
        <v>#N/A</v>
      </c>
      <c r="BR227" s="24">
        <v>1400000</v>
      </c>
    </row>
    <row r="228" spans="2:70" ht="26.15" hidden="1" customHeight="1">
      <c r="B228" s="110" t="s">
        <v>42</v>
      </c>
      <c r="C228" s="110" t="s">
        <v>48</v>
      </c>
      <c r="D228" s="110" t="s">
        <v>3994</v>
      </c>
      <c r="E228" s="103">
        <v>2020</v>
      </c>
      <c r="F228" s="108" t="s">
        <v>6695</v>
      </c>
      <c r="G228" s="111" t="s">
        <v>34</v>
      </c>
      <c r="H228" s="110" t="s">
        <v>10451</v>
      </c>
      <c r="I228" s="212">
        <v>0</v>
      </c>
      <c r="J228" s="118" t="s">
        <v>10474</v>
      </c>
      <c r="K228" s="112"/>
      <c r="L228" s="135">
        <v>1</v>
      </c>
      <c r="M228" s="135">
        <v>1</v>
      </c>
      <c r="N228" s="112"/>
      <c r="O228" s="112"/>
      <c r="P228" s="112" t="str">
        <f>VLOOKUP(B228, 'Companies covered restructured'!$B$7:$K$470, 9, FALSE)</f>
        <v>AI/analytics based advisory algorithms (incl. weather)</v>
      </c>
      <c r="Q228" s="112" t="str">
        <f>VLOOKUP(B228, 'Companies covered restructured'!$B$7:$K$470, 6, FALSE)</f>
        <v>#Crops(100)</v>
      </c>
      <c r="R228" s="112" t="str">
        <f t="shared" si="107"/>
        <v>#Investment Fund(100)</v>
      </c>
      <c r="S228" s="112" t="s">
        <v>11003</v>
      </c>
      <c r="T228" s="112" t="s">
        <v>10466</v>
      </c>
      <c r="U228" s="103" t="s">
        <v>10970</v>
      </c>
      <c r="V228" s="112" t="str">
        <f>VLOOKUP(P228, 'Bottom-up Tagging Assumptions'!$B$12:$F$39, 5, FALSE)</f>
        <v>#Science &amp; tech(100)</v>
      </c>
      <c r="W228" s="112" t="str">
        <f>VLOOKUP(B228, 'Companies covered restructured'!$B$7:$K$470, 7, FALSE)</f>
        <v>#Field/Animal Herd(100)</v>
      </c>
      <c r="X228" s="112" t="s">
        <v>10558</v>
      </c>
      <c r="Y228" s="112" t="str">
        <f>VLOOKUP(P228, '[2]Bottom-up Tagging Assumptions'!$B$12:$F$56, 2, FALSE)</f>
        <v>#Other Economic(P); #Productivity(S)</v>
      </c>
      <c r="Z228" s="112" t="str">
        <f>VLOOKUP(P228, 'Bottom-up Tagging Assumptions'!$B$12:$F$56, 3, FALSE)</f>
        <v>#Increasing output per unit input(P); #Increasing crop or animal yield(S)</v>
      </c>
      <c r="AA228" s="112" t="str">
        <f>VLOOKUP(P228, 'Bottom-up Tagging Assumptions'!$B$12:$F$56, 4, FALSE)</f>
        <v>#Level 1(100)</v>
      </c>
      <c r="AB228" s="110" t="s">
        <v>44</v>
      </c>
      <c r="AC228" s="110" t="s">
        <v>45</v>
      </c>
      <c r="AD228" s="110" t="s">
        <v>46</v>
      </c>
      <c r="AE228" s="110" t="str">
        <f>VLOOKUP(AD228,  '1.2'!$B$7:$C$2033, 2, FALSE)</f>
        <v>FUND</v>
      </c>
      <c r="AF228" s="112"/>
      <c r="AG228" s="110" t="s">
        <v>2052</v>
      </c>
      <c r="AH228" s="121">
        <f t="shared" si="108"/>
        <v>0</v>
      </c>
      <c r="AI228" s="121">
        <f t="shared" si="109"/>
        <v>1</v>
      </c>
      <c r="AJ228" s="121">
        <f t="shared" si="110"/>
        <v>1</v>
      </c>
      <c r="AK228" s="121">
        <f t="shared" si="111"/>
        <v>0</v>
      </c>
      <c r="AL228" s="121">
        <f t="shared" si="112"/>
        <v>0</v>
      </c>
      <c r="AM228" s="121">
        <f t="shared" si="113"/>
        <v>0</v>
      </c>
      <c r="AN228" s="121">
        <f t="shared" si="114"/>
        <v>0</v>
      </c>
      <c r="AO228" s="121">
        <f t="shared" si="115"/>
        <v>0</v>
      </c>
      <c r="AP228" s="22">
        <f t="shared" si="116"/>
        <v>0</v>
      </c>
      <c r="AQ228" s="22">
        <f t="shared" si="117"/>
        <v>0</v>
      </c>
      <c r="AR228" s="22">
        <f t="shared" si="118"/>
        <v>0</v>
      </c>
      <c r="AS228" s="121" t="str">
        <f t="shared" si="119"/>
        <v>Crops</v>
      </c>
      <c r="AT228" s="121" t="str">
        <f t="shared" si="136"/>
        <v xml:space="preserve"> </v>
      </c>
      <c r="AU228" s="121" t="str">
        <f t="shared" si="136"/>
        <v xml:space="preserve"> </v>
      </c>
      <c r="AV228" s="121" t="str">
        <f t="shared" si="136"/>
        <v xml:space="preserve"> </v>
      </c>
      <c r="AW228" s="130" t="str">
        <f t="shared" si="137"/>
        <v>100</v>
      </c>
      <c r="AX228" s="130" t="str">
        <f t="shared" si="137"/>
        <v xml:space="preserve"> </v>
      </c>
      <c r="AY228" s="130" t="str">
        <f t="shared" si="137"/>
        <v xml:space="preserve"> </v>
      </c>
      <c r="AZ228" s="130" t="str">
        <f t="shared" si="137"/>
        <v xml:space="preserve"> </v>
      </c>
      <c r="BA228" s="121">
        <f t="shared" si="120"/>
        <v>0</v>
      </c>
      <c r="BB228" s="121">
        <f t="shared" si="121"/>
        <v>0</v>
      </c>
      <c r="BC228" s="121">
        <f t="shared" si="122"/>
        <v>0</v>
      </c>
      <c r="BD228" s="121">
        <f t="shared" si="123"/>
        <v>0</v>
      </c>
      <c r="BE228" s="121">
        <f t="shared" si="124"/>
        <v>0</v>
      </c>
      <c r="BF228" s="121">
        <f t="shared" si="125"/>
        <v>0</v>
      </c>
      <c r="BG228" s="121">
        <f t="shared" si="126"/>
        <v>0</v>
      </c>
      <c r="BH228" s="121">
        <f t="shared" si="127"/>
        <v>0</v>
      </c>
      <c r="BI228" s="121">
        <f t="shared" si="128"/>
        <v>0</v>
      </c>
      <c r="BJ228" s="121">
        <f t="shared" si="129"/>
        <v>0</v>
      </c>
      <c r="BK228" s="121">
        <f t="shared" si="130"/>
        <v>0</v>
      </c>
      <c r="BL228" s="121">
        <f t="shared" si="131"/>
        <v>0</v>
      </c>
      <c r="BM228" s="121">
        <f t="shared" si="132"/>
        <v>0</v>
      </c>
      <c r="BN228" s="121">
        <f t="shared" si="133"/>
        <v>0</v>
      </c>
      <c r="BO228" s="121">
        <f t="shared" si="134"/>
        <v>0</v>
      </c>
      <c r="BP228" s="121">
        <f t="shared" si="135"/>
        <v>0</v>
      </c>
      <c r="BQ228" s="199" t="e">
        <f>INDEX('GDP deflators'!$C$6:$M$36,MATCH('Bottom-up tagging'!$D228,'GDP deflators'!$B$6:$B$36,),MATCH('Bottom-up tagging'!$E228,'GDP deflators'!$C$5:$L$5,))/100</f>
        <v>#N/A</v>
      </c>
      <c r="BR228" s="24">
        <v>1273650</v>
      </c>
    </row>
    <row r="229" spans="2:70" ht="26.15" hidden="1" customHeight="1">
      <c r="B229" s="110" t="s">
        <v>2319</v>
      </c>
      <c r="C229" s="110" t="s">
        <v>2322</v>
      </c>
      <c r="D229" s="110" t="s">
        <v>5524</v>
      </c>
      <c r="E229" s="103">
        <v>2010</v>
      </c>
      <c r="F229" s="108" t="s">
        <v>10232</v>
      </c>
      <c r="G229" s="111" t="s">
        <v>34</v>
      </c>
      <c r="H229" s="110" t="s">
        <v>10451</v>
      </c>
      <c r="I229" s="112">
        <f>IF(Dashboard!$B$16="Current USD",'Bottom-up tagging'!BR229,'Bottom-up tagging'!BR229/'Bottom-up tagging'!BQ229)</f>
        <v>1250000</v>
      </c>
      <c r="J229" s="105" t="s">
        <v>10474</v>
      </c>
      <c r="K229" s="112"/>
      <c r="L229" s="135">
        <v>1</v>
      </c>
      <c r="M229" s="135">
        <v>1</v>
      </c>
      <c r="N229" s="112"/>
      <c r="O229" s="112"/>
      <c r="P229" s="112" t="str">
        <f>VLOOKUP(B229, 'Companies covered restructured'!$B$7:$K$470, 9, FALSE)</f>
        <v>Farmer engagement platforms (including marketplaces and information platforms)</v>
      </c>
      <c r="Q229" s="112" t="str">
        <f>VLOOKUP(B229, 'Companies covered restructured'!$B$7:$K$470, 6, FALSE)</f>
        <v>#Crops(100)</v>
      </c>
      <c r="R229" s="112" t="str">
        <f t="shared" si="107"/>
        <v>#Investment Fund(100)</v>
      </c>
      <c r="S229" s="112" t="s">
        <v>11003</v>
      </c>
      <c r="T229" s="112" t="s">
        <v>10466</v>
      </c>
      <c r="U229" s="103" t="s">
        <v>10970</v>
      </c>
      <c r="V229" s="112" t="str">
        <f>VLOOKUP(P229, 'Bottom-up Tagging Assumptions'!$B$12:$F$39, 5, FALSE)</f>
        <v>#Process Innovation(100)</v>
      </c>
      <c r="W229" s="112" t="str">
        <f>VLOOKUP(B229, 'Companies covered restructured'!$B$7:$K$470, 7, FALSE)</f>
        <v>#Farm/Household(100)</v>
      </c>
      <c r="X229" s="112" t="str">
        <f>VLOOKUP(B229, 'Companies covered restructured'!$B$7:$K$470, 8, FALSE)</f>
        <v>#Small(100)</v>
      </c>
      <c r="Y229" s="212" t="str">
        <f>VLOOKUP(P229, 'Bottom-up Tagging Assumptions'!$B$12:$C$56, 2, FALSE)</f>
        <v>#Other Economic(P); #Productivity(S)</v>
      </c>
      <c r="Z229" s="112" t="str">
        <f>VLOOKUP(P229, 'Bottom-up Tagging Assumptions'!$B$12:$F$56, 3, FALSE)</f>
        <v>#Improve price realization(P); #Increasing crop or animal yield(S)</v>
      </c>
      <c r="AA229" s="112" t="str">
        <f>VLOOKUP(P229, 'Bottom-up Tagging Assumptions'!$B$12:$F$56, 4, FALSE)</f>
        <v>#Level 4(100)</v>
      </c>
      <c r="AB229" s="110" t="s">
        <v>772</v>
      </c>
      <c r="AC229" s="110"/>
      <c r="AD229" s="110" t="s">
        <v>773</v>
      </c>
      <c r="AE229" s="110" t="str">
        <f>VLOOKUP(AD229,  '1.2'!$B$7:$C$2033, 2, FALSE)</f>
        <v>FUND</v>
      </c>
      <c r="AF229" s="112">
        <v>743193</v>
      </c>
      <c r="AG229" s="110" t="s">
        <v>2059</v>
      </c>
      <c r="AH229" s="121">
        <f t="shared" si="108"/>
        <v>0</v>
      </c>
      <c r="AI229" s="121">
        <f t="shared" si="109"/>
        <v>1</v>
      </c>
      <c r="AJ229" s="121">
        <f t="shared" si="110"/>
        <v>1</v>
      </c>
      <c r="AK229" s="121">
        <f t="shared" si="111"/>
        <v>0</v>
      </c>
      <c r="AL229" s="121">
        <f t="shared" si="112"/>
        <v>0</v>
      </c>
      <c r="AM229" s="121">
        <f t="shared" si="113"/>
        <v>0</v>
      </c>
      <c r="AN229" s="121">
        <f t="shared" si="114"/>
        <v>0</v>
      </c>
      <c r="AO229" s="121">
        <f t="shared" si="115"/>
        <v>0</v>
      </c>
      <c r="AP229" s="22">
        <f t="shared" si="116"/>
        <v>0</v>
      </c>
      <c r="AQ229" s="22">
        <f t="shared" si="117"/>
        <v>0</v>
      </c>
      <c r="AR229" s="22">
        <f t="shared" si="118"/>
        <v>0</v>
      </c>
      <c r="AS229" s="121" t="str">
        <f t="shared" si="119"/>
        <v>Crops</v>
      </c>
      <c r="AT229" s="121" t="str">
        <f t="shared" si="136"/>
        <v xml:space="preserve"> </v>
      </c>
      <c r="AU229" s="121" t="str">
        <f t="shared" si="136"/>
        <v xml:space="preserve"> </v>
      </c>
      <c r="AV229" s="121" t="str">
        <f t="shared" si="136"/>
        <v xml:space="preserve"> </v>
      </c>
      <c r="AW229" s="130" t="str">
        <f t="shared" si="137"/>
        <v>100</v>
      </c>
      <c r="AX229" s="130" t="str">
        <f t="shared" si="137"/>
        <v xml:space="preserve"> </v>
      </c>
      <c r="AY229" s="130" t="str">
        <f t="shared" si="137"/>
        <v xml:space="preserve"> </v>
      </c>
      <c r="AZ229" s="130" t="str">
        <f t="shared" si="137"/>
        <v xml:space="preserve"> </v>
      </c>
      <c r="BA229" s="121">
        <f t="shared" si="120"/>
        <v>1250000</v>
      </c>
      <c r="BB229" s="121">
        <f t="shared" si="121"/>
        <v>0</v>
      </c>
      <c r="BC229" s="121">
        <f t="shared" si="122"/>
        <v>0</v>
      </c>
      <c r="BD229" s="121">
        <f t="shared" si="123"/>
        <v>0</v>
      </c>
      <c r="BE229" s="121">
        <f t="shared" si="124"/>
        <v>0</v>
      </c>
      <c r="BF229" s="121">
        <f t="shared" si="125"/>
        <v>0</v>
      </c>
      <c r="BG229" s="121">
        <f t="shared" si="126"/>
        <v>0</v>
      </c>
      <c r="BH229" s="121">
        <f t="shared" si="127"/>
        <v>0</v>
      </c>
      <c r="BI229" s="121">
        <f t="shared" si="128"/>
        <v>0</v>
      </c>
      <c r="BJ229" s="121">
        <f t="shared" si="129"/>
        <v>0</v>
      </c>
      <c r="BK229" s="121">
        <f t="shared" si="130"/>
        <v>0</v>
      </c>
      <c r="BL229" s="121">
        <f t="shared" si="131"/>
        <v>0</v>
      </c>
      <c r="BM229" s="121">
        <f t="shared" si="132"/>
        <v>0</v>
      </c>
      <c r="BN229" s="121">
        <f t="shared" si="133"/>
        <v>0</v>
      </c>
      <c r="BO229" s="121">
        <f t="shared" si="134"/>
        <v>0</v>
      </c>
      <c r="BP229" s="121">
        <f t="shared" si="135"/>
        <v>0</v>
      </c>
      <c r="BQ229" s="199">
        <f>INDEX('GDP deflators'!$C$6:$M$36,MATCH('Bottom-up tagging'!$D229,'GDP deflators'!$B$6:$B$36,),MATCH('Bottom-up tagging'!$E229,'GDP deflators'!$C$5:$L$5,))/100</f>
        <v>1</v>
      </c>
      <c r="BR229" s="24">
        <v>1250000</v>
      </c>
    </row>
    <row r="230" spans="2:70" ht="26.15" hidden="1" customHeight="1">
      <c r="B230" s="110" t="s">
        <v>303</v>
      </c>
      <c r="C230" s="110" t="s">
        <v>306</v>
      </c>
      <c r="D230" s="110" t="s">
        <v>3994</v>
      </c>
      <c r="E230" s="103">
        <v>2013</v>
      </c>
      <c r="F230" s="108" t="s">
        <v>8813</v>
      </c>
      <c r="G230" s="111" t="s">
        <v>34</v>
      </c>
      <c r="H230" s="110" t="s">
        <v>10451</v>
      </c>
      <c r="I230" s="112">
        <f>IF(Dashboard!$B$16="Current USD",'Bottom-up tagging'!BR230,'Bottom-up tagging'!BR230/'Bottom-up tagging'!BQ230)</f>
        <v>966398.55997035757</v>
      </c>
      <c r="J230" s="105" t="s">
        <v>10474</v>
      </c>
      <c r="K230" s="112"/>
      <c r="L230" s="135">
        <v>1</v>
      </c>
      <c r="M230" s="135">
        <v>1</v>
      </c>
      <c r="N230" s="112"/>
      <c r="O230" s="112"/>
      <c r="P230" s="112" t="str">
        <f>VLOOKUP(B230, 'Companies covered restructured'!$B$7:$K$470, 9, FALSE)</f>
        <v>Animal and fish monitoring systems</v>
      </c>
      <c r="Q230" s="112" t="str">
        <f>VLOOKUP(B230, 'Companies covered restructured'!$B$7:$K$470, 6, FALSE)</f>
        <v>#Livestock(100)</v>
      </c>
      <c r="R230" s="112" t="str">
        <f t="shared" si="107"/>
        <v>#Investment Fund(100)</v>
      </c>
      <c r="S230" s="112" t="s">
        <v>11003</v>
      </c>
      <c r="T230" s="112" t="s">
        <v>10466</v>
      </c>
      <c r="U230" s="103" t="s">
        <v>10970</v>
      </c>
      <c r="V230" s="112" t="str">
        <f>VLOOKUP(P230, 'Bottom-up Tagging Assumptions'!$B$12:$F$39, 5, FALSE)</f>
        <v>#Product Development(100)</v>
      </c>
      <c r="W230" s="112" t="str">
        <f>VLOOKUP(B230, 'Companies covered restructured'!$B$7:$K$470, 7, FALSE)</f>
        <v>#Field/Animal Herd(100)</v>
      </c>
      <c r="X230" s="112" t="s">
        <v>10558</v>
      </c>
      <c r="Y230" s="212" t="str">
        <f>VLOOKUP(P230, 'Bottom-up Tagging Assumptions'!$B$12:$C$56, 2, FALSE)</f>
        <v>#Productivity(P); Other economic(S)</v>
      </c>
      <c r="Z230" s="112" t="str">
        <f>VLOOKUP(P230, 'Bottom-up Tagging Assumptions'!$B$12:$F$56, 3, FALSE)</f>
        <v>#Increasing crop or animal yield(P)</v>
      </c>
      <c r="AA230" s="112" t="str">
        <f>VLOOKUP(P230, 'Bottom-up Tagging Assumptions'!$B$12:$F$56, 4, FALSE)</f>
        <v>#Level 2(100)</v>
      </c>
      <c r="AB230" s="110" t="s">
        <v>2950</v>
      </c>
      <c r="AC230" s="110"/>
      <c r="AD230" s="110" t="s">
        <v>644</v>
      </c>
      <c r="AE230" s="110" t="str">
        <f>VLOOKUP(AD230,  '1.2'!$B$7:$C$2033, 2, FALSE)</f>
        <v>FUND</v>
      </c>
      <c r="AF230" s="112">
        <v>23189</v>
      </c>
      <c r="AG230" s="110" t="s">
        <v>2063</v>
      </c>
      <c r="AH230" s="121">
        <f t="shared" si="108"/>
        <v>0</v>
      </c>
      <c r="AI230" s="121">
        <f t="shared" si="109"/>
        <v>1</v>
      </c>
      <c r="AJ230" s="121">
        <f t="shared" si="110"/>
        <v>1</v>
      </c>
      <c r="AK230" s="121">
        <f t="shared" si="111"/>
        <v>0</v>
      </c>
      <c r="AL230" s="121">
        <f t="shared" si="112"/>
        <v>0</v>
      </c>
      <c r="AM230" s="121">
        <f t="shared" si="113"/>
        <v>0</v>
      </c>
      <c r="AN230" s="121">
        <f t="shared" si="114"/>
        <v>0</v>
      </c>
      <c r="AO230" s="121">
        <f t="shared" si="115"/>
        <v>0</v>
      </c>
      <c r="AP230" s="22">
        <f t="shared" si="116"/>
        <v>0</v>
      </c>
      <c r="AQ230" s="22">
        <f t="shared" si="117"/>
        <v>0</v>
      </c>
      <c r="AR230" s="22">
        <f t="shared" si="118"/>
        <v>0</v>
      </c>
      <c r="AS230" s="121" t="str">
        <f t="shared" si="119"/>
        <v>Livestock</v>
      </c>
      <c r="AT230" s="121" t="str">
        <f t="shared" si="136"/>
        <v xml:space="preserve"> </v>
      </c>
      <c r="AU230" s="121" t="str">
        <f t="shared" si="136"/>
        <v xml:space="preserve"> </v>
      </c>
      <c r="AV230" s="121" t="str">
        <f t="shared" si="136"/>
        <v xml:space="preserve"> </v>
      </c>
      <c r="AW230" s="130" t="str">
        <f t="shared" si="137"/>
        <v>100</v>
      </c>
      <c r="AX230" s="130" t="str">
        <f t="shared" si="137"/>
        <v xml:space="preserve"> </v>
      </c>
      <c r="AY230" s="130" t="str">
        <f t="shared" si="137"/>
        <v xml:space="preserve"> </v>
      </c>
      <c r="AZ230" s="130" t="str">
        <f t="shared" si="137"/>
        <v xml:space="preserve"> </v>
      </c>
      <c r="BA230" s="121">
        <f t="shared" si="120"/>
        <v>966398.55997035757</v>
      </c>
      <c r="BB230" s="121">
        <f t="shared" si="121"/>
        <v>0</v>
      </c>
      <c r="BC230" s="121">
        <f t="shared" si="122"/>
        <v>0</v>
      </c>
      <c r="BD230" s="121">
        <f t="shared" si="123"/>
        <v>0</v>
      </c>
      <c r="BE230" s="121">
        <f t="shared" si="124"/>
        <v>0</v>
      </c>
      <c r="BF230" s="121">
        <f t="shared" si="125"/>
        <v>0</v>
      </c>
      <c r="BG230" s="121">
        <f t="shared" si="126"/>
        <v>0</v>
      </c>
      <c r="BH230" s="121">
        <f t="shared" si="127"/>
        <v>0</v>
      </c>
      <c r="BI230" s="121">
        <f t="shared" si="128"/>
        <v>0</v>
      </c>
      <c r="BJ230" s="121">
        <f t="shared" si="129"/>
        <v>0</v>
      </c>
      <c r="BK230" s="121">
        <f t="shared" si="130"/>
        <v>0</v>
      </c>
      <c r="BL230" s="121">
        <f t="shared" si="131"/>
        <v>0</v>
      </c>
      <c r="BM230" s="121">
        <f t="shared" si="132"/>
        <v>0</v>
      </c>
      <c r="BN230" s="121">
        <f t="shared" si="133"/>
        <v>0</v>
      </c>
      <c r="BO230" s="121">
        <f t="shared" si="134"/>
        <v>0</v>
      </c>
      <c r="BP230" s="121">
        <f t="shared" si="135"/>
        <v>0</v>
      </c>
      <c r="BQ230" s="199">
        <f>INDEX('GDP deflators'!$C$6:$M$36,MATCH('Bottom-up tagging'!$D230,'GDP deflators'!$B$6:$B$36,),MATCH('Bottom-up tagging'!$E230,'GDP deflators'!$C$5:$L$5,))/100</f>
        <v>1.2462146053248888</v>
      </c>
      <c r="BR230" s="24">
        <v>1204340</v>
      </c>
    </row>
    <row r="231" spans="2:70" ht="26.15" hidden="1" customHeight="1">
      <c r="B231" s="110" t="s">
        <v>2347</v>
      </c>
      <c r="C231" s="110" t="s">
        <v>2350</v>
      </c>
      <c r="D231" s="110" t="s">
        <v>5333</v>
      </c>
      <c r="E231" s="103">
        <v>2016</v>
      </c>
      <c r="F231" s="108" t="s">
        <v>9430</v>
      </c>
      <c r="G231" s="111" t="s">
        <v>109</v>
      </c>
      <c r="H231" s="110" t="s">
        <v>10451</v>
      </c>
      <c r="I231" s="112">
        <f>IF(Dashboard!$B$16="Current USD",'Bottom-up tagging'!BR231,'Bottom-up tagging'!BR231/'Bottom-up tagging'!BQ231)</f>
        <v>255341.29697405704</v>
      </c>
      <c r="J231" s="117" t="s">
        <v>10474</v>
      </c>
      <c r="K231" s="112"/>
      <c r="L231" s="135">
        <v>1</v>
      </c>
      <c r="M231" s="135">
        <v>1</v>
      </c>
      <c r="N231" s="112"/>
      <c r="O231" s="112"/>
      <c r="P231" s="112" t="str">
        <f>VLOOKUP(B231, 'Companies covered restructured'!$B$7:$K$470, 9, FALSE)</f>
        <v>AI/analytics based advisory algorithms (incl. weather)</v>
      </c>
      <c r="Q231" s="112" t="str">
        <f>VLOOKUP(B231, 'Companies covered restructured'!$B$7:$K$470, 6, FALSE)</f>
        <v>#Crops(100)</v>
      </c>
      <c r="R231" s="112" t="str">
        <f t="shared" si="107"/>
        <v>N/A</v>
      </c>
      <c r="S231" s="112" t="s">
        <v>11003</v>
      </c>
      <c r="T231" s="112" t="s">
        <v>10466</v>
      </c>
      <c r="U231" s="103" t="s">
        <v>10970</v>
      </c>
      <c r="V231" s="112" t="str">
        <f>VLOOKUP(P231, 'Bottom-up Tagging Assumptions'!$B$12:$F$39, 5, FALSE)</f>
        <v>#Science &amp; tech(100)</v>
      </c>
      <c r="W231" s="112" t="str">
        <f>VLOOKUP(B231, 'Companies covered restructured'!$B$7:$K$470, 7, FALSE)</f>
        <v>N/A</v>
      </c>
      <c r="X231" s="112" t="str">
        <f>VLOOKUP(B231, 'Companies covered restructured'!$B$7:$K$470, 8, FALSE)</f>
        <v>N/A</v>
      </c>
      <c r="Y231" s="212" t="str">
        <f>VLOOKUP(P231, 'Bottom-up Tagging Assumptions'!$B$12:$C$56, 2, FALSE)</f>
        <v>#Other Economic(P); #Productivity(S)</v>
      </c>
      <c r="Z231" s="112" t="str">
        <f>VLOOKUP(P231, 'Bottom-up Tagging Assumptions'!$B$12:$F$56, 3, FALSE)</f>
        <v>#Increasing output per unit input(P); #Increasing crop or animal yield(S)</v>
      </c>
      <c r="AA231" s="112" t="str">
        <f>VLOOKUP(P231, 'Bottom-up Tagging Assumptions'!$B$12:$F$56, 4, FALSE)</f>
        <v>#Level 1(100)</v>
      </c>
      <c r="AB231" s="110" t="s">
        <v>2349</v>
      </c>
      <c r="AC231" s="110"/>
      <c r="AD231" s="110"/>
      <c r="AE231" s="110" t="s">
        <v>10558</v>
      </c>
      <c r="AF231" s="112">
        <v>73326732</v>
      </c>
      <c r="AG231" s="110" t="s">
        <v>1125</v>
      </c>
      <c r="AH231" s="121">
        <f t="shared" si="108"/>
        <v>0</v>
      </c>
      <c r="AI231" s="121">
        <f t="shared" si="109"/>
        <v>1</v>
      </c>
      <c r="AJ231" s="121">
        <f t="shared" si="110"/>
        <v>1</v>
      </c>
      <c r="AK231" s="121">
        <f t="shared" si="111"/>
        <v>0</v>
      </c>
      <c r="AL231" s="121">
        <f t="shared" si="112"/>
        <v>0</v>
      </c>
      <c r="AM231" s="121">
        <f t="shared" si="113"/>
        <v>0</v>
      </c>
      <c r="AN231" s="121">
        <f t="shared" si="114"/>
        <v>0</v>
      </c>
      <c r="AO231" s="121">
        <f t="shared" si="115"/>
        <v>0</v>
      </c>
      <c r="AP231" s="22">
        <f t="shared" si="116"/>
        <v>0</v>
      </c>
      <c r="AQ231" s="22">
        <f t="shared" si="117"/>
        <v>0</v>
      </c>
      <c r="AR231" s="22">
        <f t="shared" si="118"/>
        <v>0</v>
      </c>
      <c r="AS231" s="121" t="str">
        <f t="shared" si="119"/>
        <v>Crops</v>
      </c>
      <c r="AT231" s="121" t="str">
        <f t="shared" si="136"/>
        <v xml:space="preserve"> </v>
      </c>
      <c r="AU231" s="121" t="str">
        <f t="shared" si="136"/>
        <v xml:space="preserve"> </v>
      </c>
      <c r="AV231" s="121" t="str">
        <f t="shared" si="136"/>
        <v xml:space="preserve"> </v>
      </c>
      <c r="AW231" s="130" t="str">
        <f t="shared" si="137"/>
        <v>100</v>
      </c>
      <c r="AX231" s="130" t="str">
        <f t="shared" si="137"/>
        <v xml:space="preserve"> </v>
      </c>
      <c r="AY231" s="130" t="str">
        <f t="shared" si="137"/>
        <v xml:space="preserve"> </v>
      </c>
      <c r="AZ231" s="130" t="str">
        <f t="shared" si="137"/>
        <v xml:space="preserve"> </v>
      </c>
      <c r="BA231" s="121">
        <f t="shared" si="120"/>
        <v>255341.29697405704</v>
      </c>
      <c r="BB231" s="121">
        <f t="shared" si="121"/>
        <v>0</v>
      </c>
      <c r="BC231" s="121">
        <f t="shared" si="122"/>
        <v>0</v>
      </c>
      <c r="BD231" s="121">
        <f t="shared" si="123"/>
        <v>0</v>
      </c>
      <c r="BE231" s="121">
        <f t="shared" si="124"/>
        <v>0</v>
      </c>
      <c r="BF231" s="121">
        <f t="shared" si="125"/>
        <v>0</v>
      </c>
      <c r="BG231" s="121">
        <f t="shared" si="126"/>
        <v>0</v>
      </c>
      <c r="BH231" s="121">
        <f t="shared" si="127"/>
        <v>0</v>
      </c>
      <c r="BI231" s="121">
        <f t="shared" si="128"/>
        <v>0</v>
      </c>
      <c r="BJ231" s="121">
        <f t="shared" si="129"/>
        <v>0</v>
      </c>
      <c r="BK231" s="121">
        <f t="shared" si="130"/>
        <v>0</v>
      </c>
      <c r="BL231" s="121">
        <f t="shared" si="131"/>
        <v>0</v>
      </c>
      <c r="BM231" s="121">
        <f t="shared" si="132"/>
        <v>0</v>
      </c>
      <c r="BN231" s="121">
        <f t="shared" si="133"/>
        <v>0</v>
      </c>
      <c r="BO231" s="121">
        <f t="shared" si="134"/>
        <v>0</v>
      </c>
      <c r="BP231" s="121">
        <f t="shared" si="135"/>
        <v>0</v>
      </c>
      <c r="BQ231" s="199">
        <f>INDEX('GDP deflators'!$C$6:$M$36,MATCH('Bottom-up tagging'!$D231,'GDP deflators'!$B$6:$B$36,),MATCH('Bottom-up tagging'!$E231,'GDP deflators'!$C$5:$L$5,))/100</f>
        <v>4.699592326900107</v>
      </c>
      <c r="BR231" s="24">
        <v>1200000</v>
      </c>
    </row>
    <row r="232" spans="2:70" ht="26.15" hidden="1" customHeight="1">
      <c r="B232" s="110" t="s">
        <v>2347</v>
      </c>
      <c r="C232" s="110" t="s">
        <v>2350</v>
      </c>
      <c r="D232" s="110" t="s">
        <v>5333</v>
      </c>
      <c r="E232" s="103">
        <v>2015</v>
      </c>
      <c r="F232" s="108" t="s">
        <v>9430</v>
      </c>
      <c r="G232" s="111" t="s">
        <v>109</v>
      </c>
      <c r="H232" s="110" t="s">
        <v>10451</v>
      </c>
      <c r="I232" s="112">
        <f>IF(Dashboard!$B$16="Current USD",'Bottom-up tagging'!BR232,'Bottom-up tagging'!BR232/'Bottom-up tagging'!BQ232)</f>
        <v>360336.05514368898</v>
      </c>
      <c r="J232" s="105" t="s">
        <v>10474</v>
      </c>
      <c r="K232" s="112"/>
      <c r="L232" s="135">
        <v>1</v>
      </c>
      <c r="M232" s="135">
        <v>1</v>
      </c>
      <c r="N232" s="112"/>
      <c r="O232" s="112"/>
      <c r="P232" s="112" t="str">
        <f>VLOOKUP(B232, 'Companies covered restructured'!$B$7:$K$470, 9, FALSE)</f>
        <v>AI/analytics based advisory algorithms (incl. weather)</v>
      </c>
      <c r="Q232" s="112" t="str">
        <f>VLOOKUP(B232, 'Companies covered restructured'!$B$7:$K$470, 6, FALSE)</f>
        <v>#Crops(100)</v>
      </c>
      <c r="R232" s="112" t="str">
        <f t="shared" si="107"/>
        <v>N/A</v>
      </c>
      <c r="S232" s="112" t="s">
        <v>11003</v>
      </c>
      <c r="T232" s="112" t="s">
        <v>10466</v>
      </c>
      <c r="U232" s="103" t="s">
        <v>10970</v>
      </c>
      <c r="V232" s="112" t="str">
        <f>VLOOKUP(P232, 'Bottom-up Tagging Assumptions'!$B$12:$F$39, 5, FALSE)</f>
        <v>#Science &amp; tech(100)</v>
      </c>
      <c r="W232" s="112" t="str">
        <f>VLOOKUP(B232, 'Companies covered restructured'!$B$7:$K$470, 7, FALSE)</f>
        <v>N/A</v>
      </c>
      <c r="X232" s="112" t="str">
        <f>VLOOKUP(B232, 'Companies covered restructured'!$B$7:$K$470, 8, FALSE)</f>
        <v>N/A</v>
      </c>
      <c r="Y232" s="212" t="str">
        <f>VLOOKUP(P232, 'Bottom-up Tagging Assumptions'!$B$12:$C$56, 2, FALSE)</f>
        <v>#Other Economic(P); #Productivity(S)</v>
      </c>
      <c r="Z232" s="112" t="str">
        <f>VLOOKUP(P232, 'Bottom-up Tagging Assumptions'!$B$12:$F$56, 3, FALSE)</f>
        <v>#Increasing output per unit input(P); #Increasing crop or animal yield(S)</v>
      </c>
      <c r="AA232" s="112" t="str">
        <f>VLOOKUP(P232, 'Bottom-up Tagging Assumptions'!$B$12:$F$56, 4, FALSE)</f>
        <v>#Level 1(100)</v>
      </c>
      <c r="AB232" s="110" t="s">
        <v>2555</v>
      </c>
      <c r="AC232" s="110"/>
      <c r="AD232" s="110"/>
      <c r="AE232" s="110" t="s">
        <v>10558</v>
      </c>
      <c r="AF232" s="112">
        <v>650000</v>
      </c>
      <c r="AG232" s="110" t="s">
        <v>1287</v>
      </c>
      <c r="AH232" s="121">
        <f t="shared" si="108"/>
        <v>0</v>
      </c>
      <c r="AI232" s="121">
        <f t="shared" si="109"/>
        <v>1</v>
      </c>
      <c r="AJ232" s="121">
        <f t="shared" si="110"/>
        <v>1</v>
      </c>
      <c r="AK232" s="121">
        <f t="shared" si="111"/>
        <v>0</v>
      </c>
      <c r="AL232" s="121">
        <f t="shared" si="112"/>
        <v>0</v>
      </c>
      <c r="AM232" s="121">
        <f t="shared" si="113"/>
        <v>0</v>
      </c>
      <c r="AN232" s="121">
        <f t="shared" si="114"/>
        <v>0</v>
      </c>
      <c r="AO232" s="121">
        <f t="shared" si="115"/>
        <v>0</v>
      </c>
      <c r="AP232" s="22">
        <f t="shared" si="116"/>
        <v>0</v>
      </c>
      <c r="AQ232" s="22">
        <f t="shared" si="117"/>
        <v>0</v>
      </c>
      <c r="AR232" s="22">
        <f t="shared" si="118"/>
        <v>0</v>
      </c>
      <c r="AS232" s="121" t="str">
        <f t="shared" si="119"/>
        <v>Crops</v>
      </c>
      <c r="AT232" s="121" t="str">
        <f t="shared" ref="AT232:AV251" si="138">IFERROR(IFERROR(MID($Q232,FIND("~",SUBSTITUTE($Q232,";","~",AT$10-1))+3,(FIND("~",SUBSTITUTE($Q232,";","~",AT$10))+0-(FIND("~",SUBSTITUTE($Q232,";","~",AT$10-1))+2))-6),MID($Q232,FIND("~",SUBSTITUTE($Q232,";","~",AT$10-1))+3,(LEN($Q232)-6-FIND("~",SUBSTITUTE($Q232,";","~",AT$10-1))-1)))," ")</f>
        <v xml:space="preserve"> </v>
      </c>
      <c r="AU232" s="121" t="str">
        <f t="shared" si="138"/>
        <v xml:space="preserve"> </v>
      </c>
      <c r="AV232" s="121" t="str">
        <f t="shared" si="138"/>
        <v xml:space="preserve"> </v>
      </c>
      <c r="AW232" s="130" t="str">
        <f t="shared" ref="AW232:AZ251" si="139">IFERROR(MID($Q232,FIND("~",SUBSTITUTE($Q232,"(","~",AW$10))+1,3)," ")</f>
        <v>100</v>
      </c>
      <c r="AX232" s="130" t="str">
        <f t="shared" si="139"/>
        <v xml:space="preserve"> </v>
      </c>
      <c r="AY232" s="130" t="str">
        <f t="shared" si="139"/>
        <v xml:space="preserve"> </v>
      </c>
      <c r="AZ232" s="130" t="str">
        <f t="shared" si="139"/>
        <v xml:space="preserve"> </v>
      </c>
      <c r="BA232" s="121">
        <f t="shared" si="120"/>
        <v>360336.05514368898</v>
      </c>
      <c r="BB232" s="121">
        <f t="shared" si="121"/>
        <v>0</v>
      </c>
      <c r="BC232" s="121">
        <f t="shared" si="122"/>
        <v>0</v>
      </c>
      <c r="BD232" s="121">
        <f t="shared" si="123"/>
        <v>0</v>
      </c>
      <c r="BE232" s="121">
        <f t="shared" si="124"/>
        <v>0</v>
      </c>
      <c r="BF232" s="121">
        <f t="shared" si="125"/>
        <v>0</v>
      </c>
      <c r="BG232" s="121">
        <f t="shared" si="126"/>
        <v>0</v>
      </c>
      <c r="BH232" s="121">
        <f t="shared" si="127"/>
        <v>0</v>
      </c>
      <c r="BI232" s="121">
        <f t="shared" si="128"/>
        <v>0</v>
      </c>
      <c r="BJ232" s="121">
        <f t="shared" si="129"/>
        <v>0</v>
      </c>
      <c r="BK232" s="121">
        <f t="shared" si="130"/>
        <v>0</v>
      </c>
      <c r="BL232" s="121">
        <f t="shared" si="131"/>
        <v>0</v>
      </c>
      <c r="BM232" s="121">
        <f t="shared" si="132"/>
        <v>0</v>
      </c>
      <c r="BN232" s="121">
        <f t="shared" si="133"/>
        <v>0</v>
      </c>
      <c r="BO232" s="121">
        <f t="shared" si="134"/>
        <v>0</v>
      </c>
      <c r="BP232" s="121">
        <f t="shared" si="135"/>
        <v>0</v>
      </c>
      <c r="BQ232" s="199">
        <f>INDEX('GDP deflators'!$C$6:$M$36,MATCH('Bottom-up tagging'!$D232,'GDP deflators'!$B$6:$B$36,),MATCH('Bottom-up tagging'!$E232,'GDP deflators'!$C$5:$L$5,))/100</f>
        <v>3.3302246135804627</v>
      </c>
      <c r="BR232" s="24">
        <v>1200000</v>
      </c>
    </row>
    <row r="233" spans="2:70" ht="26.15" hidden="1" customHeight="1">
      <c r="B233" s="110" t="s">
        <v>1330</v>
      </c>
      <c r="C233" s="110" t="s">
        <v>1334</v>
      </c>
      <c r="D233" s="110" t="s">
        <v>3994</v>
      </c>
      <c r="E233" s="103">
        <v>2017</v>
      </c>
      <c r="F233" s="108" t="s">
        <v>8242</v>
      </c>
      <c r="G233" s="111" t="s">
        <v>109</v>
      </c>
      <c r="H233" s="110" t="s">
        <v>10451</v>
      </c>
      <c r="I233" s="112">
        <f>IF(Dashboard!$B$16="Current USD",'Bottom-up tagging'!BR233,'Bottom-up tagging'!BR233/'Bottom-up tagging'!BQ233)</f>
        <v>838035.42235711846</v>
      </c>
      <c r="J233" s="105" t="s">
        <v>10474</v>
      </c>
      <c r="K233" s="112"/>
      <c r="L233" s="135">
        <v>1</v>
      </c>
      <c r="M233" s="135">
        <v>1</v>
      </c>
      <c r="N233" s="112"/>
      <c r="O233" s="112"/>
      <c r="P233" s="112" t="str">
        <f>VLOOKUP(B233, 'Companies covered restructured'!$B$7:$K$470, 9, FALSE)</f>
        <v>AI/analytics based advisory algorithms (incl. weather)</v>
      </c>
      <c r="Q233" s="112" t="str">
        <f>VLOOKUP(B233, 'Companies covered restructured'!$B$7:$K$470, 6, FALSE)</f>
        <v>#Crops(100)</v>
      </c>
      <c r="R233" s="112" t="str">
        <f t="shared" si="107"/>
        <v>N/A</v>
      </c>
      <c r="S233" s="112" t="s">
        <v>11003</v>
      </c>
      <c r="T233" s="112" t="s">
        <v>10466</v>
      </c>
      <c r="U233" s="103" t="s">
        <v>10970</v>
      </c>
      <c r="V233" s="112" t="str">
        <f>VLOOKUP(P233, 'Bottom-up Tagging Assumptions'!$B$12:$F$39, 5, FALSE)</f>
        <v>#Science &amp; tech(100)</v>
      </c>
      <c r="W233" s="112" t="str">
        <f>VLOOKUP(B233, 'Companies covered restructured'!$B$7:$K$470, 7, FALSE)</f>
        <v>#Field/Animal Herd(100)</v>
      </c>
      <c r="X233" s="112" t="s">
        <v>10558</v>
      </c>
      <c r="Y233" s="212" t="str">
        <f>VLOOKUP(P233, 'Bottom-up Tagging Assumptions'!$B$12:$C$56, 2, FALSE)</f>
        <v>#Other Economic(P); #Productivity(S)</v>
      </c>
      <c r="Z233" s="112" t="str">
        <f>VLOOKUP(P233, 'Bottom-up Tagging Assumptions'!$B$12:$F$56, 3, FALSE)</f>
        <v>#Increasing output per unit input(P); #Increasing crop or animal yield(S)</v>
      </c>
      <c r="AA233" s="112" t="str">
        <f>VLOOKUP(P233, 'Bottom-up Tagging Assumptions'!$B$12:$F$56, 4, FALSE)</f>
        <v>#Level 1(100)</v>
      </c>
      <c r="AB233" s="110" t="s">
        <v>1965</v>
      </c>
      <c r="AC233" s="110"/>
      <c r="AD233" s="110"/>
      <c r="AE233" s="110" t="s">
        <v>10558</v>
      </c>
      <c r="AF233" s="112">
        <v>736306</v>
      </c>
      <c r="AG233" s="110" t="s">
        <v>789</v>
      </c>
      <c r="AH233" s="121">
        <f t="shared" si="108"/>
        <v>0</v>
      </c>
      <c r="AI233" s="121">
        <f t="shared" si="109"/>
        <v>1</v>
      </c>
      <c r="AJ233" s="121">
        <f t="shared" si="110"/>
        <v>1</v>
      </c>
      <c r="AK233" s="121">
        <f t="shared" si="111"/>
        <v>0</v>
      </c>
      <c r="AL233" s="121">
        <f t="shared" si="112"/>
        <v>0</v>
      </c>
      <c r="AM233" s="121">
        <f t="shared" si="113"/>
        <v>0</v>
      </c>
      <c r="AN233" s="121">
        <f t="shared" si="114"/>
        <v>0</v>
      </c>
      <c r="AO233" s="121">
        <f t="shared" si="115"/>
        <v>0</v>
      </c>
      <c r="AP233" s="22">
        <f t="shared" si="116"/>
        <v>0</v>
      </c>
      <c r="AQ233" s="22">
        <f t="shared" si="117"/>
        <v>0</v>
      </c>
      <c r="AR233" s="22">
        <f t="shared" si="118"/>
        <v>0</v>
      </c>
      <c r="AS233" s="121" t="str">
        <f t="shared" si="119"/>
        <v>Crops</v>
      </c>
      <c r="AT233" s="121" t="str">
        <f t="shared" si="138"/>
        <v xml:space="preserve"> </v>
      </c>
      <c r="AU233" s="121" t="str">
        <f t="shared" si="138"/>
        <v xml:space="preserve"> </v>
      </c>
      <c r="AV233" s="121" t="str">
        <f t="shared" si="138"/>
        <v xml:space="preserve"> </v>
      </c>
      <c r="AW233" s="130" t="str">
        <f t="shared" si="139"/>
        <v>100</v>
      </c>
      <c r="AX233" s="130" t="str">
        <f t="shared" si="139"/>
        <v xml:space="preserve"> </v>
      </c>
      <c r="AY233" s="130" t="str">
        <f t="shared" si="139"/>
        <v xml:space="preserve"> </v>
      </c>
      <c r="AZ233" s="130" t="str">
        <f t="shared" si="139"/>
        <v xml:space="preserve"> </v>
      </c>
      <c r="BA233" s="121">
        <f t="shared" si="120"/>
        <v>838035.42235711846</v>
      </c>
      <c r="BB233" s="121">
        <f t="shared" si="121"/>
        <v>0</v>
      </c>
      <c r="BC233" s="121">
        <f t="shared" si="122"/>
        <v>0</v>
      </c>
      <c r="BD233" s="121">
        <f t="shared" si="123"/>
        <v>0</v>
      </c>
      <c r="BE233" s="121">
        <f t="shared" si="124"/>
        <v>0</v>
      </c>
      <c r="BF233" s="121">
        <f t="shared" si="125"/>
        <v>0</v>
      </c>
      <c r="BG233" s="121">
        <f t="shared" si="126"/>
        <v>0</v>
      </c>
      <c r="BH233" s="121">
        <f t="shared" si="127"/>
        <v>0</v>
      </c>
      <c r="BI233" s="121">
        <f t="shared" si="128"/>
        <v>0</v>
      </c>
      <c r="BJ233" s="121">
        <f t="shared" si="129"/>
        <v>0</v>
      </c>
      <c r="BK233" s="121">
        <f t="shared" si="130"/>
        <v>0</v>
      </c>
      <c r="BL233" s="121">
        <f t="shared" si="131"/>
        <v>0</v>
      </c>
      <c r="BM233" s="121">
        <f t="shared" si="132"/>
        <v>0</v>
      </c>
      <c r="BN233" s="121">
        <f t="shared" si="133"/>
        <v>0</v>
      </c>
      <c r="BO233" s="121">
        <f t="shared" si="134"/>
        <v>0</v>
      </c>
      <c r="BP233" s="121">
        <f t="shared" si="135"/>
        <v>0</v>
      </c>
      <c r="BQ233" s="199">
        <f>INDEX('GDP deflators'!$C$6:$M$36,MATCH('Bottom-up tagging'!$D233,'GDP deflators'!$B$6:$B$36,),MATCH('Bottom-up tagging'!$E233,'GDP deflators'!$C$5:$L$5,))/100</f>
        <v>1.4111098032990623</v>
      </c>
      <c r="BR233" s="24">
        <v>1182560</v>
      </c>
    </row>
    <row r="234" spans="2:70" ht="26.15" hidden="1" customHeight="1">
      <c r="B234" s="110" t="s">
        <v>1115</v>
      </c>
      <c r="C234" s="110" t="s">
        <v>1118</v>
      </c>
      <c r="D234" s="110" t="s">
        <v>3994</v>
      </c>
      <c r="E234" s="103">
        <v>2019</v>
      </c>
      <c r="F234" s="108" t="s">
        <v>8829</v>
      </c>
      <c r="G234" s="111" t="s">
        <v>289</v>
      </c>
      <c r="H234" s="110" t="s">
        <v>10451</v>
      </c>
      <c r="I234" s="112">
        <f>IF(Dashboard!$B$16="Current USD",'Bottom-up tagging'!BR234,'Bottom-up tagging'!BR234/'Bottom-up tagging'!BQ234)</f>
        <v>763689.20879803912</v>
      </c>
      <c r="J234" s="105" t="s">
        <v>10474</v>
      </c>
      <c r="K234" s="112"/>
      <c r="L234" s="135">
        <v>1</v>
      </c>
      <c r="M234" s="135">
        <v>1</v>
      </c>
      <c r="N234" s="112"/>
      <c r="O234" s="112"/>
      <c r="P234" s="112" t="str">
        <f>VLOOKUP(B234, 'Companies covered restructured'!$B$7:$K$470, 9, FALSE)</f>
        <v>Farmer engagement platforms (including marketplaces and information platforms)</v>
      </c>
      <c r="Q234" s="112" t="str">
        <f>VLOOKUP(B234, 'Companies covered restructured'!$B$7:$K$470, 6, FALSE)</f>
        <v>#Crops(100)</v>
      </c>
      <c r="R234" s="112" t="str">
        <f t="shared" si="107"/>
        <v>N/A</v>
      </c>
      <c r="S234" s="112" t="s">
        <v>11003</v>
      </c>
      <c r="T234" s="112" t="s">
        <v>10464</v>
      </c>
      <c r="U234" s="103" t="s">
        <v>10970</v>
      </c>
      <c r="V234" s="112" t="str">
        <f>VLOOKUP(P234, 'Bottom-up Tagging Assumptions'!$B$12:$F$39, 5, FALSE)</f>
        <v>#Process Innovation(100)</v>
      </c>
      <c r="W234" s="112" t="str">
        <f>VLOOKUP(B234, 'Companies covered restructured'!$B$7:$K$470, 7, FALSE)</f>
        <v>#Field/Animal Herd(100)</v>
      </c>
      <c r="X234" s="112" t="s">
        <v>10558</v>
      </c>
      <c r="Y234" s="212" t="str">
        <f>VLOOKUP(P234, 'Bottom-up Tagging Assumptions'!$B$12:$C$56, 2, FALSE)</f>
        <v>#Other Economic(P); #Productivity(S)</v>
      </c>
      <c r="Z234" s="112" t="str">
        <f>VLOOKUP(P234, 'Bottom-up Tagging Assumptions'!$B$12:$F$56, 3, FALSE)</f>
        <v>#Improve price realization(P); #Increasing crop or animal yield(S)</v>
      </c>
      <c r="AA234" s="112" t="str">
        <f>VLOOKUP(P234, 'Bottom-up Tagging Assumptions'!$B$12:$F$56, 4, FALSE)</f>
        <v>#Level 4(100)</v>
      </c>
      <c r="AB234" s="110" t="s">
        <v>1117</v>
      </c>
      <c r="AC234" s="110"/>
      <c r="AD234" s="110"/>
      <c r="AE234" s="110" t="s">
        <v>10558</v>
      </c>
      <c r="AF234" s="112">
        <v>17346190</v>
      </c>
      <c r="AG234" s="110" t="s">
        <v>1899</v>
      </c>
      <c r="AH234" s="121">
        <f t="shared" si="108"/>
        <v>0</v>
      </c>
      <c r="AI234" s="121">
        <f t="shared" si="109"/>
        <v>1</v>
      </c>
      <c r="AJ234" s="121">
        <f t="shared" si="110"/>
        <v>1</v>
      </c>
      <c r="AK234" s="121">
        <f t="shared" si="111"/>
        <v>0</v>
      </c>
      <c r="AL234" s="121">
        <f t="shared" si="112"/>
        <v>0</v>
      </c>
      <c r="AM234" s="121">
        <f t="shared" si="113"/>
        <v>0</v>
      </c>
      <c r="AN234" s="121">
        <f t="shared" si="114"/>
        <v>0</v>
      </c>
      <c r="AO234" s="121">
        <f t="shared" si="115"/>
        <v>0</v>
      </c>
      <c r="AP234" s="22">
        <f t="shared" si="116"/>
        <v>0</v>
      </c>
      <c r="AQ234" s="22">
        <f t="shared" si="117"/>
        <v>0</v>
      </c>
      <c r="AR234" s="22">
        <f t="shared" si="118"/>
        <v>0</v>
      </c>
      <c r="AS234" s="121" t="str">
        <f t="shared" si="119"/>
        <v>Crops</v>
      </c>
      <c r="AT234" s="121" t="str">
        <f t="shared" si="138"/>
        <v xml:space="preserve"> </v>
      </c>
      <c r="AU234" s="121" t="str">
        <f t="shared" si="138"/>
        <v xml:space="preserve"> </v>
      </c>
      <c r="AV234" s="121" t="str">
        <f t="shared" si="138"/>
        <v xml:space="preserve"> </v>
      </c>
      <c r="AW234" s="130" t="str">
        <f t="shared" si="139"/>
        <v>100</v>
      </c>
      <c r="AX234" s="130" t="str">
        <f t="shared" si="139"/>
        <v xml:space="preserve"> </v>
      </c>
      <c r="AY234" s="130" t="str">
        <f t="shared" si="139"/>
        <v xml:space="preserve"> </v>
      </c>
      <c r="AZ234" s="130" t="str">
        <f t="shared" si="139"/>
        <v xml:space="preserve"> </v>
      </c>
      <c r="BA234" s="121">
        <f t="shared" si="120"/>
        <v>763689.20879803912</v>
      </c>
      <c r="BB234" s="121">
        <f t="shared" si="121"/>
        <v>0</v>
      </c>
      <c r="BC234" s="121">
        <f t="shared" si="122"/>
        <v>0</v>
      </c>
      <c r="BD234" s="121">
        <f t="shared" si="123"/>
        <v>0</v>
      </c>
      <c r="BE234" s="121">
        <f t="shared" si="124"/>
        <v>0</v>
      </c>
      <c r="BF234" s="121">
        <f t="shared" si="125"/>
        <v>0</v>
      </c>
      <c r="BG234" s="121">
        <f t="shared" si="126"/>
        <v>0</v>
      </c>
      <c r="BH234" s="121">
        <f t="shared" si="127"/>
        <v>0</v>
      </c>
      <c r="BI234" s="121">
        <f t="shared" si="128"/>
        <v>0</v>
      </c>
      <c r="BJ234" s="121">
        <f t="shared" si="129"/>
        <v>0</v>
      </c>
      <c r="BK234" s="121">
        <f t="shared" si="130"/>
        <v>0</v>
      </c>
      <c r="BL234" s="121">
        <f t="shared" si="131"/>
        <v>0</v>
      </c>
      <c r="BM234" s="121">
        <f t="shared" si="132"/>
        <v>0</v>
      </c>
      <c r="BN234" s="121">
        <f t="shared" si="133"/>
        <v>0</v>
      </c>
      <c r="BO234" s="121">
        <f t="shared" si="134"/>
        <v>0</v>
      </c>
      <c r="BP234" s="121">
        <f t="shared" si="135"/>
        <v>0</v>
      </c>
      <c r="BQ234" s="199">
        <f>INDEX('GDP deflators'!$C$6:$M$36,MATCH('Bottom-up tagging'!$D234,'GDP deflators'!$B$6:$B$36,),MATCH('Bottom-up tagging'!$E234,'GDP deflators'!$C$5:$L$5,))/100</f>
        <v>1.5094883975306472</v>
      </c>
      <c r="BR234" s="24">
        <v>1152780</v>
      </c>
    </row>
    <row r="235" spans="2:70" ht="26.15" hidden="1" customHeight="1">
      <c r="B235" s="110" t="s">
        <v>1476</v>
      </c>
      <c r="C235" s="110" t="s">
        <v>1480</v>
      </c>
      <c r="D235" s="110" t="s">
        <v>2057</v>
      </c>
      <c r="E235" s="103">
        <v>2015</v>
      </c>
      <c r="F235" s="108" t="s">
        <v>7584</v>
      </c>
      <c r="G235" s="111" t="s">
        <v>34</v>
      </c>
      <c r="H235" s="110" t="s">
        <v>10451</v>
      </c>
      <c r="I235" s="112">
        <f>IF(Dashboard!$B$16="Current USD",'Bottom-up tagging'!BR235,'Bottom-up tagging'!BR235/'Bottom-up tagging'!BQ235)</f>
        <v>1000186.1264935212</v>
      </c>
      <c r="J235" s="105" t="s">
        <v>10474</v>
      </c>
      <c r="K235" s="112"/>
      <c r="L235" s="135">
        <v>1</v>
      </c>
      <c r="M235" s="135">
        <v>1</v>
      </c>
      <c r="N235" s="112"/>
      <c r="O235" s="112"/>
      <c r="P235" s="112" t="str">
        <f>VLOOKUP(B235, 'Companies covered restructured'!$B$7:$K$470, 9, FALSE)</f>
        <v>Farmer engagement platforms (including marketplaces and information platforms)</v>
      </c>
      <c r="Q235" s="112" t="str">
        <f>VLOOKUP(B235, 'Companies covered restructured'!$B$7:$K$470, 6, FALSE)</f>
        <v>#Crops(100)</v>
      </c>
      <c r="R235" s="112" t="str">
        <f t="shared" si="107"/>
        <v>N/A</v>
      </c>
      <c r="S235" s="112" t="s">
        <v>11003</v>
      </c>
      <c r="T235" s="112" t="s">
        <v>10466</v>
      </c>
      <c r="U235" s="103" t="s">
        <v>10970</v>
      </c>
      <c r="V235" s="112" t="str">
        <f>VLOOKUP(P235, 'Bottom-up Tagging Assumptions'!$B$12:$F$39, 5, FALSE)</f>
        <v>#Process Innovation(100)</v>
      </c>
      <c r="W235" s="112" t="str">
        <f>VLOOKUP(B235, 'Companies covered restructured'!$B$7:$K$470, 7, FALSE)</f>
        <v>#Farm/Household(100)</v>
      </c>
      <c r="X235" s="112" t="s">
        <v>10558</v>
      </c>
      <c r="Y235" s="212" t="str">
        <f>VLOOKUP(P235, 'Bottom-up Tagging Assumptions'!$B$12:$C$56, 2, FALSE)</f>
        <v>#Other Economic(P); #Productivity(S)</v>
      </c>
      <c r="Z235" s="112" t="str">
        <f>VLOOKUP(P235, 'Bottom-up Tagging Assumptions'!$B$12:$F$56, 3, FALSE)</f>
        <v>#Improve price realization(P); #Increasing crop or animal yield(S)</v>
      </c>
      <c r="AA235" s="112" t="str">
        <f>VLOOKUP(P235, 'Bottom-up Tagging Assumptions'!$B$12:$F$56, 4, FALSE)</f>
        <v>#Level 4(100)</v>
      </c>
      <c r="AB235" s="110"/>
      <c r="AC235" s="110"/>
      <c r="AD235" s="110"/>
      <c r="AE235" s="110" t="s">
        <v>10558</v>
      </c>
      <c r="AF235" s="112">
        <v>10111973</v>
      </c>
      <c r="AG235" s="110" t="s">
        <v>384</v>
      </c>
      <c r="AH235" s="121">
        <f t="shared" si="108"/>
        <v>0</v>
      </c>
      <c r="AI235" s="121">
        <f t="shared" si="109"/>
        <v>1</v>
      </c>
      <c r="AJ235" s="121">
        <f t="shared" si="110"/>
        <v>1</v>
      </c>
      <c r="AK235" s="121">
        <f t="shared" si="111"/>
        <v>0</v>
      </c>
      <c r="AL235" s="121">
        <f t="shared" si="112"/>
        <v>0</v>
      </c>
      <c r="AM235" s="121">
        <f t="shared" si="113"/>
        <v>0</v>
      </c>
      <c r="AN235" s="121">
        <f t="shared" si="114"/>
        <v>0</v>
      </c>
      <c r="AO235" s="121">
        <f t="shared" si="115"/>
        <v>0</v>
      </c>
      <c r="AP235" s="22">
        <f t="shared" si="116"/>
        <v>0</v>
      </c>
      <c r="AQ235" s="22">
        <f t="shared" si="117"/>
        <v>0</v>
      </c>
      <c r="AR235" s="22">
        <f t="shared" si="118"/>
        <v>0</v>
      </c>
      <c r="AS235" s="121" t="str">
        <f t="shared" si="119"/>
        <v>Crops</v>
      </c>
      <c r="AT235" s="121" t="str">
        <f t="shared" si="138"/>
        <v xml:space="preserve"> </v>
      </c>
      <c r="AU235" s="121" t="str">
        <f t="shared" si="138"/>
        <v xml:space="preserve"> </v>
      </c>
      <c r="AV235" s="121" t="str">
        <f t="shared" si="138"/>
        <v xml:space="preserve"> </v>
      </c>
      <c r="AW235" s="130" t="str">
        <f t="shared" si="139"/>
        <v>100</v>
      </c>
      <c r="AX235" s="130" t="str">
        <f t="shared" si="139"/>
        <v xml:space="preserve"> </v>
      </c>
      <c r="AY235" s="130" t="str">
        <f t="shared" si="139"/>
        <v xml:space="preserve"> </v>
      </c>
      <c r="AZ235" s="130" t="str">
        <f t="shared" si="139"/>
        <v xml:space="preserve"> </v>
      </c>
      <c r="BA235" s="121">
        <f t="shared" si="120"/>
        <v>1000186.1264935212</v>
      </c>
      <c r="BB235" s="121">
        <f t="shared" si="121"/>
        <v>0</v>
      </c>
      <c r="BC235" s="121">
        <f t="shared" si="122"/>
        <v>0</v>
      </c>
      <c r="BD235" s="121">
        <f t="shared" si="123"/>
        <v>0</v>
      </c>
      <c r="BE235" s="121">
        <f t="shared" si="124"/>
        <v>0</v>
      </c>
      <c r="BF235" s="121">
        <f t="shared" si="125"/>
        <v>0</v>
      </c>
      <c r="BG235" s="121">
        <f t="shared" si="126"/>
        <v>0</v>
      </c>
      <c r="BH235" s="121">
        <f t="shared" si="127"/>
        <v>0</v>
      </c>
      <c r="BI235" s="121">
        <f t="shared" si="128"/>
        <v>0</v>
      </c>
      <c r="BJ235" s="121">
        <f t="shared" si="129"/>
        <v>0</v>
      </c>
      <c r="BK235" s="121">
        <f t="shared" si="130"/>
        <v>0</v>
      </c>
      <c r="BL235" s="121">
        <f t="shared" si="131"/>
        <v>0</v>
      </c>
      <c r="BM235" s="121">
        <f t="shared" si="132"/>
        <v>0</v>
      </c>
      <c r="BN235" s="121">
        <f t="shared" si="133"/>
        <v>0</v>
      </c>
      <c r="BO235" s="121">
        <f t="shared" si="134"/>
        <v>0</v>
      </c>
      <c r="BP235" s="121">
        <f t="shared" si="135"/>
        <v>0</v>
      </c>
      <c r="BQ235" s="199">
        <f>INDEX('GDP deflators'!$C$6:$M$36,MATCH('Bottom-up tagging'!$D235,'GDP deflators'!$B$6:$B$36,),MATCH('Bottom-up tagging'!$E235,'GDP deflators'!$C$5:$L$5,))/100</f>
        <v>1.1415175333442258</v>
      </c>
      <c r="BR235" s="24">
        <v>1141730</v>
      </c>
    </row>
    <row r="236" spans="2:70" ht="26.15" hidden="1" customHeight="1">
      <c r="B236" s="110" t="s">
        <v>1186</v>
      </c>
      <c r="C236" s="110" t="s">
        <v>1189</v>
      </c>
      <c r="D236" s="110" t="s">
        <v>5844</v>
      </c>
      <c r="E236" s="103">
        <v>2019</v>
      </c>
      <c r="F236" s="108" t="s">
        <v>8175</v>
      </c>
      <c r="G236" s="111" t="s">
        <v>34</v>
      </c>
      <c r="H236" s="110" t="s">
        <v>10451</v>
      </c>
      <c r="I236" s="112">
        <f>IF(Dashboard!$B$16="Current USD",'Bottom-up tagging'!BR236,'Bottom-up tagging'!BR236/'Bottom-up tagging'!BQ236)</f>
        <v>700003.47085839673</v>
      </c>
      <c r="J236" s="118" t="s">
        <v>10474</v>
      </c>
      <c r="K236" s="112"/>
      <c r="L236" s="135">
        <v>1</v>
      </c>
      <c r="M236" s="135">
        <v>1</v>
      </c>
      <c r="N236" s="112"/>
      <c r="O236" s="112"/>
      <c r="P236" s="112" t="str">
        <f>VLOOKUP(B236, 'Companies covered restructured'!$B$7:$K$470, 9, FALSE)</f>
        <v xml:space="preserve">Animal feeding </v>
      </c>
      <c r="Q236" s="112" t="str">
        <f>VLOOKUP(B236, 'Companies covered restructured'!$B$7:$K$470, 6, FALSE)</f>
        <v>#Livestock(100)</v>
      </c>
      <c r="R236" s="112" t="str">
        <f t="shared" si="107"/>
        <v>N/A</v>
      </c>
      <c r="S236" s="112" t="s">
        <v>11003</v>
      </c>
      <c r="T236" s="112" t="s">
        <v>10466</v>
      </c>
      <c r="U236" s="103" t="s">
        <v>10970</v>
      </c>
      <c r="V236" s="212" t="s">
        <v>10977</v>
      </c>
      <c r="W236" s="112" t="str">
        <f>VLOOKUP(B236, 'Companies covered restructured'!$B$7:$K$470, 7, FALSE)</f>
        <v>#Landscape(100)</v>
      </c>
      <c r="X236" s="112" t="str">
        <f>VLOOKUP(B236, 'Companies covered restructured'!$B$7:$K$470, 8, FALSE)</f>
        <v>N/A</v>
      </c>
      <c r="Y236" s="212" t="str">
        <f>VLOOKUP(P236, 'Bottom-up Tagging Assumptions'!$B$12:$C$56, 2, FALSE)</f>
        <v>#Environmental(P); #Other economic(S)</v>
      </c>
      <c r="Z236" s="112" t="str">
        <f>VLOOKUP(P236, 'Bottom-up Tagging Assumptions'!$B$12:$F$56, 3, FALSE)</f>
        <v>#Improved air quality(P); #Reduce cost of inputs(S)</v>
      </c>
      <c r="AA236" s="112" t="str">
        <f>VLOOKUP(P236, 'Bottom-up Tagging Assumptions'!$B$12:$F$56, 4, FALSE)</f>
        <v>#Level 2(100)</v>
      </c>
      <c r="AB236" s="110"/>
      <c r="AC236" s="110"/>
      <c r="AD236" s="110"/>
      <c r="AE236" s="110" t="s">
        <v>10558</v>
      </c>
      <c r="AF236" s="112">
        <v>1800000</v>
      </c>
      <c r="AG236" s="110" t="s">
        <v>1190</v>
      </c>
      <c r="AH236" s="121">
        <f t="shared" si="108"/>
        <v>1</v>
      </c>
      <c r="AI236" s="121">
        <f t="shared" si="109"/>
        <v>0</v>
      </c>
      <c r="AJ236" s="121">
        <f t="shared" si="110"/>
        <v>1</v>
      </c>
      <c r="AK236" s="121">
        <f t="shared" si="111"/>
        <v>0</v>
      </c>
      <c r="AL236" s="121">
        <f t="shared" si="112"/>
        <v>0</v>
      </c>
      <c r="AM236" s="121">
        <f t="shared" si="113"/>
        <v>0</v>
      </c>
      <c r="AN236" s="121">
        <f t="shared" si="114"/>
        <v>1</v>
      </c>
      <c r="AO236" s="121">
        <f t="shared" si="115"/>
        <v>0</v>
      </c>
      <c r="AP236" s="22">
        <f t="shared" si="116"/>
        <v>0</v>
      </c>
      <c r="AQ236" s="22">
        <f t="shared" si="117"/>
        <v>700003.47085839673</v>
      </c>
      <c r="AR236" s="22">
        <f t="shared" si="118"/>
        <v>0</v>
      </c>
      <c r="AS236" s="121" t="str">
        <f t="shared" si="119"/>
        <v>Livestock</v>
      </c>
      <c r="AT236" s="121" t="str">
        <f t="shared" si="138"/>
        <v xml:space="preserve"> </v>
      </c>
      <c r="AU236" s="121" t="str">
        <f t="shared" si="138"/>
        <v xml:space="preserve"> </v>
      </c>
      <c r="AV236" s="121" t="str">
        <f t="shared" si="138"/>
        <v xml:space="preserve"> </v>
      </c>
      <c r="AW236" s="130" t="str">
        <f t="shared" si="139"/>
        <v>100</v>
      </c>
      <c r="AX236" s="130" t="str">
        <f t="shared" si="139"/>
        <v xml:space="preserve"> </v>
      </c>
      <c r="AY236" s="130" t="str">
        <f t="shared" si="139"/>
        <v xml:space="preserve"> </v>
      </c>
      <c r="AZ236" s="130" t="str">
        <f t="shared" si="139"/>
        <v xml:space="preserve"> </v>
      </c>
      <c r="BA236" s="121">
        <f t="shared" si="120"/>
        <v>700003.47085839673</v>
      </c>
      <c r="BB236" s="121">
        <f t="shared" si="121"/>
        <v>0</v>
      </c>
      <c r="BC236" s="121">
        <f t="shared" si="122"/>
        <v>0</v>
      </c>
      <c r="BD236" s="121">
        <f t="shared" si="123"/>
        <v>0</v>
      </c>
      <c r="BE236" s="121">
        <f t="shared" si="124"/>
        <v>0</v>
      </c>
      <c r="BF236" s="121">
        <f t="shared" si="125"/>
        <v>0</v>
      </c>
      <c r="BG236" s="121">
        <f t="shared" si="126"/>
        <v>0</v>
      </c>
      <c r="BH236" s="121">
        <f t="shared" si="127"/>
        <v>0</v>
      </c>
      <c r="BI236" s="121">
        <f t="shared" si="128"/>
        <v>700003.47085839673</v>
      </c>
      <c r="BJ236" s="121">
        <f t="shared" si="129"/>
        <v>700003.47085839673</v>
      </c>
      <c r="BK236" s="121">
        <f t="shared" si="130"/>
        <v>700003.47085839673</v>
      </c>
      <c r="BL236" s="121">
        <f t="shared" si="131"/>
        <v>700003.47085839673</v>
      </c>
      <c r="BM236" s="121">
        <f t="shared" si="132"/>
        <v>0</v>
      </c>
      <c r="BN236" s="121">
        <f t="shared" si="133"/>
        <v>0</v>
      </c>
      <c r="BO236" s="121">
        <f t="shared" si="134"/>
        <v>0</v>
      </c>
      <c r="BP236" s="121">
        <f t="shared" si="135"/>
        <v>0</v>
      </c>
      <c r="BQ236" s="199">
        <f>INDEX('GDP deflators'!$C$6:$M$36,MATCH('Bottom-up tagging'!$D236,'GDP deflators'!$B$6:$B$36,),MATCH('Bottom-up tagging'!$E236,'GDP deflators'!$C$5:$L$5,))/100</f>
        <v>1.6148919927693814</v>
      </c>
      <c r="BR236" s="24">
        <v>1130430</v>
      </c>
    </row>
    <row r="237" spans="2:70" ht="26.15" hidden="1" customHeight="1">
      <c r="B237" s="110" t="s">
        <v>398</v>
      </c>
      <c r="C237" s="110" t="s">
        <v>402</v>
      </c>
      <c r="D237" s="110" t="s">
        <v>3994</v>
      </c>
      <c r="E237" s="103">
        <v>2018</v>
      </c>
      <c r="F237" s="108" t="s">
        <v>5095</v>
      </c>
      <c r="G237" s="111" t="s">
        <v>34</v>
      </c>
      <c r="H237" s="110" t="s">
        <v>10451</v>
      </c>
      <c r="I237" s="112">
        <f>IF(Dashboard!$B$16="Current USD",'Bottom-up tagging'!BR237,'Bottom-up tagging'!BR237/'Bottom-up tagging'!BQ237)</f>
        <v>760041.2854871226</v>
      </c>
      <c r="J237" s="118" t="s">
        <v>10474</v>
      </c>
      <c r="K237" s="112"/>
      <c r="L237" s="135">
        <v>1</v>
      </c>
      <c r="M237" s="135">
        <v>1</v>
      </c>
      <c r="N237" s="112"/>
      <c r="O237" s="112"/>
      <c r="P237" s="112" t="str">
        <f>VLOOKUP(B237, 'Companies covered restructured'!$B$7:$K$470, 9, FALSE)</f>
        <v>Supply chain technologies</v>
      </c>
      <c r="Q237" s="112" t="str">
        <f>VLOOKUP(B237, 'Companies covered restructured'!$B$7:$K$470, 6, FALSE)</f>
        <v>#Crops(100)</v>
      </c>
      <c r="R237" s="112" t="str">
        <f t="shared" si="107"/>
        <v>#Investment Fund(100)</v>
      </c>
      <c r="S237" s="112" t="s">
        <v>11003</v>
      </c>
      <c r="T237" s="112" t="s">
        <v>10466</v>
      </c>
      <c r="U237" s="103" t="s">
        <v>10970</v>
      </c>
      <c r="V237" s="112" t="str">
        <f>VLOOKUP(P237, 'Bottom-up Tagging Assumptions'!$B$12:$F$39, 5, FALSE)</f>
        <v>#Process Innovation(100)</v>
      </c>
      <c r="W237" s="112" t="str">
        <f>VLOOKUP(B237, 'Companies covered restructured'!$B$7:$K$470, 7, FALSE)</f>
        <v>#Farm/Household(100)</v>
      </c>
      <c r="X237" s="112" t="s">
        <v>10558</v>
      </c>
      <c r="Y237" s="212" t="str">
        <f>VLOOKUP(P237, 'Bottom-up Tagging Assumptions'!$B$12:$C$56, 2, FALSE)</f>
        <v>#Other Economic(P); Social(S)</v>
      </c>
      <c r="Z237" s="112" t="str">
        <f>VLOOKUP(P237, 'Bottom-up Tagging Assumptions'!$B$12:$F$56, 3, FALSE)</f>
        <v>#Improve price realization(P)</v>
      </c>
      <c r="AA237" s="112" t="str">
        <f>VLOOKUP(P237, 'Bottom-up Tagging Assumptions'!$B$12:$F$56, 4, FALSE)</f>
        <v>#Level 3(100)</v>
      </c>
      <c r="AB237" s="110" t="s">
        <v>925</v>
      </c>
      <c r="AC237" s="110" t="s">
        <v>1307</v>
      </c>
      <c r="AD237" s="110" t="s">
        <v>1308</v>
      </c>
      <c r="AE237" s="110" t="str">
        <f>VLOOKUP(AD237,  '1.2'!$B$7:$C$2033, 2, FALSE)</f>
        <v>FUND</v>
      </c>
      <c r="AF237" s="112">
        <v>120000</v>
      </c>
      <c r="AG237" s="110" t="s">
        <v>1088</v>
      </c>
      <c r="AH237" s="121">
        <f t="shared" si="108"/>
        <v>0</v>
      </c>
      <c r="AI237" s="121">
        <f t="shared" si="109"/>
        <v>0</v>
      </c>
      <c r="AJ237" s="121">
        <f t="shared" si="110"/>
        <v>1</v>
      </c>
      <c r="AK237" s="121">
        <f t="shared" si="111"/>
        <v>1</v>
      </c>
      <c r="AL237" s="121">
        <f t="shared" si="112"/>
        <v>0</v>
      </c>
      <c r="AM237" s="121">
        <f t="shared" si="113"/>
        <v>0</v>
      </c>
      <c r="AN237" s="121">
        <f t="shared" si="114"/>
        <v>1</v>
      </c>
      <c r="AO237" s="121">
        <f t="shared" si="115"/>
        <v>0</v>
      </c>
      <c r="AP237" s="22">
        <f t="shared" si="116"/>
        <v>0</v>
      </c>
      <c r="AQ237" s="22">
        <f t="shared" si="117"/>
        <v>760041.2854871226</v>
      </c>
      <c r="AR237" s="22">
        <f t="shared" si="118"/>
        <v>0</v>
      </c>
      <c r="AS237" s="121" t="str">
        <f t="shared" si="119"/>
        <v>Crops</v>
      </c>
      <c r="AT237" s="121" t="str">
        <f t="shared" si="138"/>
        <v xml:space="preserve"> </v>
      </c>
      <c r="AU237" s="121" t="str">
        <f t="shared" si="138"/>
        <v xml:space="preserve"> </v>
      </c>
      <c r="AV237" s="121" t="str">
        <f t="shared" si="138"/>
        <v xml:space="preserve"> </v>
      </c>
      <c r="AW237" s="130" t="str">
        <f t="shared" si="139"/>
        <v>100</v>
      </c>
      <c r="AX237" s="130" t="str">
        <f t="shared" si="139"/>
        <v xml:space="preserve"> </v>
      </c>
      <c r="AY237" s="130" t="str">
        <f t="shared" si="139"/>
        <v xml:space="preserve"> </v>
      </c>
      <c r="AZ237" s="130" t="str">
        <f t="shared" si="139"/>
        <v xml:space="preserve"> </v>
      </c>
      <c r="BA237" s="121">
        <f t="shared" si="120"/>
        <v>760041.28548712248</v>
      </c>
      <c r="BB237" s="121">
        <f t="shared" si="121"/>
        <v>0</v>
      </c>
      <c r="BC237" s="121">
        <f t="shared" si="122"/>
        <v>0</v>
      </c>
      <c r="BD237" s="121">
        <f t="shared" si="123"/>
        <v>0</v>
      </c>
      <c r="BE237" s="121">
        <f t="shared" si="124"/>
        <v>0</v>
      </c>
      <c r="BF237" s="121">
        <f t="shared" si="125"/>
        <v>0</v>
      </c>
      <c r="BG237" s="121">
        <f t="shared" si="126"/>
        <v>0</v>
      </c>
      <c r="BH237" s="121">
        <f t="shared" si="127"/>
        <v>0</v>
      </c>
      <c r="BI237" s="121">
        <f t="shared" si="128"/>
        <v>760041.28548712248</v>
      </c>
      <c r="BJ237" s="121">
        <f t="shared" si="129"/>
        <v>760041.2854871226</v>
      </c>
      <c r="BK237" s="121">
        <f t="shared" si="130"/>
        <v>760041.2854871226</v>
      </c>
      <c r="BL237" s="121">
        <f t="shared" si="131"/>
        <v>760041.2854871226</v>
      </c>
      <c r="BM237" s="121">
        <f t="shared" si="132"/>
        <v>0</v>
      </c>
      <c r="BN237" s="121">
        <f t="shared" si="133"/>
        <v>0</v>
      </c>
      <c r="BO237" s="121">
        <f t="shared" si="134"/>
        <v>0</v>
      </c>
      <c r="BP237" s="121">
        <f t="shared" si="135"/>
        <v>0</v>
      </c>
      <c r="BQ237" s="199">
        <f>INDEX('GDP deflators'!$C$6:$M$36,MATCH('Bottom-up tagging'!$D237,'GDP deflators'!$B$6:$B$36,),MATCH('Bottom-up tagging'!$E237,'GDP deflators'!$C$5:$L$5,))/100</f>
        <v>1.4753935363936217</v>
      </c>
      <c r="BR237" s="24">
        <v>1121360</v>
      </c>
    </row>
    <row r="238" spans="2:70" ht="26.15" hidden="1" customHeight="1">
      <c r="B238" s="110" t="s">
        <v>185</v>
      </c>
      <c r="C238" s="110" t="s">
        <v>189</v>
      </c>
      <c r="D238" s="110" t="s">
        <v>3994</v>
      </c>
      <c r="E238" s="103">
        <v>2016</v>
      </c>
      <c r="F238" s="108" t="s">
        <v>6465</v>
      </c>
      <c r="G238" s="111" t="s">
        <v>34</v>
      </c>
      <c r="H238" s="110" t="s">
        <v>10451</v>
      </c>
      <c r="I238" s="112">
        <f>IF(Dashboard!$B$16="Current USD",'Bottom-up tagging'!BR238,'Bottom-up tagging'!BR238/'Bottom-up tagging'!BQ238)</f>
        <v>824136.96915856446</v>
      </c>
      <c r="J238" s="105" t="s">
        <v>10474</v>
      </c>
      <c r="K238" s="112"/>
      <c r="L238" s="135">
        <v>1</v>
      </c>
      <c r="M238" s="135">
        <v>1</v>
      </c>
      <c r="N238" s="112"/>
      <c r="O238" s="112"/>
      <c r="P238" s="112" t="str">
        <f>VLOOKUP(B238, 'Companies covered restructured'!$B$7:$K$470, 9, FALSE)</f>
        <v>Agri marketplaces</v>
      </c>
      <c r="Q238" s="112" t="str">
        <f>VLOOKUP(B238, 'Companies covered restructured'!$B$7:$K$470, 6, FALSE)</f>
        <v>#Crops(100)</v>
      </c>
      <c r="R238" s="112" t="str">
        <f t="shared" si="107"/>
        <v>#Corporate(100)</v>
      </c>
      <c r="S238" s="112" t="s">
        <v>11003</v>
      </c>
      <c r="T238" s="112" t="s">
        <v>10466</v>
      </c>
      <c r="U238" s="103" t="s">
        <v>10970</v>
      </c>
      <c r="V238" s="112" t="str">
        <f>VLOOKUP(P238, 'Bottom-up Tagging Assumptions'!$B$12:$F$39, 5, FALSE)</f>
        <v>#Process Innovation(100)</v>
      </c>
      <c r="W238" s="112" t="str">
        <f>VLOOKUP(B238, 'Companies covered restructured'!$B$7:$K$470, 7, FALSE)</f>
        <v>#Field/Animal Herd(100)</v>
      </c>
      <c r="X238" s="112" t="s">
        <v>10558</v>
      </c>
      <c r="Y238" s="212" t="str">
        <f>VLOOKUP(P238, 'Bottom-up Tagging Assumptions'!$B$12:$C$56, 2, FALSE)</f>
        <v>#Other Economic(P); Social(S)</v>
      </c>
      <c r="Z238" s="112" t="str">
        <f>VLOOKUP(P238, 'Bottom-up Tagging Assumptions'!$B$12:$F$56, 3, FALSE)</f>
        <v>#Improve price realization(P)</v>
      </c>
      <c r="AA238" s="112" t="str">
        <f>VLOOKUP(P238, 'Bottom-up Tagging Assumptions'!$B$12:$F$56, 4, FALSE)</f>
        <v>#Level 4(100)</v>
      </c>
      <c r="AB238" s="110" t="s">
        <v>2498</v>
      </c>
      <c r="AC238" s="110" t="s">
        <v>2499</v>
      </c>
      <c r="AD238" s="110" t="s">
        <v>1762</v>
      </c>
      <c r="AE238" s="110" t="str">
        <f>VLOOKUP(AD238,  '1.2'!$B$7:$C$2033, 2, FALSE)</f>
        <v>CORPORATE_INVESTOR</v>
      </c>
      <c r="AF238" s="112">
        <v>170000</v>
      </c>
      <c r="AG238" s="110" t="s">
        <v>2077</v>
      </c>
      <c r="AH238" s="121">
        <f t="shared" si="108"/>
        <v>0</v>
      </c>
      <c r="AI238" s="121">
        <f t="shared" si="109"/>
        <v>0</v>
      </c>
      <c r="AJ238" s="121">
        <f t="shared" si="110"/>
        <v>1</v>
      </c>
      <c r="AK238" s="121">
        <f t="shared" si="111"/>
        <v>1</v>
      </c>
      <c r="AL238" s="121">
        <f t="shared" si="112"/>
        <v>0</v>
      </c>
      <c r="AM238" s="121">
        <f t="shared" si="113"/>
        <v>0</v>
      </c>
      <c r="AN238" s="121">
        <f t="shared" si="114"/>
        <v>1</v>
      </c>
      <c r="AO238" s="121">
        <f t="shared" si="115"/>
        <v>0</v>
      </c>
      <c r="AP238" s="22">
        <f t="shared" si="116"/>
        <v>0</v>
      </c>
      <c r="AQ238" s="22">
        <f t="shared" si="117"/>
        <v>824136.96915856446</v>
      </c>
      <c r="AR238" s="22">
        <f t="shared" si="118"/>
        <v>0</v>
      </c>
      <c r="AS238" s="121" t="str">
        <f t="shared" si="119"/>
        <v>Crops</v>
      </c>
      <c r="AT238" s="121" t="str">
        <f t="shared" si="138"/>
        <v xml:space="preserve"> </v>
      </c>
      <c r="AU238" s="121" t="str">
        <f t="shared" si="138"/>
        <v xml:space="preserve"> </v>
      </c>
      <c r="AV238" s="121" t="str">
        <f t="shared" si="138"/>
        <v xml:space="preserve"> </v>
      </c>
      <c r="AW238" s="130" t="str">
        <f t="shared" si="139"/>
        <v>100</v>
      </c>
      <c r="AX238" s="130" t="str">
        <f t="shared" si="139"/>
        <v xml:space="preserve"> </v>
      </c>
      <c r="AY238" s="130" t="str">
        <f t="shared" si="139"/>
        <v xml:space="preserve"> </v>
      </c>
      <c r="AZ238" s="130" t="str">
        <f t="shared" si="139"/>
        <v xml:space="preserve"> </v>
      </c>
      <c r="BA238" s="121">
        <f t="shared" si="120"/>
        <v>824136.96915856446</v>
      </c>
      <c r="BB238" s="121">
        <f t="shared" si="121"/>
        <v>0</v>
      </c>
      <c r="BC238" s="121">
        <f t="shared" si="122"/>
        <v>0</v>
      </c>
      <c r="BD238" s="121">
        <f t="shared" si="123"/>
        <v>0</v>
      </c>
      <c r="BE238" s="121">
        <f t="shared" si="124"/>
        <v>0</v>
      </c>
      <c r="BF238" s="121">
        <f t="shared" si="125"/>
        <v>0</v>
      </c>
      <c r="BG238" s="121">
        <f t="shared" si="126"/>
        <v>0</v>
      </c>
      <c r="BH238" s="121">
        <f t="shared" si="127"/>
        <v>0</v>
      </c>
      <c r="BI238" s="121">
        <f t="shared" si="128"/>
        <v>824136.96915856446</v>
      </c>
      <c r="BJ238" s="121">
        <f t="shared" si="129"/>
        <v>824136.96915856446</v>
      </c>
      <c r="BK238" s="121">
        <f t="shared" si="130"/>
        <v>824136.96915856446</v>
      </c>
      <c r="BL238" s="121">
        <f t="shared" si="131"/>
        <v>824136.96915856446</v>
      </c>
      <c r="BM238" s="121">
        <f t="shared" si="132"/>
        <v>0</v>
      </c>
      <c r="BN238" s="121">
        <f t="shared" si="133"/>
        <v>0</v>
      </c>
      <c r="BO238" s="121">
        <f t="shared" si="134"/>
        <v>0</v>
      </c>
      <c r="BP238" s="121">
        <f t="shared" si="135"/>
        <v>0</v>
      </c>
      <c r="BQ238" s="199">
        <f>INDEX('GDP deflators'!$C$6:$M$36,MATCH('Bottom-up tagging'!$D238,'GDP deflators'!$B$6:$B$36,),MATCH('Bottom-up tagging'!$E238,'GDP deflators'!$C$5:$L$5,))/100</f>
        <v>1.3597375702538033</v>
      </c>
      <c r="BR238" s="24">
        <v>1120610</v>
      </c>
    </row>
    <row r="239" spans="2:70" ht="26.15" hidden="1" customHeight="1">
      <c r="B239" s="110" t="s">
        <v>2997</v>
      </c>
      <c r="C239" s="110" t="s">
        <v>2999</v>
      </c>
      <c r="D239" s="110" t="s">
        <v>3994</v>
      </c>
      <c r="E239" s="103">
        <v>2010</v>
      </c>
      <c r="F239" s="108" t="s">
        <v>9985</v>
      </c>
      <c r="G239" s="111" t="s">
        <v>34</v>
      </c>
      <c r="H239" s="110" t="s">
        <v>10451</v>
      </c>
      <c r="I239" s="112">
        <f>IF(Dashboard!$B$16="Current USD",'Bottom-up tagging'!BR239,'Bottom-up tagging'!BR239/'Bottom-up tagging'!BQ239)</f>
        <v>1118850</v>
      </c>
      <c r="J239" s="117" t="s">
        <v>10474</v>
      </c>
      <c r="K239" s="112"/>
      <c r="L239" s="135">
        <v>1</v>
      </c>
      <c r="M239" s="135">
        <v>1</v>
      </c>
      <c r="N239" s="112"/>
      <c r="O239" s="112"/>
      <c r="P239" s="112" t="str">
        <f>VLOOKUP(B239, 'Companies covered restructured'!$B$7:$K$470, 9, FALSE)</f>
        <v>Plant breeding &amp; biofortification</v>
      </c>
      <c r="Q239" s="112" t="str">
        <f>VLOOKUP(B239, 'Companies covered restructured'!$B$7:$K$470, 6, FALSE)</f>
        <v>#Crops(100)</v>
      </c>
      <c r="R239" s="112" t="str">
        <f t="shared" si="107"/>
        <v>N/A</v>
      </c>
      <c r="S239" s="112" t="s">
        <v>11003</v>
      </c>
      <c r="T239" s="112" t="s">
        <v>10466</v>
      </c>
      <c r="U239" s="213" t="s">
        <v>10970</v>
      </c>
      <c r="V239" s="112" t="str">
        <f>VLOOKUP(P239, 'Bottom-up Tagging Assumptions'!$B$12:$F$39, 5, FALSE)</f>
        <v>#Process Innovation(100)</v>
      </c>
      <c r="W239" s="112" t="str">
        <f>VLOOKUP(B239, 'Companies covered restructured'!$B$7:$K$470, 7, FALSE)</f>
        <v>#Landscape(100)</v>
      </c>
      <c r="X239" s="112" t="str">
        <f>VLOOKUP(B239, 'Companies covered restructured'!$B$7:$K$470, 8, FALSE)</f>
        <v>N/A</v>
      </c>
      <c r="Y239" s="212" t="str">
        <f>VLOOKUP(P239, 'Bottom-up Tagging Assumptions'!$B$12:$C$56, 2, FALSE)</f>
        <v>#Human Condition(P); Productivity(S)</v>
      </c>
      <c r="Z239" s="112" t="str">
        <f>VLOOKUP(P239, 'Bottom-up Tagging Assumptions'!$B$12:$F$56, 3, FALSE)</f>
        <v>#Improved nutrition(P)</v>
      </c>
      <c r="AA239" s="112" t="str">
        <f>VLOOKUP(P239, 'Bottom-up Tagging Assumptions'!$B$12:$F$56, 4, FALSE)</f>
        <v>#Level 1(100)</v>
      </c>
      <c r="AB239" s="110"/>
      <c r="AC239" s="110"/>
      <c r="AD239" s="110"/>
      <c r="AE239" s="110" t="s">
        <v>10558</v>
      </c>
      <c r="AF239" s="112"/>
      <c r="AG239" s="110" t="s">
        <v>2081</v>
      </c>
      <c r="AH239" s="121">
        <f t="shared" si="108"/>
        <v>0</v>
      </c>
      <c r="AI239" s="121">
        <f t="shared" si="109"/>
        <v>1</v>
      </c>
      <c r="AJ239" s="121">
        <f t="shared" si="110"/>
        <v>0</v>
      </c>
      <c r="AK239" s="121">
        <f t="shared" si="111"/>
        <v>0</v>
      </c>
      <c r="AL239" s="121">
        <f t="shared" si="112"/>
        <v>1</v>
      </c>
      <c r="AM239" s="121">
        <f t="shared" si="113"/>
        <v>0</v>
      </c>
      <c r="AN239" s="121">
        <f t="shared" si="114"/>
        <v>1</v>
      </c>
      <c r="AO239" s="121">
        <f t="shared" si="115"/>
        <v>0</v>
      </c>
      <c r="AP239" s="22">
        <f t="shared" si="116"/>
        <v>0</v>
      </c>
      <c r="AQ239" s="22">
        <f t="shared" si="117"/>
        <v>1118850</v>
      </c>
      <c r="AR239" s="22">
        <f t="shared" si="118"/>
        <v>0</v>
      </c>
      <c r="AS239" s="121" t="str">
        <f t="shared" si="119"/>
        <v>Crops</v>
      </c>
      <c r="AT239" s="121" t="str">
        <f t="shared" si="138"/>
        <v xml:space="preserve"> </v>
      </c>
      <c r="AU239" s="121" t="str">
        <f t="shared" si="138"/>
        <v xml:space="preserve"> </v>
      </c>
      <c r="AV239" s="121" t="str">
        <f t="shared" si="138"/>
        <v xml:space="preserve"> </v>
      </c>
      <c r="AW239" s="130" t="str">
        <f t="shared" si="139"/>
        <v>100</v>
      </c>
      <c r="AX239" s="130" t="str">
        <f t="shared" si="139"/>
        <v xml:space="preserve"> </v>
      </c>
      <c r="AY239" s="130" t="str">
        <f t="shared" si="139"/>
        <v xml:space="preserve"> </v>
      </c>
      <c r="AZ239" s="130" t="str">
        <f t="shared" si="139"/>
        <v xml:space="preserve"> </v>
      </c>
      <c r="BA239" s="121">
        <f t="shared" si="120"/>
        <v>1118850</v>
      </c>
      <c r="BB239" s="121">
        <f t="shared" si="121"/>
        <v>0</v>
      </c>
      <c r="BC239" s="121">
        <f t="shared" si="122"/>
        <v>0</v>
      </c>
      <c r="BD239" s="121">
        <f t="shared" si="123"/>
        <v>0</v>
      </c>
      <c r="BE239" s="121">
        <f t="shared" si="124"/>
        <v>0</v>
      </c>
      <c r="BF239" s="121">
        <f t="shared" si="125"/>
        <v>0</v>
      </c>
      <c r="BG239" s="121">
        <f t="shared" si="126"/>
        <v>0</v>
      </c>
      <c r="BH239" s="121">
        <f t="shared" si="127"/>
        <v>0</v>
      </c>
      <c r="BI239" s="121">
        <f t="shared" si="128"/>
        <v>1118850</v>
      </c>
      <c r="BJ239" s="121">
        <f t="shared" si="129"/>
        <v>1118850</v>
      </c>
      <c r="BK239" s="121">
        <f t="shared" si="130"/>
        <v>1118850</v>
      </c>
      <c r="BL239" s="121">
        <f t="shared" si="131"/>
        <v>1118850</v>
      </c>
      <c r="BM239" s="121">
        <f t="shared" si="132"/>
        <v>0</v>
      </c>
      <c r="BN239" s="121">
        <f t="shared" si="133"/>
        <v>0</v>
      </c>
      <c r="BO239" s="121">
        <f t="shared" si="134"/>
        <v>0</v>
      </c>
      <c r="BP239" s="121">
        <f t="shared" si="135"/>
        <v>0</v>
      </c>
      <c r="BQ239" s="199">
        <f>INDEX('GDP deflators'!$C$6:$M$36,MATCH('Bottom-up tagging'!$D239,'GDP deflators'!$B$6:$B$36,),MATCH('Bottom-up tagging'!$E239,'GDP deflators'!$C$5:$L$5,))/100</f>
        <v>1</v>
      </c>
      <c r="BR239" s="24">
        <v>1118850</v>
      </c>
    </row>
    <row r="240" spans="2:70" ht="26.15" hidden="1" customHeight="1">
      <c r="B240" s="110" t="s">
        <v>807</v>
      </c>
      <c r="C240" s="110" t="s">
        <v>810</v>
      </c>
      <c r="D240" s="110" t="s">
        <v>3994</v>
      </c>
      <c r="E240" s="103">
        <v>2019</v>
      </c>
      <c r="F240" s="108" t="s">
        <v>6053</v>
      </c>
      <c r="G240" s="111" t="s">
        <v>34</v>
      </c>
      <c r="H240" s="110" t="s">
        <v>10451</v>
      </c>
      <c r="I240" s="112">
        <f>IF(Dashboard!$B$16="Current USD",'Bottom-up tagging'!BR240,'Bottom-up tagging'!BR240/'Bottom-up tagging'!BQ240)</f>
        <v>728723.71977119928</v>
      </c>
      <c r="J240" s="105" t="s">
        <v>10474</v>
      </c>
      <c r="K240" s="112"/>
      <c r="L240" s="135">
        <v>1</v>
      </c>
      <c r="M240" s="135">
        <v>1</v>
      </c>
      <c r="N240" s="112"/>
      <c r="O240" s="112"/>
      <c r="P240" s="112" t="str">
        <f>VLOOKUP(B240, 'Companies covered restructured'!$B$7:$K$470, 9, FALSE)</f>
        <v>AI/analytics based advisory algorithms (incl. weather)</v>
      </c>
      <c r="Q240" s="112" t="str">
        <f>VLOOKUP(B240, 'Companies covered restructured'!$B$7:$K$470, 6, FALSE)</f>
        <v>#Fisheries and Aquaculture(100)</v>
      </c>
      <c r="R240" s="112" t="str">
        <f t="shared" si="107"/>
        <v>#Investment Fund(100)</v>
      </c>
      <c r="S240" s="112" t="s">
        <v>11003</v>
      </c>
      <c r="T240" s="112" t="s">
        <v>10466</v>
      </c>
      <c r="U240" s="103" t="s">
        <v>10970</v>
      </c>
      <c r="V240" s="112" t="str">
        <f>VLOOKUP(P240, 'Bottom-up Tagging Assumptions'!$B$12:$F$39, 5, FALSE)</f>
        <v>#Science &amp; tech(100)</v>
      </c>
      <c r="W240" s="112" t="str">
        <f>VLOOKUP(B240, 'Companies covered restructured'!$B$7:$K$470, 7, FALSE)</f>
        <v>#Field/Animal Herd(100)</v>
      </c>
      <c r="X240" s="112" t="s">
        <v>10558</v>
      </c>
      <c r="Y240" s="212" t="str">
        <f>VLOOKUP(P240, 'Bottom-up Tagging Assumptions'!$B$12:$C$56, 2, FALSE)</f>
        <v>#Other Economic(P); #Productivity(S)</v>
      </c>
      <c r="Z240" s="112" t="str">
        <f>VLOOKUP(P240, 'Bottom-up Tagging Assumptions'!$B$12:$F$56, 3, FALSE)</f>
        <v>#Increasing output per unit input(P); #Increasing crop or animal yield(S)</v>
      </c>
      <c r="AA240" s="112" t="str">
        <f>VLOOKUP(P240, 'Bottom-up Tagging Assumptions'!$B$12:$F$56, 4, FALSE)</f>
        <v>#Level 1(100)</v>
      </c>
      <c r="AB240" s="110" t="s">
        <v>809</v>
      </c>
      <c r="AC240" s="110"/>
      <c r="AD240" s="110" t="s">
        <v>644</v>
      </c>
      <c r="AE240" s="110" t="s">
        <v>3114</v>
      </c>
      <c r="AF240" s="112">
        <v>1127847</v>
      </c>
      <c r="AG240" s="110" t="s">
        <v>811</v>
      </c>
      <c r="AH240" s="121">
        <f t="shared" si="108"/>
        <v>0</v>
      </c>
      <c r="AI240" s="121">
        <f t="shared" si="109"/>
        <v>1</v>
      </c>
      <c r="AJ240" s="121">
        <f t="shared" si="110"/>
        <v>1</v>
      </c>
      <c r="AK240" s="121">
        <f t="shared" si="111"/>
        <v>0</v>
      </c>
      <c r="AL240" s="121">
        <f t="shared" si="112"/>
        <v>0</v>
      </c>
      <c r="AM240" s="121">
        <f t="shared" si="113"/>
        <v>0</v>
      </c>
      <c r="AN240" s="121">
        <f t="shared" si="114"/>
        <v>0</v>
      </c>
      <c r="AO240" s="121">
        <f t="shared" si="115"/>
        <v>0</v>
      </c>
      <c r="AP240" s="22">
        <f t="shared" si="116"/>
        <v>0</v>
      </c>
      <c r="AQ240" s="22">
        <f t="shared" si="117"/>
        <v>0</v>
      </c>
      <c r="AR240" s="22">
        <f t="shared" si="118"/>
        <v>0</v>
      </c>
      <c r="AS240" s="121" t="str">
        <f t="shared" si="119"/>
        <v>Fisheries and Aquaculture</v>
      </c>
      <c r="AT240" s="121" t="str">
        <f t="shared" si="138"/>
        <v xml:space="preserve"> </v>
      </c>
      <c r="AU240" s="121" t="str">
        <f t="shared" si="138"/>
        <v xml:space="preserve"> </v>
      </c>
      <c r="AV240" s="121" t="str">
        <f t="shared" si="138"/>
        <v xml:space="preserve"> </v>
      </c>
      <c r="AW240" s="130" t="str">
        <f t="shared" si="139"/>
        <v>100</v>
      </c>
      <c r="AX240" s="130" t="str">
        <f t="shared" si="139"/>
        <v xml:space="preserve"> </v>
      </c>
      <c r="AY240" s="130" t="str">
        <f t="shared" si="139"/>
        <v xml:space="preserve"> </v>
      </c>
      <c r="AZ240" s="130" t="str">
        <f t="shared" si="139"/>
        <v xml:space="preserve"> </v>
      </c>
      <c r="BA240" s="121">
        <f t="shared" si="120"/>
        <v>728723.71977119928</v>
      </c>
      <c r="BB240" s="121">
        <f t="shared" si="121"/>
        <v>0</v>
      </c>
      <c r="BC240" s="121">
        <f t="shared" si="122"/>
        <v>0</v>
      </c>
      <c r="BD240" s="121">
        <f t="shared" si="123"/>
        <v>0</v>
      </c>
      <c r="BE240" s="121">
        <f t="shared" si="124"/>
        <v>0</v>
      </c>
      <c r="BF240" s="121">
        <f t="shared" si="125"/>
        <v>0</v>
      </c>
      <c r="BG240" s="121">
        <f t="shared" si="126"/>
        <v>0</v>
      </c>
      <c r="BH240" s="121">
        <f t="shared" si="127"/>
        <v>0</v>
      </c>
      <c r="BI240" s="121">
        <f t="shared" si="128"/>
        <v>0</v>
      </c>
      <c r="BJ240" s="121">
        <f t="shared" si="129"/>
        <v>0</v>
      </c>
      <c r="BK240" s="121">
        <f t="shared" si="130"/>
        <v>0</v>
      </c>
      <c r="BL240" s="121">
        <f t="shared" si="131"/>
        <v>0</v>
      </c>
      <c r="BM240" s="121">
        <f t="shared" si="132"/>
        <v>0</v>
      </c>
      <c r="BN240" s="121">
        <f t="shared" si="133"/>
        <v>0</v>
      </c>
      <c r="BO240" s="121">
        <f t="shared" si="134"/>
        <v>0</v>
      </c>
      <c r="BP240" s="121">
        <f t="shared" si="135"/>
        <v>0</v>
      </c>
      <c r="BQ240" s="199">
        <f>INDEX('GDP deflators'!$C$6:$M$36,MATCH('Bottom-up tagging'!$D240,'GDP deflators'!$B$6:$B$36,),MATCH('Bottom-up tagging'!$E240,'GDP deflators'!$C$5:$L$5,))/100</f>
        <v>1.5094883975306472</v>
      </c>
      <c r="BR240" s="24">
        <v>1100000</v>
      </c>
    </row>
    <row r="241" spans="2:70" ht="26.15" hidden="1" customHeight="1">
      <c r="B241" s="110" t="s">
        <v>96</v>
      </c>
      <c r="C241" s="110" t="s">
        <v>100</v>
      </c>
      <c r="D241" s="110" t="s">
        <v>3994</v>
      </c>
      <c r="E241" s="103">
        <v>2018</v>
      </c>
      <c r="F241" s="108" t="s">
        <v>8260</v>
      </c>
      <c r="G241" s="111" t="s">
        <v>302</v>
      </c>
      <c r="H241" s="110" t="s">
        <v>10451</v>
      </c>
      <c r="I241" s="112">
        <f>IF(Dashboard!$B$16="Current USD",'Bottom-up tagging'!BR241,'Bottom-up tagging'!BR241/'Bottom-up tagging'!BQ241)</f>
        <v>745563.79221287975</v>
      </c>
      <c r="J241" s="118" t="s">
        <v>10474</v>
      </c>
      <c r="K241" s="112"/>
      <c r="L241" s="135">
        <v>1</v>
      </c>
      <c r="M241" s="135">
        <v>1</v>
      </c>
      <c r="N241" s="112"/>
      <c r="O241" s="112"/>
      <c r="P241" s="112" t="str">
        <f>VLOOKUP(B241, 'Companies covered restructured'!$B$7:$K$470, 9, FALSE)</f>
        <v>Agri marketplaces</v>
      </c>
      <c r="Q241" s="112" t="str">
        <f>VLOOKUP(B241, 'Companies covered restructured'!$B$7:$K$470, 6, FALSE)</f>
        <v>#Crops(100)</v>
      </c>
      <c r="R241" s="112" t="str">
        <f t="shared" si="107"/>
        <v>N/A</v>
      </c>
      <c r="S241" s="112" t="s">
        <v>11003</v>
      </c>
      <c r="T241" s="112" t="s">
        <v>10464</v>
      </c>
      <c r="U241" s="103" t="s">
        <v>10970</v>
      </c>
      <c r="V241" s="112" t="str">
        <f>VLOOKUP(P241, 'Bottom-up Tagging Assumptions'!$B$12:$F$39, 5, FALSE)</f>
        <v>#Process Innovation(100)</v>
      </c>
      <c r="W241" s="112" t="str">
        <f>VLOOKUP(B241, 'Companies covered restructured'!$B$7:$K$470, 7, FALSE)</f>
        <v>#Farm/Household(100)</v>
      </c>
      <c r="X241" s="112" t="s">
        <v>10558</v>
      </c>
      <c r="Y241" s="212" t="str">
        <f>VLOOKUP(P241, 'Bottom-up Tagging Assumptions'!$B$12:$C$56, 2, FALSE)</f>
        <v>#Other Economic(P); Social(S)</v>
      </c>
      <c r="Z241" s="112" t="str">
        <f>VLOOKUP(P241, 'Bottom-up Tagging Assumptions'!$B$12:$F$56, 3, FALSE)</f>
        <v>#Improve price realization(P)</v>
      </c>
      <c r="AA241" s="112" t="str">
        <f>VLOOKUP(P241, 'Bottom-up Tagging Assumptions'!$B$12:$F$56, 4, FALSE)</f>
        <v>#Level 4(100)</v>
      </c>
      <c r="AB241" s="110" t="s">
        <v>723</v>
      </c>
      <c r="AC241" s="110"/>
      <c r="AD241" s="110"/>
      <c r="AE241" s="110" t="s">
        <v>10558</v>
      </c>
      <c r="AF241" s="112">
        <v>652000</v>
      </c>
      <c r="AG241" s="110" t="s">
        <v>1200</v>
      </c>
      <c r="AH241" s="121">
        <f t="shared" si="108"/>
        <v>0</v>
      </c>
      <c r="AI241" s="121">
        <f t="shared" si="109"/>
        <v>0</v>
      </c>
      <c r="AJ241" s="121">
        <f t="shared" si="110"/>
        <v>1</v>
      </c>
      <c r="AK241" s="121">
        <f t="shared" si="111"/>
        <v>1</v>
      </c>
      <c r="AL241" s="121">
        <f t="shared" si="112"/>
        <v>0</v>
      </c>
      <c r="AM241" s="121">
        <f t="shared" si="113"/>
        <v>0</v>
      </c>
      <c r="AN241" s="121">
        <f t="shared" si="114"/>
        <v>1</v>
      </c>
      <c r="AO241" s="121">
        <f t="shared" si="115"/>
        <v>0</v>
      </c>
      <c r="AP241" s="22">
        <f t="shared" si="116"/>
        <v>0</v>
      </c>
      <c r="AQ241" s="22">
        <f t="shared" si="117"/>
        <v>745563.79221287975</v>
      </c>
      <c r="AR241" s="22">
        <f t="shared" si="118"/>
        <v>0</v>
      </c>
      <c r="AS241" s="121" t="str">
        <f t="shared" si="119"/>
        <v>Crops</v>
      </c>
      <c r="AT241" s="121" t="str">
        <f t="shared" si="138"/>
        <v xml:space="preserve"> </v>
      </c>
      <c r="AU241" s="121" t="str">
        <f t="shared" si="138"/>
        <v xml:space="preserve"> </v>
      </c>
      <c r="AV241" s="121" t="str">
        <f t="shared" si="138"/>
        <v xml:space="preserve"> </v>
      </c>
      <c r="AW241" s="130" t="str">
        <f t="shared" si="139"/>
        <v>100</v>
      </c>
      <c r="AX241" s="130" t="str">
        <f t="shared" si="139"/>
        <v xml:space="preserve"> </v>
      </c>
      <c r="AY241" s="130" t="str">
        <f t="shared" si="139"/>
        <v xml:space="preserve"> </v>
      </c>
      <c r="AZ241" s="130" t="str">
        <f t="shared" si="139"/>
        <v xml:space="preserve"> </v>
      </c>
      <c r="BA241" s="121">
        <f t="shared" si="120"/>
        <v>745563.79221287975</v>
      </c>
      <c r="BB241" s="121">
        <f t="shared" si="121"/>
        <v>0</v>
      </c>
      <c r="BC241" s="121">
        <f t="shared" si="122"/>
        <v>0</v>
      </c>
      <c r="BD241" s="121">
        <f t="shared" si="123"/>
        <v>0</v>
      </c>
      <c r="BE241" s="121">
        <f t="shared" si="124"/>
        <v>0</v>
      </c>
      <c r="BF241" s="121">
        <f t="shared" si="125"/>
        <v>0</v>
      </c>
      <c r="BG241" s="121">
        <f t="shared" si="126"/>
        <v>0</v>
      </c>
      <c r="BH241" s="121">
        <f t="shared" si="127"/>
        <v>0</v>
      </c>
      <c r="BI241" s="121">
        <f t="shared" si="128"/>
        <v>745563.79221287975</v>
      </c>
      <c r="BJ241" s="121">
        <f t="shared" si="129"/>
        <v>745563.79221287975</v>
      </c>
      <c r="BK241" s="121">
        <f t="shared" si="130"/>
        <v>745563.79221287975</v>
      </c>
      <c r="BL241" s="121">
        <f t="shared" si="131"/>
        <v>745563.79221287975</v>
      </c>
      <c r="BM241" s="121">
        <f t="shared" si="132"/>
        <v>0</v>
      </c>
      <c r="BN241" s="121">
        <f t="shared" si="133"/>
        <v>0</v>
      </c>
      <c r="BO241" s="121">
        <f t="shared" si="134"/>
        <v>0</v>
      </c>
      <c r="BP241" s="121">
        <f t="shared" si="135"/>
        <v>0</v>
      </c>
      <c r="BQ241" s="199">
        <f>INDEX('GDP deflators'!$C$6:$M$36,MATCH('Bottom-up tagging'!$D241,'GDP deflators'!$B$6:$B$36,),MATCH('Bottom-up tagging'!$E241,'GDP deflators'!$C$5:$L$5,))/100</f>
        <v>1.4753935363936217</v>
      </c>
      <c r="BR241" s="24">
        <v>1100000</v>
      </c>
    </row>
    <row r="242" spans="2:70" ht="26.15" hidden="1" customHeight="1">
      <c r="B242" s="110" t="s">
        <v>452</v>
      </c>
      <c r="C242" s="110" t="s">
        <v>456</v>
      </c>
      <c r="D242" s="110" t="s">
        <v>7086</v>
      </c>
      <c r="E242" s="103">
        <v>2016</v>
      </c>
      <c r="F242" s="108" t="s">
        <v>7089</v>
      </c>
      <c r="G242" s="111" t="s">
        <v>34</v>
      </c>
      <c r="H242" s="110" t="s">
        <v>10451</v>
      </c>
      <c r="I242" s="112">
        <f>IF(Dashboard!$B$16="Current USD",'Bottom-up tagging'!BR242,'Bottom-up tagging'!BR242/'Bottom-up tagging'!BQ242)</f>
        <v>1183729.3174136395</v>
      </c>
      <c r="J242" s="117" t="s">
        <v>10474</v>
      </c>
      <c r="K242" s="112"/>
      <c r="L242" s="135">
        <v>1</v>
      </c>
      <c r="M242" s="135">
        <v>1</v>
      </c>
      <c r="N242" s="112"/>
      <c r="O242" s="112"/>
      <c r="P242" s="112" t="str">
        <f>VLOOKUP(B242, 'Companies covered restructured'!$B$7:$K$470, 9, FALSE)</f>
        <v xml:space="preserve">Hydroponics </v>
      </c>
      <c r="Q242" s="112" t="str">
        <f>VLOOKUP(B242, 'Companies covered restructured'!$B$7:$K$470, 6, FALSE)</f>
        <v>#Crops(100)</v>
      </c>
      <c r="R242" s="112" t="str">
        <f t="shared" si="107"/>
        <v>#Investment Fund(100)</v>
      </c>
      <c r="S242" s="112" t="s">
        <v>11003</v>
      </c>
      <c r="T242" s="112" t="s">
        <v>10466</v>
      </c>
      <c r="U242" s="103" t="s">
        <v>10970</v>
      </c>
      <c r="V242" s="112" t="str">
        <f>VLOOKUP(P242, 'Bottom-up Tagging Assumptions'!$B$12:$F$39, 5, FALSE)</f>
        <v>#Science &amp; tech(100)</v>
      </c>
      <c r="W242" s="112" t="str">
        <f>VLOOKUP(B242, 'Companies covered restructured'!$B$7:$K$470, 7, FALSE)</f>
        <v>#Field/Animal Herd(100)</v>
      </c>
      <c r="X242" s="112" t="s">
        <v>10558</v>
      </c>
      <c r="Y242" s="212" t="str">
        <f>VLOOKUP(P242, 'Bottom-up Tagging Assumptions'!$B$12:$C$56, 2, FALSE)</f>
        <v>#Human Condition(P); #Environmental(S); #Productivity(S)</v>
      </c>
      <c r="Z242" s="112" t="str">
        <f>VLOOKUP(P242, 'Bottom-up Tagging Assumptions'!$B$12:$F$56, 3, FALSE)</f>
        <v>#Food security(P); #Reducing production variability(S)</v>
      </c>
      <c r="AA242" s="112" t="str">
        <f>VLOOKUP(P242, 'Bottom-up Tagging Assumptions'!$B$12:$F$56, 4, FALSE)</f>
        <v>#Level 2(100)</v>
      </c>
      <c r="AB242" s="110" t="s">
        <v>2263</v>
      </c>
      <c r="AC242" s="110"/>
      <c r="AD242" s="110" t="s">
        <v>2264</v>
      </c>
      <c r="AE242" s="110" t="str">
        <f>VLOOKUP(AD242,  '1.2'!$B$7:$C$2033, 2, FALSE)</f>
        <v>FUND</v>
      </c>
      <c r="AF242" s="112">
        <v>120000</v>
      </c>
      <c r="AG242" s="110" t="s">
        <v>2095</v>
      </c>
      <c r="AH242" s="121">
        <f t="shared" si="108"/>
        <v>1</v>
      </c>
      <c r="AI242" s="121">
        <f t="shared" si="109"/>
        <v>1</v>
      </c>
      <c r="AJ242" s="121">
        <f t="shared" si="110"/>
        <v>0</v>
      </c>
      <c r="AK242" s="121">
        <f t="shared" si="111"/>
        <v>0</v>
      </c>
      <c r="AL242" s="121">
        <f t="shared" si="112"/>
        <v>1</v>
      </c>
      <c r="AM242" s="121">
        <f t="shared" si="113"/>
        <v>1</v>
      </c>
      <c r="AN242" s="121">
        <f t="shared" si="114"/>
        <v>1</v>
      </c>
      <c r="AO242" s="121">
        <f t="shared" si="115"/>
        <v>1</v>
      </c>
      <c r="AP242" s="22">
        <f t="shared" si="116"/>
        <v>1183729.3174136395</v>
      </c>
      <c r="AQ242" s="22">
        <f t="shared" si="117"/>
        <v>1183729.3174136395</v>
      </c>
      <c r="AR242" s="22">
        <f t="shared" si="118"/>
        <v>1183729.3174136395</v>
      </c>
      <c r="AS242" s="121" t="str">
        <f t="shared" si="119"/>
        <v>Crops</v>
      </c>
      <c r="AT242" s="121" t="str">
        <f t="shared" si="138"/>
        <v xml:space="preserve"> </v>
      </c>
      <c r="AU242" s="121" t="str">
        <f t="shared" si="138"/>
        <v xml:space="preserve"> </v>
      </c>
      <c r="AV242" s="121" t="str">
        <f t="shared" si="138"/>
        <v xml:space="preserve"> </v>
      </c>
      <c r="AW242" s="130" t="str">
        <f t="shared" si="139"/>
        <v>100</v>
      </c>
      <c r="AX242" s="130" t="str">
        <f t="shared" si="139"/>
        <v xml:space="preserve"> </v>
      </c>
      <c r="AY242" s="130" t="str">
        <f t="shared" si="139"/>
        <v xml:space="preserve"> </v>
      </c>
      <c r="AZ242" s="130" t="str">
        <f t="shared" si="139"/>
        <v xml:space="preserve"> </v>
      </c>
      <c r="BA242" s="121">
        <f t="shared" si="120"/>
        <v>1183729.3174136395</v>
      </c>
      <c r="BB242" s="121">
        <f t="shared" si="121"/>
        <v>0</v>
      </c>
      <c r="BC242" s="121">
        <f t="shared" si="122"/>
        <v>0</v>
      </c>
      <c r="BD242" s="121">
        <f t="shared" si="123"/>
        <v>0</v>
      </c>
      <c r="BE242" s="121">
        <f t="shared" si="124"/>
        <v>1183729.3174136395</v>
      </c>
      <c r="BF242" s="121">
        <f t="shared" si="125"/>
        <v>1183729.3174136395</v>
      </c>
      <c r="BG242" s="121">
        <f t="shared" si="126"/>
        <v>1183729.3174136395</v>
      </c>
      <c r="BH242" s="121">
        <f t="shared" si="127"/>
        <v>1183729.3174136395</v>
      </c>
      <c r="BI242" s="121">
        <f t="shared" si="128"/>
        <v>1183729.3174136395</v>
      </c>
      <c r="BJ242" s="121">
        <f t="shared" si="129"/>
        <v>1183729.3174136395</v>
      </c>
      <c r="BK242" s="121">
        <f t="shared" si="130"/>
        <v>1183729.3174136395</v>
      </c>
      <c r="BL242" s="121">
        <f t="shared" si="131"/>
        <v>1183729.3174136395</v>
      </c>
      <c r="BM242" s="121">
        <f t="shared" si="132"/>
        <v>1183729.3174136395</v>
      </c>
      <c r="BN242" s="121">
        <f t="shared" si="133"/>
        <v>1183729.3174136395</v>
      </c>
      <c r="BO242" s="121">
        <f t="shared" si="134"/>
        <v>1183729.3174136395</v>
      </c>
      <c r="BP242" s="121">
        <f t="shared" si="135"/>
        <v>1183729.3174136395</v>
      </c>
      <c r="BQ242" s="199">
        <f>INDEX('GDP deflators'!$C$6:$M$36,MATCH('Bottom-up tagging'!$D242,'GDP deflators'!$B$6:$B$36,),MATCH('Bottom-up tagging'!$E242,'GDP deflators'!$C$5:$L$5,))/100</f>
        <v>0.9292665002193391</v>
      </c>
      <c r="BR242" s="24">
        <v>1100000</v>
      </c>
    </row>
    <row r="243" spans="2:70" ht="26.15" customHeight="1">
      <c r="B243" s="110" t="s">
        <v>385</v>
      </c>
      <c r="C243" s="110" t="s">
        <v>389</v>
      </c>
      <c r="D243" s="110" t="s">
        <v>5391</v>
      </c>
      <c r="E243" s="103">
        <v>2018</v>
      </c>
      <c r="F243" s="108" t="s">
        <v>7033</v>
      </c>
      <c r="G243" s="111" t="s">
        <v>184</v>
      </c>
      <c r="H243" s="110" t="s">
        <v>10451</v>
      </c>
      <c r="I243" s="112">
        <f>IF(Dashboard!$B$16="Current USD",'Bottom-up tagging'!BR243,'Bottom-up tagging'!BR243/'Bottom-up tagging'!BQ243)</f>
        <v>599714.42179247446</v>
      </c>
      <c r="J243" s="118" t="s">
        <v>10474</v>
      </c>
      <c r="K243" s="112"/>
      <c r="L243" s="135">
        <v>1</v>
      </c>
      <c r="M243" s="135">
        <v>1</v>
      </c>
      <c r="N243" s="112"/>
      <c r="O243" s="112"/>
      <c r="P243" s="112" t="str">
        <f>VLOOKUP(B243, 'Companies covered restructured'!$B$7:$K$470, 9, FALSE)</f>
        <v>Farmer financing services</v>
      </c>
      <c r="Q243" s="112" t="str">
        <f>VLOOKUP(B243, 'Companies covered restructured'!$B$7:$K$470, 6, FALSE)</f>
        <v>#Cross-cutting(100)</v>
      </c>
      <c r="R243" s="112" t="str">
        <f t="shared" si="107"/>
        <v>N/A</v>
      </c>
      <c r="S243" s="112" t="s">
        <v>11003</v>
      </c>
      <c r="T243" s="112" t="s">
        <v>10465</v>
      </c>
      <c r="U243" s="116" t="s">
        <v>10970</v>
      </c>
      <c r="V243" s="112" t="str">
        <f>VLOOKUP(P243, 'Bottom-up Tagging Assumptions'!$B$12:$F$39, 5, FALSE)</f>
        <v>#Process Innovation(100)</v>
      </c>
      <c r="W243" s="112" t="str">
        <f>VLOOKUP(B243, 'Companies covered restructured'!$B$7:$K$470, 7, FALSE)</f>
        <v>#Field/Animal Herd(100)</v>
      </c>
      <c r="X243" s="112" t="s">
        <v>10558</v>
      </c>
      <c r="Y243" s="212" t="str">
        <f>VLOOKUP(P243, 'Bottom-up Tagging Assumptions'!$B$12:$C$56, 2, FALSE)</f>
        <v>#Other Economic(P); Social(S)</v>
      </c>
      <c r="Z243" s="112" t="str">
        <f>VLOOKUP(P243, 'Bottom-up Tagging Assumptions'!$B$12:$F$56, 3, FALSE)</f>
        <v>NA</v>
      </c>
      <c r="AA243" s="112" t="str">
        <f>VLOOKUP(P243, 'Bottom-up Tagging Assumptions'!$B$12:$F$56, 4, FALSE)</f>
        <v>#Level 1(100)</v>
      </c>
      <c r="AB243" s="110" t="s">
        <v>1381</v>
      </c>
      <c r="AC243" s="110"/>
      <c r="AD243" s="110"/>
      <c r="AE243" s="110" t="s">
        <v>10558</v>
      </c>
      <c r="AF243" s="112"/>
      <c r="AG243" s="110" t="s">
        <v>1987</v>
      </c>
      <c r="AH243" s="121">
        <f t="shared" si="108"/>
        <v>0</v>
      </c>
      <c r="AI243" s="121">
        <f t="shared" si="109"/>
        <v>0</v>
      </c>
      <c r="AJ243" s="121">
        <f t="shared" si="110"/>
        <v>1</v>
      </c>
      <c r="AK243" s="121">
        <f t="shared" si="111"/>
        <v>1</v>
      </c>
      <c r="AL243" s="121">
        <f t="shared" si="112"/>
        <v>0</v>
      </c>
      <c r="AM243" s="121">
        <f t="shared" si="113"/>
        <v>0</v>
      </c>
      <c r="AN243" s="121">
        <f t="shared" si="114"/>
        <v>1</v>
      </c>
      <c r="AO243" s="121">
        <f t="shared" si="115"/>
        <v>0</v>
      </c>
      <c r="AP243" s="22">
        <f t="shared" si="116"/>
        <v>0</v>
      </c>
      <c r="AQ243" s="22">
        <f t="shared" si="117"/>
        <v>599714.42179247446</v>
      </c>
      <c r="AR243" s="22">
        <f t="shared" si="118"/>
        <v>0</v>
      </c>
      <c r="AS243" s="121" t="str">
        <f t="shared" si="119"/>
        <v>Cross-cutting</v>
      </c>
      <c r="AT243" s="121" t="str">
        <f t="shared" si="138"/>
        <v xml:space="preserve"> </v>
      </c>
      <c r="AU243" s="121" t="str">
        <f t="shared" si="138"/>
        <v xml:space="preserve"> </v>
      </c>
      <c r="AV243" s="121" t="str">
        <f t="shared" si="138"/>
        <v xml:space="preserve"> </v>
      </c>
      <c r="AW243" s="130" t="str">
        <f t="shared" si="139"/>
        <v>100</v>
      </c>
      <c r="AX243" s="130" t="str">
        <f t="shared" si="139"/>
        <v xml:space="preserve"> </v>
      </c>
      <c r="AY243" s="130" t="str">
        <f t="shared" si="139"/>
        <v xml:space="preserve"> </v>
      </c>
      <c r="AZ243" s="130" t="str">
        <f t="shared" si="139"/>
        <v xml:space="preserve"> </v>
      </c>
      <c r="BA243" s="121">
        <f t="shared" si="120"/>
        <v>599714.42179247446</v>
      </c>
      <c r="BB243" s="121">
        <f t="shared" si="121"/>
        <v>0</v>
      </c>
      <c r="BC243" s="121">
        <f t="shared" si="122"/>
        <v>0</v>
      </c>
      <c r="BD243" s="121">
        <f t="shared" si="123"/>
        <v>0</v>
      </c>
      <c r="BE243" s="121">
        <f t="shared" si="124"/>
        <v>0</v>
      </c>
      <c r="BF243" s="121">
        <f t="shared" si="125"/>
        <v>0</v>
      </c>
      <c r="BG243" s="121">
        <f t="shared" si="126"/>
        <v>0</v>
      </c>
      <c r="BH243" s="121">
        <f t="shared" si="127"/>
        <v>0</v>
      </c>
      <c r="BI243" s="121">
        <f t="shared" si="128"/>
        <v>599714.42179247446</v>
      </c>
      <c r="BJ243" s="121">
        <f t="shared" si="129"/>
        <v>599714.42179247446</v>
      </c>
      <c r="BK243" s="121">
        <f t="shared" si="130"/>
        <v>599714.42179247446</v>
      </c>
      <c r="BL243" s="121">
        <f t="shared" si="131"/>
        <v>599714.42179247446</v>
      </c>
      <c r="BM243" s="121">
        <f t="shared" si="132"/>
        <v>0</v>
      </c>
      <c r="BN243" s="121">
        <f t="shared" si="133"/>
        <v>0</v>
      </c>
      <c r="BO243" s="121">
        <f t="shared" si="134"/>
        <v>0</v>
      </c>
      <c r="BP243" s="121">
        <f t="shared" si="135"/>
        <v>0</v>
      </c>
      <c r="BQ243" s="199">
        <f>INDEX('GDP deflators'!$C$6:$M$36,MATCH('Bottom-up tagging'!$D243,'GDP deflators'!$B$6:$B$36,),MATCH('Bottom-up tagging'!$E243,'GDP deflators'!$C$5:$L$5,))/100</f>
        <v>1.8175317457634599</v>
      </c>
      <c r="BR243" s="24">
        <v>1090000</v>
      </c>
    </row>
    <row r="244" spans="2:70" ht="26.15" hidden="1" customHeight="1">
      <c r="B244" s="110" t="s">
        <v>835</v>
      </c>
      <c r="C244" s="110" t="s">
        <v>839</v>
      </c>
      <c r="D244" s="110" t="s">
        <v>3994</v>
      </c>
      <c r="E244" s="103">
        <v>2019</v>
      </c>
      <c r="F244" s="108" t="s">
        <v>5138</v>
      </c>
      <c r="G244" s="111" t="s">
        <v>34</v>
      </c>
      <c r="H244" s="110" t="s">
        <v>10451</v>
      </c>
      <c r="I244" s="112">
        <f>IF(Dashboard!$B$16="Current USD",'Bottom-up tagging'!BR244,'Bottom-up tagging'!BR244/'Bottom-up tagging'!BQ244)</f>
        <v>711393.34476282238</v>
      </c>
      <c r="J244" s="118" t="s">
        <v>10474</v>
      </c>
      <c r="K244" s="112"/>
      <c r="L244" s="135">
        <v>1</v>
      </c>
      <c r="M244" s="135">
        <v>1</v>
      </c>
      <c r="N244" s="112"/>
      <c r="O244" s="112"/>
      <c r="P244" s="112" t="str">
        <f>VLOOKUP(B244, 'Companies covered restructured'!$B$7:$K$470, 9, FALSE)</f>
        <v>AI/analytics based advisory algorithms (incl. weather)</v>
      </c>
      <c r="Q244" s="112" t="str">
        <f>VLOOKUP(B244, 'Companies covered restructured'!$B$7:$K$470, 6, FALSE)</f>
        <v>#Fisheries and Aquaculture(100)</v>
      </c>
      <c r="R244" s="112" t="str">
        <f t="shared" si="107"/>
        <v>#Corporate(100)</v>
      </c>
      <c r="S244" s="112" t="s">
        <v>11003</v>
      </c>
      <c r="T244" s="112" t="s">
        <v>10466</v>
      </c>
      <c r="U244" s="103" t="s">
        <v>10970</v>
      </c>
      <c r="V244" s="112" t="str">
        <f>VLOOKUP(P244, 'Bottom-up Tagging Assumptions'!$B$12:$F$39, 5, FALSE)</f>
        <v>#Science &amp; tech(100)</v>
      </c>
      <c r="W244" s="112" t="str">
        <f>VLOOKUP(B244, 'Companies covered restructured'!$B$7:$K$470, 7, FALSE)</f>
        <v>#Field/Animal Herd(100)</v>
      </c>
      <c r="X244" s="112" t="s">
        <v>10558</v>
      </c>
      <c r="Y244" s="212" t="str">
        <f>VLOOKUP(P244, 'Bottom-up Tagging Assumptions'!$B$12:$C$56, 2, FALSE)</f>
        <v>#Other Economic(P); #Productivity(S)</v>
      </c>
      <c r="Z244" s="112" t="str">
        <f>VLOOKUP(P244, 'Bottom-up Tagging Assumptions'!$B$12:$F$56, 3, FALSE)</f>
        <v>#Increasing output per unit input(P); #Increasing crop or animal yield(S)</v>
      </c>
      <c r="AA244" s="112" t="str">
        <f>VLOOKUP(P244, 'Bottom-up Tagging Assumptions'!$B$12:$F$56, 4, FALSE)</f>
        <v>#Level 1(100)</v>
      </c>
      <c r="AB244" s="110" t="s">
        <v>837</v>
      </c>
      <c r="AC244" s="110"/>
      <c r="AD244" s="110" t="s">
        <v>838</v>
      </c>
      <c r="AE244" s="110" t="s">
        <v>3139</v>
      </c>
      <c r="AF244" s="112">
        <v>1101687</v>
      </c>
      <c r="AG244" s="110" t="s">
        <v>840</v>
      </c>
      <c r="AH244" s="121">
        <f t="shared" si="108"/>
        <v>0</v>
      </c>
      <c r="AI244" s="121">
        <f t="shared" si="109"/>
        <v>1</v>
      </c>
      <c r="AJ244" s="121">
        <f t="shared" si="110"/>
        <v>1</v>
      </c>
      <c r="AK244" s="121">
        <f t="shared" si="111"/>
        <v>0</v>
      </c>
      <c r="AL244" s="121">
        <f t="shared" si="112"/>
        <v>0</v>
      </c>
      <c r="AM244" s="121">
        <f t="shared" si="113"/>
        <v>0</v>
      </c>
      <c r="AN244" s="121">
        <f t="shared" si="114"/>
        <v>0</v>
      </c>
      <c r="AO244" s="121">
        <f t="shared" si="115"/>
        <v>0</v>
      </c>
      <c r="AP244" s="22">
        <f t="shared" si="116"/>
        <v>0</v>
      </c>
      <c r="AQ244" s="22">
        <f t="shared" si="117"/>
        <v>0</v>
      </c>
      <c r="AR244" s="22">
        <f t="shared" si="118"/>
        <v>0</v>
      </c>
      <c r="AS244" s="121" t="str">
        <f t="shared" si="119"/>
        <v>Fisheries and Aquaculture</v>
      </c>
      <c r="AT244" s="121" t="str">
        <f t="shared" si="138"/>
        <v xml:space="preserve"> </v>
      </c>
      <c r="AU244" s="121" t="str">
        <f t="shared" si="138"/>
        <v xml:space="preserve"> </v>
      </c>
      <c r="AV244" s="121" t="str">
        <f t="shared" si="138"/>
        <v xml:space="preserve"> </v>
      </c>
      <c r="AW244" s="130" t="str">
        <f t="shared" si="139"/>
        <v>100</v>
      </c>
      <c r="AX244" s="130" t="str">
        <f t="shared" si="139"/>
        <v xml:space="preserve"> </v>
      </c>
      <c r="AY244" s="130" t="str">
        <f t="shared" si="139"/>
        <v xml:space="preserve"> </v>
      </c>
      <c r="AZ244" s="130" t="str">
        <f t="shared" si="139"/>
        <v xml:space="preserve"> </v>
      </c>
      <c r="BA244" s="121">
        <f t="shared" si="120"/>
        <v>711393.34476282238</v>
      </c>
      <c r="BB244" s="121">
        <f t="shared" si="121"/>
        <v>0</v>
      </c>
      <c r="BC244" s="121">
        <f t="shared" si="122"/>
        <v>0</v>
      </c>
      <c r="BD244" s="121">
        <f t="shared" si="123"/>
        <v>0</v>
      </c>
      <c r="BE244" s="121">
        <f t="shared" si="124"/>
        <v>0</v>
      </c>
      <c r="BF244" s="121">
        <f t="shared" si="125"/>
        <v>0</v>
      </c>
      <c r="BG244" s="121">
        <f t="shared" si="126"/>
        <v>0</v>
      </c>
      <c r="BH244" s="121">
        <f t="shared" si="127"/>
        <v>0</v>
      </c>
      <c r="BI244" s="121">
        <f t="shared" si="128"/>
        <v>0</v>
      </c>
      <c r="BJ244" s="121">
        <f t="shared" si="129"/>
        <v>0</v>
      </c>
      <c r="BK244" s="121">
        <f t="shared" si="130"/>
        <v>0</v>
      </c>
      <c r="BL244" s="121">
        <f t="shared" si="131"/>
        <v>0</v>
      </c>
      <c r="BM244" s="121">
        <f t="shared" si="132"/>
        <v>0</v>
      </c>
      <c r="BN244" s="121">
        <f t="shared" si="133"/>
        <v>0</v>
      </c>
      <c r="BO244" s="121">
        <f t="shared" si="134"/>
        <v>0</v>
      </c>
      <c r="BP244" s="121">
        <f t="shared" si="135"/>
        <v>0</v>
      </c>
      <c r="BQ244" s="199">
        <f>INDEX('GDP deflators'!$C$6:$M$36,MATCH('Bottom-up tagging'!$D244,'GDP deflators'!$B$6:$B$36,),MATCH('Bottom-up tagging'!$E244,'GDP deflators'!$C$5:$L$5,))/100</f>
        <v>1.5094883975306472</v>
      </c>
      <c r="BR244" s="24">
        <v>1073840</v>
      </c>
    </row>
    <row r="245" spans="2:70" ht="26.15" hidden="1" customHeight="1">
      <c r="B245" s="110" t="s">
        <v>622</v>
      </c>
      <c r="C245" s="110" t="s">
        <v>625</v>
      </c>
      <c r="D245" s="110" t="s">
        <v>3994</v>
      </c>
      <c r="E245" s="103">
        <v>2013</v>
      </c>
      <c r="F245" s="108" t="s">
        <v>8796</v>
      </c>
      <c r="G245" s="111" t="s">
        <v>34</v>
      </c>
      <c r="H245" s="110" t="s">
        <v>10451</v>
      </c>
      <c r="I245" s="112">
        <f>IF(Dashboard!$B$16="Current USD",'Bottom-up tagging'!BR245,'Bottom-up tagging'!BR245/'Bottom-up tagging'!BQ245)</f>
        <v>843000.87281204539</v>
      </c>
      <c r="J245" s="117" t="s">
        <v>10474</v>
      </c>
      <c r="K245" s="112"/>
      <c r="L245" s="135">
        <v>1</v>
      </c>
      <c r="M245" s="135">
        <v>1</v>
      </c>
      <c r="N245" s="112"/>
      <c r="O245" s="112"/>
      <c r="P245" s="112" t="str">
        <f>VLOOKUP(B245, 'Companies covered restructured'!$B$7:$K$470, 9, FALSE)</f>
        <v xml:space="preserve">Pesticides </v>
      </c>
      <c r="Q245" s="112" t="str">
        <f>VLOOKUP(B245, 'Companies covered restructured'!$B$7:$K$470, 6, FALSE)</f>
        <v>#Crops(100)</v>
      </c>
      <c r="R245" s="112" t="str">
        <f t="shared" si="107"/>
        <v>#Investment Fund(100)</v>
      </c>
      <c r="S245" s="112" t="s">
        <v>11003</v>
      </c>
      <c r="T245" s="112" t="s">
        <v>10466</v>
      </c>
      <c r="U245" s="103" t="s">
        <v>10970</v>
      </c>
      <c r="V245" s="112" t="str">
        <f>VLOOKUP(P245, 'Bottom-up Tagging Assumptions'!$B$12:$F$39, 5, FALSE)</f>
        <v>#Product Development(100)</v>
      </c>
      <c r="W245" s="112" t="str">
        <f>VLOOKUP(B245, 'Companies covered restructured'!$B$7:$K$470, 7, FALSE)</f>
        <v>N/A</v>
      </c>
      <c r="X245" s="112" t="str">
        <f>VLOOKUP(B245, 'Companies covered restructured'!$B$7:$K$470, 8, FALSE)</f>
        <v>N/A</v>
      </c>
      <c r="Y245" s="212" t="str">
        <f>VLOOKUP(P245, 'Bottom-up Tagging Assumptions'!$B$12:$C$56, 2, FALSE)</f>
        <v>#Other economic(P); #Productivity(S)</v>
      </c>
      <c r="Z245" s="112" t="str">
        <f>VLOOKUP(P245, 'Bottom-up Tagging Assumptions'!$B$12:$F$56, 3, FALSE)</f>
        <v>#Waste reduction(P)</v>
      </c>
      <c r="AA245" s="112" t="str">
        <f>VLOOKUP(P245, 'Bottom-up Tagging Assumptions'!$B$12:$F$56, 4, FALSE)</f>
        <v>#Level 1(100)</v>
      </c>
      <c r="AB245" s="110" t="s">
        <v>643</v>
      </c>
      <c r="AC245" s="110"/>
      <c r="AD245" s="110" t="s">
        <v>644</v>
      </c>
      <c r="AE245" s="110" t="str">
        <f>VLOOKUP(AD245,  '1.2'!$B$7:$C$2033, 2, FALSE)</f>
        <v>FUND</v>
      </c>
      <c r="AF245" s="112">
        <v>2257449</v>
      </c>
      <c r="AG245" s="110" t="s">
        <v>1691</v>
      </c>
      <c r="AH245" s="121">
        <f t="shared" si="108"/>
        <v>0</v>
      </c>
      <c r="AI245" s="121">
        <f t="shared" si="109"/>
        <v>1</v>
      </c>
      <c r="AJ245" s="121">
        <f t="shared" si="110"/>
        <v>1</v>
      </c>
      <c r="AK245" s="121">
        <f t="shared" si="111"/>
        <v>0</v>
      </c>
      <c r="AL245" s="121">
        <f t="shared" si="112"/>
        <v>0</v>
      </c>
      <c r="AM245" s="121">
        <f t="shared" si="113"/>
        <v>0</v>
      </c>
      <c r="AN245" s="121">
        <f t="shared" si="114"/>
        <v>0</v>
      </c>
      <c r="AO245" s="121">
        <f t="shared" si="115"/>
        <v>0</v>
      </c>
      <c r="AP245" s="22">
        <f t="shared" si="116"/>
        <v>0</v>
      </c>
      <c r="AQ245" s="22">
        <f t="shared" si="117"/>
        <v>0</v>
      </c>
      <c r="AR245" s="22">
        <f t="shared" si="118"/>
        <v>0</v>
      </c>
      <c r="AS245" s="121" t="str">
        <f t="shared" si="119"/>
        <v>Crops</v>
      </c>
      <c r="AT245" s="121" t="str">
        <f t="shared" si="138"/>
        <v xml:space="preserve"> </v>
      </c>
      <c r="AU245" s="121" t="str">
        <f t="shared" si="138"/>
        <v xml:space="preserve"> </v>
      </c>
      <c r="AV245" s="121" t="str">
        <f t="shared" si="138"/>
        <v xml:space="preserve"> </v>
      </c>
      <c r="AW245" s="130" t="str">
        <f t="shared" si="139"/>
        <v>100</v>
      </c>
      <c r="AX245" s="130" t="str">
        <f t="shared" si="139"/>
        <v xml:space="preserve"> </v>
      </c>
      <c r="AY245" s="130" t="str">
        <f t="shared" si="139"/>
        <v xml:space="preserve"> </v>
      </c>
      <c r="AZ245" s="130" t="str">
        <f t="shared" si="139"/>
        <v xml:space="preserve"> </v>
      </c>
      <c r="BA245" s="121">
        <f t="shared" si="120"/>
        <v>843000.87281204539</v>
      </c>
      <c r="BB245" s="121">
        <f t="shared" si="121"/>
        <v>0</v>
      </c>
      <c r="BC245" s="121">
        <f t="shared" si="122"/>
        <v>0</v>
      </c>
      <c r="BD245" s="121">
        <f t="shared" si="123"/>
        <v>0</v>
      </c>
      <c r="BE245" s="121">
        <f t="shared" si="124"/>
        <v>0</v>
      </c>
      <c r="BF245" s="121">
        <f t="shared" si="125"/>
        <v>0</v>
      </c>
      <c r="BG245" s="121">
        <f t="shared" si="126"/>
        <v>0</v>
      </c>
      <c r="BH245" s="121">
        <f t="shared" si="127"/>
        <v>0</v>
      </c>
      <c r="BI245" s="121">
        <f t="shared" si="128"/>
        <v>0</v>
      </c>
      <c r="BJ245" s="121">
        <f t="shared" si="129"/>
        <v>0</v>
      </c>
      <c r="BK245" s="121">
        <f t="shared" si="130"/>
        <v>0</v>
      </c>
      <c r="BL245" s="121">
        <f t="shared" si="131"/>
        <v>0</v>
      </c>
      <c r="BM245" s="121">
        <f t="shared" si="132"/>
        <v>0</v>
      </c>
      <c r="BN245" s="121">
        <f t="shared" si="133"/>
        <v>0</v>
      </c>
      <c r="BO245" s="121">
        <f t="shared" si="134"/>
        <v>0</v>
      </c>
      <c r="BP245" s="121">
        <f t="shared" si="135"/>
        <v>0</v>
      </c>
      <c r="BQ245" s="199">
        <f>INDEX('GDP deflators'!$C$6:$M$36,MATCH('Bottom-up tagging'!$D245,'GDP deflators'!$B$6:$B$36,),MATCH('Bottom-up tagging'!$E245,'GDP deflators'!$C$5:$L$5,))/100</f>
        <v>1.2462146053248888</v>
      </c>
      <c r="BR245" s="24">
        <v>1050560</v>
      </c>
    </row>
    <row r="246" spans="2:70" ht="26.15" hidden="1" customHeight="1">
      <c r="B246" s="110" t="s">
        <v>102</v>
      </c>
      <c r="C246" s="110" t="s">
        <v>107</v>
      </c>
      <c r="D246" s="110" t="s">
        <v>3994</v>
      </c>
      <c r="E246" s="103">
        <v>2020</v>
      </c>
      <c r="F246" s="108" t="s">
        <v>6922</v>
      </c>
      <c r="G246" s="111" t="s">
        <v>34</v>
      </c>
      <c r="H246" s="110" t="s">
        <v>10451</v>
      </c>
      <c r="I246" s="212">
        <v>0</v>
      </c>
      <c r="J246" s="117" t="s">
        <v>10474</v>
      </c>
      <c r="K246" s="112"/>
      <c r="L246" s="135">
        <v>1</v>
      </c>
      <c r="M246" s="135">
        <v>1</v>
      </c>
      <c r="N246" s="112"/>
      <c r="O246" s="112"/>
      <c r="P246" s="112" t="str">
        <f>VLOOKUP(B246, 'Companies covered restructured'!$B$7:$K$470, 9, FALSE)</f>
        <v>Soil and nutrient monitoring systems</v>
      </c>
      <c r="Q246" s="112" t="str">
        <f>VLOOKUP(B246, 'Companies covered restructured'!$B$7:$K$470, 6, FALSE)</f>
        <v>#Crops(100)</v>
      </c>
      <c r="R246" s="112" t="str">
        <f t="shared" si="107"/>
        <v>#Investment Fund(100)</v>
      </c>
      <c r="S246" s="112" t="s">
        <v>11003</v>
      </c>
      <c r="T246" s="112" t="s">
        <v>10466</v>
      </c>
      <c r="U246" s="103" t="s">
        <v>10970</v>
      </c>
      <c r="V246" s="112" t="str">
        <f>VLOOKUP(P246, 'Bottom-up Tagging Assumptions'!$B$12:$F$39, 5, FALSE)</f>
        <v>#Science &amp; tech(100)</v>
      </c>
      <c r="W246" s="112" t="str">
        <f>VLOOKUP(B246, 'Companies covered restructured'!$B$7:$K$470, 7, FALSE)</f>
        <v>#Field/Animal Herd(100)</v>
      </c>
      <c r="X246" s="112" t="s">
        <v>10558</v>
      </c>
      <c r="Y246" s="112" t="str">
        <f>VLOOKUP(P246, '[2]Bottom-up Tagging Assumptions'!$B$12:$F$56, 2, FALSE)</f>
        <v>#Environmental(P); #Other economic(S)</v>
      </c>
      <c r="Z246" s="112" t="str">
        <f>VLOOKUP(P246, 'Bottom-up Tagging Assumptions'!$B$12:$F$56, 3, FALSE)</f>
        <v>#Improved soil quality(P)</v>
      </c>
      <c r="AA246" s="112" t="str">
        <f>VLOOKUP(P246, 'Bottom-up Tagging Assumptions'!$B$12:$F$56, 4, FALSE)</f>
        <v>#Level 2(100)</v>
      </c>
      <c r="AB246" s="110" t="s">
        <v>104</v>
      </c>
      <c r="AC246" s="110"/>
      <c r="AD246" s="110" t="s">
        <v>105</v>
      </c>
      <c r="AE246" s="110" t="s">
        <v>3114</v>
      </c>
      <c r="AF246" s="112"/>
      <c r="AG246" s="110" t="s">
        <v>2010</v>
      </c>
      <c r="AH246" s="121">
        <f t="shared" si="108"/>
        <v>1</v>
      </c>
      <c r="AI246" s="121">
        <f t="shared" si="109"/>
        <v>0</v>
      </c>
      <c r="AJ246" s="121">
        <f t="shared" si="110"/>
        <v>1</v>
      </c>
      <c r="AK246" s="121">
        <f t="shared" si="111"/>
        <v>0</v>
      </c>
      <c r="AL246" s="121">
        <f t="shared" si="112"/>
        <v>0</v>
      </c>
      <c r="AM246" s="121">
        <f t="shared" si="113"/>
        <v>0</v>
      </c>
      <c r="AN246" s="121">
        <f t="shared" si="114"/>
        <v>1</v>
      </c>
      <c r="AO246" s="121">
        <f t="shared" si="115"/>
        <v>0</v>
      </c>
      <c r="AP246" s="22">
        <f t="shared" si="116"/>
        <v>0</v>
      </c>
      <c r="AQ246" s="22">
        <f t="shared" si="117"/>
        <v>0</v>
      </c>
      <c r="AR246" s="22">
        <f t="shared" si="118"/>
        <v>0</v>
      </c>
      <c r="AS246" s="121" t="str">
        <f t="shared" si="119"/>
        <v>Crops</v>
      </c>
      <c r="AT246" s="121" t="str">
        <f t="shared" si="138"/>
        <v xml:space="preserve"> </v>
      </c>
      <c r="AU246" s="121" t="str">
        <f t="shared" si="138"/>
        <v xml:space="preserve"> </v>
      </c>
      <c r="AV246" s="121" t="str">
        <f t="shared" si="138"/>
        <v xml:space="preserve"> </v>
      </c>
      <c r="AW246" s="130" t="str">
        <f t="shared" si="139"/>
        <v>100</v>
      </c>
      <c r="AX246" s="130" t="str">
        <f t="shared" si="139"/>
        <v xml:space="preserve"> </v>
      </c>
      <c r="AY246" s="130" t="str">
        <f t="shared" si="139"/>
        <v xml:space="preserve"> </v>
      </c>
      <c r="AZ246" s="130" t="str">
        <f t="shared" si="139"/>
        <v xml:space="preserve"> </v>
      </c>
      <c r="BA246" s="121">
        <f t="shared" si="120"/>
        <v>0</v>
      </c>
      <c r="BB246" s="121">
        <f t="shared" si="121"/>
        <v>0</v>
      </c>
      <c r="BC246" s="121">
        <f t="shared" si="122"/>
        <v>0</v>
      </c>
      <c r="BD246" s="121">
        <f t="shared" si="123"/>
        <v>0</v>
      </c>
      <c r="BE246" s="121">
        <f t="shared" si="124"/>
        <v>0</v>
      </c>
      <c r="BF246" s="121">
        <f t="shared" si="125"/>
        <v>0</v>
      </c>
      <c r="BG246" s="121">
        <f t="shared" si="126"/>
        <v>0</v>
      </c>
      <c r="BH246" s="121">
        <f t="shared" si="127"/>
        <v>0</v>
      </c>
      <c r="BI246" s="121">
        <f t="shared" si="128"/>
        <v>0</v>
      </c>
      <c r="BJ246" s="121">
        <f t="shared" si="129"/>
        <v>0</v>
      </c>
      <c r="BK246" s="121">
        <f t="shared" si="130"/>
        <v>0</v>
      </c>
      <c r="BL246" s="121">
        <f t="shared" si="131"/>
        <v>0</v>
      </c>
      <c r="BM246" s="121">
        <f t="shared" si="132"/>
        <v>0</v>
      </c>
      <c r="BN246" s="121">
        <f t="shared" si="133"/>
        <v>0</v>
      </c>
      <c r="BO246" s="121">
        <f t="shared" si="134"/>
        <v>0</v>
      </c>
      <c r="BP246" s="121">
        <f t="shared" si="135"/>
        <v>0</v>
      </c>
      <c r="BQ246" s="199" t="e">
        <f>INDEX('GDP deflators'!$C$6:$M$36,MATCH('Bottom-up tagging'!$D246,'GDP deflators'!$B$6:$B$36,),MATCH('Bottom-up tagging'!$E246,'GDP deflators'!$C$5:$L$5,))/100</f>
        <v>#N/A</v>
      </c>
      <c r="BR246" s="24">
        <v>1035150</v>
      </c>
    </row>
    <row r="247" spans="2:70" ht="26.15" hidden="1" customHeight="1">
      <c r="B247" s="110" t="s">
        <v>443</v>
      </c>
      <c r="C247" s="110" t="s">
        <v>447</v>
      </c>
      <c r="D247" s="110" t="s">
        <v>3994</v>
      </c>
      <c r="E247" s="103">
        <v>2019</v>
      </c>
      <c r="F247" s="108" t="s">
        <v>5458</v>
      </c>
      <c r="G247" s="111" t="s">
        <v>34</v>
      </c>
      <c r="H247" s="110" t="s">
        <v>10451</v>
      </c>
      <c r="I247" s="112">
        <f>IF(Dashboard!$B$16="Current USD",'Bottom-up tagging'!BR247,'Bottom-up tagging'!BR247/'Bottom-up tagging'!BQ247)</f>
        <v>675897.87484887615</v>
      </c>
      <c r="J247" s="105" t="s">
        <v>10474</v>
      </c>
      <c r="K247" s="112"/>
      <c r="L247" s="135">
        <v>1</v>
      </c>
      <c r="M247" s="135">
        <v>1</v>
      </c>
      <c r="N247" s="112"/>
      <c r="O247" s="112"/>
      <c r="P247" s="112" t="str">
        <f>VLOOKUP(B247, 'Companies covered restructured'!$B$7:$K$470, 9, FALSE)</f>
        <v>Farmer engagement platforms (including marketplaces and information platforms)</v>
      </c>
      <c r="Q247" s="112" t="str">
        <f>VLOOKUP(B247, 'Companies covered restructured'!$B$7:$K$470, 6, FALSE)</f>
        <v>#Crops(100)</v>
      </c>
      <c r="R247" s="112" t="str">
        <f t="shared" si="107"/>
        <v>#Investment Fund(100)</v>
      </c>
      <c r="S247" s="112" t="s">
        <v>11003</v>
      </c>
      <c r="T247" s="112" t="s">
        <v>10466</v>
      </c>
      <c r="U247" s="103" t="s">
        <v>10970</v>
      </c>
      <c r="V247" s="112" t="str">
        <f>VLOOKUP(P247, 'Bottom-up Tagging Assumptions'!$B$12:$F$39, 5, FALSE)</f>
        <v>#Process Innovation(100)</v>
      </c>
      <c r="W247" s="112" t="str">
        <f>VLOOKUP(B247, 'Companies covered restructured'!$B$7:$K$470, 7, FALSE)</f>
        <v>#Field/Animal Herd(100)</v>
      </c>
      <c r="X247" s="112" t="s">
        <v>10558</v>
      </c>
      <c r="Y247" s="212" t="str">
        <f>VLOOKUP(P247, 'Bottom-up Tagging Assumptions'!$B$12:$C$56, 2, FALSE)</f>
        <v>#Other Economic(P); #Productivity(S)</v>
      </c>
      <c r="Z247" s="112" t="str">
        <f>VLOOKUP(P247, 'Bottom-up Tagging Assumptions'!$B$12:$F$56, 3, FALSE)</f>
        <v>#Improve price realization(P); #Increasing crop or animal yield(S)</v>
      </c>
      <c r="AA247" s="112" t="str">
        <f>VLOOKUP(P247, 'Bottom-up Tagging Assumptions'!$B$12:$F$56, 4, FALSE)</f>
        <v>#Level 4(100)</v>
      </c>
      <c r="AB247" s="110" t="s">
        <v>927</v>
      </c>
      <c r="AC247" s="110"/>
      <c r="AD247" s="110" t="s">
        <v>928</v>
      </c>
      <c r="AE247" s="110" t="str">
        <f>VLOOKUP(AD247,  '1.2'!$B$7:$C$2033, 2, FALSE)</f>
        <v>FUND</v>
      </c>
      <c r="AF247" s="112">
        <v>2569628</v>
      </c>
      <c r="AG247" s="110" t="s">
        <v>222</v>
      </c>
      <c r="AH247" s="121">
        <f t="shared" si="108"/>
        <v>0</v>
      </c>
      <c r="AI247" s="121">
        <f t="shared" si="109"/>
        <v>1</v>
      </c>
      <c r="AJ247" s="121">
        <f t="shared" si="110"/>
        <v>1</v>
      </c>
      <c r="AK247" s="121">
        <f t="shared" si="111"/>
        <v>0</v>
      </c>
      <c r="AL247" s="121">
        <f t="shared" si="112"/>
        <v>0</v>
      </c>
      <c r="AM247" s="121">
        <f t="shared" si="113"/>
        <v>0</v>
      </c>
      <c r="AN247" s="121">
        <f t="shared" si="114"/>
        <v>0</v>
      </c>
      <c r="AO247" s="121">
        <f t="shared" si="115"/>
        <v>0</v>
      </c>
      <c r="AP247" s="22">
        <f t="shared" si="116"/>
        <v>0</v>
      </c>
      <c r="AQ247" s="22">
        <f t="shared" si="117"/>
        <v>0</v>
      </c>
      <c r="AR247" s="22">
        <f t="shared" si="118"/>
        <v>0</v>
      </c>
      <c r="AS247" s="121" t="str">
        <f t="shared" si="119"/>
        <v>Crops</v>
      </c>
      <c r="AT247" s="121" t="str">
        <f t="shared" si="138"/>
        <v xml:space="preserve"> </v>
      </c>
      <c r="AU247" s="121" t="str">
        <f t="shared" si="138"/>
        <v xml:space="preserve"> </v>
      </c>
      <c r="AV247" s="121" t="str">
        <f t="shared" si="138"/>
        <v xml:space="preserve"> </v>
      </c>
      <c r="AW247" s="130" t="str">
        <f t="shared" si="139"/>
        <v>100</v>
      </c>
      <c r="AX247" s="130" t="str">
        <f t="shared" si="139"/>
        <v xml:space="preserve"> </v>
      </c>
      <c r="AY247" s="130" t="str">
        <f t="shared" si="139"/>
        <v xml:space="preserve"> </v>
      </c>
      <c r="AZ247" s="130" t="str">
        <f t="shared" si="139"/>
        <v xml:space="preserve"> </v>
      </c>
      <c r="BA247" s="121">
        <f t="shared" si="120"/>
        <v>675897.87484887615</v>
      </c>
      <c r="BB247" s="121">
        <f t="shared" si="121"/>
        <v>0</v>
      </c>
      <c r="BC247" s="121">
        <f t="shared" si="122"/>
        <v>0</v>
      </c>
      <c r="BD247" s="121">
        <f t="shared" si="123"/>
        <v>0</v>
      </c>
      <c r="BE247" s="121">
        <f t="shared" si="124"/>
        <v>0</v>
      </c>
      <c r="BF247" s="121">
        <f t="shared" si="125"/>
        <v>0</v>
      </c>
      <c r="BG247" s="121">
        <f t="shared" si="126"/>
        <v>0</v>
      </c>
      <c r="BH247" s="121">
        <f t="shared" si="127"/>
        <v>0</v>
      </c>
      <c r="BI247" s="121">
        <f t="shared" si="128"/>
        <v>0</v>
      </c>
      <c r="BJ247" s="121">
        <f t="shared" si="129"/>
        <v>0</v>
      </c>
      <c r="BK247" s="121">
        <f t="shared" si="130"/>
        <v>0</v>
      </c>
      <c r="BL247" s="121">
        <f t="shared" si="131"/>
        <v>0</v>
      </c>
      <c r="BM247" s="121">
        <f t="shared" si="132"/>
        <v>0</v>
      </c>
      <c r="BN247" s="121">
        <f t="shared" si="133"/>
        <v>0</v>
      </c>
      <c r="BO247" s="121">
        <f t="shared" si="134"/>
        <v>0</v>
      </c>
      <c r="BP247" s="121">
        <f t="shared" si="135"/>
        <v>0</v>
      </c>
      <c r="BQ247" s="199">
        <f>INDEX('GDP deflators'!$C$6:$M$36,MATCH('Bottom-up tagging'!$D247,'GDP deflators'!$B$6:$B$36,),MATCH('Bottom-up tagging'!$E247,'GDP deflators'!$C$5:$L$5,))/100</f>
        <v>1.5094883975306472</v>
      </c>
      <c r="BR247" s="24">
        <v>1020260</v>
      </c>
    </row>
    <row r="248" spans="2:70" ht="26.15" hidden="1" customHeight="1">
      <c r="B248" s="110" t="s">
        <v>26</v>
      </c>
      <c r="C248" s="110" t="s">
        <v>31</v>
      </c>
      <c r="D248" s="110" t="s">
        <v>5333</v>
      </c>
      <c r="E248" s="103">
        <v>2020</v>
      </c>
      <c r="F248" s="108" t="s">
        <v>8076</v>
      </c>
      <c r="G248" s="111" t="s">
        <v>25</v>
      </c>
      <c r="H248" s="110" t="s">
        <v>10451</v>
      </c>
      <c r="I248" s="212">
        <v>0</v>
      </c>
      <c r="J248" s="117" t="s">
        <v>10474</v>
      </c>
      <c r="K248" s="112"/>
      <c r="L248" s="135">
        <v>1</v>
      </c>
      <c r="M248" s="135">
        <v>1</v>
      </c>
      <c r="N248" s="112"/>
      <c r="O248" s="112"/>
      <c r="P248" s="112" t="str">
        <f>VLOOKUP(B248, 'Companies covered restructured'!$B$7:$K$470, 9, FALSE)</f>
        <v>Agri input e-commerce platforms</v>
      </c>
      <c r="Q248" s="112" t="str">
        <f>VLOOKUP(B248, 'Companies covered restructured'!$B$7:$K$470, 6, FALSE)</f>
        <v>#Crops(100)</v>
      </c>
      <c r="R248" s="112" t="str">
        <f t="shared" si="107"/>
        <v>#Investment Fund(100)</v>
      </c>
      <c r="S248" s="112" t="s">
        <v>11003</v>
      </c>
      <c r="T248" s="112" t="s">
        <v>10466</v>
      </c>
      <c r="U248" s="116" t="s">
        <v>10970</v>
      </c>
      <c r="V248" s="112" t="str">
        <f>VLOOKUP(P248, 'Bottom-up Tagging Assumptions'!$B$12:$F$39, 5, FALSE)</f>
        <v>#Process Innovation(100)</v>
      </c>
      <c r="W248" s="112" t="str">
        <f>VLOOKUP(B248, 'Companies covered restructured'!$B$7:$K$470, 7, FALSE)</f>
        <v>#Field/Animal Herd(100)</v>
      </c>
      <c r="X248" s="112" t="s">
        <v>10558</v>
      </c>
      <c r="Y248" s="112" t="str">
        <f>VLOOKUP(P248, '[2]Bottom-up Tagging Assumptions'!$B$12:$F$56, 2, FALSE)</f>
        <v>#Other Economic(P); Productivity(S)</v>
      </c>
      <c r="Z248" s="112" t="str">
        <f>VLOOKUP(P248, 'Bottom-up Tagging Assumptions'!$B$12:$F$56, 3, FALSE)</f>
        <v>#Reduce cost of inputs(P)</v>
      </c>
      <c r="AA248" s="112" t="str">
        <f>VLOOKUP(P248, 'Bottom-up Tagging Assumptions'!$B$12:$F$56, 4, FALSE)</f>
        <v>#Level 1(100)</v>
      </c>
      <c r="AB248" s="110" t="s">
        <v>28</v>
      </c>
      <c r="AC248" s="110"/>
      <c r="AD248" s="110" t="s">
        <v>29</v>
      </c>
      <c r="AE248" s="110" t="str">
        <f>VLOOKUP(AD248,  '1.2'!$B$7:$C$2033, 2, FALSE)</f>
        <v>FUND</v>
      </c>
      <c r="AF248" s="112"/>
      <c r="AG248" s="110" t="s">
        <v>1260</v>
      </c>
      <c r="AH248" s="121">
        <f t="shared" si="108"/>
        <v>0</v>
      </c>
      <c r="AI248" s="121">
        <f t="shared" si="109"/>
        <v>1</v>
      </c>
      <c r="AJ248" s="121">
        <f t="shared" si="110"/>
        <v>1</v>
      </c>
      <c r="AK248" s="121">
        <f t="shared" si="111"/>
        <v>0</v>
      </c>
      <c r="AL248" s="121">
        <f t="shared" si="112"/>
        <v>0</v>
      </c>
      <c r="AM248" s="121">
        <f t="shared" si="113"/>
        <v>0</v>
      </c>
      <c r="AN248" s="121">
        <f t="shared" si="114"/>
        <v>0</v>
      </c>
      <c r="AO248" s="121">
        <f t="shared" si="115"/>
        <v>0</v>
      </c>
      <c r="AP248" s="22">
        <f t="shared" si="116"/>
        <v>0</v>
      </c>
      <c r="AQ248" s="22">
        <f t="shared" si="117"/>
        <v>0</v>
      </c>
      <c r="AR248" s="22">
        <f t="shared" si="118"/>
        <v>0</v>
      </c>
      <c r="AS248" s="121" t="str">
        <f t="shared" si="119"/>
        <v>Crops</v>
      </c>
      <c r="AT248" s="121" t="str">
        <f t="shared" si="138"/>
        <v xml:space="preserve"> </v>
      </c>
      <c r="AU248" s="121" t="str">
        <f t="shared" si="138"/>
        <v xml:space="preserve"> </v>
      </c>
      <c r="AV248" s="121" t="str">
        <f t="shared" si="138"/>
        <v xml:space="preserve"> </v>
      </c>
      <c r="AW248" s="130" t="str">
        <f t="shared" si="139"/>
        <v>100</v>
      </c>
      <c r="AX248" s="130" t="str">
        <f t="shared" si="139"/>
        <v xml:space="preserve"> </v>
      </c>
      <c r="AY248" s="130" t="str">
        <f t="shared" si="139"/>
        <v xml:space="preserve"> </v>
      </c>
      <c r="AZ248" s="130" t="str">
        <f t="shared" si="139"/>
        <v xml:space="preserve"> </v>
      </c>
      <c r="BA248" s="121">
        <f t="shared" si="120"/>
        <v>0</v>
      </c>
      <c r="BB248" s="121">
        <f t="shared" si="121"/>
        <v>0</v>
      </c>
      <c r="BC248" s="121">
        <f t="shared" si="122"/>
        <v>0</v>
      </c>
      <c r="BD248" s="121">
        <f t="shared" si="123"/>
        <v>0</v>
      </c>
      <c r="BE248" s="121">
        <f t="shared" si="124"/>
        <v>0</v>
      </c>
      <c r="BF248" s="121">
        <f t="shared" si="125"/>
        <v>0</v>
      </c>
      <c r="BG248" s="121">
        <f t="shared" si="126"/>
        <v>0</v>
      </c>
      <c r="BH248" s="121">
        <f t="shared" si="127"/>
        <v>0</v>
      </c>
      <c r="BI248" s="121">
        <f t="shared" si="128"/>
        <v>0</v>
      </c>
      <c r="BJ248" s="121">
        <f t="shared" si="129"/>
        <v>0</v>
      </c>
      <c r="BK248" s="121">
        <f t="shared" si="130"/>
        <v>0</v>
      </c>
      <c r="BL248" s="121">
        <f t="shared" si="131"/>
        <v>0</v>
      </c>
      <c r="BM248" s="121">
        <f t="shared" si="132"/>
        <v>0</v>
      </c>
      <c r="BN248" s="121">
        <f t="shared" si="133"/>
        <v>0</v>
      </c>
      <c r="BO248" s="121">
        <f t="shared" si="134"/>
        <v>0</v>
      </c>
      <c r="BP248" s="121">
        <f t="shared" si="135"/>
        <v>0</v>
      </c>
      <c r="BQ248" s="199" t="e">
        <f>INDEX('GDP deflators'!$C$6:$M$36,MATCH('Bottom-up tagging'!$D248,'GDP deflators'!$B$6:$B$36,),MATCH('Bottom-up tagging'!$E248,'GDP deflators'!$C$5:$L$5,))/100</f>
        <v>#N/A</v>
      </c>
      <c r="BR248" s="24">
        <v>1000000</v>
      </c>
    </row>
    <row r="249" spans="2:70" ht="26.15" hidden="1" customHeight="1">
      <c r="B249" s="110" t="s">
        <v>160</v>
      </c>
      <c r="C249" s="110" t="s">
        <v>164</v>
      </c>
      <c r="D249" s="110" t="s">
        <v>3994</v>
      </c>
      <c r="E249" s="103">
        <v>2020</v>
      </c>
      <c r="F249" s="108" t="s">
        <v>7497</v>
      </c>
      <c r="G249" s="111" t="s">
        <v>34</v>
      </c>
      <c r="H249" s="110" t="s">
        <v>10451</v>
      </c>
      <c r="I249" s="212">
        <v>0</v>
      </c>
      <c r="J249" s="105" t="s">
        <v>10474</v>
      </c>
      <c r="K249" s="112"/>
      <c r="L249" s="135">
        <v>1</v>
      </c>
      <c r="M249" s="135">
        <v>1</v>
      </c>
      <c r="N249" s="112"/>
      <c r="O249" s="112"/>
      <c r="P249" s="112" t="str">
        <f>VLOOKUP(B249, 'Companies covered restructured'!$B$7:$K$470, 9, FALSE)</f>
        <v>Supply chain technologies</v>
      </c>
      <c r="Q249" s="112" t="str">
        <f>VLOOKUP(B249, 'Companies covered restructured'!$B$7:$K$470, 6, FALSE)</f>
        <v>#Crops(100)</v>
      </c>
      <c r="R249" s="112" t="str">
        <f t="shared" si="107"/>
        <v>#Investment Fund(100)</v>
      </c>
      <c r="S249" s="112" t="s">
        <v>11003</v>
      </c>
      <c r="T249" s="112" t="s">
        <v>10466</v>
      </c>
      <c r="U249" s="103" t="s">
        <v>10970</v>
      </c>
      <c r="V249" s="112" t="str">
        <f>VLOOKUP(P249, 'Bottom-up Tagging Assumptions'!$B$12:$F$39, 5, FALSE)</f>
        <v>#Process Innovation(100)</v>
      </c>
      <c r="W249" s="112" t="str">
        <f>VLOOKUP(B249, 'Companies covered restructured'!$B$7:$K$470, 7, FALSE)</f>
        <v>#Farm/Household(100)</v>
      </c>
      <c r="X249" s="112" t="s">
        <v>10558</v>
      </c>
      <c r="Y249" s="112" t="str">
        <f>VLOOKUP(P249, '[2]Bottom-up Tagging Assumptions'!$B$12:$F$56, 2, FALSE)</f>
        <v>#Other Economic(P); Social(S)</v>
      </c>
      <c r="Z249" s="112" t="str">
        <f>VLOOKUP(P249, 'Bottom-up Tagging Assumptions'!$B$12:$F$56, 3, FALSE)</f>
        <v>#Improve price realization(P)</v>
      </c>
      <c r="AA249" s="112" t="str">
        <f>VLOOKUP(P249, 'Bottom-up Tagging Assumptions'!$B$12:$F$56, 4, FALSE)</f>
        <v>#Level 3(100)</v>
      </c>
      <c r="AB249" s="110" t="s">
        <v>162</v>
      </c>
      <c r="AC249" s="110"/>
      <c r="AD249" s="110" t="s">
        <v>163</v>
      </c>
      <c r="AE249" s="110" t="str">
        <f>VLOOKUP(AD249,  '1.2'!$B$7:$C$2033, 2, FALSE)</f>
        <v>FUND</v>
      </c>
      <c r="AF249" s="112">
        <v>212000</v>
      </c>
      <c r="AG249" s="110" t="s">
        <v>2115</v>
      </c>
      <c r="AH249" s="121">
        <f t="shared" si="108"/>
        <v>0</v>
      </c>
      <c r="AI249" s="121">
        <f t="shared" si="109"/>
        <v>0</v>
      </c>
      <c r="AJ249" s="121">
        <f t="shared" si="110"/>
        <v>1</v>
      </c>
      <c r="AK249" s="121">
        <f t="shared" si="111"/>
        <v>1</v>
      </c>
      <c r="AL249" s="121">
        <f t="shared" si="112"/>
        <v>0</v>
      </c>
      <c r="AM249" s="121">
        <f t="shared" si="113"/>
        <v>0</v>
      </c>
      <c r="AN249" s="121">
        <f t="shared" si="114"/>
        <v>1</v>
      </c>
      <c r="AO249" s="121">
        <f t="shared" si="115"/>
        <v>0</v>
      </c>
      <c r="AP249" s="22">
        <f t="shared" si="116"/>
        <v>0</v>
      </c>
      <c r="AQ249" s="22">
        <f t="shared" si="117"/>
        <v>0</v>
      </c>
      <c r="AR249" s="22">
        <f t="shared" si="118"/>
        <v>0</v>
      </c>
      <c r="AS249" s="121" t="str">
        <f t="shared" si="119"/>
        <v>Crops</v>
      </c>
      <c r="AT249" s="121" t="str">
        <f t="shared" si="138"/>
        <v xml:space="preserve"> </v>
      </c>
      <c r="AU249" s="121" t="str">
        <f t="shared" si="138"/>
        <v xml:space="preserve"> </v>
      </c>
      <c r="AV249" s="121" t="str">
        <f t="shared" si="138"/>
        <v xml:space="preserve"> </v>
      </c>
      <c r="AW249" s="130" t="str">
        <f t="shared" si="139"/>
        <v>100</v>
      </c>
      <c r="AX249" s="130" t="str">
        <f t="shared" si="139"/>
        <v xml:space="preserve"> </v>
      </c>
      <c r="AY249" s="130" t="str">
        <f t="shared" si="139"/>
        <v xml:space="preserve"> </v>
      </c>
      <c r="AZ249" s="130" t="str">
        <f t="shared" si="139"/>
        <v xml:space="preserve"> </v>
      </c>
      <c r="BA249" s="121">
        <f t="shared" si="120"/>
        <v>0</v>
      </c>
      <c r="BB249" s="121">
        <f t="shared" si="121"/>
        <v>0</v>
      </c>
      <c r="BC249" s="121">
        <f t="shared" si="122"/>
        <v>0</v>
      </c>
      <c r="BD249" s="121">
        <f t="shared" si="123"/>
        <v>0</v>
      </c>
      <c r="BE249" s="121">
        <f t="shared" si="124"/>
        <v>0</v>
      </c>
      <c r="BF249" s="121">
        <f t="shared" si="125"/>
        <v>0</v>
      </c>
      <c r="BG249" s="121">
        <f t="shared" si="126"/>
        <v>0</v>
      </c>
      <c r="BH249" s="121">
        <f t="shared" si="127"/>
        <v>0</v>
      </c>
      <c r="BI249" s="121">
        <f t="shared" si="128"/>
        <v>0</v>
      </c>
      <c r="BJ249" s="121">
        <f t="shared" si="129"/>
        <v>0</v>
      </c>
      <c r="BK249" s="121">
        <f t="shared" si="130"/>
        <v>0</v>
      </c>
      <c r="BL249" s="121">
        <f t="shared" si="131"/>
        <v>0</v>
      </c>
      <c r="BM249" s="121">
        <f t="shared" si="132"/>
        <v>0</v>
      </c>
      <c r="BN249" s="121">
        <f t="shared" si="133"/>
        <v>0</v>
      </c>
      <c r="BO249" s="121">
        <f t="shared" si="134"/>
        <v>0</v>
      </c>
      <c r="BP249" s="121">
        <f t="shared" si="135"/>
        <v>0</v>
      </c>
      <c r="BQ249" s="199" t="e">
        <f>INDEX('GDP deflators'!$C$6:$M$36,MATCH('Bottom-up tagging'!$D249,'GDP deflators'!$B$6:$B$36,),MATCH('Bottom-up tagging'!$E249,'GDP deflators'!$C$5:$L$5,))/100</f>
        <v>#N/A</v>
      </c>
      <c r="BR249" s="24">
        <v>1000000</v>
      </c>
    </row>
    <row r="250" spans="2:70" ht="26.15" hidden="1" customHeight="1">
      <c r="B250" s="110" t="s">
        <v>166</v>
      </c>
      <c r="C250" s="110" t="s">
        <v>168</v>
      </c>
      <c r="D250" s="110" t="s">
        <v>3994</v>
      </c>
      <c r="E250" s="103">
        <v>2020</v>
      </c>
      <c r="F250" s="108" t="s">
        <v>5581</v>
      </c>
      <c r="G250" s="111" t="s">
        <v>34</v>
      </c>
      <c r="H250" s="110" t="s">
        <v>10451</v>
      </c>
      <c r="I250" s="212">
        <v>0</v>
      </c>
      <c r="J250" s="105" t="s">
        <v>10474</v>
      </c>
      <c r="K250" s="112"/>
      <c r="L250" s="135">
        <v>1</v>
      </c>
      <c r="M250" s="135">
        <v>1</v>
      </c>
      <c r="N250" s="112"/>
      <c r="O250" s="112"/>
      <c r="P250" s="112" t="str">
        <f>VLOOKUP(B250, 'Companies covered restructured'!$B$7:$K$470, 9, FALSE)</f>
        <v>Agri marketplaces</v>
      </c>
      <c r="Q250" s="112" t="str">
        <f>VLOOKUP(B250, 'Companies covered restructured'!$B$7:$K$470, 6, FALSE)</f>
        <v>#Crops(100)</v>
      </c>
      <c r="R250" s="112" t="str">
        <f t="shared" si="107"/>
        <v>#Investment Fund(100)</v>
      </c>
      <c r="S250" s="112" t="s">
        <v>11003</v>
      </c>
      <c r="T250" s="112" t="s">
        <v>10466</v>
      </c>
      <c r="U250" s="116" t="s">
        <v>10970</v>
      </c>
      <c r="V250" s="112" t="str">
        <f>VLOOKUP(P250, 'Bottom-up Tagging Assumptions'!$B$12:$F$39, 5, FALSE)</f>
        <v>#Process Innovation(100)</v>
      </c>
      <c r="W250" s="112" t="str">
        <f>VLOOKUP(B250, 'Companies covered restructured'!$B$7:$K$470, 7, FALSE)</f>
        <v>#Farm/Household(100)</v>
      </c>
      <c r="X250" s="112" t="s">
        <v>10558</v>
      </c>
      <c r="Y250" s="112" t="str">
        <f>VLOOKUP(P250, '[2]Bottom-up Tagging Assumptions'!$B$12:$F$56, 2, FALSE)</f>
        <v>#Other Economic(P); Social(S)</v>
      </c>
      <c r="Z250" s="112" t="str">
        <f>VLOOKUP(P250, 'Bottom-up Tagging Assumptions'!$B$12:$F$56, 3, FALSE)</f>
        <v>#Improve price realization(P)</v>
      </c>
      <c r="AA250" s="112" t="str">
        <f>VLOOKUP(P250, 'Bottom-up Tagging Assumptions'!$B$12:$F$56, 4, FALSE)</f>
        <v>#Level 4(100)</v>
      </c>
      <c r="AB250" s="110" t="s">
        <v>162</v>
      </c>
      <c r="AC250" s="110"/>
      <c r="AD250" s="110" t="s">
        <v>163</v>
      </c>
      <c r="AE250" s="110" t="str">
        <f>VLOOKUP(AD250,  '1.2'!$B$7:$C$2033, 2, FALSE)</f>
        <v>FUND</v>
      </c>
      <c r="AF250" s="112">
        <v>150000</v>
      </c>
      <c r="AG250" s="110" t="s">
        <v>1543</v>
      </c>
      <c r="AH250" s="121">
        <f t="shared" si="108"/>
        <v>0</v>
      </c>
      <c r="AI250" s="121">
        <f t="shared" si="109"/>
        <v>0</v>
      </c>
      <c r="AJ250" s="121">
        <f t="shared" si="110"/>
        <v>1</v>
      </c>
      <c r="AK250" s="121">
        <f t="shared" si="111"/>
        <v>1</v>
      </c>
      <c r="AL250" s="121">
        <f t="shared" si="112"/>
        <v>0</v>
      </c>
      <c r="AM250" s="121">
        <f t="shared" si="113"/>
        <v>0</v>
      </c>
      <c r="AN250" s="121">
        <f t="shared" si="114"/>
        <v>1</v>
      </c>
      <c r="AO250" s="121">
        <f t="shared" si="115"/>
        <v>0</v>
      </c>
      <c r="AP250" s="22">
        <f t="shared" si="116"/>
        <v>0</v>
      </c>
      <c r="AQ250" s="22">
        <f t="shared" si="117"/>
        <v>0</v>
      </c>
      <c r="AR250" s="22">
        <f t="shared" si="118"/>
        <v>0</v>
      </c>
      <c r="AS250" s="121" t="str">
        <f t="shared" si="119"/>
        <v>Crops</v>
      </c>
      <c r="AT250" s="121" t="str">
        <f t="shared" si="138"/>
        <v xml:space="preserve"> </v>
      </c>
      <c r="AU250" s="121" t="str">
        <f t="shared" si="138"/>
        <v xml:space="preserve"> </v>
      </c>
      <c r="AV250" s="121" t="str">
        <f t="shared" si="138"/>
        <v xml:space="preserve"> </v>
      </c>
      <c r="AW250" s="130" t="str">
        <f t="shared" si="139"/>
        <v>100</v>
      </c>
      <c r="AX250" s="130" t="str">
        <f t="shared" si="139"/>
        <v xml:space="preserve"> </v>
      </c>
      <c r="AY250" s="130" t="str">
        <f t="shared" si="139"/>
        <v xml:space="preserve"> </v>
      </c>
      <c r="AZ250" s="130" t="str">
        <f t="shared" si="139"/>
        <v xml:space="preserve"> </v>
      </c>
      <c r="BA250" s="121">
        <f t="shared" si="120"/>
        <v>0</v>
      </c>
      <c r="BB250" s="121">
        <f t="shared" si="121"/>
        <v>0</v>
      </c>
      <c r="BC250" s="121">
        <f t="shared" si="122"/>
        <v>0</v>
      </c>
      <c r="BD250" s="121">
        <f t="shared" si="123"/>
        <v>0</v>
      </c>
      <c r="BE250" s="121">
        <f t="shared" si="124"/>
        <v>0</v>
      </c>
      <c r="BF250" s="121">
        <f t="shared" si="125"/>
        <v>0</v>
      </c>
      <c r="BG250" s="121">
        <f t="shared" si="126"/>
        <v>0</v>
      </c>
      <c r="BH250" s="121">
        <f t="shared" si="127"/>
        <v>0</v>
      </c>
      <c r="BI250" s="121">
        <f t="shared" si="128"/>
        <v>0</v>
      </c>
      <c r="BJ250" s="121">
        <f t="shared" si="129"/>
        <v>0</v>
      </c>
      <c r="BK250" s="121">
        <f t="shared" si="130"/>
        <v>0</v>
      </c>
      <c r="BL250" s="121">
        <f t="shared" si="131"/>
        <v>0</v>
      </c>
      <c r="BM250" s="121">
        <f t="shared" si="132"/>
        <v>0</v>
      </c>
      <c r="BN250" s="121">
        <f t="shared" si="133"/>
        <v>0</v>
      </c>
      <c r="BO250" s="121">
        <f t="shared" si="134"/>
        <v>0</v>
      </c>
      <c r="BP250" s="121">
        <f t="shared" si="135"/>
        <v>0</v>
      </c>
      <c r="BQ250" s="199" t="e">
        <f>INDEX('GDP deflators'!$C$6:$M$36,MATCH('Bottom-up tagging'!$D250,'GDP deflators'!$B$6:$B$36,),MATCH('Bottom-up tagging'!$E250,'GDP deflators'!$C$5:$L$5,))/100</f>
        <v>#N/A</v>
      </c>
      <c r="BR250" s="24">
        <v>1000000</v>
      </c>
    </row>
    <row r="251" spans="2:70" ht="26.15" hidden="1" customHeight="1">
      <c r="B251" s="110" t="s">
        <v>296</v>
      </c>
      <c r="C251" s="110" t="s">
        <v>300</v>
      </c>
      <c r="D251" s="110" t="s">
        <v>1258</v>
      </c>
      <c r="E251" s="103">
        <v>2020</v>
      </c>
      <c r="F251" s="108" t="s">
        <v>5240</v>
      </c>
      <c r="G251" s="111" t="s">
        <v>34</v>
      </c>
      <c r="H251" s="110" t="s">
        <v>10451</v>
      </c>
      <c r="I251" s="212">
        <v>0</v>
      </c>
      <c r="J251" s="118" t="s">
        <v>10474</v>
      </c>
      <c r="K251" s="112"/>
      <c r="L251" s="135">
        <v>1</v>
      </c>
      <c r="M251" s="135">
        <v>1</v>
      </c>
      <c r="N251" s="112"/>
      <c r="O251" s="112"/>
      <c r="P251" s="112" t="str">
        <f>VLOOKUP(B251, 'Companies covered restructured'!$B$7:$K$470, 9, FALSE)</f>
        <v xml:space="preserve">Hydroponics </v>
      </c>
      <c r="Q251" s="112" t="str">
        <f>VLOOKUP(B251, 'Companies covered restructured'!$B$7:$K$470, 6, FALSE)</f>
        <v>#Crops(100)</v>
      </c>
      <c r="R251" s="112" t="str">
        <f t="shared" si="107"/>
        <v>N/A</v>
      </c>
      <c r="S251" s="112" t="s">
        <v>11003</v>
      </c>
      <c r="T251" s="112" t="s">
        <v>10466</v>
      </c>
      <c r="U251" s="103" t="s">
        <v>10970</v>
      </c>
      <c r="V251" s="112" t="str">
        <f>VLOOKUP(P251, 'Bottom-up Tagging Assumptions'!$B$12:$F$39, 5, FALSE)</f>
        <v>#Science &amp; tech(100)</v>
      </c>
      <c r="W251" s="112" t="str">
        <f>VLOOKUP(B251, 'Companies covered restructured'!$B$7:$K$470, 7, FALSE)</f>
        <v>#Field/Animal Herd(100)</v>
      </c>
      <c r="X251" s="112" t="s">
        <v>10558</v>
      </c>
      <c r="Y251" s="112" t="str">
        <f>VLOOKUP(P251, '[2]Bottom-up Tagging Assumptions'!$B$12:$F$56, 2, FALSE)</f>
        <v>#Human Condition(P); #Environmental(S); #Productivity(S)</v>
      </c>
      <c r="Z251" s="112" t="str">
        <f>VLOOKUP(P251, 'Bottom-up Tagging Assumptions'!$B$12:$F$56, 3, FALSE)</f>
        <v>#Food security(P); #Reducing production variability(S)</v>
      </c>
      <c r="AA251" s="112" t="str">
        <f>VLOOKUP(P251, 'Bottom-up Tagging Assumptions'!$B$12:$F$56, 4, FALSE)</f>
        <v>#Level 2(100)</v>
      </c>
      <c r="AB251" s="110" t="s">
        <v>298</v>
      </c>
      <c r="AC251" s="110"/>
      <c r="AD251" s="110"/>
      <c r="AE251" s="110" t="s">
        <v>10558</v>
      </c>
      <c r="AF251" s="112">
        <v>60000000</v>
      </c>
      <c r="AG251" s="110" t="s">
        <v>235</v>
      </c>
      <c r="AH251" s="121">
        <f t="shared" si="108"/>
        <v>1</v>
      </c>
      <c r="AI251" s="121">
        <f t="shared" si="109"/>
        <v>1</v>
      </c>
      <c r="AJ251" s="121">
        <f t="shared" si="110"/>
        <v>0</v>
      </c>
      <c r="AK251" s="121">
        <f t="shared" si="111"/>
        <v>0</v>
      </c>
      <c r="AL251" s="121">
        <f t="shared" si="112"/>
        <v>1</v>
      </c>
      <c r="AM251" s="121">
        <f t="shared" si="113"/>
        <v>1</v>
      </c>
      <c r="AN251" s="121">
        <f t="shared" si="114"/>
        <v>1</v>
      </c>
      <c r="AO251" s="121">
        <f t="shared" si="115"/>
        <v>1</v>
      </c>
      <c r="AP251" s="22">
        <f t="shared" si="116"/>
        <v>0</v>
      </c>
      <c r="AQ251" s="22">
        <f t="shared" si="117"/>
        <v>0</v>
      </c>
      <c r="AR251" s="22">
        <f t="shared" si="118"/>
        <v>0</v>
      </c>
      <c r="AS251" s="121" t="str">
        <f t="shared" si="119"/>
        <v>Crops</v>
      </c>
      <c r="AT251" s="121" t="str">
        <f t="shared" si="138"/>
        <v xml:space="preserve"> </v>
      </c>
      <c r="AU251" s="121" t="str">
        <f t="shared" si="138"/>
        <v xml:space="preserve"> </v>
      </c>
      <c r="AV251" s="121" t="str">
        <f t="shared" si="138"/>
        <v xml:space="preserve"> </v>
      </c>
      <c r="AW251" s="130" t="str">
        <f t="shared" si="139"/>
        <v>100</v>
      </c>
      <c r="AX251" s="130" t="str">
        <f t="shared" si="139"/>
        <v xml:space="preserve"> </v>
      </c>
      <c r="AY251" s="130" t="str">
        <f t="shared" si="139"/>
        <v xml:space="preserve"> </v>
      </c>
      <c r="AZ251" s="130" t="str">
        <f t="shared" si="139"/>
        <v xml:space="preserve"> </v>
      </c>
      <c r="BA251" s="121">
        <f t="shared" si="120"/>
        <v>0</v>
      </c>
      <c r="BB251" s="121">
        <f t="shared" si="121"/>
        <v>0</v>
      </c>
      <c r="BC251" s="121">
        <f t="shared" si="122"/>
        <v>0</v>
      </c>
      <c r="BD251" s="121">
        <f t="shared" si="123"/>
        <v>0</v>
      </c>
      <c r="BE251" s="121">
        <f t="shared" si="124"/>
        <v>0</v>
      </c>
      <c r="BF251" s="121">
        <f t="shared" si="125"/>
        <v>0</v>
      </c>
      <c r="BG251" s="121">
        <f t="shared" si="126"/>
        <v>0</v>
      </c>
      <c r="BH251" s="121">
        <f t="shared" si="127"/>
        <v>0</v>
      </c>
      <c r="BI251" s="121">
        <f t="shared" si="128"/>
        <v>0</v>
      </c>
      <c r="BJ251" s="121">
        <f t="shared" si="129"/>
        <v>0</v>
      </c>
      <c r="BK251" s="121">
        <f t="shared" si="130"/>
        <v>0</v>
      </c>
      <c r="BL251" s="121">
        <f t="shared" si="131"/>
        <v>0</v>
      </c>
      <c r="BM251" s="121">
        <f t="shared" si="132"/>
        <v>0</v>
      </c>
      <c r="BN251" s="121">
        <f t="shared" si="133"/>
        <v>0</v>
      </c>
      <c r="BO251" s="121">
        <f t="shared" si="134"/>
        <v>0</v>
      </c>
      <c r="BP251" s="121">
        <f t="shared" si="135"/>
        <v>0</v>
      </c>
      <c r="BQ251" s="199" t="e">
        <f>INDEX('GDP deflators'!$C$6:$M$36,MATCH('Bottom-up tagging'!$D251,'GDP deflators'!$B$6:$B$36,),MATCH('Bottom-up tagging'!$E251,'GDP deflators'!$C$5:$L$5,))/100</f>
        <v>#N/A</v>
      </c>
      <c r="BR251" s="24">
        <v>1000000</v>
      </c>
    </row>
    <row r="252" spans="2:70" ht="26.15" hidden="1" customHeight="1">
      <c r="B252" s="110" t="s">
        <v>160</v>
      </c>
      <c r="C252" s="110" t="s">
        <v>164</v>
      </c>
      <c r="D252" s="110" t="s">
        <v>3994</v>
      </c>
      <c r="E252" s="103">
        <v>2020</v>
      </c>
      <c r="F252" s="108" t="s">
        <v>7497</v>
      </c>
      <c r="G252" s="111" t="s">
        <v>34</v>
      </c>
      <c r="H252" s="110" t="s">
        <v>10451</v>
      </c>
      <c r="I252" s="212">
        <v>0</v>
      </c>
      <c r="J252" s="118" t="s">
        <v>10474</v>
      </c>
      <c r="K252" s="112"/>
      <c r="L252" s="135">
        <v>1</v>
      </c>
      <c r="M252" s="135">
        <v>1</v>
      </c>
      <c r="N252" s="112"/>
      <c r="O252" s="112"/>
      <c r="P252" s="112" t="str">
        <f>VLOOKUP(B252, 'Companies covered restructured'!$B$7:$K$470, 9, FALSE)</f>
        <v>Supply chain technologies</v>
      </c>
      <c r="Q252" s="112" t="str">
        <f>VLOOKUP(B252, 'Companies covered restructured'!$B$7:$K$470, 6, FALSE)</f>
        <v>#Crops(100)</v>
      </c>
      <c r="R252" s="112" t="str">
        <f t="shared" si="107"/>
        <v>#Investment Fund(100)</v>
      </c>
      <c r="S252" s="112" t="s">
        <v>11003</v>
      </c>
      <c r="T252" s="112" t="s">
        <v>10466</v>
      </c>
      <c r="U252" s="103" t="s">
        <v>10970</v>
      </c>
      <c r="V252" s="112" t="str">
        <f>VLOOKUP(P252, 'Bottom-up Tagging Assumptions'!$B$12:$F$39, 5, FALSE)</f>
        <v>#Process Innovation(100)</v>
      </c>
      <c r="W252" s="112" t="str">
        <f>VLOOKUP(B252, 'Companies covered restructured'!$B$7:$K$470, 7, FALSE)</f>
        <v>#Farm/Household(100)</v>
      </c>
      <c r="X252" s="112" t="s">
        <v>10558</v>
      </c>
      <c r="Y252" s="112" t="str">
        <f>VLOOKUP(P252, '[2]Bottom-up Tagging Assumptions'!$B$12:$F$56, 2, FALSE)</f>
        <v>#Other Economic(P); Social(S)</v>
      </c>
      <c r="Z252" s="112" t="str">
        <f>VLOOKUP(P252, 'Bottom-up Tagging Assumptions'!$B$12:$F$56, 3, FALSE)</f>
        <v>#Improve price realization(P)</v>
      </c>
      <c r="AA252" s="112" t="str">
        <f>VLOOKUP(P252, 'Bottom-up Tagging Assumptions'!$B$12:$F$56, 4, FALSE)</f>
        <v>#Level 3(100)</v>
      </c>
      <c r="AB252" s="110" t="s">
        <v>336</v>
      </c>
      <c r="AC252" s="110"/>
      <c r="AD252" s="110" t="s">
        <v>337</v>
      </c>
      <c r="AE252" s="110" t="str">
        <f>VLOOKUP(AD252,  '1.2'!$B$7:$C$2033, 2, FALSE)</f>
        <v>FUND</v>
      </c>
      <c r="AF252" s="112">
        <v>8062080</v>
      </c>
      <c r="AG252" s="110" t="s">
        <v>904</v>
      </c>
      <c r="AH252" s="121">
        <f t="shared" si="108"/>
        <v>0</v>
      </c>
      <c r="AI252" s="121">
        <f t="shared" si="109"/>
        <v>0</v>
      </c>
      <c r="AJ252" s="121">
        <f t="shared" si="110"/>
        <v>1</v>
      </c>
      <c r="AK252" s="121">
        <f t="shared" si="111"/>
        <v>1</v>
      </c>
      <c r="AL252" s="121">
        <f t="shared" si="112"/>
        <v>0</v>
      </c>
      <c r="AM252" s="121">
        <f t="shared" si="113"/>
        <v>0</v>
      </c>
      <c r="AN252" s="121">
        <f t="shared" si="114"/>
        <v>1</v>
      </c>
      <c r="AO252" s="121">
        <f t="shared" si="115"/>
        <v>0</v>
      </c>
      <c r="AP252" s="22">
        <f t="shared" si="116"/>
        <v>0</v>
      </c>
      <c r="AQ252" s="22">
        <f t="shared" si="117"/>
        <v>0</v>
      </c>
      <c r="AR252" s="22">
        <f t="shared" si="118"/>
        <v>0</v>
      </c>
      <c r="AS252" s="121" t="str">
        <f t="shared" si="119"/>
        <v>Crops</v>
      </c>
      <c r="AT252" s="121" t="str">
        <f t="shared" ref="AT252:AV271" si="140">IFERROR(IFERROR(MID($Q252,FIND("~",SUBSTITUTE($Q252,";","~",AT$10-1))+3,(FIND("~",SUBSTITUTE($Q252,";","~",AT$10))+0-(FIND("~",SUBSTITUTE($Q252,";","~",AT$10-1))+2))-6),MID($Q252,FIND("~",SUBSTITUTE($Q252,";","~",AT$10-1))+3,(LEN($Q252)-6-FIND("~",SUBSTITUTE($Q252,";","~",AT$10-1))-1)))," ")</f>
        <v xml:space="preserve"> </v>
      </c>
      <c r="AU252" s="121" t="str">
        <f t="shared" si="140"/>
        <v xml:space="preserve"> </v>
      </c>
      <c r="AV252" s="121" t="str">
        <f t="shared" si="140"/>
        <v xml:space="preserve"> </v>
      </c>
      <c r="AW252" s="130" t="str">
        <f t="shared" ref="AW252:AZ271" si="141">IFERROR(MID($Q252,FIND("~",SUBSTITUTE($Q252,"(","~",AW$10))+1,3)," ")</f>
        <v>100</v>
      </c>
      <c r="AX252" s="130" t="str">
        <f t="shared" si="141"/>
        <v xml:space="preserve"> </v>
      </c>
      <c r="AY252" s="130" t="str">
        <f t="shared" si="141"/>
        <v xml:space="preserve"> </v>
      </c>
      <c r="AZ252" s="130" t="str">
        <f t="shared" si="141"/>
        <v xml:space="preserve"> </v>
      </c>
      <c r="BA252" s="121">
        <f t="shared" si="120"/>
        <v>0</v>
      </c>
      <c r="BB252" s="121">
        <f t="shared" si="121"/>
        <v>0</v>
      </c>
      <c r="BC252" s="121">
        <f t="shared" si="122"/>
        <v>0</v>
      </c>
      <c r="BD252" s="121">
        <f t="shared" si="123"/>
        <v>0</v>
      </c>
      <c r="BE252" s="121">
        <f t="shared" si="124"/>
        <v>0</v>
      </c>
      <c r="BF252" s="121">
        <f t="shared" si="125"/>
        <v>0</v>
      </c>
      <c r="BG252" s="121">
        <f t="shared" si="126"/>
        <v>0</v>
      </c>
      <c r="BH252" s="121">
        <f t="shared" si="127"/>
        <v>0</v>
      </c>
      <c r="BI252" s="121">
        <f t="shared" si="128"/>
        <v>0</v>
      </c>
      <c r="BJ252" s="121">
        <f t="shared" si="129"/>
        <v>0</v>
      </c>
      <c r="BK252" s="121">
        <f t="shared" si="130"/>
        <v>0</v>
      </c>
      <c r="BL252" s="121">
        <f t="shared" si="131"/>
        <v>0</v>
      </c>
      <c r="BM252" s="121">
        <f t="shared" si="132"/>
        <v>0</v>
      </c>
      <c r="BN252" s="121">
        <f t="shared" si="133"/>
        <v>0</v>
      </c>
      <c r="BO252" s="121">
        <f t="shared" si="134"/>
        <v>0</v>
      </c>
      <c r="BP252" s="121">
        <f t="shared" si="135"/>
        <v>0</v>
      </c>
      <c r="BQ252" s="199" t="e">
        <f>INDEX('GDP deflators'!$C$6:$M$36,MATCH('Bottom-up tagging'!$D252,'GDP deflators'!$B$6:$B$36,),MATCH('Bottom-up tagging'!$E252,'GDP deflators'!$C$5:$L$5,))/100</f>
        <v>#N/A</v>
      </c>
      <c r="BR252" s="24">
        <v>1000000</v>
      </c>
    </row>
    <row r="253" spans="2:70" ht="26.15" hidden="1" customHeight="1">
      <c r="B253" s="110" t="s">
        <v>166</v>
      </c>
      <c r="C253" s="110" t="s">
        <v>168</v>
      </c>
      <c r="D253" s="110" t="s">
        <v>3994</v>
      </c>
      <c r="E253" s="103">
        <v>2020</v>
      </c>
      <c r="F253" s="108" t="s">
        <v>5581</v>
      </c>
      <c r="G253" s="111" t="s">
        <v>34</v>
      </c>
      <c r="H253" s="110" t="s">
        <v>10451</v>
      </c>
      <c r="I253" s="212">
        <v>0</v>
      </c>
      <c r="J253" s="105" t="s">
        <v>10474</v>
      </c>
      <c r="K253" s="112"/>
      <c r="L253" s="135">
        <v>1</v>
      </c>
      <c r="M253" s="135">
        <v>1</v>
      </c>
      <c r="N253" s="112"/>
      <c r="O253" s="112"/>
      <c r="P253" s="112" t="str">
        <f>VLOOKUP(B253, 'Companies covered restructured'!$B$7:$K$470, 9, FALSE)</f>
        <v>Agri marketplaces</v>
      </c>
      <c r="Q253" s="112" t="str">
        <f>VLOOKUP(B253, 'Companies covered restructured'!$B$7:$K$470, 6, FALSE)</f>
        <v>#Crops(100)</v>
      </c>
      <c r="R253" s="112" t="str">
        <f t="shared" si="107"/>
        <v>#Investment Fund(100)</v>
      </c>
      <c r="S253" s="112" t="s">
        <v>11003</v>
      </c>
      <c r="T253" s="112" t="s">
        <v>10466</v>
      </c>
      <c r="U253" s="103" t="s">
        <v>10970</v>
      </c>
      <c r="V253" s="112" t="str">
        <f>VLOOKUP(P253, 'Bottom-up Tagging Assumptions'!$B$12:$F$39, 5, FALSE)</f>
        <v>#Process Innovation(100)</v>
      </c>
      <c r="W253" s="112" t="str">
        <f>VLOOKUP(B253, 'Companies covered restructured'!$B$7:$K$470, 7, FALSE)</f>
        <v>#Farm/Household(100)</v>
      </c>
      <c r="X253" s="112" t="s">
        <v>10558</v>
      </c>
      <c r="Y253" s="112" t="str">
        <f>VLOOKUP(P253, '[2]Bottom-up Tagging Assumptions'!$B$12:$F$56, 2, FALSE)</f>
        <v>#Other Economic(P); Social(S)</v>
      </c>
      <c r="Z253" s="112" t="str">
        <f>VLOOKUP(P253, 'Bottom-up Tagging Assumptions'!$B$12:$F$56, 3, FALSE)</f>
        <v>#Improve price realization(P)</v>
      </c>
      <c r="AA253" s="112" t="str">
        <f>VLOOKUP(P253, 'Bottom-up Tagging Assumptions'!$B$12:$F$56, 4, FALSE)</f>
        <v>#Level 4(100)</v>
      </c>
      <c r="AB253" s="110" t="s">
        <v>336</v>
      </c>
      <c r="AC253" s="110"/>
      <c r="AD253" s="110" t="s">
        <v>337</v>
      </c>
      <c r="AE253" s="110" t="str">
        <f>VLOOKUP(AD253,  '1.2'!$B$7:$C$2033, 2, FALSE)</f>
        <v>FUND</v>
      </c>
      <c r="AF253" s="112">
        <v>2907110</v>
      </c>
      <c r="AG253" s="110" t="s">
        <v>2129</v>
      </c>
      <c r="AH253" s="121">
        <f t="shared" si="108"/>
        <v>0</v>
      </c>
      <c r="AI253" s="121">
        <f t="shared" si="109"/>
        <v>0</v>
      </c>
      <c r="AJ253" s="121">
        <f t="shared" si="110"/>
        <v>1</v>
      </c>
      <c r="AK253" s="121">
        <f t="shared" si="111"/>
        <v>1</v>
      </c>
      <c r="AL253" s="121">
        <f t="shared" si="112"/>
        <v>0</v>
      </c>
      <c r="AM253" s="121">
        <f t="shared" si="113"/>
        <v>0</v>
      </c>
      <c r="AN253" s="121">
        <f t="shared" si="114"/>
        <v>1</v>
      </c>
      <c r="AO253" s="121">
        <f t="shared" si="115"/>
        <v>0</v>
      </c>
      <c r="AP253" s="22">
        <f t="shared" si="116"/>
        <v>0</v>
      </c>
      <c r="AQ253" s="22">
        <f t="shared" si="117"/>
        <v>0</v>
      </c>
      <c r="AR253" s="22">
        <f t="shared" si="118"/>
        <v>0</v>
      </c>
      <c r="AS253" s="121" t="str">
        <f t="shared" si="119"/>
        <v>Crops</v>
      </c>
      <c r="AT253" s="121" t="str">
        <f t="shared" si="140"/>
        <v xml:space="preserve"> </v>
      </c>
      <c r="AU253" s="121" t="str">
        <f t="shared" si="140"/>
        <v xml:space="preserve"> </v>
      </c>
      <c r="AV253" s="121" t="str">
        <f t="shared" si="140"/>
        <v xml:space="preserve"> </v>
      </c>
      <c r="AW253" s="130" t="str">
        <f t="shared" si="141"/>
        <v>100</v>
      </c>
      <c r="AX253" s="130" t="str">
        <f t="shared" si="141"/>
        <v xml:space="preserve"> </v>
      </c>
      <c r="AY253" s="130" t="str">
        <f t="shared" si="141"/>
        <v xml:space="preserve"> </v>
      </c>
      <c r="AZ253" s="130" t="str">
        <f t="shared" si="141"/>
        <v xml:space="preserve"> </v>
      </c>
      <c r="BA253" s="121">
        <f t="shared" si="120"/>
        <v>0</v>
      </c>
      <c r="BB253" s="121">
        <f t="shared" si="121"/>
        <v>0</v>
      </c>
      <c r="BC253" s="121">
        <f t="shared" si="122"/>
        <v>0</v>
      </c>
      <c r="BD253" s="121">
        <f t="shared" si="123"/>
        <v>0</v>
      </c>
      <c r="BE253" s="121">
        <f t="shared" si="124"/>
        <v>0</v>
      </c>
      <c r="BF253" s="121">
        <f t="shared" si="125"/>
        <v>0</v>
      </c>
      <c r="BG253" s="121">
        <f t="shared" si="126"/>
        <v>0</v>
      </c>
      <c r="BH253" s="121">
        <f t="shared" si="127"/>
        <v>0</v>
      </c>
      <c r="BI253" s="121">
        <f t="shared" si="128"/>
        <v>0</v>
      </c>
      <c r="BJ253" s="121">
        <f t="shared" si="129"/>
        <v>0</v>
      </c>
      <c r="BK253" s="121">
        <f t="shared" si="130"/>
        <v>0</v>
      </c>
      <c r="BL253" s="121">
        <f t="shared" si="131"/>
        <v>0</v>
      </c>
      <c r="BM253" s="121">
        <f t="shared" si="132"/>
        <v>0</v>
      </c>
      <c r="BN253" s="121">
        <f t="shared" si="133"/>
        <v>0</v>
      </c>
      <c r="BO253" s="121">
        <f t="shared" si="134"/>
        <v>0</v>
      </c>
      <c r="BP253" s="121">
        <f t="shared" si="135"/>
        <v>0</v>
      </c>
      <c r="BQ253" s="199" t="e">
        <f>INDEX('GDP deflators'!$C$6:$M$36,MATCH('Bottom-up tagging'!$D253,'GDP deflators'!$B$6:$B$36,),MATCH('Bottom-up tagging'!$E253,'GDP deflators'!$C$5:$L$5,))/100</f>
        <v>#N/A</v>
      </c>
      <c r="BR253" s="24">
        <v>1000000</v>
      </c>
    </row>
    <row r="254" spans="2:70" ht="26.15" hidden="1" customHeight="1">
      <c r="B254" s="110" t="s">
        <v>829</v>
      </c>
      <c r="C254" s="110" t="s">
        <v>833</v>
      </c>
      <c r="D254" s="110" t="s">
        <v>5277</v>
      </c>
      <c r="E254" s="103">
        <v>2019</v>
      </c>
      <c r="F254" s="108" t="s">
        <v>7287</v>
      </c>
      <c r="G254" s="111" t="s">
        <v>34</v>
      </c>
      <c r="H254" s="110" t="s">
        <v>10451</v>
      </c>
      <c r="I254" s="112">
        <f>IF(Dashboard!$B$16="Current USD",'Bottom-up tagging'!BR254,'Bottom-up tagging'!BR254/'Bottom-up tagging'!BQ254)</f>
        <v>691504.53701887047</v>
      </c>
      <c r="J254" s="117" t="s">
        <v>10474</v>
      </c>
      <c r="K254" s="112"/>
      <c r="L254" s="135">
        <v>1</v>
      </c>
      <c r="M254" s="135">
        <v>1</v>
      </c>
      <c r="N254" s="112"/>
      <c r="O254" s="112"/>
      <c r="P254" s="112" t="str">
        <f>VLOOKUP(B254, 'Companies covered restructured'!$B$7:$K$470, 9, FALSE)</f>
        <v xml:space="preserve">Agriculture financing systems </v>
      </c>
      <c r="Q254" s="112" t="str">
        <f>VLOOKUP(B254, 'Companies covered restructured'!$B$7:$K$470, 6, FALSE)</f>
        <v>#Cross-cutting(100)</v>
      </c>
      <c r="R254" s="112" t="str">
        <f t="shared" si="107"/>
        <v>#Investment Fund(100)</v>
      </c>
      <c r="S254" s="112" t="s">
        <v>11003</v>
      </c>
      <c r="T254" s="112" t="s">
        <v>10466</v>
      </c>
      <c r="U254" s="116" t="s">
        <v>10970</v>
      </c>
      <c r="V254" s="112" t="str">
        <f>VLOOKUP(P254, 'Bottom-up Tagging Assumptions'!$B$12:$F$39, 5, FALSE)</f>
        <v>#Process Innovation(100)</v>
      </c>
      <c r="W254" s="112" t="str">
        <f>VLOOKUP(B254, 'Companies covered restructured'!$B$7:$K$470, 7, FALSE)</f>
        <v>#Landscape(100)</v>
      </c>
      <c r="X254" s="112" t="s">
        <v>10558</v>
      </c>
      <c r="Y254" s="212" t="str">
        <f>VLOOKUP(P254, 'Bottom-up Tagging Assumptions'!$B$12:$C$56, 2, FALSE)</f>
        <v>#Other Economic(P); Social(S)</v>
      </c>
      <c r="Z254" s="112" t="str">
        <f>VLOOKUP(P254, 'Bottom-up Tagging Assumptions'!$B$12:$F$56, 3, FALSE)</f>
        <v>NA</v>
      </c>
      <c r="AA254" s="112" t="str">
        <f>VLOOKUP(P254, 'Bottom-up Tagging Assumptions'!$B$12:$F$56, 4, FALSE)</f>
        <v>#Level 1(100)</v>
      </c>
      <c r="AB254" s="110" t="s">
        <v>831</v>
      </c>
      <c r="AC254" s="110"/>
      <c r="AD254" s="110" t="s">
        <v>832</v>
      </c>
      <c r="AE254" s="110" t="str">
        <f>VLOOKUP(AD254,  '1.2'!$B$7:$C$2033, 2, FALSE)</f>
        <v>FUND</v>
      </c>
      <c r="AF254" s="112">
        <v>150000</v>
      </c>
      <c r="AG254" s="110" t="s">
        <v>1543</v>
      </c>
      <c r="AH254" s="121">
        <f t="shared" si="108"/>
        <v>0</v>
      </c>
      <c r="AI254" s="121">
        <f t="shared" si="109"/>
        <v>0</v>
      </c>
      <c r="AJ254" s="121">
        <f t="shared" si="110"/>
        <v>1</v>
      </c>
      <c r="AK254" s="121">
        <f t="shared" si="111"/>
        <v>1</v>
      </c>
      <c r="AL254" s="121">
        <f t="shared" si="112"/>
        <v>0</v>
      </c>
      <c r="AM254" s="121">
        <f t="shared" si="113"/>
        <v>0</v>
      </c>
      <c r="AN254" s="121">
        <f t="shared" si="114"/>
        <v>1</v>
      </c>
      <c r="AO254" s="121">
        <f t="shared" si="115"/>
        <v>0</v>
      </c>
      <c r="AP254" s="22">
        <f t="shared" si="116"/>
        <v>0</v>
      </c>
      <c r="AQ254" s="22">
        <f t="shared" si="117"/>
        <v>691504.53701887047</v>
      </c>
      <c r="AR254" s="22">
        <f t="shared" si="118"/>
        <v>0</v>
      </c>
      <c r="AS254" s="121" t="str">
        <f t="shared" si="119"/>
        <v>Cross-cutting</v>
      </c>
      <c r="AT254" s="121" t="str">
        <f t="shared" si="140"/>
        <v xml:space="preserve"> </v>
      </c>
      <c r="AU254" s="121" t="str">
        <f t="shared" si="140"/>
        <v xml:space="preserve"> </v>
      </c>
      <c r="AV254" s="121" t="str">
        <f t="shared" si="140"/>
        <v xml:space="preserve"> </v>
      </c>
      <c r="AW254" s="130" t="str">
        <f t="shared" si="141"/>
        <v>100</v>
      </c>
      <c r="AX254" s="130" t="str">
        <f t="shared" si="141"/>
        <v xml:space="preserve"> </v>
      </c>
      <c r="AY254" s="130" t="str">
        <f t="shared" si="141"/>
        <v xml:space="preserve"> </v>
      </c>
      <c r="AZ254" s="130" t="str">
        <f t="shared" si="141"/>
        <v xml:space="preserve"> </v>
      </c>
      <c r="BA254" s="121">
        <f t="shared" si="120"/>
        <v>691504.53701887047</v>
      </c>
      <c r="BB254" s="121">
        <f t="shared" si="121"/>
        <v>0</v>
      </c>
      <c r="BC254" s="121">
        <f t="shared" si="122"/>
        <v>0</v>
      </c>
      <c r="BD254" s="121">
        <f t="shared" si="123"/>
        <v>0</v>
      </c>
      <c r="BE254" s="121">
        <f t="shared" si="124"/>
        <v>0</v>
      </c>
      <c r="BF254" s="121">
        <f t="shared" si="125"/>
        <v>0</v>
      </c>
      <c r="BG254" s="121">
        <f t="shared" si="126"/>
        <v>0</v>
      </c>
      <c r="BH254" s="121">
        <f t="shared" si="127"/>
        <v>0</v>
      </c>
      <c r="BI254" s="121">
        <f t="shared" si="128"/>
        <v>691504.53701887047</v>
      </c>
      <c r="BJ254" s="121">
        <f t="shared" si="129"/>
        <v>691504.53701887047</v>
      </c>
      <c r="BK254" s="121">
        <f t="shared" si="130"/>
        <v>691504.53701887047</v>
      </c>
      <c r="BL254" s="121">
        <f t="shared" si="131"/>
        <v>691504.53701887047</v>
      </c>
      <c r="BM254" s="121">
        <f t="shared" si="132"/>
        <v>0</v>
      </c>
      <c r="BN254" s="121">
        <f t="shared" si="133"/>
        <v>0</v>
      </c>
      <c r="BO254" s="121">
        <f t="shared" si="134"/>
        <v>0</v>
      </c>
      <c r="BP254" s="121">
        <f t="shared" si="135"/>
        <v>0</v>
      </c>
      <c r="BQ254" s="199">
        <f>INDEX('GDP deflators'!$C$6:$M$36,MATCH('Bottom-up tagging'!$D254,'GDP deflators'!$B$6:$B$36,),MATCH('Bottom-up tagging'!$E254,'GDP deflators'!$C$5:$L$5,))/100</f>
        <v>1.446122109785537</v>
      </c>
      <c r="BR254" s="24">
        <v>1000000</v>
      </c>
    </row>
    <row r="255" spans="2:70" ht="26.15" hidden="1" customHeight="1">
      <c r="B255" s="110" t="s">
        <v>1147</v>
      </c>
      <c r="C255" s="110" t="s">
        <v>1152</v>
      </c>
      <c r="D255" s="110" t="s">
        <v>6213</v>
      </c>
      <c r="E255" s="103">
        <v>2019</v>
      </c>
      <c r="F255" s="108" t="s">
        <v>7200</v>
      </c>
      <c r="G255" s="111" t="s">
        <v>34</v>
      </c>
      <c r="H255" s="110" t="s">
        <v>10451</v>
      </c>
      <c r="I255" s="112">
        <f>IF(Dashboard!$B$16="Current USD",'Bottom-up tagging'!BR255,'Bottom-up tagging'!BR255/'Bottom-up tagging'!BQ255)</f>
        <v>495018.67631913436</v>
      </c>
      <c r="J255" s="105" t="s">
        <v>10474</v>
      </c>
      <c r="K255" s="112"/>
      <c r="L255" s="135">
        <v>1</v>
      </c>
      <c r="M255" s="135">
        <v>1</v>
      </c>
      <c r="N255" s="112"/>
      <c r="O255" s="112"/>
      <c r="P255" s="112" t="str">
        <f>VLOOKUP(B255, 'Companies covered restructured'!$B$7:$K$470, 9, FALSE)</f>
        <v xml:space="preserve">Agriculture financing systems </v>
      </c>
      <c r="Q255" s="112" t="str">
        <f>VLOOKUP(B255, 'Companies covered restructured'!$B$7:$K$470, 6, FALSE)</f>
        <v>#Cross-cutting(100)</v>
      </c>
      <c r="R255" s="112" t="str">
        <f t="shared" si="107"/>
        <v>#Corporate(100)</v>
      </c>
      <c r="S255" s="112" t="s">
        <v>11003</v>
      </c>
      <c r="T255" s="112" t="s">
        <v>10466</v>
      </c>
      <c r="U255" s="103" t="s">
        <v>10970</v>
      </c>
      <c r="V255" s="112" t="str">
        <f>VLOOKUP(P255, 'Bottom-up Tagging Assumptions'!$B$12:$F$39, 5, FALSE)</f>
        <v>#Process Innovation(100)</v>
      </c>
      <c r="W255" s="112" t="str">
        <f>VLOOKUP(B255, 'Companies covered restructured'!$B$7:$K$470, 7, FALSE)</f>
        <v>#Landscape(100)</v>
      </c>
      <c r="X255" s="112" t="s">
        <v>10558</v>
      </c>
      <c r="Y255" s="212" t="str">
        <f>VLOOKUP(P255, 'Bottom-up Tagging Assumptions'!$B$12:$C$56, 2, FALSE)</f>
        <v>#Other Economic(P); Social(S)</v>
      </c>
      <c r="Z255" s="112" t="str">
        <f>VLOOKUP(P255, 'Bottom-up Tagging Assumptions'!$B$12:$F$56, 3, FALSE)</f>
        <v>NA</v>
      </c>
      <c r="AA255" s="112" t="str">
        <f>VLOOKUP(P255, 'Bottom-up Tagging Assumptions'!$B$12:$F$56, 4, FALSE)</f>
        <v>#Level 1(100)</v>
      </c>
      <c r="AB255" s="110" t="s">
        <v>1149</v>
      </c>
      <c r="AC255" s="110"/>
      <c r="AD255" s="110" t="s">
        <v>1150</v>
      </c>
      <c r="AE255" s="110" t="s">
        <v>3139</v>
      </c>
      <c r="AF255" s="112">
        <v>8723870</v>
      </c>
      <c r="AG255" s="110" t="s">
        <v>1386</v>
      </c>
      <c r="AH255" s="121">
        <f t="shared" si="108"/>
        <v>0</v>
      </c>
      <c r="AI255" s="121">
        <f t="shared" si="109"/>
        <v>0</v>
      </c>
      <c r="AJ255" s="121">
        <f t="shared" si="110"/>
        <v>1</v>
      </c>
      <c r="AK255" s="121">
        <f t="shared" si="111"/>
        <v>1</v>
      </c>
      <c r="AL255" s="121">
        <f t="shared" si="112"/>
        <v>0</v>
      </c>
      <c r="AM255" s="121">
        <f t="shared" si="113"/>
        <v>0</v>
      </c>
      <c r="AN255" s="121">
        <f t="shared" si="114"/>
        <v>1</v>
      </c>
      <c r="AO255" s="121">
        <f t="shared" si="115"/>
        <v>0</v>
      </c>
      <c r="AP255" s="22">
        <f t="shared" si="116"/>
        <v>0</v>
      </c>
      <c r="AQ255" s="22">
        <f t="shared" si="117"/>
        <v>495018.67631913436</v>
      </c>
      <c r="AR255" s="22">
        <f t="shared" si="118"/>
        <v>0</v>
      </c>
      <c r="AS255" s="121" t="str">
        <f t="shared" si="119"/>
        <v>Cross-cutting</v>
      </c>
      <c r="AT255" s="121" t="str">
        <f t="shared" si="140"/>
        <v xml:space="preserve"> </v>
      </c>
      <c r="AU255" s="121" t="str">
        <f t="shared" si="140"/>
        <v xml:space="preserve"> </v>
      </c>
      <c r="AV255" s="121" t="str">
        <f t="shared" si="140"/>
        <v xml:space="preserve"> </v>
      </c>
      <c r="AW255" s="130" t="str">
        <f t="shared" si="141"/>
        <v>100</v>
      </c>
      <c r="AX255" s="130" t="str">
        <f t="shared" si="141"/>
        <v xml:space="preserve"> </v>
      </c>
      <c r="AY255" s="130" t="str">
        <f t="shared" si="141"/>
        <v xml:space="preserve"> </v>
      </c>
      <c r="AZ255" s="130" t="str">
        <f t="shared" si="141"/>
        <v xml:space="preserve"> </v>
      </c>
      <c r="BA255" s="121">
        <f t="shared" si="120"/>
        <v>495018.67631913436</v>
      </c>
      <c r="BB255" s="121">
        <f t="shared" si="121"/>
        <v>0</v>
      </c>
      <c r="BC255" s="121">
        <f t="shared" si="122"/>
        <v>0</v>
      </c>
      <c r="BD255" s="121">
        <f t="shared" si="123"/>
        <v>0</v>
      </c>
      <c r="BE255" s="121">
        <f t="shared" si="124"/>
        <v>0</v>
      </c>
      <c r="BF255" s="121">
        <f t="shared" si="125"/>
        <v>0</v>
      </c>
      <c r="BG255" s="121">
        <f t="shared" si="126"/>
        <v>0</v>
      </c>
      <c r="BH255" s="121">
        <f t="shared" si="127"/>
        <v>0</v>
      </c>
      <c r="BI255" s="121">
        <f t="shared" si="128"/>
        <v>495018.67631913436</v>
      </c>
      <c r="BJ255" s="121">
        <f t="shared" si="129"/>
        <v>495018.67631913436</v>
      </c>
      <c r="BK255" s="121">
        <f t="shared" si="130"/>
        <v>495018.67631913436</v>
      </c>
      <c r="BL255" s="121">
        <f t="shared" si="131"/>
        <v>495018.67631913436</v>
      </c>
      <c r="BM255" s="121">
        <f t="shared" si="132"/>
        <v>0</v>
      </c>
      <c r="BN255" s="121">
        <f t="shared" si="133"/>
        <v>0</v>
      </c>
      <c r="BO255" s="121">
        <f t="shared" si="134"/>
        <v>0</v>
      </c>
      <c r="BP255" s="121">
        <f t="shared" si="135"/>
        <v>0</v>
      </c>
      <c r="BQ255" s="199">
        <f>INDEX('GDP deflators'!$C$6:$M$36,MATCH('Bottom-up tagging'!$D255,'GDP deflators'!$B$6:$B$36,),MATCH('Bottom-up tagging'!$E255,'GDP deflators'!$C$5:$L$5,))/100</f>
        <v>2.0201258009815137</v>
      </c>
      <c r="BR255" s="24">
        <v>1000000</v>
      </c>
    </row>
    <row r="256" spans="2:70" ht="26.15" hidden="1" customHeight="1">
      <c r="B256" s="110" t="s">
        <v>96</v>
      </c>
      <c r="C256" s="110" t="s">
        <v>100</v>
      </c>
      <c r="D256" s="110" t="s">
        <v>3994</v>
      </c>
      <c r="E256" s="103">
        <v>2018</v>
      </c>
      <c r="F256" s="108" t="s">
        <v>8260</v>
      </c>
      <c r="G256" s="111" t="s">
        <v>25</v>
      </c>
      <c r="H256" s="110" t="s">
        <v>10451</v>
      </c>
      <c r="I256" s="112">
        <f>IF(Dashboard!$B$16="Current USD",'Bottom-up tagging'!BR256,'Bottom-up tagging'!BR256/'Bottom-up tagging'!BQ256)</f>
        <v>677785.26564807247</v>
      </c>
      <c r="J256" s="105" t="s">
        <v>10474</v>
      </c>
      <c r="K256" s="112"/>
      <c r="L256" s="135">
        <v>1</v>
      </c>
      <c r="M256" s="135">
        <v>1</v>
      </c>
      <c r="N256" s="112"/>
      <c r="O256" s="112"/>
      <c r="P256" s="112" t="str">
        <f>VLOOKUP(B256, 'Companies covered restructured'!$B$7:$K$470, 9, FALSE)</f>
        <v>Agri marketplaces</v>
      </c>
      <c r="Q256" s="112" t="str">
        <f>VLOOKUP(B256, 'Companies covered restructured'!$B$7:$K$470, 6, FALSE)</f>
        <v>#Crops(100)</v>
      </c>
      <c r="R256" s="112" t="str">
        <f t="shared" si="107"/>
        <v>#Investment Fund(100)</v>
      </c>
      <c r="S256" s="112" t="s">
        <v>11003</v>
      </c>
      <c r="T256" s="112" t="s">
        <v>10466</v>
      </c>
      <c r="U256" s="103" t="s">
        <v>10970</v>
      </c>
      <c r="V256" s="112" t="str">
        <f>VLOOKUP(P256, 'Bottom-up Tagging Assumptions'!$B$12:$F$39, 5, FALSE)</f>
        <v>#Process Innovation(100)</v>
      </c>
      <c r="W256" s="112" t="str">
        <f>VLOOKUP(B256, 'Companies covered restructured'!$B$7:$K$470, 7, FALSE)</f>
        <v>#Farm/Household(100)</v>
      </c>
      <c r="X256" s="112" t="s">
        <v>10558</v>
      </c>
      <c r="Y256" s="212" t="str">
        <f>VLOOKUP(P256, 'Bottom-up Tagging Assumptions'!$B$12:$C$56, 2, FALSE)</f>
        <v>#Other Economic(P); Social(S)</v>
      </c>
      <c r="Z256" s="112" t="str">
        <f>VLOOKUP(P256, 'Bottom-up Tagging Assumptions'!$B$12:$F$56, 3, FALSE)</f>
        <v>#Improve price realization(P)</v>
      </c>
      <c r="AA256" s="112" t="str">
        <f>VLOOKUP(P256, 'Bottom-up Tagging Assumptions'!$B$12:$F$56, 4, FALSE)</f>
        <v>#Level 4(100)</v>
      </c>
      <c r="AB256" s="110" t="s">
        <v>1270</v>
      </c>
      <c r="AC256" s="110"/>
      <c r="AD256" s="110" t="s">
        <v>1271</v>
      </c>
      <c r="AE256" s="110" t="str">
        <f>VLOOKUP(AD256,  '1.2'!$B$7:$C$2033, 2, FALSE)</f>
        <v>FUND</v>
      </c>
      <c r="AF256" s="112">
        <v>41586600</v>
      </c>
      <c r="AG256" s="110" t="s">
        <v>1657</v>
      </c>
      <c r="AH256" s="121">
        <f t="shared" si="108"/>
        <v>0</v>
      </c>
      <c r="AI256" s="121">
        <f t="shared" si="109"/>
        <v>0</v>
      </c>
      <c r="AJ256" s="121">
        <f t="shared" si="110"/>
        <v>1</v>
      </c>
      <c r="AK256" s="121">
        <f t="shared" si="111"/>
        <v>1</v>
      </c>
      <c r="AL256" s="121">
        <f t="shared" si="112"/>
        <v>0</v>
      </c>
      <c r="AM256" s="121">
        <f t="shared" si="113"/>
        <v>0</v>
      </c>
      <c r="AN256" s="121">
        <f t="shared" si="114"/>
        <v>1</v>
      </c>
      <c r="AO256" s="121">
        <f t="shared" si="115"/>
        <v>0</v>
      </c>
      <c r="AP256" s="22">
        <f t="shared" si="116"/>
        <v>0</v>
      </c>
      <c r="AQ256" s="22">
        <f t="shared" si="117"/>
        <v>677785.26564807247</v>
      </c>
      <c r="AR256" s="22">
        <f t="shared" si="118"/>
        <v>0</v>
      </c>
      <c r="AS256" s="121" t="str">
        <f t="shared" si="119"/>
        <v>Crops</v>
      </c>
      <c r="AT256" s="121" t="str">
        <f t="shared" si="140"/>
        <v xml:space="preserve"> </v>
      </c>
      <c r="AU256" s="121" t="str">
        <f t="shared" si="140"/>
        <v xml:space="preserve"> </v>
      </c>
      <c r="AV256" s="121" t="str">
        <f t="shared" si="140"/>
        <v xml:space="preserve"> </v>
      </c>
      <c r="AW256" s="130" t="str">
        <f t="shared" si="141"/>
        <v>100</v>
      </c>
      <c r="AX256" s="130" t="str">
        <f t="shared" si="141"/>
        <v xml:space="preserve"> </v>
      </c>
      <c r="AY256" s="130" t="str">
        <f t="shared" si="141"/>
        <v xml:space="preserve"> </v>
      </c>
      <c r="AZ256" s="130" t="str">
        <f t="shared" si="141"/>
        <v xml:space="preserve"> </v>
      </c>
      <c r="BA256" s="121">
        <f t="shared" si="120"/>
        <v>677785.26564807247</v>
      </c>
      <c r="BB256" s="121">
        <f t="shared" si="121"/>
        <v>0</v>
      </c>
      <c r="BC256" s="121">
        <f t="shared" si="122"/>
        <v>0</v>
      </c>
      <c r="BD256" s="121">
        <f t="shared" si="123"/>
        <v>0</v>
      </c>
      <c r="BE256" s="121">
        <f t="shared" si="124"/>
        <v>0</v>
      </c>
      <c r="BF256" s="121">
        <f t="shared" si="125"/>
        <v>0</v>
      </c>
      <c r="BG256" s="121">
        <f t="shared" si="126"/>
        <v>0</v>
      </c>
      <c r="BH256" s="121">
        <f t="shared" si="127"/>
        <v>0</v>
      </c>
      <c r="BI256" s="121">
        <f t="shared" si="128"/>
        <v>677785.26564807247</v>
      </c>
      <c r="BJ256" s="121">
        <f t="shared" si="129"/>
        <v>677785.26564807247</v>
      </c>
      <c r="BK256" s="121">
        <f t="shared" si="130"/>
        <v>677785.26564807247</v>
      </c>
      <c r="BL256" s="121">
        <f t="shared" si="131"/>
        <v>677785.26564807247</v>
      </c>
      <c r="BM256" s="121">
        <f t="shared" si="132"/>
        <v>0</v>
      </c>
      <c r="BN256" s="121">
        <f t="shared" si="133"/>
        <v>0</v>
      </c>
      <c r="BO256" s="121">
        <f t="shared" si="134"/>
        <v>0</v>
      </c>
      <c r="BP256" s="121">
        <f t="shared" si="135"/>
        <v>0</v>
      </c>
      <c r="BQ256" s="199">
        <f>INDEX('GDP deflators'!$C$6:$M$36,MATCH('Bottom-up tagging'!$D256,'GDP deflators'!$B$6:$B$36,),MATCH('Bottom-up tagging'!$E256,'GDP deflators'!$C$5:$L$5,))/100</f>
        <v>1.4753935363936217</v>
      </c>
      <c r="BR256" s="24">
        <v>1000000</v>
      </c>
    </row>
    <row r="257" spans="2:70" ht="26.15" hidden="1" customHeight="1">
      <c r="B257" s="110" t="s">
        <v>1520</v>
      </c>
      <c r="C257" s="110" t="s">
        <v>1523</v>
      </c>
      <c r="D257" s="110" t="s">
        <v>5818</v>
      </c>
      <c r="E257" s="103">
        <v>2018</v>
      </c>
      <c r="F257" s="108" t="s">
        <v>5819</v>
      </c>
      <c r="G257" s="111" t="s">
        <v>34</v>
      </c>
      <c r="H257" s="110" t="s">
        <v>10451</v>
      </c>
      <c r="I257" s="112">
        <f>IF(Dashboard!$B$16="Current USD",'Bottom-up tagging'!BR257,'Bottom-up tagging'!BR257/'Bottom-up tagging'!BQ257)</f>
        <v>613557.50743224565</v>
      </c>
      <c r="J257" s="105" t="s">
        <v>10474</v>
      </c>
      <c r="K257" s="112"/>
      <c r="L257" s="135">
        <v>1</v>
      </c>
      <c r="M257" s="135">
        <v>1</v>
      </c>
      <c r="N257" s="112"/>
      <c r="O257" s="112"/>
      <c r="P257" s="112" t="str">
        <f>VLOOKUP(B257, 'Companies covered restructured'!$B$7:$K$470, 9, FALSE)</f>
        <v>Agri marketplaces</v>
      </c>
      <c r="Q257" s="112" t="str">
        <f>VLOOKUP(B257, 'Companies covered restructured'!$B$7:$K$470, 6, FALSE)</f>
        <v>#Crops(100)</v>
      </c>
      <c r="R257" s="112" t="str">
        <f t="shared" si="107"/>
        <v>N/A</v>
      </c>
      <c r="S257" s="112" t="s">
        <v>11003</v>
      </c>
      <c r="T257" s="112" t="s">
        <v>10466</v>
      </c>
      <c r="U257" s="103" t="s">
        <v>10970</v>
      </c>
      <c r="V257" s="112" t="str">
        <f>VLOOKUP(P257, 'Bottom-up Tagging Assumptions'!$B$12:$F$39, 5, FALSE)</f>
        <v>#Process Innovation(100)</v>
      </c>
      <c r="W257" s="112" t="str">
        <f>VLOOKUP(B257, 'Companies covered restructured'!$B$7:$K$470, 7, FALSE)</f>
        <v>#Farm/Household(100)</v>
      </c>
      <c r="X257" s="112" t="s">
        <v>10558</v>
      </c>
      <c r="Y257" s="212" t="str">
        <f>VLOOKUP(P257, 'Bottom-up Tagging Assumptions'!$B$12:$C$56, 2, FALSE)</f>
        <v>#Other Economic(P); Social(S)</v>
      </c>
      <c r="Z257" s="112" t="str">
        <f>VLOOKUP(P257, 'Bottom-up Tagging Assumptions'!$B$12:$F$56, 3, FALSE)</f>
        <v>#Improve price realization(P)</v>
      </c>
      <c r="AA257" s="112" t="str">
        <f>VLOOKUP(P257, 'Bottom-up Tagging Assumptions'!$B$12:$F$56, 4, FALSE)</f>
        <v>#Level 4(100)</v>
      </c>
      <c r="AB257" s="110"/>
      <c r="AC257" s="110"/>
      <c r="AD257" s="110"/>
      <c r="AE257" s="110" t="s">
        <v>10558</v>
      </c>
      <c r="AF257" s="112">
        <v>3100000</v>
      </c>
      <c r="AG257" s="110" t="s">
        <v>2143</v>
      </c>
      <c r="AH257" s="121">
        <f t="shared" si="108"/>
        <v>0</v>
      </c>
      <c r="AI257" s="121">
        <f t="shared" si="109"/>
        <v>0</v>
      </c>
      <c r="AJ257" s="121">
        <f t="shared" si="110"/>
        <v>1</v>
      </c>
      <c r="AK257" s="121">
        <f t="shared" si="111"/>
        <v>1</v>
      </c>
      <c r="AL257" s="121">
        <f t="shared" si="112"/>
        <v>0</v>
      </c>
      <c r="AM257" s="121">
        <f t="shared" si="113"/>
        <v>0</v>
      </c>
      <c r="AN257" s="121">
        <f t="shared" si="114"/>
        <v>1</v>
      </c>
      <c r="AO257" s="121">
        <f t="shared" si="115"/>
        <v>0</v>
      </c>
      <c r="AP257" s="22">
        <f t="shared" si="116"/>
        <v>0</v>
      </c>
      <c r="AQ257" s="22">
        <f t="shared" si="117"/>
        <v>613557.50743224565</v>
      </c>
      <c r="AR257" s="22">
        <f t="shared" si="118"/>
        <v>0</v>
      </c>
      <c r="AS257" s="121" t="str">
        <f t="shared" si="119"/>
        <v>Crops</v>
      </c>
      <c r="AT257" s="121" t="str">
        <f t="shared" si="140"/>
        <v xml:space="preserve"> </v>
      </c>
      <c r="AU257" s="121" t="str">
        <f t="shared" si="140"/>
        <v xml:space="preserve"> </v>
      </c>
      <c r="AV257" s="121" t="str">
        <f t="shared" si="140"/>
        <v xml:space="preserve"> </v>
      </c>
      <c r="AW257" s="130" t="str">
        <f t="shared" si="141"/>
        <v>100</v>
      </c>
      <c r="AX257" s="130" t="str">
        <f t="shared" si="141"/>
        <v xml:space="preserve"> </v>
      </c>
      <c r="AY257" s="130" t="str">
        <f t="shared" si="141"/>
        <v xml:space="preserve"> </v>
      </c>
      <c r="AZ257" s="130" t="str">
        <f t="shared" si="141"/>
        <v xml:space="preserve"> </v>
      </c>
      <c r="BA257" s="121">
        <f t="shared" si="120"/>
        <v>613557.50743224565</v>
      </c>
      <c r="BB257" s="121">
        <f t="shared" si="121"/>
        <v>0</v>
      </c>
      <c r="BC257" s="121">
        <f t="shared" si="122"/>
        <v>0</v>
      </c>
      <c r="BD257" s="121">
        <f t="shared" si="123"/>
        <v>0</v>
      </c>
      <c r="BE257" s="121">
        <f t="shared" si="124"/>
        <v>0</v>
      </c>
      <c r="BF257" s="121">
        <f t="shared" si="125"/>
        <v>0</v>
      </c>
      <c r="BG257" s="121">
        <f t="shared" si="126"/>
        <v>0</v>
      </c>
      <c r="BH257" s="121">
        <f t="shared" si="127"/>
        <v>0</v>
      </c>
      <c r="BI257" s="121">
        <f t="shared" si="128"/>
        <v>613557.50743224565</v>
      </c>
      <c r="BJ257" s="121">
        <f t="shared" si="129"/>
        <v>613557.50743224565</v>
      </c>
      <c r="BK257" s="121">
        <f t="shared" si="130"/>
        <v>613557.50743224565</v>
      </c>
      <c r="BL257" s="121">
        <f t="shared" si="131"/>
        <v>613557.50743224565</v>
      </c>
      <c r="BM257" s="121">
        <f t="shared" si="132"/>
        <v>0</v>
      </c>
      <c r="BN257" s="121">
        <f t="shared" si="133"/>
        <v>0</v>
      </c>
      <c r="BO257" s="121">
        <f t="shared" si="134"/>
        <v>0</v>
      </c>
      <c r="BP257" s="121">
        <f t="shared" si="135"/>
        <v>0</v>
      </c>
      <c r="BQ257" s="199">
        <f>INDEX('GDP deflators'!$C$6:$M$36,MATCH('Bottom-up tagging'!$D257,'GDP deflators'!$B$6:$B$36,),MATCH('Bottom-up tagging'!$E257,'GDP deflators'!$C$5:$L$5,))/100</f>
        <v>1.6298390743925966</v>
      </c>
      <c r="BR257" s="24">
        <v>1000000</v>
      </c>
    </row>
    <row r="258" spans="2:70" ht="26.15" hidden="1" customHeight="1">
      <c r="B258" s="110" t="s">
        <v>897</v>
      </c>
      <c r="C258" s="110" t="s">
        <v>903</v>
      </c>
      <c r="D258" s="110" t="s">
        <v>3994</v>
      </c>
      <c r="E258" s="103">
        <v>2018</v>
      </c>
      <c r="F258" s="108" t="s">
        <v>8506</v>
      </c>
      <c r="G258" s="111" t="s">
        <v>34</v>
      </c>
      <c r="H258" s="110" t="s">
        <v>10451</v>
      </c>
      <c r="I258" s="112">
        <f>IF(Dashboard!$B$16="Current USD",'Bottom-up tagging'!BR258,'Bottom-up tagging'!BR258/'Bottom-up tagging'!BQ258)</f>
        <v>677785.26564807247</v>
      </c>
      <c r="J258" s="117" t="s">
        <v>10474</v>
      </c>
      <c r="K258" s="112"/>
      <c r="L258" s="135">
        <v>1</v>
      </c>
      <c r="M258" s="135">
        <v>1</v>
      </c>
      <c r="N258" s="112"/>
      <c r="O258" s="112"/>
      <c r="P258" s="112" t="str">
        <f>VLOOKUP(B258, 'Companies covered restructured'!$B$7:$K$470, 9, FALSE)</f>
        <v>AI/analytics based advisory algorithms (incl. weather)</v>
      </c>
      <c r="Q258" s="112" t="str">
        <f>VLOOKUP(B258, 'Companies covered restructured'!$B$7:$K$470, 6, FALSE)</f>
        <v>#Crops(100)</v>
      </c>
      <c r="R258" s="112" t="str">
        <f t="shared" si="107"/>
        <v>#Investment Fund(100)</v>
      </c>
      <c r="S258" s="112" t="s">
        <v>11003</v>
      </c>
      <c r="T258" s="112" t="s">
        <v>10466</v>
      </c>
      <c r="U258" s="103" t="s">
        <v>10970</v>
      </c>
      <c r="V258" s="112" t="str">
        <f>VLOOKUP(P258, 'Bottom-up Tagging Assumptions'!$B$12:$F$39, 5, FALSE)</f>
        <v>#Science &amp; tech(100)</v>
      </c>
      <c r="W258" s="112" t="str">
        <f>VLOOKUP(B258, 'Companies covered restructured'!$B$7:$K$470, 7, FALSE)</f>
        <v>N/A</v>
      </c>
      <c r="X258" s="112" t="str">
        <f>VLOOKUP(B258, 'Companies covered restructured'!$B$7:$K$470, 8, FALSE)</f>
        <v>N/A</v>
      </c>
      <c r="Y258" s="212" t="str">
        <f>VLOOKUP(P258, 'Bottom-up Tagging Assumptions'!$B$12:$C$56, 2, FALSE)</f>
        <v>#Other Economic(P); #Productivity(S)</v>
      </c>
      <c r="Z258" s="112" t="str">
        <f>VLOOKUP(P258, 'Bottom-up Tagging Assumptions'!$B$12:$F$56, 3, FALSE)</f>
        <v>#Increasing output per unit input(P); #Increasing crop or animal yield(S)</v>
      </c>
      <c r="AA258" s="112" t="str">
        <f>VLOOKUP(P258, 'Bottom-up Tagging Assumptions'!$B$12:$F$56, 4, FALSE)</f>
        <v>#Level 1(100)</v>
      </c>
      <c r="AB258" s="110" t="s">
        <v>1092</v>
      </c>
      <c r="AC258" s="110"/>
      <c r="AD258" s="110" t="s">
        <v>1093</v>
      </c>
      <c r="AE258" s="110" t="str">
        <f>VLOOKUP(AD258,  '1.2'!$B$7:$C$2033, 2, FALSE)</f>
        <v>FUND</v>
      </c>
      <c r="AF258" s="112">
        <v>7000000</v>
      </c>
      <c r="AG258" s="110" t="s">
        <v>862</v>
      </c>
      <c r="AH258" s="121">
        <f t="shared" si="108"/>
        <v>0</v>
      </c>
      <c r="AI258" s="121">
        <f t="shared" si="109"/>
        <v>1</v>
      </c>
      <c r="AJ258" s="121">
        <f t="shared" si="110"/>
        <v>1</v>
      </c>
      <c r="AK258" s="121">
        <f t="shared" si="111"/>
        <v>0</v>
      </c>
      <c r="AL258" s="121">
        <f t="shared" si="112"/>
        <v>0</v>
      </c>
      <c r="AM258" s="121">
        <f t="shared" si="113"/>
        <v>0</v>
      </c>
      <c r="AN258" s="121">
        <f t="shared" si="114"/>
        <v>0</v>
      </c>
      <c r="AO258" s="121">
        <f t="shared" si="115"/>
        <v>0</v>
      </c>
      <c r="AP258" s="22">
        <f t="shared" si="116"/>
        <v>0</v>
      </c>
      <c r="AQ258" s="22">
        <f t="shared" si="117"/>
        <v>0</v>
      </c>
      <c r="AR258" s="22">
        <f t="shared" si="118"/>
        <v>0</v>
      </c>
      <c r="AS258" s="121" t="str">
        <f t="shared" si="119"/>
        <v>Crops</v>
      </c>
      <c r="AT258" s="121" t="str">
        <f t="shared" si="140"/>
        <v xml:space="preserve"> </v>
      </c>
      <c r="AU258" s="121" t="str">
        <f t="shared" si="140"/>
        <v xml:space="preserve"> </v>
      </c>
      <c r="AV258" s="121" t="str">
        <f t="shared" si="140"/>
        <v xml:space="preserve"> </v>
      </c>
      <c r="AW258" s="130" t="str">
        <f t="shared" si="141"/>
        <v>100</v>
      </c>
      <c r="AX258" s="130" t="str">
        <f t="shared" si="141"/>
        <v xml:space="preserve"> </v>
      </c>
      <c r="AY258" s="130" t="str">
        <f t="shared" si="141"/>
        <v xml:space="preserve"> </v>
      </c>
      <c r="AZ258" s="130" t="str">
        <f t="shared" si="141"/>
        <v xml:space="preserve"> </v>
      </c>
      <c r="BA258" s="121">
        <f t="shared" si="120"/>
        <v>677785.26564807247</v>
      </c>
      <c r="BB258" s="121">
        <f t="shared" si="121"/>
        <v>0</v>
      </c>
      <c r="BC258" s="121">
        <f t="shared" si="122"/>
        <v>0</v>
      </c>
      <c r="BD258" s="121">
        <f t="shared" si="123"/>
        <v>0</v>
      </c>
      <c r="BE258" s="121">
        <f t="shared" si="124"/>
        <v>0</v>
      </c>
      <c r="BF258" s="121">
        <f t="shared" si="125"/>
        <v>0</v>
      </c>
      <c r="BG258" s="121">
        <f t="shared" si="126"/>
        <v>0</v>
      </c>
      <c r="BH258" s="121">
        <f t="shared" si="127"/>
        <v>0</v>
      </c>
      <c r="BI258" s="121">
        <f t="shared" si="128"/>
        <v>0</v>
      </c>
      <c r="BJ258" s="121">
        <f t="shared" si="129"/>
        <v>0</v>
      </c>
      <c r="BK258" s="121">
        <f t="shared" si="130"/>
        <v>0</v>
      </c>
      <c r="BL258" s="121">
        <f t="shared" si="131"/>
        <v>0</v>
      </c>
      <c r="BM258" s="121">
        <f t="shared" si="132"/>
        <v>0</v>
      </c>
      <c r="BN258" s="121">
        <f t="shared" si="133"/>
        <v>0</v>
      </c>
      <c r="BO258" s="121">
        <f t="shared" si="134"/>
        <v>0</v>
      </c>
      <c r="BP258" s="121">
        <f t="shared" si="135"/>
        <v>0</v>
      </c>
      <c r="BQ258" s="199">
        <f>INDEX('GDP deflators'!$C$6:$M$36,MATCH('Bottom-up tagging'!$D258,'GDP deflators'!$B$6:$B$36,),MATCH('Bottom-up tagging'!$E258,'GDP deflators'!$C$5:$L$5,))/100</f>
        <v>1.4753935363936217</v>
      </c>
      <c r="BR258" s="24">
        <v>1000000</v>
      </c>
    </row>
    <row r="259" spans="2:70" ht="26.15" hidden="1" customHeight="1">
      <c r="B259" s="110" t="s">
        <v>1147</v>
      </c>
      <c r="C259" s="110" t="s">
        <v>1152</v>
      </c>
      <c r="D259" s="110" t="s">
        <v>6213</v>
      </c>
      <c r="E259" s="103">
        <v>2017</v>
      </c>
      <c r="F259" s="108" t="s">
        <v>7200</v>
      </c>
      <c r="G259" s="111" t="s">
        <v>34</v>
      </c>
      <c r="H259" s="110" t="s">
        <v>10451</v>
      </c>
      <c r="I259" s="112">
        <f>IF(Dashboard!$B$16="Current USD",'Bottom-up tagging'!BR259,'Bottom-up tagging'!BR259/'Bottom-up tagging'!BQ259)</f>
        <v>602316.30038156873</v>
      </c>
      <c r="J259" s="118" t="s">
        <v>10474</v>
      </c>
      <c r="K259" s="112"/>
      <c r="L259" s="135">
        <v>1</v>
      </c>
      <c r="M259" s="135">
        <v>1</v>
      </c>
      <c r="N259" s="112"/>
      <c r="O259" s="112"/>
      <c r="P259" s="112" t="str">
        <f>VLOOKUP(B259, 'Companies covered restructured'!$B$7:$K$470, 9, FALSE)</f>
        <v xml:space="preserve">Agriculture financing systems </v>
      </c>
      <c r="Q259" s="112" t="str">
        <f>VLOOKUP(B259, 'Companies covered restructured'!$B$7:$K$470, 6, FALSE)</f>
        <v>#Cross-cutting(100)</v>
      </c>
      <c r="R259" s="112" t="str">
        <f t="shared" si="107"/>
        <v>#Corporate(100)</v>
      </c>
      <c r="S259" s="112" t="s">
        <v>11003</v>
      </c>
      <c r="T259" s="112" t="s">
        <v>10466</v>
      </c>
      <c r="U259" s="103" t="s">
        <v>10970</v>
      </c>
      <c r="V259" s="112" t="str">
        <f>VLOOKUP(P259, 'Bottom-up Tagging Assumptions'!$B$12:$F$39, 5, FALSE)</f>
        <v>#Process Innovation(100)</v>
      </c>
      <c r="W259" s="112" t="str">
        <f>VLOOKUP(B259, 'Companies covered restructured'!$B$7:$K$470, 7, FALSE)</f>
        <v>#Landscape(100)</v>
      </c>
      <c r="X259" s="112" t="s">
        <v>10558</v>
      </c>
      <c r="Y259" s="212" t="str">
        <f>VLOOKUP(P259, 'Bottom-up Tagging Assumptions'!$B$12:$C$56, 2, FALSE)</f>
        <v>#Other Economic(P); Social(S)</v>
      </c>
      <c r="Z259" s="112" t="str">
        <f>VLOOKUP(P259, 'Bottom-up Tagging Assumptions'!$B$12:$F$56, 3, FALSE)</f>
        <v>NA</v>
      </c>
      <c r="AA259" s="112" t="str">
        <f>VLOOKUP(P259, 'Bottom-up Tagging Assumptions'!$B$12:$F$56, 4, FALSE)</f>
        <v>#Level 1(100)</v>
      </c>
      <c r="AB259" s="110" t="s">
        <v>1865</v>
      </c>
      <c r="AC259" s="110" t="s">
        <v>1866</v>
      </c>
      <c r="AD259" s="110" t="s">
        <v>1867</v>
      </c>
      <c r="AE259" s="110" t="s">
        <v>3139</v>
      </c>
      <c r="AF259" s="112">
        <v>163285834</v>
      </c>
      <c r="AG259" s="110" t="s">
        <v>101</v>
      </c>
      <c r="AH259" s="121">
        <f t="shared" si="108"/>
        <v>0</v>
      </c>
      <c r="AI259" s="121">
        <f t="shared" si="109"/>
        <v>0</v>
      </c>
      <c r="AJ259" s="121">
        <f t="shared" si="110"/>
        <v>1</v>
      </c>
      <c r="AK259" s="121">
        <f t="shared" si="111"/>
        <v>1</v>
      </c>
      <c r="AL259" s="121">
        <f t="shared" si="112"/>
        <v>0</v>
      </c>
      <c r="AM259" s="121">
        <f t="shared" si="113"/>
        <v>0</v>
      </c>
      <c r="AN259" s="121">
        <f t="shared" si="114"/>
        <v>1</v>
      </c>
      <c r="AO259" s="121">
        <f t="shared" si="115"/>
        <v>0</v>
      </c>
      <c r="AP259" s="22">
        <f t="shared" si="116"/>
        <v>0</v>
      </c>
      <c r="AQ259" s="22">
        <f t="shared" si="117"/>
        <v>602316.30038156873</v>
      </c>
      <c r="AR259" s="22">
        <f t="shared" si="118"/>
        <v>0</v>
      </c>
      <c r="AS259" s="121" t="str">
        <f t="shared" si="119"/>
        <v>Cross-cutting</v>
      </c>
      <c r="AT259" s="121" t="str">
        <f t="shared" si="140"/>
        <v xml:space="preserve"> </v>
      </c>
      <c r="AU259" s="121" t="str">
        <f t="shared" si="140"/>
        <v xml:space="preserve"> </v>
      </c>
      <c r="AV259" s="121" t="str">
        <f t="shared" si="140"/>
        <v xml:space="preserve"> </v>
      </c>
      <c r="AW259" s="130" t="str">
        <f t="shared" si="141"/>
        <v>100</v>
      </c>
      <c r="AX259" s="130" t="str">
        <f t="shared" si="141"/>
        <v xml:space="preserve"> </v>
      </c>
      <c r="AY259" s="130" t="str">
        <f t="shared" si="141"/>
        <v xml:space="preserve"> </v>
      </c>
      <c r="AZ259" s="130" t="str">
        <f t="shared" si="141"/>
        <v xml:space="preserve"> </v>
      </c>
      <c r="BA259" s="121">
        <f t="shared" si="120"/>
        <v>602316.30038156873</v>
      </c>
      <c r="BB259" s="121">
        <f t="shared" si="121"/>
        <v>0</v>
      </c>
      <c r="BC259" s="121">
        <f t="shared" si="122"/>
        <v>0</v>
      </c>
      <c r="BD259" s="121">
        <f t="shared" si="123"/>
        <v>0</v>
      </c>
      <c r="BE259" s="121">
        <f t="shared" si="124"/>
        <v>0</v>
      </c>
      <c r="BF259" s="121">
        <f t="shared" si="125"/>
        <v>0</v>
      </c>
      <c r="BG259" s="121">
        <f t="shared" si="126"/>
        <v>0</v>
      </c>
      <c r="BH259" s="121">
        <f t="shared" si="127"/>
        <v>0</v>
      </c>
      <c r="BI259" s="121">
        <f t="shared" si="128"/>
        <v>602316.30038156873</v>
      </c>
      <c r="BJ259" s="121">
        <f t="shared" si="129"/>
        <v>602316.30038156873</v>
      </c>
      <c r="BK259" s="121">
        <f t="shared" si="130"/>
        <v>602316.30038156873</v>
      </c>
      <c r="BL259" s="121">
        <f t="shared" si="131"/>
        <v>602316.30038156873</v>
      </c>
      <c r="BM259" s="121">
        <f t="shared" si="132"/>
        <v>0</v>
      </c>
      <c r="BN259" s="121">
        <f t="shared" si="133"/>
        <v>0</v>
      </c>
      <c r="BO259" s="121">
        <f t="shared" si="134"/>
        <v>0</v>
      </c>
      <c r="BP259" s="121">
        <f t="shared" si="135"/>
        <v>0</v>
      </c>
      <c r="BQ259" s="199">
        <f>INDEX('GDP deflators'!$C$6:$M$36,MATCH('Bottom-up tagging'!$D259,'GDP deflators'!$B$6:$B$36,),MATCH('Bottom-up tagging'!$E259,'GDP deflators'!$C$5:$L$5,))/100</f>
        <v>1.6602572425260578</v>
      </c>
      <c r="BR259" s="24">
        <v>1000000</v>
      </c>
    </row>
    <row r="260" spans="2:70" ht="26.15" hidden="1" customHeight="1">
      <c r="B260" s="110" t="s">
        <v>507</v>
      </c>
      <c r="C260" s="110" t="s">
        <v>510</v>
      </c>
      <c r="D260" s="110" t="s">
        <v>3994</v>
      </c>
      <c r="E260" s="103">
        <v>2016</v>
      </c>
      <c r="F260" s="108" t="s">
        <v>8287</v>
      </c>
      <c r="G260" s="111" t="s">
        <v>34</v>
      </c>
      <c r="H260" s="110" t="s">
        <v>10451</v>
      </c>
      <c r="I260" s="112">
        <f>IF(Dashboard!$B$16="Current USD",'Bottom-up tagging'!BR260,'Bottom-up tagging'!BR260/'Bottom-up tagging'!BQ260)</f>
        <v>735436.02962544013</v>
      </c>
      <c r="J260" s="118" t="s">
        <v>10474</v>
      </c>
      <c r="K260" s="112"/>
      <c r="L260" s="135">
        <v>1</v>
      </c>
      <c r="M260" s="135">
        <v>1</v>
      </c>
      <c r="N260" s="112"/>
      <c r="O260" s="112"/>
      <c r="P260" s="112" t="str">
        <f>VLOOKUP(B260, 'Companies covered restructured'!$B$7:$K$470, 9, FALSE)</f>
        <v>Agri marketplaces</v>
      </c>
      <c r="Q260" s="112" t="str">
        <f>VLOOKUP(B260, 'Companies covered restructured'!$B$7:$K$470, 6, FALSE)</f>
        <v>#Crops(100)</v>
      </c>
      <c r="R260" s="112" t="str">
        <f t="shared" si="107"/>
        <v>N/A</v>
      </c>
      <c r="S260" s="112" t="s">
        <v>11003</v>
      </c>
      <c r="T260" s="112" t="s">
        <v>10466</v>
      </c>
      <c r="U260" s="103" t="s">
        <v>10970</v>
      </c>
      <c r="V260" s="112" t="str">
        <f>VLOOKUP(P260, 'Bottom-up Tagging Assumptions'!$B$12:$F$39, 5, FALSE)</f>
        <v>#Process Innovation(100)</v>
      </c>
      <c r="W260" s="112" t="str">
        <f>VLOOKUP(B260, 'Companies covered restructured'!$B$7:$K$470, 7, FALSE)</f>
        <v>#Farm/Household(100)</v>
      </c>
      <c r="X260" s="112" t="str">
        <f>VLOOKUP(B260, 'Companies covered restructured'!$B$7:$K$470, 8, FALSE)</f>
        <v>#Small(100)</v>
      </c>
      <c r="Y260" s="212" t="str">
        <f>VLOOKUP(P260, 'Bottom-up Tagging Assumptions'!$B$12:$C$56, 2, FALSE)</f>
        <v>#Other Economic(P); Social(S)</v>
      </c>
      <c r="Z260" s="112" t="str">
        <f>VLOOKUP(P260, 'Bottom-up Tagging Assumptions'!$B$12:$F$56, 3, FALSE)</f>
        <v>#Improve price realization(P)</v>
      </c>
      <c r="AA260" s="112" t="str">
        <f>VLOOKUP(P260, 'Bottom-up Tagging Assumptions'!$B$12:$F$56, 4, FALSE)</f>
        <v>#Level 4(100)</v>
      </c>
      <c r="AB260" s="110" t="s">
        <v>2283</v>
      </c>
      <c r="AC260" s="110"/>
      <c r="AD260" s="110"/>
      <c r="AE260" s="110" t="s">
        <v>10558</v>
      </c>
      <c r="AF260" s="112">
        <v>5500000</v>
      </c>
      <c r="AG260" s="110" t="s">
        <v>209</v>
      </c>
      <c r="AH260" s="121">
        <f t="shared" si="108"/>
        <v>0</v>
      </c>
      <c r="AI260" s="121">
        <f t="shared" si="109"/>
        <v>0</v>
      </c>
      <c r="AJ260" s="121">
        <f t="shared" si="110"/>
        <v>1</v>
      </c>
      <c r="AK260" s="121">
        <f t="shared" si="111"/>
        <v>1</v>
      </c>
      <c r="AL260" s="121">
        <f t="shared" si="112"/>
        <v>0</v>
      </c>
      <c r="AM260" s="121">
        <f t="shared" si="113"/>
        <v>0</v>
      </c>
      <c r="AN260" s="121">
        <f t="shared" si="114"/>
        <v>1</v>
      </c>
      <c r="AO260" s="121">
        <f t="shared" si="115"/>
        <v>0</v>
      </c>
      <c r="AP260" s="22">
        <f t="shared" si="116"/>
        <v>0</v>
      </c>
      <c r="AQ260" s="22">
        <f t="shared" si="117"/>
        <v>735436.02962544013</v>
      </c>
      <c r="AR260" s="22">
        <f t="shared" si="118"/>
        <v>0</v>
      </c>
      <c r="AS260" s="121" t="str">
        <f t="shared" si="119"/>
        <v>Crops</v>
      </c>
      <c r="AT260" s="121" t="str">
        <f t="shared" si="140"/>
        <v xml:space="preserve"> </v>
      </c>
      <c r="AU260" s="121" t="str">
        <f t="shared" si="140"/>
        <v xml:space="preserve"> </v>
      </c>
      <c r="AV260" s="121" t="str">
        <f t="shared" si="140"/>
        <v xml:space="preserve"> </v>
      </c>
      <c r="AW260" s="130" t="str">
        <f t="shared" si="141"/>
        <v>100</v>
      </c>
      <c r="AX260" s="130" t="str">
        <f t="shared" si="141"/>
        <v xml:space="preserve"> </v>
      </c>
      <c r="AY260" s="130" t="str">
        <f t="shared" si="141"/>
        <v xml:space="preserve"> </v>
      </c>
      <c r="AZ260" s="130" t="str">
        <f t="shared" si="141"/>
        <v xml:space="preserve"> </v>
      </c>
      <c r="BA260" s="121">
        <f t="shared" si="120"/>
        <v>735436.02962544013</v>
      </c>
      <c r="BB260" s="121">
        <f t="shared" si="121"/>
        <v>0</v>
      </c>
      <c r="BC260" s="121">
        <f t="shared" si="122"/>
        <v>0</v>
      </c>
      <c r="BD260" s="121">
        <f t="shared" si="123"/>
        <v>0</v>
      </c>
      <c r="BE260" s="121">
        <f t="shared" si="124"/>
        <v>0</v>
      </c>
      <c r="BF260" s="121">
        <f t="shared" si="125"/>
        <v>0</v>
      </c>
      <c r="BG260" s="121">
        <f t="shared" si="126"/>
        <v>0</v>
      </c>
      <c r="BH260" s="121">
        <f t="shared" si="127"/>
        <v>0</v>
      </c>
      <c r="BI260" s="121">
        <f t="shared" si="128"/>
        <v>735436.02962544013</v>
      </c>
      <c r="BJ260" s="121">
        <f t="shared" si="129"/>
        <v>735436.02962544013</v>
      </c>
      <c r="BK260" s="121">
        <f t="shared" si="130"/>
        <v>735436.02962544013</v>
      </c>
      <c r="BL260" s="121">
        <f t="shared" si="131"/>
        <v>735436.02962544013</v>
      </c>
      <c r="BM260" s="121">
        <f t="shared" si="132"/>
        <v>0</v>
      </c>
      <c r="BN260" s="121">
        <f t="shared" si="133"/>
        <v>0</v>
      </c>
      <c r="BO260" s="121">
        <f t="shared" si="134"/>
        <v>0</v>
      </c>
      <c r="BP260" s="121">
        <f t="shared" si="135"/>
        <v>0</v>
      </c>
      <c r="BQ260" s="199">
        <f>INDEX('GDP deflators'!$C$6:$M$36,MATCH('Bottom-up tagging'!$D260,'GDP deflators'!$B$6:$B$36,),MATCH('Bottom-up tagging'!$E260,'GDP deflators'!$C$5:$L$5,))/100</f>
        <v>1.3597375702538033</v>
      </c>
      <c r="BR260" s="24">
        <v>1000000</v>
      </c>
    </row>
    <row r="261" spans="2:70" ht="26.15" hidden="1" customHeight="1">
      <c r="B261" s="110" t="s">
        <v>2419</v>
      </c>
      <c r="C261" s="110" t="s">
        <v>2422</v>
      </c>
      <c r="D261" s="110" t="s">
        <v>5844</v>
      </c>
      <c r="E261" s="103">
        <v>2016</v>
      </c>
      <c r="F261" s="108" t="s">
        <v>9396</v>
      </c>
      <c r="G261" s="111" t="s">
        <v>34</v>
      </c>
      <c r="H261" s="110" t="s">
        <v>10451</v>
      </c>
      <c r="I261" s="112">
        <f>IF(Dashboard!$B$16="Current USD",'Bottom-up tagging'!BR261,'Bottom-up tagging'!BR261/'Bottom-up tagging'!BQ261)</f>
        <v>678359.12100495398</v>
      </c>
      <c r="J261" s="118" t="s">
        <v>10474</v>
      </c>
      <c r="K261" s="112"/>
      <c r="L261" s="135">
        <v>1</v>
      </c>
      <c r="M261" s="135">
        <v>1</v>
      </c>
      <c r="N261" s="112"/>
      <c r="O261" s="112"/>
      <c r="P261" s="112" t="str">
        <f>VLOOKUP(B261, 'Companies covered restructured'!$B$7:$K$470, 9, FALSE)</f>
        <v>Equipment automation</v>
      </c>
      <c r="Q261" s="112" t="str">
        <f>VLOOKUP(B261, 'Companies covered restructured'!$B$7:$K$470, 6, FALSE)</f>
        <v>#Crops(100)</v>
      </c>
      <c r="R261" s="112" t="str">
        <f t="shared" si="107"/>
        <v>N/A</v>
      </c>
      <c r="S261" s="112" t="s">
        <v>11003</v>
      </c>
      <c r="T261" s="112" t="s">
        <v>10466</v>
      </c>
      <c r="U261" s="103" t="s">
        <v>10970</v>
      </c>
      <c r="V261" s="112" t="str">
        <f>VLOOKUP(P261, 'Bottom-up Tagging Assumptions'!$B$12:$F$39, 5, FALSE)</f>
        <v>#Science &amp; tech(100)</v>
      </c>
      <c r="W261" s="112" t="str">
        <f>VLOOKUP(B261, 'Companies covered restructured'!$B$7:$K$470, 7, FALSE)</f>
        <v>#Farm/Household(100)</v>
      </c>
      <c r="X261" s="112" t="str">
        <f>VLOOKUP(B261, 'Companies covered restructured'!$B$7:$K$470, 8, FALSE)</f>
        <v>N/A</v>
      </c>
      <c r="Y261" s="212" t="str">
        <f>VLOOKUP(P261, 'Bottom-up Tagging Assumptions'!$B$12:$C$56, 2, FALSE)</f>
        <v>#Productivity(P); #Other Economic(S)</v>
      </c>
      <c r="Z261" s="112" t="str">
        <f>VLOOKUP(P261, 'Bottom-up Tagging Assumptions'!$B$12:$F$56, 3, FALSE)</f>
        <v>#Reducing human effort(P); #Increasing output per unit input(S)</v>
      </c>
      <c r="AA261" s="112" t="str">
        <f>VLOOKUP(P261, 'Bottom-up Tagging Assumptions'!$B$12:$F$56, 4, FALSE)</f>
        <v>#Level 1(100)</v>
      </c>
      <c r="AB261" s="110" t="s">
        <v>2421</v>
      </c>
      <c r="AC261" s="110"/>
      <c r="AD261" s="110"/>
      <c r="AE261" s="110" t="s">
        <v>10558</v>
      </c>
      <c r="AF261" s="112"/>
      <c r="AG261" s="110" t="s">
        <v>2149</v>
      </c>
      <c r="AH261" s="121">
        <f t="shared" si="108"/>
        <v>0</v>
      </c>
      <c r="AI261" s="121">
        <f t="shared" si="109"/>
        <v>1</v>
      </c>
      <c r="AJ261" s="121">
        <f t="shared" si="110"/>
        <v>1</v>
      </c>
      <c r="AK261" s="121">
        <f t="shared" si="111"/>
        <v>0</v>
      </c>
      <c r="AL261" s="121">
        <f t="shared" si="112"/>
        <v>0</v>
      </c>
      <c r="AM261" s="121">
        <f t="shared" si="113"/>
        <v>0</v>
      </c>
      <c r="AN261" s="121">
        <f t="shared" si="114"/>
        <v>0</v>
      </c>
      <c r="AO261" s="121">
        <f t="shared" si="115"/>
        <v>0</v>
      </c>
      <c r="AP261" s="22">
        <f t="shared" si="116"/>
        <v>0</v>
      </c>
      <c r="AQ261" s="22">
        <f t="shared" si="117"/>
        <v>0</v>
      </c>
      <c r="AR261" s="22">
        <f t="shared" si="118"/>
        <v>0</v>
      </c>
      <c r="AS261" s="121" t="str">
        <f t="shared" si="119"/>
        <v>Crops</v>
      </c>
      <c r="AT261" s="121" t="str">
        <f t="shared" si="140"/>
        <v xml:space="preserve"> </v>
      </c>
      <c r="AU261" s="121" t="str">
        <f t="shared" si="140"/>
        <v xml:space="preserve"> </v>
      </c>
      <c r="AV261" s="121" t="str">
        <f t="shared" si="140"/>
        <v xml:space="preserve"> </v>
      </c>
      <c r="AW261" s="130" t="str">
        <f t="shared" si="141"/>
        <v>100</v>
      </c>
      <c r="AX261" s="130" t="str">
        <f t="shared" si="141"/>
        <v xml:space="preserve"> </v>
      </c>
      <c r="AY261" s="130" t="str">
        <f t="shared" si="141"/>
        <v xml:space="preserve"> </v>
      </c>
      <c r="AZ261" s="130" t="str">
        <f t="shared" si="141"/>
        <v xml:space="preserve"> </v>
      </c>
      <c r="BA261" s="121">
        <f t="shared" si="120"/>
        <v>678359.12100495398</v>
      </c>
      <c r="BB261" s="121">
        <f t="shared" si="121"/>
        <v>0</v>
      </c>
      <c r="BC261" s="121">
        <f t="shared" si="122"/>
        <v>0</v>
      </c>
      <c r="BD261" s="121">
        <f t="shared" si="123"/>
        <v>0</v>
      </c>
      <c r="BE261" s="121">
        <f t="shared" si="124"/>
        <v>0</v>
      </c>
      <c r="BF261" s="121">
        <f t="shared" si="125"/>
        <v>0</v>
      </c>
      <c r="BG261" s="121">
        <f t="shared" si="126"/>
        <v>0</v>
      </c>
      <c r="BH261" s="121">
        <f t="shared" si="127"/>
        <v>0</v>
      </c>
      <c r="BI261" s="121">
        <f t="shared" si="128"/>
        <v>0</v>
      </c>
      <c r="BJ261" s="121">
        <f t="shared" si="129"/>
        <v>0</v>
      </c>
      <c r="BK261" s="121">
        <f t="shared" si="130"/>
        <v>0</v>
      </c>
      <c r="BL261" s="121">
        <f t="shared" si="131"/>
        <v>0</v>
      </c>
      <c r="BM261" s="121">
        <f t="shared" si="132"/>
        <v>0</v>
      </c>
      <c r="BN261" s="121">
        <f t="shared" si="133"/>
        <v>0</v>
      </c>
      <c r="BO261" s="121">
        <f t="shared" si="134"/>
        <v>0</v>
      </c>
      <c r="BP261" s="121">
        <f t="shared" si="135"/>
        <v>0</v>
      </c>
      <c r="BQ261" s="199">
        <f>INDEX('GDP deflators'!$C$6:$M$36,MATCH('Bottom-up tagging'!$D261,'GDP deflators'!$B$6:$B$36,),MATCH('Bottom-up tagging'!$E261,'GDP deflators'!$C$5:$L$5,))/100</f>
        <v>1.4741454327592023</v>
      </c>
      <c r="BR261" s="24">
        <v>1000000</v>
      </c>
    </row>
    <row r="262" spans="2:70" ht="26.15" hidden="1" customHeight="1">
      <c r="B262" s="110" t="s">
        <v>856</v>
      </c>
      <c r="C262" s="110" t="s">
        <v>861</v>
      </c>
      <c r="D262" s="110" t="s">
        <v>5208</v>
      </c>
      <c r="E262" s="103">
        <v>2016</v>
      </c>
      <c r="F262" s="108" t="s">
        <v>8359</v>
      </c>
      <c r="G262" s="111" t="s">
        <v>34</v>
      </c>
      <c r="H262" s="110" t="s">
        <v>10451</v>
      </c>
      <c r="I262" s="112">
        <f>IF(Dashboard!$B$16="Current USD",'Bottom-up tagging'!BR262,'Bottom-up tagging'!BR262/'Bottom-up tagging'!BQ262)</f>
        <v>634384.1067655097</v>
      </c>
      <c r="J262" s="105" t="s">
        <v>10474</v>
      </c>
      <c r="K262" s="112"/>
      <c r="L262" s="135">
        <v>1</v>
      </c>
      <c r="M262" s="135">
        <v>1</v>
      </c>
      <c r="N262" s="112"/>
      <c r="O262" s="112"/>
      <c r="P262" s="112" t="str">
        <f>VLOOKUP(B262, 'Companies covered restructured'!$B$7:$K$470, 9, FALSE)</f>
        <v>AI/analytics based advisory algorithms (incl. weather)</v>
      </c>
      <c r="Q262" s="112" t="str">
        <f>VLOOKUP(B262, 'Companies covered restructured'!$B$7:$K$470, 6, FALSE)</f>
        <v>#Crops(100)</v>
      </c>
      <c r="R262" s="112" t="str">
        <f t="shared" si="107"/>
        <v>#Investment Fund(100)</v>
      </c>
      <c r="S262" s="112" t="s">
        <v>11003</v>
      </c>
      <c r="T262" s="112" t="s">
        <v>10466</v>
      </c>
      <c r="U262" s="103" t="s">
        <v>10970</v>
      </c>
      <c r="V262" s="112" t="str">
        <f>VLOOKUP(P262, 'Bottom-up Tagging Assumptions'!$B$12:$F$39, 5, FALSE)</f>
        <v>#Science &amp; tech(100)</v>
      </c>
      <c r="W262" s="112" t="str">
        <f>VLOOKUP(B262, 'Companies covered restructured'!$B$7:$K$470, 7, FALSE)</f>
        <v>#Field/Animal Herd(100)</v>
      </c>
      <c r="X262" s="112" t="s">
        <v>10558</v>
      </c>
      <c r="Y262" s="212" t="str">
        <f>VLOOKUP(P262, 'Bottom-up Tagging Assumptions'!$B$12:$C$56, 2, FALSE)</f>
        <v>#Other Economic(P); #Productivity(S)</v>
      </c>
      <c r="Z262" s="112" t="str">
        <f>VLOOKUP(P262, 'Bottom-up Tagging Assumptions'!$B$12:$F$56, 3, FALSE)</f>
        <v>#Increasing output per unit input(P); #Increasing crop or animal yield(S)</v>
      </c>
      <c r="AA262" s="112" t="str">
        <f>VLOOKUP(P262, 'Bottom-up Tagging Assumptions'!$B$12:$F$56, 4, FALSE)</f>
        <v>#Level 1(100)</v>
      </c>
      <c r="AB262" s="110" t="s">
        <v>2430</v>
      </c>
      <c r="AC262" s="110"/>
      <c r="AD262" s="110" t="s">
        <v>588</v>
      </c>
      <c r="AE262" s="110" t="str">
        <f>VLOOKUP(AD262,  '1.2'!$B$7:$C$2033, 2, FALSE)</f>
        <v>FUND</v>
      </c>
      <c r="AF262" s="112">
        <v>65736870</v>
      </c>
      <c r="AG262" s="110" t="s">
        <v>190</v>
      </c>
      <c r="AH262" s="121">
        <f t="shared" si="108"/>
        <v>0</v>
      </c>
      <c r="AI262" s="121">
        <f t="shared" si="109"/>
        <v>1</v>
      </c>
      <c r="AJ262" s="121">
        <f t="shared" si="110"/>
        <v>1</v>
      </c>
      <c r="AK262" s="121">
        <f t="shared" si="111"/>
        <v>0</v>
      </c>
      <c r="AL262" s="121">
        <f t="shared" si="112"/>
        <v>0</v>
      </c>
      <c r="AM262" s="121">
        <f t="shared" si="113"/>
        <v>0</v>
      </c>
      <c r="AN262" s="121">
        <f t="shared" si="114"/>
        <v>0</v>
      </c>
      <c r="AO262" s="121">
        <f t="shared" si="115"/>
        <v>0</v>
      </c>
      <c r="AP262" s="22">
        <f t="shared" si="116"/>
        <v>0</v>
      </c>
      <c r="AQ262" s="22">
        <f t="shared" si="117"/>
        <v>0</v>
      </c>
      <c r="AR262" s="22">
        <f t="shared" si="118"/>
        <v>0</v>
      </c>
      <c r="AS262" s="121" t="str">
        <f t="shared" si="119"/>
        <v>Crops</v>
      </c>
      <c r="AT262" s="121" t="str">
        <f t="shared" si="140"/>
        <v xml:space="preserve"> </v>
      </c>
      <c r="AU262" s="121" t="str">
        <f t="shared" si="140"/>
        <v xml:space="preserve"> </v>
      </c>
      <c r="AV262" s="121" t="str">
        <f t="shared" si="140"/>
        <v xml:space="preserve"> </v>
      </c>
      <c r="AW262" s="130" t="str">
        <f t="shared" si="141"/>
        <v>100</v>
      </c>
      <c r="AX262" s="130" t="str">
        <f t="shared" si="141"/>
        <v xml:space="preserve"> </v>
      </c>
      <c r="AY262" s="130" t="str">
        <f t="shared" si="141"/>
        <v xml:space="preserve"> </v>
      </c>
      <c r="AZ262" s="130" t="str">
        <f t="shared" si="141"/>
        <v xml:space="preserve"> </v>
      </c>
      <c r="BA262" s="121">
        <f t="shared" si="120"/>
        <v>634384.1067655097</v>
      </c>
      <c r="BB262" s="121">
        <f t="shared" si="121"/>
        <v>0</v>
      </c>
      <c r="BC262" s="121">
        <f t="shared" si="122"/>
        <v>0</v>
      </c>
      <c r="BD262" s="121">
        <f t="shared" si="123"/>
        <v>0</v>
      </c>
      <c r="BE262" s="121">
        <f t="shared" si="124"/>
        <v>0</v>
      </c>
      <c r="BF262" s="121">
        <f t="shared" si="125"/>
        <v>0</v>
      </c>
      <c r="BG262" s="121">
        <f t="shared" si="126"/>
        <v>0</v>
      </c>
      <c r="BH262" s="121">
        <f t="shared" si="127"/>
        <v>0</v>
      </c>
      <c r="BI262" s="121">
        <f t="shared" si="128"/>
        <v>0</v>
      </c>
      <c r="BJ262" s="121">
        <f t="shared" si="129"/>
        <v>0</v>
      </c>
      <c r="BK262" s="121">
        <f t="shared" si="130"/>
        <v>0</v>
      </c>
      <c r="BL262" s="121">
        <f t="shared" si="131"/>
        <v>0</v>
      </c>
      <c r="BM262" s="121">
        <f t="shared" si="132"/>
        <v>0</v>
      </c>
      <c r="BN262" s="121">
        <f t="shared" si="133"/>
        <v>0</v>
      </c>
      <c r="BO262" s="121">
        <f t="shared" si="134"/>
        <v>0</v>
      </c>
      <c r="BP262" s="121">
        <f t="shared" si="135"/>
        <v>0</v>
      </c>
      <c r="BQ262" s="199">
        <f>INDEX('GDP deflators'!$C$6:$M$36,MATCH('Bottom-up tagging'!$D262,'GDP deflators'!$B$6:$B$36,),MATCH('Bottom-up tagging'!$E262,'GDP deflators'!$C$5:$L$5,))/100</f>
        <v>1.5763320507801348</v>
      </c>
      <c r="BR262" s="24">
        <v>1000000</v>
      </c>
    </row>
    <row r="263" spans="2:70" ht="26.15" hidden="1" customHeight="1">
      <c r="B263" s="110" t="s">
        <v>628</v>
      </c>
      <c r="C263" s="110" t="s">
        <v>632</v>
      </c>
      <c r="D263" s="110" t="s">
        <v>3994</v>
      </c>
      <c r="E263" s="103">
        <v>2015</v>
      </c>
      <c r="F263" s="108" t="s">
        <v>7984</v>
      </c>
      <c r="G263" s="111" t="s">
        <v>34</v>
      </c>
      <c r="H263" s="110" t="s">
        <v>10451</v>
      </c>
      <c r="I263" s="112">
        <f>IF(Dashboard!$B$16="Current USD",'Bottom-up tagging'!BR263,'Bottom-up tagging'!BR263/'Bottom-up tagging'!BQ263)</f>
        <v>759249.25974366011</v>
      </c>
      <c r="J263" s="105" t="s">
        <v>10474</v>
      </c>
      <c r="K263" s="112"/>
      <c r="L263" s="135">
        <v>1</v>
      </c>
      <c r="M263" s="135">
        <v>1</v>
      </c>
      <c r="N263" s="112"/>
      <c r="O263" s="112"/>
      <c r="P263" s="112" t="str">
        <f>VLOOKUP(B263, 'Companies covered restructured'!$B$7:$K$470, 9, FALSE)</f>
        <v>Agri marketplaces</v>
      </c>
      <c r="Q263" s="112" t="str">
        <f>VLOOKUP(B263, 'Companies covered restructured'!$B$7:$K$470, 6, FALSE)</f>
        <v>#Livestock(100)</v>
      </c>
      <c r="R263" s="112" t="str">
        <f t="shared" si="107"/>
        <v>#Corporate(100)</v>
      </c>
      <c r="S263" s="112" t="s">
        <v>11003</v>
      </c>
      <c r="T263" s="112" t="s">
        <v>10466</v>
      </c>
      <c r="U263" s="103" t="s">
        <v>10970</v>
      </c>
      <c r="V263" s="112" t="str">
        <f>VLOOKUP(P263, 'Bottom-up Tagging Assumptions'!$B$12:$F$39, 5, FALSE)</f>
        <v>#Process Innovation(100)</v>
      </c>
      <c r="W263" s="112" t="str">
        <f>VLOOKUP(B263, 'Companies covered restructured'!$B$7:$K$470, 7, FALSE)</f>
        <v>#Farm/Household(100)</v>
      </c>
      <c r="X263" s="112" t="s">
        <v>10558</v>
      </c>
      <c r="Y263" s="212" t="str">
        <f>VLOOKUP(P263, 'Bottom-up Tagging Assumptions'!$B$12:$C$56, 2, FALSE)</f>
        <v>#Other Economic(P); Social(S)</v>
      </c>
      <c r="Z263" s="112" t="str">
        <f>VLOOKUP(P263, 'Bottom-up Tagging Assumptions'!$B$12:$F$56, 3, FALSE)</f>
        <v>#Improve price realization(P)</v>
      </c>
      <c r="AA263" s="112" t="str">
        <f>VLOOKUP(P263, 'Bottom-up Tagging Assumptions'!$B$12:$F$56, 4, FALSE)</f>
        <v>#Level 4(100)</v>
      </c>
      <c r="AB263" s="110" t="s">
        <v>2617</v>
      </c>
      <c r="AC263" s="110" t="s">
        <v>2618</v>
      </c>
      <c r="AD263" s="110" t="s">
        <v>2619</v>
      </c>
      <c r="AE263" s="110" t="str">
        <f>VLOOKUP(AD263,  '1.2'!$B$7:$C$2033, 2, FALSE)</f>
        <v>CORPORATE_INVESTOR</v>
      </c>
      <c r="AF263" s="112">
        <v>1570818</v>
      </c>
      <c r="AG263" s="110" t="s">
        <v>995</v>
      </c>
      <c r="AH263" s="121">
        <f t="shared" si="108"/>
        <v>0</v>
      </c>
      <c r="AI263" s="121">
        <f t="shared" si="109"/>
        <v>0</v>
      </c>
      <c r="AJ263" s="121">
        <f t="shared" si="110"/>
        <v>1</v>
      </c>
      <c r="AK263" s="121">
        <f t="shared" si="111"/>
        <v>1</v>
      </c>
      <c r="AL263" s="121">
        <f t="shared" si="112"/>
        <v>0</v>
      </c>
      <c r="AM263" s="121">
        <f t="shared" si="113"/>
        <v>0</v>
      </c>
      <c r="AN263" s="121">
        <f t="shared" si="114"/>
        <v>1</v>
      </c>
      <c r="AO263" s="121">
        <f t="shared" si="115"/>
        <v>0</v>
      </c>
      <c r="AP263" s="22">
        <f t="shared" si="116"/>
        <v>0</v>
      </c>
      <c r="AQ263" s="22">
        <f t="shared" si="117"/>
        <v>759249.25974366011</v>
      </c>
      <c r="AR263" s="22">
        <f t="shared" si="118"/>
        <v>0</v>
      </c>
      <c r="AS263" s="121" t="str">
        <f t="shared" si="119"/>
        <v>Livestock</v>
      </c>
      <c r="AT263" s="121" t="str">
        <f t="shared" si="140"/>
        <v xml:space="preserve"> </v>
      </c>
      <c r="AU263" s="121" t="str">
        <f t="shared" si="140"/>
        <v xml:space="preserve"> </v>
      </c>
      <c r="AV263" s="121" t="str">
        <f t="shared" si="140"/>
        <v xml:space="preserve"> </v>
      </c>
      <c r="AW263" s="130" t="str">
        <f t="shared" si="141"/>
        <v>100</v>
      </c>
      <c r="AX263" s="130" t="str">
        <f t="shared" si="141"/>
        <v xml:space="preserve"> </v>
      </c>
      <c r="AY263" s="130" t="str">
        <f t="shared" si="141"/>
        <v xml:space="preserve"> </v>
      </c>
      <c r="AZ263" s="130" t="str">
        <f t="shared" si="141"/>
        <v xml:space="preserve"> </v>
      </c>
      <c r="BA263" s="121">
        <f t="shared" si="120"/>
        <v>759249.25974366011</v>
      </c>
      <c r="BB263" s="121">
        <f t="shared" si="121"/>
        <v>0</v>
      </c>
      <c r="BC263" s="121">
        <f t="shared" si="122"/>
        <v>0</v>
      </c>
      <c r="BD263" s="121">
        <f t="shared" si="123"/>
        <v>0</v>
      </c>
      <c r="BE263" s="121">
        <f t="shared" si="124"/>
        <v>0</v>
      </c>
      <c r="BF263" s="121">
        <f t="shared" si="125"/>
        <v>0</v>
      </c>
      <c r="BG263" s="121">
        <f t="shared" si="126"/>
        <v>0</v>
      </c>
      <c r="BH263" s="121">
        <f t="shared" si="127"/>
        <v>0</v>
      </c>
      <c r="BI263" s="121">
        <f t="shared" si="128"/>
        <v>759249.25974366011</v>
      </c>
      <c r="BJ263" s="121">
        <f t="shared" si="129"/>
        <v>759249.25974366011</v>
      </c>
      <c r="BK263" s="121">
        <f t="shared" si="130"/>
        <v>759249.25974366011</v>
      </c>
      <c r="BL263" s="121">
        <f t="shared" si="131"/>
        <v>759249.25974366011</v>
      </c>
      <c r="BM263" s="121">
        <f t="shared" si="132"/>
        <v>0</v>
      </c>
      <c r="BN263" s="121">
        <f t="shared" si="133"/>
        <v>0</v>
      </c>
      <c r="BO263" s="121">
        <f t="shared" si="134"/>
        <v>0</v>
      </c>
      <c r="BP263" s="121">
        <f t="shared" si="135"/>
        <v>0</v>
      </c>
      <c r="BQ263" s="199">
        <f>INDEX('GDP deflators'!$C$6:$M$36,MATCH('Bottom-up tagging'!$D263,'GDP deflators'!$B$6:$B$36,),MATCH('Bottom-up tagging'!$E263,'GDP deflators'!$C$5:$L$5,))/100</f>
        <v>1.3170905169372478</v>
      </c>
      <c r="BR263" s="24">
        <v>1000000</v>
      </c>
    </row>
    <row r="264" spans="2:70" ht="26.15" hidden="1" customHeight="1">
      <c r="B264" s="110" t="s">
        <v>641</v>
      </c>
      <c r="C264" s="110" t="s">
        <v>645</v>
      </c>
      <c r="D264" s="110" t="s">
        <v>3994</v>
      </c>
      <c r="E264" s="103">
        <v>2015</v>
      </c>
      <c r="F264" s="108" t="s">
        <v>8736</v>
      </c>
      <c r="G264" s="111" t="s">
        <v>109</v>
      </c>
      <c r="H264" s="110" t="s">
        <v>10451</v>
      </c>
      <c r="I264" s="112">
        <f>IF(Dashboard!$B$16="Current USD",'Bottom-up tagging'!BR264,'Bottom-up tagging'!BR264/'Bottom-up tagging'!BQ264)</f>
        <v>759249.25974366011</v>
      </c>
      <c r="J264" s="117" t="s">
        <v>10474</v>
      </c>
      <c r="K264" s="112"/>
      <c r="L264" s="135">
        <v>1</v>
      </c>
      <c r="M264" s="135">
        <v>1</v>
      </c>
      <c r="N264" s="112"/>
      <c r="O264" s="112"/>
      <c r="P264" s="112" t="str">
        <f>VLOOKUP(B264, 'Companies covered restructured'!$B$7:$K$470, 9, FALSE)</f>
        <v>Irrigation systems</v>
      </c>
      <c r="Q264" s="112" t="str">
        <f>VLOOKUP(B264, 'Companies covered restructured'!$B$7:$K$470, 6, FALSE)</f>
        <v>#Crops(100)</v>
      </c>
      <c r="R264" s="112" t="str">
        <f t="shared" si="107"/>
        <v>#Investment Fund(100)</v>
      </c>
      <c r="S264" s="112" t="s">
        <v>11003</v>
      </c>
      <c r="T264" s="112" t="s">
        <v>10466</v>
      </c>
      <c r="U264" s="103" t="s">
        <v>10970</v>
      </c>
      <c r="V264" s="212" t="s">
        <v>10977</v>
      </c>
      <c r="W264" s="112" t="str">
        <f>VLOOKUP(B264, 'Companies covered restructured'!$B$7:$K$470, 7, FALSE)</f>
        <v>#Farm/Household(100)</v>
      </c>
      <c r="X264" s="112" t="s">
        <v>10558</v>
      </c>
      <c r="Y264" s="212" t="str">
        <f>VLOOKUP(P264, 'Bottom-up Tagging Assumptions'!$B$12:$C$56, 2, FALSE)</f>
        <v>#Other Economic(P); Environmental(S)</v>
      </c>
      <c r="Z264" s="112" t="str">
        <f>VLOOKUP(P264, 'Bottom-up Tagging Assumptions'!$B$12:$F$56, 3, FALSE)</f>
        <v>#Waste reduction(P)</v>
      </c>
      <c r="AA264" s="112" t="str">
        <f>VLOOKUP(P264, 'Bottom-up Tagging Assumptions'!$B$12:$F$56, 4, FALSE)</f>
        <v>#Level 1(100)</v>
      </c>
      <c r="AB264" s="110" t="s">
        <v>643</v>
      </c>
      <c r="AC264" s="110"/>
      <c r="AD264" s="110" t="s">
        <v>644</v>
      </c>
      <c r="AE264" s="110" t="str">
        <f>VLOOKUP(AD264,  '1.2'!$B$7:$C$2033, 2, FALSE)</f>
        <v>FUND</v>
      </c>
      <c r="AF264" s="112">
        <v>4352191</v>
      </c>
      <c r="AG264" s="110" t="s">
        <v>1245</v>
      </c>
      <c r="AH264" s="121">
        <f t="shared" si="108"/>
        <v>1</v>
      </c>
      <c r="AI264" s="121">
        <f t="shared" si="109"/>
        <v>0</v>
      </c>
      <c r="AJ264" s="121">
        <f t="shared" si="110"/>
        <v>1</v>
      </c>
      <c r="AK264" s="121">
        <f t="shared" si="111"/>
        <v>0</v>
      </c>
      <c r="AL264" s="121">
        <f t="shared" si="112"/>
        <v>0</v>
      </c>
      <c r="AM264" s="121">
        <f t="shared" si="113"/>
        <v>0</v>
      </c>
      <c r="AN264" s="121">
        <f t="shared" si="114"/>
        <v>1</v>
      </c>
      <c r="AO264" s="121">
        <f t="shared" si="115"/>
        <v>0</v>
      </c>
      <c r="AP264" s="22">
        <f t="shared" si="116"/>
        <v>0</v>
      </c>
      <c r="AQ264" s="22">
        <f t="shared" si="117"/>
        <v>759249.25974366011</v>
      </c>
      <c r="AR264" s="22">
        <f t="shared" si="118"/>
        <v>0</v>
      </c>
      <c r="AS264" s="121" t="str">
        <f t="shared" si="119"/>
        <v>Crops</v>
      </c>
      <c r="AT264" s="121" t="str">
        <f t="shared" si="140"/>
        <v xml:space="preserve"> </v>
      </c>
      <c r="AU264" s="121" t="str">
        <f t="shared" si="140"/>
        <v xml:space="preserve"> </v>
      </c>
      <c r="AV264" s="121" t="str">
        <f t="shared" si="140"/>
        <v xml:space="preserve"> </v>
      </c>
      <c r="AW264" s="130" t="str">
        <f t="shared" si="141"/>
        <v>100</v>
      </c>
      <c r="AX264" s="130" t="str">
        <f t="shared" si="141"/>
        <v xml:space="preserve"> </v>
      </c>
      <c r="AY264" s="130" t="str">
        <f t="shared" si="141"/>
        <v xml:space="preserve"> </v>
      </c>
      <c r="AZ264" s="130" t="str">
        <f t="shared" si="141"/>
        <v xml:space="preserve"> </v>
      </c>
      <c r="BA264" s="121">
        <f t="shared" si="120"/>
        <v>759249.25974366011</v>
      </c>
      <c r="BB264" s="121">
        <f t="shared" si="121"/>
        <v>0</v>
      </c>
      <c r="BC264" s="121">
        <f t="shared" si="122"/>
        <v>0</v>
      </c>
      <c r="BD264" s="121">
        <f t="shared" si="123"/>
        <v>0</v>
      </c>
      <c r="BE264" s="121">
        <f t="shared" si="124"/>
        <v>0</v>
      </c>
      <c r="BF264" s="121">
        <f t="shared" si="125"/>
        <v>0</v>
      </c>
      <c r="BG264" s="121">
        <f t="shared" si="126"/>
        <v>0</v>
      </c>
      <c r="BH264" s="121">
        <f t="shared" si="127"/>
        <v>0</v>
      </c>
      <c r="BI264" s="121">
        <f t="shared" si="128"/>
        <v>759249.25974366011</v>
      </c>
      <c r="BJ264" s="121">
        <f t="shared" si="129"/>
        <v>759249.25974366011</v>
      </c>
      <c r="BK264" s="121">
        <f t="shared" si="130"/>
        <v>759249.25974366011</v>
      </c>
      <c r="BL264" s="121">
        <f t="shared" si="131"/>
        <v>759249.25974366011</v>
      </c>
      <c r="BM264" s="121">
        <f t="shared" si="132"/>
        <v>0</v>
      </c>
      <c r="BN264" s="121">
        <f t="shared" si="133"/>
        <v>0</v>
      </c>
      <c r="BO264" s="121">
        <f t="shared" si="134"/>
        <v>0</v>
      </c>
      <c r="BP264" s="121">
        <f t="shared" si="135"/>
        <v>0</v>
      </c>
      <c r="BQ264" s="199">
        <f>INDEX('GDP deflators'!$C$6:$M$36,MATCH('Bottom-up tagging'!$D264,'GDP deflators'!$B$6:$B$36,),MATCH('Bottom-up tagging'!$E264,'GDP deflators'!$C$5:$L$5,))/100</f>
        <v>1.3170905169372478</v>
      </c>
      <c r="BR264" s="24">
        <v>1000000</v>
      </c>
    </row>
    <row r="265" spans="2:70" ht="26.15" hidden="1" customHeight="1">
      <c r="B265" s="110" t="s">
        <v>1411</v>
      </c>
      <c r="C265" s="110" t="s">
        <v>1415</v>
      </c>
      <c r="D265" s="110" t="s">
        <v>2057</v>
      </c>
      <c r="E265" s="103">
        <v>2014</v>
      </c>
      <c r="F265" s="108" t="s">
        <v>8230</v>
      </c>
      <c r="G265" s="111" t="s">
        <v>109</v>
      </c>
      <c r="H265" s="110" t="s">
        <v>10451</v>
      </c>
      <c r="I265" s="112">
        <f>IF(Dashboard!$B$16="Current USD",'Bottom-up tagging'!BR265,'Bottom-up tagging'!BR265/'Bottom-up tagging'!BQ265)</f>
        <v>875996.71887826559</v>
      </c>
      <c r="J265" s="117" t="s">
        <v>10474</v>
      </c>
      <c r="K265" s="112"/>
      <c r="L265" s="135">
        <v>1</v>
      </c>
      <c r="M265" s="135">
        <v>1</v>
      </c>
      <c r="N265" s="112"/>
      <c r="O265" s="112"/>
      <c r="P265" s="112" t="str">
        <f>VLOOKUP(B265, 'Companies covered restructured'!$B$7:$K$470, 9, FALSE)</f>
        <v>Agri marketplaces</v>
      </c>
      <c r="Q265" s="112" t="str">
        <f>VLOOKUP(B265, 'Companies covered restructured'!$B$7:$K$470, 6, FALSE)</f>
        <v>#Cross-cutting(100)</v>
      </c>
      <c r="R265" s="112" t="str">
        <f t="shared" si="107"/>
        <v>N/A</v>
      </c>
      <c r="S265" s="112" t="s">
        <v>11003</v>
      </c>
      <c r="T265" s="112" t="s">
        <v>10466</v>
      </c>
      <c r="U265" s="213" t="s">
        <v>10970</v>
      </c>
      <c r="V265" s="112" t="str">
        <f>VLOOKUP(P265, 'Bottom-up Tagging Assumptions'!$B$12:$F$39, 5, FALSE)</f>
        <v>#Process Innovation(100)</v>
      </c>
      <c r="W265" s="112" t="str">
        <f>VLOOKUP(B265, 'Companies covered restructured'!$B$7:$K$470, 7, FALSE)</f>
        <v>#Farm/Household(100)</v>
      </c>
      <c r="X265" s="112" t="s">
        <v>10558</v>
      </c>
      <c r="Y265" s="212" t="str">
        <f>VLOOKUP(P265, 'Bottom-up Tagging Assumptions'!$B$12:$C$56, 2, FALSE)</f>
        <v>#Other Economic(P); Social(S)</v>
      </c>
      <c r="Z265" s="112" t="str">
        <f>VLOOKUP(P265, 'Bottom-up Tagging Assumptions'!$B$12:$F$56, 3, FALSE)</f>
        <v>#Improve price realization(P)</v>
      </c>
      <c r="AA265" s="112" t="str">
        <f>VLOOKUP(P265, 'Bottom-up Tagging Assumptions'!$B$12:$F$56, 4, FALSE)</f>
        <v>#Level 4(100)</v>
      </c>
      <c r="AB265" s="110"/>
      <c r="AC265" s="110"/>
      <c r="AD265" s="110"/>
      <c r="AE265" s="110" t="s">
        <v>10558</v>
      </c>
      <c r="AF265" s="112">
        <v>239863</v>
      </c>
      <c r="AG265" s="110" t="s">
        <v>2162</v>
      </c>
      <c r="AH265" s="121">
        <f t="shared" si="108"/>
        <v>0</v>
      </c>
      <c r="AI265" s="121">
        <f t="shared" si="109"/>
        <v>0</v>
      </c>
      <c r="AJ265" s="121">
        <f t="shared" si="110"/>
        <v>1</v>
      </c>
      <c r="AK265" s="121">
        <f t="shared" si="111"/>
        <v>1</v>
      </c>
      <c r="AL265" s="121">
        <f t="shared" si="112"/>
        <v>0</v>
      </c>
      <c r="AM265" s="121">
        <f t="shared" si="113"/>
        <v>0</v>
      </c>
      <c r="AN265" s="121">
        <f t="shared" si="114"/>
        <v>1</v>
      </c>
      <c r="AO265" s="121">
        <f t="shared" si="115"/>
        <v>0</v>
      </c>
      <c r="AP265" s="22">
        <f t="shared" si="116"/>
        <v>0</v>
      </c>
      <c r="AQ265" s="22">
        <f t="shared" si="117"/>
        <v>875996.71887826559</v>
      </c>
      <c r="AR265" s="22">
        <f t="shared" si="118"/>
        <v>0</v>
      </c>
      <c r="AS265" s="121" t="str">
        <f t="shared" si="119"/>
        <v>Cross-cutting</v>
      </c>
      <c r="AT265" s="121" t="str">
        <f t="shared" si="140"/>
        <v xml:space="preserve"> </v>
      </c>
      <c r="AU265" s="121" t="str">
        <f t="shared" si="140"/>
        <v xml:space="preserve"> </v>
      </c>
      <c r="AV265" s="121" t="str">
        <f t="shared" si="140"/>
        <v xml:space="preserve"> </v>
      </c>
      <c r="AW265" s="130" t="str">
        <f t="shared" si="141"/>
        <v>100</v>
      </c>
      <c r="AX265" s="130" t="str">
        <f t="shared" si="141"/>
        <v xml:space="preserve"> </v>
      </c>
      <c r="AY265" s="130" t="str">
        <f t="shared" si="141"/>
        <v xml:space="preserve"> </v>
      </c>
      <c r="AZ265" s="130" t="str">
        <f t="shared" si="141"/>
        <v xml:space="preserve"> </v>
      </c>
      <c r="BA265" s="121">
        <f t="shared" si="120"/>
        <v>875996.71887826559</v>
      </c>
      <c r="BB265" s="121">
        <f t="shared" si="121"/>
        <v>0</v>
      </c>
      <c r="BC265" s="121">
        <f t="shared" si="122"/>
        <v>0</v>
      </c>
      <c r="BD265" s="121">
        <f t="shared" si="123"/>
        <v>0</v>
      </c>
      <c r="BE265" s="121">
        <f t="shared" si="124"/>
        <v>0</v>
      </c>
      <c r="BF265" s="121">
        <f t="shared" si="125"/>
        <v>0</v>
      </c>
      <c r="BG265" s="121">
        <f t="shared" si="126"/>
        <v>0</v>
      </c>
      <c r="BH265" s="121">
        <f t="shared" si="127"/>
        <v>0</v>
      </c>
      <c r="BI265" s="121">
        <f t="shared" si="128"/>
        <v>875996.71887826559</v>
      </c>
      <c r="BJ265" s="121">
        <f t="shared" si="129"/>
        <v>875996.71887826559</v>
      </c>
      <c r="BK265" s="121">
        <f t="shared" si="130"/>
        <v>875996.71887826559</v>
      </c>
      <c r="BL265" s="121">
        <f t="shared" si="131"/>
        <v>875996.71887826559</v>
      </c>
      <c r="BM265" s="121">
        <f t="shared" si="132"/>
        <v>0</v>
      </c>
      <c r="BN265" s="121">
        <f t="shared" si="133"/>
        <v>0</v>
      </c>
      <c r="BO265" s="121">
        <f t="shared" si="134"/>
        <v>0</v>
      </c>
      <c r="BP265" s="121">
        <f t="shared" si="135"/>
        <v>0</v>
      </c>
      <c r="BQ265" s="199">
        <f>INDEX('GDP deflators'!$C$6:$M$36,MATCH('Bottom-up tagging'!$D265,'GDP deflators'!$B$6:$B$36,),MATCH('Bottom-up tagging'!$E265,'GDP deflators'!$C$5:$L$5,))/100</f>
        <v>1.1415567871995269</v>
      </c>
      <c r="BR265" s="24">
        <v>1000000</v>
      </c>
    </row>
    <row r="266" spans="2:70" ht="26.15" customHeight="1">
      <c r="B266" s="110" t="s">
        <v>2993</v>
      </c>
      <c r="C266" s="110" t="s">
        <v>2995</v>
      </c>
      <c r="D266" s="110" t="s">
        <v>5391</v>
      </c>
      <c r="E266" s="103">
        <v>2010</v>
      </c>
      <c r="F266" s="108" t="s">
        <v>10009</v>
      </c>
      <c r="G266" s="111" t="s">
        <v>184</v>
      </c>
      <c r="H266" s="110" t="s">
        <v>10451</v>
      </c>
      <c r="I266" s="112">
        <f>IF(Dashboard!$B$16="Current USD",'Bottom-up tagging'!BR266,'Bottom-up tagging'!BR266/'Bottom-up tagging'!BQ266)</f>
        <v>1000000</v>
      </c>
      <c r="J266" s="105" t="s">
        <v>10474</v>
      </c>
      <c r="K266" s="112"/>
      <c r="L266" s="135">
        <v>1</v>
      </c>
      <c r="M266" s="135">
        <v>1</v>
      </c>
      <c r="N266" s="112"/>
      <c r="O266" s="112"/>
      <c r="P266" s="112" t="str">
        <f>VLOOKUP(B266, 'Companies covered restructured'!$B$7:$K$470, 9, FALSE)</f>
        <v>Farmer engagement platforms (including marketplaces and information platforms)</v>
      </c>
      <c r="Q266" s="112" t="str">
        <f>VLOOKUP(B266, 'Companies covered restructured'!$B$7:$K$470, 6, FALSE)</f>
        <v>#Cross-cutting(100)</v>
      </c>
      <c r="R266" s="112" t="str">
        <f t="shared" si="107"/>
        <v>N/A</v>
      </c>
      <c r="S266" s="112" t="s">
        <v>11003</v>
      </c>
      <c r="T266" s="112" t="s">
        <v>10465</v>
      </c>
      <c r="U266" s="116" t="s">
        <v>10970</v>
      </c>
      <c r="V266" s="112" t="str">
        <f>VLOOKUP(P266, 'Bottom-up Tagging Assumptions'!$B$12:$F$39, 5, FALSE)</f>
        <v>#Process Innovation(100)</v>
      </c>
      <c r="W266" s="112" t="str">
        <f>VLOOKUP(B266, 'Companies covered restructured'!$B$7:$K$470, 7, FALSE)</f>
        <v>#Field/Animal Herd(100)</v>
      </c>
      <c r="X266" s="112" t="str">
        <f>VLOOKUP(B266, 'Companies covered restructured'!$B$7:$K$470, 8, FALSE)</f>
        <v>#Both(100)</v>
      </c>
      <c r="Y266" s="212" t="str">
        <f>VLOOKUP(P266, 'Bottom-up Tagging Assumptions'!$B$12:$C$56, 2, FALSE)</f>
        <v>#Other Economic(P); #Productivity(S)</v>
      </c>
      <c r="Z266" s="112" t="str">
        <f>VLOOKUP(P266, 'Bottom-up Tagging Assumptions'!$B$12:$F$56, 3, FALSE)</f>
        <v>#Improve price realization(P); #Increasing crop or animal yield(S)</v>
      </c>
      <c r="AA266" s="112" t="str">
        <f>VLOOKUP(P266, 'Bottom-up Tagging Assumptions'!$B$12:$F$56, 4, FALSE)</f>
        <v>#Level 4(100)</v>
      </c>
      <c r="AB266" s="110" t="s">
        <v>3072</v>
      </c>
      <c r="AC266" s="110"/>
      <c r="AD266" s="110"/>
      <c r="AE266" s="110" t="s">
        <v>10558</v>
      </c>
      <c r="AF266" s="112">
        <v>94500000</v>
      </c>
      <c r="AG266" s="110" t="s">
        <v>633</v>
      </c>
      <c r="AH266" s="121">
        <f t="shared" si="108"/>
        <v>0</v>
      </c>
      <c r="AI266" s="121">
        <f t="shared" si="109"/>
        <v>1</v>
      </c>
      <c r="AJ266" s="121">
        <f t="shared" si="110"/>
        <v>1</v>
      </c>
      <c r="AK266" s="121">
        <f t="shared" si="111"/>
        <v>0</v>
      </c>
      <c r="AL266" s="121">
        <f t="shared" si="112"/>
        <v>0</v>
      </c>
      <c r="AM266" s="121">
        <f t="shared" si="113"/>
        <v>0</v>
      </c>
      <c r="AN266" s="121">
        <f t="shared" si="114"/>
        <v>0</v>
      </c>
      <c r="AO266" s="121">
        <f t="shared" si="115"/>
        <v>0</v>
      </c>
      <c r="AP266" s="22">
        <f t="shared" si="116"/>
        <v>0</v>
      </c>
      <c r="AQ266" s="22">
        <f t="shared" si="117"/>
        <v>0</v>
      </c>
      <c r="AR266" s="22">
        <f t="shared" si="118"/>
        <v>0</v>
      </c>
      <c r="AS266" s="121" t="str">
        <f t="shared" si="119"/>
        <v>Cross-cutting</v>
      </c>
      <c r="AT266" s="121" t="str">
        <f t="shared" si="140"/>
        <v xml:space="preserve"> </v>
      </c>
      <c r="AU266" s="121" t="str">
        <f t="shared" si="140"/>
        <v xml:space="preserve"> </v>
      </c>
      <c r="AV266" s="121" t="str">
        <f t="shared" si="140"/>
        <v xml:space="preserve"> </v>
      </c>
      <c r="AW266" s="130" t="str">
        <f t="shared" si="141"/>
        <v>100</v>
      </c>
      <c r="AX266" s="130" t="str">
        <f t="shared" si="141"/>
        <v xml:space="preserve"> </v>
      </c>
      <c r="AY266" s="130" t="str">
        <f t="shared" si="141"/>
        <v xml:space="preserve"> </v>
      </c>
      <c r="AZ266" s="130" t="str">
        <f t="shared" si="141"/>
        <v xml:space="preserve"> </v>
      </c>
      <c r="BA266" s="121">
        <f t="shared" si="120"/>
        <v>1000000</v>
      </c>
      <c r="BB266" s="121">
        <f t="shared" si="121"/>
        <v>0</v>
      </c>
      <c r="BC266" s="121">
        <f t="shared" si="122"/>
        <v>0</v>
      </c>
      <c r="BD266" s="121">
        <f t="shared" si="123"/>
        <v>0</v>
      </c>
      <c r="BE266" s="121">
        <f t="shared" si="124"/>
        <v>0</v>
      </c>
      <c r="BF266" s="121">
        <f t="shared" si="125"/>
        <v>0</v>
      </c>
      <c r="BG266" s="121">
        <f t="shared" si="126"/>
        <v>0</v>
      </c>
      <c r="BH266" s="121">
        <f t="shared" si="127"/>
        <v>0</v>
      </c>
      <c r="BI266" s="121">
        <f t="shared" si="128"/>
        <v>0</v>
      </c>
      <c r="BJ266" s="121">
        <f t="shared" si="129"/>
        <v>0</v>
      </c>
      <c r="BK266" s="121">
        <f t="shared" si="130"/>
        <v>0</v>
      </c>
      <c r="BL266" s="121">
        <f t="shared" si="131"/>
        <v>0</v>
      </c>
      <c r="BM266" s="121">
        <f t="shared" si="132"/>
        <v>0</v>
      </c>
      <c r="BN266" s="121">
        <f t="shared" si="133"/>
        <v>0</v>
      </c>
      <c r="BO266" s="121">
        <f t="shared" si="134"/>
        <v>0</v>
      </c>
      <c r="BP266" s="121">
        <f t="shared" si="135"/>
        <v>0</v>
      </c>
      <c r="BQ266" s="199">
        <f>INDEX('GDP deflators'!$C$6:$M$36,MATCH('Bottom-up tagging'!$D266,'GDP deflators'!$B$6:$B$36,),MATCH('Bottom-up tagging'!$E266,'GDP deflators'!$C$5:$L$5,))/100</f>
        <v>1</v>
      </c>
      <c r="BR266" s="24">
        <v>1000000</v>
      </c>
    </row>
    <row r="267" spans="2:70" ht="26.15" hidden="1" customHeight="1">
      <c r="B267" s="110" t="s">
        <v>1868</v>
      </c>
      <c r="C267" s="110" t="s">
        <v>1870</v>
      </c>
      <c r="D267" s="110" t="s">
        <v>3994</v>
      </c>
      <c r="E267" s="103">
        <v>2011</v>
      </c>
      <c r="F267" s="108" t="s">
        <v>8637</v>
      </c>
      <c r="G267" s="111" t="s">
        <v>109</v>
      </c>
      <c r="H267" s="110" t="s">
        <v>10451</v>
      </c>
      <c r="I267" s="112">
        <f>IF(Dashboard!$B$16="Current USD",'Bottom-up tagging'!BR267,'Bottom-up tagging'!BR267/'Bottom-up tagging'!BQ267)</f>
        <v>918019.08782553324</v>
      </c>
      <c r="J267" s="118" t="s">
        <v>10474</v>
      </c>
      <c r="K267" s="112"/>
      <c r="L267" s="135">
        <v>1</v>
      </c>
      <c r="M267" s="135">
        <v>1</v>
      </c>
      <c r="N267" s="112"/>
      <c r="O267" s="112"/>
      <c r="P267" s="112" t="str">
        <f>VLOOKUP(B267, 'Companies covered restructured'!$B$7:$K$470, 9, FALSE)</f>
        <v>AI/analytics based advisory algorithms (incl. weather)</v>
      </c>
      <c r="Q267" s="112" t="str">
        <f>VLOOKUP(B267, 'Companies covered restructured'!$B$7:$K$470, 6, FALSE)</f>
        <v>#Crops(100)</v>
      </c>
      <c r="R267" s="112" t="str">
        <f t="shared" si="107"/>
        <v>#Investment Fund(100)</v>
      </c>
      <c r="S267" s="112" t="s">
        <v>11003</v>
      </c>
      <c r="T267" s="112" t="s">
        <v>10466</v>
      </c>
      <c r="U267" s="103" t="s">
        <v>10970</v>
      </c>
      <c r="V267" s="112" t="str">
        <f>VLOOKUP(P267, 'Bottom-up Tagging Assumptions'!$B$12:$F$39, 5, FALSE)</f>
        <v>#Science &amp; tech(100)</v>
      </c>
      <c r="W267" s="112" t="str">
        <f>VLOOKUP(B267, 'Companies covered restructured'!$B$7:$K$470, 7, FALSE)</f>
        <v>#Field/Animal Herd(100)</v>
      </c>
      <c r="X267" s="112" t="s">
        <v>10558</v>
      </c>
      <c r="Y267" s="212" t="str">
        <f>VLOOKUP(P267, 'Bottom-up Tagging Assumptions'!$B$12:$C$56, 2, FALSE)</f>
        <v>#Other Economic(P); #Productivity(S)</v>
      </c>
      <c r="Z267" s="112" t="str">
        <f>VLOOKUP(P267, 'Bottom-up Tagging Assumptions'!$B$12:$F$56, 3, FALSE)</f>
        <v>#Increasing output per unit input(P); #Increasing crop or animal yield(S)</v>
      </c>
      <c r="AA267" s="112" t="str">
        <f>VLOOKUP(P267, 'Bottom-up Tagging Assumptions'!$B$12:$F$56, 4, FALSE)</f>
        <v>#Level 1(100)</v>
      </c>
      <c r="AB267" s="110" t="s">
        <v>643</v>
      </c>
      <c r="AC267" s="110"/>
      <c r="AD267" s="110" t="s">
        <v>644</v>
      </c>
      <c r="AE267" s="110" t="str">
        <f>VLOOKUP(AD267,  '1.2'!$B$7:$C$2033, 2, FALSE)</f>
        <v>FUND</v>
      </c>
      <c r="AF267" s="112"/>
      <c r="AG267" s="110" t="s">
        <v>294</v>
      </c>
      <c r="AH267" s="121">
        <f t="shared" si="108"/>
        <v>0</v>
      </c>
      <c r="AI267" s="121">
        <f t="shared" si="109"/>
        <v>1</v>
      </c>
      <c r="AJ267" s="121">
        <f t="shared" si="110"/>
        <v>1</v>
      </c>
      <c r="AK267" s="121">
        <f t="shared" si="111"/>
        <v>0</v>
      </c>
      <c r="AL267" s="121">
        <f t="shared" si="112"/>
        <v>0</v>
      </c>
      <c r="AM267" s="121">
        <f t="shared" si="113"/>
        <v>0</v>
      </c>
      <c r="AN267" s="121">
        <f t="shared" si="114"/>
        <v>0</v>
      </c>
      <c r="AO267" s="121">
        <f t="shared" si="115"/>
        <v>0</v>
      </c>
      <c r="AP267" s="22">
        <f t="shared" si="116"/>
        <v>0</v>
      </c>
      <c r="AQ267" s="22">
        <f t="shared" si="117"/>
        <v>0</v>
      </c>
      <c r="AR267" s="22">
        <f t="shared" si="118"/>
        <v>0</v>
      </c>
      <c r="AS267" s="121" t="str">
        <f t="shared" si="119"/>
        <v>Crops</v>
      </c>
      <c r="AT267" s="121" t="str">
        <f t="shared" si="140"/>
        <v xml:space="preserve"> </v>
      </c>
      <c r="AU267" s="121" t="str">
        <f t="shared" si="140"/>
        <v xml:space="preserve"> </v>
      </c>
      <c r="AV267" s="121" t="str">
        <f t="shared" si="140"/>
        <v xml:space="preserve"> </v>
      </c>
      <c r="AW267" s="130" t="str">
        <f t="shared" si="141"/>
        <v>100</v>
      </c>
      <c r="AX267" s="130" t="str">
        <f t="shared" si="141"/>
        <v xml:space="preserve"> </v>
      </c>
      <c r="AY267" s="130" t="str">
        <f t="shared" si="141"/>
        <v xml:space="preserve"> </v>
      </c>
      <c r="AZ267" s="130" t="str">
        <f t="shared" si="141"/>
        <v xml:space="preserve"> </v>
      </c>
      <c r="BA267" s="121">
        <f t="shared" si="120"/>
        <v>918019.08782553335</v>
      </c>
      <c r="BB267" s="121">
        <f t="shared" si="121"/>
        <v>0</v>
      </c>
      <c r="BC267" s="121">
        <f t="shared" si="122"/>
        <v>0</v>
      </c>
      <c r="BD267" s="121">
        <f t="shared" si="123"/>
        <v>0</v>
      </c>
      <c r="BE267" s="121">
        <f t="shared" si="124"/>
        <v>0</v>
      </c>
      <c r="BF267" s="121">
        <f t="shared" si="125"/>
        <v>0</v>
      </c>
      <c r="BG267" s="121">
        <f t="shared" si="126"/>
        <v>0</v>
      </c>
      <c r="BH267" s="121">
        <f t="shared" si="127"/>
        <v>0</v>
      </c>
      <c r="BI267" s="121">
        <f t="shared" si="128"/>
        <v>0</v>
      </c>
      <c r="BJ267" s="121">
        <f t="shared" si="129"/>
        <v>0</v>
      </c>
      <c r="BK267" s="121">
        <f t="shared" si="130"/>
        <v>0</v>
      </c>
      <c r="BL267" s="121">
        <f t="shared" si="131"/>
        <v>0</v>
      </c>
      <c r="BM267" s="121">
        <f t="shared" si="132"/>
        <v>0</v>
      </c>
      <c r="BN267" s="121">
        <f t="shared" si="133"/>
        <v>0</v>
      </c>
      <c r="BO267" s="121">
        <f t="shared" si="134"/>
        <v>0</v>
      </c>
      <c r="BP267" s="121">
        <f t="shared" si="135"/>
        <v>0</v>
      </c>
      <c r="BQ267" s="199">
        <f>INDEX('GDP deflators'!$C$6:$M$36,MATCH('Bottom-up tagging'!$D267,'GDP deflators'!$B$6:$B$36,),MATCH('Bottom-up tagging'!$E267,'GDP deflators'!$C$5:$L$5,))/100</f>
        <v>1.0873357790025646</v>
      </c>
      <c r="BR267" s="24">
        <v>998195</v>
      </c>
    </row>
    <row r="268" spans="2:70" ht="26.15" hidden="1" customHeight="1">
      <c r="B268" s="110" t="s">
        <v>2786</v>
      </c>
      <c r="C268" s="110" t="s">
        <v>2788</v>
      </c>
      <c r="D268" s="110" t="s">
        <v>3994</v>
      </c>
      <c r="E268" s="103">
        <v>2012</v>
      </c>
      <c r="F268" s="108" t="s">
        <v>10398</v>
      </c>
      <c r="G268" s="111" t="s">
        <v>34</v>
      </c>
      <c r="H268" s="110" t="s">
        <v>10451</v>
      </c>
      <c r="I268" s="112">
        <f>IF(Dashboard!$B$16="Current USD",'Bottom-up tagging'!BR268,'Bottom-up tagging'!BR268/'Bottom-up tagging'!BQ268)</f>
        <v>814525.80693816161</v>
      </c>
      <c r="J268" s="105" t="s">
        <v>10474</v>
      </c>
      <c r="K268" s="112"/>
      <c r="L268" s="135">
        <v>1</v>
      </c>
      <c r="M268" s="135">
        <v>1</v>
      </c>
      <c r="N268" s="112"/>
      <c r="O268" s="112"/>
      <c r="P268" s="112" t="str">
        <f>VLOOKUP(B268, 'Companies covered restructured'!$B$7:$K$470, 9, FALSE)</f>
        <v>Supply chain technologies</v>
      </c>
      <c r="Q268" s="112" t="str">
        <f>VLOOKUP(B268, 'Companies covered restructured'!$B$7:$K$470, 6, FALSE)</f>
        <v>#Crops(100)</v>
      </c>
      <c r="R268" s="112" t="str">
        <f t="shared" ref="R268:R331" si="142">IF(AE268="FUND", "#Investment Fund(100)", IF(AE268="CORPORATE_INVESTOR", "#Corporate(100)", IF(AE268="ANGEL", "#Angel Investor(100)", "N/A")))</f>
        <v>#Investment Fund(100)</v>
      </c>
      <c r="S268" s="112" t="s">
        <v>11003</v>
      </c>
      <c r="T268" s="112" t="s">
        <v>10466</v>
      </c>
      <c r="U268" s="103" t="s">
        <v>10970</v>
      </c>
      <c r="V268" s="112" t="str">
        <f>VLOOKUP(P268, 'Bottom-up Tagging Assumptions'!$B$12:$F$39, 5, FALSE)</f>
        <v>#Process Innovation(100)</v>
      </c>
      <c r="W268" s="112" t="str">
        <f>VLOOKUP(B268, 'Companies covered restructured'!$B$7:$K$470, 7, FALSE)</f>
        <v>N/A</v>
      </c>
      <c r="X268" s="112" t="str">
        <f>VLOOKUP(B268, 'Companies covered restructured'!$B$7:$K$470, 8, FALSE)</f>
        <v>N/A</v>
      </c>
      <c r="Y268" s="212" t="str">
        <f>VLOOKUP(P268, 'Bottom-up Tagging Assumptions'!$B$12:$C$56, 2, FALSE)</f>
        <v>#Other Economic(P); Social(S)</v>
      </c>
      <c r="Z268" s="112" t="str">
        <f>VLOOKUP(P268, 'Bottom-up Tagging Assumptions'!$B$12:$F$56, 3, FALSE)</f>
        <v>#Improve price realization(P)</v>
      </c>
      <c r="AA268" s="112" t="str">
        <f>VLOOKUP(P268, 'Bottom-up Tagging Assumptions'!$B$12:$F$56, 4, FALSE)</f>
        <v>#Level 3(100)</v>
      </c>
      <c r="AB268" s="110" t="s">
        <v>643</v>
      </c>
      <c r="AC268" s="110"/>
      <c r="AD268" s="110" t="s">
        <v>644</v>
      </c>
      <c r="AE268" s="110" t="str">
        <f>VLOOKUP(AD268,  '1.2'!$B$7:$C$2033, 2, FALSE)</f>
        <v>FUND</v>
      </c>
      <c r="AF268" s="112">
        <v>10693115</v>
      </c>
      <c r="AG268" s="110" t="s">
        <v>1952</v>
      </c>
      <c r="AH268" s="121">
        <f t="shared" ref="AH268:AH331" si="143">IF(ISNUMBER(SEARCH("Environmental",$Y268))=TRUE,1,0)</f>
        <v>0</v>
      </c>
      <c r="AI268" s="121">
        <f t="shared" ref="AI268:AI331" si="144">IF(ISNUMBER(SEARCH("Productivity",$Y268))=TRUE,1,0)</f>
        <v>0</v>
      </c>
      <c r="AJ268" s="121">
        <f t="shared" ref="AJ268:AJ331" si="145">IF(ISNUMBER(SEARCH("Other Economic",$Y268))=TRUE,1,0)</f>
        <v>1</v>
      </c>
      <c r="AK268" s="121">
        <f t="shared" ref="AK268:AK331" si="146">IF(ISNUMBER(SEARCH("Social",$Y268))=TRUE,1,0)</f>
        <v>1</v>
      </c>
      <c r="AL268" s="121">
        <f t="shared" ref="AL268:AL331" si="147">IF(ISNUMBER(SEARCH("Human Condition",$Y268))=TRUE,1,0)</f>
        <v>0</v>
      </c>
      <c r="AM268" s="121">
        <f t="shared" ref="AM268:AM331" si="148">IF((AI268+AH268+AK268)=3,1,IF((AI268+AH268+AL268)=3,1,0))</f>
        <v>0</v>
      </c>
      <c r="AN268" s="121">
        <f t="shared" ref="AN268:AN331" si="149">IF(AND(SUM(AI268:AJ268)&gt;0,SUM(AK268:AL268,AH268)&gt;0),1,0)</f>
        <v>1</v>
      </c>
      <c r="AO268" s="121">
        <f t="shared" ref="AO268:AO331" si="150">IF(AI268+AH268=2, 1, 0)</f>
        <v>0</v>
      </c>
      <c r="AP268" s="22">
        <f t="shared" ref="AP268:AP331" si="151">IF(AM268=1, I268, 0)</f>
        <v>0</v>
      </c>
      <c r="AQ268" s="22">
        <f t="shared" ref="AQ268:AQ331" si="152">IF(AN268=1, I268, 0)</f>
        <v>814525.80693816161</v>
      </c>
      <c r="AR268" s="22">
        <f t="shared" ref="AR268:AR331" si="153">IF(AO268=1, I268, 0)</f>
        <v>0</v>
      </c>
      <c r="AS268" s="121" t="str">
        <f t="shared" ref="AS268:AS331" si="154">IFERROR(MID($Q268,2,(FIND("~",SUBSTITUTE($Q268,")","~",AS$10))-6)),$Q268)</f>
        <v>Crops</v>
      </c>
      <c r="AT268" s="121" t="str">
        <f t="shared" si="140"/>
        <v xml:space="preserve"> </v>
      </c>
      <c r="AU268" s="121" t="str">
        <f t="shared" si="140"/>
        <v xml:space="preserve"> </v>
      </c>
      <c r="AV268" s="121" t="str">
        <f t="shared" si="140"/>
        <v xml:space="preserve"> </v>
      </c>
      <c r="AW268" s="130" t="str">
        <f t="shared" si="141"/>
        <v>100</v>
      </c>
      <c r="AX268" s="130" t="str">
        <f t="shared" si="141"/>
        <v xml:space="preserve"> </v>
      </c>
      <c r="AY268" s="130" t="str">
        <f t="shared" si="141"/>
        <v xml:space="preserve"> </v>
      </c>
      <c r="AZ268" s="130" t="str">
        <f t="shared" si="141"/>
        <v xml:space="preserve"> </v>
      </c>
      <c r="BA268" s="121">
        <f t="shared" ref="BA268:BA331" si="155">IFERROR($I268*AW268/100,$I268)</f>
        <v>814525.80693816161</v>
      </c>
      <c r="BB268" s="121">
        <f t="shared" ref="BB268:BB331" si="156">IFERROR($I268*AX268/100,0)</f>
        <v>0</v>
      </c>
      <c r="BC268" s="121">
        <f t="shared" ref="BC268:BC331" si="157">IFERROR($I268*AY268/100,0)</f>
        <v>0</v>
      </c>
      <c r="BD268" s="121">
        <f t="shared" ref="BD268:BD331" si="158">IFERROR($I268*AZ268/100,0)</f>
        <v>0</v>
      </c>
      <c r="BE268" s="121">
        <f t="shared" ref="BE268:BE331" si="159">IFERROR($AP268*AW268/100,$AP268)</f>
        <v>0</v>
      </c>
      <c r="BF268" s="121">
        <f t="shared" ref="BF268:BF331" si="160">IFERROR($AP268*AX268/100,$AP268)</f>
        <v>0</v>
      </c>
      <c r="BG268" s="121">
        <f t="shared" ref="BG268:BG331" si="161">IFERROR($AP268*AY268/100,$AP268)</f>
        <v>0</v>
      </c>
      <c r="BH268" s="121">
        <f t="shared" ref="BH268:BH331" si="162">IFERROR($AP268*AZ268/100,$AP268)</f>
        <v>0</v>
      </c>
      <c r="BI268" s="121">
        <f t="shared" ref="BI268:BI331" si="163">IFERROR($AQ268*AW268/100,$AQ268)</f>
        <v>814525.80693816161</v>
      </c>
      <c r="BJ268" s="121">
        <f t="shared" ref="BJ268:BJ331" si="164">IFERROR($AQ268*AX268/100,$AQ268)</f>
        <v>814525.80693816161</v>
      </c>
      <c r="BK268" s="121">
        <f t="shared" ref="BK268:BK331" si="165">IFERROR($AQ268*AY268/100,$AQ268)</f>
        <v>814525.80693816161</v>
      </c>
      <c r="BL268" s="121">
        <f t="shared" ref="BL268:BL331" si="166">IFERROR($AQ268*AZ268/100,$AQ268)</f>
        <v>814525.80693816161</v>
      </c>
      <c r="BM268" s="121">
        <f t="shared" ref="BM268:BM331" si="167">IFERROR($AR268*AW268/100,$AR268)</f>
        <v>0</v>
      </c>
      <c r="BN268" s="121">
        <f t="shared" ref="BN268:BN331" si="168">IFERROR($AR268*AX268/100,$AR268)</f>
        <v>0</v>
      </c>
      <c r="BO268" s="121">
        <f t="shared" ref="BO268:BO331" si="169">IFERROR($AR268*AY268/100,$AR268)</f>
        <v>0</v>
      </c>
      <c r="BP268" s="121">
        <f t="shared" ref="BP268:BP331" si="170">IFERROR($AR268*AZ268/100,$AR268)</f>
        <v>0</v>
      </c>
      <c r="BQ268" s="199">
        <f>INDEX('GDP deflators'!$C$6:$M$36,MATCH('Bottom-up tagging'!$D268,'GDP deflators'!$B$6:$B$36,),MATCH('Bottom-up tagging'!$E268,'GDP deflators'!$C$5:$L$5,))/100</f>
        <v>1.1736092237438145</v>
      </c>
      <c r="BR268" s="24">
        <v>955935</v>
      </c>
    </row>
    <row r="269" spans="2:70" ht="26.15" hidden="1" customHeight="1">
      <c r="B269" s="110" t="s">
        <v>1666</v>
      </c>
      <c r="C269" s="110" t="s">
        <v>1670</v>
      </c>
      <c r="D269" s="110" t="s">
        <v>3994</v>
      </c>
      <c r="E269" s="103">
        <v>2018</v>
      </c>
      <c r="F269" s="108" t="s">
        <v>6512</v>
      </c>
      <c r="G269" s="111" t="s">
        <v>34</v>
      </c>
      <c r="H269" s="110" t="s">
        <v>10451</v>
      </c>
      <c r="I269" s="112">
        <f>IF(Dashboard!$B$16="Current USD",'Bottom-up tagging'!BR269,'Bottom-up tagging'!BR269/'Bottom-up tagging'!BQ269)</f>
        <v>644832.02381752885</v>
      </c>
      <c r="J269" s="105" t="s">
        <v>10474</v>
      </c>
      <c r="K269" s="112"/>
      <c r="L269" s="135">
        <v>1</v>
      </c>
      <c r="M269" s="135">
        <v>1</v>
      </c>
      <c r="N269" s="112"/>
      <c r="O269" s="112"/>
      <c r="P269" s="112" t="str">
        <f>VLOOKUP(B269, 'Companies covered restructured'!$B$7:$K$470, 9, FALSE)</f>
        <v>Agri marketplaces</v>
      </c>
      <c r="Q269" s="112" t="str">
        <f>VLOOKUP(B269, 'Companies covered restructured'!$B$7:$K$470, 6, FALSE)</f>
        <v>#Crops(100)</v>
      </c>
      <c r="R269" s="112" t="str">
        <f t="shared" si="142"/>
        <v>#Corporate(100)</v>
      </c>
      <c r="S269" s="112" t="s">
        <v>11003</v>
      </c>
      <c r="T269" s="112" t="s">
        <v>10466</v>
      </c>
      <c r="U269" s="103" t="s">
        <v>10970</v>
      </c>
      <c r="V269" s="112" t="str">
        <f>VLOOKUP(P269, 'Bottom-up Tagging Assumptions'!$B$12:$F$39, 5, FALSE)</f>
        <v>#Process Innovation(100)</v>
      </c>
      <c r="W269" s="112" t="str">
        <f>VLOOKUP(B269, 'Companies covered restructured'!$B$7:$K$470, 7, FALSE)</f>
        <v>#Farm/Household(100)</v>
      </c>
      <c r="X269" s="112" t="s">
        <v>10558</v>
      </c>
      <c r="Y269" s="212" t="str">
        <f>VLOOKUP(P269, 'Bottom-up Tagging Assumptions'!$B$12:$C$56, 2, FALSE)</f>
        <v>#Other Economic(P); Social(S)</v>
      </c>
      <c r="Z269" s="112" t="str">
        <f>VLOOKUP(P269, 'Bottom-up Tagging Assumptions'!$B$12:$F$56, 3, FALSE)</f>
        <v>#Improve price realization(P)</v>
      </c>
      <c r="AA269" s="112" t="str">
        <f>VLOOKUP(P269, 'Bottom-up Tagging Assumptions'!$B$12:$F$56, 4, FALSE)</f>
        <v>#Level 4(100)</v>
      </c>
      <c r="AB269" s="110" t="s">
        <v>1668</v>
      </c>
      <c r="AC269" s="110"/>
      <c r="AD269" s="110" t="s">
        <v>1669</v>
      </c>
      <c r="AE269" s="110" t="str">
        <f>VLOOKUP(AD269,  '1.2'!$B$7:$C$2033, 2, FALSE)</f>
        <v>CORPORATE_INVESTOR</v>
      </c>
      <c r="AF269" s="112">
        <v>739765</v>
      </c>
      <c r="AG269" s="110" t="s">
        <v>729</v>
      </c>
      <c r="AH269" s="121">
        <f t="shared" si="143"/>
        <v>0</v>
      </c>
      <c r="AI269" s="121">
        <f t="shared" si="144"/>
        <v>0</v>
      </c>
      <c r="AJ269" s="121">
        <f t="shared" si="145"/>
        <v>1</v>
      </c>
      <c r="AK269" s="121">
        <f t="shared" si="146"/>
        <v>1</v>
      </c>
      <c r="AL269" s="121">
        <f t="shared" si="147"/>
        <v>0</v>
      </c>
      <c r="AM269" s="121">
        <f t="shared" si="148"/>
        <v>0</v>
      </c>
      <c r="AN269" s="121">
        <f t="shared" si="149"/>
        <v>1</v>
      </c>
      <c r="AO269" s="121">
        <f t="shared" si="150"/>
        <v>0</v>
      </c>
      <c r="AP269" s="22">
        <f t="shared" si="151"/>
        <v>0</v>
      </c>
      <c r="AQ269" s="22">
        <f t="shared" si="152"/>
        <v>644832.02381752885</v>
      </c>
      <c r="AR269" s="22">
        <f t="shared" si="153"/>
        <v>0</v>
      </c>
      <c r="AS269" s="121" t="str">
        <f t="shared" si="154"/>
        <v>Crops</v>
      </c>
      <c r="AT269" s="121" t="str">
        <f t="shared" si="140"/>
        <v xml:space="preserve"> </v>
      </c>
      <c r="AU269" s="121" t="str">
        <f t="shared" si="140"/>
        <v xml:space="preserve"> </v>
      </c>
      <c r="AV269" s="121" t="str">
        <f t="shared" si="140"/>
        <v xml:space="preserve"> </v>
      </c>
      <c r="AW269" s="130" t="str">
        <f t="shared" si="141"/>
        <v>100</v>
      </c>
      <c r="AX269" s="130" t="str">
        <f t="shared" si="141"/>
        <v xml:space="preserve"> </v>
      </c>
      <c r="AY269" s="130" t="str">
        <f t="shared" si="141"/>
        <v xml:space="preserve"> </v>
      </c>
      <c r="AZ269" s="130" t="str">
        <f t="shared" si="141"/>
        <v xml:space="preserve"> </v>
      </c>
      <c r="BA269" s="121">
        <f t="shared" si="155"/>
        <v>644832.02381752885</v>
      </c>
      <c r="BB269" s="121">
        <f t="shared" si="156"/>
        <v>0</v>
      </c>
      <c r="BC269" s="121">
        <f t="shared" si="157"/>
        <v>0</v>
      </c>
      <c r="BD269" s="121">
        <f t="shared" si="158"/>
        <v>0</v>
      </c>
      <c r="BE269" s="121">
        <f t="shared" si="159"/>
        <v>0</v>
      </c>
      <c r="BF269" s="121">
        <f t="shared" si="160"/>
        <v>0</v>
      </c>
      <c r="BG269" s="121">
        <f t="shared" si="161"/>
        <v>0</v>
      </c>
      <c r="BH269" s="121">
        <f t="shared" si="162"/>
        <v>0</v>
      </c>
      <c r="BI269" s="121">
        <f t="shared" si="163"/>
        <v>644832.02381752885</v>
      </c>
      <c r="BJ269" s="121">
        <f t="shared" si="164"/>
        <v>644832.02381752885</v>
      </c>
      <c r="BK269" s="121">
        <f t="shared" si="165"/>
        <v>644832.02381752885</v>
      </c>
      <c r="BL269" s="121">
        <f t="shared" si="166"/>
        <v>644832.02381752885</v>
      </c>
      <c r="BM269" s="121">
        <f t="shared" si="167"/>
        <v>0</v>
      </c>
      <c r="BN269" s="121">
        <f t="shared" si="168"/>
        <v>0</v>
      </c>
      <c r="BO269" s="121">
        <f t="shared" si="169"/>
        <v>0</v>
      </c>
      <c r="BP269" s="121">
        <f t="shared" si="170"/>
        <v>0</v>
      </c>
      <c r="BQ269" s="199">
        <f>INDEX('GDP deflators'!$C$6:$M$36,MATCH('Bottom-up tagging'!$D269,'GDP deflators'!$B$6:$B$36,),MATCH('Bottom-up tagging'!$E269,'GDP deflators'!$C$5:$L$5,))/100</f>
        <v>1.4753935363936217</v>
      </c>
      <c r="BR269" s="24">
        <v>951381</v>
      </c>
    </row>
    <row r="270" spans="2:70" ht="26.15" hidden="1" customHeight="1">
      <c r="B270" s="110" t="s">
        <v>398</v>
      </c>
      <c r="C270" s="110" t="s">
        <v>402</v>
      </c>
      <c r="D270" s="110" t="s">
        <v>3994</v>
      </c>
      <c r="E270" s="103">
        <v>2020</v>
      </c>
      <c r="F270" s="108" t="s">
        <v>5095</v>
      </c>
      <c r="G270" s="111" t="s">
        <v>302</v>
      </c>
      <c r="H270" s="110" t="s">
        <v>10451</v>
      </c>
      <c r="I270" s="212">
        <v>0</v>
      </c>
      <c r="J270" s="105" t="s">
        <v>10474</v>
      </c>
      <c r="K270" s="112"/>
      <c r="L270" s="135">
        <v>1</v>
      </c>
      <c r="M270" s="135">
        <v>1</v>
      </c>
      <c r="N270" s="112"/>
      <c r="O270" s="112"/>
      <c r="P270" s="112" t="str">
        <f>VLOOKUP(B270, 'Companies covered restructured'!$B$7:$K$470, 9, FALSE)</f>
        <v>Supply chain technologies</v>
      </c>
      <c r="Q270" s="112" t="str">
        <f>VLOOKUP(B270, 'Companies covered restructured'!$B$7:$K$470, 6, FALSE)</f>
        <v>#Crops(100)</v>
      </c>
      <c r="R270" s="112" t="str">
        <f t="shared" si="142"/>
        <v>N/A</v>
      </c>
      <c r="S270" s="112" t="s">
        <v>11003</v>
      </c>
      <c r="T270" s="112" t="s">
        <v>10464</v>
      </c>
      <c r="U270" s="103" t="s">
        <v>10970</v>
      </c>
      <c r="V270" s="112" t="str">
        <f>VLOOKUP(P270, 'Bottom-up Tagging Assumptions'!$B$12:$F$39, 5, FALSE)</f>
        <v>#Process Innovation(100)</v>
      </c>
      <c r="W270" s="112" t="str">
        <f>VLOOKUP(B270, 'Companies covered restructured'!$B$7:$K$470, 7, FALSE)</f>
        <v>#Farm/Household(100)</v>
      </c>
      <c r="X270" s="112" t="s">
        <v>10558</v>
      </c>
      <c r="Y270" s="112" t="str">
        <f>VLOOKUP(P270, '[2]Bottom-up Tagging Assumptions'!$B$12:$F$56, 2, FALSE)</f>
        <v>#Other Economic(P); Social(S)</v>
      </c>
      <c r="Z270" s="112" t="str">
        <f>VLOOKUP(P270, 'Bottom-up Tagging Assumptions'!$B$12:$F$56, 3, FALSE)</f>
        <v>#Improve price realization(P)</v>
      </c>
      <c r="AA270" s="112" t="str">
        <f>VLOOKUP(P270, 'Bottom-up Tagging Assumptions'!$B$12:$F$56, 4, FALSE)</f>
        <v>#Level 3(100)</v>
      </c>
      <c r="AB270" s="110" t="s">
        <v>400</v>
      </c>
      <c r="AC270" s="110"/>
      <c r="AD270" s="110"/>
      <c r="AE270" s="110" t="s">
        <v>10558</v>
      </c>
      <c r="AF270" s="112">
        <v>47182672</v>
      </c>
      <c r="AG270" s="110" t="s">
        <v>1176</v>
      </c>
      <c r="AH270" s="121">
        <f t="shared" si="143"/>
        <v>0</v>
      </c>
      <c r="AI270" s="121">
        <f t="shared" si="144"/>
        <v>0</v>
      </c>
      <c r="AJ270" s="121">
        <f t="shared" si="145"/>
        <v>1</v>
      </c>
      <c r="AK270" s="121">
        <f t="shared" si="146"/>
        <v>1</v>
      </c>
      <c r="AL270" s="121">
        <f t="shared" si="147"/>
        <v>0</v>
      </c>
      <c r="AM270" s="121">
        <f t="shared" si="148"/>
        <v>0</v>
      </c>
      <c r="AN270" s="121">
        <f t="shared" si="149"/>
        <v>1</v>
      </c>
      <c r="AO270" s="121">
        <f t="shared" si="150"/>
        <v>0</v>
      </c>
      <c r="AP270" s="22">
        <f t="shared" si="151"/>
        <v>0</v>
      </c>
      <c r="AQ270" s="22">
        <f t="shared" si="152"/>
        <v>0</v>
      </c>
      <c r="AR270" s="22">
        <f t="shared" si="153"/>
        <v>0</v>
      </c>
      <c r="AS270" s="121" t="str">
        <f t="shared" si="154"/>
        <v>Crops</v>
      </c>
      <c r="AT270" s="121" t="str">
        <f t="shared" si="140"/>
        <v xml:space="preserve"> </v>
      </c>
      <c r="AU270" s="121" t="str">
        <f t="shared" si="140"/>
        <v xml:space="preserve"> </v>
      </c>
      <c r="AV270" s="121" t="str">
        <f t="shared" si="140"/>
        <v xml:space="preserve"> </v>
      </c>
      <c r="AW270" s="130" t="str">
        <f t="shared" si="141"/>
        <v>100</v>
      </c>
      <c r="AX270" s="130" t="str">
        <f t="shared" si="141"/>
        <v xml:space="preserve"> </v>
      </c>
      <c r="AY270" s="130" t="str">
        <f t="shared" si="141"/>
        <v xml:space="preserve"> </v>
      </c>
      <c r="AZ270" s="130" t="str">
        <f t="shared" si="141"/>
        <v xml:space="preserve"> </v>
      </c>
      <c r="BA270" s="121">
        <f t="shared" si="155"/>
        <v>0</v>
      </c>
      <c r="BB270" s="121">
        <f t="shared" si="156"/>
        <v>0</v>
      </c>
      <c r="BC270" s="121">
        <f t="shared" si="157"/>
        <v>0</v>
      </c>
      <c r="BD270" s="121">
        <f t="shared" si="158"/>
        <v>0</v>
      </c>
      <c r="BE270" s="121">
        <f t="shared" si="159"/>
        <v>0</v>
      </c>
      <c r="BF270" s="121">
        <f t="shared" si="160"/>
        <v>0</v>
      </c>
      <c r="BG270" s="121">
        <f t="shared" si="161"/>
        <v>0</v>
      </c>
      <c r="BH270" s="121">
        <f t="shared" si="162"/>
        <v>0</v>
      </c>
      <c r="BI270" s="121">
        <f t="shared" si="163"/>
        <v>0</v>
      </c>
      <c r="BJ270" s="121">
        <f t="shared" si="164"/>
        <v>0</v>
      </c>
      <c r="BK270" s="121">
        <f t="shared" si="165"/>
        <v>0</v>
      </c>
      <c r="BL270" s="121">
        <f t="shared" si="166"/>
        <v>0</v>
      </c>
      <c r="BM270" s="121">
        <f t="shared" si="167"/>
        <v>0</v>
      </c>
      <c r="BN270" s="121">
        <f t="shared" si="168"/>
        <v>0</v>
      </c>
      <c r="BO270" s="121">
        <f t="shared" si="169"/>
        <v>0</v>
      </c>
      <c r="BP270" s="121">
        <f t="shared" si="170"/>
        <v>0</v>
      </c>
      <c r="BQ270" s="199" t="e">
        <f>INDEX('GDP deflators'!$C$6:$M$36,MATCH('Bottom-up tagging'!$D270,'GDP deflators'!$B$6:$B$36,),MATCH('Bottom-up tagging'!$E270,'GDP deflators'!$C$5:$L$5,))/100</f>
        <v>#N/A</v>
      </c>
      <c r="BR270" s="24">
        <v>931607</v>
      </c>
    </row>
    <row r="271" spans="2:70" ht="26.15" hidden="1" customHeight="1">
      <c r="B271" s="110" t="s">
        <v>160</v>
      </c>
      <c r="C271" s="110" t="s">
        <v>164</v>
      </c>
      <c r="D271" s="110" t="s">
        <v>3994</v>
      </c>
      <c r="E271" s="103">
        <v>2019</v>
      </c>
      <c r="F271" s="108" t="s">
        <v>7497</v>
      </c>
      <c r="G271" s="111" t="s">
        <v>34</v>
      </c>
      <c r="H271" s="110" t="s">
        <v>10451</v>
      </c>
      <c r="I271" s="112">
        <f>IF(Dashboard!$B$16="Current USD",'Bottom-up tagging'!BR271,'Bottom-up tagging'!BR271/'Bottom-up tagging'!BQ271)</f>
        <v>611756.93798683293</v>
      </c>
      <c r="J271" s="118" t="s">
        <v>10474</v>
      </c>
      <c r="K271" s="112"/>
      <c r="L271" s="135">
        <v>1</v>
      </c>
      <c r="M271" s="135">
        <v>1</v>
      </c>
      <c r="N271" s="112"/>
      <c r="O271" s="112"/>
      <c r="P271" s="112" t="str">
        <f>VLOOKUP(B271, 'Companies covered restructured'!$B$7:$K$470, 9, FALSE)</f>
        <v>Supply chain technologies</v>
      </c>
      <c r="Q271" s="112" t="str">
        <f>VLOOKUP(B271, 'Companies covered restructured'!$B$7:$K$470, 6, FALSE)</f>
        <v>#Crops(100)</v>
      </c>
      <c r="R271" s="112" t="str">
        <f t="shared" si="142"/>
        <v>#Corporate(100)</v>
      </c>
      <c r="S271" s="112" t="s">
        <v>11003</v>
      </c>
      <c r="T271" s="112" t="s">
        <v>10466</v>
      </c>
      <c r="U271" s="103" t="s">
        <v>10970</v>
      </c>
      <c r="V271" s="112" t="str">
        <f>VLOOKUP(P271, 'Bottom-up Tagging Assumptions'!$B$12:$F$39, 5, FALSE)</f>
        <v>#Process Innovation(100)</v>
      </c>
      <c r="W271" s="112" t="str">
        <f>VLOOKUP(B271, 'Companies covered restructured'!$B$7:$K$470, 7, FALSE)</f>
        <v>#Farm/Household(100)</v>
      </c>
      <c r="X271" s="112" t="s">
        <v>10558</v>
      </c>
      <c r="Y271" s="212" t="str">
        <f>VLOOKUP(P271, 'Bottom-up Tagging Assumptions'!$B$12:$C$56, 2, FALSE)</f>
        <v>#Other Economic(P); Social(S)</v>
      </c>
      <c r="Z271" s="112" t="str">
        <f>VLOOKUP(P271, 'Bottom-up Tagging Assumptions'!$B$12:$F$56, 3, FALSE)</f>
        <v>#Improve price realization(P)</v>
      </c>
      <c r="AA271" s="112" t="str">
        <f>VLOOKUP(P271, 'Bottom-up Tagging Assumptions'!$B$12:$F$56, 4, FALSE)</f>
        <v>#Level 3(100)</v>
      </c>
      <c r="AB271" s="110" t="s">
        <v>1261</v>
      </c>
      <c r="AC271" s="110" t="s">
        <v>1262</v>
      </c>
      <c r="AD271" s="110" t="s">
        <v>1263</v>
      </c>
      <c r="AE271" s="110" t="str">
        <f>VLOOKUP(AD271,  '1.2'!$B$7:$C$2033, 2, FALSE)</f>
        <v>CORPORATE_INVESTOR</v>
      </c>
      <c r="AF271" s="112"/>
      <c r="AG271" s="110" t="s">
        <v>668</v>
      </c>
      <c r="AH271" s="121">
        <f t="shared" si="143"/>
        <v>0</v>
      </c>
      <c r="AI271" s="121">
        <f t="shared" si="144"/>
        <v>0</v>
      </c>
      <c r="AJ271" s="121">
        <f t="shared" si="145"/>
        <v>1</v>
      </c>
      <c r="AK271" s="121">
        <f t="shared" si="146"/>
        <v>1</v>
      </c>
      <c r="AL271" s="121">
        <f t="shared" si="147"/>
        <v>0</v>
      </c>
      <c r="AM271" s="121">
        <f t="shared" si="148"/>
        <v>0</v>
      </c>
      <c r="AN271" s="121">
        <f t="shared" si="149"/>
        <v>1</v>
      </c>
      <c r="AO271" s="121">
        <f t="shared" si="150"/>
        <v>0</v>
      </c>
      <c r="AP271" s="22">
        <f t="shared" si="151"/>
        <v>0</v>
      </c>
      <c r="AQ271" s="22">
        <f t="shared" si="152"/>
        <v>611756.93798683293</v>
      </c>
      <c r="AR271" s="22">
        <f t="shared" si="153"/>
        <v>0</v>
      </c>
      <c r="AS271" s="121" t="str">
        <f t="shared" si="154"/>
        <v>Crops</v>
      </c>
      <c r="AT271" s="121" t="str">
        <f t="shared" si="140"/>
        <v xml:space="preserve"> </v>
      </c>
      <c r="AU271" s="121" t="str">
        <f t="shared" si="140"/>
        <v xml:space="preserve"> </v>
      </c>
      <c r="AV271" s="121" t="str">
        <f t="shared" si="140"/>
        <v xml:space="preserve"> </v>
      </c>
      <c r="AW271" s="130" t="str">
        <f t="shared" si="141"/>
        <v>100</v>
      </c>
      <c r="AX271" s="130" t="str">
        <f t="shared" si="141"/>
        <v xml:space="preserve"> </v>
      </c>
      <c r="AY271" s="130" t="str">
        <f t="shared" si="141"/>
        <v xml:space="preserve"> </v>
      </c>
      <c r="AZ271" s="130" t="str">
        <f t="shared" si="141"/>
        <v xml:space="preserve"> </v>
      </c>
      <c r="BA271" s="121">
        <f t="shared" si="155"/>
        <v>611756.93798683293</v>
      </c>
      <c r="BB271" s="121">
        <f t="shared" si="156"/>
        <v>0</v>
      </c>
      <c r="BC271" s="121">
        <f t="shared" si="157"/>
        <v>0</v>
      </c>
      <c r="BD271" s="121">
        <f t="shared" si="158"/>
        <v>0</v>
      </c>
      <c r="BE271" s="121">
        <f t="shared" si="159"/>
        <v>0</v>
      </c>
      <c r="BF271" s="121">
        <f t="shared" si="160"/>
        <v>0</v>
      </c>
      <c r="BG271" s="121">
        <f t="shared" si="161"/>
        <v>0</v>
      </c>
      <c r="BH271" s="121">
        <f t="shared" si="162"/>
        <v>0</v>
      </c>
      <c r="BI271" s="121">
        <f t="shared" si="163"/>
        <v>611756.93798683293</v>
      </c>
      <c r="BJ271" s="121">
        <f t="shared" si="164"/>
        <v>611756.93798683293</v>
      </c>
      <c r="BK271" s="121">
        <f t="shared" si="165"/>
        <v>611756.93798683293</v>
      </c>
      <c r="BL271" s="121">
        <f t="shared" si="166"/>
        <v>611756.93798683293</v>
      </c>
      <c r="BM271" s="121">
        <f t="shared" si="167"/>
        <v>0</v>
      </c>
      <c r="BN271" s="121">
        <f t="shared" si="168"/>
        <v>0</v>
      </c>
      <c r="BO271" s="121">
        <f t="shared" si="169"/>
        <v>0</v>
      </c>
      <c r="BP271" s="121">
        <f t="shared" si="170"/>
        <v>0</v>
      </c>
      <c r="BQ271" s="199">
        <f>INDEX('GDP deflators'!$C$6:$M$36,MATCH('Bottom-up tagging'!$D271,'GDP deflators'!$B$6:$B$36,),MATCH('Bottom-up tagging'!$E271,'GDP deflators'!$C$5:$L$5,))/100</f>
        <v>1.5094883975306472</v>
      </c>
      <c r="BR271" s="24">
        <v>923440</v>
      </c>
    </row>
    <row r="272" spans="2:70" ht="26.15" hidden="1" customHeight="1">
      <c r="B272" s="110" t="s">
        <v>2454</v>
      </c>
      <c r="C272" s="110" t="s">
        <v>2456</v>
      </c>
      <c r="D272" s="110" t="s">
        <v>2057</v>
      </c>
      <c r="E272" s="103">
        <v>2016</v>
      </c>
      <c r="F272" s="108" t="s">
        <v>9175</v>
      </c>
      <c r="G272" s="111" t="s">
        <v>124</v>
      </c>
      <c r="H272" s="110" t="s">
        <v>10451</v>
      </c>
      <c r="I272" s="112">
        <f>IF(Dashboard!$B$16="Current USD",'Bottom-up tagging'!BR272,'Bottom-up tagging'!BR272/'Bottom-up tagging'!BQ272)</f>
        <v>794759.36081155506</v>
      </c>
      <c r="J272" s="117" t="s">
        <v>10474</v>
      </c>
      <c r="K272" s="112"/>
      <c r="L272" s="135">
        <v>1</v>
      </c>
      <c r="M272" s="135">
        <v>1</v>
      </c>
      <c r="N272" s="112"/>
      <c r="O272" s="112"/>
      <c r="P272" s="112" t="str">
        <f>VLOOKUP(B272, 'Companies covered restructured'!$B$7:$K$470, 9, FALSE)</f>
        <v>Farmer engagement platforms (including marketplaces and information platforms)</v>
      </c>
      <c r="Q272" s="112" t="str">
        <f>VLOOKUP(B272, 'Companies covered restructured'!$B$7:$K$470, 6, FALSE)</f>
        <v>#Crops(100)</v>
      </c>
      <c r="R272" s="112" t="str">
        <f t="shared" si="142"/>
        <v>N/A</v>
      </c>
      <c r="S272" s="112" t="s">
        <v>11003</v>
      </c>
      <c r="T272" s="112" t="s">
        <v>10466</v>
      </c>
      <c r="U272" s="103" t="s">
        <v>10970</v>
      </c>
      <c r="V272" s="112" t="str">
        <f>VLOOKUP(P272, 'Bottom-up Tagging Assumptions'!$B$12:$F$39, 5, FALSE)</f>
        <v>#Process Innovation(100)</v>
      </c>
      <c r="W272" s="112" t="str">
        <f>VLOOKUP(B272, 'Companies covered restructured'!$B$7:$K$470, 7, FALSE)</f>
        <v>#Farm/Household(100)</v>
      </c>
      <c r="X272" s="112" t="str">
        <f>VLOOKUP(B272, 'Companies covered restructured'!$B$7:$K$470, 8, FALSE)</f>
        <v>N/A</v>
      </c>
      <c r="Y272" s="212" t="str">
        <f>VLOOKUP(P272, 'Bottom-up Tagging Assumptions'!$B$12:$C$56, 2, FALSE)</f>
        <v>#Other Economic(P); #Productivity(S)</v>
      </c>
      <c r="Z272" s="112" t="str">
        <f>VLOOKUP(P272, 'Bottom-up Tagging Assumptions'!$B$12:$F$56, 3, FALSE)</f>
        <v>#Improve price realization(P); #Increasing crop or animal yield(S)</v>
      </c>
      <c r="AA272" s="112" t="str">
        <f>VLOOKUP(P272, 'Bottom-up Tagging Assumptions'!$B$12:$F$56, 4, FALSE)</f>
        <v>#Level 4(100)</v>
      </c>
      <c r="AB272" s="110"/>
      <c r="AC272" s="110"/>
      <c r="AD272" s="110"/>
      <c r="AE272" s="110" t="s">
        <v>10558</v>
      </c>
      <c r="AF272" s="112">
        <v>9356810</v>
      </c>
      <c r="AG272" s="110" t="s">
        <v>1943</v>
      </c>
      <c r="AH272" s="121">
        <f t="shared" si="143"/>
        <v>0</v>
      </c>
      <c r="AI272" s="121">
        <f t="shared" si="144"/>
        <v>1</v>
      </c>
      <c r="AJ272" s="121">
        <f t="shared" si="145"/>
        <v>1</v>
      </c>
      <c r="AK272" s="121">
        <f t="shared" si="146"/>
        <v>0</v>
      </c>
      <c r="AL272" s="121">
        <f t="shared" si="147"/>
        <v>0</v>
      </c>
      <c r="AM272" s="121">
        <f t="shared" si="148"/>
        <v>0</v>
      </c>
      <c r="AN272" s="121">
        <f t="shared" si="149"/>
        <v>0</v>
      </c>
      <c r="AO272" s="121">
        <f t="shared" si="150"/>
        <v>0</v>
      </c>
      <c r="AP272" s="22">
        <f t="shared" si="151"/>
        <v>0</v>
      </c>
      <c r="AQ272" s="22">
        <f t="shared" si="152"/>
        <v>0</v>
      </c>
      <c r="AR272" s="22">
        <f t="shared" si="153"/>
        <v>0</v>
      </c>
      <c r="AS272" s="121" t="str">
        <f t="shared" si="154"/>
        <v>Crops</v>
      </c>
      <c r="AT272" s="121" t="str">
        <f t="shared" ref="AT272:AV291" si="171">IFERROR(IFERROR(MID($Q272,FIND("~",SUBSTITUTE($Q272,";","~",AT$10-1))+3,(FIND("~",SUBSTITUTE($Q272,";","~",AT$10))+0-(FIND("~",SUBSTITUTE($Q272,";","~",AT$10-1))+2))-6),MID($Q272,FIND("~",SUBSTITUTE($Q272,";","~",AT$10-1))+3,(LEN($Q272)-6-FIND("~",SUBSTITUTE($Q272,";","~",AT$10-1))-1)))," ")</f>
        <v xml:space="preserve"> </v>
      </c>
      <c r="AU272" s="121" t="str">
        <f t="shared" si="171"/>
        <v xml:space="preserve"> </v>
      </c>
      <c r="AV272" s="121" t="str">
        <f t="shared" si="171"/>
        <v xml:space="preserve"> </v>
      </c>
      <c r="AW272" s="130" t="str">
        <f t="shared" ref="AW272:AZ291" si="172">IFERROR(MID($Q272,FIND("~",SUBSTITUTE($Q272,"(","~",AW$10))+1,3)," ")</f>
        <v>100</v>
      </c>
      <c r="AX272" s="130" t="str">
        <f t="shared" si="172"/>
        <v xml:space="preserve"> </v>
      </c>
      <c r="AY272" s="130" t="str">
        <f t="shared" si="172"/>
        <v xml:space="preserve"> </v>
      </c>
      <c r="AZ272" s="130" t="str">
        <f t="shared" si="172"/>
        <v xml:space="preserve"> </v>
      </c>
      <c r="BA272" s="121">
        <f t="shared" si="155"/>
        <v>794759.36081155506</v>
      </c>
      <c r="BB272" s="121">
        <f t="shared" si="156"/>
        <v>0</v>
      </c>
      <c r="BC272" s="121">
        <f t="shared" si="157"/>
        <v>0</v>
      </c>
      <c r="BD272" s="121">
        <f t="shared" si="158"/>
        <v>0</v>
      </c>
      <c r="BE272" s="121">
        <f t="shared" si="159"/>
        <v>0</v>
      </c>
      <c r="BF272" s="121">
        <f t="shared" si="160"/>
        <v>0</v>
      </c>
      <c r="BG272" s="121">
        <f t="shared" si="161"/>
        <v>0</v>
      </c>
      <c r="BH272" s="121">
        <f t="shared" si="162"/>
        <v>0</v>
      </c>
      <c r="BI272" s="121">
        <f t="shared" si="163"/>
        <v>0</v>
      </c>
      <c r="BJ272" s="121">
        <f t="shared" si="164"/>
        <v>0</v>
      </c>
      <c r="BK272" s="121">
        <f t="shared" si="165"/>
        <v>0</v>
      </c>
      <c r="BL272" s="121">
        <f t="shared" si="166"/>
        <v>0</v>
      </c>
      <c r="BM272" s="121">
        <f t="shared" si="167"/>
        <v>0</v>
      </c>
      <c r="BN272" s="121">
        <f t="shared" si="168"/>
        <v>0</v>
      </c>
      <c r="BO272" s="121">
        <f t="shared" si="169"/>
        <v>0</v>
      </c>
      <c r="BP272" s="121">
        <f t="shared" si="170"/>
        <v>0</v>
      </c>
      <c r="BQ272" s="199">
        <f>INDEX('GDP deflators'!$C$6:$M$36,MATCH('Bottom-up tagging'!$D272,'GDP deflators'!$B$6:$B$36,),MATCH('Bottom-up tagging'!$E272,'GDP deflators'!$C$5:$L$5,))/100</f>
        <v>1.1575830941589131</v>
      </c>
      <c r="BR272" s="24">
        <v>920000</v>
      </c>
    </row>
    <row r="273" spans="2:70" ht="26.15" hidden="1" customHeight="1">
      <c r="B273" s="110" t="s">
        <v>2936</v>
      </c>
      <c r="C273" s="110" t="s">
        <v>2938</v>
      </c>
      <c r="D273" s="110" t="s">
        <v>3994</v>
      </c>
      <c r="E273" s="103">
        <v>2010</v>
      </c>
      <c r="F273" s="108" t="s">
        <v>10260</v>
      </c>
      <c r="G273" s="111" t="s">
        <v>34</v>
      </c>
      <c r="H273" s="110" t="s">
        <v>10451</v>
      </c>
      <c r="I273" s="112">
        <f>IF(Dashboard!$B$16="Current USD",'Bottom-up tagging'!BR273,'Bottom-up tagging'!BR273/'Bottom-up tagging'!BQ273)</f>
        <v>900000</v>
      </c>
      <c r="J273" s="118" t="s">
        <v>10474</v>
      </c>
      <c r="K273" s="112"/>
      <c r="L273" s="135">
        <v>1</v>
      </c>
      <c r="M273" s="135">
        <v>1</v>
      </c>
      <c r="N273" s="112"/>
      <c r="O273" s="112"/>
      <c r="P273" s="112" t="str">
        <f>VLOOKUP(B273, 'Companies covered restructured'!$B$7:$K$470, 9, FALSE)</f>
        <v>Irrigation systems</v>
      </c>
      <c r="Q273" s="112" t="str">
        <f>VLOOKUP(B273, 'Companies covered restructured'!$B$7:$K$470, 6, FALSE)</f>
        <v>#Crops(100)</v>
      </c>
      <c r="R273" s="112" t="str">
        <f t="shared" si="142"/>
        <v>N/A</v>
      </c>
      <c r="S273" s="112" t="s">
        <v>11003</v>
      </c>
      <c r="T273" s="112" t="s">
        <v>10466</v>
      </c>
      <c r="U273" s="103" t="s">
        <v>10970</v>
      </c>
      <c r="V273" s="212" t="s">
        <v>10977</v>
      </c>
      <c r="W273" s="112" t="str">
        <f>VLOOKUP(B273, 'Companies covered restructured'!$B$7:$K$470, 7, FALSE)</f>
        <v>#Farm/Household(100)</v>
      </c>
      <c r="X273" s="112" t="str">
        <f>VLOOKUP(B273, 'Companies covered restructured'!$B$7:$K$470, 8, FALSE)</f>
        <v>#Small(100)</v>
      </c>
      <c r="Y273" s="212" t="str">
        <f>VLOOKUP(P273, 'Bottom-up Tagging Assumptions'!$B$12:$C$56, 2, FALSE)</f>
        <v>#Other Economic(P); Environmental(S)</v>
      </c>
      <c r="Z273" s="112" t="str">
        <f>VLOOKUP(P273, 'Bottom-up Tagging Assumptions'!$B$12:$F$56, 3, FALSE)</f>
        <v>#Waste reduction(P)</v>
      </c>
      <c r="AA273" s="112" t="str">
        <f>VLOOKUP(P273, 'Bottom-up Tagging Assumptions'!$B$12:$F$56, 4, FALSE)</f>
        <v>#Level 1(100)</v>
      </c>
      <c r="AB273" s="110" t="s">
        <v>3100</v>
      </c>
      <c r="AC273" s="110"/>
      <c r="AD273" s="110"/>
      <c r="AE273" s="110" t="s">
        <v>10558</v>
      </c>
      <c r="AF273" s="112"/>
      <c r="AG273" s="110" t="s">
        <v>1691</v>
      </c>
      <c r="AH273" s="121">
        <f t="shared" si="143"/>
        <v>1</v>
      </c>
      <c r="AI273" s="121">
        <f t="shared" si="144"/>
        <v>0</v>
      </c>
      <c r="AJ273" s="121">
        <f t="shared" si="145"/>
        <v>1</v>
      </c>
      <c r="AK273" s="121">
        <f t="shared" si="146"/>
        <v>0</v>
      </c>
      <c r="AL273" s="121">
        <f t="shared" si="147"/>
        <v>0</v>
      </c>
      <c r="AM273" s="121">
        <f t="shared" si="148"/>
        <v>0</v>
      </c>
      <c r="AN273" s="121">
        <f t="shared" si="149"/>
        <v>1</v>
      </c>
      <c r="AO273" s="121">
        <f t="shared" si="150"/>
        <v>0</v>
      </c>
      <c r="AP273" s="22">
        <f t="shared" si="151"/>
        <v>0</v>
      </c>
      <c r="AQ273" s="22">
        <f t="shared" si="152"/>
        <v>900000</v>
      </c>
      <c r="AR273" s="22">
        <f t="shared" si="153"/>
        <v>0</v>
      </c>
      <c r="AS273" s="121" t="str">
        <f t="shared" si="154"/>
        <v>Crops</v>
      </c>
      <c r="AT273" s="121" t="str">
        <f t="shared" si="171"/>
        <v xml:space="preserve"> </v>
      </c>
      <c r="AU273" s="121" t="str">
        <f t="shared" si="171"/>
        <v xml:space="preserve"> </v>
      </c>
      <c r="AV273" s="121" t="str">
        <f t="shared" si="171"/>
        <v xml:space="preserve"> </v>
      </c>
      <c r="AW273" s="130" t="str">
        <f t="shared" si="172"/>
        <v>100</v>
      </c>
      <c r="AX273" s="130" t="str">
        <f t="shared" si="172"/>
        <v xml:space="preserve"> </v>
      </c>
      <c r="AY273" s="130" t="str">
        <f t="shared" si="172"/>
        <v xml:space="preserve"> </v>
      </c>
      <c r="AZ273" s="130" t="str">
        <f t="shared" si="172"/>
        <v xml:space="preserve"> </v>
      </c>
      <c r="BA273" s="121">
        <f t="shared" si="155"/>
        <v>900000</v>
      </c>
      <c r="BB273" s="121">
        <f t="shared" si="156"/>
        <v>0</v>
      </c>
      <c r="BC273" s="121">
        <f t="shared" si="157"/>
        <v>0</v>
      </c>
      <c r="BD273" s="121">
        <f t="shared" si="158"/>
        <v>0</v>
      </c>
      <c r="BE273" s="121">
        <f t="shared" si="159"/>
        <v>0</v>
      </c>
      <c r="BF273" s="121">
        <f t="shared" si="160"/>
        <v>0</v>
      </c>
      <c r="BG273" s="121">
        <f t="shared" si="161"/>
        <v>0</v>
      </c>
      <c r="BH273" s="121">
        <f t="shared" si="162"/>
        <v>0</v>
      </c>
      <c r="BI273" s="121">
        <f t="shared" si="163"/>
        <v>900000</v>
      </c>
      <c r="BJ273" s="121">
        <f t="shared" si="164"/>
        <v>900000</v>
      </c>
      <c r="BK273" s="121">
        <f t="shared" si="165"/>
        <v>900000</v>
      </c>
      <c r="BL273" s="121">
        <f t="shared" si="166"/>
        <v>900000</v>
      </c>
      <c r="BM273" s="121">
        <f t="shared" si="167"/>
        <v>0</v>
      </c>
      <c r="BN273" s="121">
        <f t="shared" si="168"/>
        <v>0</v>
      </c>
      <c r="BO273" s="121">
        <f t="shared" si="169"/>
        <v>0</v>
      </c>
      <c r="BP273" s="121">
        <f t="shared" si="170"/>
        <v>0</v>
      </c>
      <c r="BQ273" s="199">
        <f>INDEX('GDP deflators'!$C$6:$M$36,MATCH('Bottom-up tagging'!$D273,'GDP deflators'!$B$6:$B$36,),MATCH('Bottom-up tagging'!$E273,'GDP deflators'!$C$5:$L$5,))/100</f>
        <v>1</v>
      </c>
      <c r="BR273" s="24">
        <v>900000</v>
      </c>
    </row>
    <row r="274" spans="2:70" ht="26.15" hidden="1" customHeight="1">
      <c r="B274" s="110" t="s">
        <v>1742</v>
      </c>
      <c r="C274" s="110" t="s">
        <v>1746</v>
      </c>
      <c r="D274" s="110" t="s">
        <v>5208</v>
      </c>
      <c r="E274" s="103">
        <v>2018</v>
      </c>
      <c r="F274" s="108" t="s">
        <v>8022</v>
      </c>
      <c r="G274" s="111" t="s">
        <v>109</v>
      </c>
      <c r="H274" s="110" t="s">
        <v>10451</v>
      </c>
      <c r="I274" s="112">
        <f>IF(Dashboard!$B$16="Current USD",'Bottom-up tagging'!BR274,'Bottom-up tagging'!BR274/'Bottom-up tagging'!BQ274)</f>
        <v>524854.92083700781</v>
      </c>
      <c r="J274" s="105" t="s">
        <v>10474</v>
      </c>
      <c r="K274" s="112"/>
      <c r="L274" s="135">
        <v>1</v>
      </c>
      <c r="M274" s="135">
        <v>1</v>
      </c>
      <c r="N274" s="112"/>
      <c r="O274" s="112"/>
      <c r="P274" s="112" t="str">
        <f>VLOOKUP(B274, 'Companies covered restructured'!$B$7:$K$470, 9, FALSE)</f>
        <v>Precision livestock farming</v>
      </c>
      <c r="Q274" s="112" t="str">
        <f>VLOOKUP(B274, 'Companies covered restructured'!$B$7:$K$470, 6, FALSE)</f>
        <v>#Livestock(100)</v>
      </c>
      <c r="R274" s="112" t="str">
        <f t="shared" si="142"/>
        <v>N/A</v>
      </c>
      <c r="S274" s="112" t="s">
        <v>11003</v>
      </c>
      <c r="T274" s="112" t="s">
        <v>10466</v>
      </c>
      <c r="U274" s="103" t="s">
        <v>10970</v>
      </c>
      <c r="V274" s="112" t="str">
        <f>VLOOKUP(P274, 'Bottom-up Tagging Assumptions'!$B$12:$F$39, 5, FALSE)</f>
        <v>#Science &amp; tech(100)</v>
      </c>
      <c r="W274" s="112" t="str">
        <f>VLOOKUP(B274, 'Companies covered restructured'!$B$7:$K$470, 7, FALSE)</f>
        <v>#Field/Animal Herd(100)</v>
      </c>
      <c r="X274" s="112" t="str">
        <f>VLOOKUP(B274, 'Companies covered restructured'!$B$7:$K$470, 8, FALSE)</f>
        <v>#Both(100)</v>
      </c>
      <c r="Y274" s="212" t="str">
        <f>VLOOKUP(P274, 'Bottom-up Tagging Assumptions'!$B$12:$C$56, 2, FALSE)</f>
        <v>#Other Economic(P); #Productivity(S)</v>
      </c>
      <c r="Z274" s="112" t="str">
        <f>VLOOKUP(P274, 'Bottom-up Tagging Assumptions'!$B$12:$F$56, 3, FALSE)</f>
        <v>#Increasing output per unit input(P); #Increasing crop or animal yield(S)</v>
      </c>
      <c r="AA274" s="112" t="str">
        <f>VLOOKUP(P274, 'Bottom-up Tagging Assumptions'!$B$12:$F$56, 4, FALSE)</f>
        <v>#Level 1(100)</v>
      </c>
      <c r="AB274" s="110" t="s">
        <v>1744</v>
      </c>
      <c r="AC274" s="110"/>
      <c r="AD274" s="110"/>
      <c r="AE274" s="110" t="s">
        <v>10558</v>
      </c>
      <c r="AF274" s="112">
        <v>885610</v>
      </c>
      <c r="AG274" s="110" t="s">
        <v>1747</v>
      </c>
      <c r="AH274" s="121">
        <f t="shared" si="143"/>
        <v>0</v>
      </c>
      <c r="AI274" s="121">
        <f t="shared" si="144"/>
        <v>1</v>
      </c>
      <c r="AJ274" s="121">
        <f t="shared" si="145"/>
        <v>1</v>
      </c>
      <c r="AK274" s="121">
        <f t="shared" si="146"/>
        <v>0</v>
      </c>
      <c r="AL274" s="121">
        <f t="shared" si="147"/>
        <v>0</v>
      </c>
      <c r="AM274" s="121">
        <f t="shared" si="148"/>
        <v>0</v>
      </c>
      <c r="AN274" s="121">
        <f t="shared" si="149"/>
        <v>0</v>
      </c>
      <c r="AO274" s="121">
        <f t="shared" si="150"/>
        <v>0</v>
      </c>
      <c r="AP274" s="22">
        <f t="shared" si="151"/>
        <v>0</v>
      </c>
      <c r="AQ274" s="22">
        <f t="shared" si="152"/>
        <v>0</v>
      </c>
      <c r="AR274" s="22">
        <f t="shared" si="153"/>
        <v>0</v>
      </c>
      <c r="AS274" s="121" t="str">
        <f t="shared" si="154"/>
        <v>Livestock</v>
      </c>
      <c r="AT274" s="121" t="str">
        <f t="shared" si="171"/>
        <v xml:space="preserve"> </v>
      </c>
      <c r="AU274" s="121" t="str">
        <f t="shared" si="171"/>
        <v xml:space="preserve"> </v>
      </c>
      <c r="AV274" s="121" t="str">
        <f t="shared" si="171"/>
        <v xml:space="preserve"> </v>
      </c>
      <c r="AW274" s="130" t="str">
        <f t="shared" si="172"/>
        <v>100</v>
      </c>
      <c r="AX274" s="130" t="str">
        <f t="shared" si="172"/>
        <v xml:space="preserve"> </v>
      </c>
      <c r="AY274" s="130" t="str">
        <f t="shared" si="172"/>
        <v xml:space="preserve"> </v>
      </c>
      <c r="AZ274" s="130" t="str">
        <f t="shared" si="172"/>
        <v xml:space="preserve"> </v>
      </c>
      <c r="BA274" s="121">
        <f t="shared" si="155"/>
        <v>524854.92083700781</v>
      </c>
      <c r="BB274" s="121">
        <f t="shared" si="156"/>
        <v>0</v>
      </c>
      <c r="BC274" s="121">
        <f t="shared" si="157"/>
        <v>0</v>
      </c>
      <c r="BD274" s="121">
        <f t="shared" si="158"/>
        <v>0</v>
      </c>
      <c r="BE274" s="121">
        <f t="shared" si="159"/>
        <v>0</v>
      </c>
      <c r="BF274" s="121">
        <f t="shared" si="160"/>
        <v>0</v>
      </c>
      <c r="BG274" s="121">
        <f t="shared" si="161"/>
        <v>0</v>
      </c>
      <c r="BH274" s="121">
        <f t="shared" si="162"/>
        <v>0</v>
      </c>
      <c r="BI274" s="121">
        <f t="shared" si="163"/>
        <v>0</v>
      </c>
      <c r="BJ274" s="121">
        <f t="shared" si="164"/>
        <v>0</v>
      </c>
      <c r="BK274" s="121">
        <f t="shared" si="165"/>
        <v>0</v>
      </c>
      <c r="BL274" s="121">
        <f t="shared" si="166"/>
        <v>0</v>
      </c>
      <c r="BM274" s="121">
        <f t="shared" si="167"/>
        <v>0</v>
      </c>
      <c r="BN274" s="121">
        <f t="shared" si="168"/>
        <v>0</v>
      </c>
      <c r="BO274" s="121">
        <f t="shared" si="169"/>
        <v>0</v>
      </c>
      <c r="BP274" s="121">
        <f t="shared" si="170"/>
        <v>0</v>
      </c>
      <c r="BQ274" s="199">
        <f>INDEX('GDP deflators'!$C$6:$M$36,MATCH('Bottom-up tagging'!$D274,'GDP deflators'!$B$6:$B$36,),MATCH('Bottom-up tagging'!$E274,'GDP deflators'!$C$5:$L$5,))/100</f>
        <v>1.6873424728259787</v>
      </c>
      <c r="BR274" s="24">
        <v>885610</v>
      </c>
    </row>
    <row r="275" spans="2:70" ht="26.15" hidden="1" customHeight="1">
      <c r="B275" s="110" t="s">
        <v>1926</v>
      </c>
      <c r="C275" s="110" t="s">
        <v>1930</v>
      </c>
      <c r="D275" s="110" t="s">
        <v>3994</v>
      </c>
      <c r="E275" s="103">
        <v>2017</v>
      </c>
      <c r="F275" s="108" t="s">
        <v>6872</v>
      </c>
      <c r="G275" s="111" t="s">
        <v>34</v>
      </c>
      <c r="H275" s="110" t="s">
        <v>10451</v>
      </c>
      <c r="I275" s="112">
        <f>IF(Dashboard!$B$16="Current USD",'Bottom-up tagging'!BR275,'Bottom-up tagging'!BR275/'Bottom-up tagging'!BQ275)</f>
        <v>622416.48236487992</v>
      </c>
      <c r="J275" s="118" t="s">
        <v>10474</v>
      </c>
      <c r="K275" s="112"/>
      <c r="L275" s="135">
        <v>1</v>
      </c>
      <c r="M275" s="135">
        <v>1</v>
      </c>
      <c r="N275" s="112"/>
      <c r="O275" s="112"/>
      <c r="P275" s="112" t="str">
        <f>VLOOKUP(B275, 'Companies covered restructured'!$B$7:$K$470, 9, FALSE)</f>
        <v>Supply chain technologies</v>
      </c>
      <c r="Q275" s="112" t="str">
        <f>VLOOKUP(B275, 'Companies covered restructured'!$B$7:$K$470, 6, FALSE)</f>
        <v>#Crops(100)</v>
      </c>
      <c r="R275" s="112" t="str">
        <f t="shared" si="142"/>
        <v>#Investment Fund(100)</v>
      </c>
      <c r="S275" s="112" t="s">
        <v>11003</v>
      </c>
      <c r="T275" s="112" t="s">
        <v>10466</v>
      </c>
      <c r="U275" s="103" t="s">
        <v>10970</v>
      </c>
      <c r="V275" s="112" t="str">
        <f>VLOOKUP(P275, 'Bottom-up Tagging Assumptions'!$B$12:$F$39, 5, FALSE)</f>
        <v>#Process Innovation(100)</v>
      </c>
      <c r="W275" s="112" t="str">
        <f>VLOOKUP(B275, 'Companies covered restructured'!$B$7:$K$470, 7, FALSE)</f>
        <v>#Farm/Household(100)</v>
      </c>
      <c r="X275" s="112" t="s">
        <v>10558</v>
      </c>
      <c r="Y275" s="212" t="str">
        <f>VLOOKUP(P275, 'Bottom-up Tagging Assumptions'!$B$12:$C$56, 2, FALSE)</f>
        <v>#Other Economic(P); Social(S)</v>
      </c>
      <c r="Z275" s="112" t="str">
        <f>VLOOKUP(P275, 'Bottom-up Tagging Assumptions'!$B$12:$F$56, 3, FALSE)</f>
        <v>#Improve price realization(P)</v>
      </c>
      <c r="AA275" s="112" t="str">
        <f>VLOOKUP(P275, 'Bottom-up Tagging Assumptions'!$B$12:$F$56, 4, FALSE)</f>
        <v>#Level 3(100)</v>
      </c>
      <c r="AB275" s="110" t="s">
        <v>1928</v>
      </c>
      <c r="AC275" s="110"/>
      <c r="AD275" s="110" t="s">
        <v>1929</v>
      </c>
      <c r="AE275" s="110" t="str">
        <f>VLOOKUP(AD275,  '1.2'!$B$7:$C$2033, 2, FALSE)</f>
        <v>FUND</v>
      </c>
      <c r="AF275" s="112">
        <v>20000000</v>
      </c>
      <c r="AG275" s="110" t="s">
        <v>257</v>
      </c>
      <c r="AH275" s="121">
        <f t="shared" si="143"/>
        <v>0</v>
      </c>
      <c r="AI275" s="121">
        <f t="shared" si="144"/>
        <v>0</v>
      </c>
      <c r="AJ275" s="121">
        <f t="shared" si="145"/>
        <v>1</v>
      </c>
      <c r="AK275" s="121">
        <f t="shared" si="146"/>
        <v>1</v>
      </c>
      <c r="AL275" s="121">
        <f t="shared" si="147"/>
        <v>0</v>
      </c>
      <c r="AM275" s="121">
        <f t="shared" si="148"/>
        <v>0</v>
      </c>
      <c r="AN275" s="121">
        <f t="shared" si="149"/>
        <v>1</v>
      </c>
      <c r="AO275" s="121">
        <f t="shared" si="150"/>
        <v>0</v>
      </c>
      <c r="AP275" s="22">
        <f t="shared" si="151"/>
        <v>0</v>
      </c>
      <c r="AQ275" s="22">
        <f t="shared" si="152"/>
        <v>622416.48236487992</v>
      </c>
      <c r="AR275" s="22">
        <f t="shared" si="153"/>
        <v>0</v>
      </c>
      <c r="AS275" s="121" t="str">
        <f t="shared" si="154"/>
        <v>Crops</v>
      </c>
      <c r="AT275" s="121" t="str">
        <f t="shared" si="171"/>
        <v xml:space="preserve"> </v>
      </c>
      <c r="AU275" s="121" t="str">
        <f t="shared" si="171"/>
        <v xml:space="preserve"> </v>
      </c>
      <c r="AV275" s="121" t="str">
        <f t="shared" si="171"/>
        <v xml:space="preserve"> </v>
      </c>
      <c r="AW275" s="130" t="str">
        <f t="shared" si="172"/>
        <v>100</v>
      </c>
      <c r="AX275" s="130" t="str">
        <f t="shared" si="172"/>
        <v xml:space="preserve"> </v>
      </c>
      <c r="AY275" s="130" t="str">
        <f t="shared" si="172"/>
        <v xml:space="preserve"> </v>
      </c>
      <c r="AZ275" s="130" t="str">
        <f t="shared" si="172"/>
        <v xml:space="preserve"> </v>
      </c>
      <c r="BA275" s="121">
        <f t="shared" si="155"/>
        <v>622416.48236487992</v>
      </c>
      <c r="BB275" s="121">
        <f t="shared" si="156"/>
        <v>0</v>
      </c>
      <c r="BC275" s="121">
        <f t="shared" si="157"/>
        <v>0</v>
      </c>
      <c r="BD275" s="121">
        <f t="shared" si="158"/>
        <v>0</v>
      </c>
      <c r="BE275" s="121">
        <f t="shared" si="159"/>
        <v>0</v>
      </c>
      <c r="BF275" s="121">
        <f t="shared" si="160"/>
        <v>0</v>
      </c>
      <c r="BG275" s="121">
        <f t="shared" si="161"/>
        <v>0</v>
      </c>
      <c r="BH275" s="121">
        <f t="shared" si="162"/>
        <v>0</v>
      </c>
      <c r="BI275" s="121">
        <f t="shared" si="163"/>
        <v>622416.48236487992</v>
      </c>
      <c r="BJ275" s="121">
        <f t="shared" si="164"/>
        <v>622416.48236487992</v>
      </c>
      <c r="BK275" s="121">
        <f t="shared" si="165"/>
        <v>622416.48236487992</v>
      </c>
      <c r="BL275" s="121">
        <f t="shared" si="166"/>
        <v>622416.48236487992</v>
      </c>
      <c r="BM275" s="121">
        <f t="shared" si="167"/>
        <v>0</v>
      </c>
      <c r="BN275" s="121">
        <f t="shared" si="168"/>
        <v>0</v>
      </c>
      <c r="BO275" s="121">
        <f t="shared" si="169"/>
        <v>0</v>
      </c>
      <c r="BP275" s="121">
        <f t="shared" si="170"/>
        <v>0</v>
      </c>
      <c r="BQ275" s="199">
        <f>INDEX('GDP deflators'!$C$6:$M$36,MATCH('Bottom-up tagging'!$D275,'GDP deflators'!$B$6:$B$36,),MATCH('Bottom-up tagging'!$E275,'GDP deflators'!$C$5:$L$5,))/100</f>
        <v>1.4111098032990623</v>
      </c>
      <c r="BR275" s="24">
        <v>878298</v>
      </c>
    </row>
    <row r="276" spans="2:70" ht="26.15" hidden="1" customHeight="1">
      <c r="B276" s="110" t="s">
        <v>2319</v>
      </c>
      <c r="C276" s="110" t="s">
        <v>2322</v>
      </c>
      <c r="D276" s="110" t="s">
        <v>5524</v>
      </c>
      <c r="E276" s="103">
        <v>2016</v>
      </c>
      <c r="F276" s="108" t="s">
        <v>10232</v>
      </c>
      <c r="G276" s="111" t="s">
        <v>184</v>
      </c>
      <c r="H276" s="110" t="s">
        <v>10451</v>
      </c>
      <c r="I276" s="112">
        <f>IF(Dashboard!$B$16="Current USD",'Bottom-up tagging'!BR276,'Bottom-up tagging'!BR276/'Bottom-up tagging'!BQ276)</f>
        <v>270262.03110403026</v>
      </c>
      <c r="J276" s="117" t="s">
        <v>10474</v>
      </c>
      <c r="K276" s="112"/>
      <c r="L276" s="135">
        <v>1</v>
      </c>
      <c r="M276" s="135">
        <v>1</v>
      </c>
      <c r="N276" s="112"/>
      <c r="O276" s="112"/>
      <c r="P276" s="112" t="str">
        <f>VLOOKUP(B276, 'Companies covered restructured'!$B$7:$K$470, 9, FALSE)</f>
        <v>Farmer engagement platforms (including marketplaces and information platforms)</v>
      </c>
      <c r="Q276" s="112" t="str">
        <f>VLOOKUP(B276, 'Companies covered restructured'!$B$7:$K$470, 6, FALSE)</f>
        <v>#Crops(100)</v>
      </c>
      <c r="R276" s="112" t="str">
        <f t="shared" si="142"/>
        <v>N/A</v>
      </c>
      <c r="S276" s="112" t="s">
        <v>11003</v>
      </c>
      <c r="T276" s="112" t="s">
        <v>10465</v>
      </c>
      <c r="U276" s="103" t="s">
        <v>10970</v>
      </c>
      <c r="V276" s="112" t="str">
        <f>VLOOKUP(P276, 'Bottom-up Tagging Assumptions'!$B$12:$F$39, 5, FALSE)</f>
        <v>#Process Innovation(100)</v>
      </c>
      <c r="W276" s="112" t="str">
        <f>VLOOKUP(B276, 'Companies covered restructured'!$B$7:$K$470, 7, FALSE)</f>
        <v>#Farm/Household(100)</v>
      </c>
      <c r="X276" s="112" t="str">
        <f>VLOOKUP(B276, 'Companies covered restructured'!$B$7:$K$470, 8, FALSE)</f>
        <v>#Small(100)</v>
      </c>
      <c r="Y276" s="212" t="str">
        <f>VLOOKUP(P276, 'Bottom-up Tagging Assumptions'!$B$12:$C$56, 2, FALSE)</f>
        <v>#Other Economic(P); #Productivity(S)</v>
      </c>
      <c r="Z276" s="112" t="str">
        <f>VLOOKUP(P276, 'Bottom-up Tagging Assumptions'!$B$12:$F$56, 3, FALSE)</f>
        <v>#Improve price realization(P); #Increasing crop or animal yield(S)</v>
      </c>
      <c r="AA276" s="112" t="str">
        <f>VLOOKUP(P276, 'Bottom-up Tagging Assumptions'!$B$12:$F$56, 4, FALSE)</f>
        <v>#Level 4(100)</v>
      </c>
      <c r="AB276" s="110" t="s">
        <v>2321</v>
      </c>
      <c r="AC276" s="110"/>
      <c r="AD276" s="110"/>
      <c r="AE276" s="110" t="s">
        <v>10558</v>
      </c>
      <c r="AF276" s="112">
        <v>9059375</v>
      </c>
      <c r="AG276" s="110" t="s">
        <v>884</v>
      </c>
      <c r="AH276" s="121">
        <f t="shared" si="143"/>
        <v>0</v>
      </c>
      <c r="AI276" s="121">
        <f t="shared" si="144"/>
        <v>1</v>
      </c>
      <c r="AJ276" s="121">
        <f t="shared" si="145"/>
        <v>1</v>
      </c>
      <c r="AK276" s="121">
        <f t="shared" si="146"/>
        <v>0</v>
      </c>
      <c r="AL276" s="121">
        <f t="shared" si="147"/>
        <v>0</v>
      </c>
      <c r="AM276" s="121">
        <f t="shared" si="148"/>
        <v>0</v>
      </c>
      <c r="AN276" s="121">
        <f t="shared" si="149"/>
        <v>0</v>
      </c>
      <c r="AO276" s="121">
        <f t="shared" si="150"/>
        <v>0</v>
      </c>
      <c r="AP276" s="22">
        <f t="shared" si="151"/>
        <v>0</v>
      </c>
      <c r="AQ276" s="22">
        <f t="shared" si="152"/>
        <v>0</v>
      </c>
      <c r="AR276" s="22">
        <f t="shared" si="153"/>
        <v>0</v>
      </c>
      <c r="AS276" s="121" t="str">
        <f t="shared" si="154"/>
        <v>Crops</v>
      </c>
      <c r="AT276" s="121" t="str">
        <f t="shared" si="171"/>
        <v xml:space="preserve"> </v>
      </c>
      <c r="AU276" s="121" t="str">
        <f t="shared" si="171"/>
        <v xml:space="preserve"> </v>
      </c>
      <c r="AV276" s="121" t="str">
        <f t="shared" si="171"/>
        <v xml:space="preserve"> </v>
      </c>
      <c r="AW276" s="130" t="str">
        <f t="shared" si="172"/>
        <v>100</v>
      </c>
      <c r="AX276" s="130" t="str">
        <f t="shared" si="172"/>
        <v xml:space="preserve"> </v>
      </c>
      <c r="AY276" s="130" t="str">
        <f t="shared" si="172"/>
        <v xml:space="preserve"> </v>
      </c>
      <c r="AZ276" s="130" t="str">
        <f t="shared" si="172"/>
        <v xml:space="preserve"> </v>
      </c>
      <c r="BA276" s="121">
        <f t="shared" si="155"/>
        <v>270262.03110403026</v>
      </c>
      <c r="BB276" s="121">
        <f t="shared" si="156"/>
        <v>0</v>
      </c>
      <c r="BC276" s="121">
        <f t="shared" si="157"/>
        <v>0</v>
      </c>
      <c r="BD276" s="121">
        <f t="shared" si="158"/>
        <v>0</v>
      </c>
      <c r="BE276" s="121">
        <f t="shared" si="159"/>
        <v>0</v>
      </c>
      <c r="BF276" s="121">
        <f t="shared" si="160"/>
        <v>0</v>
      </c>
      <c r="BG276" s="121">
        <f t="shared" si="161"/>
        <v>0</v>
      </c>
      <c r="BH276" s="121">
        <f t="shared" si="162"/>
        <v>0</v>
      </c>
      <c r="BI276" s="121">
        <f t="shared" si="163"/>
        <v>0</v>
      </c>
      <c r="BJ276" s="121">
        <f t="shared" si="164"/>
        <v>0</v>
      </c>
      <c r="BK276" s="121">
        <f t="shared" si="165"/>
        <v>0</v>
      </c>
      <c r="BL276" s="121">
        <f t="shared" si="166"/>
        <v>0</v>
      </c>
      <c r="BM276" s="121">
        <f t="shared" si="167"/>
        <v>0</v>
      </c>
      <c r="BN276" s="121">
        <f t="shared" si="168"/>
        <v>0</v>
      </c>
      <c r="BO276" s="121">
        <f t="shared" si="169"/>
        <v>0</v>
      </c>
      <c r="BP276" s="121">
        <f t="shared" si="170"/>
        <v>0</v>
      </c>
      <c r="BQ276" s="199">
        <f>INDEX('GDP deflators'!$C$6:$M$36,MATCH('Bottom-up tagging'!$D276,'GDP deflators'!$B$6:$B$36,),MATCH('Bottom-up tagging'!$E276,'GDP deflators'!$C$5:$L$5,))/100</f>
        <v>3.2109134844249279</v>
      </c>
      <c r="BR276" s="24">
        <v>867788</v>
      </c>
    </row>
    <row r="277" spans="2:70" ht="26.15" hidden="1" customHeight="1">
      <c r="B277" s="110" t="s">
        <v>1581</v>
      </c>
      <c r="C277" s="110" t="s">
        <v>1584</v>
      </c>
      <c r="D277" s="110" t="s">
        <v>5333</v>
      </c>
      <c r="E277" s="103">
        <v>2018</v>
      </c>
      <c r="F277" s="108" t="s">
        <v>8315</v>
      </c>
      <c r="G277" s="111" t="s">
        <v>34</v>
      </c>
      <c r="H277" s="110" t="s">
        <v>10451</v>
      </c>
      <c r="I277" s="112">
        <f>IF(Dashboard!$B$16="Current USD",'Bottom-up tagging'!BR277,'Bottom-up tagging'!BR277/'Bottom-up tagging'!BQ277)</f>
        <v>102013.97992541907</v>
      </c>
      <c r="J277" s="117" t="s">
        <v>10474</v>
      </c>
      <c r="K277" s="112"/>
      <c r="L277" s="135">
        <v>1</v>
      </c>
      <c r="M277" s="135">
        <v>1</v>
      </c>
      <c r="N277" s="112"/>
      <c r="O277" s="112"/>
      <c r="P277" s="112" t="str">
        <f>VLOOKUP(B277, 'Companies covered restructured'!$B$7:$K$470, 9, FALSE)</f>
        <v>Irrigation systems</v>
      </c>
      <c r="Q277" s="112" t="str">
        <f>VLOOKUP(B277, 'Companies covered restructured'!$B$7:$K$470, 6, FALSE)</f>
        <v>#Crops(100)</v>
      </c>
      <c r="R277" s="112" t="str">
        <f t="shared" si="142"/>
        <v>#Investment Fund(100)</v>
      </c>
      <c r="S277" s="112" t="s">
        <v>11003</v>
      </c>
      <c r="T277" s="112" t="s">
        <v>10466</v>
      </c>
      <c r="U277" s="103" t="s">
        <v>10970</v>
      </c>
      <c r="V277" s="212" t="s">
        <v>10977</v>
      </c>
      <c r="W277" s="112" t="str">
        <f>VLOOKUP(B277, 'Companies covered restructured'!$B$7:$K$470, 7, FALSE)</f>
        <v>#Farm/Household(100)</v>
      </c>
      <c r="X277" s="112" t="str">
        <f>VLOOKUP(B277, 'Companies covered restructured'!$B$7:$K$470, 8, FALSE)</f>
        <v>#Small(100)</v>
      </c>
      <c r="Y277" s="212" t="str">
        <f>VLOOKUP(P277, 'Bottom-up Tagging Assumptions'!$B$12:$C$56, 2, FALSE)</f>
        <v>#Other Economic(P); Environmental(S)</v>
      </c>
      <c r="Z277" s="112" t="str">
        <f>VLOOKUP(P277, 'Bottom-up Tagging Assumptions'!$B$12:$F$56, 3, FALSE)</f>
        <v>#Waste reduction(P)</v>
      </c>
      <c r="AA277" s="112" t="str">
        <f>VLOOKUP(P277, 'Bottom-up Tagging Assumptions'!$B$12:$F$56, 4, FALSE)</f>
        <v>#Level 1(100)</v>
      </c>
      <c r="AB277" s="110" t="s">
        <v>1664</v>
      </c>
      <c r="AC277" s="110"/>
      <c r="AD277" s="110" t="s">
        <v>1665</v>
      </c>
      <c r="AE277" s="110" t="s">
        <v>3114</v>
      </c>
      <c r="AF277" s="112"/>
      <c r="AG277" s="110" t="s">
        <v>2193</v>
      </c>
      <c r="AH277" s="121">
        <f t="shared" si="143"/>
        <v>1</v>
      </c>
      <c r="AI277" s="121">
        <f t="shared" si="144"/>
        <v>0</v>
      </c>
      <c r="AJ277" s="121">
        <f t="shared" si="145"/>
        <v>1</v>
      </c>
      <c r="AK277" s="121">
        <f t="shared" si="146"/>
        <v>0</v>
      </c>
      <c r="AL277" s="121">
        <f t="shared" si="147"/>
        <v>0</v>
      </c>
      <c r="AM277" s="121">
        <f t="shared" si="148"/>
        <v>0</v>
      </c>
      <c r="AN277" s="121">
        <f t="shared" si="149"/>
        <v>1</v>
      </c>
      <c r="AO277" s="121">
        <f t="shared" si="150"/>
        <v>0</v>
      </c>
      <c r="AP277" s="22">
        <f t="shared" si="151"/>
        <v>0</v>
      </c>
      <c r="AQ277" s="22">
        <f t="shared" si="152"/>
        <v>102013.97992541907</v>
      </c>
      <c r="AR277" s="22">
        <f t="shared" si="153"/>
        <v>0</v>
      </c>
      <c r="AS277" s="121" t="str">
        <f t="shared" si="154"/>
        <v>Crops</v>
      </c>
      <c r="AT277" s="121" t="str">
        <f t="shared" si="171"/>
        <v xml:space="preserve"> </v>
      </c>
      <c r="AU277" s="121" t="str">
        <f t="shared" si="171"/>
        <v xml:space="preserve"> </v>
      </c>
      <c r="AV277" s="121" t="str">
        <f t="shared" si="171"/>
        <v xml:space="preserve"> </v>
      </c>
      <c r="AW277" s="130" t="str">
        <f t="shared" si="172"/>
        <v>100</v>
      </c>
      <c r="AX277" s="130" t="str">
        <f t="shared" si="172"/>
        <v xml:space="preserve"> </v>
      </c>
      <c r="AY277" s="130" t="str">
        <f t="shared" si="172"/>
        <v xml:space="preserve"> </v>
      </c>
      <c r="AZ277" s="130" t="str">
        <f t="shared" si="172"/>
        <v xml:space="preserve"> </v>
      </c>
      <c r="BA277" s="121">
        <f t="shared" si="155"/>
        <v>102013.97992541907</v>
      </c>
      <c r="BB277" s="121">
        <f t="shared" si="156"/>
        <v>0</v>
      </c>
      <c r="BC277" s="121">
        <f t="shared" si="157"/>
        <v>0</v>
      </c>
      <c r="BD277" s="121">
        <f t="shared" si="158"/>
        <v>0</v>
      </c>
      <c r="BE277" s="121">
        <f t="shared" si="159"/>
        <v>0</v>
      </c>
      <c r="BF277" s="121">
        <f t="shared" si="160"/>
        <v>0</v>
      </c>
      <c r="BG277" s="121">
        <f t="shared" si="161"/>
        <v>0</v>
      </c>
      <c r="BH277" s="121">
        <f t="shared" si="162"/>
        <v>0</v>
      </c>
      <c r="BI277" s="121">
        <f t="shared" si="163"/>
        <v>102013.97992541907</v>
      </c>
      <c r="BJ277" s="121">
        <f t="shared" si="164"/>
        <v>102013.97992541907</v>
      </c>
      <c r="BK277" s="121">
        <f t="shared" si="165"/>
        <v>102013.97992541907</v>
      </c>
      <c r="BL277" s="121">
        <f t="shared" si="166"/>
        <v>102013.97992541907</v>
      </c>
      <c r="BM277" s="121">
        <f t="shared" si="167"/>
        <v>0</v>
      </c>
      <c r="BN277" s="121">
        <f t="shared" si="168"/>
        <v>0</v>
      </c>
      <c r="BO277" s="121">
        <f t="shared" si="169"/>
        <v>0</v>
      </c>
      <c r="BP277" s="121">
        <f t="shared" si="170"/>
        <v>0</v>
      </c>
      <c r="BQ277" s="199">
        <f>INDEX('GDP deflators'!$C$6:$M$36,MATCH('Bottom-up tagging'!$D277,'GDP deflators'!$B$6:$B$36,),MATCH('Bottom-up tagging'!$E277,'GDP deflators'!$C$5:$L$5,))/100</f>
        <v>8.3321913390833551</v>
      </c>
      <c r="BR277" s="24">
        <v>850000</v>
      </c>
    </row>
    <row r="278" spans="2:70" ht="26.15" hidden="1" customHeight="1">
      <c r="B278" s="110" t="s">
        <v>1705</v>
      </c>
      <c r="C278" s="110" t="s">
        <v>1710</v>
      </c>
      <c r="D278" s="110" t="s">
        <v>3994</v>
      </c>
      <c r="E278" s="103">
        <v>2013</v>
      </c>
      <c r="F278" s="108" t="s">
        <v>8779</v>
      </c>
      <c r="G278" s="111" t="s">
        <v>109</v>
      </c>
      <c r="H278" s="110" t="s">
        <v>10451</v>
      </c>
      <c r="I278" s="112">
        <f>IF(Dashboard!$B$16="Current USD",'Bottom-up tagging'!BR278,'Bottom-up tagging'!BR278/'Bottom-up tagging'!BQ278)</f>
        <v>643099.50836362108</v>
      </c>
      <c r="J278" s="117" t="s">
        <v>10474</v>
      </c>
      <c r="K278" s="112"/>
      <c r="L278" s="135">
        <v>1</v>
      </c>
      <c r="M278" s="135">
        <v>1</v>
      </c>
      <c r="N278" s="112"/>
      <c r="O278" s="112"/>
      <c r="P278" s="112" t="str">
        <f>VLOOKUP(B278, 'Companies covered restructured'!$B$7:$K$470, 9, FALSE)</f>
        <v>Animal and fish monitoring systems</v>
      </c>
      <c r="Q278" s="112" t="str">
        <f>VLOOKUP(B278, 'Companies covered restructured'!$B$7:$K$470, 6, FALSE)</f>
        <v>#Fisheries and Aquaculture(100)</v>
      </c>
      <c r="R278" s="112" t="str">
        <f t="shared" si="142"/>
        <v>#Investment Fund(100)</v>
      </c>
      <c r="S278" s="112" t="s">
        <v>11003</v>
      </c>
      <c r="T278" s="112" t="s">
        <v>10466</v>
      </c>
      <c r="U278" s="103" t="s">
        <v>10970</v>
      </c>
      <c r="V278" s="112" t="str">
        <f>VLOOKUP(P278, 'Bottom-up Tagging Assumptions'!$B$12:$F$39, 5, FALSE)</f>
        <v>#Product Development(100)</v>
      </c>
      <c r="W278" s="112" t="str">
        <f>VLOOKUP(B278, 'Companies covered restructured'!$B$7:$K$470, 7, FALSE)</f>
        <v>#Field/Animal Herd(100)</v>
      </c>
      <c r="X278" s="112" t="s">
        <v>10558</v>
      </c>
      <c r="Y278" s="212" t="str">
        <f>VLOOKUP(P278, 'Bottom-up Tagging Assumptions'!$B$12:$C$56, 2, FALSE)</f>
        <v>#Productivity(P); Other economic(S)</v>
      </c>
      <c r="Z278" s="112" t="str">
        <f>VLOOKUP(P278, 'Bottom-up Tagging Assumptions'!$B$12:$F$56, 3, FALSE)</f>
        <v>#Increasing crop or animal yield(P)</v>
      </c>
      <c r="AA278" s="112" t="str">
        <f>VLOOKUP(P278, 'Bottom-up Tagging Assumptions'!$B$12:$F$56, 4, FALSE)</f>
        <v>#Level 2(100)</v>
      </c>
      <c r="AB278" s="110" t="s">
        <v>643</v>
      </c>
      <c r="AC278" s="110"/>
      <c r="AD278" s="110" t="s">
        <v>644</v>
      </c>
      <c r="AE278" s="110" t="s">
        <v>3114</v>
      </c>
      <c r="AF278" s="112">
        <v>6780764</v>
      </c>
      <c r="AG278" s="110" t="s">
        <v>1711</v>
      </c>
      <c r="AH278" s="121">
        <f t="shared" si="143"/>
        <v>0</v>
      </c>
      <c r="AI278" s="121">
        <f t="shared" si="144"/>
        <v>1</v>
      </c>
      <c r="AJ278" s="121">
        <f t="shared" si="145"/>
        <v>1</v>
      </c>
      <c r="AK278" s="121">
        <f t="shared" si="146"/>
        <v>0</v>
      </c>
      <c r="AL278" s="121">
        <f t="shared" si="147"/>
        <v>0</v>
      </c>
      <c r="AM278" s="121">
        <f t="shared" si="148"/>
        <v>0</v>
      </c>
      <c r="AN278" s="121">
        <f t="shared" si="149"/>
        <v>0</v>
      </c>
      <c r="AO278" s="121">
        <f t="shared" si="150"/>
        <v>0</v>
      </c>
      <c r="AP278" s="22">
        <f t="shared" si="151"/>
        <v>0</v>
      </c>
      <c r="AQ278" s="22">
        <f t="shared" si="152"/>
        <v>0</v>
      </c>
      <c r="AR278" s="22">
        <f t="shared" si="153"/>
        <v>0</v>
      </c>
      <c r="AS278" s="121" t="str">
        <f t="shared" si="154"/>
        <v>Fisheries and Aquaculture</v>
      </c>
      <c r="AT278" s="121" t="str">
        <f t="shared" si="171"/>
        <v xml:space="preserve"> </v>
      </c>
      <c r="AU278" s="121" t="str">
        <f t="shared" si="171"/>
        <v xml:space="preserve"> </v>
      </c>
      <c r="AV278" s="121" t="str">
        <f t="shared" si="171"/>
        <v xml:space="preserve"> </v>
      </c>
      <c r="AW278" s="130" t="str">
        <f t="shared" si="172"/>
        <v>100</v>
      </c>
      <c r="AX278" s="130" t="str">
        <f t="shared" si="172"/>
        <v xml:space="preserve"> </v>
      </c>
      <c r="AY278" s="130" t="str">
        <f t="shared" si="172"/>
        <v xml:space="preserve"> </v>
      </c>
      <c r="AZ278" s="130" t="str">
        <f t="shared" si="172"/>
        <v xml:space="preserve"> </v>
      </c>
      <c r="BA278" s="121">
        <f t="shared" si="155"/>
        <v>643099.50836362108</v>
      </c>
      <c r="BB278" s="121">
        <f t="shared" si="156"/>
        <v>0</v>
      </c>
      <c r="BC278" s="121">
        <f t="shared" si="157"/>
        <v>0</v>
      </c>
      <c r="BD278" s="121">
        <f t="shared" si="158"/>
        <v>0</v>
      </c>
      <c r="BE278" s="121">
        <f t="shared" si="159"/>
        <v>0</v>
      </c>
      <c r="BF278" s="121">
        <f t="shared" si="160"/>
        <v>0</v>
      </c>
      <c r="BG278" s="121">
        <f t="shared" si="161"/>
        <v>0</v>
      </c>
      <c r="BH278" s="121">
        <f t="shared" si="162"/>
        <v>0</v>
      </c>
      <c r="BI278" s="121">
        <f t="shared" si="163"/>
        <v>0</v>
      </c>
      <c r="BJ278" s="121">
        <f t="shared" si="164"/>
        <v>0</v>
      </c>
      <c r="BK278" s="121">
        <f t="shared" si="165"/>
        <v>0</v>
      </c>
      <c r="BL278" s="121">
        <f t="shared" si="166"/>
        <v>0</v>
      </c>
      <c r="BM278" s="121">
        <f t="shared" si="167"/>
        <v>0</v>
      </c>
      <c r="BN278" s="121">
        <f t="shared" si="168"/>
        <v>0</v>
      </c>
      <c r="BO278" s="121">
        <f t="shared" si="169"/>
        <v>0</v>
      </c>
      <c r="BP278" s="121">
        <f t="shared" si="170"/>
        <v>0</v>
      </c>
      <c r="BQ278" s="199">
        <f>INDEX('GDP deflators'!$C$6:$M$36,MATCH('Bottom-up tagging'!$D278,'GDP deflators'!$B$6:$B$36,),MATCH('Bottom-up tagging'!$E278,'GDP deflators'!$C$5:$L$5,))/100</f>
        <v>1.2462146053248888</v>
      </c>
      <c r="BR278" s="24">
        <v>801440</v>
      </c>
    </row>
    <row r="279" spans="2:70" ht="26.15" hidden="1" customHeight="1">
      <c r="B279" s="110" t="s">
        <v>1784</v>
      </c>
      <c r="C279" s="110" t="s">
        <v>935</v>
      </c>
      <c r="D279" s="110" t="s">
        <v>2057</v>
      </c>
      <c r="E279" s="103">
        <v>2018</v>
      </c>
      <c r="F279" s="108" t="s">
        <v>5767</v>
      </c>
      <c r="G279" s="111" t="s">
        <v>124</v>
      </c>
      <c r="H279" s="110" t="s">
        <v>10451</v>
      </c>
      <c r="I279" s="112">
        <f>IF(Dashboard!$B$16="Current USD",'Bottom-up tagging'!BR279,'Bottom-up tagging'!BR279/'Bottom-up tagging'!BQ279)</f>
        <v>631959.29489716096</v>
      </c>
      <c r="J279" s="118" t="s">
        <v>10474</v>
      </c>
      <c r="K279" s="112"/>
      <c r="L279" s="135">
        <v>1</v>
      </c>
      <c r="M279" s="135">
        <v>1</v>
      </c>
      <c r="N279" s="112"/>
      <c r="O279" s="112"/>
      <c r="P279" s="112" t="str">
        <f>VLOOKUP(B279, 'Companies covered restructured'!$B$7:$K$470, 9, FALSE)</f>
        <v xml:space="preserve">Hydroponics </v>
      </c>
      <c r="Q279" s="112" t="str">
        <f>VLOOKUP(B279, 'Companies covered restructured'!$B$7:$K$470, 6, FALSE)</f>
        <v>#Crops(100)</v>
      </c>
      <c r="R279" s="112" t="str">
        <f t="shared" si="142"/>
        <v>N/A</v>
      </c>
      <c r="S279" s="112" t="s">
        <v>11003</v>
      </c>
      <c r="T279" s="112" t="s">
        <v>10466</v>
      </c>
      <c r="U279" s="103" t="s">
        <v>10970</v>
      </c>
      <c r="V279" s="112" t="str">
        <f>VLOOKUP(P279, 'Bottom-up Tagging Assumptions'!$B$12:$F$39, 5, FALSE)</f>
        <v>#Science &amp; tech(100)</v>
      </c>
      <c r="W279" s="112" t="str">
        <f>VLOOKUP(B279, 'Companies covered restructured'!$B$7:$K$470, 7, FALSE)</f>
        <v>#Field/Animal Herd(100)</v>
      </c>
      <c r="X279" s="112" t="s">
        <v>10558</v>
      </c>
      <c r="Y279" s="212" t="str">
        <f>VLOOKUP(P279, 'Bottom-up Tagging Assumptions'!$B$12:$C$56, 2, FALSE)</f>
        <v>#Human Condition(P); #Environmental(S); #Productivity(S)</v>
      </c>
      <c r="Z279" s="112" t="str">
        <f>VLOOKUP(P279, 'Bottom-up Tagging Assumptions'!$B$12:$F$56, 3, FALSE)</f>
        <v>#Food security(P); #Reducing production variability(S)</v>
      </c>
      <c r="AA279" s="112" t="str">
        <f>VLOOKUP(P279, 'Bottom-up Tagging Assumptions'!$B$12:$F$56, 4, FALSE)</f>
        <v>#Level 2(100)</v>
      </c>
      <c r="AB279" s="110"/>
      <c r="AC279" s="110"/>
      <c r="AD279" s="110"/>
      <c r="AE279" s="110" t="s">
        <v>10558</v>
      </c>
      <c r="AF279" s="112"/>
      <c r="AG279" s="110" t="s">
        <v>1210</v>
      </c>
      <c r="AH279" s="121">
        <f t="shared" si="143"/>
        <v>1</v>
      </c>
      <c r="AI279" s="121">
        <f t="shared" si="144"/>
        <v>1</v>
      </c>
      <c r="AJ279" s="121">
        <f t="shared" si="145"/>
        <v>0</v>
      </c>
      <c r="AK279" s="121">
        <f t="shared" si="146"/>
        <v>0</v>
      </c>
      <c r="AL279" s="121">
        <f t="shared" si="147"/>
        <v>1</v>
      </c>
      <c r="AM279" s="121">
        <f t="shared" si="148"/>
        <v>1</v>
      </c>
      <c r="AN279" s="121">
        <f t="shared" si="149"/>
        <v>1</v>
      </c>
      <c r="AO279" s="121">
        <f t="shared" si="150"/>
        <v>1</v>
      </c>
      <c r="AP279" s="22">
        <f t="shared" si="151"/>
        <v>631959.29489716096</v>
      </c>
      <c r="AQ279" s="22">
        <f t="shared" si="152"/>
        <v>631959.29489716096</v>
      </c>
      <c r="AR279" s="22">
        <f t="shared" si="153"/>
        <v>631959.29489716096</v>
      </c>
      <c r="AS279" s="121" t="str">
        <f t="shared" si="154"/>
        <v>Crops</v>
      </c>
      <c r="AT279" s="121" t="str">
        <f t="shared" si="171"/>
        <v xml:space="preserve"> </v>
      </c>
      <c r="AU279" s="121" t="str">
        <f t="shared" si="171"/>
        <v xml:space="preserve"> </v>
      </c>
      <c r="AV279" s="121" t="str">
        <f t="shared" si="171"/>
        <v xml:space="preserve"> </v>
      </c>
      <c r="AW279" s="130" t="str">
        <f t="shared" si="172"/>
        <v>100</v>
      </c>
      <c r="AX279" s="130" t="str">
        <f t="shared" si="172"/>
        <v xml:space="preserve"> </v>
      </c>
      <c r="AY279" s="130" t="str">
        <f t="shared" si="172"/>
        <v xml:space="preserve"> </v>
      </c>
      <c r="AZ279" s="130" t="str">
        <f t="shared" si="172"/>
        <v xml:space="preserve"> </v>
      </c>
      <c r="BA279" s="121">
        <f t="shared" si="155"/>
        <v>631959.29489716096</v>
      </c>
      <c r="BB279" s="121">
        <f t="shared" si="156"/>
        <v>0</v>
      </c>
      <c r="BC279" s="121">
        <f t="shared" si="157"/>
        <v>0</v>
      </c>
      <c r="BD279" s="121">
        <f t="shared" si="158"/>
        <v>0</v>
      </c>
      <c r="BE279" s="121">
        <f t="shared" si="159"/>
        <v>631959.29489716096</v>
      </c>
      <c r="BF279" s="121">
        <f t="shared" si="160"/>
        <v>631959.29489716096</v>
      </c>
      <c r="BG279" s="121">
        <f t="shared" si="161"/>
        <v>631959.29489716096</v>
      </c>
      <c r="BH279" s="121">
        <f t="shared" si="162"/>
        <v>631959.29489716096</v>
      </c>
      <c r="BI279" s="121">
        <f t="shared" si="163"/>
        <v>631959.29489716096</v>
      </c>
      <c r="BJ279" s="121">
        <f t="shared" si="164"/>
        <v>631959.29489716096</v>
      </c>
      <c r="BK279" s="121">
        <f t="shared" si="165"/>
        <v>631959.29489716096</v>
      </c>
      <c r="BL279" s="121">
        <f t="shared" si="166"/>
        <v>631959.29489716096</v>
      </c>
      <c r="BM279" s="121">
        <f t="shared" si="167"/>
        <v>631959.29489716096</v>
      </c>
      <c r="BN279" s="121">
        <f t="shared" si="168"/>
        <v>631959.29489716096</v>
      </c>
      <c r="BO279" s="121">
        <f t="shared" si="169"/>
        <v>631959.29489716096</v>
      </c>
      <c r="BP279" s="121">
        <f t="shared" si="170"/>
        <v>631959.29489716096</v>
      </c>
      <c r="BQ279" s="199">
        <f>INDEX('GDP deflators'!$C$6:$M$36,MATCH('Bottom-up tagging'!$D279,'GDP deflators'!$B$6:$B$36,),MATCH('Bottom-up tagging'!$E279,'GDP deflators'!$C$5:$L$5,))/100</f>
        <v>1.2487972031939574</v>
      </c>
      <c r="BR279" s="24">
        <v>789189</v>
      </c>
    </row>
    <row r="280" spans="2:70" ht="26.15" hidden="1" customHeight="1">
      <c r="B280" s="110" t="s">
        <v>2786</v>
      </c>
      <c r="C280" s="110" t="s">
        <v>2788</v>
      </c>
      <c r="D280" s="110" t="s">
        <v>3994</v>
      </c>
      <c r="E280" s="103">
        <v>2014</v>
      </c>
      <c r="F280" s="108" t="s">
        <v>10398</v>
      </c>
      <c r="G280" s="111" t="s">
        <v>34</v>
      </c>
      <c r="H280" s="110" t="s">
        <v>10451</v>
      </c>
      <c r="I280" s="112">
        <f>IF(Dashboard!$B$16="Current USD",'Bottom-up tagging'!BR280,'Bottom-up tagging'!BR280/'Bottom-up tagging'!BQ280)</f>
        <v>609267.22336300183</v>
      </c>
      <c r="J280" s="118" t="s">
        <v>10474</v>
      </c>
      <c r="K280" s="112"/>
      <c r="L280" s="135">
        <v>1</v>
      </c>
      <c r="M280" s="135">
        <v>1</v>
      </c>
      <c r="N280" s="112"/>
      <c r="O280" s="112"/>
      <c r="P280" s="112" t="str">
        <f>VLOOKUP(B280, 'Companies covered restructured'!$B$7:$K$470, 9, FALSE)</f>
        <v>Supply chain technologies</v>
      </c>
      <c r="Q280" s="112" t="str">
        <f>VLOOKUP(B280, 'Companies covered restructured'!$B$7:$K$470, 6, FALSE)</f>
        <v>#Crops(100)</v>
      </c>
      <c r="R280" s="112" t="str">
        <f t="shared" si="142"/>
        <v>#Investment Fund(100)</v>
      </c>
      <c r="S280" s="112" t="s">
        <v>11003</v>
      </c>
      <c r="T280" s="112" t="s">
        <v>10466</v>
      </c>
      <c r="U280" s="103" t="s">
        <v>10970</v>
      </c>
      <c r="V280" s="112" t="str">
        <f>VLOOKUP(P280, 'Bottom-up Tagging Assumptions'!$B$12:$F$39, 5, FALSE)</f>
        <v>#Process Innovation(100)</v>
      </c>
      <c r="W280" s="112" t="str">
        <f>VLOOKUP(B280, 'Companies covered restructured'!$B$7:$K$470, 7, FALSE)</f>
        <v>N/A</v>
      </c>
      <c r="X280" s="112" t="str">
        <f>VLOOKUP(B280, 'Companies covered restructured'!$B$7:$K$470, 8, FALSE)</f>
        <v>N/A</v>
      </c>
      <c r="Y280" s="212" t="str">
        <f>VLOOKUP(P280, 'Bottom-up Tagging Assumptions'!$B$12:$C$56, 2, FALSE)</f>
        <v>#Other Economic(P); Social(S)</v>
      </c>
      <c r="Z280" s="112" t="str">
        <f>VLOOKUP(P280, 'Bottom-up Tagging Assumptions'!$B$12:$F$56, 3, FALSE)</f>
        <v>#Improve price realization(P)</v>
      </c>
      <c r="AA280" s="112" t="str">
        <f>VLOOKUP(P280, 'Bottom-up Tagging Assumptions'!$B$12:$F$56, 4, FALSE)</f>
        <v>#Level 3(100)</v>
      </c>
      <c r="AB280" s="110" t="s">
        <v>643</v>
      </c>
      <c r="AC280" s="110"/>
      <c r="AD280" s="110" t="s">
        <v>644</v>
      </c>
      <c r="AE280" s="110" t="str">
        <f>VLOOKUP(AD280,  '1.2'!$B$7:$C$2033, 2, FALSE)</f>
        <v>FUND</v>
      </c>
      <c r="AF280" s="112"/>
      <c r="AG280" s="110" t="s">
        <v>2202</v>
      </c>
      <c r="AH280" s="121">
        <f t="shared" si="143"/>
        <v>0</v>
      </c>
      <c r="AI280" s="121">
        <f t="shared" si="144"/>
        <v>0</v>
      </c>
      <c r="AJ280" s="121">
        <f t="shared" si="145"/>
        <v>1</v>
      </c>
      <c r="AK280" s="121">
        <f t="shared" si="146"/>
        <v>1</v>
      </c>
      <c r="AL280" s="121">
        <f t="shared" si="147"/>
        <v>0</v>
      </c>
      <c r="AM280" s="121">
        <f t="shared" si="148"/>
        <v>0</v>
      </c>
      <c r="AN280" s="121">
        <f t="shared" si="149"/>
        <v>1</v>
      </c>
      <c r="AO280" s="121">
        <f t="shared" si="150"/>
        <v>0</v>
      </c>
      <c r="AP280" s="22">
        <f t="shared" si="151"/>
        <v>0</v>
      </c>
      <c r="AQ280" s="22">
        <f t="shared" si="152"/>
        <v>609267.22336300183</v>
      </c>
      <c r="AR280" s="22">
        <f t="shared" si="153"/>
        <v>0</v>
      </c>
      <c r="AS280" s="121" t="str">
        <f t="shared" si="154"/>
        <v>Crops</v>
      </c>
      <c r="AT280" s="121" t="str">
        <f t="shared" si="171"/>
        <v xml:space="preserve"> </v>
      </c>
      <c r="AU280" s="121" t="str">
        <f t="shared" si="171"/>
        <v xml:space="preserve"> </v>
      </c>
      <c r="AV280" s="121" t="str">
        <f t="shared" si="171"/>
        <v xml:space="preserve"> </v>
      </c>
      <c r="AW280" s="130" t="str">
        <f t="shared" si="172"/>
        <v>100</v>
      </c>
      <c r="AX280" s="130" t="str">
        <f t="shared" si="172"/>
        <v xml:space="preserve"> </v>
      </c>
      <c r="AY280" s="130" t="str">
        <f t="shared" si="172"/>
        <v xml:space="preserve"> </v>
      </c>
      <c r="AZ280" s="130" t="str">
        <f t="shared" si="172"/>
        <v xml:space="preserve"> </v>
      </c>
      <c r="BA280" s="121">
        <f t="shared" si="155"/>
        <v>609267.22336300183</v>
      </c>
      <c r="BB280" s="121">
        <f t="shared" si="156"/>
        <v>0</v>
      </c>
      <c r="BC280" s="121">
        <f t="shared" si="157"/>
        <v>0</v>
      </c>
      <c r="BD280" s="121">
        <f t="shared" si="158"/>
        <v>0</v>
      </c>
      <c r="BE280" s="121">
        <f t="shared" si="159"/>
        <v>0</v>
      </c>
      <c r="BF280" s="121">
        <f t="shared" si="160"/>
        <v>0</v>
      </c>
      <c r="BG280" s="121">
        <f t="shared" si="161"/>
        <v>0</v>
      </c>
      <c r="BH280" s="121">
        <f t="shared" si="162"/>
        <v>0</v>
      </c>
      <c r="BI280" s="121">
        <f t="shared" si="163"/>
        <v>609267.22336300183</v>
      </c>
      <c r="BJ280" s="121">
        <f t="shared" si="164"/>
        <v>609267.22336300183</v>
      </c>
      <c r="BK280" s="121">
        <f t="shared" si="165"/>
        <v>609267.22336300183</v>
      </c>
      <c r="BL280" s="121">
        <f t="shared" si="166"/>
        <v>609267.22336300183</v>
      </c>
      <c r="BM280" s="121">
        <f t="shared" si="167"/>
        <v>0</v>
      </c>
      <c r="BN280" s="121">
        <f t="shared" si="168"/>
        <v>0</v>
      </c>
      <c r="BO280" s="121">
        <f t="shared" si="169"/>
        <v>0</v>
      </c>
      <c r="BP280" s="121">
        <f t="shared" si="170"/>
        <v>0</v>
      </c>
      <c r="BQ280" s="199">
        <f>INDEX('GDP deflators'!$C$6:$M$36,MATCH('Bottom-up tagging'!$D280,'GDP deflators'!$B$6:$B$36,),MATCH('Bottom-up tagging'!$E280,'GDP deflators'!$C$5:$L$5,))/100</f>
        <v>1.2877354466392321</v>
      </c>
      <c r="BR280" s="24">
        <v>784575</v>
      </c>
    </row>
    <row r="281" spans="2:70" ht="26.15" hidden="1" customHeight="1">
      <c r="B281" s="110" t="s">
        <v>160</v>
      </c>
      <c r="C281" s="110" t="s">
        <v>164</v>
      </c>
      <c r="D281" s="110" t="s">
        <v>3994</v>
      </c>
      <c r="E281" s="103">
        <v>2017</v>
      </c>
      <c r="F281" s="108" t="s">
        <v>7497</v>
      </c>
      <c r="G281" s="111" t="s">
        <v>34</v>
      </c>
      <c r="H281" s="110" t="s">
        <v>10451</v>
      </c>
      <c r="I281" s="112">
        <f>IF(Dashboard!$B$16="Current USD",'Bottom-up tagging'!BR281,'Bottom-up tagging'!BR281/'Bottom-up tagging'!BQ281)</f>
        <v>555591.06610064674</v>
      </c>
      <c r="J281" s="117" t="s">
        <v>10474</v>
      </c>
      <c r="K281" s="112"/>
      <c r="L281" s="135">
        <v>1</v>
      </c>
      <c r="M281" s="135">
        <v>1</v>
      </c>
      <c r="N281" s="112"/>
      <c r="O281" s="112"/>
      <c r="P281" s="112" t="str">
        <f>VLOOKUP(B281, 'Companies covered restructured'!$B$7:$K$470, 9, FALSE)</f>
        <v>Supply chain technologies</v>
      </c>
      <c r="Q281" s="112" t="str">
        <f>VLOOKUP(B281, 'Companies covered restructured'!$B$7:$K$470, 6, FALSE)</f>
        <v>#Crops(100)</v>
      </c>
      <c r="R281" s="112" t="str">
        <f t="shared" si="142"/>
        <v>#Investment Fund(100)</v>
      </c>
      <c r="S281" s="112" t="s">
        <v>11003</v>
      </c>
      <c r="T281" s="112" t="s">
        <v>10466</v>
      </c>
      <c r="U281" s="103" t="s">
        <v>10970</v>
      </c>
      <c r="V281" s="112" t="str">
        <f>VLOOKUP(P281, 'Bottom-up Tagging Assumptions'!$B$12:$F$39, 5, FALSE)</f>
        <v>#Process Innovation(100)</v>
      </c>
      <c r="W281" s="112" t="str">
        <f>VLOOKUP(B281, 'Companies covered restructured'!$B$7:$K$470, 7, FALSE)</f>
        <v>#Farm/Household(100)</v>
      </c>
      <c r="X281" s="112" t="s">
        <v>10558</v>
      </c>
      <c r="Y281" s="212" t="str">
        <f>VLOOKUP(P281, 'Bottom-up Tagging Assumptions'!$B$12:$C$56, 2, FALSE)</f>
        <v>#Other Economic(P); Social(S)</v>
      </c>
      <c r="Z281" s="112" t="str">
        <f>VLOOKUP(P281, 'Bottom-up Tagging Assumptions'!$B$12:$F$56, 3, FALSE)</f>
        <v>#Improve price realization(P)</v>
      </c>
      <c r="AA281" s="112" t="str">
        <f>VLOOKUP(P281, 'Bottom-up Tagging Assumptions'!$B$12:$F$56, 4, FALSE)</f>
        <v>#Level 3(100)</v>
      </c>
      <c r="AB281" s="110" t="s">
        <v>2015</v>
      </c>
      <c r="AC281" s="110" t="s">
        <v>2016</v>
      </c>
      <c r="AD281" s="110" t="s">
        <v>2017</v>
      </c>
      <c r="AE281" s="110" t="str">
        <f>VLOOKUP(AD281,  '1.2'!$B$7:$C$2033, 2, FALSE)</f>
        <v>FUND</v>
      </c>
      <c r="AF281" s="112">
        <v>2257449</v>
      </c>
      <c r="AG281" s="110" t="s">
        <v>1691</v>
      </c>
      <c r="AH281" s="121">
        <f t="shared" si="143"/>
        <v>0</v>
      </c>
      <c r="AI281" s="121">
        <f t="shared" si="144"/>
        <v>0</v>
      </c>
      <c r="AJ281" s="121">
        <f t="shared" si="145"/>
        <v>1</v>
      </c>
      <c r="AK281" s="121">
        <f t="shared" si="146"/>
        <v>1</v>
      </c>
      <c r="AL281" s="121">
        <f t="shared" si="147"/>
        <v>0</v>
      </c>
      <c r="AM281" s="121">
        <f t="shared" si="148"/>
        <v>0</v>
      </c>
      <c r="AN281" s="121">
        <f t="shared" si="149"/>
        <v>1</v>
      </c>
      <c r="AO281" s="121">
        <f t="shared" si="150"/>
        <v>0</v>
      </c>
      <c r="AP281" s="22">
        <f t="shared" si="151"/>
        <v>0</v>
      </c>
      <c r="AQ281" s="22">
        <f t="shared" si="152"/>
        <v>555591.06610064674</v>
      </c>
      <c r="AR281" s="22">
        <f t="shared" si="153"/>
        <v>0</v>
      </c>
      <c r="AS281" s="121" t="str">
        <f t="shared" si="154"/>
        <v>Crops</v>
      </c>
      <c r="AT281" s="121" t="str">
        <f t="shared" si="171"/>
        <v xml:space="preserve"> </v>
      </c>
      <c r="AU281" s="121" t="str">
        <f t="shared" si="171"/>
        <v xml:space="preserve"> </v>
      </c>
      <c r="AV281" s="121" t="str">
        <f t="shared" si="171"/>
        <v xml:space="preserve"> </v>
      </c>
      <c r="AW281" s="130" t="str">
        <f t="shared" si="172"/>
        <v>100</v>
      </c>
      <c r="AX281" s="130" t="str">
        <f t="shared" si="172"/>
        <v xml:space="preserve"> </v>
      </c>
      <c r="AY281" s="130" t="str">
        <f t="shared" si="172"/>
        <v xml:space="preserve"> </v>
      </c>
      <c r="AZ281" s="130" t="str">
        <f t="shared" si="172"/>
        <v xml:space="preserve"> </v>
      </c>
      <c r="BA281" s="121">
        <f t="shared" si="155"/>
        <v>555591.06610064674</v>
      </c>
      <c r="BB281" s="121">
        <f t="shared" si="156"/>
        <v>0</v>
      </c>
      <c r="BC281" s="121">
        <f t="shared" si="157"/>
        <v>0</v>
      </c>
      <c r="BD281" s="121">
        <f t="shared" si="158"/>
        <v>0</v>
      </c>
      <c r="BE281" s="121">
        <f t="shared" si="159"/>
        <v>0</v>
      </c>
      <c r="BF281" s="121">
        <f t="shared" si="160"/>
        <v>0</v>
      </c>
      <c r="BG281" s="121">
        <f t="shared" si="161"/>
        <v>0</v>
      </c>
      <c r="BH281" s="121">
        <f t="shared" si="162"/>
        <v>0</v>
      </c>
      <c r="BI281" s="121">
        <f t="shared" si="163"/>
        <v>555591.06610064674</v>
      </c>
      <c r="BJ281" s="121">
        <f t="shared" si="164"/>
        <v>555591.06610064674</v>
      </c>
      <c r="BK281" s="121">
        <f t="shared" si="165"/>
        <v>555591.06610064674</v>
      </c>
      <c r="BL281" s="121">
        <f t="shared" si="166"/>
        <v>555591.06610064674</v>
      </c>
      <c r="BM281" s="121">
        <f t="shared" si="167"/>
        <v>0</v>
      </c>
      <c r="BN281" s="121">
        <f t="shared" si="168"/>
        <v>0</v>
      </c>
      <c r="BO281" s="121">
        <f t="shared" si="169"/>
        <v>0</v>
      </c>
      <c r="BP281" s="121">
        <f t="shared" si="170"/>
        <v>0</v>
      </c>
      <c r="BQ281" s="199">
        <f>INDEX('GDP deflators'!$C$6:$M$36,MATCH('Bottom-up tagging'!$D281,'GDP deflators'!$B$6:$B$36,),MATCH('Bottom-up tagging'!$E281,'GDP deflators'!$C$5:$L$5,))/100</f>
        <v>1.4111098032990623</v>
      </c>
      <c r="BR281" s="24">
        <v>784000</v>
      </c>
    </row>
    <row r="282" spans="2:70" ht="26.15" hidden="1" customHeight="1">
      <c r="B282" s="110" t="s">
        <v>641</v>
      </c>
      <c r="C282" s="110" t="s">
        <v>645</v>
      </c>
      <c r="D282" s="110" t="s">
        <v>3994</v>
      </c>
      <c r="E282" s="103">
        <v>2018</v>
      </c>
      <c r="F282" s="108" t="s">
        <v>8736</v>
      </c>
      <c r="G282" s="111" t="s">
        <v>109</v>
      </c>
      <c r="H282" s="110" t="s">
        <v>10451</v>
      </c>
      <c r="I282" s="112">
        <f>IF(Dashboard!$B$16="Current USD",'Bottom-up tagging'!BR282,'Bottom-up tagging'!BR282/'Bottom-up tagging'!BQ282)</f>
        <v>530132.45666770253</v>
      </c>
      <c r="J282" s="117" t="s">
        <v>10474</v>
      </c>
      <c r="K282" s="112"/>
      <c r="L282" s="135">
        <v>1</v>
      </c>
      <c r="M282" s="135">
        <v>1</v>
      </c>
      <c r="N282" s="112"/>
      <c r="O282" s="112"/>
      <c r="P282" s="112" t="str">
        <f>VLOOKUP(B282, 'Companies covered restructured'!$B$7:$K$470, 9, FALSE)</f>
        <v>Irrigation systems</v>
      </c>
      <c r="Q282" s="112" t="str">
        <f>VLOOKUP(B282, 'Companies covered restructured'!$B$7:$K$470, 6, FALSE)</f>
        <v>#Crops(100)</v>
      </c>
      <c r="R282" s="112" t="str">
        <f t="shared" si="142"/>
        <v>#Investment Fund(100)</v>
      </c>
      <c r="S282" s="112" t="s">
        <v>11003</v>
      </c>
      <c r="T282" s="112" t="s">
        <v>10466</v>
      </c>
      <c r="U282" s="103" t="s">
        <v>10970</v>
      </c>
      <c r="V282" s="212" t="s">
        <v>10977</v>
      </c>
      <c r="W282" s="112" t="str">
        <f>VLOOKUP(B282, 'Companies covered restructured'!$B$7:$K$470, 7, FALSE)</f>
        <v>#Farm/Household(100)</v>
      </c>
      <c r="X282" s="112" t="s">
        <v>10558</v>
      </c>
      <c r="Y282" s="212" t="str">
        <f>VLOOKUP(P282, 'Bottom-up Tagging Assumptions'!$B$12:$C$56, 2, FALSE)</f>
        <v>#Other Economic(P); Environmental(S)</v>
      </c>
      <c r="Z282" s="112" t="str">
        <f>VLOOKUP(P282, 'Bottom-up Tagging Assumptions'!$B$12:$F$56, 3, FALSE)</f>
        <v>#Waste reduction(P)</v>
      </c>
      <c r="AA282" s="112" t="str">
        <f>VLOOKUP(P282, 'Bottom-up Tagging Assumptions'!$B$12:$F$56, 4, FALSE)</f>
        <v>#Level 1(100)</v>
      </c>
      <c r="AB282" s="110" t="s">
        <v>643</v>
      </c>
      <c r="AC282" s="110"/>
      <c r="AD282" s="110" t="s">
        <v>644</v>
      </c>
      <c r="AE282" s="110" t="str">
        <f>VLOOKUP(AD282,  '1.2'!$B$7:$C$2033, 2, FALSE)</f>
        <v>FUND</v>
      </c>
      <c r="AF282" s="112">
        <v>205825</v>
      </c>
      <c r="AG282" s="110" t="s">
        <v>2004</v>
      </c>
      <c r="AH282" s="121">
        <f t="shared" si="143"/>
        <v>1</v>
      </c>
      <c r="AI282" s="121">
        <f t="shared" si="144"/>
        <v>0</v>
      </c>
      <c r="AJ282" s="121">
        <f t="shared" si="145"/>
        <v>1</v>
      </c>
      <c r="AK282" s="121">
        <f t="shared" si="146"/>
        <v>0</v>
      </c>
      <c r="AL282" s="121">
        <f t="shared" si="147"/>
        <v>0</v>
      </c>
      <c r="AM282" s="121">
        <f t="shared" si="148"/>
        <v>0</v>
      </c>
      <c r="AN282" s="121">
        <f t="shared" si="149"/>
        <v>1</v>
      </c>
      <c r="AO282" s="121">
        <f t="shared" si="150"/>
        <v>0</v>
      </c>
      <c r="AP282" s="22">
        <f t="shared" si="151"/>
        <v>0</v>
      </c>
      <c r="AQ282" s="22">
        <f t="shared" si="152"/>
        <v>530132.45666770253</v>
      </c>
      <c r="AR282" s="22">
        <f t="shared" si="153"/>
        <v>0</v>
      </c>
      <c r="AS282" s="121" t="str">
        <f t="shared" si="154"/>
        <v>Crops</v>
      </c>
      <c r="AT282" s="121" t="str">
        <f t="shared" si="171"/>
        <v xml:space="preserve"> </v>
      </c>
      <c r="AU282" s="121" t="str">
        <f t="shared" si="171"/>
        <v xml:space="preserve"> </v>
      </c>
      <c r="AV282" s="121" t="str">
        <f t="shared" si="171"/>
        <v xml:space="preserve"> </v>
      </c>
      <c r="AW282" s="130" t="str">
        <f t="shared" si="172"/>
        <v>100</v>
      </c>
      <c r="AX282" s="130" t="str">
        <f t="shared" si="172"/>
        <v xml:space="preserve"> </v>
      </c>
      <c r="AY282" s="130" t="str">
        <f t="shared" si="172"/>
        <v xml:space="preserve"> </v>
      </c>
      <c r="AZ282" s="130" t="str">
        <f t="shared" si="172"/>
        <v xml:space="preserve"> </v>
      </c>
      <c r="BA282" s="121">
        <f t="shared" si="155"/>
        <v>530132.45666770253</v>
      </c>
      <c r="BB282" s="121">
        <f t="shared" si="156"/>
        <v>0</v>
      </c>
      <c r="BC282" s="121">
        <f t="shared" si="157"/>
        <v>0</v>
      </c>
      <c r="BD282" s="121">
        <f t="shared" si="158"/>
        <v>0</v>
      </c>
      <c r="BE282" s="121">
        <f t="shared" si="159"/>
        <v>0</v>
      </c>
      <c r="BF282" s="121">
        <f t="shared" si="160"/>
        <v>0</v>
      </c>
      <c r="BG282" s="121">
        <f t="shared" si="161"/>
        <v>0</v>
      </c>
      <c r="BH282" s="121">
        <f t="shared" si="162"/>
        <v>0</v>
      </c>
      <c r="BI282" s="121">
        <f t="shared" si="163"/>
        <v>530132.45666770253</v>
      </c>
      <c r="BJ282" s="121">
        <f t="shared" si="164"/>
        <v>530132.45666770253</v>
      </c>
      <c r="BK282" s="121">
        <f t="shared" si="165"/>
        <v>530132.45666770253</v>
      </c>
      <c r="BL282" s="121">
        <f t="shared" si="166"/>
        <v>530132.45666770253</v>
      </c>
      <c r="BM282" s="121">
        <f t="shared" si="167"/>
        <v>0</v>
      </c>
      <c r="BN282" s="121">
        <f t="shared" si="168"/>
        <v>0</v>
      </c>
      <c r="BO282" s="121">
        <f t="shared" si="169"/>
        <v>0</v>
      </c>
      <c r="BP282" s="121">
        <f t="shared" si="170"/>
        <v>0</v>
      </c>
      <c r="BQ282" s="199">
        <f>INDEX('GDP deflators'!$C$6:$M$36,MATCH('Bottom-up tagging'!$D282,'GDP deflators'!$B$6:$B$36,),MATCH('Bottom-up tagging'!$E282,'GDP deflators'!$C$5:$L$5,))/100</f>
        <v>1.4753935363936217</v>
      </c>
      <c r="BR282" s="24">
        <v>782154</v>
      </c>
    </row>
    <row r="283" spans="2:70" ht="26.15" hidden="1" customHeight="1">
      <c r="B283" s="110" t="s">
        <v>2502</v>
      </c>
      <c r="C283" s="110" t="s">
        <v>2505</v>
      </c>
      <c r="D283" s="110" t="s">
        <v>2057</v>
      </c>
      <c r="E283" s="103">
        <v>2015</v>
      </c>
      <c r="F283" s="108" t="s">
        <v>9054</v>
      </c>
      <c r="G283" s="111" t="s">
        <v>124</v>
      </c>
      <c r="H283" s="110" t="s">
        <v>10451</v>
      </c>
      <c r="I283" s="112">
        <f>IF(Dashboard!$B$16="Current USD",'Bottom-up tagging'!BR283,'Bottom-up tagging'!BR283/'Bottom-up tagging'!BQ283)</f>
        <v>684176.96372298175</v>
      </c>
      <c r="J283" s="118" t="s">
        <v>10474</v>
      </c>
      <c r="K283" s="112"/>
      <c r="L283" s="135">
        <v>1</v>
      </c>
      <c r="M283" s="135">
        <v>1</v>
      </c>
      <c r="N283" s="112"/>
      <c r="O283" s="112"/>
      <c r="P283" s="112" t="str">
        <f>VLOOKUP(B283, 'Companies covered restructured'!$B$7:$K$470, 9, FALSE)</f>
        <v>Agri marketplaces</v>
      </c>
      <c r="Q283" s="112" t="str">
        <f>VLOOKUP(B283, 'Companies covered restructured'!$B$7:$K$470, 6, FALSE)</f>
        <v>#Cross-cutting(100)</v>
      </c>
      <c r="R283" s="112" t="str">
        <f t="shared" si="142"/>
        <v>N/A</v>
      </c>
      <c r="S283" s="112" t="s">
        <v>11003</v>
      </c>
      <c r="T283" s="112" t="s">
        <v>10466</v>
      </c>
      <c r="U283" s="116" t="s">
        <v>10970</v>
      </c>
      <c r="V283" s="112" t="str">
        <f>VLOOKUP(P283, 'Bottom-up Tagging Assumptions'!$B$12:$F$39, 5, FALSE)</f>
        <v>#Process Innovation(100)</v>
      </c>
      <c r="W283" s="112" t="str">
        <f>VLOOKUP(B283, 'Companies covered restructured'!$B$7:$K$470, 7, FALSE)</f>
        <v>#Landscape(100)</v>
      </c>
      <c r="X283" s="112" t="str">
        <f>VLOOKUP(B283, 'Companies covered restructured'!$B$7:$K$470, 8, FALSE)</f>
        <v>N/A</v>
      </c>
      <c r="Y283" s="212" t="str">
        <f>VLOOKUP(P283, 'Bottom-up Tagging Assumptions'!$B$12:$C$56, 2, FALSE)</f>
        <v>#Other Economic(P); Social(S)</v>
      </c>
      <c r="Z283" s="112" t="str">
        <f>VLOOKUP(P283, 'Bottom-up Tagging Assumptions'!$B$12:$F$56, 3, FALSE)</f>
        <v>#Improve price realization(P)</v>
      </c>
      <c r="AA283" s="112" t="str">
        <f>VLOOKUP(P283, 'Bottom-up Tagging Assumptions'!$B$12:$F$56, 4, FALSE)</f>
        <v>#Level 4(100)</v>
      </c>
      <c r="AB283" s="110" t="s">
        <v>2611</v>
      </c>
      <c r="AC283" s="110"/>
      <c r="AD283" s="110"/>
      <c r="AE283" s="110" t="s">
        <v>10558</v>
      </c>
      <c r="AF283" s="112">
        <v>2740519</v>
      </c>
      <c r="AG283" s="110" t="s">
        <v>752</v>
      </c>
      <c r="AH283" s="121">
        <f t="shared" si="143"/>
        <v>0</v>
      </c>
      <c r="AI283" s="121">
        <f t="shared" si="144"/>
        <v>0</v>
      </c>
      <c r="AJ283" s="121">
        <f t="shared" si="145"/>
        <v>1</v>
      </c>
      <c r="AK283" s="121">
        <f t="shared" si="146"/>
        <v>1</v>
      </c>
      <c r="AL283" s="121">
        <f t="shared" si="147"/>
        <v>0</v>
      </c>
      <c r="AM283" s="121">
        <f t="shared" si="148"/>
        <v>0</v>
      </c>
      <c r="AN283" s="121">
        <f t="shared" si="149"/>
        <v>1</v>
      </c>
      <c r="AO283" s="121">
        <f t="shared" si="150"/>
        <v>0</v>
      </c>
      <c r="AP283" s="22">
        <f t="shared" si="151"/>
        <v>0</v>
      </c>
      <c r="AQ283" s="22">
        <f t="shared" si="152"/>
        <v>684176.96372298175</v>
      </c>
      <c r="AR283" s="22">
        <f t="shared" si="153"/>
        <v>0</v>
      </c>
      <c r="AS283" s="121" t="str">
        <f t="shared" si="154"/>
        <v>Cross-cutting</v>
      </c>
      <c r="AT283" s="121" t="str">
        <f t="shared" si="171"/>
        <v xml:space="preserve"> </v>
      </c>
      <c r="AU283" s="121" t="str">
        <f t="shared" si="171"/>
        <v xml:space="preserve"> </v>
      </c>
      <c r="AV283" s="121" t="str">
        <f t="shared" si="171"/>
        <v xml:space="preserve"> </v>
      </c>
      <c r="AW283" s="130" t="str">
        <f t="shared" si="172"/>
        <v>100</v>
      </c>
      <c r="AX283" s="130" t="str">
        <f t="shared" si="172"/>
        <v xml:space="preserve"> </v>
      </c>
      <c r="AY283" s="130" t="str">
        <f t="shared" si="172"/>
        <v xml:space="preserve"> </v>
      </c>
      <c r="AZ283" s="130" t="str">
        <f t="shared" si="172"/>
        <v xml:space="preserve"> </v>
      </c>
      <c r="BA283" s="121">
        <f t="shared" si="155"/>
        <v>684176.96372298186</v>
      </c>
      <c r="BB283" s="121">
        <f t="shared" si="156"/>
        <v>0</v>
      </c>
      <c r="BC283" s="121">
        <f t="shared" si="157"/>
        <v>0</v>
      </c>
      <c r="BD283" s="121">
        <f t="shared" si="158"/>
        <v>0</v>
      </c>
      <c r="BE283" s="121">
        <f t="shared" si="159"/>
        <v>0</v>
      </c>
      <c r="BF283" s="121">
        <f t="shared" si="160"/>
        <v>0</v>
      </c>
      <c r="BG283" s="121">
        <f t="shared" si="161"/>
        <v>0</v>
      </c>
      <c r="BH283" s="121">
        <f t="shared" si="162"/>
        <v>0</v>
      </c>
      <c r="BI283" s="121">
        <f t="shared" si="163"/>
        <v>684176.96372298186</v>
      </c>
      <c r="BJ283" s="121">
        <f t="shared" si="164"/>
        <v>684176.96372298175</v>
      </c>
      <c r="BK283" s="121">
        <f t="shared" si="165"/>
        <v>684176.96372298175</v>
      </c>
      <c r="BL283" s="121">
        <f t="shared" si="166"/>
        <v>684176.96372298175</v>
      </c>
      <c r="BM283" s="121">
        <f t="shared" si="167"/>
        <v>0</v>
      </c>
      <c r="BN283" s="121">
        <f t="shared" si="168"/>
        <v>0</v>
      </c>
      <c r="BO283" s="121">
        <f t="shared" si="169"/>
        <v>0</v>
      </c>
      <c r="BP283" s="121">
        <f t="shared" si="170"/>
        <v>0</v>
      </c>
      <c r="BQ283" s="199">
        <f>INDEX('GDP deflators'!$C$6:$M$36,MATCH('Bottom-up tagging'!$D283,'GDP deflators'!$B$6:$B$36,),MATCH('Bottom-up tagging'!$E283,'GDP deflators'!$C$5:$L$5,))/100</f>
        <v>1.1415175333442258</v>
      </c>
      <c r="BR283" s="24">
        <v>781000</v>
      </c>
    </row>
    <row r="284" spans="2:70" ht="26.15" hidden="1" customHeight="1">
      <c r="B284" s="110" t="s">
        <v>1322</v>
      </c>
      <c r="C284" s="110" t="s">
        <v>1327</v>
      </c>
      <c r="D284" s="110" t="s">
        <v>5208</v>
      </c>
      <c r="E284" s="103">
        <v>2018</v>
      </c>
      <c r="F284" s="108" t="s">
        <v>8038</v>
      </c>
      <c r="G284" s="111" t="s">
        <v>34</v>
      </c>
      <c r="H284" s="110" t="s">
        <v>10451</v>
      </c>
      <c r="I284" s="112">
        <f>IF(Dashboard!$B$16="Current USD",'Bottom-up tagging'!BR284,'Bottom-up tagging'!BR284/'Bottom-up tagging'!BQ284)</f>
        <v>461373.43932092725</v>
      </c>
      <c r="J284" s="117" t="s">
        <v>10474</v>
      </c>
      <c r="K284" s="112"/>
      <c r="L284" s="135">
        <v>1</v>
      </c>
      <c r="M284" s="135">
        <v>1</v>
      </c>
      <c r="N284" s="112"/>
      <c r="O284" s="112"/>
      <c r="P284" s="112" t="str">
        <f>VLOOKUP(B284, 'Companies covered restructured'!$B$7:$K$470, 9, FALSE)</f>
        <v>Equipment automation</v>
      </c>
      <c r="Q284" s="112" t="str">
        <f>VLOOKUP(B284, 'Companies covered restructured'!$B$7:$K$470, 6, FALSE)</f>
        <v>#Crops(100)</v>
      </c>
      <c r="R284" s="112" t="str">
        <f t="shared" si="142"/>
        <v>#Investment Fund(100)</v>
      </c>
      <c r="S284" s="112" t="s">
        <v>11003</v>
      </c>
      <c r="T284" s="112" t="s">
        <v>10466</v>
      </c>
      <c r="U284" s="103" t="s">
        <v>10970</v>
      </c>
      <c r="V284" s="112" t="str">
        <f>VLOOKUP(P284, 'Bottom-up Tagging Assumptions'!$B$12:$F$39, 5, FALSE)</f>
        <v>#Science &amp; tech(100)</v>
      </c>
      <c r="W284" s="112" t="str">
        <f>VLOOKUP(B284, 'Companies covered restructured'!$B$7:$K$470, 7, FALSE)</f>
        <v>#Farm/Household(100)</v>
      </c>
      <c r="X284" s="112" t="str">
        <f>VLOOKUP(B284, 'Companies covered restructured'!$B$7:$K$470, 8, FALSE)</f>
        <v>N/A</v>
      </c>
      <c r="Y284" s="212" t="str">
        <f>VLOOKUP(P284, 'Bottom-up Tagging Assumptions'!$B$12:$C$56, 2, FALSE)</f>
        <v>#Productivity(P); #Other Economic(S)</v>
      </c>
      <c r="Z284" s="112" t="str">
        <f>VLOOKUP(P284, 'Bottom-up Tagging Assumptions'!$B$12:$F$56, 3, FALSE)</f>
        <v>#Reducing human effort(P); #Increasing output per unit input(S)</v>
      </c>
      <c r="AA284" s="112" t="str">
        <f>VLOOKUP(P284, 'Bottom-up Tagging Assumptions'!$B$12:$F$56, 4, FALSE)</f>
        <v>#Level 1(100)</v>
      </c>
      <c r="AB284" s="110" t="s">
        <v>1324</v>
      </c>
      <c r="AC284" s="110"/>
      <c r="AD284" s="110" t="s">
        <v>1325</v>
      </c>
      <c r="AE284" s="110" t="str">
        <f>VLOOKUP(AD284,  '1.2'!$B$7:$C$2033, 2, FALSE)</f>
        <v>FUND</v>
      </c>
      <c r="AF284" s="112">
        <v>14470000</v>
      </c>
      <c r="AG284" s="110" t="s">
        <v>1753</v>
      </c>
      <c r="AH284" s="121">
        <f t="shared" si="143"/>
        <v>0</v>
      </c>
      <c r="AI284" s="121">
        <f t="shared" si="144"/>
        <v>1</v>
      </c>
      <c r="AJ284" s="121">
        <f t="shared" si="145"/>
        <v>1</v>
      </c>
      <c r="AK284" s="121">
        <f t="shared" si="146"/>
        <v>0</v>
      </c>
      <c r="AL284" s="121">
        <f t="shared" si="147"/>
        <v>0</v>
      </c>
      <c r="AM284" s="121">
        <f t="shared" si="148"/>
        <v>0</v>
      </c>
      <c r="AN284" s="121">
        <f t="shared" si="149"/>
        <v>0</v>
      </c>
      <c r="AO284" s="121">
        <f t="shared" si="150"/>
        <v>0</v>
      </c>
      <c r="AP284" s="22">
        <f t="shared" si="151"/>
        <v>0</v>
      </c>
      <c r="AQ284" s="22">
        <f t="shared" si="152"/>
        <v>0</v>
      </c>
      <c r="AR284" s="22">
        <f t="shared" si="153"/>
        <v>0</v>
      </c>
      <c r="AS284" s="121" t="str">
        <f t="shared" si="154"/>
        <v>Crops</v>
      </c>
      <c r="AT284" s="121" t="str">
        <f t="shared" si="171"/>
        <v xml:space="preserve"> </v>
      </c>
      <c r="AU284" s="121" t="str">
        <f t="shared" si="171"/>
        <v xml:space="preserve"> </v>
      </c>
      <c r="AV284" s="121" t="str">
        <f t="shared" si="171"/>
        <v xml:space="preserve"> </v>
      </c>
      <c r="AW284" s="130" t="str">
        <f t="shared" si="172"/>
        <v>100</v>
      </c>
      <c r="AX284" s="130" t="str">
        <f t="shared" si="172"/>
        <v xml:space="preserve"> </v>
      </c>
      <c r="AY284" s="130" t="str">
        <f t="shared" si="172"/>
        <v xml:space="preserve"> </v>
      </c>
      <c r="AZ284" s="130" t="str">
        <f t="shared" si="172"/>
        <v xml:space="preserve"> </v>
      </c>
      <c r="BA284" s="121">
        <f t="shared" si="155"/>
        <v>461373.43932092725</v>
      </c>
      <c r="BB284" s="121">
        <f t="shared" si="156"/>
        <v>0</v>
      </c>
      <c r="BC284" s="121">
        <f t="shared" si="157"/>
        <v>0</v>
      </c>
      <c r="BD284" s="121">
        <f t="shared" si="158"/>
        <v>0</v>
      </c>
      <c r="BE284" s="121">
        <f t="shared" si="159"/>
        <v>0</v>
      </c>
      <c r="BF284" s="121">
        <f t="shared" si="160"/>
        <v>0</v>
      </c>
      <c r="BG284" s="121">
        <f t="shared" si="161"/>
        <v>0</v>
      </c>
      <c r="BH284" s="121">
        <f t="shared" si="162"/>
        <v>0</v>
      </c>
      <c r="BI284" s="121">
        <f t="shared" si="163"/>
        <v>0</v>
      </c>
      <c r="BJ284" s="121">
        <f t="shared" si="164"/>
        <v>0</v>
      </c>
      <c r="BK284" s="121">
        <f t="shared" si="165"/>
        <v>0</v>
      </c>
      <c r="BL284" s="121">
        <f t="shared" si="166"/>
        <v>0</v>
      </c>
      <c r="BM284" s="121">
        <f t="shared" si="167"/>
        <v>0</v>
      </c>
      <c r="BN284" s="121">
        <f t="shared" si="168"/>
        <v>0</v>
      </c>
      <c r="BO284" s="121">
        <f t="shared" si="169"/>
        <v>0</v>
      </c>
      <c r="BP284" s="121">
        <f t="shared" si="170"/>
        <v>0</v>
      </c>
      <c r="BQ284" s="199">
        <f>INDEX('GDP deflators'!$C$6:$M$36,MATCH('Bottom-up tagging'!$D284,'GDP deflators'!$B$6:$B$36,),MATCH('Bottom-up tagging'!$E284,'GDP deflators'!$C$5:$L$5,))/100</f>
        <v>1.6873424728259787</v>
      </c>
      <c r="BR284" s="24">
        <v>778495</v>
      </c>
    </row>
    <row r="285" spans="2:70" ht="26.15" hidden="1" customHeight="1">
      <c r="B285" s="110" t="s">
        <v>1763</v>
      </c>
      <c r="C285" s="110" t="s">
        <v>1767</v>
      </c>
      <c r="D285" s="110" t="s">
        <v>3994</v>
      </c>
      <c r="E285" s="103">
        <v>2017</v>
      </c>
      <c r="F285" s="108" t="s">
        <v>5596</v>
      </c>
      <c r="G285" s="111" t="s">
        <v>124</v>
      </c>
      <c r="H285" s="110" t="s">
        <v>10451</v>
      </c>
      <c r="I285" s="112">
        <f>IF(Dashboard!$B$16="Current USD",'Bottom-up tagging'!BR285,'Bottom-up tagging'!BR285/'Bottom-up tagging'!BQ285)</f>
        <v>542983.25914019195</v>
      </c>
      <c r="J285" s="117" t="s">
        <v>10474</v>
      </c>
      <c r="K285" s="112"/>
      <c r="L285" s="135">
        <v>1</v>
      </c>
      <c r="M285" s="135">
        <v>1</v>
      </c>
      <c r="N285" s="112"/>
      <c r="O285" s="112"/>
      <c r="P285" s="112" t="str">
        <f>VLOOKUP(B285, 'Companies covered restructured'!$B$7:$K$470, 9, FALSE)</f>
        <v>Farmer engagement platforms (including marketplaces and information platforms)</v>
      </c>
      <c r="Q285" s="112" t="str">
        <f>VLOOKUP(B285, 'Companies covered restructured'!$B$7:$K$470, 6, FALSE)</f>
        <v>#Crops(100)</v>
      </c>
      <c r="R285" s="112" t="str">
        <f t="shared" si="142"/>
        <v>#Angel Investor(100)</v>
      </c>
      <c r="S285" s="112" t="s">
        <v>11003</v>
      </c>
      <c r="T285" s="112" t="s">
        <v>10466</v>
      </c>
      <c r="U285" s="103" t="s">
        <v>10970</v>
      </c>
      <c r="V285" s="112" t="str">
        <f>VLOOKUP(P285, 'Bottom-up Tagging Assumptions'!$B$12:$F$39, 5, FALSE)</f>
        <v>#Process Innovation(100)</v>
      </c>
      <c r="W285" s="112" t="str">
        <f>VLOOKUP(B285, 'Companies covered restructured'!$B$7:$K$470, 7, FALSE)</f>
        <v>#Field/Animal Herd(100)</v>
      </c>
      <c r="X285" s="112" t="s">
        <v>10558</v>
      </c>
      <c r="Y285" s="212" t="str">
        <f>VLOOKUP(P285, 'Bottom-up Tagging Assumptions'!$B$12:$C$56, 2, FALSE)</f>
        <v>#Other Economic(P); #Productivity(S)</v>
      </c>
      <c r="Z285" s="112" t="str">
        <f>VLOOKUP(P285, 'Bottom-up Tagging Assumptions'!$B$12:$F$56, 3, FALSE)</f>
        <v>#Improve price realization(P); #Increasing crop or animal yield(S)</v>
      </c>
      <c r="AA285" s="112" t="str">
        <f>VLOOKUP(P285, 'Bottom-up Tagging Assumptions'!$B$12:$F$56, 4, FALSE)</f>
        <v>#Level 4(100)</v>
      </c>
      <c r="AB285" s="110"/>
      <c r="AC285" s="110" t="s">
        <v>1936</v>
      </c>
      <c r="AD285" s="110" t="s">
        <v>1937</v>
      </c>
      <c r="AE285" s="110" t="str">
        <f>VLOOKUP(AD285,  '1.2'!$B$7:$C$2033, 2, FALSE)</f>
        <v>ANGEL</v>
      </c>
      <c r="AF285" s="112">
        <v>434828</v>
      </c>
      <c r="AG285" s="110" t="s">
        <v>2219</v>
      </c>
      <c r="AH285" s="121">
        <f t="shared" si="143"/>
        <v>0</v>
      </c>
      <c r="AI285" s="121">
        <f t="shared" si="144"/>
        <v>1</v>
      </c>
      <c r="AJ285" s="121">
        <f t="shared" si="145"/>
        <v>1</v>
      </c>
      <c r="AK285" s="121">
        <f t="shared" si="146"/>
        <v>0</v>
      </c>
      <c r="AL285" s="121">
        <f t="shared" si="147"/>
        <v>0</v>
      </c>
      <c r="AM285" s="121">
        <f t="shared" si="148"/>
        <v>0</v>
      </c>
      <c r="AN285" s="121">
        <f t="shared" si="149"/>
        <v>0</v>
      </c>
      <c r="AO285" s="121">
        <f t="shared" si="150"/>
        <v>0</v>
      </c>
      <c r="AP285" s="22">
        <f t="shared" si="151"/>
        <v>0</v>
      </c>
      <c r="AQ285" s="22">
        <f t="shared" si="152"/>
        <v>0</v>
      </c>
      <c r="AR285" s="22">
        <f t="shared" si="153"/>
        <v>0</v>
      </c>
      <c r="AS285" s="121" t="str">
        <f t="shared" si="154"/>
        <v>Crops</v>
      </c>
      <c r="AT285" s="121" t="str">
        <f t="shared" si="171"/>
        <v xml:space="preserve"> </v>
      </c>
      <c r="AU285" s="121" t="str">
        <f t="shared" si="171"/>
        <v xml:space="preserve"> </v>
      </c>
      <c r="AV285" s="121" t="str">
        <f t="shared" si="171"/>
        <v xml:space="preserve"> </v>
      </c>
      <c r="AW285" s="130" t="str">
        <f t="shared" si="172"/>
        <v>100</v>
      </c>
      <c r="AX285" s="130" t="str">
        <f t="shared" si="172"/>
        <v xml:space="preserve"> </v>
      </c>
      <c r="AY285" s="130" t="str">
        <f t="shared" si="172"/>
        <v xml:space="preserve"> </v>
      </c>
      <c r="AZ285" s="130" t="str">
        <f t="shared" si="172"/>
        <v xml:space="preserve"> </v>
      </c>
      <c r="BA285" s="121">
        <f t="shared" si="155"/>
        <v>542983.25914019195</v>
      </c>
      <c r="BB285" s="121">
        <f t="shared" si="156"/>
        <v>0</v>
      </c>
      <c r="BC285" s="121">
        <f t="shared" si="157"/>
        <v>0</v>
      </c>
      <c r="BD285" s="121">
        <f t="shared" si="158"/>
        <v>0</v>
      </c>
      <c r="BE285" s="121">
        <f t="shared" si="159"/>
        <v>0</v>
      </c>
      <c r="BF285" s="121">
        <f t="shared" si="160"/>
        <v>0</v>
      </c>
      <c r="BG285" s="121">
        <f t="shared" si="161"/>
        <v>0</v>
      </c>
      <c r="BH285" s="121">
        <f t="shared" si="162"/>
        <v>0</v>
      </c>
      <c r="BI285" s="121">
        <f t="shared" si="163"/>
        <v>0</v>
      </c>
      <c r="BJ285" s="121">
        <f t="shared" si="164"/>
        <v>0</v>
      </c>
      <c r="BK285" s="121">
        <f t="shared" si="165"/>
        <v>0</v>
      </c>
      <c r="BL285" s="121">
        <f t="shared" si="166"/>
        <v>0</v>
      </c>
      <c r="BM285" s="121">
        <f t="shared" si="167"/>
        <v>0</v>
      </c>
      <c r="BN285" s="121">
        <f t="shared" si="168"/>
        <v>0</v>
      </c>
      <c r="BO285" s="121">
        <f t="shared" si="169"/>
        <v>0</v>
      </c>
      <c r="BP285" s="121">
        <f t="shared" si="170"/>
        <v>0</v>
      </c>
      <c r="BQ285" s="199">
        <f>INDEX('GDP deflators'!$C$6:$M$36,MATCH('Bottom-up tagging'!$D285,'GDP deflators'!$B$6:$B$36,),MATCH('Bottom-up tagging'!$E285,'GDP deflators'!$C$5:$L$5,))/100</f>
        <v>1.4111098032990623</v>
      </c>
      <c r="BR285" s="24">
        <v>766209</v>
      </c>
    </row>
    <row r="286" spans="2:70" ht="26.15" hidden="1" customHeight="1">
      <c r="B286" s="110" t="s">
        <v>1932</v>
      </c>
      <c r="C286" s="110" t="s">
        <v>1934</v>
      </c>
      <c r="D286" s="110" t="s">
        <v>2057</v>
      </c>
      <c r="E286" s="103">
        <v>2017</v>
      </c>
      <c r="F286" s="108" t="s">
        <v>6068</v>
      </c>
      <c r="G286" s="111" t="s">
        <v>34</v>
      </c>
      <c r="H286" s="110" t="s">
        <v>10451</v>
      </c>
      <c r="I286" s="112">
        <f>IF(Dashboard!$B$16="Current USD",'Bottom-up tagging'!BR286,'Bottom-up tagging'!BR286/'Bottom-up tagging'!BQ286)</f>
        <v>625753.84942181245</v>
      </c>
      <c r="J286" s="105" t="s">
        <v>10474</v>
      </c>
      <c r="K286" s="112"/>
      <c r="L286" s="135">
        <v>1</v>
      </c>
      <c r="M286" s="135">
        <v>1</v>
      </c>
      <c r="N286" s="112"/>
      <c r="O286" s="112"/>
      <c r="P286" s="112" t="str">
        <f>VLOOKUP(B286, 'Companies covered restructured'!$B$7:$K$470, 9, FALSE)</f>
        <v>Quality testing technologies</v>
      </c>
      <c r="Q286" s="112" t="str">
        <f>VLOOKUP(B286, 'Companies covered restructured'!$B$7:$K$470, 6, FALSE)</f>
        <v>#Crops(090); #Livestock(010)</v>
      </c>
      <c r="R286" s="112" t="str">
        <f t="shared" si="142"/>
        <v>N/A</v>
      </c>
      <c r="S286" s="112" t="s">
        <v>11003</v>
      </c>
      <c r="T286" s="112" t="s">
        <v>10466</v>
      </c>
      <c r="U286" s="103" t="s">
        <v>10970</v>
      </c>
      <c r="V286" s="112" t="str">
        <f>VLOOKUP(P286, 'Bottom-up Tagging Assumptions'!$B$12:$F$39, 5, FALSE)</f>
        <v>#Science &amp; tech(100)</v>
      </c>
      <c r="W286" s="112" t="str">
        <f>VLOOKUP(B286, 'Companies covered restructured'!$B$7:$K$470, 7, FALSE)</f>
        <v>#Farm/Household(100)</v>
      </c>
      <c r="X286" s="112" t="s">
        <v>10558</v>
      </c>
      <c r="Y286" s="212" t="str">
        <f>VLOOKUP(P286, 'Bottom-up Tagging Assumptions'!$B$12:$C$56, 2, FALSE)</f>
        <v>#Human Condition(P); #Other Economic(S)</v>
      </c>
      <c r="Z286" s="112" t="str">
        <f>VLOOKUP(P286, 'Bottom-up Tagging Assumptions'!$B$12:$F$56, 3, FALSE)</f>
        <v>#Health(P); #Reducing variability of profits(S)</v>
      </c>
      <c r="AA286" s="112" t="str">
        <f>VLOOKUP(P286, 'Bottom-up Tagging Assumptions'!$B$12:$F$56, 4, FALSE)</f>
        <v>#Level 1(100)</v>
      </c>
      <c r="AB286" s="110"/>
      <c r="AC286" s="110"/>
      <c r="AD286" s="110"/>
      <c r="AE286" s="110" t="s">
        <v>10558</v>
      </c>
      <c r="AF286" s="112">
        <v>4000000</v>
      </c>
      <c r="AG286" s="110" t="s">
        <v>2225</v>
      </c>
      <c r="AH286" s="121">
        <f t="shared" si="143"/>
        <v>0</v>
      </c>
      <c r="AI286" s="121">
        <f t="shared" si="144"/>
        <v>0</v>
      </c>
      <c r="AJ286" s="121">
        <f t="shared" si="145"/>
        <v>1</v>
      </c>
      <c r="AK286" s="121">
        <f t="shared" si="146"/>
        <v>0</v>
      </c>
      <c r="AL286" s="121">
        <f t="shared" si="147"/>
        <v>1</v>
      </c>
      <c r="AM286" s="121">
        <f t="shared" si="148"/>
        <v>0</v>
      </c>
      <c r="AN286" s="121">
        <f t="shared" si="149"/>
        <v>1</v>
      </c>
      <c r="AO286" s="121">
        <f t="shared" si="150"/>
        <v>0</v>
      </c>
      <c r="AP286" s="22">
        <f t="shared" si="151"/>
        <v>0</v>
      </c>
      <c r="AQ286" s="22">
        <f t="shared" si="152"/>
        <v>625753.84942181245</v>
      </c>
      <c r="AR286" s="22">
        <f t="shared" si="153"/>
        <v>0</v>
      </c>
      <c r="AS286" s="121" t="str">
        <f t="shared" si="154"/>
        <v>Crops</v>
      </c>
      <c r="AT286" s="121" t="str">
        <f t="shared" si="171"/>
        <v>Livestock</v>
      </c>
      <c r="AU286" s="121" t="str">
        <f t="shared" si="171"/>
        <v xml:space="preserve"> </v>
      </c>
      <c r="AV286" s="121" t="str">
        <f t="shared" si="171"/>
        <v xml:space="preserve"> </v>
      </c>
      <c r="AW286" s="130" t="str">
        <f t="shared" si="172"/>
        <v>090</v>
      </c>
      <c r="AX286" s="130" t="str">
        <f t="shared" si="172"/>
        <v>010</v>
      </c>
      <c r="AY286" s="130" t="str">
        <f t="shared" si="172"/>
        <v xml:space="preserve"> </v>
      </c>
      <c r="AZ286" s="130" t="str">
        <f t="shared" si="172"/>
        <v xml:space="preserve"> </v>
      </c>
      <c r="BA286" s="121">
        <f t="shared" si="155"/>
        <v>563178.46447963116</v>
      </c>
      <c r="BB286" s="121">
        <f t="shared" si="156"/>
        <v>62575.384942181241</v>
      </c>
      <c r="BC286" s="121">
        <f t="shared" si="157"/>
        <v>0</v>
      </c>
      <c r="BD286" s="121">
        <f t="shared" si="158"/>
        <v>0</v>
      </c>
      <c r="BE286" s="121">
        <f t="shared" si="159"/>
        <v>0</v>
      </c>
      <c r="BF286" s="121">
        <f t="shared" si="160"/>
        <v>0</v>
      </c>
      <c r="BG286" s="121">
        <f t="shared" si="161"/>
        <v>0</v>
      </c>
      <c r="BH286" s="121">
        <f t="shared" si="162"/>
        <v>0</v>
      </c>
      <c r="BI286" s="121">
        <f t="shared" si="163"/>
        <v>563178.46447963116</v>
      </c>
      <c r="BJ286" s="121">
        <f t="shared" si="164"/>
        <v>62575.384942181241</v>
      </c>
      <c r="BK286" s="121">
        <f t="shared" si="165"/>
        <v>625753.84942181245</v>
      </c>
      <c r="BL286" s="121">
        <f t="shared" si="166"/>
        <v>625753.84942181245</v>
      </c>
      <c r="BM286" s="121">
        <f t="shared" si="167"/>
        <v>0</v>
      </c>
      <c r="BN286" s="121">
        <f t="shared" si="168"/>
        <v>0</v>
      </c>
      <c r="BO286" s="121">
        <f t="shared" si="169"/>
        <v>0</v>
      </c>
      <c r="BP286" s="121">
        <f t="shared" si="170"/>
        <v>0</v>
      </c>
      <c r="BQ286" s="199">
        <f>INDEX('GDP deflators'!$C$6:$M$36,MATCH('Bottom-up tagging'!$D286,'GDP deflators'!$B$6:$B$36,),MATCH('Bottom-up tagging'!$E286,'GDP deflators'!$C$5:$L$5,))/100</f>
        <v>1.2065910592441995</v>
      </c>
      <c r="BR286" s="24">
        <v>755029</v>
      </c>
    </row>
    <row r="287" spans="2:70" ht="26.15" hidden="1" customHeight="1">
      <c r="B287" s="110" t="s">
        <v>2526</v>
      </c>
      <c r="C287" s="110" t="s">
        <v>2528</v>
      </c>
      <c r="D287" s="110" t="s">
        <v>2057</v>
      </c>
      <c r="E287" s="103">
        <v>2016</v>
      </c>
      <c r="F287" s="108" t="s">
        <v>9282</v>
      </c>
      <c r="G287" s="111" t="s">
        <v>124</v>
      </c>
      <c r="H287" s="110" t="s">
        <v>10451</v>
      </c>
      <c r="I287" s="112">
        <f>IF(Dashboard!$B$16="Current USD",'Bottom-up tagging'!BR287,'Bottom-up tagging'!BR287/'Bottom-up tagging'!BQ287)</f>
        <v>648765.52170595422</v>
      </c>
      <c r="J287" s="117" t="s">
        <v>10474</v>
      </c>
      <c r="K287" s="112"/>
      <c r="L287" s="135">
        <v>1</v>
      </c>
      <c r="M287" s="135">
        <v>1</v>
      </c>
      <c r="N287" s="112"/>
      <c r="O287" s="112"/>
      <c r="P287" s="112" t="str">
        <f>VLOOKUP(B287, 'Companies covered restructured'!$B$7:$K$470, 9, FALSE)</f>
        <v xml:space="preserve">Agriculture financing systems </v>
      </c>
      <c r="Q287" s="112" t="str">
        <f>VLOOKUP(B287, 'Companies covered restructured'!$B$7:$K$470, 6, FALSE)</f>
        <v>#Cross-cutting(100)</v>
      </c>
      <c r="R287" s="112" t="str">
        <f t="shared" si="142"/>
        <v>N/A</v>
      </c>
      <c r="S287" s="112" t="s">
        <v>11003</v>
      </c>
      <c r="T287" s="112" t="s">
        <v>10466</v>
      </c>
      <c r="U287" s="103" t="s">
        <v>10970</v>
      </c>
      <c r="V287" s="112" t="str">
        <f>VLOOKUP(P287, 'Bottom-up Tagging Assumptions'!$B$12:$F$39, 5, FALSE)</f>
        <v>#Process Innovation(100)</v>
      </c>
      <c r="W287" s="112" t="str">
        <f>VLOOKUP(B287, 'Companies covered restructured'!$B$7:$K$470, 7, FALSE)</f>
        <v>N/A</v>
      </c>
      <c r="X287" s="112" t="str">
        <f>VLOOKUP(B287, 'Companies covered restructured'!$B$7:$K$470, 8, FALSE)</f>
        <v>N/A</v>
      </c>
      <c r="Y287" s="212" t="str">
        <f>VLOOKUP(P287, 'Bottom-up Tagging Assumptions'!$B$12:$C$56, 2, FALSE)</f>
        <v>#Other Economic(P); Social(S)</v>
      </c>
      <c r="Z287" s="112" t="str">
        <f>VLOOKUP(P287, 'Bottom-up Tagging Assumptions'!$B$12:$F$56, 3, FALSE)</f>
        <v>NA</v>
      </c>
      <c r="AA287" s="112" t="str">
        <f>VLOOKUP(P287, 'Bottom-up Tagging Assumptions'!$B$12:$F$56, 4, FALSE)</f>
        <v>#Level 1(100)</v>
      </c>
      <c r="AB287" s="110"/>
      <c r="AC287" s="110"/>
      <c r="AD287" s="110"/>
      <c r="AE287" s="110" t="s">
        <v>10558</v>
      </c>
      <c r="AF287" s="112">
        <v>9460000</v>
      </c>
      <c r="AG287" s="110" t="s">
        <v>2229</v>
      </c>
      <c r="AH287" s="121">
        <f t="shared" si="143"/>
        <v>0</v>
      </c>
      <c r="AI287" s="121">
        <f t="shared" si="144"/>
        <v>0</v>
      </c>
      <c r="AJ287" s="121">
        <f t="shared" si="145"/>
        <v>1</v>
      </c>
      <c r="AK287" s="121">
        <f t="shared" si="146"/>
        <v>1</v>
      </c>
      <c r="AL287" s="121">
        <f t="shared" si="147"/>
        <v>0</v>
      </c>
      <c r="AM287" s="121">
        <f t="shared" si="148"/>
        <v>0</v>
      </c>
      <c r="AN287" s="121">
        <f t="shared" si="149"/>
        <v>1</v>
      </c>
      <c r="AO287" s="121">
        <f t="shared" si="150"/>
        <v>0</v>
      </c>
      <c r="AP287" s="22">
        <f t="shared" si="151"/>
        <v>0</v>
      </c>
      <c r="AQ287" s="22">
        <f t="shared" si="152"/>
        <v>648765.52170595422</v>
      </c>
      <c r="AR287" s="22">
        <f t="shared" si="153"/>
        <v>0</v>
      </c>
      <c r="AS287" s="121" t="str">
        <f t="shared" si="154"/>
        <v>Cross-cutting</v>
      </c>
      <c r="AT287" s="121" t="str">
        <f t="shared" si="171"/>
        <v xml:space="preserve"> </v>
      </c>
      <c r="AU287" s="121" t="str">
        <f t="shared" si="171"/>
        <v xml:space="preserve"> </v>
      </c>
      <c r="AV287" s="121" t="str">
        <f t="shared" si="171"/>
        <v xml:space="preserve"> </v>
      </c>
      <c r="AW287" s="130" t="str">
        <f t="shared" si="172"/>
        <v>100</v>
      </c>
      <c r="AX287" s="130" t="str">
        <f t="shared" si="172"/>
        <v xml:space="preserve"> </v>
      </c>
      <c r="AY287" s="130" t="str">
        <f t="shared" si="172"/>
        <v xml:space="preserve"> </v>
      </c>
      <c r="AZ287" s="130" t="str">
        <f t="shared" si="172"/>
        <v xml:space="preserve"> </v>
      </c>
      <c r="BA287" s="121">
        <f t="shared" si="155"/>
        <v>648765.52170595422</v>
      </c>
      <c r="BB287" s="121">
        <f t="shared" si="156"/>
        <v>0</v>
      </c>
      <c r="BC287" s="121">
        <f t="shared" si="157"/>
        <v>0</v>
      </c>
      <c r="BD287" s="121">
        <f t="shared" si="158"/>
        <v>0</v>
      </c>
      <c r="BE287" s="121">
        <f t="shared" si="159"/>
        <v>0</v>
      </c>
      <c r="BF287" s="121">
        <f t="shared" si="160"/>
        <v>0</v>
      </c>
      <c r="BG287" s="121">
        <f t="shared" si="161"/>
        <v>0</v>
      </c>
      <c r="BH287" s="121">
        <f t="shared" si="162"/>
        <v>0</v>
      </c>
      <c r="BI287" s="121">
        <f t="shared" si="163"/>
        <v>648765.52170595422</v>
      </c>
      <c r="BJ287" s="121">
        <f t="shared" si="164"/>
        <v>648765.52170595422</v>
      </c>
      <c r="BK287" s="121">
        <f t="shared" si="165"/>
        <v>648765.52170595422</v>
      </c>
      <c r="BL287" s="121">
        <f t="shared" si="166"/>
        <v>648765.52170595422</v>
      </c>
      <c r="BM287" s="121">
        <f t="shared" si="167"/>
        <v>0</v>
      </c>
      <c r="BN287" s="121">
        <f t="shared" si="168"/>
        <v>0</v>
      </c>
      <c r="BO287" s="121">
        <f t="shared" si="169"/>
        <v>0</v>
      </c>
      <c r="BP287" s="121">
        <f t="shared" si="170"/>
        <v>0</v>
      </c>
      <c r="BQ287" s="199">
        <f>INDEX('GDP deflators'!$C$6:$M$36,MATCH('Bottom-up tagging'!$D287,'GDP deflators'!$B$6:$B$36,),MATCH('Bottom-up tagging'!$E287,'GDP deflators'!$C$5:$L$5,))/100</f>
        <v>1.1575830941589131</v>
      </c>
      <c r="BR287" s="24">
        <v>751000</v>
      </c>
    </row>
    <row r="288" spans="2:70" ht="26.15" hidden="1" customHeight="1">
      <c r="B288" s="110" t="s">
        <v>2053</v>
      </c>
      <c r="C288" s="110" t="s">
        <v>2058</v>
      </c>
      <c r="D288" s="110" t="s">
        <v>2057</v>
      </c>
      <c r="E288" s="103">
        <v>2017</v>
      </c>
      <c r="F288" s="108" t="s">
        <v>5773</v>
      </c>
      <c r="G288" s="111" t="s">
        <v>34</v>
      </c>
      <c r="H288" s="110" t="s">
        <v>10451</v>
      </c>
      <c r="I288" s="112">
        <f>IF(Dashboard!$B$16="Current USD",'Bottom-up tagging'!BR288,'Bottom-up tagging'!BR288/'Bottom-up tagging'!BQ288)</f>
        <v>615944.39500117884</v>
      </c>
      <c r="J288" s="105" t="s">
        <v>10474</v>
      </c>
      <c r="K288" s="112"/>
      <c r="L288" s="135">
        <v>1</v>
      </c>
      <c r="M288" s="135">
        <v>1</v>
      </c>
      <c r="N288" s="112"/>
      <c r="O288" s="112"/>
      <c r="P288" s="112" t="str">
        <f>VLOOKUP(B288, 'Companies covered restructured'!$B$7:$K$470, 9, FALSE)</f>
        <v>Precision agriculture</v>
      </c>
      <c r="Q288" s="112" t="str">
        <f>VLOOKUP(B288, 'Companies covered restructured'!$B$7:$K$470, 6, FALSE)</f>
        <v>#Crops(100)</v>
      </c>
      <c r="R288" s="112" t="str">
        <f t="shared" si="142"/>
        <v>#Investment Fund(100)</v>
      </c>
      <c r="S288" s="112" t="s">
        <v>11003</v>
      </c>
      <c r="T288" s="112" t="s">
        <v>10466</v>
      </c>
      <c r="U288" s="103" t="s">
        <v>10970</v>
      </c>
      <c r="V288" s="112" t="str">
        <f>VLOOKUP(P288, 'Bottom-up Tagging Assumptions'!$B$12:$F$39, 5, FALSE)</f>
        <v>#Science &amp; tech(100)</v>
      </c>
      <c r="W288" s="112" t="str">
        <f>VLOOKUP(B288, 'Companies covered restructured'!$B$7:$K$470, 7, FALSE)</f>
        <v>#Field/Animal Herd(100)</v>
      </c>
      <c r="X288" s="112" t="s">
        <v>10558</v>
      </c>
      <c r="Y288" s="212" t="str">
        <f>VLOOKUP(P288, 'Bottom-up Tagging Assumptions'!$B$12:$C$56, 2, FALSE)</f>
        <v>#Other Economic(P); #Productivity(S)</v>
      </c>
      <c r="Z288" s="112" t="str">
        <f>VLOOKUP(P288, 'Bottom-up Tagging Assumptions'!$B$12:$F$56, 3, FALSE)</f>
        <v>#Increasing output per unit input(P); #Increasing crop or animal yield(S)</v>
      </c>
      <c r="AA288" s="112" t="str">
        <f>VLOOKUP(P288, 'Bottom-up Tagging Assumptions'!$B$12:$F$56, 4, FALSE)</f>
        <v>#Level 1(100)</v>
      </c>
      <c r="AB288" s="110" t="s">
        <v>2055</v>
      </c>
      <c r="AC288" s="110"/>
      <c r="AD288" s="110" t="s">
        <v>2056</v>
      </c>
      <c r="AE288" s="110" t="str">
        <f>VLOOKUP(AD288,  '1.2'!$B$7:$C$2033, 2, FALSE)</f>
        <v>FUND</v>
      </c>
      <c r="AF288" s="112">
        <v>2569628</v>
      </c>
      <c r="AG288" s="110" t="s">
        <v>222</v>
      </c>
      <c r="AH288" s="121">
        <f t="shared" si="143"/>
        <v>0</v>
      </c>
      <c r="AI288" s="121">
        <f t="shared" si="144"/>
        <v>1</v>
      </c>
      <c r="AJ288" s="121">
        <f t="shared" si="145"/>
        <v>1</v>
      </c>
      <c r="AK288" s="121">
        <f t="shared" si="146"/>
        <v>0</v>
      </c>
      <c r="AL288" s="121">
        <f t="shared" si="147"/>
        <v>0</v>
      </c>
      <c r="AM288" s="121">
        <f t="shared" si="148"/>
        <v>0</v>
      </c>
      <c r="AN288" s="121">
        <f t="shared" si="149"/>
        <v>0</v>
      </c>
      <c r="AO288" s="121">
        <f t="shared" si="150"/>
        <v>0</v>
      </c>
      <c r="AP288" s="22">
        <f t="shared" si="151"/>
        <v>0</v>
      </c>
      <c r="AQ288" s="22">
        <f t="shared" si="152"/>
        <v>0</v>
      </c>
      <c r="AR288" s="22">
        <f t="shared" si="153"/>
        <v>0</v>
      </c>
      <c r="AS288" s="121" t="str">
        <f t="shared" si="154"/>
        <v>Crops</v>
      </c>
      <c r="AT288" s="121" t="str">
        <f t="shared" si="171"/>
        <v xml:space="preserve"> </v>
      </c>
      <c r="AU288" s="121" t="str">
        <f t="shared" si="171"/>
        <v xml:space="preserve"> </v>
      </c>
      <c r="AV288" s="121" t="str">
        <f t="shared" si="171"/>
        <v xml:space="preserve"> </v>
      </c>
      <c r="AW288" s="130" t="str">
        <f t="shared" si="172"/>
        <v>100</v>
      </c>
      <c r="AX288" s="130" t="str">
        <f t="shared" si="172"/>
        <v xml:space="preserve"> </v>
      </c>
      <c r="AY288" s="130" t="str">
        <f t="shared" si="172"/>
        <v xml:space="preserve"> </v>
      </c>
      <c r="AZ288" s="130" t="str">
        <f t="shared" si="172"/>
        <v xml:space="preserve"> </v>
      </c>
      <c r="BA288" s="121">
        <f t="shared" si="155"/>
        <v>615944.39500117884</v>
      </c>
      <c r="BB288" s="121">
        <f t="shared" si="156"/>
        <v>0</v>
      </c>
      <c r="BC288" s="121">
        <f t="shared" si="157"/>
        <v>0</v>
      </c>
      <c r="BD288" s="121">
        <f t="shared" si="158"/>
        <v>0</v>
      </c>
      <c r="BE288" s="121">
        <f t="shared" si="159"/>
        <v>0</v>
      </c>
      <c r="BF288" s="121">
        <f t="shared" si="160"/>
        <v>0</v>
      </c>
      <c r="BG288" s="121">
        <f t="shared" si="161"/>
        <v>0</v>
      </c>
      <c r="BH288" s="121">
        <f t="shared" si="162"/>
        <v>0</v>
      </c>
      <c r="BI288" s="121">
        <f t="shared" si="163"/>
        <v>0</v>
      </c>
      <c r="BJ288" s="121">
        <f t="shared" si="164"/>
        <v>0</v>
      </c>
      <c r="BK288" s="121">
        <f t="shared" si="165"/>
        <v>0</v>
      </c>
      <c r="BL288" s="121">
        <f t="shared" si="166"/>
        <v>0</v>
      </c>
      <c r="BM288" s="121">
        <f t="shared" si="167"/>
        <v>0</v>
      </c>
      <c r="BN288" s="121">
        <f t="shared" si="168"/>
        <v>0</v>
      </c>
      <c r="BO288" s="121">
        <f t="shared" si="169"/>
        <v>0</v>
      </c>
      <c r="BP288" s="121">
        <f t="shared" si="170"/>
        <v>0</v>
      </c>
      <c r="BQ288" s="199">
        <f>INDEX('GDP deflators'!$C$6:$M$36,MATCH('Bottom-up tagging'!$D288,'GDP deflators'!$B$6:$B$36,),MATCH('Bottom-up tagging'!$E288,'GDP deflators'!$C$5:$L$5,))/100</f>
        <v>1.2065910592441995</v>
      </c>
      <c r="BR288" s="24">
        <v>743193</v>
      </c>
    </row>
    <row r="289" spans="2:70" ht="26.15" hidden="1" customHeight="1">
      <c r="B289" s="110" t="s">
        <v>641</v>
      </c>
      <c r="C289" s="110" t="s">
        <v>645</v>
      </c>
      <c r="D289" s="110" t="s">
        <v>3994</v>
      </c>
      <c r="E289" s="103">
        <v>2016</v>
      </c>
      <c r="F289" s="108" t="s">
        <v>8736</v>
      </c>
      <c r="G289" s="111" t="s">
        <v>109</v>
      </c>
      <c r="H289" s="110" t="s">
        <v>10451</v>
      </c>
      <c r="I289" s="112">
        <f>IF(Dashboard!$B$16="Current USD",'Bottom-up tagging'!BR289,'Bottom-up tagging'!BR289/'Bottom-up tagging'!BQ289)</f>
        <v>540354.2684069958</v>
      </c>
      <c r="J289" s="105" t="s">
        <v>10474</v>
      </c>
      <c r="K289" s="112"/>
      <c r="L289" s="135">
        <v>1</v>
      </c>
      <c r="M289" s="135">
        <v>1</v>
      </c>
      <c r="N289" s="112"/>
      <c r="O289" s="112"/>
      <c r="P289" s="112" t="str">
        <f>VLOOKUP(B289, 'Companies covered restructured'!$B$7:$K$470, 9, FALSE)</f>
        <v>Irrigation systems</v>
      </c>
      <c r="Q289" s="112" t="str">
        <f>VLOOKUP(B289, 'Companies covered restructured'!$B$7:$K$470, 6, FALSE)</f>
        <v>#Crops(100)</v>
      </c>
      <c r="R289" s="112" t="str">
        <f t="shared" si="142"/>
        <v>#Investment Fund(100)</v>
      </c>
      <c r="S289" s="112" t="s">
        <v>11003</v>
      </c>
      <c r="T289" s="112" t="s">
        <v>10466</v>
      </c>
      <c r="U289" s="103" t="s">
        <v>10970</v>
      </c>
      <c r="V289" s="212" t="s">
        <v>10977</v>
      </c>
      <c r="W289" s="112" t="str">
        <f>VLOOKUP(B289, 'Companies covered restructured'!$B$7:$K$470, 7, FALSE)</f>
        <v>#Farm/Household(100)</v>
      </c>
      <c r="X289" s="112" t="s">
        <v>10558</v>
      </c>
      <c r="Y289" s="212" t="str">
        <f>VLOOKUP(P289, 'Bottom-up Tagging Assumptions'!$B$12:$C$56, 2, FALSE)</f>
        <v>#Other Economic(P); Environmental(S)</v>
      </c>
      <c r="Z289" s="112" t="str">
        <f>VLOOKUP(P289, 'Bottom-up Tagging Assumptions'!$B$12:$F$56, 3, FALSE)</f>
        <v>#Waste reduction(P)</v>
      </c>
      <c r="AA289" s="112" t="str">
        <f>VLOOKUP(P289, 'Bottom-up Tagging Assumptions'!$B$12:$F$56, 4, FALSE)</f>
        <v>#Level 1(100)</v>
      </c>
      <c r="AB289" s="110" t="s">
        <v>643</v>
      </c>
      <c r="AC289" s="110"/>
      <c r="AD289" s="110" t="s">
        <v>644</v>
      </c>
      <c r="AE289" s="110" t="str">
        <f>VLOOKUP(AD289,  '1.2'!$B$7:$C$2033, 2, FALSE)</f>
        <v>FUND</v>
      </c>
      <c r="AF289" s="112">
        <v>2740519</v>
      </c>
      <c r="AG289" s="110" t="s">
        <v>752</v>
      </c>
      <c r="AH289" s="121">
        <f t="shared" si="143"/>
        <v>1</v>
      </c>
      <c r="AI289" s="121">
        <f t="shared" si="144"/>
        <v>0</v>
      </c>
      <c r="AJ289" s="121">
        <f t="shared" si="145"/>
        <v>1</v>
      </c>
      <c r="AK289" s="121">
        <f t="shared" si="146"/>
        <v>0</v>
      </c>
      <c r="AL289" s="121">
        <f t="shared" si="147"/>
        <v>0</v>
      </c>
      <c r="AM289" s="121">
        <f t="shared" si="148"/>
        <v>0</v>
      </c>
      <c r="AN289" s="121">
        <f t="shared" si="149"/>
        <v>1</v>
      </c>
      <c r="AO289" s="121">
        <f t="shared" si="150"/>
        <v>0</v>
      </c>
      <c r="AP289" s="22">
        <f t="shared" si="151"/>
        <v>0</v>
      </c>
      <c r="AQ289" s="22">
        <f t="shared" si="152"/>
        <v>540354.2684069958</v>
      </c>
      <c r="AR289" s="22">
        <f t="shared" si="153"/>
        <v>0</v>
      </c>
      <c r="AS289" s="121" t="str">
        <f t="shared" si="154"/>
        <v>Crops</v>
      </c>
      <c r="AT289" s="121" t="str">
        <f t="shared" si="171"/>
        <v xml:space="preserve"> </v>
      </c>
      <c r="AU289" s="121" t="str">
        <f t="shared" si="171"/>
        <v xml:space="preserve"> </v>
      </c>
      <c r="AV289" s="121" t="str">
        <f t="shared" si="171"/>
        <v xml:space="preserve"> </v>
      </c>
      <c r="AW289" s="130" t="str">
        <f t="shared" si="172"/>
        <v>100</v>
      </c>
      <c r="AX289" s="130" t="str">
        <f t="shared" si="172"/>
        <v xml:space="preserve"> </v>
      </c>
      <c r="AY289" s="130" t="str">
        <f t="shared" si="172"/>
        <v xml:space="preserve"> </v>
      </c>
      <c r="AZ289" s="130" t="str">
        <f t="shared" si="172"/>
        <v xml:space="preserve"> </v>
      </c>
      <c r="BA289" s="121">
        <f t="shared" si="155"/>
        <v>540354.2684069958</v>
      </c>
      <c r="BB289" s="121">
        <f t="shared" si="156"/>
        <v>0</v>
      </c>
      <c r="BC289" s="121">
        <f t="shared" si="157"/>
        <v>0</v>
      </c>
      <c r="BD289" s="121">
        <f t="shared" si="158"/>
        <v>0</v>
      </c>
      <c r="BE289" s="121">
        <f t="shared" si="159"/>
        <v>0</v>
      </c>
      <c r="BF289" s="121">
        <f t="shared" si="160"/>
        <v>0</v>
      </c>
      <c r="BG289" s="121">
        <f t="shared" si="161"/>
        <v>0</v>
      </c>
      <c r="BH289" s="121">
        <f t="shared" si="162"/>
        <v>0</v>
      </c>
      <c r="BI289" s="121">
        <f t="shared" si="163"/>
        <v>540354.2684069958</v>
      </c>
      <c r="BJ289" s="121">
        <f t="shared" si="164"/>
        <v>540354.2684069958</v>
      </c>
      <c r="BK289" s="121">
        <f t="shared" si="165"/>
        <v>540354.2684069958</v>
      </c>
      <c r="BL289" s="121">
        <f t="shared" si="166"/>
        <v>540354.2684069958</v>
      </c>
      <c r="BM289" s="121">
        <f t="shared" si="167"/>
        <v>0</v>
      </c>
      <c r="BN289" s="121">
        <f t="shared" si="168"/>
        <v>0</v>
      </c>
      <c r="BO289" s="121">
        <f t="shared" si="169"/>
        <v>0</v>
      </c>
      <c r="BP289" s="121">
        <f t="shared" si="170"/>
        <v>0</v>
      </c>
      <c r="BQ289" s="199">
        <f>INDEX('GDP deflators'!$C$6:$M$36,MATCH('Bottom-up tagging'!$D289,'GDP deflators'!$B$6:$B$36,),MATCH('Bottom-up tagging'!$E289,'GDP deflators'!$C$5:$L$5,))/100</f>
        <v>1.3597375702538033</v>
      </c>
      <c r="BR289" s="24">
        <v>734740</v>
      </c>
    </row>
    <row r="290" spans="2:70" ht="26.15" hidden="1" customHeight="1">
      <c r="B290" s="110" t="s">
        <v>1171</v>
      </c>
      <c r="C290" s="110" t="s">
        <v>1175</v>
      </c>
      <c r="D290" s="110" t="s">
        <v>3994</v>
      </c>
      <c r="E290" s="103">
        <v>2013</v>
      </c>
      <c r="F290" s="108" t="s">
        <v>8395</v>
      </c>
      <c r="G290" s="111" t="s">
        <v>34</v>
      </c>
      <c r="H290" s="110" t="s">
        <v>10451</v>
      </c>
      <c r="I290" s="112">
        <f>IF(Dashboard!$B$16="Current USD",'Bottom-up tagging'!BR290,'Bottom-up tagging'!BR290/'Bottom-up tagging'!BQ290)</f>
        <v>588938.69231187541</v>
      </c>
      <c r="J290" s="105" t="s">
        <v>10474</v>
      </c>
      <c r="K290" s="112"/>
      <c r="L290" s="135">
        <v>1</v>
      </c>
      <c r="M290" s="135">
        <v>1</v>
      </c>
      <c r="N290" s="112"/>
      <c r="O290" s="112"/>
      <c r="P290" s="112" t="str">
        <f>VLOOKUP(B290, 'Companies covered restructured'!$B$7:$K$470, 9, FALSE)</f>
        <v>Farmer engagement platforms (including marketplaces and information platforms)</v>
      </c>
      <c r="Q290" s="112" t="str">
        <f>VLOOKUP(B290, 'Companies covered restructured'!$B$7:$K$470, 6, FALSE)</f>
        <v>#Crops(100)</v>
      </c>
      <c r="R290" s="112" t="str">
        <f t="shared" si="142"/>
        <v>#Investment Fund(100)</v>
      </c>
      <c r="S290" s="112" t="s">
        <v>11003</v>
      </c>
      <c r="T290" s="112" t="s">
        <v>10466</v>
      </c>
      <c r="U290" s="103" t="s">
        <v>10970</v>
      </c>
      <c r="V290" s="112" t="str">
        <f>VLOOKUP(P290, 'Bottom-up Tagging Assumptions'!$B$12:$F$39, 5, FALSE)</f>
        <v>#Process Innovation(100)</v>
      </c>
      <c r="W290" s="112" t="str">
        <f>VLOOKUP(B290, 'Companies covered restructured'!$B$7:$K$470, 7, FALSE)</f>
        <v>#Field/Animal Herd(100)</v>
      </c>
      <c r="X290" s="112" t="s">
        <v>10558</v>
      </c>
      <c r="Y290" s="212" t="str">
        <f>VLOOKUP(P290, 'Bottom-up Tagging Assumptions'!$B$12:$C$56, 2, FALSE)</f>
        <v>#Other Economic(P); #Productivity(S)</v>
      </c>
      <c r="Z290" s="112" t="str">
        <f>VLOOKUP(P290, 'Bottom-up Tagging Assumptions'!$B$12:$F$56, 3, FALSE)</f>
        <v>#Improve price realization(P); #Increasing crop or animal yield(S)</v>
      </c>
      <c r="AA290" s="112" t="str">
        <f>VLOOKUP(P290, 'Bottom-up Tagging Assumptions'!$B$12:$F$56, 4, FALSE)</f>
        <v>#Level 4(100)</v>
      </c>
      <c r="AB290" s="110" t="s">
        <v>483</v>
      </c>
      <c r="AC290" s="110" t="s">
        <v>2973</v>
      </c>
      <c r="AD290" s="110" t="s">
        <v>484</v>
      </c>
      <c r="AE290" s="110" t="str">
        <f>VLOOKUP(AD290,  '1.2'!$B$7:$C$2033, 2, FALSE)</f>
        <v>FUND</v>
      </c>
      <c r="AF290" s="112">
        <v>10693115</v>
      </c>
      <c r="AG290" s="110" t="s">
        <v>1952</v>
      </c>
      <c r="AH290" s="121">
        <f t="shared" si="143"/>
        <v>0</v>
      </c>
      <c r="AI290" s="121">
        <f t="shared" si="144"/>
        <v>1</v>
      </c>
      <c r="AJ290" s="121">
        <f t="shared" si="145"/>
        <v>1</v>
      </c>
      <c r="AK290" s="121">
        <f t="shared" si="146"/>
        <v>0</v>
      </c>
      <c r="AL290" s="121">
        <f t="shared" si="147"/>
        <v>0</v>
      </c>
      <c r="AM290" s="121">
        <f t="shared" si="148"/>
        <v>0</v>
      </c>
      <c r="AN290" s="121">
        <f t="shared" si="149"/>
        <v>0</v>
      </c>
      <c r="AO290" s="121">
        <f t="shared" si="150"/>
        <v>0</v>
      </c>
      <c r="AP290" s="22">
        <f t="shared" si="151"/>
        <v>0</v>
      </c>
      <c r="AQ290" s="22">
        <f t="shared" si="152"/>
        <v>0</v>
      </c>
      <c r="AR290" s="22">
        <f t="shared" si="153"/>
        <v>0</v>
      </c>
      <c r="AS290" s="121" t="str">
        <f t="shared" si="154"/>
        <v>Crops</v>
      </c>
      <c r="AT290" s="121" t="str">
        <f t="shared" si="171"/>
        <v xml:space="preserve"> </v>
      </c>
      <c r="AU290" s="121" t="str">
        <f t="shared" si="171"/>
        <v xml:space="preserve"> </v>
      </c>
      <c r="AV290" s="121" t="str">
        <f t="shared" si="171"/>
        <v xml:space="preserve"> </v>
      </c>
      <c r="AW290" s="130" t="str">
        <f t="shared" si="172"/>
        <v>100</v>
      </c>
      <c r="AX290" s="130" t="str">
        <f t="shared" si="172"/>
        <v xml:space="preserve"> </v>
      </c>
      <c r="AY290" s="130" t="str">
        <f t="shared" si="172"/>
        <v xml:space="preserve"> </v>
      </c>
      <c r="AZ290" s="130" t="str">
        <f t="shared" si="172"/>
        <v xml:space="preserve"> </v>
      </c>
      <c r="BA290" s="121">
        <f t="shared" si="155"/>
        <v>588938.69231187541</v>
      </c>
      <c r="BB290" s="121">
        <f t="shared" si="156"/>
        <v>0</v>
      </c>
      <c r="BC290" s="121">
        <f t="shared" si="157"/>
        <v>0</v>
      </c>
      <c r="BD290" s="121">
        <f t="shared" si="158"/>
        <v>0</v>
      </c>
      <c r="BE290" s="121">
        <f t="shared" si="159"/>
        <v>0</v>
      </c>
      <c r="BF290" s="121">
        <f t="shared" si="160"/>
        <v>0</v>
      </c>
      <c r="BG290" s="121">
        <f t="shared" si="161"/>
        <v>0</v>
      </c>
      <c r="BH290" s="121">
        <f t="shared" si="162"/>
        <v>0</v>
      </c>
      <c r="BI290" s="121">
        <f t="shared" si="163"/>
        <v>0</v>
      </c>
      <c r="BJ290" s="121">
        <f t="shared" si="164"/>
        <v>0</v>
      </c>
      <c r="BK290" s="121">
        <f t="shared" si="165"/>
        <v>0</v>
      </c>
      <c r="BL290" s="121">
        <f t="shared" si="166"/>
        <v>0</v>
      </c>
      <c r="BM290" s="121">
        <f t="shared" si="167"/>
        <v>0</v>
      </c>
      <c r="BN290" s="121">
        <f t="shared" si="168"/>
        <v>0</v>
      </c>
      <c r="BO290" s="121">
        <f t="shared" si="169"/>
        <v>0</v>
      </c>
      <c r="BP290" s="121">
        <f t="shared" si="170"/>
        <v>0</v>
      </c>
      <c r="BQ290" s="199">
        <f>INDEX('GDP deflators'!$C$6:$M$36,MATCH('Bottom-up tagging'!$D290,'GDP deflators'!$B$6:$B$36,),MATCH('Bottom-up tagging'!$E290,'GDP deflators'!$C$5:$L$5,))/100</f>
        <v>1.2462146053248888</v>
      </c>
      <c r="BR290" s="24">
        <v>733944</v>
      </c>
    </row>
    <row r="291" spans="2:70" ht="26.15" hidden="1" customHeight="1">
      <c r="B291" s="110" t="s">
        <v>1462</v>
      </c>
      <c r="C291" s="110" t="s">
        <v>1464</v>
      </c>
      <c r="D291" s="110" t="s">
        <v>2057</v>
      </c>
      <c r="E291" s="103">
        <v>2018</v>
      </c>
      <c r="F291" s="108" t="s">
        <v>7230</v>
      </c>
      <c r="G291" s="111" t="s">
        <v>34</v>
      </c>
      <c r="H291" s="110" t="s">
        <v>10451</v>
      </c>
      <c r="I291" s="112">
        <f>IF(Dashboard!$B$16="Current USD",'Bottom-up tagging'!BR291,'Bottom-up tagging'!BR291/'Bottom-up tagging'!BQ291)</f>
        <v>586918.35481806635</v>
      </c>
      <c r="J291" s="118" t="s">
        <v>10474</v>
      </c>
      <c r="K291" s="112"/>
      <c r="L291" s="135">
        <v>1</v>
      </c>
      <c r="M291" s="135">
        <v>1</v>
      </c>
      <c r="N291" s="112"/>
      <c r="O291" s="112"/>
      <c r="P291" s="112" t="str">
        <f>VLOOKUP(B291, 'Companies covered restructured'!$B$7:$K$470, 9, FALSE)</f>
        <v xml:space="preserve">Hydroponics </v>
      </c>
      <c r="Q291" s="112" t="str">
        <f>VLOOKUP(B291, 'Companies covered restructured'!$B$7:$K$470, 6, FALSE)</f>
        <v>#Crops(100)</v>
      </c>
      <c r="R291" s="112" t="str">
        <f t="shared" si="142"/>
        <v>N/A</v>
      </c>
      <c r="S291" s="112" t="s">
        <v>11003</v>
      </c>
      <c r="T291" s="112" t="s">
        <v>10466</v>
      </c>
      <c r="U291" s="103" t="s">
        <v>10970</v>
      </c>
      <c r="V291" s="112" t="str">
        <f>VLOOKUP(P291, 'Bottom-up Tagging Assumptions'!$B$12:$F$39, 5, FALSE)</f>
        <v>#Science &amp; tech(100)</v>
      </c>
      <c r="W291" s="112" t="str">
        <f>VLOOKUP(B291, 'Companies covered restructured'!$B$7:$K$470, 7, FALSE)</f>
        <v>#Field/Animal Herd(100)</v>
      </c>
      <c r="X291" s="112" t="s">
        <v>10558</v>
      </c>
      <c r="Y291" s="212" t="str">
        <f>VLOOKUP(P291, 'Bottom-up Tagging Assumptions'!$B$12:$C$56, 2, FALSE)</f>
        <v>#Human Condition(P); #Environmental(S); #Productivity(S)</v>
      </c>
      <c r="Z291" s="112" t="str">
        <f>VLOOKUP(P291, 'Bottom-up Tagging Assumptions'!$B$12:$F$56, 3, FALSE)</f>
        <v>#Food security(P); #Reducing production variability(S)</v>
      </c>
      <c r="AA291" s="112" t="str">
        <f>VLOOKUP(P291, 'Bottom-up Tagging Assumptions'!$B$12:$F$56, 4, FALSE)</f>
        <v>#Level 2(100)</v>
      </c>
      <c r="AB291" s="110"/>
      <c r="AC291" s="110"/>
      <c r="AD291" s="110"/>
      <c r="AE291" s="110" t="s">
        <v>10558</v>
      </c>
      <c r="AF291" s="112"/>
      <c r="AG291" s="110" t="s">
        <v>2236</v>
      </c>
      <c r="AH291" s="121">
        <f t="shared" si="143"/>
        <v>1</v>
      </c>
      <c r="AI291" s="121">
        <f t="shared" si="144"/>
        <v>1</v>
      </c>
      <c r="AJ291" s="121">
        <f t="shared" si="145"/>
        <v>0</v>
      </c>
      <c r="AK291" s="121">
        <f t="shared" si="146"/>
        <v>0</v>
      </c>
      <c r="AL291" s="121">
        <f t="shared" si="147"/>
        <v>1</v>
      </c>
      <c r="AM291" s="121">
        <f t="shared" si="148"/>
        <v>1</v>
      </c>
      <c r="AN291" s="121">
        <f t="shared" si="149"/>
        <v>1</v>
      </c>
      <c r="AO291" s="121">
        <f t="shared" si="150"/>
        <v>1</v>
      </c>
      <c r="AP291" s="22">
        <f t="shared" si="151"/>
        <v>586918.35481806635</v>
      </c>
      <c r="AQ291" s="22">
        <f t="shared" si="152"/>
        <v>586918.35481806635</v>
      </c>
      <c r="AR291" s="22">
        <f t="shared" si="153"/>
        <v>586918.35481806635</v>
      </c>
      <c r="AS291" s="121" t="str">
        <f t="shared" si="154"/>
        <v>Crops</v>
      </c>
      <c r="AT291" s="121" t="str">
        <f t="shared" si="171"/>
        <v xml:space="preserve"> </v>
      </c>
      <c r="AU291" s="121" t="str">
        <f t="shared" si="171"/>
        <v xml:space="preserve"> </v>
      </c>
      <c r="AV291" s="121" t="str">
        <f t="shared" si="171"/>
        <v xml:space="preserve"> </v>
      </c>
      <c r="AW291" s="130" t="str">
        <f t="shared" si="172"/>
        <v>100</v>
      </c>
      <c r="AX291" s="130" t="str">
        <f t="shared" si="172"/>
        <v xml:space="preserve"> </v>
      </c>
      <c r="AY291" s="130" t="str">
        <f t="shared" si="172"/>
        <v xml:space="preserve"> </v>
      </c>
      <c r="AZ291" s="130" t="str">
        <f t="shared" si="172"/>
        <v xml:space="preserve"> </v>
      </c>
      <c r="BA291" s="121">
        <f t="shared" si="155"/>
        <v>586918.35481806635</v>
      </c>
      <c r="BB291" s="121">
        <f t="shared" si="156"/>
        <v>0</v>
      </c>
      <c r="BC291" s="121">
        <f t="shared" si="157"/>
        <v>0</v>
      </c>
      <c r="BD291" s="121">
        <f t="shared" si="158"/>
        <v>0</v>
      </c>
      <c r="BE291" s="121">
        <f t="shared" si="159"/>
        <v>586918.35481806635</v>
      </c>
      <c r="BF291" s="121">
        <f t="shared" si="160"/>
        <v>586918.35481806635</v>
      </c>
      <c r="BG291" s="121">
        <f t="shared" si="161"/>
        <v>586918.35481806635</v>
      </c>
      <c r="BH291" s="121">
        <f t="shared" si="162"/>
        <v>586918.35481806635</v>
      </c>
      <c r="BI291" s="121">
        <f t="shared" si="163"/>
        <v>586918.35481806635</v>
      </c>
      <c r="BJ291" s="121">
        <f t="shared" si="164"/>
        <v>586918.35481806635</v>
      </c>
      <c r="BK291" s="121">
        <f t="shared" si="165"/>
        <v>586918.35481806635</v>
      </c>
      <c r="BL291" s="121">
        <f t="shared" si="166"/>
        <v>586918.35481806635</v>
      </c>
      <c r="BM291" s="121">
        <f t="shared" si="167"/>
        <v>586918.35481806635</v>
      </c>
      <c r="BN291" s="121">
        <f t="shared" si="168"/>
        <v>586918.35481806635</v>
      </c>
      <c r="BO291" s="121">
        <f t="shared" si="169"/>
        <v>586918.35481806635</v>
      </c>
      <c r="BP291" s="121">
        <f t="shared" si="170"/>
        <v>586918.35481806635</v>
      </c>
      <c r="BQ291" s="199">
        <f>INDEX('GDP deflators'!$C$6:$M$36,MATCH('Bottom-up tagging'!$D291,'GDP deflators'!$B$6:$B$36,),MATCH('Bottom-up tagging'!$E291,'GDP deflators'!$C$5:$L$5,))/100</f>
        <v>1.2487972031939574</v>
      </c>
      <c r="BR291" s="24">
        <v>732942</v>
      </c>
    </row>
    <row r="292" spans="2:70" ht="26.15" hidden="1" customHeight="1">
      <c r="B292" s="110" t="s">
        <v>2259</v>
      </c>
      <c r="C292" s="110" t="s">
        <v>2261</v>
      </c>
      <c r="D292" s="110" t="s">
        <v>3994</v>
      </c>
      <c r="E292" s="103">
        <v>2016</v>
      </c>
      <c r="F292" s="108" t="s">
        <v>9634</v>
      </c>
      <c r="G292" s="111" t="s">
        <v>109</v>
      </c>
      <c r="H292" s="110" t="s">
        <v>10451</v>
      </c>
      <c r="I292" s="112">
        <f>IF(Dashboard!$B$16="Current USD",'Bottom-up tagging'!BR292,'Bottom-up tagging'!BR292/'Bottom-up tagging'!BQ292)</f>
        <v>538988.56369998143</v>
      </c>
      <c r="J292" s="105" t="s">
        <v>10474</v>
      </c>
      <c r="K292" s="112"/>
      <c r="L292" s="135">
        <v>1</v>
      </c>
      <c r="M292" s="135">
        <v>1</v>
      </c>
      <c r="N292" s="112"/>
      <c r="O292" s="112"/>
      <c r="P292" s="112" t="str">
        <f>VLOOKUP(B292, 'Companies covered restructured'!$B$7:$K$470, 9, FALSE)</f>
        <v>Seed development and biotech</v>
      </c>
      <c r="Q292" s="112" t="str">
        <f>VLOOKUP(B292, 'Companies covered restructured'!$B$7:$K$470, 6, FALSE)</f>
        <v>#Crops(100)</v>
      </c>
      <c r="R292" s="112" t="str">
        <f t="shared" si="142"/>
        <v>N/A</v>
      </c>
      <c r="S292" s="112" t="s">
        <v>11003</v>
      </c>
      <c r="T292" s="112" t="s">
        <v>10466</v>
      </c>
      <c r="U292" s="103" t="s">
        <v>10970</v>
      </c>
      <c r="V292" s="112" t="str">
        <f>VLOOKUP(P292, 'Bottom-up Tagging Assumptions'!$B$12:$F$39, 5, FALSE)</f>
        <v>#Product Development(100)</v>
      </c>
      <c r="W292" s="112" t="str">
        <f>VLOOKUP(B292, 'Companies covered restructured'!$B$7:$K$470, 7, FALSE)</f>
        <v>#Landscape(100)</v>
      </c>
      <c r="X292" s="112" t="str">
        <f>VLOOKUP(B292, 'Companies covered restructured'!$B$7:$K$470, 8, FALSE)</f>
        <v>N/A</v>
      </c>
      <c r="Y292" s="212" t="str">
        <f>VLOOKUP(P292, 'Bottom-up Tagging Assumptions'!$B$12:$C$56, 2, FALSE)</f>
        <v>#Productivity(P); #Human Condition(S)</v>
      </c>
      <c r="Z292" s="112" t="str">
        <f>VLOOKUP(P292, 'Bottom-up Tagging Assumptions'!$B$12:$F$56, 3, FALSE)</f>
        <v>#Increasing crop or animal yield(P); #Improved nutrition(S)</v>
      </c>
      <c r="AA292" s="112" t="str">
        <f>VLOOKUP(P292, 'Bottom-up Tagging Assumptions'!$B$12:$F$56, 4, FALSE)</f>
        <v>#Level 1(100)</v>
      </c>
      <c r="AB292" s="110"/>
      <c r="AC292" s="110"/>
      <c r="AD292" s="110"/>
      <c r="AE292" s="110" t="s">
        <v>10558</v>
      </c>
      <c r="AF292" s="112">
        <v>1800000</v>
      </c>
      <c r="AG292" s="110" t="s">
        <v>2241</v>
      </c>
      <c r="AH292" s="121">
        <f t="shared" si="143"/>
        <v>0</v>
      </c>
      <c r="AI292" s="121">
        <f t="shared" si="144"/>
        <v>1</v>
      </c>
      <c r="AJ292" s="121">
        <f t="shared" si="145"/>
        <v>0</v>
      </c>
      <c r="AK292" s="121">
        <f t="shared" si="146"/>
        <v>0</v>
      </c>
      <c r="AL292" s="121">
        <f t="shared" si="147"/>
        <v>1</v>
      </c>
      <c r="AM292" s="121">
        <f t="shared" si="148"/>
        <v>0</v>
      </c>
      <c r="AN292" s="121">
        <f t="shared" si="149"/>
        <v>1</v>
      </c>
      <c r="AO292" s="121">
        <f t="shared" si="150"/>
        <v>0</v>
      </c>
      <c r="AP292" s="22">
        <f t="shared" si="151"/>
        <v>0</v>
      </c>
      <c r="AQ292" s="22">
        <f t="shared" si="152"/>
        <v>538988.56369998143</v>
      </c>
      <c r="AR292" s="22">
        <f t="shared" si="153"/>
        <v>0</v>
      </c>
      <c r="AS292" s="121" t="str">
        <f t="shared" si="154"/>
        <v>Crops</v>
      </c>
      <c r="AT292" s="121" t="str">
        <f t="shared" ref="AT292:AV311" si="173">IFERROR(IFERROR(MID($Q292,FIND("~",SUBSTITUTE($Q292,";","~",AT$10-1))+3,(FIND("~",SUBSTITUTE($Q292,";","~",AT$10))+0-(FIND("~",SUBSTITUTE($Q292,";","~",AT$10-1))+2))-6),MID($Q292,FIND("~",SUBSTITUTE($Q292,";","~",AT$10-1))+3,(LEN($Q292)-6-FIND("~",SUBSTITUTE($Q292,";","~",AT$10-1))-1)))," ")</f>
        <v xml:space="preserve"> </v>
      </c>
      <c r="AU292" s="121" t="str">
        <f t="shared" si="173"/>
        <v xml:space="preserve"> </v>
      </c>
      <c r="AV292" s="121" t="str">
        <f t="shared" si="173"/>
        <v xml:space="preserve"> </v>
      </c>
      <c r="AW292" s="130" t="str">
        <f t="shared" ref="AW292:AZ311" si="174">IFERROR(MID($Q292,FIND("~",SUBSTITUTE($Q292,"(","~",AW$10))+1,3)," ")</f>
        <v>100</v>
      </c>
      <c r="AX292" s="130" t="str">
        <f t="shared" si="174"/>
        <v xml:space="preserve"> </v>
      </c>
      <c r="AY292" s="130" t="str">
        <f t="shared" si="174"/>
        <v xml:space="preserve"> </v>
      </c>
      <c r="AZ292" s="130" t="str">
        <f t="shared" si="174"/>
        <v xml:space="preserve"> </v>
      </c>
      <c r="BA292" s="121">
        <f t="shared" si="155"/>
        <v>538988.56369998143</v>
      </c>
      <c r="BB292" s="121">
        <f t="shared" si="156"/>
        <v>0</v>
      </c>
      <c r="BC292" s="121">
        <f t="shared" si="157"/>
        <v>0</v>
      </c>
      <c r="BD292" s="121">
        <f t="shared" si="158"/>
        <v>0</v>
      </c>
      <c r="BE292" s="121">
        <f t="shared" si="159"/>
        <v>0</v>
      </c>
      <c r="BF292" s="121">
        <f t="shared" si="160"/>
        <v>0</v>
      </c>
      <c r="BG292" s="121">
        <f t="shared" si="161"/>
        <v>0</v>
      </c>
      <c r="BH292" s="121">
        <f t="shared" si="162"/>
        <v>0</v>
      </c>
      <c r="BI292" s="121">
        <f t="shared" si="163"/>
        <v>538988.56369998143</v>
      </c>
      <c r="BJ292" s="121">
        <f t="shared" si="164"/>
        <v>538988.56369998143</v>
      </c>
      <c r="BK292" s="121">
        <f t="shared" si="165"/>
        <v>538988.56369998143</v>
      </c>
      <c r="BL292" s="121">
        <f t="shared" si="166"/>
        <v>538988.56369998143</v>
      </c>
      <c r="BM292" s="121">
        <f t="shared" si="167"/>
        <v>0</v>
      </c>
      <c r="BN292" s="121">
        <f t="shared" si="168"/>
        <v>0</v>
      </c>
      <c r="BO292" s="121">
        <f t="shared" si="169"/>
        <v>0</v>
      </c>
      <c r="BP292" s="121">
        <f t="shared" si="170"/>
        <v>0</v>
      </c>
      <c r="BQ292" s="199">
        <f>INDEX('GDP deflators'!$C$6:$M$36,MATCH('Bottom-up tagging'!$D292,'GDP deflators'!$B$6:$B$36,),MATCH('Bottom-up tagging'!$E292,'GDP deflators'!$C$5:$L$5,))/100</f>
        <v>1.3597375702538033</v>
      </c>
      <c r="BR292" s="24">
        <v>732883</v>
      </c>
    </row>
    <row r="293" spans="2:70" ht="26.15" hidden="1" customHeight="1">
      <c r="B293" s="110" t="s">
        <v>1387</v>
      </c>
      <c r="C293" s="110" t="s">
        <v>1389</v>
      </c>
      <c r="D293" s="110" t="s">
        <v>2057</v>
      </c>
      <c r="E293" s="103">
        <v>2018</v>
      </c>
      <c r="F293" s="108" t="s">
        <v>5691</v>
      </c>
      <c r="G293" s="111" t="s">
        <v>124</v>
      </c>
      <c r="H293" s="110" t="s">
        <v>10451</v>
      </c>
      <c r="I293" s="112">
        <f>IF(Dashboard!$B$16="Current USD",'Bottom-up tagging'!BR293,'Bottom-up tagging'!BR293/'Bottom-up tagging'!BQ293)</f>
        <v>576834.25151627185</v>
      </c>
      <c r="J293" s="118" t="s">
        <v>10474</v>
      </c>
      <c r="K293" s="112"/>
      <c r="L293" s="135">
        <v>1</v>
      </c>
      <c r="M293" s="135">
        <v>1</v>
      </c>
      <c r="N293" s="112"/>
      <c r="O293" s="112"/>
      <c r="P293" s="112" t="str">
        <f>VLOOKUP(B293, 'Companies covered restructured'!$B$7:$K$470, 9, FALSE)</f>
        <v>Farmer engagement platforms (including marketplaces and information platforms)</v>
      </c>
      <c r="Q293" s="112" t="str">
        <f>VLOOKUP(B293, 'Companies covered restructured'!$B$7:$K$470, 6, FALSE)</f>
        <v>#Crops(100)</v>
      </c>
      <c r="R293" s="112" t="str">
        <f t="shared" si="142"/>
        <v>N/A</v>
      </c>
      <c r="S293" s="112" t="s">
        <v>11003</v>
      </c>
      <c r="T293" s="112" t="s">
        <v>10466</v>
      </c>
      <c r="U293" s="103" t="s">
        <v>10970</v>
      </c>
      <c r="V293" s="112" t="str">
        <f>VLOOKUP(P293, 'Bottom-up Tagging Assumptions'!$B$12:$F$39, 5, FALSE)</f>
        <v>#Process Innovation(100)</v>
      </c>
      <c r="W293" s="112" t="str">
        <f>VLOOKUP(B293, 'Companies covered restructured'!$B$7:$K$470, 7, FALSE)</f>
        <v>#Field/Animal Herd(100)</v>
      </c>
      <c r="X293" s="112" t="s">
        <v>10558</v>
      </c>
      <c r="Y293" s="212" t="str">
        <f>VLOOKUP(P293, 'Bottom-up Tagging Assumptions'!$B$12:$C$56, 2, FALSE)</f>
        <v>#Other Economic(P); #Productivity(S)</v>
      </c>
      <c r="Z293" s="112" t="str">
        <f>VLOOKUP(P293, 'Bottom-up Tagging Assumptions'!$B$12:$F$56, 3, FALSE)</f>
        <v>#Improve price realization(P); #Increasing crop or animal yield(S)</v>
      </c>
      <c r="AA293" s="112" t="str">
        <f>VLOOKUP(P293, 'Bottom-up Tagging Assumptions'!$B$12:$F$56, 4, FALSE)</f>
        <v>#Level 4(100)</v>
      </c>
      <c r="AB293" s="110"/>
      <c r="AC293" s="110"/>
      <c r="AD293" s="110"/>
      <c r="AE293" s="110" t="s">
        <v>10558</v>
      </c>
      <c r="AF293" s="112">
        <v>8750809</v>
      </c>
      <c r="AG293" s="110" t="s">
        <v>409</v>
      </c>
      <c r="AH293" s="121">
        <f t="shared" si="143"/>
        <v>0</v>
      </c>
      <c r="AI293" s="121">
        <f t="shared" si="144"/>
        <v>1</v>
      </c>
      <c r="AJ293" s="121">
        <f t="shared" si="145"/>
        <v>1</v>
      </c>
      <c r="AK293" s="121">
        <f t="shared" si="146"/>
        <v>0</v>
      </c>
      <c r="AL293" s="121">
        <f t="shared" si="147"/>
        <v>0</v>
      </c>
      <c r="AM293" s="121">
        <f t="shared" si="148"/>
        <v>0</v>
      </c>
      <c r="AN293" s="121">
        <f t="shared" si="149"/>
        <v>0</v>
      </c>
      <c r="AO293" s="121">
        <f t="shared" si="150"/>
        <v>0</v>
      </c>
      <c r="AP293" s="22">
        <f t="shared" si="151"/>
        <v>0</v>
      </c>
      <c r="AQ293" s="22">
        <f t="shared" si="152"/>
        <v>0</v>
      </c>
      <c r="AR293" s="22">
        <f t="shared" si="153"/>
        <v>0</v>
      </c>
      <c r="AS293" s="121" t="str">
        <f t="shared" si="154"/>
        <v>Crops</v>
      </c>
      <c r="AT293" s="121" t="str">
        <f t="shared" si="173"/>
        <v xml:space="preserve"> </v>
      </c>
      <c r="AU293" s="121" t="str">
        <f t="shared" si="173"/>
        <v xml:space="preserve"> </v>
      </c>
      <c r="AV293" s="121" t="str">
        <f t="shared" si="173"/>
        <v xml:space="preserve"> </v>
      </c>
      <c r="AW293" s="130" t="str">
        <f t="shared" si="174"/>
        <v>100</v>
      </c>
      <c r="AX293" s="130" t="str">
        <f t="shared" si="174"/>
        <v xml:space="preserve"> </v>
      </c>
      <c r="AY293" s="130" t="str">
        <f t="shared" si="174"/>
        <v xml:space="preserve"> </v>
      </c>
      <c r="AZ293" s="130" t="str">
        <f t="shared" si="174"/>
        <v xml:space="preserve"> </v>
      </c>
      <c r="BA293" s="121">
        <f t="shared" si="155"/>
        <v>576834.25151627185</v>
      </c>
      <c r="BB293" s="121">
        <f t="shared" si="156"/>
        <v>0</v>
      </c>
      <c r="BC293" s="121">
        <f t="shared" si="157"/>
        <v>0</v>
      </c>
      <c r="BD293" s="121">
        <f t="shared" si="158"/>
        <v>0</v>
      </c>
      <c r="BE293" s="121">
        <f t="shared" si="159"/>
        <v>0</v>
      </c>
      <c r="BF293" s="121">
        <f t="shared" si="160"/>
        <v>0</v>
      </c>
      <c r="BG293" s="121">
        <f t="shared" si="161"/>
        <v>0</v>
      </c>
      <c r="BH293" s="121">
        <f t="shared" si="162"/>
        <v>0</v>
      </c>
      <c r="BI293" s="121">
        <f t="shared" si="163"/>
        <v>0</v>
      </c>
      <c r="BJ293" s="121">
        <f t="shared" si="164"/>
        <v>0</v>
      </c>
      <c r="BK293" s="121">
        <f t="shared" si="165"/>
        <v>0</v>
      </c>
      <c r="BL293" s="121">
        <f t="shared" si="166"/>
        <v>0</v>
      </c>
      <c r="BM293" s="121">
        <f t="shared" si="167"/>
        <v>0</v>
      </c>
      <c r="BN293" s="121">
        <f t="shared" si="168"/>
        <v>0</v>
      </c>
      <c r="BO293" s="121">
        <f t="shared" si="169"/>
        <v>0</v>
      </c>
      <c r="BP293" s="121">
        <f t="shared" si="170"/>
        <v>0</v>
      </c>
      <c r="BQ293" s="199">
        <f>INDEX('GDP deflators'!$C$6:$M$36,MATCH('Bottom-up tagging'!$D293,'GDP deflators'!$B$6:$B$36,),MATCH('Bottom-up tagging'!$E293,'GDP deflators'!$C$5:$L$5,))/100</f>
        <v>1.2487972031939574</v>
      </c>
      <c r="BR293" s="24">
        <v>720349</v>
      </c>
    </row>
    <row r="294" spans="2:70" ht="26.15" hidden="1" customHeight="1">
      <c r="B294" s="110" t="s">
        <v>1685</v>
      </c>
      <c r="C294" s="110" t="s">
        <v>1690</v>
      </c>
      <c r="D294" s="110" t="s">
        <v>3994</v>
      </c>
      <c r="E294" s="103">
        <v>2018</v>
      </c>
      <c r="F294" s="108" t="s">
        <v>8549</v>
      </c>
      <c r="G294" s="111" t="s">
        <v>34</v>
      </c>
      <c r="H294" s="110" t="s">
        <v>10451</v>
      </c>
      <c r="I294" s="112">
        <f>IF(Dashboard!$B$16="Current USD",'Bottom-up tagging'!BR294,'Bottom-up tagging'!BR294/'Bottom-up tagging'!BQ294)</f>
        <v>485580.2755861234</v>
      </c>
      <c r="J294" s="118" t="s">
        <v>10474</v>
      </c>
      <c r="K294" s="112"/>
      <c r="L294" s="135">
        <v>1</v>
      </c>
      <c r="M294" s="135">
        <v>1</v>
      </c>
      <c r="N294" s="112"/>
      <c r="O294" s="112"/>
      <c r="P294" s="112" t="str">
        <f>VLOOKUP(B294, 'Companies covered restructured'!$B$7:$K$470, 9, FALSE)</f>
        <v>Agri marketplaces</v>
      </c>
      <c r="Q294" s="112" t="str">
        <f>VLOOKUP(B294, 'Companies covered restructured'!$B$7:$K$470, 6, FALSE)</f>
        <v>#Crops(100)</v>
      </c>
      <c r="R294" s="112" t="str">
        <f t="shared" si="142"/>
        <v>#Angel Investor(100)</v>
      </c>
      <c r="S294" s="112" t="s">
        <v>11003</v>
      </c>
      <c r="T294" s="112" t="s">
        <v>10466</v>
      </c>
      <c r="U294" s="103" t="s">
        <v>10970</v>
      </c>
      <c r="V294" s="112" t="str">
        <f>VLOOKUP(P294, 'Bottom-up Tagging Assumptions'!$B$12:$F$39, 5, FALSE)</f>
        <v>#Process Innovation(100)</v>
      </c>
      <c r="W294" s="112" t="str">
        <f>VLOOKUP(B294, 'Companies covered restructured'!$B$7:$K$470, 7, FALSE)</f>
        <v>#Landscape(100)</v>
      </c>
      <c r="X294" s="112" t="str">
        <f>VLOOKUP(B294, 'Companies covered restructured'!$B$7:$K$470, 8, FALSE)</f>
        <v>N/A</v>
      </c>
      <c r="Y294" s="212" t="str">
        <f>VLOOKUP(P294, 'Bottom-up Tagging Assumptions'!$B$12:$C$56, 2, FALSE)</f>
        <v>#Other Economic(P); Social(S)</v>
      </c>
      <c r="Z294" s="112" t="str">
        <f>VLOOKUP(P294, 'Bottom-up Tagging Assumptions'!$B$12:$F$56, 3, FALSE)</f>
        <v>#Improve price realization(P)</v>
      </c>
      <c r="AA294" s="112" t="str">
        <f>VLOOKUP(P294, 'Bottom-up Tagging Assumptions'!$B$12:$F$56, 4, FALSE)</f>
        <v>#Level 4(100)</v>
      </c>
      <c r="AB294" s="110" t="s">
        <v>1687</v>
      </c>
      <c r="AC294" s="110" t="s">
        <v>1688</v>
      </c>
      <c r="AD294" s="110" t="s">
        <v>1689</v>
      </c>
      <c r="AE294" s="110" t="s">
        <v>3127</v>
      </c>
      <c r="AF294" s="112">
        <v>14260613</v>
      </c>
      <c r="AG294" s="110" t="s">
        <v>390</v>
      </c>
      <c r="AH294" s="121">
        <f t="shared" si="143"/>
        <v>0</v>
      </c>
      <c r="AI294" s="121">
        <f t="shared" si="144"/>
        <v>0</v>
      </c>
      <c r="AJ294" s="121">
        <f t="shared" si="145"/>
        <v>1</v>
      </c>
      <c r="AK294" s="121">
        <f t="shared" si="146"/>
        <v>1</v>
      </c>
      <c r="AL294" s="121">
        <f t="shared" si="147"/>
        <v>0</v>
      </c>
      <c r="AM294" s="121">
        <f t="shared" si="148"/>
        <v>0</v>
      </c>
      <c r="AN294" s="121">
        <f t="shared" si="149"/>
        <v>1</v>
      </c>
      <c r="AO294" s="121">
        <f t="shared" si="150"/>
        <v>0</v>
      </c>
      <c r="AP294" s="22">
        <f t="shared" si="151"/>
        <v>0</v>
      </c>
      <c r="AQ294" s="22">
        <f t="shared" si="152"/>
        <v>485580.2755861234</v>
      </c>
      <c r="AR294" s="22">
        <f t="shared" si="153"/>
        <v>0</v>
      </c>
      <c r="AS294" s="121" t="str">
        <f t="shared" si="154"/>
        <v>Crops</v>
      </c>
      <c r="AT294" s="121" t="str">
        <f t="shared" si="173"/>
        <v xml:space="preserve"> </v>
      </c>
      <c r="AU294" s="121" t="str">
        <f t="shared" si="173"/>
        <v xml:space="preserve"> </v>
      </c>
      <c r="AV294" s="121" t="str">
        <f t="shared" si="173"/>
        <v xml:space="preserve"> </v>
      </c>
      <c r="AW294" s="130" t="str">
        <f t="shared" si="174"/>
        <v>100</v>
      </c>
      <c r="AX294" s="130" t="str">
        <f t="shared" si="174"/>
        <v xml:space="preserve"> </v>
      </c>
      <c r="AY294" s="130" t="str">
        <f t="shared" si="174"/>
        <v xml:space="preserve"> </v>
      </c>
      <c r="AZ294" s="130" t="str">
        <f t="shared" si="174"/>
        <v xml:space="preserve"> </v>
      </c>
      <c r="BA294" s="121">
        <f t="shared" si="155"/>
        <v>485580.2755861234</v>
      </c>
      <c r="BB294" s="121">
        <f t="shared" si="156"/>
        <v>0</v>
      </c>
      <c r="BC294" s="121">
        <f t="shared" si="157"/>
        <v>0</v>
      </c>
      <c r="BD294" s="121">
        <f t="shared" si="158"/>
        <v>0</v>
      </c>
      <c r="BE294" s="121">
        <f t="shared" si="159"/>
        <v>0</v>
      </c>
      <c r="BF294" s="121">
        <f t="shared" si="160"/>
        <v>0</v>
      </c>
      <c r="BG294" s="121">
        <f t="shared" si="161"/>
        <v>0</v>
      </c>
      <c r="BH294" s="121">
        <f t="shared" si="162"/>
        <v>0</v>
      </c>
      <c r="BI294" s="121">
        <f t="shared" si="163"/>
        <v>485580.2755861234</v>
      </c>
      <c r="BJ294" s="121">
        <f t="shared" si="164"/>
        <v>485580.2755861234</v>
      </c>
      <c r="BK294" s="121">
        <f t="shared" si="165"/>
        <v>485580.2755861234</v>
      </c>
      <c r="BL294" s="121">
        <f t="shared" si="166"/>
        <v>485580.2755861234</v>
      </c>
      <c r="BM294" s="121">
        <f t="shared" si="167"/>
        <v>0</v>
      </c>
      <c r="BN294" s="121">
        <f t="shared" si="168"/>
        <v>0</v>
      </c>
      <c r="BO294" s="121">
        <f t="shared" si="169"/>
        <v>0</v>
      </c>
      <c r="BP294" s="121">
        <f t="shared" si="170"/>
        <v>0</v>
      </c>
      <c r="BQ294" s="199">
        <f>INDEX('GDP deflators'!$C$6:$M$36,MATCH('Bottom-up tagging'!$D294,'GDP deflators'!$B$6:$B$36,),MATCH('Bottom-up tagging'!$E294,'GDP deflators'!$C$5:$L$5,))/100</f>
        <v>1.4753935363936217</v>
      </c>
      <c r="BR294" s="24">
        <v>716422</v>
      </c>
    </row>
    <row r="295" spans="2:70" ht="26.15" hidden="1" customHeight="1">
      <c r="B295" s="110" t="s">
        <v>1946</v>
      </c>
      <c r="C295" s="110" t="s">
        <v>1951</v>
      </c>
      <c r="D295" s="110" t="s">
        <v>3994</v>
      </c>
      <c r="E295" s="103">
        <v>2016</v>
      </c>
      <c r="F295" s="108" t="s">
        <v>7944</v>
      </c>
      <c r="G295" s="111" t="s">
        <v>124</v>
      </c>
      <c r="H295" s="110" t="s">
        <v>10451</v>
      </c>
      <c r="I295" s="112">
        <f>IF(Dashboard!$B$16="Current USD",'Bottom-up tagging'!BR295,'Bottom-up tagging'!BR295/'Bottom-up tagging'!BQ295)</f>
        <v>525749.24429466424</v>
      </c>
      <c r="J295" s="117" t="s">
        <v>10474</v>
      </c>
      <c r="K295" s="112"/>
      <c r="L295" s="135">
        <v>1</v>
      </c>
      <c r="M295" s="135">
        <v>1</v>
      </c>
      <c r="N295" s="112"/>
      <c r="O295" s="112"/>
      <c r="P295" s="112" t="str">
        <f>VLOOKUP(B295, 'Companies covered restructured'!$B$7:$K$470, 9, FALSE)</f>
        <v>Supply chain technologies</v>
      </c>
      <c r="Q295" s="112" t="str">
        <f>VLOOKUP(B295, 'Companies covered restructured'!$B$7:$K$470, 6, FALSE)</f>
        <v>#Crops(100)</v>
      </c>
      <c r="R295" s="112" t="str">
        <f t="shared" si="142"/>
        <v>#Angel Investor(100)</v>
      </c>
      <c r="S295" s="112" t="s">
        <v>11003</v>
      </c>
      <c r="T295" s="112" t="s">
        <v>10466</v>
      </c>
      <c r="U295" s="103" t="s">
        <v>10970</v>
      </c>
      <c r="V295" s="112" t="str">
        <f>VLOOKUP(P295, 'Bottom-up Tagging Assumptions'!$B$12:$F$39, 5, FALSE)</f>
        <v>#Process Innovation(100)</v>
      </c>
      <c r="W295" s="112" t="str">
        <f>VLOOKUP(B295, 'Companies covered restructured'!$B$7:$K$470, 7, FALSE)</f>
        <v>#Farm/Household(100)</v>
      </c>
      <c r="X295" s="112" t="s">
        <v>10558</v>
      </c>
      <c r="Y295" s="212" t="str">
        <f>VLOOKUP(P295, 'Bottom-up Tagging Assumptions'!$B$12:$C$56, 2, FALSE)</f>
        <v>#Other Economic(P); Social(S)</v>
      </c>
      <c r="Z295" s="112" t="str">
        <f>VLOOKUP(P295, 'Bottom-up Tagging Assumptions'!$B$12:$F$56, 3, FALSE)</f>
        <v>#Improve price realization(P)</v>
      </c>
      <c r="AA295" s="112" t="str">
        <f>VLOOKUP(P295, 'Bottom-up Tagging Assumptions'!$B$12:$F$56, 4, FALSE)</f>
        <v>#Level 3(100)</v>
      </c>
      <c r="AB295" s="110"/>
      <c r="AC295" s="110" t="s">
        <v>2230</v>
      </c>
      <c r="AD295" s="110" t="s">
        <v>2231</v>
      </c>
      <c r="AE295" s="110" t="s">
        <v>3127</v>
      </c>
      <c r="AF295" s="112">
        <v>20000000</v>
      </c>
      <c r="AG295" s="110" t="s">
        <v>2251</v>
      </c>
      <c r="AH295" s="121">
        <f t="shared" si="143"/>
        <v>0</v>
      </c>
      <c r="AI295" s="121">
        <f t="shared" si="144"/>
        <v>0</v>
      </c>
      <c r="AJ295" s="121">
        <f t="shared" si="145"/>
        <v>1</v>
      </c>
      <c r="AK295" s="121">
        <f t="shared" si="146"/>
        <v>1</v>
      </c>
      <c r="AL295" s="121">
        <f t="shared" si="147"/>
        <v>0</v>
      </c>
      <c r="AM295" s="121">
        <f t="shared" si="148"/>
        <v>0</v>
      </c>
      <c r="AN295" s="121">
        <f t="shared" si="149"/>
        <v>1</v>
      </c>
      <c r="AO295" s="121">
        <f t="shared" si="150"/>
        <v>0</v>
      </c>
      <c r="AP295" s="22">
        <f t="shared" si="151"/>
        <v>0</v>
      </c>
      <c r="AQ295" s="22">
        <f t="shared" si="152"/>
        <v>525749.24429466424</v>
      </c>
      <c r="AR295" s="22">
        <f t="shared" si="153"/>
        <v>0</v>
      </c>
      <c r="AS295" s="121" t="str">
        <f t="shared" si="154"/>
        <v>Crops</v>
      </c>
      <c r="AT295" s="121" t="str">
        <f t="shared" si="173"/>
        <v xml:space="preserve"> </v>
      </c>
      <c r="AU295" s="121" t="str">
        <f t="shared" si="173"/>
        <v xml:space="preserve"> </v>
      </c>
      <c r="AV295" s="121" t="str">
        <f t="shared" si="173"/>
        <v xml:space="preserve"> </v>
      </c>
      <c r="AW295" s="130" t="str">
        <f t="shared" si="174"/>
        <v>100</v>
      </c>
      <c r="AX295" s="130" t="str">
        <f t="shared" si="174"/>
        <v xml:space="preserve"> </v>
      </c>
      <c r="AY295" s="130" t="str">
        <f t="shared" si="174"/>
        <v xml:space="preserve"> </v>
      </c>
      <c r="AZ295" s="130" t="str">
        <f t="shared" si="174"/>
        <v xml:space="preserve"> </v>
      </c>
      <c r="BA295" s="121">
        <f t="shared" si="155"/>
        <v>525749.24429466424</v>
      </c>
      <c r="BB295" s="121">
        <f t="shared" si="156"/>
        <v>0</v>
      </c>
      <c r="BC295" s="121">
        <f t="shared" si="157"/>
        <v>0</v>
      </c>
      <c r="BD295" s="121">
        <f t="shared" si="158"/>
        <v>0</v>
      </c>
      <c r="BE295" s="121">
        <f t="shared" si="159"/>
        <v>0</v>
      </c>
      <c r="BF295" s="121">
        <f t="shared" si="160"/>
        <v>0</v>
      </c>
      <c r="BG295" s="121">
        <f t="shared" si="161"/>
        <v>0</v>
      </c>
      <c r="BH295" s="121">
        <f t="shared" si="162"/>
        <v>0</v>
      </c>
      <c r="BI295" s="121">
        <f t="shared" si="163"/>
        <v>525749.24429466424</v>
      </c>
      <c r="BJ295" s="121">
        <f t="shared" si="164"/>
        <v>525749.24429466424</v>
      </c>
      <c r="BK295" s="121">
        <f t="shared" si="165"/>
        <v>525749.24429466424</v>
      </c>
      <c r="BL295" s="121">
        <f t="shared" si="166"/>
        <v>525749.24429466424</v>
      </c>
      <c r="BM295" s="121">
        <f t="shared" si="167"/>
        <v>0</v>
      </c>
      <c r="BN295" s="121">
        <f t="shared" si="168"/>
        <v>0</v>
      </c>
      <c r="BO295" s="121">
        <f t="shared" si="169"/>
        <v>0</v>
      </c>
      <c r="BP295" s="121">
        <f t="shared" si="170"/>
        <v>0</v>
      </c>
      <c r="BQ295" s="199">
        <f>INDEX('GDP deflators'!$C$6:$M$36,MATCH('Bottom-up tagging'!$D295,'GDP deflators'!$B$6:$B$36,),MATCH('Bottom-up tagging'!$E295,'GDP deflators'!$C$5:$L$5,))/100</f>
        <v>1.3597375702538033</v>
      </c>
      <c r="BR295" s="24">
        <v>714881</v>
      </c>
    </row>
    <row r="296" spans="2:70" ht="26.15" hidden="1" customHeight="1">
      <c r="B296" s="110" t="s">
        <v>580</v>
      </c>
      <c r="C296" s="110" t="s">
        <v>585</v>
      </c>
      <c r="D296" s="110" t="s">
        <v>5208</v>
      </c>
      <c r="E296" s="103">
        <v>2020</v>
      </c>
      <c r="F296" s="108" t="s">
        <v>5211</v>
      </c>
      <c r="G296" s="111" t="s">
        <v>34</v>
      </c>
      <c r="H296" s="110" t="s">
        <v>10451</v>
      </c>
      <c r="I296" s="212">
        <v>0</v>
      </c>
      <c r="J296" s="118" t="s">
        <v>10474</v>
      </c>
      <c r="K296" s="112"/>
      <c r="L296" s="135">
        <v>1</v>
      </c>
      <c r="M296" s="135">
        <v>1</v>
      </c>
      <c r="N296" s="112"/>
      <c r="O296" s="112"/>
      <c r="P296" s="112" t="str">
        <f>VLOOKUP(B296, 'Companies covered restructured'!$B$7:$K$470, 9, FALSE)</f>
        <v>Farmer engagement platforms (including marketplaces and information platforms)</v>
      </c>
      <c r="Q296" s="112" t="str">
        <f>VLOOKUP(B296, 'Companies covered restructured'!$B$7:$K$470, 6, FALSE)</f>
        <v>#Crops(100)</v>
      </c>
      <c r="R296" s="112" t="str">
        <f t="shared" si="142"/>
        <v>#Investment Fund(100)</v>
      </c>
      <c r="S296" s="112" t="s">
        <v>11003</v>
      </c>
      <c r="T296" s="112" t="s">
        <v>10466</v>
      </c>
      <c r="U296" s="213" t="s">
        <v>10970</v>
      </c>
      <c r="V296" s="112" t="str">
        <f>VLOOKUP(P296, 'Bottom-up Tagging Assumptions'!$B$12:$F$39, 5, FALSE)</f>
        <v>#Process Innovation(100)</v>
      </c>
      <c r="W296" s="112" t="str">
        <f>VLOOKUP(B296, 'Companies covered restructured'!$B$7:$K$470, 7, FALSE)</f>
        <v>#Field/Animal Herd(100)</v>
      </c>
      <c r="X296" s="112" t="s">
        <v>10558</v>
      </c>
      <c r="Y296" s="112" t="str">
        <f>VLOOKUP(P296, '[2]Bottom-up Tagging Assumptions'!$B$12:$F$56, 2, FALSE)</f>
        <v>#Other Economic(P); #Productivity(S)</v>
      </c>
      <c r="Z296" s="112" t="str">
        <f>VLOOKUP(P296, 'Bottom-up Tagging Assumptions'!$B$12:$F$56, 3, FALSE)</f>
        <v>#Improve price realization(P); #Increasing crop or animal yield(S)</v>
      </c>
      <c r="AA296" s="112" t="str">
        <f>VLOOKUP(P296, 'Bottom-up Tagging Assumptions'!$B$12:$F$56, 4, FALSE)</f>
        <v>#Level 4(100)</v>
      </c>
      <c r="AB296" s="110" t="s">
        <v>582</v>
      </c>
      <c r="AC296" s="110"/>
      <c r="AD296" s="110" t="s">
        <v>583</v>
      </c>
      <c r="AE296" s="110" t="str">
        <f>VLOOKUP(AD296,  '1.2'!$B$7:$C$2033, 2, FALSE)</f>
        <v>FUND</v>
      </c>
      <c r="AF296" s="112">
        <v>20000000</v>
      </c>
      <c r="AG296" s="110" t="s">
        <v>1269</v>
      </c>
      <c r="AH296" s="121">
        <f t="shared" si="143"/>
        <v>0</v>
      </c>
      <c r="AI296" s="121">
        <f t="shared" si="144"/>
        <v>1</v>
      </c>
      <c r="AJ296" s="121">
        <f t="shared" si="145"/>
        <v>1</v>
      </c>
      <c r="AK296" s="121">
        <f t="shared" si="146"/>
        <v>0</v>
      </c>
      <c r="AL296" s="121">
        <f t="shared" si="147"/>
        <v>0</v>
      </c>
      <c r="AM296" s="121">
        <f t="shared" si="148"/>
        <v>0</v>
      </c>
      <c r="AN296" s="121">
        <f t="shared" si="149"/>
        <v>0</v>
      </c>
      <c r="AO296" s="121">
        <f t="shared" si="150"/>
        <v>0</v>
      </c>
      <c r="AP296" s="22">
        <f t="shared" si="151"/>
        <v>0</v>
      </c>
      <c r="AQ296" s="22">
        <f t="shared" si="152"/>
        <v>0</v>
      </c>
      <c r="AR296" s="22">
        <f t="shared" si="153"/>
        <v>0</v>
      </c>
      <c r="AS296" s="121" t="str">
        <f t="shared" si="154"/>
        <v>Crops</v>
      </c>
      <c r="AT296" s="121" t="str">
        <f t="shared" si="173"/>
        <v xml:space="preserve"> </v>
      </c>
      <c r="AU296" s="121" t="str">
        <f t="shared" si="173"/>
        <v xml:space="preserve"> </v>
      </c>
      <c r="AV296" s="121" t="str">
        <f t="shared" si="173"/>
        <v xml:space="preserve"> </v>
      </c>
      <c r="AW296" s="130" t="str">
        <f t="shared" si="174"/>
        <v>100</v>
      </c>
      <c r="AX296" s="130" t="str">
        <f t="shared" si="174"/>
        <v xml:space="preserve"> </v>
      </c>
      <c r="AY296" s="130" t="str">
        <f t="shared" si="174"/>
        <v xml:space="preserve"> </v>
      </c>
      <c r="AZ296" s="130" t="str">
        <f t="shared" si="174"/>
        <v xml:space="preserve"> </v>
      </c>
      <c r="BA296" s="121">
        <f t="shared" si="155"/>
        <v>0</v>
      </c>
      <c r="BB296" s="121">
        <f t="shared" si="156"/>
        <v>0</v>
      </c>
      <c r="BC296" s="121">
        <f t="shared" si="157"/>
        <v>0</v>
      </c>
      <c r="BD296" s="121">
        <f t="shared" si="158"/>
        <v>0</v>
      </c>
      <c r="BE296" s="121">
        <f t="shared" si="159"/>
        <v>0</v>
      </c>
      <c r="BF296" s="121">
        <f t="shared" si="160"/>
        <v>0</v>
      </c>
      <c r="BG296" s="121">
        <f t="shared" si="161"/>
        <v>0</v>
      </c>
      <c r="BH296" s="121">
        <f t="shared" si="162"/>
        <v>0</v>
      </c>
      <c r="BI296" s="121">
        <f t="shared" si="163"/>
        <v>0</v>
      </c>
      <c r="BJ296" s="121">
        <f t="shared" si="164"/>
        <v>0</v>
      </c>
      <c r="BK296" s="121">
        <f t="shared" si="165"/>
        <v>0</v>
      </c>
      <c r="BL296" s="121">
        <f t="shared" si="166"/>
        <v>0</v>
      </c>
      <c r="BM296" s="121">
        <f t="shared" si="167"/>
        <v>0</v>
      </c>
      <c r="BN296" s="121">
        <f t="shared" si="168"/>
        <v>0</v>
      </c>
      <c r="BO296" s="121">
        <f t="shared" si="169"/>
        <v>0</v>
      </c>
      <c r="BP296" s="121">
        <f t="shared" si="170"/>
        <v>0</v>
      </c>
      <c r="BQ296" s="199" t="e">
        <f>INDEX('GDP deflators'!$C$6:$M$36,MATCH('Bottom-up tagging'!$D296,'GDP deflators'!$B$6:$B$36,),MATCH('Bottom-up tagging'!$E296,'GDP deflators'!$C$5:$L$5,))/100</f>
        <v>#N/A</v>
      </c>
      <c r="BR296" s="24">
        <v>714179</v>
      </c>
    </row>
    <row r="297" spans="2:70" ht="26.15" hidden="1" customHeight="1">
      <c r="B297" s="110" t="s">
        <v>1724</v>
      </c>
      <c r="C297" s="110" t="s">
        <v>1726</v>
      </c>
      <c r="D297" s="110" t="s">
        <v>5208</v>
      </c>
      <c r="E297" s="103">
        <v>2016</v>
      </c>
      <c r="F297" s="108" t="s">
        <v>7543</v>
      </c>
      <c r="G297" s="111" t="s">
        <v>34</v>
      </c>
      <c r="H297" s="110" t="s">
        <v>10451</v>
      </c>
      <c r="I297" s="112">
        <f>IF(Dashboard!$B$16="Current USD",'Bottom-up tagging'!BR297,'Bottom-up tagging'!BR297/'Bottom-up tagging'!BQ297)</f>
        <v>450554.18345932063</v>
      </c>
      <c r="J297" s="118" t="s">
        <v>10474</v>
      </c>
      <c r="K297" s="112"/>
      <c r="L297" s="135">
        <v>1</v>
      </c>
      <c r="M297" s="135">
        <v>1</v>
      </c>
      <c r="N297" s="112"/>
      <c r="O297" s="112"/>
      <c r="P297" s="112" t="str">
        <f>VLOOKUP(B297, 'Companies covered restructured'!$B$7:$K$470, 9, FALSE)</f>
        <v>AI/analytics based advisory algorithms (incl. weather)</v>
      </c>
      <c r="Q297" s="112" t="str">
        <f>VLOOKUP(B297, 'Companies covered restructured'!$B$7:$K$470, 6, FALSE)</f>
        <v>#Crops(100)</v>
      </c>
      <c r="R297" s="112" t="str">
        <f t="shared" si="142"/>
        <v>N/A</v>
      </c>
      <c r="S297" s="112" t="s">
        <v>11003</v>
      </c>
      <c r="T297" s="112" t="s">
        <v>10466</v>
      </c>
      <c r="U297" s="103" t="s">
        <v>10970</v>
      </c>
      <c r="V297" s="112" t="str">
        <f>VLOOKUP(P297, 'Bottom-up Tagging Assumptions'!$B$12:$F$39, 5, FALSE)</f>
        <v>#Science &amp; tech(100)</v>
      </c>
      <c r="W297" s="112" t="str">
        <f>VLOOKUP(B297, 'Companies covered restructured'!$B$7:$K$470, 7, FALSE)</f>
        <v>#Field/Animal Herd(100)</v>
      </c>
      <c r="X297" s="112" t="s">
        <v>10558</v>
      </c>
      <c r="Y297" s="212" t="str">
        <f>VLOOKUP(P297, 'Bottom-up Tagging Assumptions'!$B$12:$C$56, 2, FALSE)</f>
        <v>#Other Economic(P); #Productivity(S)</v>
      </c>
      <c r="Z297" s="112" t="str">
        <f>VLOOKUP(P297, 'Bottom-up Tagging Assumptions'!$B$12:$F$56, 3, FALSE)</f>
        <v>#Increasing output per unit input(P); #Increasing crop or animal yield(S)</v>
      </c>
      <c r="AA297" s="112" t="str">
        <f>VLOOKUP(P297, 'Bottom-up Tagging Assumptions'!$B$12:$F$56, 4, FALSE)</f>
        <v>#Level 1(100)</v>
      </c>
      <c r="AB297" s="110" t="s">
        <v>1744</v>
      </c>
      <c r="AC297" s="110"/>
      <c r="AD297" s="110"/>
      <c r="AE297" s="110" t="s">
        <v>10558</v>
      </c>
      <c r="AF297" s="112"/>
      <c r="AG297" s="110" t="s">
        <v>2258</v>
      </c>
      <c r="AH297" s="121">
        <f t="shared" si="143"/>
        <v>0</v>
      </c>
      <c r="AI297" s="121">
        <f t="shared" si="144"/>
        <v>1</v>
      </c>
      <c r="AJ297" s="121">
        <f t="shared" si="145"/>
        <v>1</v>
      </c>
      <c r="AK297" s="121">
        <f t="shared" si="146"/>
        <v>0</v>
      </c>
      <c r="AL297" s="121">
        <f t="shared" si="147"/>
        <v>0</v>
      </c>
      <c r="AM297" s="121">
        <f t="shared" si="148"/>
        <v>0</v>
      </c>
      <c r="AN297" s="121">
        <f t="shared" si="149"/>
        <v>0</v>
      </c>
      <c r="AO297" s="121">
        <f t="shared" si="150"/>
        <v>0</v>
      </c>
      <c r="AP297" s="22">
        <f t="shared" si="151"/>
        <v>0</v>
      </c>
      <c r="AQ297" s="22">
        <f t="shared" si="152"/>
        <v>0</v>
      </c>
      <c r="AR297" s="22">
        <f t="shared" si="153"/>
        <v>0</v>
      </c>
      <c r="AS297" s="121" t="str">
        <f t="shared" si="154"/>
        <v>Crops</v>
      </c>
      <c r="AT297" s="121" t="str">
        <f t="shared" si="173"/>
        <v xml:space="preserve"> </v>
      </c>
      <c r="AU297" s="121" t="str">
        <f t="shared" si="173"/>
        <v xml:space="preserve"> </v>
      </c>
      <c r="AV297" s="121" t="str">
        <f t="shared" si="173"/>
        <v xml:space="preserve"> </v>
      </c>
      <c r="AW297" s="130" t="str">
        <f t="shared" si="174"/>
        <v>100</v>
      </c>
      <c r="AX297" s="130" t="str">
        <f t="shared" si="174"/>
        <v xml:space="preserve"> </v>
      </c>
      <c r="AY297" s="130" t="str">
        <f t="shared" si="174"/>
        <v xml:space="preserve"> </v>
      </c>
      <c r="AZ297" s="130" t="str">
        <f t="shared" si="174"/>
        <v xml:space="preserve"> </v>
      </c>
      <c r="BA297" s="121">
        <f t="shared" si="155"/>
        <v>450554.18345932069</v>
      </c>
      <c r="BB297" s="121">
        <f t="shared" si="156"/>
        <v>0</v>
      </c>
      <c r="BC297" s="121">
        <f t="shared" si="157"/>
        <v>0</v>
      </c>
      <c r="BD297" s="121">
        <f t="shared" si="158"/>
        <v>0</v>
      </c>
      <c r="BE297" s="121">
        <f t="shared" si="159"/>
        <v>0</v>
      </c>
      <c r="BF297" s="121">
        <f t="shared" si="160"/>
        <v>0</v>
      </c>
      <c r="BG297" s="121">
        <f t="shared" si="161"/>
        <v>0</v>
      </c>
      <c r="BH297" s="121">
        <f t="shared" si="162"/>
        <v>0</v>
      </c>
      <c r="BI297" s="121">
        <f t="shared" si="163"/>
        <v>0</v>
      </c>
      <c r="BJ297" s="121">
        <f t="shared" si="164"/>
        <v>0</v>
      </c>
      <c r="BK297" s="121">
        <f t="shared" si="165"/>
        <v>0</v>
      </c>
      <c r="BL297" s="121">
        <f t="shared" si="166"/>
        <v>0</v>
      </c>
      <c r="BM297" s="121">
        <f t="shared" si="167"/>
        <v>0</v>
      </c>
      <c r="BN297" s="121">
        <f t="shared" si="168"/>
        <v>0</v>
      </c>
      <c r="BO297" s="121">
        <f t="shared" si="169"/>
        <v>0</v>
      </c>
      <c r="BP297" s="121">
        <f t="shared" si="170"/>
        <v>0</v>
      </c>
      <c r="BQ297" s="199">
        <f>INDEX('GDP deflators'!$C$6:$M$36,MATCH('Bottom-up tagging'!$D297,'GDP deflators'!$B$6:$B$36,),MATCH('Bottom-up tagging'!$E297,'GDP deflators'!$C$5:$L$5,))/100</f>
        <v>1.5763320507801348</v>
      </c>
      <c r="BR297" s="24">
        <v>710223</v>
      </c>
    </row>
    <row r="298" spans="2:70" ht="26.15" hidden="1" customHeight="1">
      <c r="B298" s="110" t="s">
        <v>2382</v>
      </c>
      <c r="C298" s="110" t="s">
        <v>2384</v>
      </c>
      <c r="D298" s="110" t="s">
        <v>5208</v>
      </c>
      <c r="E298" s="103">
        <v>2016</v>
      </c>
      <c r="F298" s="108" t="s">
        <v>9562</v>
      </c>
      <c r="G298" s="111" t="s">
        <v>34</v>
      </c>
      <c r="H298" s="110" t="s">
        <v>10451</v>
      </c>
      <c r="I298" s="112">
        <f>IF(Dashboard!$B$16="Current USD",'Bottom-up tagging'!BR298,'Bottom-up tagging'!BR298/'Bottom-up tagging'!BQ298)</f>
        <v>448899.07532476942</v>
      </c>
      <c r="J298" s="105" t="s">
        <v>10474</v>
      </c>
      <c r="K298" s="112"/>
      <c r="L298" s="135">
        <v>1</v>
      </c>
      <c r="M298" s="135">
        <v>1</v>
      </c>
      <c r="N298" s="112"/>
      <c r="O298" s="112"/>
      <c r="P298" s="112" t="str">
        <f>VLOOKUP(B298, 'Companies covered restructured'!$B$7:$K$470, 9, FALSE)</f>
        <v>AI/analytics based advisory algorithms (incl. weather)</v>
      </c>
      <c r="Q298" s="112" t="str">
        <f>VLOOKUP(B298, 'Companies covered restructured'!$B$7:$K$470, 6, FALSE)</f>
        <v>#Crops(100)</v>
      </c>
      <c r="R298" s="112" t="str">
        <f t="shared" si="142"/>
        <v>N/A</v>
      </c>
      <c r="S298" s="112" t="s">
        <v>11003</v>
      </c>
      <c r="T298" s="112" t="s">
        <v>10466</v>
      </c>
      <c r="U298" s="103" t="s">
        <v>10970</v>
      </c>
      <c r="V298" s="112" t="str">
        <f>VLOOKUP(P298, 'Bottom-up Tagging Assumptions'!$B$12:$F$39, 5, FALSE)</f>
        <v>#Science &amp; tech(100)</v>
      </c>
      <c r="W298" s="112" t="str">
        <f>VLOOKUP(B298, 'Companies covered restructured'!$B$7:$K$470, 7, FALSE)</f>
        <v>#Landscape(100)</v>
      </c>
      <c r="X298" s="112" t="str">
        <f>VLOOKUP(B298, 'Companies covered restructured'!$B$7:$K$470, 8, FALSE)</f>
        <v>#Both(100)</v>
      </c>
      <c r="Y298" s="212" t="str">
        <f>VLOOKUP(P298, 'Bottom-up Tagging Assumptions'!$B$12:$C$56, 2, FALSE)</f>
        <v>#Other Economic(P); #Productivity(S)</v>
      </c>
      <c r="Z298" s="112" t="str">
        <f>VLOOKUP(P298, 'Bottom-up Tagging Assumptions'!$B$12:$F$56, 3, FALSE)</f>
        <v>#Increasing output per unit input(P); #Increasing crop or animal yield(S)</v>
      </c>
      <c r="AA298" s="112" t="str">
        <f>VLOOKUP(P298, 'Bottom-up Tagging Assumptions'!$B$12:$F$56, 4, FALSE)</f>
        <v>#Level 1(100)</v>
      </c>
      <c r="AB298" s="110" t="s">
        <v>1744</v>
      </c>
      <c r="AC298" s="110"/>
      <c r="AD298" s="110"/>
      <c r="AE298" s="110" t="s">
        <v>10558</v>
      </c>
      <c r="AF298" s="112">
        <v>732883</v>
      </c>
      <c r="AG298" s="110" t="s">
        <v>2262</v>
      </c>
      <c r="AH298" s="121">
        <f t="shared" si="143"/>
        <v>0</v>
      </c>
      <c r="AI298" s="121">
        <f t="shared" si="144"/>
        <v>1</v>
      </c>
      <c r="AJ298" s="121">
        <f t="shared" si="145"/>
        <v>1</v>
      </c>
      <c r="AK298" s="121">
        <f t="shared" si="146"/>
        <v>0</v>
      </c>
      <c r="AL298" s="121">
        <f t="shared" si="147"/>
        <v>0</v>
      </c>
      <c r="AM298" s="121">
        <f t="shared" si="148"/>
        <v>0</v>
      </c>
      <c r="AN298" s="121">
        <f t="shared" si="149"/>
        <v>0</v>
      </c>
      <c r="AO298" s="121">
        <f t="shared" si="150"/>
        <v>0</v>
      </c>
      <c r="AP298" s="22">
        <f t="shared" si="151"/>
        <v>0</v>
      </c>
      <c r="AQ298" s="22">
        <f t="shared" si="152"/>
        <v>0</v>
      </c>
      <c r="AR298" s="22">
        <f t="shared" si="153"/>
        <v>0</v>
      </c>
      <c r="AS298" s="121" t="str">
        <f t="shared" si="154"/>
        <v>Crops</v>
      </c>
      <c r="AT298" s="121" t="str">
        <f t="shared" si="173"/>
        <v xml:space="preserve"> </v>
      </c>
      <c r="AU298" s="121" t="str">
        <f t="shared" si="173"/>
        <v xml:space="preserve"> </v>
      </c>
      <c r="AV298" s="121" t="str">
        <f t="shared" si="173"/>
        <v xml:space="preserve"> </v>
      </c>
      <c r="AW298" s="130" t="str">
        <f t="shared" si="174"/>
        <v>100</v>
      </c>
      <c r="AX298" s="130" t="str">
        <f t="shared" si="174"/>
        <v xml:space="preserve"> </v>
      </c>
      <c r="AY298" s="130" t="str">
        <f t="shared" si="174"/>
        <v xml:space="preserve"> </v>
      </c>
      <c r="AZ298" s="130" t="str">
        <f t="shared" si="174"/>
        <v xml:space="preserve"> </v>
      </c>
      <c r="BA298" s="121">
        <f t="shared" si="155"/>
        <v>448899.07532476936</v>
      </c>
      <c r="BB298" s="121">
        <f t="shared" si="156"/>
        <v>0</v>
      </c>
      <c r="BC298" s="121">
        <f t="shared" si="157"/>
        <v>0</v>
      </c>
      <c r="BD298" s="121">
        <f t="shared" si="158"/>
        <v>0</v>
      </c>
      <c r="BE298" s="121">
        <f t="shared" si="159"/>
        <v>0</v>
      </c>
      <c r="BF298" s="121">
        <f t="shared" si="160"/>
        <v>0</v>
      </c>
      <c r="BG298" s="121">
        <f t="shared" si="161"/>
        <v>0</v>
      </c>
      <c r="BH298" s="121">
        <f t="shared" si="162"/>
        <v>0</v>
      </c>
      <c r="BI298" s="121">
        <f t="shared" si="163"/>
        <v>0</v>
      </c>
      <c r="BJ298" s="121">
        <f t="shared" si="164"/>
        <v>0</v>
      </c>
      <c r="BK298" s="121">
        <f t="shared" si="165"/>
        <v>0</v>
      </c>
      <c r="BL298" s="121">
        <f t="shared" si="166"/>
        <v>0</v>
      </c>
      <c r="BM298" s="121">
        <f t="shared" si="167"/>
        <v>0</v>
      </c>
      <c r="BN298" s="121">
        <f t="shared" si="168"/>
        <v>0</v>
      </c>
      <c r="BO298" s="121">
        <f t="shared" si="169"/>
        <v>0</v>
      </c>
      <c r="BP298" s="121">
        <f t="shared" si="170"/>
        <v>0</v>
      </c>
      <c r="BQ298" s="199">
        <f>INDEX('GDP deflators'!$C$6:$M$36,MATCH('Bottom-up tagging'!$D298,'GDP deflators'!$B$6:$B$36,),MATCH('Bottom-up tagging'!$E298,'GDP deflators'!$C$5:$L$5,))/100</f>
        <v>1.5763320507801348</v>
      </c>
      <c r="BR298" s="24">
        <v>707614</v>
      </c>
    </row>
    <row r="299" spans="2:70" ht="26.15" hidden="1" customHeight="1">
      <c r="B299" s="110" t="s">
        <v>303</v>
      </c>
      <c r="C299" s="110" t="s">
        <v>306</v>
      </c>
      <c r="D299" s="110" t="s">
        <v>3994</v>
      </c>
      <c r="E299" s="103">
        <v>2019</v>
      </c>
      <c r="F299" s="108" t="s">
        <v>8813</v>
      </c>
      <c r="G299" s="111" t="s">
        <v>302</v>
      </c>
      <c r="H299" s="110" t="s">
        <v>10451</v>
      </c>
      <c r="I299" s="112">
        <f>IF(Dashboard!$B$16="Current USD",'Bottom-up tagging'!BR299,'Bottom-up tagging'!BR299/'Bottom-up tagging'!BQ299)</f>
        <v>463815.42325553735</v>
      </c>
      <c r="J299" s="118" t="s">
        <v>10474</v>
      </c>
      <c r="K299" s="112"/>
      <c r="L299" s="135">
        <v>1</v>
      </c>
      <c r="M299" s="135">
        <v>1</v>
      </c>
      <c r="N299" s="112"/>
      <c r="O299" s="112"/>
      <c r="P299" s="112" t="str">
        <f>VLOOKUP(B299, 'Companies covered restructured'!$B$7:$K$470, 9, FALSE)</f>
        <v>Animal and fish monitoring systems</v>
      </c>
      <c r="Q299" s="112" t="str">
        <f>VLOOKUP(B299, 'Companies covered restructured'!$B$7:$K$470, 6, FALSE)</f>
        <v>#Livestock(100)</v>
      </c>
      <c r="R299" s="112" t="str">
        <f t="shared" si="142"/>
        <v>N/A</v>
      </c>
      <c r="S299" s="112" t="s">
        <v>11003</v>
      </c>
      <c r="T299" s="112" t="s">
        <v>10464</v>
      </c>
      <c r="U299" s="103" t="s">
        <v>10970</v>
      </c>
      <c r="V299" s="112" t="str">
        <f>VLOOKUP(P299, 'Bottom-up Tagging Assumptions'!$B$12:$F$39, 5, FALSE)</f>
        <v>#Product Development(100)</v>
      </c>
      <c r="W299" s="112" t="str">
        <f>VLOOKUP(B299, 'Companies covered restructured'!$B$7:$K$470, 7, FALSE)</f>
        <v>#Field/Animal Herd(100)</v>
      </c>
      <c r="X299" s="112" t="s">
        <v>10558</v>
      </c>
      <c r="Y299" s="212" t="str">
        <f>VLOOKUP(P299, 'Bottom-up Tagging Assumptions'!$B$12:$C$56, 2, FALSE)</f>
        <v>#Productivity(P); Other economic(S)</v>
      </c>
      <c r="Z299" s="112" t="str">
        <f>VLOOKUP(P299, 'Bottom-up Tagging Assumptions'!$B$12:$F$56, 3, FALSE)</f>
        <v>#Increasing crop or animal yield(P)</v>
      </c>
      <c r="AA299" s="112" t="str">
        <f>VLOOKUP(P299, 'Bottom-up Tagging Assumptions'!$B$12:$F$56, 4, FALSE)</f>
        <v>#Level 2(100)</v>
      </c>
      <c r="AB299" s="110" t="s">
        <v>305</v>
      </c>
      <c r="AC299" s="110"/>
      <c r="AD299" s="110"/>
      <c r="AE299" s="110" t="s">
        <v>10558</v>
      </c>
      <c r="AF299" s="112">
        <v>28150000</v>
      </c>
      <c r="AG299" s="110" t="s">
        <v>457</v>
      </c>
      <c r="AH299" s="121">
        <f t="shared" si="143"/>
        <v>0</v>
      </c>
      <c r="AI299" s="121">
        <f t="shared" si="144"/>
        <v>1</v>
      </c>
      <c r="AJ299" s="121">
        <f t="shared" si="145"/>
        <v>1</v>
      </c>
      <c r="AK299" s="121">
        <f t="shared" si="146"/>
        <v>0</v>
      </c>
      <c r="AL299" s="121">
        <f t="shared" si="147"/>
        <v>0</v>
      </c>
      <c r="AM299" s="121">
        <f t="shared" si="148"/>
        <v>0</v>
      </c>
      <c r="AN299" s="121">
        <f t="shared" si="149"/>
        <v>0</v>
      </c>
      <c r="AO299" s="121">
        <f t="shared" si="150"/>
        <v>0</v>
      </c>
      <c r="AP299" s="22">
        <f t="shared" si="151"/>
        <v>0</v>
      </c>
      <c r="AQ299" s="22">
        <f t="shared" si="152"/>
        <v>0</v>
      </c>
      <c r="AR299" s="22">
        <f t="shared" si="153"/>
        <v>0</v>
      </c>
      <c r="AS299" s="121" t="str">
        <f t="shared" si="154"/>
        <v>Livestock</v>
      </c>
      <c r="AT299" s="121" t="str">
        <f t="shared" si="173"/>
        <v xml:space="preserve"> </v>
      </c>
      <c r="AU299" s="121" t="str">
        <f t="shared" si="173"/>
        <v xml:space="preserve"> </v>
      </c>
      <c r="AV299" s="121" t="str">
        <f t="shared" si="173"/>
        <v xml:space="preserve"> </v>
      </c>
      <c r="AW299" s="130" t="str">
        <f t="shared" si="174"/>
        <v>100</v>
      </c>
      <c r="AX299" s="130" t="str">
        <f t="shared" si="174"/>
        <v xml:space="preserve"> </v>
      </c>
      <c r="AY299" s="130" t="str">
        <f t="shared" si="174"/>
        <v xml:space="preserve"> </v>
      </c>
      <c r="AZ299" s="130" t="str">
        <f t="shared" si="174"/>
        <v xml:space="preserve"> </v>
      </c>
      <c r="BA299" s="121">
        <f t="shared" si="155"/>
        <v>463815.4232555374</v>
      </c>
      <c r="BB299" s="121">
        <f t="shared" si="156"/>
        <v>0</v>
      </c>
      <c r="BC299" s="121">
        <f t="shared" si="157"/>
        <v>0</v>
      </c>
      <c r="BD299" s="121">
        <f t="shared" si="158"/>
        <v>0</v>
      </c>
      <c r="BE299" s="121">
        <f t="shared" si="159"/>
        <v>0</v>
      </c>
      <c r="BF299" s="121">
        <f t="shared" si="160"/>
        <v>0</v>
      </c>
      <c r="BG299" s="121">
        <f t="shared" si="161"/>
        <v>0</v>
      </c>
      <c r="BH299" s="121">
        <f t="shared" si="162"/>
        <v>0</v>
      </c>
      <c r="BI299" s="121">
        <f t="shared" si="163"/>
        <v>0</v>
      </c>
      <c r="BJ299" s="121">
        <f t="shared" si="164"/>
        <v>0</v>
      </c>
      <c r="BK299" s="121">
        <f t="shared" si="165"/>
        <v>0</v>
      </c>
      <c r="BL299" s="121">
        <f t="shared" si="166"/>
        <v>0</v>
      </c>
      <c r="BM299" s="121">
        <f t="shared" si="167"/>
        <v>0</v>
      </c>
      <c r="BN299" s="121">
        <f t="shared" si="168"/>
        <v>0</v>
      </c>
      <c r="BO299" s="121">
        <f t="shared" si="169"/>
        <v>0</v>
      </c>
      <c r="BP299" s="121">
        <f t="shared" si="170"/>
        <v>0</v>
      </c>
      <c r="BQ299" s="199">
        <f>INDEX('GDP deflators'!$C$6:$M$36,MATCH('Bottom-up tagging'!$D299,'GDP deflators'!$B$6:$B$36,),MATCH('Bottom-up tagging'!$E299,'GDP deflators'!$C$5:$L$5,))/100</f>
        <v>1.5094883975306472</v>
      </c>
      <c r="BR299" s="24">
        <v>700124</v>
      </c>
    </row>
    <row r="300" spans="2:70" ht="26.15" hidden="1" customHeight="1">
      <c r="B300" s="110" t="s">
        <v>749</v>
      </c>
      <c r="C300" s="110" t="s">
        <v>751</v>
      </c>
      <c r="D300" s="110" t="s">
        <v>3994</v>
      </c>
      <c r="E300" s="103">
        <v>2018</v>
      </c>
      <c r="F300" s="108" t="s">
        <v>8490</v>
      </c>
      <c r="G300" s="111" t="s">
        <v>34</v>
      </c>
      <c r="H300" s="110" t="s">
        <v>10451</v>
      </c>
      <c r="I300" s="112">
        <f>IF(Dashboard!$B$16="Current USD",'Bottom-up tagging'!BR300,'Bottom-up tagging'!BR300/'Bottom-up tagging'!BQ300)</f>
        <v>474228.7279570495</v>
      </c>
      <c r="J300" s="117" t="s">
        <v>10474</v>
      </c>
      <c r="K300" s="112"/>
      <c r="L300" s="135">
        <v>1</v>
      </c>
      <c r="M300" s="135">
        <v>1</v>
      </c>
      <c r="N300" s="112"/>
      <c r="O300" s="112"/>
      <c r="P300" s="112" t="str">
        <f>VLOOKUP(B300, 'Companies covered restructured'!$B$7:$K$470, 9, FALSE)</f>
        <v>Equipment automation</v>
      </c>
      <c r="Q300" s="112" t="str">
        <f>VLOOKUP(B300, 'Companies covered restructured'!$B$7:$K$470, 6, FALSE)</f>
        <v>#Crops(100)</v>
      </c>
      <c r="R300" s="112" t="str">
        <f t="shared" si="142"/>
        <v>N/A</v>
      </c>
      <c r="S300" s="112" t="s">
        <v>11003</v>
      </c>
      <c r="T300" s="112" t="s">
        <v>10466</v>
      </c>
      <c r="U300" s="103" t="s">
        <v>10970</v>
      </c>
      <c r="V300" s="112" t="str">
        <f>VLOOKUP(P300, 'Bottom-up Tagging Assumptions'!$B$12:$F$39, 5, FALSE)</f>
        <v>#Science &amp; tech(100)</v>
      </c>
      <c r="W300" s="112" t="str">
        <f>VLOOKUP(B300, 'Companies covered restructured'!$B$7:$K$470, 7, FALSE)</f>
        <v>N/A</v>
      </c>
      <c r="X300" s="112" t="str">
        <f>VLOOKUP(B300, 'Companies covered restructured'!$B$7:$K$470, 8, FALSE)</f>
        <v>N/A</v>
      </c>
      <c r="Y300" s="212" t="str">
        <f>VLOOKUP(P300, 'Bottom-up Tagging Assumptions'!$B$12:$C$56, 2, FALSE)</f>
        <v>#Productivity(P); #Other Economic(S)</v>
      </c>
      <c r="Z300" s="112" t="str">
        <f>VLOOKUP(P300, 'Bottom-up Tagging Assumptions'!$B$12:$F$56, 3, FALSE)</f>
        <v>#Reducing human effort(P); #Increasing output per unit input(S)</v>
      </c>
      <c r="AA300" s="112" t="str">
        <f>VLOOKUP(P300, 'Bottom-up Tagging Assumptions'!$B$12:$F$56, 4, FALSE)</f>
        <v>#Level 1(100)</v>
      </c>
      <c r="AB300" s="110"/>
      <c r="AC300" s="110"/>
      <c r="AD300" s="110"/>
      <c r="AE300" s="110" t="s">
        <v>10558</v>
      </c>
      <c r="AF300" s="112">
        <v>239863</v>
      </c>
      <c r="AG300" s="110" t="s">
        <v>2162</v>
      </c>
      <c r="AH300" s="121">
        <f t="shared" si="143"/>
        <v>0</v>
      </c>
      <c r="AI300" s="121">
        <f t="shared" si="144"/>
        <v>1</v>
      </c>
      <c r="AJ300" s="121">
        <f t="shared" si="145"/>
        <v>1</v>
      </c>
      <c r="AK300" s="121">
        <f t="shared" si="146"/>
        <v>0</v>
      </c>
      <c r="AL300" s="121">
        <f t="shared" si="147"/>
        <v>0</v>
      </c>
      <c r="AM300" s="121">
        <f t="shared" si="148"/>
        <v>0</v>
      </c>
      <c r="AN300" s="121">
        <f t="shared" si="149"/>
        <v>0</v>
      </c>
      <c r="AO300" s="121">
        <f t="shared" si="150"/>
        <v>0</v>
      </c>
      <c r="AP300" s="22">
        <f t="shared" si="151"/>
        <v>0</v>
      </c>
      <c r="AQ300" s="22">
        <f t="shared" si="152"/>
        <v>0</v>
      </c>
      <c r="AR300" s="22">
        <f t="shared" si="153"/>
        <v>0</v>
      </c>
      <c r="AS300" s="121" t="str">
        <f t="shared" si="154"/>
        <v>Crops</v>
      </c>
      <c r="AT300" s="121" t="str">
        <f t="shared" si="173"/>
        <v xml:space="preserve"> </v>
      </c>
      <c r="AU300" s="121" t="str">
        <f t="shared" si="173"/>
        <v xml:space="preserve"> </v>
      </c>
      <c r="AV300" s="121" t="str">
        <f t="shared" si="173"/>
        <v xml:space="preserve"> </v>
      </c>
      <c r="AW300" s="130" t="str">
        <f t="shared" si="174"/>
        <v>100</v>
      </c>
      <c r="AX300" s="130" t="str">
        <f t="shared" si="174"/>
        <v xml:space="preserve"> </v>
      </c>
      <c r="AY300" s="130" t="str">
        <f t="shared" si="174"/>
        <v xml:space="preserve"> </v>
      </c>
      <c r="AZ300" s="130" t="str">
        <f t="shared" si="174"/>
        <v xml:space="preserve"> </v>
      </c>
      <c r="BA300" s="121">
        <f t="shared" si="155"/>
        <v>474228.72795704956</v>
      </c>
      <c r="BB300" s="121">
        <f t="shared" si="156"/>
        <v>0</v>
      </c>
      <c r="BC300" s="121">
        <f t="shared" si="157"/>
        <v>0</v>
      </c>
      <c r="BD300" s="121">
        <f t="shared" si="158"/>
        <v>0</v>
      </c>
      <c r="BE300" s="121">
        <f t="shared" si="159"/>
        <v>0</v>
      </c>
      <c r="BF300" s="121">
        <f t="shared" si="160"/>
        <v>0</v>
      </c>
      <c r="BG300" s="121">
        <f t="shared" si="161"/>
        <v>0</v>
      </c>
      <c r="BH300" s="121">
        <f t="shared" si="162"/>
        <v>0</v>
      </c>
      <c r="BI300" s="121">
        <f t="shared" si="163"/>
        <v>0</v>
      </c>
      <c r="BJ300" s="121">
        <f t="shared" si="164"/>
        <v>0</v>
      </c>
      <c r="BK300" s="121">
        <f t="shared" si="165"/>
        <v>0</v>
      </c>
      <c r="BL300" s="121">
        <f t="shared" si="166"/>
        <v>0</v>
      </c>
      <c r="BM300" s="121">
        <f t="shared" si="167"/>
        <v>0</v>
      </c>
      <c r="BN300" s="121">
        <f t="shared" si="168"/>
        <v>0</v>
      </c>
      <c r="BO300" s="121">
        <f t="shared" si="169"/>
        <v>0</v>
      </c>
      <c r="BP300" s="121">
        <f t="shared" si="170"/>
        <v>0</v>
      </c>
      <c r="BQ300" s="199">
        <f>INDEX('GDP deflators'!$C$6:$M$36,MATCH('Bottom-up tagging'!$D300,'GDP deflators'!$B$6:$B$36,),MATCH('Bottom-up tagging'!$E300,'GDP deflators'!$C$5:$L$5,))/100</f>
        <v>1.4753935363936217</v>
      </c>
      <c r="BR300" s="24">
        <v>699674</v>
      </c>
    </row>
    <row r="301" spans="2:70" ht="26.15" hidden="1" customHeight="1">
      <c r="B301" s="110" t="s">
        <v>878</v>
      </c>
      <c r="C301" s="110" t="s">
        <v>883</v>
      </c>
      <c r="D301" s="110" t="s">
        <v>3994</v>
      </c>
      <c r="E301" s="103">
        <v>2019</v>
      </c>
      <c r="F301" s="108" t="s">
        <v>8198</v>
      </c>
      <c r="G301" s="111" t="s">
        <v>109</v>
      </c>
      <c r="H301" s="110" t="s">
        <v>10451</v>
      </c>
      <c r="I301" s="112">
        <f>IF(Dashboard!$B$16="Current USD",'Bottom-up tagging'!BR301,'Bottom-up tagging'!BR301/'Bottom-up tagging'!BQ301)</f>
        <v>462370.56286206376</v>
      </c>
      <c r="J301" s="117" t="s">
        <v>10474</v>
      </c>
      <c r="K301" s="112"/>
      <c r="L301" s="135">
        <v>1</v>
      </c>
      <c r="M301" s="135">
        <v>1</v>
      </c>
      <c r="N301" s="112"/>
      <c r="O301" s="112"/>
      <c r="P301" s="112" t="str">
        <f>VLOOKUP(B301, 'Companies covered restructured'!$B$7:$K$470, 9, FALSE)</f>
        <v>Agri marketplaces</v>
      </c>
      <c r="Q301" s="112" t="str">
        <f>VLOOKUP(B301, 'Companies covered restructured'!$B$7:$K$470, 6, FALSE)</f>
        <v>#Livestock(100)</v>
      </c>
      <c r="R301" s="112" t="str">
        <f t="shared" si="142"/>
        <v>N/A</v>
      </c>
      <c r="S301" s="112" t="s">
        <v>11003</v>
      </c>
      <c r="T301" s="112" t="s">
        <v>10466</v>
      </c>
      <c r="U301" s="103" t="s">
        <v>10970</v>
      </c>
      <c r="V301" s="112" t="str">
        <f>VLOOKUP(P301, 'Bottom-up Tagging Assumptions'!$B$12:$F$39, 5, FALSE)</f>
        <v>#Process Innovation(100)</v>
      </c>
      <c r="W301" s="112" t="str">
        <f>VLOOKUP(B301, 'Companies covered restructured'!$B$7:$K$470, 7, FALSE)</f>
        <v>#Farm/Household(100)</v>
      </c>
      <c r="X301" s="112" t="str">
        <f>VLOOKUP(B301, 'Companies covered restructured'!$B$7:$K$470, 8, FALSE)</f>
        <v>N/A</v>
      </c>
      <c r="Y301" s="212" t="str">
        <f>VLOOKUP(P301, 'Bottom-up Tagging Assumptions'!$B$12:$C$56, 2, FALSE)</f>
        <v>#Other Economic(P); Social(S)</v>
      </c>
      <c r="Z301" s="112" t="str">
        <f>VLOOKUP(P301, 'Bottom-up Tagging Assumptions'!$B$12:$F$56, 3, FALSE)</f>
        <v>#Improve price realization(P)</v>
      </c>
      <c r="AA301" s="112" t="str">
        <f>VLOOKUP(P301, 'Bottom-up Tagging Assumptions'!$B$12:$F$56, 4, FALSE)</f>
        <v>#Level 4(100)</v>
      </c>
      <c r="AB301" s="110" t="s">
        <v>880</v>
      </c>
      <c r="AC301" s="110"/>
      <c r="AD301" s="110"/>
      <c r="AE301" s="110" t="s">
        <v>10558</v>
      </c>
      <c r="AF301" s="112">
        <v>239863</v>
      </c>
      <c r="AG301" s="110" t="s">
        <v>2162</v>
      </c>
      <c r="AH301" s="121">
        <f t="shared" si="143"/>
        <v>0</v>
      </c>
      <c r="AI301" s="121">
        <f t="shared" si="144"/>
        <v>0</v>
      </c>
      <c r="AJ301" s="121">
        <f t="shared" si="145"/>
        <v>1</v>
      </c>
      <c r="AK301" s="121">
        <f t="shared" si="146"/>
        <v>1</v>
      </c>
      <c r="AL301" s="121">
        <f t="shared" si="147"/>
        <v>0</v>
      </c>
      <c r="AM301" s="121">
        <f t="shared" si="148"/>
        <v>0</v>
      </c>
      <c r="AN301" s="121">
        <f t="shared" si="149"/>
        <v>1</v>
      </c>
      <c r="AO301" s="121">
        <f t="shared" si="150"/>
        <v>0</v>
      </c>
      <c r="AP301" s="22">
        <f t="shared" si="151"/>
        <v>0</v>
      </c>
      <c r="AQ301" s="22">
        <f t="shared" si="152"/>
        <v>462370.56286206376</v>
      </c>
      <c r="AR301" s="22">
        <f t="shared" si="153"/>
        <v>0</v>
      </c>
      <c r="AS301" s="121" t="str">
        <f t="shared" si="154"/>
        <v>Livestock</v>
      </c>
      <c r="AT301" s="121" t="str">
        <f t="shared" si="173"/>
        <v xml:space="preserve"> </v>
      </c>
      <c r="AU301" s="121" t="str">
        <f t="shared" si="173"/>
        <v xml:space="preserve"> </v>
      </c>
      <c r="AV301" s="121" t="str">
        <f t="shared" si="173"/>
        <v xml:space="preserve"> </v>
      </c>
      <c r="AW301" s="130" t="str">
        <f t="shared" si="174"/>
        <v>100</v>
      </c>
      <c r="AX301" s="130" t="str">
        <f t="shared" si="174"/>
        <v xml:space="preserve"> </v>
      </c>
      <c r="AY301" s="130" t="str">
        <f t="shared" si="174"/>
        <v xml:space="preserve"> </v>
      </c>
      <c r="AZ301" s="130" t="str">
        <f t="shared" si="174"/>
        <v xml:space="preserve"> </v>
      </c>
      <c r="BA301" s="121">
        <f t="shared" si="155"/>
        <v>462370.56286206382</v>
      </c>
      <c r="BB301" s="121">
        <f t="shared" si="156"/>
        <v>0</v>
      </c>
      <c r="BC301" s="121">
        <f t="shared" si="157"/>
        <v>0</v>
      </c>
      <c r="BD301" s="121">
        <f t="shared" si="158"/>
        <v>0</v>
      </c>
      <c r="BE301" s="121">
        <f t="shared" si="159"/>
        <v>0</v>
      </c>
      <c r="BF301" s="121">
        <f t="shared" si="160"/>
        <v>0</v>
      </c>
      <c r="BG301" s="121">
        <f t="shared" si="161"/>
        <v>0</v>
      </c>
      <c r="BH301" s="121">
        <f t="shared" si="162"/>
        <v>0</v>
      </c>
      <c r="BI301" s="121">
        <f t="shared" si="163"/>
        <v>462370.56286206382</v>
      </c>
      <c r="BJ301" s="121">
        <f t="shared" si="164"/>
        <v>462370.56286206376</v>
      </c>
      <c r="BK301" s="121">
        <f t="shared" si="165"/>
        <v>462370.56286206376</v>
      </c>
      <c r="BL301" s="121">
        <f t="shared" si="166"/>
        <v>462370.56286206376</v>
      </c>
      <c r="BM301" s="121">
        <f t="shared" si="167"/>
        <v>0</v>
      </c>
      <c r="BN301" s="121">
        <f t="shared" si="168"/>
        <v>0</v>
      </c>
      <c r="BO301" s="121">
        <f t="shared" si="169"/>
        <v>0</v>
      </c>
      <c r="BP301" s="121">
        <f t="shared" si="170"/>
        <v>0</v>
      </c>
      <c r="BQ301" s="199">
        <f>INDEX('GDP deflators'!$C$6:$M$36,MATCH('Bottom-up tagging'!$D301,'GDP deflators'!$B$6:$B$36,),MATCH('Bottom-up tagging'!$E301,'GDP deflators'!$C$5:$L$5,))/100</f>
        <v>1.5094883975306472</v>
      </c>
      <c r="BR301" s="24">
        <v>697943</v>
      </c>
    </row>
    <row r="302" spans="2:70" ht="26.15" hidden="1" customHeight="1">
      <c r="B302" s="110" t="s">
        <v>991</v>
      </c>
      <c r="C302" s="110" t="s">
        <v>994</v>
      </c>
      <c r="D302" s="110" t="s">
        <v>3994</v>
      </c>
      <c r="E302" s="103">
        <v>2018</v>
      </c>
      <c r="F302" s="108" t="s">
        <v>7704</v>
      </c>
      <c r="G302" s="111" t="s">
        <v>34</v>
      </c>
      <c r="H302" s="110" t="s">
        <v>10451</v>
      </c>
      <c r="I302" s="112">
        <f>IF(Dashboard!$B$16="Current USD",'Bottom-up tagging'!BR302,'Bottom-up tagging'!BR302/'Bottom-up tagging'!BQ302)</f>
        <v>471918.15798645519</v>
      </c>
      <c r="J302" s="118" t="s">
        <v>10474</v>
      </c>
      <c r="K302" s="112"/>
      <c r="L302" s="135">
        <v>1</v>
      </c>
      <c r="M302" s="135">
        <v>1</v>
      </c>
      <c r="N302" s="112"/>
      <c r="O302" s="112"/>
      <c r="P302" s="112" t="str">
        <f>VLOOKUP(B302, 'Companies covered restructured'!$B$7:$K$470, 9, FALSE)</f>
        <v>Supply chain technologies</v>
      </c>
      <c r="Q302" s="112" t="str">
        <f>VLOOKUP(B302, 'Companies covered restructured'!$B$7:$K$470, 6, FALSE)</f>
        <v>#Crops(100)</v>
      </c>
      <c r="R302" s="112" t="str">
        <f t="shared" si="142"/>
        <v>#Corporate(100)</v>
      </c>
      <c r="S302" s="112" t="s">
        <v>11003</v>
      </c>
      <c r="T302" s="112" t="s">
        <v>10466</v>
      </c>
      <c r="U302" s="103" t="s">
        <v>10970</v>
      </c>
      <c r="V302" s="112" t="str">
        <f>VLOOKUP(P302, 'Bottom-up Tagging Assumptions'!$B$12:$F$39, 5, FALSE)</f>
        <v>#Process Innovation(100)</v>
      </c>
      <c r="W302" s="112" t="str">
        <f>VLOOKUP(B302, 'Companies covered restructured'!$B$7:$K$470, 7, FALSE)</f>
        <v>#Field/Animal Herd(100)</v>
      </c>
      <c r="X302" s="112" t="s">
        <v>10558</v>
      </c>
      <c r="Y302" s="212" t="str">
        <f>VLOOKUP(P302, 'Bottom-up Tagging Assumptions'!$B$12:$C$56, 2, FALSE)</f>
        <v>#Other Economic(P); Social(S)</v>
      </c>
      <c r="Z302" s="112" t="str">
        <f>VLOOKUP(P302, 'Bottom-up Tagging Assumptions'!$B$12:$F$56, 3, FALSE)</f>
        <v>#Improve price realization(P)</v>
      </c>
      <c r="AA302" s="112" t="str">
        <f>VLOOKUP(P302, 'Bottom-up Tagging Assumptions'!$B$12:$F$56, 4, FALSE)</f>
        <v>#Level 3(100)</v>
      </c>
      <c r="AB302" s="110" t="s">
        <v>1497</v>
      </c>
      <c r="AC302" s="110" t="s">
        <v>1498</v>
      </c>
      <c r="AD302" s="110" t="s">
        <v>1499</v>
      </c>
      <c r="AE302" s="110" t="str">
        <f>VLOOKUP(AD302,  '1.2'!$B$7:$C$2033, 2, FALSE)</f>
        <v>CORPORATE_INVESTOR</v>
      </c>
      <c r="AF302" s="112">
        <v>170000</v>
      </c>
      <c r="AG302" s="110" t="s">
        <v>2077</v>
      </c>
      <c r="AH302" s="121">
        <f t="shared" si="143"/>
        <v>0</v>
      </c>
      <c r="AI302" s="121">
        <f t="shared" si="144"/>
        <v>0</v>
      </c>
      <c r="AJ302" s="121">
        <f t="shared" si="145"/>
        <v>1</v>
      </c>
      <c r="AK302" s="121">
        <f t="shared" si="146"/>
        <v>1</v>
      </c>
      <c r="AL302" s="121">
        <f t="shared" si="147"/>
        <v>0</v>
      </c>
      <c r="AM302" s="121">
        <f t="shared" si="148"/>
        <v>0</v>
      </c>
      <c r="AN302" s="121">
        <f t="shared" si="149"/>
        <v>1</v>
      </c>
      <c r="AO302" s="121">
        <f t="shared" si="150"/>
        <v>0</v>
      </c>
      <c r="AP302" s="22">
        <f t="shared" si="151"/>
        <v>0</v>
      </c>
      <c r="AQ302" s="22">
        <f t="shared" si="152"/>
        <v>471918.15798645519</v>
      </c>
      <c r="AR302" s="22">
        <f t="shared" si="153"/>
        <v>0</v>
      </c>
      <c r="AS302" s="121" t="str">
        <f t="shared" si="154"/>
        <v>Crops</v>
      </c>
      <c r="AT302" s="121" t="str">
        <f t="shared" si="173"/>
        <v xml:space="preserve"> </v>
      </c>
      <c r="AU302" s="121" t="str">
        <f t="shared" si="173"/>
        <v xml:space="preserve"> </v>
      </c>
      <c r="AV302" s="121" t="str">
        <f t="shared" si="173"/>
        <v xml:space="preserve"> </v>
      </c>
      <c r="AW302" s="130" t="str">
        <f t="shared" si="174"/>
        <v>100</v>
      </c>
      <c r="AX302" s="130" t="str">
        <f t="shared" si="174"/>
        <v xml:space="preserve"> </v>
      </c>
      <c r="AY302" s="130" t="str">
        <f t="shared" si="174"/>
        <v xml:space="preserve"> </v>
      </c>
      <c r="AZ302" s="130" t="str">
        <f t="shared" si="174"/>
        <v xml:space="preserve"> </v>
      </c>
      <c r="BA302" s="121">
        <f t="shared" si="155"/>
        <v>471918.15798645519</v>
      </c>
      <c r="BB302" s="121">
        <f t="shared" si="156"/>
        <v>0</v>
      </c>
      <c r="BC302" s="121">
        <f t="shared" si="157"/>
        <v>0</v>
      </c>
      <c r="BD302" s="121">
        <f t="shared" si="158"/>
        <v>0</v>
      </c>
      <c r="BE302" s="121">
        <f t="shared" si="159"/>
        <v>0</v>
      </c>
      <c r="BF302" s="121">
        <f t="shared" si="160"/>
        <v>0</v>
      </c>
      <c r="BG302" s="121">
        <f t="shared" si="161"/>
        <v>0</v>
      </c>
      <c r="BH302" s="121">
        <f t="shared" si="162"/>
        <v>0</v>
      </c>
      <c r="BI302" s="121">
        <f t="shared" si="163"/>
        <v>471918.15798645519</v>
      </c>
      <c r="BJ302" s="121">
        <f t="shared" si="164"/>
        <v>471918.15798645519</v>
      </c>
      <c r="BK302" s="121">
        <f t="shared" si="165"/>
        <v>471918.15798645519</v>
      </c>
      <c r="BL302" s="121">
        <f t="shared" si="166"/>
        <v>471918.15798645519</v>
      </c>
      <c r="BM302" s="121">
        <f t="shared" si="167"/>
        <v>0</v>
      </c>
      <c r="BN302" s="121">
        <f t="shared" si="168"/>
        <v>0</v>
      </c>
      <c r="BO302" s="121">
        <f t="shared" si="169"/>
        <v>0</v>
      </c>
      <c r="BP302" s="121">
        <f t="shared" si="170"/>
        <v>0</v>
      </c>
      <c r="BQ302" s="199">
        <f>INDEX('GDP deflators'!$C$6:$M$36,MATCH('Bottom-up tagging'!$D302,'GDP deflators'!$B$6:$B$36,),MATCH('Bottom-up tagging'!$E302,'GDP deflators'!$C$5:$L$5,))/100</f>
        <v>1.4753935363936217</v>
      </c>
      <c r="BR302" s="24">
        <v>696265</v>
      </c>
    </row>
    <row r="303" spans="2:70" ht="26.15" hidden="1" customHeight="1">
      <c r="B303" s="110" t="s">
        <v>963</v>
      </c>
      <c r="C303" s="110" t="s">
        <v>967</v>
      </c>
      <c r="D303" s="110" t="s">
        <v>5524</v>
      </c>
      <c r="E303" s="103">
        <v>2018</v>
      </c>
      <c r="F303" s="108" t="s">
        <v>7660</v>
      </c>
      <c r="G303" s="111" t="s">
        <v>184</v>
      </c>
      <c r="H303" s="110" t="s">
        <v>10451</v>
      </c>
      <c r="I303" s="112">
        <f>IF(Dashboard!$B$16="Current USD",'Bottom-up tagging'!BR303,'Bottom-up tagging'!BR303/'Bottom-up tagging'!BQ303)</f>
        <v>177203.59104892274</v>
      </c>
      <c r="J303" s="118" t="s">
        <v>10474</v>
      </c>
      <c r="K303" s="112"/>
      <c r="L303" s="135">
        <v>1</v>
      </c>
      <c r="M303" s="135">
        <v>1</v>
      </c>
      <c r="N303" s="112"/>
      <c r="O303" s="112"/>
      <c r="P303" s="112" t="str">
        <f>VLOOKUP(B303, 'Companies covered restructured'!$B$7:$K$470, 9, FALSE)</f>
        <v>Farmer engagement platforms (including marketplaces and information platforms)</v>
      </c>
      <c r="Q303" s="112" t="str">
        <f>VLOOKUP(B303, 'Companies covered restructured'!$B$7:$K$470, 6, FALSE)</f>
        <v>#Crops(100)</v>
      </c>
      <c r="R303" s="112" t="str">
        <f t="shared" si="142"/>
        <v>N/A</v>
      </c>
      <c r="S303" s="112" t="s">
        <v>11003</v>
      </c>
      <c r="T303" s="112" t="s">
        <v>10465</v>
      </c>
      <c r="U303" s="103" t="s">
        <v>10970</v>
      </c>
      <c r="V303" s="112" t="str">
        <f>VLOOKUP(P303, 'Bottom-up Tagging Assumptions'!$B$12:$F$39, 5, FALSE)</f>
        <v>#Process Innovation(100)</v>
      </c>
      <c r="W303" s="112" t="str">
        <f>VLOOKUP(B303, 'Companies covered restructured'!$B$7:$K$470, 7, FALSE)</f>
        <v>#Field/Animal Herd(100)</v>
      </c>
      <c r="X303" s="112" t="str">
        <f>VLOOKUP(B303, 'Companies covered restructured'!$B$7:$K$470, 8, FALSE)</f>
        <v>#Small(100)</v>
      </c>
      <c r="Y303" s="212" t="str">
        <f>VLOOKUP(P303, 'Bottom-up Tagging Assumptions'!$B$12:$C$56, 2, FALSE)</f>
        <v>#Other Economic(P); #Productivity(S)</v>
      </c>
      <c r="Z303" s="112" t="str">
        <f>VLOOKUP(P303, 'Bottom-up Tagging Assumptions'!$B$12:$F$56, 3, FALSE)</f>
        <v>#Improve price realization(P); #Increasing crop or animal yield(S)</v>
      </c>
      <c r="AA303" s="112" t="str">
        <f>VLOOKUP(P303, 'Bottom-up Tagging Assumptions'!$B$12:$F$56, 4, FALSE)</f>
        <v>#Level 4(100)</v>
      </c>
      <c r="AB303" s="110" t="s">
        <v>1381</v>
      </c>
      <c r="AC303" s="110"/>
      <c r="AD303" s="110"/>
      <c r="AE303" s="110" t="s">
        <v>10558</v>
      </c>
      <c r="AF303" s="112"/>
      <c r="AG303" s="110" t="s">
        <v>672</v>
      </c>
      <c r="AH303" s="121">
        <f t="shared" si="143"/>
        <v>0</v>
      </c>
      <c r="AI303" s="121">
        <f t="shared" si="144"/>
        <v>1</v>
      </c>
      <c r="AJ303" s="121">
        <f t="shared" si="145"/>
        <v>1</v>
      </c>
      <c r="AK303" s="121">
        <f t="shared" si="146"/>
        <v>0</v>
      </c>
      <c r="AL303" s="121">
        <f t="shared" si="147"/>
        <v>0</v>
      </c>
      <c r="AM303" s="121">
        <f t="shared" si="148"/>
        <v>0</v>
      </c>
      <c r="AN303" s="121">
        <f t="shared" si="149"/>
        <v>0</v>
      </c>
      <c r="AO303" s="121">
        <f t="shared" si="150"/>
        <v>0</v>
      </c>
      <c r="AP303" s="22">
        <f t="shared" si="151"/>
        <v>0</v>
      </c>
      <c r="AQ303" s="22">
        <f t="shared" si="152"/>
        <v>0</v>
      </c>
      <c r="AR303" s="22">
        <f t="shared" si="153"/>
        <v>0</v>
      </c>
      <c r="AS303" s="121" t="str">
        <f t="shared" si="154"/>
        <v>Crops</v>
      </c>
      <c r="AT303" s="121" t="str">
        <f t="shared" si="173"/>
        <v xml:space="preserve"> </v>
      </c>
      <c r="AU303" s="121" t="str">
        <f t="shared" si="173"/>
        <v xml:space="preserve"> </v>
      </c>
      <c r="AV303" s="121" t="str">
        <f t="shared" si="173"/>
        <v xml:space="preserve"> </v>
      </c>
      <c r="AW303" s="130" t="str">
        <f t="shared" si="174"/>
        <v>100</v>
      </c>
      <c r="AX303" s="130" t="str">
        <f t="shared" si="174"/>
        <v xml:space="preserve"> </v>
      </c>
      <c r="AY303" s="130" t="str">
        <f t="shared" si="174"/>
        <v xml:space="preserve"> </v>
      </c>
      <c r="AZ303" s="130" t="str">
        <f t="shared" si="174"/>
        <v xml:space="preserve"> </v>
      </c>
      <c r="BA303" s="121">
        <f t="shared" si="155"/>
        <v>177203.59104892274</v>
      </c>
      <c r="BB303" s="121">
        <f t="shared" si="156"/>
        <v>0</v>
      </c>
      <c r="BC303" s="121">
        <f t="shared" si="157"/>
        <v>0</v>
      </c>
      <c r="BD303" s="121">
        <f t="shared" si="158"/>
        <v>0</v>
      </c>
      <c r="BE303" s="121">
        <f t="shared" si="159"/>
        <v>0</v>
      </c>
      <c r="BF303" s="121">
        <f t="shared" si="160"/>
        <v>0</v>
      </c>
      <c r="BG303" s="121">
        <f t="shared" si="161"/>
        <v>0</v>
      </c>
      <c r="BH303" s="121">
        <f t="shared" si="162"/>
        <v>0</v>
      </c>
      <c r="BI303" s="121">
        <f t="shared" si="163"/>
        <v>0</v>
      </c>
      <c r="BJ303" s="121">
        <f t="shared" si="164"/>
        <v>0</v>
      </c>
      <c r="BK303" s="121">
        <f t="shared" si="165"/>
        <v>0</v>
      </c>
      <c r="BL303" s="121">
        <f t="shared" si="166"/>
        <v>0</v>
      </c>
      <c r="BM303" s="121">
        <f t="shared" si="167"/>
        <v>0</v>
      </c>
      <c r="BN303" s="121">
        <f t="shared" si="168"/>
        <v>0</v>
      </c>
      <c r="BO303" s="121">
        <f t="shared" si="169"/>
        <v>0</v>
      </c>
      <c r="BP303" s="121">
        <f t="shared" si="170"/>
        <v>0</v>
      </c>
      <c r="BQ303" s="199">
        <f>INDEX('GDP deflators'!$C$6:$M$36,MATCH('Bottom-up tagging'!$D303,'GDP deflators'!$B$6:$B$36,),MATCH('Bottom-up tagging'!$E303,'GDP deflators'!$C$5:$L$5,))/100</f>
        <v>3.9051127344758561</v>
      </c>
      <c r="BR303" s="24">
        <v>692000</v>
      </c>
    </row>
    <row r="304" spans="2:70" ht="26.15" hidden="1" customHeight="1">
      <c r="B304" s="110" t="s">
        <v>82</v>
      </c>
      <c r="C304" s="110" t="s">
        <v>86</v>
      </c>
      <c r="D304" s="110" t="s">
        <v>3994</v>
      </c>
      <c r="E304" s="103">
        <v>2020</v>
      </c>
      <c r="F304" s="108" t="s">
        <v>6622</v>
      </c>
      <c r="G304" s="111" t="s">
        <v>34</v>
      </c>
      <c r="H304" s="110" t="s">
        <v>10451</v>
      </c>
      <c r="I304" s="212">
        <v>0</v>
      </c>
      <c r="J304" s="105" t="s">
        <v>10474</v>
      </c>
      <c r="K304" s="112"/>
      <c r="L304" s="135">
        <v>1</v>
      </c>
      <c r="M304" s="135">
        <v>1</v>
      </c>
      <c r="N304" s="112"/>
      <c r="O304" s="112"/>
      <c r="P304" s="112" t="str">
        <f>VLOOKUP(B304, 'Companies covered restructured'!$B$7:$K$470, 9, FALSE)</f>
        <v xml:space="preserve">Animal feeding </v>
      </c>
      <c r="Q304" s="112" t="str">
        <f>VLOOKUP(B304, 'Companies covered restructured'!$B$7:$K$470, 6, FALSE)</f>
        <v>#Livestock(100)</v>
      </c>
      <c r="R304" s="112" t="str">
        <f t="shared" si="142"/>
        <v>#Investment Fund(100)</v>
      </c>
      <c r="S304" s="112" t="s">
        <v>11003</v>
      </c>
      <c r="T304" s="112" t="s">
        <v>10466</v>
      </c>
      <c r="U304" s="103" t="s">
        <v>10970</v>
      </c>
      <c r="V304" s="212" t="s">
        <v>10977</v>
      </c>
      <c r="W304" s="112" t="str">
        <f>VLOOKUP(B304, 'Companies covered restructured'!$B$7:$K$470, 7, FALSE)</f>
        <v>#Field/Animal Herd(100)</v>
      </c>
      <c r="X304" s="112" t="s">
        <v>10558</v>
      </c>
      <c r="Y304" s="112" t="str">
        <f>VLOOKUP(P304, '[2]Bottom-up Tagging Assumptions'!$B$12:$F$56, 2, FALSE)</f>
        <v>#Environmental(P); #Other economic(S)</v>
      </c>
      <c r="Z304" s="112" t="str">
        <f>VLOOKUP(P304, 'Bottom-up Tagging Assumptions'!$B$12:$F$56, 3, FALSE)</f>
        <v>#Improved air quality(P); #Reduce cost of inputs(S)</v>
      </c>
      <c r="AA304" s="112" t="str">
        <f>VLOOKUP(P304, 'Bottom-up Tagging Assumptions'!$B$12:$F$56, 4, FALSE)</f>
        <v>#Level 2(100)</v>
      </c>
      <c r="AB304" s="110" t="s">
        <v>84</v>
      </c>
      <c r="AC304" s="110"/>
      <c r="AD304" s="110" t="s">
        <v>85</v>
      </c>
      <c r="AE304" s="110" t="str">
        <f>VLOOKUP(AD304,  '1.2'!$B$7:$C$2033, 2, FALSE)</f>
        <v>FUND</v>
      </c>
      <c r="AF304" s="112">
        <v>793956</v>
      </c>
      <c r="AG304" s="110" t="s">
        <v>2277</v>
      </c>
      <c r="AH304" s="121">
        <f t="shared" si="143"/>
        <v>1</v>
      </c>
      <c r="AI304" s="121">
        <f t="shared" si="144"/>
        <v>0</v>
      </c>
      <c r="AJ304" s="121">
        <f t="shared" si="145"/>
        <v>1</v>
      </c>
      <c r="AK304" s="121">
        <f t="shared" si="146"/>
        <v>0</v>
      </c>
      <c r="AL304" s="121">
        <f t="shared" si="147"/>
        <v>0</v>
      </c>
      <c r="AM304" s="121">
        <f t="shared" si="148"/>
        <v>0</v>
      </c>
      <c r="AN304" s="121">
        <f t="shared" si="149"/>
        <v>1</v>
      </c>
      <c r="AO304" s="121">
        <f t="shared" si="150"/>
        <v>0</v>
      </c>
      <c r="AP304" s="22">
        <f t="shared" si="151"/>
        <v>0</v>
      </c>
      <c r="AQ304" s="22">
        <f t="shared" si="152"/>
        <v>0</v>
      </c>
      <c r="AR304" s="22">
        <f t="shared" si="153"/>
        <v>0</v>
      </c>
      <c r="AS304" s="121" t="str">
        <f t="shared" si="154"/>
        <v>Livestock</v>
      </c>
      <c r="AT304" s="121" t="str">
        <f t="shared" si="173"/>
        <v xml:space="preserve"> </v>
      </c>
      <c r="AU304" s="121" t="str">
        <f t="shared" si="173"/>
        <v xml:space="preserve"> </v>
      </c>
      <c r="AV304" s="121" t="str">
        <f t="shared" si="173"/>
        <v xml:space="preserve"> </v>
      </c>
      <c r="AW304" s="130" t="str">
        <f t="shared" si="174"/>
        <v>100</v>
      </c>
      <c r="AX304" s="130" t="str">
        <f t="shared" si="174"/>
        <v xml:space="preserve"> </v>
      </c>
      <c r="AY304" s="130" t="str">
        <f t="shared" si="174"/>
        <v xml:space="preserve"> </v>
      </c>
      <c r="AZ304" s="130" t="str">
        <f t="shared" si="174"/>
        <v xml:space="preserve"> </v>
      </c>
      <c r="BA304" s="121">
        <f t="shared" si="155"/>
        <v>0</v>
      </c>
      <c r="BB304" s="121">
        <f t="shared" si="156"/>
        <v>0</v>
      </c>
      <c r="BC304" s="121">
        <f t="shared" si="157"/>
        <v>0</v>
      </c>
      <c r="BD304" s="121">
        <f t="shared" si="158"/>
        <v>0</v>
      </c>
      <c r="BE304" s="121">
        <f t="shared" si="159"/>
        <v>0</v>
      </c>
      <c r="BF304" s="121">
        <f t="shared" si="160"/>
        <v>0</v>
      </c>
      <c r="BG304" s="121">
        <f t="shared" si="161"/>
        <v>0</v>
      </c>
      <c r="BH304" s="121">
        <f t="shared" si="162"/>
        <v>0</v>
      </c>
      <c r="BI304" s="121">
        <f t="shared" si="163"/>
        <v>0</v>
      </c>
      <c r="BJ304" s="121">
        <f t="shared" si="164"/>
        <v>0</v>
      </c>
      <c r="BK304" s="121">
        <f t="shared" si="165"/>
        <v>0</v>
      </c>
      <c r="BL304" s="121">
        <f t="shared" si="166"/>
        <v>0</v>
      </c>
      <c r="BM304" s="121">
        <f t="shared" si="167"/>
        <v>0</v>
      </c>
      <c r="BN304" s="121">
        <f t="shared" si="168"/>
        <v>0</v>
      </c>
      <c r="BO304" s="121">
        <f t="shared" si="169"/>
        <v>0</v>
      </c>
      <c r="BP304" s="121">
        <f t="shared" si="170"/>
        <v>0</v>
      </c>
      <c r="BQ304" s="199" t="e">
        <f>INDEX('GDP deflators'!$C$6:$M$36,MATCH('Bottom-up tagging'!$D304,'GDP deflators'!$B$6:$B$36,),MATCH('Bottom-up tagging'!$E304,'GDP deflators'!$C$5:$L$5,))/100</f>
        <v>#N/A</v>
      </c>
      <c r="BR304" s="24">
        <v>680328</v>
      </c>
    </row>
    <row r="305" spans="2:70" ht="26.15" hidden="1" customHeight="1">
      <c r="B305" s="110" t="s">
        <v>160</v>
      </c>
      <c r="C305" s="110" t="s">
        <v>164</v>
      </c>
      <c r="D305" s="110" t="s">
        <v>3994</v>
      </c>
      <c r="E305" s="103">
        <v>2020</v>
      </c>
      <c r="F305" s="108" t="s">
        <v>7497</v>
      </c>
      <c r="G305" s="111" t="s">
        <v>34</v>
      </c>
      <c r="H305" s="110" t="s">
        <v>10451</v>
      </c>
      <c r="I305" s="212">
        <v>0</v>
      </c>
      <c r="J305" s="117" t="s">
        <v>10474</v>
      </c>
      <c r="K305" s="112"/>
      <c r="L305" s="135">
        <v>1</v>
      </c>
      <c r="M305" s="135">
        <v>1</v>
      </c>
      <c r="N305" s="112"/>
      <c r="O305" s="112"/>
      <c r="P305" s="112" t="str">
        <f>VLOOKUP(B305, 'Companies covered restructured'!$B$7:$K$470, 9, FALSE)</f>
        <v>Supply chain technologies</v>
      </c>
      <c r="Q305" s="112" t="str">
        <f>VLOOKUP(B305, 'Companies covered restructured'!$B$7:$K$470, 6, FALSE)</f>
        <v>#Crops(100)</v>
      </c>
      <c r="R305" s="112" t="str">
        <f t="shared" si="142"/>
        <v>N/A</v>
      </c>
      <c r="S305" s="112" t="s">
        <v>11003</v>
      </c>
      <c r="T305" s="112" t="s">
        <v>10466</v>
      </c>
      <c r="U305" s="103" t="s">
        <v>10970</v>
      </c>
      <c r="V305" s="112" t="str">
        <f>VLOOKUP(P305, 'Bottom-up Tagging Assumptions'!$B$12:$F$39, 5, FALSE)</f>
        <v>#Process Innovation(100)</v>
      </c>
      <c r="W305" s="112" t="str">
        <f>VLOOKUP(B305, 'Companies covered restructured'!$B$7:$K$470, 7, FALSE)</f>
        <v>#Farm/Household(100)</v>
      </c>
      <c r="X305" s="112" t="s">
        <v>10558</v>
      </c>
      <c r="Y305" s="112" t="str">
        <f>VLOOKUP(P305, '[2]Bottom-up Tagging Assumptions'!$B$12:$F$56, 2, FALSE)</f>
        <v>#Other Economic(P); Social(S)</v>
      </c>
      <c r="Z305" s="112" t="str">
        <f>VLOOKUP(P305, 'Bottom-up Tagging Assumptions'!$B$12:$F$56, 3, FALSE)</f>
        <v>#Improve price realization(P)</v>
      </c>
      <c r="AA305" s="112" t="str">
        <f>VLOOKUP(P305, 'Bottom-up Tagging Assumptions'!$B$12:$F$56, 4, FALSE)</f>
        <v>#Level 3(100)</v>
      </c>
      <c r="AB305" s="110" t="s">
        <v>449</v>
      </c>
      <c r="AC305" s="110" t="s">
        <v>450</v>
      </c>
      <c r="AD305" s="110" t="s">
        <v>451</v>
      </c>
      <c r="AE305" s="110" t="s">
        <v>10558</v>
      </c>
      <c r="AF305" s="112">
        <v>9059375</v>
      </c>
      <c r="AG305" s="110" t="s">
        <v>884</v>
      </c>
      <c r="AH305" s="121">
        <f t="shared" si="143"/>
        <v>0</v>
      </c>
      <c r="AI305" s="121">
        <f t="shared" si="144"/>
        <v>0</v>
      </c>
      <c r="AJ305" s="121">
        <f t="shared" si="145"/>
        <v>1</v>
      </c>
      <c r="AK305" s="121">
        <f t="shared" si="146"/>
        <v>1</v>
      </c>
      <c r="AL305" s="121">
        <f t="shared" si="147"/>
        <v>0</v>
      </c>
      <c r="AM305" s="121">
        <f t="shared" si="148"/>
        <v>0</v>
      </c>
      <c r="AN305" s="121">
        <f t="shared" si="149"/>
        <v>1</v>
      </c>
      <c r="AO305" s="121">
        <f t="shared" si="150"/>
        <v>0</v>
      </c>
      <c r="AP305" s="22">
        <f t="shared" si="151"/>
        <v>0</v>
      </c>
      <c r="AQ305" s="22">
        <f t="shared" si="152"/>
        <v>0</v>
      </c>
      <c r="AR305" s="22">
        <f t="shared" si="153"/>
        <v>0</v>
      </c>
      <c r="AS305" s="121" t="str">
        <f t="shared" si="154"/>
        <v>Crops</v>
      </c>
      <c r="AT305" s="121" t="str">
        <f t="shared" si="173"/>
        <v xml:space="preserve"> </v>
      </c>
      <c r="AU305" s="121" t="str">
        <f t="shared" si="173"/>
        <v xml:space="preserve"> </v>
      </c>
      <c r="AV305" s="121" t="str">
        <f t="shared" si="173"/>
        <v xml:space="preserve"> </v>
      </c>
      <c r="AW305" s="130" t="str">
        <f t="shared" si="174"/>
        <v>100</v>
      </c>
      <c r="AX305" s="130" t="str">
        <f t="shared" si="174"/>
        <v xml:space="preserve"> </v>
      </c>
      <c r="AY305" s="130" t="str">
        <f t="shared" si="174"/>
        <v xml:space="preserve"> </v>
      </c>
      <c r="AZ305" s="130" t="str">
        <f t="shared" si="174"/>
        <v xml:space="preserve"> </v>
      </c>
      <c r="BA305" s="121">
        <f t="shared" si="155"/>
        <v>0</v>
      </c>
      <c r="BB305" s="121">
        <f t="shared" si="156"/>
        <v>0</v>
      </c>
      <c r="BC305" s="121">
        <f t="shared" si="157"/>
        <v>0</v>
      </c>
      <c r="BD305" s="121">
        <f t="shared" si="158"/>
        <v>0</v>
      </c>
      <c r="BE305" s="121">
        <f t="shared" si="159"/>
        <v>0</v>
      </c>
      <c r="BF305" s="121">
        <f t="shared" si="160"/>
        <v>0</v>
      </c>
      <c r="BG305" s="121">
        <f t="shared" si="161"/>
        <v>0</v>
      </c>
      <c r="BH305" s="121">
        <f t="shared" si="162"/>
        <v>0</v>
      </c>
      <c r="BI305" s="121">
        <f t="shared" si="163"/>
        <v>0</v>
      </c>
      <c r="BJ305" s="121">
        <f t="shared" si="164"/>
        <v>0</v>
      </c>
      <c r="BK305" s="121">
        <f t="shared" si="165"/>
        <v>0</v>
      </c>
      <c r="BL305" s="121">
        <f t="shared" si="166"/>
        <v>0</v>
      </c>
      <c r="BM305" s="121">
        <f t="shared" si="167"/>
        <v>0</v>
      </c>
      <c r="BN305" s="121">
        <f t="shared" si="168"/>
        <v>0</v>
      </c>
      <c r="BO305" s="121">
        <f t="shared" si="169"/>
        <v>0</v>
      </c>
      <c r="BP305" s="121">
        <f t="shared" si="170"/>
        <v>0</v>
      </c>
      <c r="BQ305" s="199" t="e">
        <f>INDEX('GDP deflators'!$C$6:$M$36,MATCH('Bottom-up tagging'!$D305,'GDP deflators'!$B$6:$B$36,),MATCH('Bottom-up tagging'!$E305,'GDP deflators'!$C$5:$L$5,))/100</f>
        <v>#N/A</v>
      </c>
      <c r="BR305" s="24">
        <v>659256</v>
      </c>
    </row>
    <row r="306" spans="2:70" ht="26.15" hidden="1" customHeight="1">
      <c r="B306" s="110" t="s">
        <v>2651</v>
      </c>
      <c r="C306" s="110" t="s">
        <v>2656</v>
      </c>
      <c r="D306" s="110" t="s">
        <v>3994</v>
      </c>
      <c r="E306" s="103">
        <v>2012</v>
      </c>
      <c r="F306" s="108" t="s">
        <v>9450</v>
      </c>
      <c r="G306" s="111" t="s">
        <v>184</v>
      </c>
      <c r="H306" s="110" t="s">
        <v>10451</v>
      </c>
      <c r="I306" s="112">
        <f>IF(Dashboard!$B$16="Current USD",'Bottom-up tagging'!BR306,'Bottom-up tagging'!BR306/'Bottom-up tagging'!BQ306)</f>
        <v>558533.4425959558</v>
      </c>
      <c r="J306" s="105" t="s">
        <v>10474</v>
      </c>
      <c r="K306" s="112"/>
      <c r="L306" s="135">
        <v>1</v>
      </c>
      <c r="M306" s="135">
        <v>1</v>
      </c>
      <c r="N306" s="112"/>
      <c r="O306" s="112"/>
      <c r="P306" s="112" t="str">
        <f>VLOOKUP(B306, 'Companies covered restructured'!$B$7:$K$470, 9, FALSE)</f>
        <v>Plant breeding &amp; biofortification</v>
      </c>
      <c r="Q306" s="112" t="str">
        <f>VLOOKUP(B306, 'Companies covered restructured'!$B$7:$K$470, 6, FALSE)</f>
        <v>#Crops(100)</v>
      </c>
      <c r="R306" s="112" t="str">
        <f t="shared" si="142"/>
        <v>N/A</v>
      </c>
      <c r="S306" s="112" t="s">
        <v>11003</v>
      </c>
      <c r="T306" s="112" t="s">
        <v>10465</v>
      </c>
      <c r="U306" s="103" t="s">
        <v>10970</v>
      </c>
      <c r="V306" s="112" t="str">
        <f>VLOOKUP(P306, 'Bottom-up Tagging Assumptions'!$B$12:$F$39, 5, FALSE)</f>
        <v>#Process Innovation(100)</v>
      </c>
      <c r="W306" s="112" t="str">
        <f>VLOOKUP(B306, 'Companies covered restructured'!$B$7:$K$470, 7, FALSE)</f>
        <v>N/A</v>
      </c>
      <c r="X306" s="112" t="str">
        <f>VLOOKUP(B306, 'Companies covered restructured'!$B$7:$K$470, 8, FALSE)</f>
        <v>#Large(100)</v>
      </c>
      <c r="Y306" s="212" t="str">
        <f>VLOOKUP(P306, 'Bottom-up Tagging Assumptions'!$B$12:$C$56, 2, FALSE)</f>
        <v>#Human Condition(P); Productivity(S)</v>
      </c>
      <c r="Z306" s="112" t="str">
        <f>VLOOKUP(P306, 'Bottom-up Tagging Assumptions'!$B$12:$F$56, 3, FALSE)</f>
        <v>#Improved nutrition(P)</v>
      </c>
      <c r="AA306" s="112" t="str">
        <f>VLOOKUP(P306, 'Bottom-up Tagging Assumptions'!$B$12:$F$56, 4, FALSE)</f>
        <v>#Level 1(100)</v>
      </c>
      <c r="AB306" s="110" t="s">
        <v>2989</v>
      </c>
      <c r="AC306" s="110"/>
      <c r="AD306" s="110"/>
      <c r="AE306" s="110" t="s">
        <v>10558</v>
      </c>
      <c r="AF306" s="112">
        <v>4352191</v>
      </c>
      <c r="AG306" s="110" t="s">
        <v>1245</v>
      </c>
      <c r="AH306" s="121">
        <f t="shared" si="143"/>
        <v>0</v>
      </c>
      <c r="AI306" s="121">
        <f t="shared" si="144"/>
        <v>1</v>
      </c>
      <c r="AJ306" s="121">
        <f t="shared" si="145"/>
        <v>0</v>
      </c>
      <c r="AK306" s="121">
        <f t="shared" si="146"/>
        <v>0</v>
      </c>
      <c r="AL306" s="121">
        <f t="shared" si="147"/>
        <v>1</v>
      </c>
      <c r="AM306" s="121">
        <f t="shared" si="148"/>
        <v>0</v>
      </c>
      <c r="AN306" s="121">
        <f t="shared" si="149"/>
        <v>1</v>
      </c>
      <c r="AO306" s="121">
        <f t="shared" si="150"/>
        <v>0</v>
      </c>
      <c r="AP306" s="22">
        <f t="shared" si="151"/>
        <v>0</v>
      </c>
      <c r="AQ306" s="22">
        <f t="shared" si="152"/>
        <v>558533.4425959558</v>
      </c>
      <c r="AR306" s="22">
        <f t="shared" si="153"/>
        <v>0</v>
      </c>
      <c r="AS306" s="121" t="str">
        <f t="shared" si="154"/>
        <v>Crops</v>
      </c>
      <c r="AT306" s="121" t="str">
        <f t="shared" si="173"/>
        <v xml:space="preserve"> </v>
      </c>
      <c r="AU306" s="121" t="str">
        <f t="shared" si="173"/>
        <v xml:space="preserve"> </v>
      </c>
      <c r="AV306" s="121" t="str">
        <f t="shared" si="173"/>
        <v xml:space="preserve"> </v>
      </c>
      <c r="AW306" s="130" t="str">
        <f t="shared" si="174"/>
        <v>100</v>
      </c>
      <c r="AX306" s="130" t="str">
        <f t="shared" si="174"/>
        <v xml:space="preserve"> </v>
      </c>
      <c r="AY306" s="130" t="str">
        <f t="shared" si="174"/>
        <v xml:space="preserve"> </v>
      </c>
      <c r="AZ306" s="130" t="str">
        <f t="shared" si="174"/>
        <v xml:space="preserve"> </v>
      </c>
      <c r="BA306" s="121">
        <f t="shared" si="155"/>
        <v>558533.4425959558</v>
      </c>
      <c r="BB306" s="121">
        <f t="shared" si="156"/>
        <v>0</v>
      </c>
      <c r="BC306" s="121">
        <f t="shared" si="157"/>
        <v>0</v>
      </c>
      <c r="BD306" s="121">
        <f t="shared" si="158"/>
        <v>0</v>
      </c>
      <c r="BE306" s="121">
        <f t="shared" si="159"/>
        <v>0</v>
      </c>
      <c r="BF306" s="121">
        <f t="shared" si="160"/>
        <v>0</v>
      </c>
      <c r="BG306" s="121">
        <f t="shared" si="161"/>
        <v>0</v>
      </c>
      <c r="BH306" s="121">
        <f t="shared" si="162"/>
        <v>0</v>
      </c>
      <c r="BI306" s="121">
        <f t="shared" si="163"/>
        <v>558533.4425959558</v>
      </c>
      <c r="BJ306" s="121">
        <f t="shared" si="164"/>
        <v>558533.4425959558</v>
      </c>
      <c r="BK306" s="121">
        <f t="shared" si="165"/>
        <v>558533.4425959558</v>
      </c>
      <c r="BL306" s="121">
        <f t="shared" si="166"/>
        <v>558533.4425959558</v>
      </c>
      <c r="BM306" s="121">
        <f t="shared" si="167"/>
        <v>0</v>
      </c>
      <c r="BN306" s="121">
        <f t="shared" si="168"/>
        <v>0</v>
      </c>
      <c r="BO306" s="121">
        <f t="shared" si="169"/>
        <v>0</v>
      </c>
      <c r="BP306" s="121">
        <f t="shared" si="170"/>
        <v>0</v>
      </c>
      <c r="BQ306" s="199">
        <f>INDEX('GDP deflators'!$C$6:$M$36,MATCH('Bottom-up tagging'!$D306,'GDP deflators'!$B$6:$B$36,),MATCH('Bottom-up tagging'!$E306,'GDP deflators'!$C$5:$L$5,))/100</f>
        <v>1.1736092237438145</v>
      </c>
      <c r="BR306" s="24">
        <v>655500</v>
      </c>
    </row>
    <row r="307" spans="2:70" ht="26.15" hidden="1" customHeight="1">
      <c r="B307" s="110" t="s">
        <v>1282</v>
      </c>
      <c r="C307" s="110" t="s">
        <v>1286</v>
      </c>
      <c r="D307" s="110" t="s">
        <v>5524</v>
      </c>
      <c r="E307" s="103">
        <v>2018</v>
      </c>
      <c r="F307" s="108" t="s">
        <v>7640</v>
      </c>
      <c r="G307" s="111" t="s">
        <v>34</v>
      </c>
      <c r="H307" s="110" t="s">
        <v>10451</v>
      </c>
      <c r="I307" s="112">
        <f>IF(Dashboard!$B$16="Current USD",'Bottom-up tagging'!BR307,'Bottom-up tagging'!BR307/'Bottom-up tagging'!BQ307)</f>
        <v>166448.45980028869</v>
      </c>
      <c r="J307" s="118" t="s">
        <v>10474</v>
      </c>
      <c r="K307" s="112"/>
      <c r="L307" s="135">
        <v>1</v>
      </c>
      <c r="M307" s="135">
        <v>1</v>
      </c>
      <c r="N307" s="112"/>
      <c r="O307" s="112"/>
      <c r="P307" s="112" t="str">
        <f>VLOOKUP(B307, 'Companies covered restructured'!$B$7:$K$470, 9, FALSE)</f>
        <v>Supply chain technologies</v>
      </c>
      <c r="Q307" s="112" t="str">
        <f>VLOOKUP(B307, 'Companies covered restructured'!$B$7:$K$470, 6, FALSE)</f>
        <v>#Crops(100)</v>
      </c>
      <c r="R307" s="112" t="str">
        <f t="shared" si="142"/>
        <v>N/A</v>
      </c>
      <c r="S307" s="112" t="s">
        <v>11003</v>
      </c>
      <c r="T307" s="112" t="s">
        <v>10466</v>
      </c>
      <c r="U307" s="103" t="s">
        <v>10970</v>
      </c>
      <c r="V307" s="112" t="str">
        <f>VLOOKUP(P307, 'Bottom-up Tagging Assumptions'!$B$12:$F$39, 5, FALSE)</f>
        <v>#Process Innovation(100)</v>
      </c>
      <c r="W307" s="112" t="str">
        <f>VLOOKUP(B307, 'Companies covered restructured'!$B$7:$K$470, 7, FALSE)</f>
        <v>#Farm/Household(100)</v>
      </c>
      <c r="X307" s="112" t="str">
        <f>VLOOKUP(B307, 'Companies covered restructured'!$B$7:$K$470, 8, FALSE)</f>
        <v>#Small(100)</v>
      </c>
      <c r="Y307" s="212" t="str">
        <f>VLOOKUP(P307, 'Bottom-up Tagging Assumptions'!$B$12:$C$56, 2, FALSE)</f>
        <v>#Other Economic(P); Social(S)</v>
      </c>
      <c r="Z307" s="112" t="str">
        <f>VLOOKUP(P307, 'Bottom-up Tagging Assumptions'!$B$12:$F$56, 3, FALSE)</f>
        <v>#Improve price realization(P)</v>
      </c>
      <c r="AA307" s="112" t="str">
        <f>VLOOKUP(P307, 'Bottom-up Tagging Assumptions'!$B$12:$F$56, 4, FALSE)</f>
        <v>#Level 3(100)</v>
      </c>
      <c r="AB307" s="110" t="s">
        <v>1295</v>
      </c>
      <c r="AC307" s="110"/>
      <c r="AD307" s="110"/>
      <c r="AE307" s="110" t="s">
        <v>10558</v>
      </c>
      <c r="AF307" s="112">
        <v>50000</v>
      </c>
      <c r="AG307" s="110" t="s">
        <v>2282</v>
      </c>
      <c r="AH307" s="121">
        <f t="shared" si="143"/>
        <v>0</v>
      </c>
      <c r="AI307" s="121">
        <f t="shared" si="144"/>
        <v>0</v>
      </c>
      <c r="AJ307" s="121">
        <f t="shared" si="145"/>
        <v>1</v>
      </c>
      <c r="AK307" s="121">
        <f t="shared" si="146"/>
        <v>1</v>
      </c>
      <c r="AL307" s="121">
        <f t="shared" si="147"/>
        <v>0</v>
      </c>
      <c r="AM307" s="121">
        <f t="shared" si="148"/>
        <v>0</v>
      </c>
      <c r="AN307" s="121">
        <f t="shared" si="149"/>
        <v>1</v>
      </c>
      <c r="AO307" s="121">
        <f t="shared" si="150"/>
        <v>0</v>
      </c>
      <c r="AP307" s="22">
        <f t="shared" si="151"/>
        <v>0</v>
      </c>
      <c r="AQ307" s="22">
        <f t="shared" si="152"/>
        <v>166448.45980028869</v>
      </c>
      <c r="AR307" s="22">
        <f t="shared" si="153"/>
        <v>0</v>
      </c>
      <c r="AS307" s="121" t="str">
        <f t="shared" si="154"/>
        <v>Crops</v>
      </c>
      <c r="AT307" s="121" t="str">
        <f t="shared" si="173"/>
        <v xml:space="preserve"> </v>
      </c>
      <c r="AU307" s="121" t="str">
        <f t="shared" si="173"/>
        <v xml:space="preserve"> </v>
      </c>
      <c r="AV307" s="121" t="str">
        <f t="shared" si="173"/>
        <v xml:space="preserve"> </v>
      </c>
      <c r="AW307" s="130" t="str">
        <f t="shared" si="174"/>
        <v>100</v>
      </c>
      <c r="AX307" s="130" t="str">
        <f t="shared" si="174"/>
        <v xml:space="preserve"> </v>
      </c>
      <c r="AY307" s="130" t="str">
        <f t="shared" si="174"/>
        <v xml:space="preserve"> </v>
      </c>
      <c r="AZ307" s="130" t="str">
        <f t="shared" si="174"/>
        <v xml:space="preserve"> </v>
      </c>
      <c r="BA307" s="121">
        <f t="shared" si="155"/>
        <v>166448.45980028869</v>
      </c>
      <c r="BB307" s="121">
        <f t="shared" si="156"/>
        <v>0</v>
      </c>
      <c r="BC307" s="121">
        <f t="shared" si="157"/>
        <v>0</v>
      </c>
      <c r="BD307" s="121">
        <f t="shared" si="158"/>
        <v>0</v>
      </c>
      <c r="BE307" s="121">
        <f t="shared" si="159"/>
        <v>0</v>
      </c>
      <c r="BF307" s="121">
        <f t="shared" si="160"/>
        <v>0</v>
      </c>
      <c r="BG307" s="121">
        <f t="shared" si="161"/>
        <v>0</v>
      </c>
      <c r="BH307" s="121">
        <f t="shared" si="162"/>
        <v>0</v>
      </c>
      <c r="BI307" s="121">
        <f t="shared" si="163"/>
        <v>166448.45980028869</v>
      </c>
      <c r="BJ307" s="121">
        <f t="shared" si="164"/>
        <v>166448.45980028869</v>
      </c>
      <c r="BK307" s="121">
        <f t="shared" si="165"/>
        <v>166448.45980028869</v>
      </c>
      <c r="BL307" s="121">
        <f t="shared" si="166"/>
        <v>166448.45980028869</v>
      </c>
      <c r="BM307" s="121">
        <f t="shared" si="167"/>
        <v>0</v>
      </c>
      <c r="BN307" s="121">
        <f t="shared" si="168"/>
        <v>0</v>
      </c>
      <c r="BO307" s="121">
        <f t="shared" si="169"/>
        <v>0</v>
      </c>
      <c r="BP307" s="121">
        <f t="shared" si="170"/>
        <v>0</v>
      </c>
      <c r="BQ307" s="199">
        <f>INDEX('GDP deflators'!$C$6:$M$36,MATCH('Bottom-up tagging'!$D307,'GDP deflators'!$B$6:$B$36,),MATCH('Bottom-up tagging'!$E307,'GDP deflators'!$C$5:$L$5,))/100</f>
        <v>3.9051127344758561</v>
      </c>
      <c r="BR307" s="24">
        <v>650000</v>
      </c>
    </row>
    <row r="308" spans="2:70" ht="26.15" hidden="1" customHeight="1">
      <c r="B308" s="110" t="s">
        <v>820</v>
      </c>
      <c r="C308" s="110" t="s">
        <v>823</v>
      </c>
      <c r="D308" s="110" t="s">
        <v>3994</v>
      </c>
      <c r="E308" s="103">
        <v>2019</v>
      </c>
      <c r="F308" s="108" t="s">
        <v>5404</v>
      </c>
      <c r="G308" s="111" t="s">
        <v>34</v>
      </c>
      <c r="H308" s="110" t="s">
        <v>10451</v>
      </c>
      <c r="I308" s="112">
        <f>IF(Dashboard!$B$16="Current USD",'Bottom-up tagging'!BR308,'Bottom-up tagging'!BR308/'Bottom-up tagging'!BQ308)</f>
        <v>430020.52951309358</v>
      </c>
      <c r="J308" s="105" t="s">
        <v>10474</v>
      </c>
      <c r="K308" s="112"/>
      <c r="L308" s="135">
        <v>1</v>
      </c>
      <c r="M308" s="135">
        <v>1</v>
      </c>
      <c r="N308" s="112"/>
      <c r="O308" s="112"/>
      <c r="P308" s="112" t="str">
        <f>VLOOKUP(B308, 'Companies covered restructured'!$B$7:$K$470, 9, FALSE)</f>
        <v xml:space="preserve">Hydroponics </v>
      </c>
      <c r="Q308" s="112" t="str">
        <f>VLOOKUP(B308, 'Companies covered restructured'!$B$7:$K$470, 6, FALSE)</f>
        <v>#Crops(100)</v>
      </c>
      <c r="R308" s="112" t="str">
        <f t="shared" si="142"/>
        <v>N/A</v>
      </c>
      <c r="S308" s="112" t="s">
        <v>11003</v>
      </c>
      <c r="T308" s="112" t="s">
        <v>10466</v>
      </c>
      <c r="U308" s="103" t="s">
        <v>10970</v>
      </c>
      <c r="V308" s="112" t="str">
        <f>VLOOKUP(P308, 'Bottom-up Tagging Assumptions'!$B$12:$F$39, 5, FALSE)</f>
        <v>#Science &amp; tech(100)</v>
      </c>
      <c r="W308" s="112" t="str">
        <f>VLOOKUP(B308, 'Companies covered restructured'!$B$7:$K$470, 7, FALSE)</f>
        <v>#Field/Animal Herd(100)</v>
      </c>
      <c r="X308" s="112" t="s">
        <v>10558</v>
      </c>
      <c r="Y308" s="212" t="str">
        <f>VLOOKUP(P308, 'Bottom-up Tagging Assumptions'!$B$12:$C$56, 2, FALSE)</f>
        <v>#Human Condition(P); #Environmental(S); #Productivity(S)</v>
      </c>
      <c r="Z308" s="112" t="str">
        <f>VLOOKUP(P308, 'Bottom-up Tagging Assumptions'!$B$12:$F$56, 3, FALSE)</f>
        <v>#Food security(P); #Reducing production variability(S)</v>
      </c>
      <c r="AA308" s="112" t="str">
        <f>VLOOKUP(P308, 'Bottom-up Tagging Assumptions'!$B$12:$F$56, 4, FALSE)</f>
        <v>#Level 2(100)</v>
      </c>
      <c r="AB308" s="110"/>
      <c r="AC308" s="110" t="s">
        <v>822</v>
      </c>
      <c r="AD308" s="110"/>
      <c r="AE308" s="110" t="s">
        <v>10558</v>
      </c>
      <c r="AF308" s="112">
        <v>1000000</v>
      </c>
      <c r="AG308" s="110" t="s">
        <v>511</v>
      </c>
      <c r="AH308" s="121">
        <f t="shared" si="143"/>
        <v>1</v>
      </c>
      <c r="AI308" s="121">
        <f t="shared" si="144"/>
        <v>1</v>
      </c>
      <c r="AJ308" s="121">
        <f t="shared" si="145"/>
        <v>0</v>
      </c>
      <c r="AK308" s="121">
        <f t="shared" si="146"/>
        <v>0</v>
      </c>
      <c r="AL308" s="121">
        <f t="shared" si="147"/>
        <v>1</v>
      </c>
      <c r="AM308" s="121">
        <f t="shared" si="148"/>
        <v>1</v>
      </c>
      <c r="AN308" s="121">
        <f t="shared" si="149"/>
        <v>1</v>
      </c>
      <c r="AO308" s="121">
        <f t="shared" si="150"/>
        <v>1</v>
      </c>
      <c r="AP308" s="22">
        <f t="shared" si="151"/>
        <v>430020.52951309358</v>
      </c>
      <c r="AQ308" s="22">
        <f t="shared" si="152"/>
        <v>430020.52951309358</v>
      </c>
      <c r="AR308" s="22">
        <f t="shared" si="153"/>
        <v>430020.52951309358</v>
      </c>
      <c r="AS308" s="121" t="str">
        <f t="shared" si="154"/>
        <v>Crops</v>
      </c>
      <c r="AT308" s="121" t="str">
        <f t="shared" si="173"/>
        <v xml:space="preserve"> </v>
      </c>
      <c r="AU308" s="121" t="str">
        <f t="shared" si="173"/>
        <v xml:space="preserve"> </v>
      </c>
      <c r="AV308" s="121" t="str">
        <f t="shared" si="173"/>
        <v xml:space="preserve"> </v>
      </c>
      <c r="AW308" s="130" t="str">
        <f t="shared" si="174"/>
        <v>100</v>
      </c>
      <c r="AX308" s="130" t="str">
        <f t="shared" si="174"/>
        <v xml:space="preserve"> </v>
      </c>
      <c r="AY308" s="130" t="str">
        <f t="shared" si="174"/>
        <v xml:space="preserve"> </v>
      </c>
      <c r="AZ308" s="130" t="str">
        <f t="shared" si="174"/>
        <v xml:space="preserve"> </v>
      </c>
      <c r="BA308" s="121">
        <f t="shared" si="155"/>
        <v>430020.52951309358</v>
      </c>
      <c r="BB308" s="121">
        <f t="shared" si="156"/>
        <v>0</v>
      </c>
      <c r="BC308" s="121">
        <f t="shared" si="157"/>
        <v>0</v>
      </c>
      <c r="BD308" s="121">
        <f t="shared" si="158"/>
        <v>0</v>
      </c>
      <c r="BE308" s="121">
        <f t="shared" si="159"/>
        <v>430020.52951309358</v>
      </c>
      <c r="BF308" s="121">
        <f t="shared" si="160"/>
        <v>430020.52951309358</v>
      </c>
      <c r="BG308" s="121">
        <f t="shared" si="161"/>
        <v>430020.52951309358</v>
      </c>
      <c r="BH308" s="121">
        <f t="shared" si="162"/>
        <v>430020.52951309358</v>
      </c>
      <c r="BI308" s="121">
        <f t="shared" si="163"/>
        <v>430020.52951309358</v>
      </c>
      <c r="BJ308" s="121">
        <f t="shared" si="164"/>
        <v>430020.52951309358</v>
      </c>
      <c r="BK308" s="121">
        <f t="shared" si="165"/>
        <v>430020.52951309358</v>
      </c>
      <c r="BL308" s="121">
        <f t="shared" si="166"/>
        <v>430020.52951309358</v>
      </c>
      <c r="BM308" s="121">
        <f t="shared" si="167"/>
        <v>430020.52951309358</v>
      </c>
      <c r="BN308" s="121">
        <f t="shared" si="168"/>
        <v>430020.52951309358</v>
      </c>
      <c r="BO308" s="121">
        <f t="shared" si="169"/>
        <v>430020.52951309358</v>
      </c>
      <c r="BP308" s="121">
        <f t="shared" si="170"/>
        <v>430020.52951309358</v>
      </c>
      <c r="BQ308" s="199">
        <f>INDEX('GDP deflators'!$C$6:$M$36,MATCH('Bottom-up tagging'!$D308,'GDP deflators'!$B$6:$B$36,),MATCH('Bottom-up tagging'!$E308,'GDP deflators'!$C$5:$L$5,))/100</f>
        <v>1.5094883975306472</v>
      </c>
      <c r="BR308" s="24">
        <v>649111</v>
      </c>
    </row>
    <row r="309" spans="2:70" ht="26.15" hidden="1" customHeight="1">
      <c r="B309" s="110" t="s">
        <v>378</v>
      </c>
      <c r="C309" s="110" t="s">
        <v>383</v>
      </c>
      <c r="D309" s="110" t="s">
        <v>6297</v>
      </c>
      <c r="E309" s="103">
        <v>2017</v>
      </c>
      <c r="F309" s="108" t="s">
        <v>6906</v>
      </c>
      <c r="G309" s="111" t="s">
        <v>34</v>
      </c>
      <c r="H309" s="110" t="s">
        <v>10451</v>
      </c>
      <c r="I309" s="112">
        <f>IF(Dashboard!$B$16="Current USD",'Bottom-up tagging'!BR309,'Bottom-up tagging'!BR309/'Bottom-up tagging'!BQ309)</f>
        <v>434472.53561871388</v>
      </c>
      <c r="J309" s="118" t="s">
        <v>10474</v>
      </c>
      <c r="K309" s="112"/>
      <c r="L309" s="135">
        <v>1</v>
      </c>
      <c r="M309" s="135">
        <v>1</v>
      </c>
      <c r="N309" s="112"/>
      <c r="O309" s="112"/>
      <c r="P309" s="112" t="str">
        <f>VLOOKUP(B309, 'Companies covered restructured'!$B$7:$K$470, 9, FALSE)</f>
        <v>AI/analytics based advisory algorithms (incl. weather)</v>
      </c>
      <c r="Q309" s="112" t="str">
        <f>VLOOKUP(B309, 'Companies covered restructured'!$B$7:$K$470, 6, FALSE)</f>
        <v>#Crops(100)</v>
      </c>
      <c r="R309" s="112" t="str">
        <f t="shared" si="142"/>
        <v>#Investment Fund(100)</v>
      </c>
      <c r="S309" s="112" t="s">
        <v>11003</v>
      </c>
      <c r="T309" s="112" t="s">
        <v>10466</v>
      </c>
      <c r="U309" s="103" t="s">
        <v>10970</v>
      </c>
      <c r="V309" s="112" t="str">
        <f>VLOOKUP(P309, 'Bottom-up Tagging Assumptions'!$B$12:$F$39, 5, FALSE)</f>
        <v>#Science &amp; tech(100)</v>
      </c>
      <c r="W309" s="112" t="str">
        <f>VLOOKUP(B309, 'Companies covered restructured'!$B$7:$K$470, 7, FALSE)</f>
        <v>#Field/Animal Herd(100)</v>
      </c>
      <c r="X309" s="112" t="s">
        <v>10558</v>
      </c>
      <c r="Y309" s="212" t="str">
        <f>VLOOKUP(P309, 'Bottom-up Tagging Assumptions'!$B$12:$C$56, 2, FALSE)</f>
        <v>#Other Economic(P); #Productivity(S)</v>
      </c>
      <c r="Z309" s="112" t="str">
        <f>VLOOKUP(P309, 'Bottom-up Tagging Assumptions'!$B$12:$F$56, 3, FALSE)</f>
        <v>#Increasing output per unit input(P); #Increasing crop or animal yield(S)</v>
      </c>
      <c r="AA309" s="112" t="str">
        <f>VLOOKUP(P309, 'Bottom-up Tagging Assumptions'!$B$12:$F$56, 4, FALSE)</f>
        <v>#Level 1(100)</v>
      </c>
      <c r="AB309" s="110" t="s">
        <v>2069</v>
      </c>
      <c r="AC309" s="110"/>
      <c r="AD309" s="110" t="s">
        <v>2070</v>
      </c>
      <c r="AE309" s="110" t="s">
        <v>3114</v>
      </c>
      <c r="AF309" s="112">
        <v>446647</v>
      </c>
      <c r="AG309" s="110" t="s">
        <v>2287</v>
      </c>
      <c r="AH309" s="121">
        <f t="shared" si="143"/>
        <v>0</v>
      </c>
      <c r="AI309" s="121">
        <f t="shared" si="144"/>
        <v>1</v>
      </c>
      <c r="AJ309" s="121">
        <f t="shared" si="145"/>
        <v>1</v>
      </c>
      <c r="AK309" s="121">
        <f t="shared" si="146"/>
        <v>0</v>
      </c>
      <c r="AL309" s="121">
        <f t="shared" si="147"/>
        <v>0</v>
      </c>
      <c r="AM309" s="121">
        <f t="shared" si="148"/>
        <v>0</v>
      </c>
      <c r="AN309" s="121">
        <f t="shared" si="149"/>
        <v>0</v>
      </c>
      <c r="AO309" s="121">
        <f t="shared" si="150"/>
        <v>0</v>
      </c>
      <c r="AP309" s="22">
        <f t="shared" si="151"/>
        <v>0</v>
      </c>
      <c r="AQ309" s="22">
        <f t="shared" si="152"/>
        <v>0</v>
      </c>
      <c r="AR309" s="22">
        <f t="shared" si="153"/>
        <v>0</v>
      </c>
      <c r="AS309" s="121" t="str">
        <f t="shared" si="154"/>
        <v>Crops</v>
      </c>
      <c r="AT309" s="121" t="str">
        <f t="shared" si="173"/>
        <v xml:space="preserve"> </v>
      </c>
      <c r="AU309" s="121" t="str">
        <f t="shared" si="173"/>
        <v xml:space="preserve"> </v>
      </c>
      <c r="AV309" s="121" t="str">
        <f t="shared" si="173"/>
        <v xml:space="preserve"> </v>
      </c>
      <c r="AW309" s="130" t="str">
        <f t="shared" si="174"/>
        <v>100</v>
      </c>
      <c r="AX309" s="130" t="str">
        <f t="shared" si="174"/>
        <v xml:space="preserve"> </v>
      </c>
      <c r="AY309" s="130" t="str">
        <f t="shared" si="174"/>
        <v xml:space="preserve"> </v>
      </c>
      <c r="AZ309" s="130" t="str">
        <f t="shared" si="174"/>
        <v xml:space="preserve"> </v>
      </c>
      <c r="BA309" s="121">
        <f t="shared" si="155"/>
        <v>434472.53561871388</v>
      </c>
      <c r="BB309" s="121">
        <f t="shared" si="156"/>
        <v>0</v>
      </c>
      <c r="BC309" s="121">
        <f t="shared" si="157"/>
        <v>0</v>
      </c>
      <c r="BD309" s="121">
        <f t="shared" si="158"/>
        <v>0</v>
      </c>
      <c r="BE309" s="121">
        <f t="shared" si="159"/>
        <v>0</v>
      </c>
      <c r="BF309" s="121">
        <f t="shared" si="160"/>
        <v>0</v>
      </c>
      <c r="BG309" s="121">
        <f t="shared" si="161"/>
        <v>0</v>
      </c>
      <c r="BH309" s="121">
        <f t="shared" si="162"/>
        <v>0</v>
      </c>
      <c r="BI309" s="121">
        <f t="shared" si="163"/>
        <v>0</v>
      </c>
      <c r="BJ309" s="121">
        <f t="shared" si="164"/>
        <v>0</v>
      </c>
      <c r="BK309" s="121">
        <f t="shared" si="165"/>
        <v>0</v>
      </c>
      <c r="BL309" s="121">
        <f t="shared" si="166"/>
        <v>0</v>
      </c>
      <c r="BM309" s="121">
        <f t="shared" si="167"/>
        <v>0</v>
      </c>
      <c r="BN309" s="121">
        <f t="shared" si="168"/>
        <v>0</v>
      </c>
      <c r="BO309" s="121">
        <f t="shared" si="169"/>
        <v>0</v>
      </c>
      <c r="BP309" s="121">
        <f t="shared" si="170"/>
        <v>0</v>
      </c>
      <c r="BQ309" s="199">
        <f>INDEX('GDP deflators'!$C$6:$M$36,MATCH('Bottom-up tagging'!$D309,'GDP deflators'!$B$6:$B$36,),MATCH('Bottom-up tagging'!$E309,'GDP deflators'!$C$5:$L$5,))/100</f>
        <v>1.4915396184413907</v>
      </c>
      <c r="BR309" s="24">
        <v>648033</v>
      </c>
    </row>
    <row r="310" spans="2:70" ht="26.15" hidden="1" customHeight="1">
      <c r="B310" s="110" t="s">
        <v>1171</v>
      </c>
      <c r="C310" s="110" t="s">
        <v>1175</v>
      </c>
      <c r="D310" s="110" t="s">
        <v>3994</v>
      </c>
      <c r="E310" s="103">
        <v>2014</v>
      </c>
      <c r="F310" s="108" t="s">
        <v>8395</v>
      </c>
      <c r="G310" s="111" t="s">
        <v>34</v>
      </c>
      <c r="H310" s="110" t="s">
        <v>10451</v>
      </c>
      <c r="I310" s="112">
        <f>IF(Dashboard!$B$16="Current USD",'Bottom-up tagging'!BR310,'Bottom-up tagging'!BR310/'Bottom-up tagging'!BQ310)</f>
        <v>500978.67670232506</v>
      </c>
      <c r="J310" s="105" t="s">
        <v>10474</v>
      </c>
      <c r="K310" s="112"/>
      <c r="L310" s="135">
        <v>1</v>
      </c>
      <c r="M310" s="135">
        <v>1</v>
      </c>
      <c r="N310" s="112"/>
      <c r="O310" s="112"/>
      <c r="P310" s="112" t="str">
        <f>VLOOKUP(B310, 'Companies covered restructured'!$B$7:$K$470, 9, FALSE)</f>
        <v>Farmer engagement platforms (including marketplaces and information platforms)</v>
      </c>
      <c r="Q310" s="112" t="str">
        <f>VLOOKUP(B310, 'Companies covered restructured'!$B$7:$K$470, 6, FALSE)</f>
        <v>#Crops(100)</v>
      </c>
      <c r="R310" s="112" t="str">
        <f t="shared" si="142"/>
        <v>#Investment Fund(100)</v>
      </c>
      <c r="S310" s="112" t="s">
        <v>11003</v>
      </c>
      <c r="T310" s="112" t="s">
        <v>10466</v>
      </c>
      <c r="U310" s="103" t="s">
        <v>10970</v>
      </c>
      <c r="V310" s="112" t="str">
        <f>VLOOKUP(P310, 'Bottom-up Tagging Assumptions'!$B$12:$F$39, 5, FALSE)</f>
        <v>#Process Innovation(100)</v>
      </c>
      <c r="W310" s="112" t="str">
        <f>VLOOKUP(B310, 'Companies covered restructured'!$B$7:$K$470, 7, FALSE)</f>
        <v>#Field/Animal Herd(100)</v>
      </c>
      <c r="X310" s="112" t="s">
        <v>10558</v>
      </c>
      <c r="Y310" s="212" t="str">
        <f>VLOOKUP(P310, 'Bottom-up Tagging Assumptions'!$B$12:$C$56, 2, FALSE)</f>
        <v>#Other Economic(P); #Productivity(S)</v>
      </c>
      <c r="Z310" s="112" t="str">
        <f>VLOOKUP(P310, 'Bottom-up Tagging Assumptions'!$B$12:$F$56, 3, FALSE)</f>
        <v>#Improve price realization(P); #Increasing crop or animal yield(S)</v>
      </c>
      <c r="AA310" s="112" t="str">
        <f>VLOOKUP(P310, 'Bottom-up Tagging Assumptions'!$B$12:$F$56, 4, FALSE)</f>
        <v>#Level 4(100)</v>
      </c>
      <c r="AB310" s="110" t="s">
        <v>483</v>
      </c>
      <c r="AC310" s="110"/>
      <c r="AD310" s="110" t="s">
        <v>484</v>
      </c>
      <c r="AE310" s="110" t="str">
        <f>VLOOKUP(AD310,  '1.2'!$B$7:$C$2033, 2, FALSE)</f>
        <v>FUND</v>
      </c>
      <c r="AF310" s="112">
        <v>114859</v>
      </c>
      <c r="AG310" s="110" t="s">
        <v>1452</v>
      </c>
      <c r="AH310" s="121">
        <f t="shared" si="143"/>
        <v>0</v>
      </c>
      <c r="AI310" s="121">
        <f t="shared" si="144"/>
        <v>1</v>
      </c>
      <c r="AJ310" s="121">
        <f t="shared" si="145"/>
        <v>1</v>
      </c>
      <c r="AK310" s="121">
        <f t="shared" si="146"/>
        <v>0</v>
      </c>
      <c r="AL310" s="121">
        <f t="shared" si="147"/>
        <v>0</v>
      </c>
      <c r="AM310" s="121">
        <f t="shared" si="148"/>
        <v>0</v>
      </c>
      <c r="AN310" s="121">
        <f t="shared" si="149"/>
        <v>0</v>
      </c>
      <c r="AO310" s="121">
        <f t="shared" si="150"/>
        <v>0</v>
      </c>
      <c r="AP310" s="22">
        <f t="shared" si="151"/>
        <v>0</v>
      </c>
      <c r="AQ310" s="22">
        <f t="shared" si="152"/>
        <v>0</v>
      </c>
      <c r="AR310" s="22">
        <f t="shared" si="153"/>
        <v>0</v>
      </c>
      <c r="AS310" s="121" t="str">
        <f t="shared" si="154"/>
        <v>Crops</v>
      </c>
      <c r="AT310" s="121" t="str">
        <f t="shared" si="173"/>
        <v xml:space="preserve"> </v>
      </c>
      <c r="AU310" s="121" t="str">
        <f t="shared" si="173"/>
        <v xml:space="preserve"> </v>
      </c>
      <c r="AV310" s="121" t="str">
        <f t="shared" si="173"/>
        <v xml:space="preserve"> </v>
      </c>
      <c r="AW310" s="130" t="str">
        <f t="shared" si="174"/>
        <v>100</v>
      </c>
      <c r="AX310" s="130" t="str">
        <f t="shared" si="174"/>
        <v xml:space="preserve"> </v>
      </c>
      <c r="AY310" s="130" t="str">
        <f t="shared" si="174"/>
        <v xml:space="preserve"> </v>
      </c>
      <c r="AZ310" s="130" t="str">
        <f t="shared" si="174"/>
        <v xml:space="preserve"> </v>
      </c>
      <c r="BA310" s="121">
        <f t="shared" si="155"/>
        <v>500978.67670232506</v>
      </c>
      <c r="BB310" s="121">
        <f t="shared" si="156"/>
        <v>0</v>
      </c>
      <c r="BC310" s="121">
        <f t="shared" si="157"/>
        <v>0</v>
      </c>
      <c r="BD310" s="121">
        <f t="shared" si="158"/>
        <v>0</v>
      </c>
      <c r="BE310" s="121">
        <f t="shared" si="159"/>
        <v>0</v>
      </c>
      <c r="BF310" s="121">
        <f t="shared" si="160"/>
        <v>0</v>
      </c>
      <c r="BG310" s="121">
        <f t="shared" si="161"/>
        <v>0</v>
      </c>
      <c r="BH310" s="121">
        <f t="shared" si="162"/>
        <v>0</v>
      </c>
      <c r="BI310" s="121">
        <f t="shared" si="163"/>
        <v>0</v>
      </c>
      <c r="BJ310" s="121">
        <f t="shared" si="164"/>
        <v>0</v>
      </c>
      <c r="BK310" s="121">
        <f t="shared" si="165"/>
        <v>0</v>
      </c>
      <c r="BL310" s="121">
        <f t="shared" si="166"/>
        <v>0</v>
      </c>
      <c r="BM310" s="121">
        <f t="shared" si="167"/>
        <v>0</v>
      </c>
      <c r="BN310" s="121">
        <f t="shared" si="168"/>
        <v>0</v>
      </c>
      <c r="BO310" s="121">
        <f t="shared" si="169"/>
        <v>0</v>
      </c>
      <c r="BP310" s="121">
        <f t="shared" si="170"/>
        <v>0</v>
      </c>
      <c r="BQ310" s="199">
        <f>INDEX('GDP deflators'!$C$6:$M$36,MATCH('Bottom-up tagging'!$D310,'GDP deflators'!$B$6:$B$36,),MATCH('Bottom-up tagging'!$E310,'GDP deflators'!$C$5:$L$5,))/100</f>
        <v>1.2877354466392321</v>
      </c>
      <c r="BR310" s="24">
        <v>645128</v>
      </c>
    </row>
    <row r="311" spans="2:70" ht="26.15" hidden="1" customHeight="1">
      <c r="B311" s="110" t="s">
        <v>110</v>
      </c>
      <c r="C311" s="110" t="s">
        <v>114</v>
      </c>
      <c r="D311" s="110" t="s">
        <v>3994</v>
      </c>
      <c r="E311" s="103">
        <v>2015</v>
      </c>
      <c r="F311" s="108" t="s">
        <v>8302</v>
      </c>
      <c r="G311" s="111" t="s">
        <v>34</v>
      </c>
      <c r="H311" s="110" t="s">
        <v>10451</v>
      </c>
      <c r="I311" s="112">
        <f>IF(Dashboard!$B$16="Current USD",'Bottom-up tagging'!BR311,'Bottom-up tagging'!BR311/'Bottom-up tagging'!BQ311)</f>
        <v>488798.59942889045</v>
      </c>
      <c r="J311" s="118" t="s">
        <v>10474</v>
      </c>
      <c r="K311" s="112"/>
      <c r="L311" s="135">
        <v>1</v>
      </c>
      <c r="M311" s="135">
        <v>1</v>
      </c>
      <c r="N311" s="112"/>
      <c r="O311" s="112"/>
      <c r="P311" s="112" t="str">
        <f>VLOOKUP(B311, 'Companies covered restructured'!$B$7:$K$470, 9, FALSE)</f>
        <v>Supply chain technologies</v>
      </c>
      <c r="Q311" s="112" t="str">
        <f>VLOOKUP(B311, 'Companies covered restructured'!$B$7:$K$470, 6, FALSE)</f>
        <v>#Crops(100)</v>
      </c>
      <c r="R311" s="112" t="str">
        <f t="shared" si="142"/>
        <v>#Investment Fund(100)</v>
      </c>
      <c r="S311" s="112" t="s">
        <v>11003</v>
      </c>
      <c r="T311" s="112" t="s">
        <v>10466</v>
      </c>
      <c r="U311" s="103" t="s">
        <v>10970</v>
      </c>
      <c r="V311" s="112" t="str">
        <f>VLOOKUP(P311, 'Bottom-up Tagging Assumptions'!$B$12:$F$39, 5, FALSE)</f>
        <v>#Process Innovation(100)</v>
      </c>
      <c r="W311" s="112" t="str">
        <f>VLOOKUP(B311, 'Companies covered restructured'!$B$7:$K$470, 7, FALSE)</f>
        <v>#Farm/Household(100)</v>
      </c>
      <c r="X311" s="112" t="s">
        <v>10558</v>
      </c>
      <c r="Y311" s="212" t="str">
        <f>VLOOKUP(P311, 'Bottom-up Tagging Assumptions'!$B$12:$C$56, 2, FALSE)</f>
        <v>#Other Economic(P); Social(S)</v>
      </c>
      <c r="Z311" s="112" t="str">
        <f>VLOOKUP(P311, 'Bottom-up Tagging Assumptions'!$B$12:$F$56, 3, FALSE)</f>
        <v>#Improve price realization(P)</v>
      </c>
      <c r="AA311" s="112" t="str">
        <f>VLOOKUP(P311, 'Bottom-up Tagging Assumptions'!$B$12:$F$56, 4, FALSE)</f>
        <v>#Level 3(100)</v>
      </c>
      <c r="AB311" s="110" t="s">
        <v>483</v>
      </c>
      <c r="AC311" s="110" t="s">
        <v>2751</v>
      </c>
      <c r="AD311" s="110" t="s">
        <v>484</v>
      </c>
      <c r="AE311" s="110" t="str">
        <f>VLOOKUP(AD311,  '1.2'!$B$7:$C$2033, 2, FALSE)</f>
        <v>FUND</v>
      </c>
      <c r="AF311" s="112">
        <v>50000</v>
      </c>
      <c r="AG311" s="110" t="s">
        <v>265</v>
      </c>
      <c r="AH311" s="121">
        <f t="shared" si="143"/>
        <v>0</v>
      </c>
      <c r="AI311" s="121">
        <f t="shared" si="144"/>
        <v>0</v>
      </c>
      <c r="AJ311" s="121">
        <f t="shared" si="145"/>
        <v>1</v>
      </c>
      <c r="AK311" s="121">
        <f t="shared" si="146"/>
        <v>1</v>
      </c>
      <c r="AL311" s="121">
        <f t="shared" si="147"/>
        <v>0</v>
      </c>
      <c r="AM311" s="121">
        <f t="shared" si="148"/>
        <v>0</v>
      </c>
      <c r="AN311" s="121">
        <f t="shared" si="149"/>
        <v>1</v>
      </c>
      <c r="AO311" s="121">
        <f t="shared" si="150"/>
        <v>0</v>
      </c>
      <c r="AP311" s="22">
        <f t="shared" si="151"/>
        <v>0</v>
      </c>
      <c r="AQ311" s="22">
        <f t="shared" si="152"/>
        <v>488798.59942889045</v>
      </c>
      <c r="AR311" s="22">
        <f t="shared" si="153"/>
        <v>0</v>
      </c>
      <c r="AS311" s="121" t="str">
        <f t="shared" si="154"/>
        <v>Crops</v>
      </c>
      <c r="AT311" s="121" t="str">
        <f t="shared" si="173"/>
        <v xml:space="preserve"> </v>
      </c>
      <c r="AU311" s="121" t="str">
        <f t="shared" si="173"/>
        <v xml:space="preserve"> </v>
      </c>
      <c r="AV311" s="121" t="str">
        <f t="shared" si="173"/>
        <v xml:space="preserve"> </v>
      </c>
      <c r="AW311" s="130" t="str">
        <f t="shared" si="174"/>
        <v>100</v>
      </c>
      <c r="AX311" s="130" t="str">
        <f t="shared" si="174"/>
        <v xml:space="preserve"> </v>
      </c>
      <c r="AY311" s="130" t="str">
        <f t="shared" si="174"/>
        <v xml:space="preserve"> </v>
      </c>
      <c r="AZ311" s="130" t="str">
        <f t="shared" si="174"/>
        <v xml:space="preserve"> </v>
      </c>
      <c r="BA311" s="121">
        <f t="shared" si="155"/>
        <v>488798.59942889045</v>
      </c>
      <c r="BB311" s="121">
        <f t="shared" si="156"/>
        <v>0</v>
      </c>
      <c r="BC311" s="121">
        <f t="shared" si="157"/>
        <v>0</v>
      </c>
      <c r="BD311" s="121">
        <f t="shared" si="158"/>
        <v>0</v>
      </c>
      <c r="BE311" s="121">
        <f t="shared" si="159"/>
        <v>0</v>
      </c>
      <c r="BF311" s="121">
        <f t="shared" si="160"/>
        <v>0</v>
      </c>
      <c r="BG311" s="121">
        <f t="shared" si="161"/>
        <v>0</v>
      </c>
      <c r="BH311" s="121">
        <f t="shared" si="162"/>
        <v>0</v>
      </c>
      <c r="BI311" s="121">
        <f t="shared" si="163"/>
        <v>488798.59942889045</v>
      </c>
      <c r="BJ311" s="121">
        <f t="shared" si="164"/>
        <v>488798.59942889045</v>
      </c>
      <c r="BK311" s="121">
        <f t="shared" si="165"/>
        <v>488798.59942889045</v>
      </c>
      <c r="BL311" s="121">
        <f t="shared" si="166"/>
        <v>488798.59942889045</v>
      </c>
      <c r="BM311" s="121">
        <f t="shared" si="167"/>
        <v>0</v>
      </c>
      <c r="BN311" s="121">
        <f t="shared" si="168"/>
        <v>0</v>
      </c>
      <c r="BO311" s="121">
        <f t="shared" si="169"/>
        <v>0</v>
      </c>
      <c r="BP311" s="121">
        <f t="shared" si="170"/>
        <v>0</v>
      </c>
      <c r="BQ311" s="199">
        <f>INDEX('GDP deflators'!$C$6:$M$36,MATCH('Bottom-up tagging'!$D311,'GDP deflators'!$B$6:$B$36,),MATCH('Bottom-up tagging'!$E311,'GDP deflators'!$C$5:$L$5,))/100</f>
        <v>1.3170905169372478</v>
      </c>
      <c r="BR311" s="24">
        <v>643792</v>
      </c>
    </row>
    <row r="312" spans="2:70" ht="26.15" hidden="1" customHeight="1">
      <c r="B312" s="110" t="s">
        <v>2150</v>
      </c>
      <c r="C312" s="110" t="s">
        <v>2153</v>
      </c>
      <c r="D312" s="110" t="s">
        <v>5208</v>
      </c>
      <c r="E312" s="103">
        <v>2017</v>
      </c>
      <c r="F312" s="108" t="s">
        <v>10283</v>
      </c>
      <c r="G312" s="111" t="s">
        <v>34</v>
      </c>
      <c r="H312" s="110" t="s">
        <v>10451</v>
      </c>
      <c r="I312" s="112">
        <f>IF(Dashboard!$B$16="Current USD",'Bottom-up tagging'!BR312,'Bottom-up tagging'!BR312/'Bottom-up tagging'!BQ312)</f>
        <v>390457.86008124577</v>
      </c>
      <c r="J312" s="105" t="s">
        <v>10474</v>
      </c>
      <c r="K312" s="112"/>
      <c r="L312" s="135">
        <v>1</v>
      </c>
      <c r="M312" s="135">
        <v>1</v>
      </c>
      <c r="N312" s="112"/>
      <c r="O312" s="112"/>
      <c r="P312" s="112" t="str">
        <f>VLOOKUP(B312, 'Companies covered restructured'!$B$7:$K$470, 9, FALSE)</f>
        <v>Precision livestock farming</v>
      </c>
      <c r="Q312" s="112" t="str">
        <f>VLOOKUP(B312, 'Companies covered restructured'!$B$7:$K$470, 6, FALSE)</f>
        <v>#Livestock(100)</v>
      </c>
      <c r="R312" s="112" t="str">
        <f t="shared" si="142"/>
        <v>N/A</v>
      </c>
      <c r="S312" s="112" t="s">
        <v>11003</v>
      </c>
      <c r="T312" s="112" t="s">
        <v>10466</v>
      </c>
      <c r="U312" s="103" t="s">
        <v>10970</v>
      </c>
      <c r="V312" s="112" t="str">
        <f>VLOOKUP(P312, 'Bottom-up Tagging Assumptions'!$B$12:$F$39, 5, FALSE)</f>
        <v>#Science &amp; tech(100)</v>
      </c>
      <c r="W312" s="112" t="str">
        <f>VLOOKUP(B312, 'Companies covered restructured'!$B$7:$K$470, 7, FALSE)</f>
        <v>N/A</v>
      </c>
      <c r="X312" s="112" t="str">
        <f>VLOOKUP(B312, 'Companies covered restructured'!$B$7:$K$470, 8, FALSE)</f>
        <v>N/A</v>
      </c>
      <c r="Y312" s="212" t="str">
        <f>VLOOKUP(P312, 'Bottom-up Tagging Assumptions'!$B$12:$C$56, 2, FALSE)</f>
        <v>#Other Economic(P); #Productivity(S)</v>
      </c>
      <c r="Z312" s="112" t="str">
        <f>VLOOKUP(P312, 'Bottom-up Tagging Assumptions'!$B$12:$F$56, 3, FALSE)</f>
        <v>#Increasing output per unit input(P); #Increasing crop or animal yield(S)</v>
      </c>
      <c r="AA312" s="112" t="str">
        <f>VLOOKUP(P312, 'Bottom-up Tagging Assumptions'!$B$12:$F$56, 4, FALSE)</f>
        <v>#Level 1(100)</v>
      </c>
      <c r="AB312" s="110" t="s">
        <v>1597</v>
      </c>
      <c r="AC312" s="110"/>
      <c r="AD312" s="110"/>
      <c r="AE312" s="110" t="s">
        <v>10558</v>
      </c>
      <c r="AF312" s="112">
        <v>637900</v>
      </c>
      <c r="AG312" s="110" t="s">
        <v>2154</v>
      </c>
      <c r="AH312" s="121">
        <f t="shared" si="143"/>
        <v>0</v>
      </c>
      <c r="AI312" s="121">
        <f t="shared" si="144"/>
        <v>1</v>
      </c>
      <c r="AJ312" s="121">
        <f t="shared" si="145"/>
        <v>1</v>
      </c>
      <c r="AK312" s="121">
        <f t="shared" si="146"/>
        <v>0</v>
      </c>
      <c r="AL312" s="121">
        <f t="shared" si="147"/>
        <v>0</v>
      </c>
      <c r="AM312" s="121">
        <f t="shared" si="148"/>
        <v>0</v>
      </c>
      <c r="AN312" s="121">
        <f t="shared" si="149"/>
        <v>0</v>
      </c>
      <c r="AO312" s="121">
        <f t="shared" si="150"/>
        <v>0</v>
      </c>
      <c r="AP312" s="22">
        <f t="shared" si="151"/>
        <v>0</v>
      </c>
      <c r="AQ312" s="22">
        <f t="shared" si="152"/>
        <v>0</v>
      </c>
      <c r="AR312" s="22">
        <f t="shared" si="153"/>
        <v>0</v>
      </c>
      <c r="AS312" s="121" t="str">
        <f t="shared" si="154"/>
        <v>Livestock</v>
      </c>
      <c r="AT312" s="121" t="str">
        <f t="shared" ref="AT312:AV331" si="175">IFERROR(IFERROR(MID($Q312,FIND("~",SUBSTITUTE($Q312,";","~",AT$10-1))+3,(FIND("~",SUBSTITUTE($Q312,";","~",AT$10))+0-(FIND("~",SUBSTITUTE($Q312,";","~",AT$10-1))+2))-6),MID($Q312,FIND("~",SUBSTITUTE($Q312,";","~",AT$10-1))+3,(LEN($Q312)-6-FIND("~",SUBSTITUTE($Q312,";","~",AT$10-1))-1)))," ")</f>
        <v xml:space="preserve"> </v>
      </c>
      <c r="AU312" s="121" t="str">
        <f t="shared" si="175"/>
        <v xml:space="preserve"> </v>
      </c>
      <c r="AV312" s="121" t="str">
        <f t="shared" si="175"/>
        <v xml:space="preserve"> </v>
      </c>
      <c r="AW312" s="130" t="str">
        <f t="shared" ref="AW312:AZ331" si="176">IFERROR(MID($Q312,FIND("~",SUBSTITUTE($Q312,"(","~",AW$10))+1,3)," ")</f>
        <v>100</v>
      </c>
      <c r="AX312" s="130" t="str">
        <f t="shared" si="176"/>
        <v xml:space="preserve"> </v>
      </c>
      <c r="AY312" s="130" t="str">
        <f t="shared" si="176"/>
        <v xml:space="preserve"> </v>
      </c>
      <c r="AZ312" s="130" t="str">
        <f t="shared" si="176"/>
        <v xml:space="preserve"> </v>
      </c>
      <c r="BA312" s="121">
        <f t="shared" si="155"/>
        <v>390457.86008124577</v>
      </c>
      <c r="BB312" s="121">
        <f t="shared" si="156"/>
        <v>0</v>
      </c>
      <c r="BC312" s="121">
        <f t="shared" si="157"/>
        <v>0</v>
      </c>
      <c r="BD312" s="121">
        <f t="shared" si="158"/>
        <v>0</v>
      </c>
      <c r="BE312" s="121">
        <f t="shared" si="159"/>
        <v>0</v>
      </c>
      <c r="BF312" s="121">
        <f t="shared" si="160"/>
        <v>0</v>
      </c>
      <c r="BG312" s="121">
        <f t="shared" si="161"/>
        <v>0</v>
      </c>
      <c r="BH312" s="121">
        <f t="shared" si="162"/>
        <v>0</v>
      </c>
      <c r="BI312" s="121">
        <f t="shared" si="163"/>
        <v>0</v>
      </c>
      <c r="BJ312" s="121">
        <f t="shared" si="164"/>
        <v>0</v>
      </c>
      <c r="BK312" s="121">
        <f t="shared" si="165"/>
        <v>0</v>
      </c>
      <c r="BL312" s="121">
        <f t="shared" si="166"/>
        <v>0</v>
      </c>
      <c r="BM312" s="121">
        <f t="shared" si="167"/>
        <v>0</v>
      </c>
      <c r="BN312" s="121">
        <f t="shared" si="168"/>
        <v>0</v>
      </c>
      <c r="BO312" s="121">
        <f t="shared" si="169"/>
        <v>0</v>
      </c>
      <c r="BP312" s="121">
        <f t="shared" si="170"/>
        <v>0</v>
      </c>
      <c r="BQ312" s="199">
        <f>INDEX('GDP deflators'!$C$6:$M$36,MATCH('Bottom-up tagging'!$D312,'GDP deflators'!$B$6:$B$36,),MATCH('Bottom-up tagging'!$E312,'GDP deflators'!$C$5:$L$5,))/100</f>
        <v>1.6336692514456523</v>
      </c>
      <c r="BR312" s="24">
        <v>637879</v>
      </c>
    </row>
    <row r="313" spans="2:70" ht="26.15" hidden="1" customHeight="1">
      <c r="B313" s="110" t="s">
        <v>42</v>
      </c>
      <c r="C313" s="110" t="s">
        <v>48</v>
      </c>
      <c r="D313" s="110" t="s">
        <v>3994</v>
      </c>
      <c r="E313" s="103">
        <v>2019</v>
      </c>
      <c r="F313" s="108" t="s">
        <v>6695</v>
      </c>
      <c r="G313" s="111" t="s">
        <v>124</v>
      </c>
      <c r="H313" s="110" t="s">
        <v>10451</v>
      </c>
      <c r="I313" s="112">
        <f>IF(Dashboard!$B$16="Current USD",'Bottom-up tagging'!BR313,'Bottom-up tagging'!BR313/'Bottom-up tagging'!BQ313)</f>
        <v>418910.14269101829</v>
      </c>
      <c r="J313" s="118" t="s">
        <v>10474</v>
      </c>
      <c r="K313" s="112"/>
      <c r="L313" s="135">
        <v>1</v>
      </c>
      <c r="M313" s="135">
        <v>1</v>
      </c>
      <c r="N313" s="112"/>
      <c r="O313" s="112"/>
      <c r="P313" s="112" t="str">
        <f>VLOOKUP(B313, 'Companies covered restructured'!$B$7:$K$470, 9, FALSE)</f>
        <v>AI/analytics based advisory algorithms (incl. weather)</v>
      </c>
      <c r="Q313" s="112" t="str">
        <f>VLOOKUP(B313, 'Companies covered restructured'!$B$7:$K$470, 6, FALSE)</f>
        <v>#Crops(100)</v>
      </c>
      <c r="R313" s="112" t="str">
        <f t="shared" si="142"/>
        <v>#Angel Investor(100)</v>
      </c>
      <c r="S313" s="112" t="s">
        <v>11003</v>
      </c>
      <c r="T313" s="112" t="s">
        <v>10466</v>
      </c>
      <c r="U313" s="103" t="s">
        <v>10970</v>
      </c>
      <c r="V313" s="112" t="str">
        <f>VLOOKUP(P313, 'Bottom-up Tagging Assumptions'!$B$12:$F$39, 5, FALSE)</f>
        <v>#Science &amp; tech(100)</v>
      </c>
      <c r="W313" s="112" t="str">
        <f>VLOOKUP(B313, 'Companies covered restructured'!$B$7:$K$470, 7, FALSE)</f>
        <v>#Field/Animal Herd(100)</v>
      </c>
      <c r="X313" s="112" t="s">
        <v>10558</v>
      </c>
      <c r="Y313" s="212" t="str">
        <f>VLOOKUP(P313, 'Bottom-up Tagging Assumptions'!$B$12:$C$56, 2, FALSE)</f>
        <v>#Other Economic(P); #Productivity(S)</v>
      </c>
      <c r="Z313" s="112" t="str">
        <f>VLOOKUP(P313, 'Bottom-up Tagging Assumptions'!$B$12:$F$56, 3, FALSE)</f>
        <v>#Increasing output per unit input(P); #Increasing crop or animal yield(S)</v>
      </c>
      <c r="AA313" s="112" t="str">
        <f>VLOOKUP(P313, 'Bottom-up Tagging Assumptions'!$B$12:$F$56, 4, FALSE)</f>
        <v>#Level 1(100)</v>
      </c>
      <c r="AB313" s="110"/>
      <c r="AC313" s="110" t="s">
        <v>957</v>
      </c>
      <c r="AD313" s="110" t="s">
        <v>45</v>
      </c>
      <c r="AE313" s="110" t="str">
        <f>VLOOKUP(AD313,  '1.2'!$B$7:$C$2033, 2, FALSE)</f>
        <v>ANGEL</v>
      </c>
      <c r="AF313" s="112">
        <v>9059375</v>
      </c>
      <c r="AG313" s="110" t="s">
        <v>884</v>
      </c>
      <c r="AH313" s="121">
        <f t="shared" si="143"/>
        <v>0</v>
      </c>
      <c r="AI313" s="121">
        <f t="shared" si="144"/>
        <v>1</v>
      </c>
      <c r="AJ313" s="121">
        <f t="shared" si="145"/>
        <v>1</v>
      </c>
      <c r="AK313" s="121">
        <f t="shared" si="146"/>
        <v>0</v>
      </c>
      <c r="AL313" s="121">
        <f t="shared" si="147"/>
        <v>0</v>
      </c>
      <c r="AM313" s="121">
        <f t="shared" si="148"/>
        <v>0</v>
      </c>
      <c r="AN313" s="121">
        <f t="shared" si="149"/>
        <v>0</v>
      </c>
      <c r="AO313" s="121">
        <f t="shared" si="150"/>
        <v>0</v>
      </c>
      <c r="AP313" s="22">
        <f t="shared" si="151"/>
        <v>0</v>
      </c>
      <c r="AQ313" s="22">
        <f t="shared" si="152"/>
        <v>0</v>
      </c>
      <c r="AR313" s="22">
        <f t="shared" si="153"/>
        <v>0</v>
      </c>
      <c r="AS313" s="121" t="str">
        <f t="shared" si="154"/>
        <v>Crops</v>
      </c>
      <c r="AT313" s="121" t="str">
        <f t="shared" si="175"/>
        <v xml:space="preserve"> </v>
      </c>
      <c r="AU313" s="121" t="str">
        <f t="shared" si="175"/>
        <v xml:space="preserve"> </v>
      </c>
      <c r="AV313" s="121" t="str">
        <f t="shared" si="175"/>
        <v xml:space="preserve"> </v>
      </c>
      <c r="AW313" s="130" t="str">
        <f t="shared" si="176"/>
        <v>100</v>
      </c>
      <c r="AX313" s="130" t="str">
        <f t="shared" si="176"/>
        <v xml:space="preserve"> </v>
      </c>
      <c r="AY313" s="130" t="str">
        <f t="shared" si="176"/>
        <v xml:space="preserve"> </v>
      </c>
      <c r="AZ313" s="130" t="str">
        <f t="shared" si="176"/>
        <v xml:space="preserve"> </v>
      </c>
      <c r="BA313" s="121">
        <f t="shared" si="155"/>
        <v>418910.14269101829</v>
      </c>
      <c r="BB313" s="121">
        <f t="shared" si="156"/>
        <v>0</v>
      </c>
      <c r="BC313" s="121">
        <f t="shared" si="157"/>
        <v>0</v>
      </c>
      <c r="BD313" s="121">
        <f t="shared" si="158"/>
        <v>0</v>
      </c>
      <c r="BE313" s="121">
        <f t="shared" si="159"/>
        <v>0</v>
      </c>
      <c r="BF313" s="121">
        <f t="shared" si="160"/>
        <v>0</v>
      </c>
      <c r="BG313" s="121">
        <f t="shared" si="161"/>
        <v>0</v>
      </c>
      <c r="BH313" s="121">
        <f t="shared" si="162"/>
        <v>0</v>
      </c>
      <c r="BI313" s="121">
        <f t="shared" si="163"/>
        <v>0</v>
      </c>
      <c r="BJ313" s="121">
        <f t="shared" si="164"/>
        <v>0</v>
      </c>
      <c r="BK313" s="121">
        <f t="shared" si="165"/>
        <v>0</v>
      </c>
      <c r="BL313" s="121">
        <f t="shared" si="166"/>
        <v>0</v>
      </c>
      <c r="BM313" s="121">
        <f t="shared" si="167"/>
        <v>0</v>
      </c>
      <c r="BN313" s="121">
        <f t="shared" si="168"/>
        <v>0</v>
      </c>
      <c r="BO313" s="121">
        <f t="shared" si="169"/>
        <v>0</v>
      </c>
      <c r="BP313" s="121">
        <f t="shared" si="170"/>
        <v>0</v>
      </c>
      <c r="BQ313" s="199">
        <f>INDEX('GDP deflators'!$C$6:$M$36,MATCH('Bottom-up tagging'!$D313,'GDP deflators'!$B$6:$B$36,),MATCH('Bottom-up tagging'!$E313,'GDP deflators'!$C$5:$L$5,))/100</f>
        <v>1.5094883975306472</v>
      </c>
      <c r="BR313" s="24">
        <v>632340</v>
      </c>
    </row>
    <row r="314" spans="2:70" ht="26.15" hidden="1" customHeight="1">
      <c r="B314" s="110" t="s">
        <v>1639</v>
      </c>
      <c r="C314" s="110" t="s">
        <v>1643</v>
      </c>
      <c r="D314" s="110" t="s">
        <v>5208</v>
      </c>
      <c r="E314" s="103">
        <v>2018</v>
      </c>
      <c r="F314" s="108" t="s">
        <v>7511</v>
      </c>
      <c r="G314" s="111" t="s">
        <v>34</v>
      </c>
      <c r="H314" s="110" t="s">
        <v>10451</v>
      </c>
      <c r="I314" s="112">
        <f>IF(Dashboard!$B$16="Current USD",'Bottom-up tagging'!BR314,'Bottom-up tagging'!BR314/'Bottom-up tagging'!BQ314)</f>
        <v>372031.17334482062</v>
      </c>
      <c r="J314" s="118" t="s">
        <v>10474</v>
      </c>
      <c r="K314" s="112"/>
      <c r="L314" s="135">
        <v>1</v>
      </c>
      <c r="M314" s="135">
        <v>1</v>
      </c>
      <c r="N314" s="112"/>
      <c r="O314" s="112"/>
      <c r="P314" s="112" t="str">
        <f>VLOOKUP(B314, 'Companies covered restructured'!$B$7:$K$470, 9, FALSE)</f>
        <v>Agri marketplaces</v>
      </c>
      <c r="Q314" s="112" t="str">
        <f>VLOOKUP(B314, 'Companies covered restructured'!$B$7:$K$470, 6, FALSE)</f>
        <v>#Crops(100)</v>
      </c>
      <c r="R314" s="112" t="str">
        <f t="shared" si="142"/>
        <v>N/A</v>
      </c>
      <c r="S314" s="112" t="s">
        <v>11003</v>
      </c>
      <c r="T314" s="112" t="s">
        <v>10466</v>
      </c>
      <c r="U314" s="103" t="s">
        <v>10970</v>
      </c>
      <c r="V314" s="112" t="str">
        <f>VLOOKUP(P314, 'Bottom-up Tagging Assumptions'!$B$12:$F$39, 5, FALSE)</f>
        <v>#Process Innovation(100)</v>
      </c>
      <c r="W314" s="112" t="str">
        <f>VLOOKUP(B314, 'Companies covered restructured'!$B$7:$K$470, 7, FALSE)</f>
        <v>#Farm/Household(100)</v>
      </c>
      <c r="X314" s="112" t="s">
        <v>10558</v>
      </c>
      <c r="Y314" s="212" t="str">
        <f>VLOOKUP(P314, 'Bottom-up Tagging Assumptions'!$B$12:$C$56, 2, FALSE)</f>
        <v>#Other Economic(P); Social(S)</v>
      </c>
      <c r="Z314" s="112" t="str">
        <f>VLOOKUP(P314, 'Bottom-up Tagging Assumptions'!$B$12:$F$56, 3, FALSE)</f>
        <v>#Improve price realization(P)</v>
      </c>
      <c r="AA314" s="112" t="str">
        <f>VLOOKUP(P314, 'Bottom-up Tagging Assumptions'!$B$12:$F$56, 4, FALSE)</f>
        <v>#Level 4(100)</v>
      </c>
      <c r="AB314" s="110" t="s">
        <v>1641</v>
      </c>
      <c r="AC314" s="110"/>
      <c r="AD314" s="110"/>
      <c r="AE314" s="110" t="s">
        <v>10558</v>
      </c>
      <c r="AF314" s="112"/>
      <c r="AG314" s="110" t="s">
        <v>2294</v>
      </c>
      <c r="AH314" s="121">
        <f t="shared" si="143"/>
        <v>0</v>
      </c>
      <c r="AI314" s="121">
        <f t="shared" si="144"/>
        <v>0</v>
      </c>
      <c r="AJ314" s="121">
        <f t="shared" si="145"/>
        <v>1</v>
      </c>
      <c r="AK314" s="121">
        <f t="shared" si="146"/>
        <v>1</v>
      </c>
      <c r="AL314" s="121">
        <f t="shared" si="147"/>
        <v>0</v>
      </c>
      <c r="AM314" s="121">
        <f t="shared" si="148"/>
        <v>0</v>
      </c>
      <c r="AN314" s="121">
        <f t="shared" si="149"/>
        <v>1</v>
      </c>
      <c r="AO314" s="121">
        <f t="shared" si="150"/>
        <v>0</v>
      </c>
      <c r="AP314" s="22">
        <f t="shared" si="151"/>
        <v>0</v>
      </c>
      <c r="AQ314" s="22">
        <f t="shared" si="152"/>
        <v>372031.17334482062</v>
      </c>
      <c r="AR314" s="22">
        <f t="shared" si="153"/>
        <v>0</v>
      </c>
      <c r="AS314" s="121" t="str">
        <f t="shared" si="154"/>
        <v>Crops</v>
      </c>
      <c r="AT314" s="121" t="str">
        <f t="shared" si="175"/>
        <v xml:space="preserve"> </v>
      </c>
      <c r="AU314" s="121" t="str">
        <f t="shared" si="175"/>
        <v xml:space="preserve"> </v>
      </c>
      <c r="AV314" s="121" t="str">
        <f t="shared" si="175"/>
        <v xml:space="preserve"> </v>
      </c>
      <c r="AW314" s="130" t="str">
        <f t="shared" si="176"/>
        <v>100</v>
      </c>
      <c r="AX314" s="130" t="str">
        <f t="shared" si="176"/>
        <v xml:space="preserve"> </v>
      </c>
      <c r="AY314" s="130" t="str">
        <f t="shared" si="176"/>
        <v xml:space="preserve"> </v>
      </c>
      <c r="AZ314" s="130" t="str">
        <f t="shared" si="176"/>
        <v xml:space="preserve"> </v>
      </c>
      <c r="BA314" s="121">
        <f t="shared" si="155"/>
        <v>372031.17334482056</v>
      </c>
      <c r="BB314" s="121">
        <f t="shared" si="156"/>
        <v>0</v>
      </c>
      <c r="BC314" s="121">
        <f t="shared" si="157"/>
        <v>0</v>
      </c>
      <c r="BD314" s="121">
        <f t="shared" si="158"/>
        <v>0</v>
      </c>
      <c r="BE314" s="121">
        <f t="shared" si="159"/>
        <v>0</v>
      </c>
      <c r="BF314" s="121">
        <f t="shared" si="160"/>
        <v>0</v>
      </c>
      <c r="BG314" s="121">
        <f t="shared" si="161"/>
        <v>0</v>
      </c>
      <c r="BH314" s="121">
        <f t="shared" si="162"/>
        <v>0</v>
      </c>
      <c r="BI314" s="121">
        <f t="shared" si="163"/>
        <v>372031.17334482056</v>
      </c>
      <c r="BJ314" s="121">
        <f t="shared" si="164"/>
        <v>372031.17334482062</v>
      </c>
      <c r="BK314" s="121">
        <f t="shared" si="165"/>
        <v>372031.17334482062</v>
      </c>
      <c r="BL314" s="121">
        <f t="shared" si="166"/>
        <v>372031.17334482062</v>
      </c>
      <c r="BM314" s="121">
        <f t="shared" si="167"/>
        <v>0</v>
      </c>
      <c r="BN314" s="121">
        <f t="shared" si="168"/>
        <v>0</v>
      </c>
      <c r="BO314" s="121">
        <f t="shared" si="169"/>
        <v>0</v>
      </c>
      <c r="BP314" s="121">
        <f t="shared" si="170"/>
        <v>0</v>
      </c>
      <c r="BQ314" s="199">
        <f>INDEX('GDP deflators'!$C$6:$M$36,MATCH('Bottom-up tagging'!$D314,'GDP deflators'!$B$6:$B$36,),MATCH('Bottom-up tagging'!$E314,'GDP deflators'!$C$5:$L$5,))/100</f>
        <v>1.6873424728259787</v>
      </c>
      <c r="BR314" s="24">
        <v>627744</v>
      </c>
    </row>
    <row r="315" spans="2:70" ht="26.15" customHeight="1">
      <c r="B315" s="110" t="s">
        <v>1196</v>
      </c>
      <c r="C315" s="110" t="s">
        <v>389</v>
      </c>
      <c r="D315" s="110" t="s">
        <v>5391</v>
      </c>
      <c r="E315" s="103">
        <v>2018</v>
      </c>
      <c r="F315" s="108" t="s">
        <v>6021</v>
      </c>
      <c r="G315" s="111" t="s">
        <v>34</v>
      </c>
      <c r="H315" s="110" t="s">
        <v>10451</v>
      </c>
      <c r="I315" s="112">
        <f>IF(Dashboard!$B$16="Current USD",'Bottom-up tagging'!BR315,'Bottom-up tagging'!BR315/'Bottom-up tagging'!BQ315)</f>
        <v>344973.34170998301</v>
      </c>
      <c r="J315" s="118" t="s">
        <v>10474</v>
      </c>
      <c r="K315" s="112"/>
      <c r="L315" s="135">
        <v>1</v>
      </c>
      <c r="M315" s="135">
        <v>1</v>
      </c>
      <c r="N315" s="112"/>
      <c r="O315" s="112"/>
      <c r="P315" s="112" t="str">
        <f>VLOOKUP(B315, 'Companies covered restructured'!$B$7:$K$470, 9, FALSE)</f>
        <v>Farmer financing services</v>
      </c>
      <c r="Q315" s="112" t="str">
        <f>VLOOKUP(B315, 'Companies covered restructured'!$B$7:$K$470, 6, FALSE)</f>
        <v>#Crops(100)</v>
      </c>
      <c r="R315" s="112" t="str">
        <f t="shared" si="142"/>
        <v>#Investment Fund(100)</v>
      </c>
      <c r="S315" s="112" t="s">
        <v>11003</v>
      </c>
      <c r="T315" s="112" t="s">
        <v>10466</v>
      </c>
      <c r="U315" s="103" t="s">
        <v>10970</v>
      </c>
      <c r="V315" s="112" t="str">
        <f>VLOOKUP(P315, 'Bottom-up Tagging Assumptions'!$B$12:$F$39, 5, FALSE)</f>
        <v>#Process Innovation(100)</v>
      </c>
      <c r="W315" s="112" t="str">
        <f>VLOOKUP(B315, 'Companies covered restructured'!$B$7:$K$470, 7, FALSE)</f>
        <v>#Field/Animal Herd(100)</v>
      </c>
      <c r="X315" s="112" t="s">
        <v>10558</v>
      </c>
      <c r="Y315" s="212" t="str">
        <f>VLOOKUP(P315, 'Bottom-up Tagging Assumptions'!$B$12:$C$56, 2, FALSE)</f>
        <v>#Other Economic(P); Social(S)</v>
      </c>
      <c r="Z315" s="112" t="str">
        <f>VLOOKUP(P315, 'Bottom-up Tagging Assumptions'!$B$12:$F$56, 3, FALSE)</f>
        <v>NA</v>
      </c>
      <c r="AA315" s="112" t="str">
        <f>VLOOKUP(P315, 'Bottom-up Tagging Assumptions'!$B$12:$F$56, 4, FALSE)</f>
        <v>#Level 1(100)</v>
      </c>
      <c r="AB315" s="110" t="s">
        <v>1537</v>
      </c>
      <c r="AC315" s="110"/>
      <c r="AD315" s="110" t="s">
        <v>1538</v>
      </c>
      <c r="AE315" s="110" t="str">
        <f>VLOOKUP(AD315,  '1.2'!$B$7:$C$2033, 2, FALSE)</f>
        <v>FUND</v>
      </c>
      <c r="AF315" s="112"/>
      <c r="AG315" s="110" t="s">
        <v>1734</v>
      </c>
      <c r="AH315" s="121">
        <f t="shared" si="143"/>
        <v>0</v>
      </c>
      <c r="AI315" s="121">
        <f t="shared" si="144"/>
        <v>0</v>
      </c>
      <c r="AJ315" s="121">
        <f t="shared" si="145"/>
        <v>1</v>
      </c>
      <c r="AK315" s="121">
        <f t="shared" si="146"/>
        <v>1</v>
      </c>
      <c r="AL315" s="121">
        <f t="shared" si="147"/>
        <v>0</v>
      </c>
      <c r="AM315" s="121">
        <f t="shared" si="148"/>
        <v>0</v>
      </c>
      <c r="AN315" s="121">
        <f t="shared" si="149"/>
        <v>1</v>
      </c>
      <c r="AO315" s="121">
        <f t="shared" si="150"/>
        <v>0</v>
      </c>
      <c r="AP315" s="22">
        <f t="shared" si="151"/>
        <v>0</v>
      </c>
      <c r="AQ315" s="22">
        <f t="shared" si="152"/>
        <v>344973.34170998301</v>
      </c>
      <c r="AR315" s="22">
        <f t="shared" si="153"/>
        <v>0</v>
      </c>
      <c r="AS315" s="121" t="str">
        <f t="shared" si="154"/>
        <v>Crops</v>
      </c>
      <c r="AT315" s="121" t="str">
        <f t="shared" si="175"/>
        <v xml:space="preserve"> </v>
      </c>
      <c r="AU315" s="121" t="str">
        <f t="shared" si="175"/>
        <v xml:space="preserve"> </v>
      </c>
      <c r="AV315" s="121" t="str">
        <f t="shared" si="175"/>
        <v xml:space="preserve"> </v>
      </c>
      <c r="AW315" s="130" t="str">
        <f t="shared" si="176"/>
        <v>100</v>
      </c>
      <c r="AX315" s="130" t="str">
        <f t="shared" si="176"/>
        <v xml:space="preserve"> </v>
      </c>
      <c r="AY315" s="130" t="str">
        <f t="shared" si="176"/>
        <v xml:space="preserve"> </v>
      </c>
      <c r="AZ315" s="130" t="str">
        <f t="shared" si="176"/>
        <v xml:space="preserve"> </v>
      </c>
      <c r="BA315" s="121">
        <f t="shared" si="155"/>
        <v>344973.34170998295</v>
      </c>
      <c r="BB315" s="121">
        <f t="shared" si="156"/>
        <v>0</v>
      </c>
      <c r="BC315" s="121">
        <f t="shared" si="157"/>
        <v>0</v>
      </c>
      <c r="BD315" s="121">
        <f t="shared" si="158"/>
        <v>0</v>
      </c>
      <c r="BE315" s="121">
        <f t="shared" si="159"/>
        <v>0</v>
      </c>
      <c r="BF315" s="121">
        <f t="shared" si="160"/>
        <v>0</v>
      </c>
      <c r="BG315" s="121">
        <f t="shared" si="161"/>
        <v>0</v>
      </c>
      <c r="BH315" s="121">
        <f t="shared" si="162"/>
        <v>0</v>
      </c>
      <c r="BI315" s="121">
        <f t="shared" si="163"/>
        <v>344973.34170998295</v>
      </c>
      <c r="BJ315" s="121">
        <f t="shared" si="164"/>
        <v>344973.34170998301</v>
      </c>
      <c r="BK315" s="121">
        <f t="shared" si="165"/>
        <v>344973.34170998301</v>
      </c>
      <c r="BL315" s="121">
        <f t="shared" si="166"/>
        <v>344973.34170998301</v>
      </c>
      <c r="BM315" s="121">
        <f t="shared" si="167"/>
        <v>0</v>
      </c>
      <c r="BN315" s="121">
        <f t="shared" si="168"/>
        <v>0</v>
      </c>
      <c r="BO315" s="121">
        <f t="shared" si="169"/>
        <v>0</v>
      </c>
      <c r="BP315" s="121">
        <f t="shared" si="170"/>
        <v>0</v>
      </c>
      <c r="BQ315" s="199">
        <f>INDEX('GDP deflators'!$C$6:$M$36,MATCH('Bottom-up tagging'!$D315,'GDP deflators'!$B$6:$B$36,),MATCH('Bottom-up tagging'!$E315,'GDP deflators'!$C$5:$L$5,))/100</f>
        <v>1.8175317457634599</v>
      </c>
      <c r="BR315" s="24">
        <v>627000</v>
      </c>
    </row>
    <row r="316" spans="2:70" ht="26.15" hidden="1" customHeight="1">
      <c r="B316" s="110" t="s">
        <v>110</v>
      </c>
      <c r="C316" s="110" t="s">
        <v>114</v>
      </c>
      <c r="D316" s="110" t="s">
        <v>3994</v>
      </c>
      <c r="E316" s="103">
        <v>2017</v>
      </c>
      <c r="F316" s="108" t="s">
        <v>8302</v>
      </c>
      <c r="G316" s="111" t="s">
        <v>34</v>
      </c>
      <c r="H316" s="110" t="s">
        <v>10451</v>
      </c>
      <c r="I316" s="112">
        <f>IF(Dashboard!$B$16="Current USD",'Bottom-up tagging'!BR316,'Bottom-up tagging'!BR316/'Bottom-up tagging'!BQ316)</f>
        <v>442897.4970897754</v>
      </c>
      <c r="J316" s="117" t="s">
        <v>10474</v>
      </c>
      <c r="K316" s="112"/>
      <c r="L316" s="135">
        <v>1</v>
      </c>
      <c r="M316" s="135">
        <v>1</v>
      </c>
      <c r="N316" s="112"/>
      <c r="O316" s="112"/>
      <c r="P316" s="112" t="str">
        <f>VLOOKUP(B316, 'Companies covered restructured'!$B$7:$K$470, 9, FALSE)</f>
        <v>Supply chain technologies</v>
      </c>
      <c r="Q316" s="112" t="str">
        <f>VLOOKUP(B316, 'Companies covered restructured'!$B$7:$K$470, 6, FALSE)</f>
        <v>#Crops(100)</v>
      </c>
      <c r="R316" s="112" t="str">
        <f t="shared" si="142"/>
        <v>#Investment Fund(100)</v>
      </c>
      <c r="S316" s="112" t="s">
        <v>11003</v>
      </c>
      <c r="T316" s="112" t="s">
        <v>10466</v>
      </c>
      <c r="U316" s="103" t="s">
        <v>10970</v>
      </c>
      <c r="V316" s="112" t="str">
        <f>VLOOKUP(P316, 'Bottom-up Tagging Assumptions'!$B$12:$F$39, 5, FALSE)</f>
        <v>#Process Innovation(100)</v>
      </c>
      <c r="W316" s="112" t="str">
        <f>VLOOKUP(B316, 'Companies covered restructured'!$B$7:$K$470, 7, FALSE)</f>
        <v>#Farm/Household(100)</v>
      </c>
      <c r="X316" s="112" t="s">
        <v>10558</v>
      </c>
      <c r="Y316" s="212" t="str">
        <f>VLOOKUP(P316, 'Bottom-up Tagging Assumptions'!$B$12:$C$56, 2, FALSE)</f>
        <v>#Other Economic(P); Social(S)</v>
      </c>
      <c r="Z316" s="112" t="str">
        <f>VLOOKUP(P316, 'Bottom-up Tagging Assumptions'!$B$12:$F$56, 3, FALSE)</f>
        <v>#Improve price realization(P)</v>
      </c>
      <c r="AA316" s="112" t="str">
        <f>VLOOKUP(P316, 'Bottom-up Tagging Assumptions'!$B$12:$F$56, 4, FALSE)</f>
        <v>#Level 3(100)</v>
      </c>
      <c r="AB316" s="110" t="s">
        <v>483</v>
      </c>
      <c r="AC316" s="110"/>
      <c r="AD316" s="110" t="s">
        <v>484</v>
      </c>
      <c r="AE316" s="110" t="str">
        <f>VLOOKUP(AD316,  '1.2'!$B$7:$C$2033, 2, FALSE)</f>
        <v>FUND</v>
      </c>
      <c r="AF316" s="112">
        <v>46450000</v>
      </c>
      <c r="AG316" s="110" t="s">
        <v>476</v>
      </c>
      <c r="AH316" s="121">
        <f t="shared" si="143"/>
        <v>0</v>
      </c>
      <c r="AI316" s="121">
        <f t="shared" si="144"/>
        <v>0</v>
      </c>
      <c r="AJ316" s="121">
        <f t="shared" si="145"/>
        <v>1</v>
      </c>
      <c r="AK316" s="121">
        <f t="shared" si="146"/>
        <v>1</v>
      </c>
      <c r="AL316" s="121">
        <f t="shared" si="147"/>
        <v>0</v>
      </c>
      <c r="AM316" s="121">
        <f t="shared" si="148"/>
        <v>0</v>
      </c>
      <c r="AN316" s="121">
        <f t="shared" si="149"/>
        <v>1</v>
      </c>
      <c r="AO316" s="121">
        <f t="shared" si="150"/>
        <v>0</v>
      </c>
      <c r="AP316" s="22">
        <f t="shared" si="151"/>
        <v>0</v>
      </c>
      <c r="AQ316" s="22">
        <f t="shared" si="152"/>
        <v>442897.4970897754</v>
      </c>
      <c r="AR316" s="22">
        <f t="shared" si="153"/>
        <v>0</v>
      </c>
      <c r="AS316" s="121" t="str">
        <f t="shared" si="154"/>
        <v>Crops</v>
      </c>
      <c r="AT316" s="121" t="str">
        <f t="shared" si="175"/>
        <v xml:space="preserve"> </v>
      </c>
      <c r="AU316" s="121" t="str">
        <f t="shared" si="175"/>
        <v xml:space="preserve"> </v>
      </c>
      <c r="AV316" s="121" t="str">
        <f t="shared" si="175"/>
        <v xml:space="preserve"> </v>
      </c>
      <c r="AW316" s="130" t="str">
        <f t="shared" si="176"/>
        <v>100</v>
      </c>
      <c r="AX316" s="130" t="str">
        <f t="shared" si="176"/>
        <v xml:space="preserve"> </v>
      </c>
      <c r="AY316" s="130" t="str">
        <f t="shared" si="176"/>
        <v xml:space="preserve"> </v>
      </c>
      <c r="AZ316" s="130" t="str">
        <f t="shared" si="176"/>
        <v xml:space="preserve"> </v>
      </c>
      <c r="BA316" s="121">
        <f t="shared" si="155"/>
        <v>442897.49708977545</v>
      </c>
      <c r="BB316" s="121">
        <f t="shared" si="156"/>
        <v>0</v>
      </c>
      <c r="BC316" s="121">
        <f t="shared" si="157"/>
        <v>0</v>
      </c>
      <c r="BD316" s="121">
        <f t="shared" si="158"/>
        <v>0</v>
      </c>
      <c r="BE316" s="121">
        <f t="shared" si="159"/>
        <v>0</v>
      </c>
      <c r="BF316" s="121">
        <f t="shared" si="160"/>
        <v>0</v>
      </c>
      <c r="BG316" s="121">
        <f t="shared" si="161"/>
        <v>0</v>
      </c>
      <c r="BH316" s="121">
        <f t="shared" si="162"/>
        <v>0</v>
      </c>
      <c r="BI316" s="121">
        <f t="shared" si="163"/>
        <v>442897.49708977545</v>
      </c>
      <c r="BJ316" s="121">
        <f t="shared" si="164"/>
        <v>442897.4970897754</v>
      </c>
      <c r="BK316" s="121">
        <f t="shared" si="165"/>
        <v>442897.4970897754</v>
      </c>
      <c r="BL316" s="121">
        <f t="shared" si="166"/>
        <v>442897.4970897754</v>
      </c>
      <c r="BM316" s="121">
        <f t="shared" si="167"/>
        <v>0</v>
      </c>
      <c r="BN316" s="121">
        <f t="shared" si="168"/>
        <v>0</v>
      </c>
      <c r="BO316" s="121">
        <f t="shared" si="169"/>
        <v>0</v>
      </c>
      <c r="BP316" s="121">
        <f t="shared" si="170"/>
        <v>0</v>
      </c>
      <c r="BQ316" s="199">
        <f>INDEX('GDP deflators'!$C$6:$M$36,MATCH('Bottom-up tagging'!$D316,'GDP deflators'!$B$6:$B$36,),MATCH('Bottom-up tagging'!$E316,'GDP deflators'!$C$5:$L$5,))/100</f>
        <v>1.4111098032990623</v>
      </c>
      <c r="BR316" s="24">
        <v>624977</v>
      </c>
    </row>
    <row r="317" spans="2:70" ht="26.15" hidden="1" customHeight="1">
      <c r="B317" s="110" t="s">
        <v>1500</v>
      </c>
      <c r="C317" s="110" t="s">
        <v>1503</v>
      </c>
      <c r="D317" s="110" t="s">
        <v>3994</v>
      </c>
      <c r="E317" s="103">
        <v>2018</v>
      </c>
      <c r="F317" s="108" t="s">
        <v>8610</v>
      </c>
      <c r="G317" s="111" t="s">
        <v>34</v>
      </c>
      <c r="H317" s="110" t="s">
        <v>10451</v>
      </c>
      <c r="I317" s="112">
        <f>IF(Dashboard!$B$16="Current USD",'Bottom-up tagging'!BR317,'Bottom-up tagging'!BR317/'Bottom-up tagging'!BQ317)</f>
        <v>414753.07089643111</v>
      </c>
      <c r="J317" s="117" t="s">
        <v>10474</v>
      </c>
      <c r="K317" s="112"/>
      <c r="L317" s="135">
        <v>1</v>
      </c>
      <c r="M317" s="135">
        <v>1</v>
      </c>
      <c r="N317" s="112"/>
      <c r="O317" s="112"/>
      <c r="P317" s="112" t="str">
        <f>VLOOKUP(B317, 'Companies covered restructured'!$B$7:$K$470, 9, FALSE)</f>
        <v>AI/analytics based advisory algorithms (incl. weather)</v>
      </c>
      <c r="Q317" s="112" t="str">
        <f>VLOOKUP(B317, 'Companies covered restructured'!$B$7:$K$470, 6, FALSE)</f>
        <v>#Cross-cutting(100)</v>
      </c>
      <c r="R317" s="112" t="str">
        <f t="shared" si="142"/>
        <v>#Corporate(100)</v>
      </c>
      <c r="S317" s="112" t="s">
        <v>11003</v>
      </c>
      <c r="T317" s="112" t="s">
        <v>10466</v>
      </c>
      <c r="U317" s="103" t="s">
        <v>10970</v>
      </c>
      <c r="V317" s="112" t="str">
        <f>VLOOKUP(P317, 'Bottom-up Tagging Assumptions'!$B$12:$F$39, 5, FALSE)</f>
        <v>#Science &amp; tech(100)</v>
      </c>
      <c r="W317" s="112" t="str">
        <f>VLOOKUP(B317, 'Companies covered restructured'!$B$7:$K$470, 7, FALSE)</f>
        <v>N/A</v>
      </c>
      <c r="X317" s="112" t="str">
        <f>VLOOKUP(B317, 'Companies covered restructured'!$B$7:$K$470, 8, FALSE)</f>
        <v>N/A</v>
      </c>
      <c r="Y317" s="212" t="str">
        <f>VLOOKUP(P317, 'Bottom-up Tagging Assumptions'!$B$12:$C$56, 2, FALSE)</f>
        <v>#Other Economic(P); #Productivity(S)</v>
      </c>
      <c r="Z317" s="112" t="str">
        <f>VLOOKUP(P317, 'Bottom-up Tagging Assumptions'!$B$12:$F$56, 3, FALSE)</f>
        <v>#Increasing output per unit input(P); #Increasing crop or animal yield(S)</v>
      </c>
      <c r="AA317" s="112" t="str">
        <f>VLOOKUP(P317, 'Bottom-up Tagging Assumptions'!$B$12:$F$56, 4, FALSE)</f>
        <v>#Level 1(100)</v>
      </c>
      <c r="AB317" s="110" t="s">
        <v>1502</v>
      </c>
      <c r="AC317" s="110"/>
      <c r="AD317" s="110" t="s">
        <v>1407</v>
      </c>
      <c r="AE317" s="110" t="str">
        <f>VLOOKUP(AD317,  '1.2'!$B$7:$C$2033, 2, FALSE)</f>
        <v>CORPORATE_INVESTOR</v>
      </c>
      <c r="AF317" s="112">
        <v>300000</v>
      </c>
      <c r="AG317" s="110" t="s">
        <v>2304</v>
      </c>
      <c r="AH317" s="121">
        <f t="shared" si="143"/>
        <v>0</v>
      </c>
      <c r="AI317" s="121">
        <f t="shared" si="144"/>
        <v>1</v>
      </c>
      <c r="AJ317" s="121">
        <f t="shared" si="145"/>
        <v>1</v>
      </c>
      <c r="AK317" s="121">
        <f t="shared" si="146"/>
        <v>0</v>
      </c>
      <c r="AL317" s="121">
        <f t="shared" si="147"/>
        <v>0</v>
      </c>
      <c r="AM317" s="121">
        <f t="shared" si="148"/>
        <v>0</v>
      </c>
      <c r="AN317" s="121">
        <f t="shared" si="149"/>
        <v>0</v>
      </c>
      <c r="AO317" s="121">
        <f t="shared" si="150"/>
        <v>0</v>
      </c>
      <c r="AP317" s="22">
        <f t="shared" si="151"/>
        <v>0</v>
      </c>
      <c r="AQ317" s="22">
        <f t="shared" si="152"/>
        <v>0</v>
      </c>
      <c r="AR317" s="22">
        <f t="shared" si="153"/>
        <v>0</v>
      </c>
      <c r="AS317" s="121" t="str">
        <f t="shared" si="154"/>
        <v>Cross-cutting</v>
      </c>
      <c r="AT317" s="121" t="str">
        <f t="shared" si="175"/>
        <v xml:space="preserve"> </v>
      </c>
      <c r="AU317" s="121" t="str">
        <f t="shared" si="175"/>
        <v xml:space="preserve"> </v>
      </c>
      <c r="AV317" s="121" t="str">
        <f t="shared" si="175"/>
        <v xml:space="preserve"> </v>
      </c>
      <c r="AW317" s="130" t="str">
        <f t="shared" si="176"/>
        <v>100</v>
      </c>
      <c r="AX317" s="130" t="str">
        <f t="shared" si="176"/>
        <v xml:space="preserve"> </v>
      </c>
      <c r="AY317" s="130" t="str">
        <f t="shared" si="176"/>
        <v xml:space="preserve"> </v>
      </c>
      <c r="AZ317" s="130" t="str">
        <f t="shared" si="176"/>
        <v xml:space="preserve"> </v>
      </c>
      <c r="BA317" s="121">
        <f t="shared" si="155"/>
        <v>414753.07089643111</v>
      </c>
      <c r="BB317" s="121">
        <f t="shared" si="156"/>
        <v>0</v>
      </c>
      <c r="BC317" s="121">
        <f t="shared" si="157"/>
        <v>0</v>
      </c>
      <c r="BD317" s="121">
        <f t="shared" si="158"/>
        <v>0</v>
      </c>
      <c r="BE317" s="121">
        <f t="shared" si="159"/>
        <v>0</v>
      </c>
      <c r="BF317" s="121">
        <f t="shared" si="160"/>
        <v>0</v>
      </c>
      <c r="BG317" s="121">
        <f t="shared" si="161"/>
        <v>0</v>
      </c>
      <c r="BH317" s="121">
        <f t="shared" si="162"/>
        <v>0</v>
      </c>
      <c r="BI317" s="121">
        <f t="shared" si="163"/>
        <v>0</v>
      </c>
      <c r="BJ317" s="121">
        <f t="shared" si="164"/>
        <v>0</v>
      </c>
      <c r="BK317" s="121">
        <f t="shared" si="165"/>
        <v>0</v>
      </c>
      <c r="BL317" s="121">
        <f t="shared" si="166"/>
        <v>0</v>
      </c>
      <c r="BM317" s="121">
        <f t="shared" si="167"/>
        <v>0</v>
      </c>
      <c r="BN317" s="121">
        <f t="shared" si="168"/>
        <v>0</v>
      </c>
      <c r="BO317" s="121">
        <f t="shared" si="169"/>
        <v>0</v>
      </c>
      <c r="BP317" s="121">
        <f t="shared" si="170"/>
        <v>0</v>
      </c>
      <c r="BQ317" s="199">
        <f>INDEX('GDP deflators'!$C$6:$M$36,MATCH('Bottom-up tagging'!$D317,'GDP deflators'!$B$6:$B$36,),MATCH('Bottom-up tagging'!$E317,'GDP deflators'!$C$5:$L$5,))/100</f>
        <v>1.4753935363936217</v>
      </c>
      <c r="BR317" s="24">
        <v>611924</v>
      </c>
    </row>
    <row r="318" spans="2:70" ht="26.15" hidden="1" customHeight="1">
      <c r="B318" s="110" t="s">
        <v>259</v>
      </c>
      <c r="C318" s="110" t="s">
        <v>264</v>
      </c>
      <c r="D318" s="110" t="s">
        <v>3994</v>
      </c>
      <c r="E318" s="103">
        <v>2015</v>
      </c>
      <c r="F318" s="108" t="s">
        <v>7396</v>
      </c>
      <c r="G318" s="111" t="s">
        <v>34</v>
      </c>
      <c r="H318" s="110" t="s">
        <v>10451</v>
      </c>
      <c r="I318" s="112">
        <f>IF(Dashboard!$B$16="Current USD",'Bottom-up tagging'!BR318,'Bottom-up tagging'!BR318/'Bottom-up tagging'!BQ318)</f>
        <v>455549.55584619608</v>
      </c>
      <c r="J318" s="117" t="s">
        <v>10474</v>
      </c>
      <c r="K318" s="112"/>
      <c r="L318" s="135">
        <v>1</v>
      </c>
      <c r="M318" s="135">
        <v>1</v>
      </c>
      <c r="N318" s="112"/>
      <c r="O318" s="112"/>
      <c r="P318" s="112" t="str">
        <f>VLOOKUP(B318, 'Companies covered restructured'!$B$7:$K$470, 9, FALSE)</f>
        <v>Precision agriculture</v>
      </c>
      <c r="Q318" s="112" t="str">
        <f>VLOOKUP(B318, 'Companies covered restructured'!$B$7:$K$470, 6, FALSE)</f>
        <v>#Crops(100)</v>
      </c>
      <c r="R318" s="112" t="str">
        <f t="shared" si="142"/>
        <v>#Investment Fund(100)</v>
      </c>
      <c r="S318" s="112" t="s">
        <v>11003</v>
      </c>
      <c r="T318" s="112" t="s">
        <v>10466</v>
      </c>
      <c r="U318" s="103" t="s">
        <v>10970</v>
      </c>
      <c r="V318" s="112" t="str">
        <f>VLOOKUP(P318, 'Bottom-up Tagging Assumptions'!$B$12:$F$39, 5, FALSE)</f>
        <v>#Science &amp; tech(100)</v>
      </c>
      <c r="W318" s="112" t="str">
        <f>VLOOKUP(B318, 'Companies covered restructured'!$B$7:$K$470, 7, FALSE)</f>
        <v>#Field/Animal Herd(100)</v>
      </c>
      <c r="X318" s="112" t="s">
        <v>10558</v>
      </c>
      <c r="Y318" s="212" t="str">
        <f>VLOOKUP(P318, 'Bottom-up Tagging Assumptions'!$B$12:$C$56, 2, FALSE)</f>
        <v>#Other Economic(P); #Productivity(S)</v>
      </c>
      <c r="Z318" s="112" t="str">
        <f>VLOOKUP(P318, 'Bottom-up Tagging Assumptions'!$B$12:$F$56, 3, FALSE)</f>
        <v>#Increasing output per unit input(P); #Increasing crop or animal yield(S)</v>
      </c>
      <c r="AA318" s="112" t="str">
        <f>VLOOKUP(P318, 'Bottom-up Tagging Assumptions'!$B$12:$F$56, 4, FALSE)</f>
        <v>#Level 1(100)</v>
      </c>
      <c r="AB318" s="110" t="s">
        <v>2665</v>
      </c>
      <c r="AC318" s="110" t="s">
        <v>2666</v>
      </c>
      <c r="AD318" s="110" t="s">
        <v>2667</v>
      </c>
      <c r="AE318" s="110" t="str">
        <f>VLOOKUP(AD318,  '1.2'!$B$7:$C$2033, 2, FALSE)</f>
        <v>FUND</v>
      </c>
      <c r="AF318" s="112"/>
      <c r="AG318" s="110" t="s">
        <v>1993</v>
      </c>
      <c r="AH318" s="121">
        <f t="shared" si="143"/>
        <v>0</v>
      </c>
      <c r="AI318" s="121">
        <f t="shared" si="144"/>
        <v>1</v>
      </c>
      <c r="AJ318" s="121">
        <f t="shared" si="145"/>
        <v>1</v>
      </c>
      <c r="AK318" s="121">
        <f t="shared" si="146"/>
        <v>0</v>
      </c>
      <c r="AL318" s="121">
        <f t="shared" si="147"/>
        <v>0</v>
      </c>
      <c r="AM318" s="121">
        <f t="shared" si="148"/>
        <v>0</v>
      </c>
      <c r="AN318" s="121">
        <f t="shared" si="149"/>
        <v>0</v>
      </c>
      <c r="AO318" s="121">
        <f t="shared" si="150"/>
        <v>0</v>
      </c>
      <c r="AP318" s="22">
        <f t="shared" si="151"/>
        <v>0</v>
      </c>
      <c r="AQ318" s="22">
        <f t="shared" si="152"/>
        <v>0</v>
      </c>
      <c r="AR318" s="22">
        <f t="shared" si="153"/>
        <v>0</v>
      </c>
      <c r="AS318" s="121" t="str">
        <f t="shared" si="154"/>
        <v>Crops</v>
      </c>
      <c r="AT318" s="121" t="str">
        <f t="shared" si="175"/>
        <v xml:space="preserve"> </v>
      </c>
      <c r="AU318" s="121" t="str">
        <f t="shared" si="175"/>
        <v xml:space="preserve"> </v>
      </c>
      <c r="AV318" s="121" t="str">
        <f t="shared" si="175"/>
        <v xml:space="preserve"> </v>
      </c>
      <c r="AW318" s="130" t="str">
        <f t="shared" si="176"/>
        <v>100</v>
      </c>
      <c r="AX318" s="130" t="str">
        <f t="shared" si="176"/>
        <v xml:space="preserve"> </v>
      </c>
      <c r="AY318" s="130" t="str">
        <f t="shared" si="176"/>
        <v xml:space="preserve"> </v>
      </c>
      <c r="AZ318" s="130" t="str">
        <f t="shared" si="176"/>
        <v xml:space="preserve"> </v>
      </c>
      <c r="BA318" s="121">
        <f t="shared" si="155"/>
        <v>455549.55584619602</v>
      </c>
      <c r="BB318" s="121">
        <f t="shared" si="156"/>
        <v>0</v>
      </c>
      <c r="BC318" s="121">
        <f t="shared" si="157"/>
        <v>0</v>
      </c>
      <c r="BD318" s="121">
        <f t="shared" si="158"/>
        <v>0</v>
      </c>
      <c r="BE318" s="121">
        <f t="shared" si="159"/>
        <v>0</v>
      </c>
      <c r="BF318" s="121">
        <f t="shared" si="160"/>
        <v>0</v>
      </c>
      <c r="BG318" s="121">
        <f t="shared" si="161"/>
        <v>0</v>
      </c>
      <c r="BH318" s="121">
        <f t="shared" si="162"/>
        <v>0</v>
      </c>
      <c r="BI318" s="121">
        <f t="shared" si="163"/>
        <v>0</v>
      </c>
      <c r="BJ318" s="121">
        <f t="shared" si="164"/>
        <v>0</v>
      </c>
      <c r="BK318" s="121">
        <f t="shared" si="165"/>
        <v>0</v>
      </c>
      <c r="BL318" s="121">
        <f t="shared" si="166"/>
        <v>0</v>
      </c>
      <c r="BM318" s="121">
        <f t="shared" si="167"/>
        <v>0</v>
      </c>
      <c r="BN318" s="121">
        <f t="shared" si="168"/>
        <v>0</v>
      </c>
      <c r="BO318" s="121">
        <f t="shared" si="169"/>
        <v>0</v>
      </c>
      <c r="BP318" s="121">
        <f t="shared" si="170"/>
        <v>0</v>
      </c>
      <c r="BQ318" s="199">
        <f>INDEX('GDP deflators'!$C$6:$M$36,MATCH('Bottom-up tagging'!$D318,'GDP deflators'!$B$6:$B$36,),MATCH('Bottom-up tagging'!$E318,'GDP deflators'!$C$5:$L$5,))/100</f>
        <v>1.3170905169372478</v>
      </c>
      <c r="BR318" s="24">
        <v>600000</v>
      </c>
    </row>
    <row r="319" spans="2:70" ht="26.15" hidden="1" customHeight="1">
      <c r="B319" s="110" t="s">
        <v>42</v>
      </c>
      <c r="C319" s="110" t="s">
        <v>48</v>
      </c>
      <c r="D319" s="110" t="s">
        <v>3994</v>
      </c>
      <c r="E319" s="103">
        <v>2020</v>
      </c>
      <c r="F319" s="108" t="s">
        <v>6695</v>
      </c>
      <c r="G319" s="111" t="s">
        <v>34</v>
      </c>
      <c r="H319" s="110" t="s">
        <v>10451</v>
      </c>
      <c r="I319" s="212">
        <v>0</v>
      </c>
      <c r="J319" s="117" t="s">
        <v>10474</v>
      </c>
      <c r="K319" s="112"/>
      <c r="L319" s="135">
        <v>1</v>
      </c>
      <c r="M319" s="135">
        <v>1</v>
      </c>
      <c r="N319" s="112"/>
      <c r="O319" s="112"/>
      <c r="P319" s="112" t="str">
        <f>VLOOKUP(B319, 'Companies covered restructured'!$B$7:$K$470, 9, FALSE)</f>
        <v>AI/analytics based advisory algorithms (incl. weather)</v>
      </c>
      <c r="Q319" s="112" t="str">
        <f>VLOOKUP(B319, 'Companies covered restructured'!$B$7:$K$470, 6, FALSE)</f>
        <v>#Crops(100)</v>
      </c>
      <c r="R319" s="112" t="str">
        <f t="shared" si="142"/>
        <v>#Investment Fund(100)</v>
      </c>
      <c r="S319" s="112" t="s">
        <v>11003</v>
      </c>
      <c r="T319" s="112" t="s">
        <v>10466</v>
      </c>
      <c r="U319" s="103" t="s">
        <v>10970</v>
      </c>
      <c r="V319" s="112" t="str">
        <f>VLOOKUP(P319, 'Bottom-up Tagging Assumptions'!$B$12:$F$39, 5, FALSE)</f>
        <v>#Science &amp; tech(100)</v>
      </c>
      <c r="W319" s="112" t="str">
        <f>VLOOKUP(B319, 'Companies covered restructured'!$B$7:$K$470, 7, FALSE)</f>
        <v>#Field/Animal Herd(100)</v>
      </c>
      <c r="X319" s="112" t="s">
        <v>10558</v>
      </c>
      <c r="Y319" s="112" t="str">
        <f>VLOOKUP(P319, '[2]Bottom-up Tagging Assumptions'!$B$12:$F$56, 2, FALSE)</f>
        <v>#Other Economic(P); #Productivity(S)</v>
      </c>
      <c r="Z319" s="112" t="str">
        <f>VLOOKUP(P319, 'Bottom-up Tagging Assumptions'!$B$12:$F$56, 3, FALSE)</f>
        <v>#Increasing output per unit input(P); #Increasing crop or animal yield(S)</v>
      </c>
      <c r="AA319" s="112" t="str">
        <f>VLOOKUP(P319, 'Bottom-up Tagging Assumptions'!$B$12:$F$56, 4, FALSE)</f>
        <v>#Level 1(100)</v>
      </c>
      <c r="AB319" s="110" t="s">
        <v>608</v>
      </c>
      <c r="AC319" s="110"/>
      <c r="AD319" s="110" t="s">
        <v>609</v>
      </c>
      <c r="AE319" s="110" t="str">
        <f>VLOOKUP(AD319,  '1.2'!$B$7:$C$2033, 2, FALSE)</f>
        <v>FUND</v>
      </c>
      <c r="AF319" s="112">
        <v>2257449</v>
      </c>
      <c r="AG319" s="110" t="s">
        <v>1691</v>
      </c>
      <c r="AH319" s="121">
        <f t="shared" si="143"/>
        <v>0</v>
      </c>
      <c r="AI319" s="121">
        <f t="shared" si="144"/>
        <v>1</v>
      </c>
      <c r="AJ319" s="121">
        <f t="shared" si="145"/>
        <v>1</v>
      </c>
      <c r="AK319" s="121">
        <f t="shared" si="146"/>
        <v>0</v>
      </c>
      <c r="AL319" s="121">
        <f t="shared" si="147"/>
        <v>0</v>
      </c>
      <c r="AM319" s="121">
        <f t="shared" si="148"/>
        <v>0</v>
      </c>
      <c r="AN319" s="121">
        <f t="shared" si="149"/>
        <v>0</v>
      </c>
      <c r="AO319" s="121">
        <f t="shared" si="150"/>
        <v>0</v>
      </c>
      <c r="AP319" s="22">
        <f t="shared" si="151"/>
        <v>0</v>
      </c>
      <c r="AQ319" s="22">
        <f t="shared" si="152"/>
        <v>0</v>
      </c>
      <c r="AR319" s="22">
        <f t="shared" si="153"/>
        <v>0</v>
      </c>
      <c r="AS319" s="121" t="str">
        <f t="shared" si="154"/>
        <v>Crops</v>
      </c>
      <c r="AT319" s="121" t="str">
        <f t="shared" si="175"/>
        <v xml:space="preserve"> </v>
      </c>
      <c r="AU319" s="121" t="str">
        <f t="shared" si="175"/>
        <v xml:space="preserve"> </v>
      </c>
      <c r="AV319" s="121" t="str">
        <f t="shared" si="175"/>
        <v xml:space="preserve"> </v>
      </c>
      <c r="AW319" s="130" t="str">
        <f t="shared" si="176"/>
        <v>100</v>
      </c>
      <c r="AX319" s="130" t="str">
        <f t="shared" si="176"/>
        <v xml:space="preserve"> </v>
      </c>
      <c r="AY319" s="130" t="str">
        <f t="shared" si="176"/>
        <v xml:space="preserve"> </v>
      </c>
      <c r="AZ319" s="130" t="str">
        <f t="shared" si="176"/>
        <v xml:space="preserve"> </v>
      </c>
      <c r="BA319" s="121">
        <f t="shared" si="155"/>
        <v>0</v>
      </c>
      <c r="BB319" s="121">
        <f t="shared" si="156"/>
        <v>0</v>
      </c>
      <c r="BC319" s="121">
        <f t="shared" si="157"/>
        <v>0</v>
      </c>
      <c r="BD319" s="121">
        <f t="shared" si="158"/>
        <v>0</v>
      </c>
      <c r="BE319" s="121">
        <f t="shared" si="159"/>
        <v>0</v>
      </c>
      <c r="BF319" s="121">
        <f t="shared" si="160"/>
        <v>0</v>
      </c>
      <c r="BG319" s="121">
        <f t="shared" si="161"/>
        <v>0</v>
      </c>
      <c r="BH319" s="121">
        <f t="shared" si="162"/>
        <v>0</v>
      </c>
      <c r="BI319" s="121">
        <f t="shared" si="163"/>
        <v>0</v>
      </c>
      <c r="BJ319" s="121">
        <f t="shared" si="164"/>
        <v>0</v>
      </c>
      <c r="BK319" s="121">
        <f t="shared" si="165"/>
        <v>0</v>
      </c>
      <c r="BL319" s="121">
        <f t="shared" si="166"/>
        <v>0</v>
      </c>
      <c r="BM319" s="121">
        <f t="shared" si="167"/>
        <v>0</v>
      </c>
      <c r="BN319" s="121">
        <f t="shared" si="168"/>
        <v>0</v>
      </c>
      <c r="BO319" s="121">
        <f t="shared" si="169"/>
        <v>0</v>
      </c>
      <c r="BP319" s="121">
        <f t="shared" si="170"/>
        <v>0</v>
      </c>
      <c r="BQ319" s="199" t="e">
        <f>INDEX('GDP deflators'!$C$6:$M$36,MATCH('Bottom-up tagging'!$D319,'GDP deflators'!$B$6:$B$36,),MATCH('Bottom-up tagging'!$E319,'GDP deflators'!$C$5:$L$5,))/100</f>
        <v>#N/A</v>
      </c>
      <c r="BR319" s="24">
        <v>595281</v>
      </c>
    </row>
    <row r="320" spans="2:70" ht="26.15" hidden="1" customHeight="1">
      <c r="B320" s="110" t="s">
        <v>558</v>
      </c>
      <c r="C320" s="110" t="s">
        <v>563</v>
      </c>
      <c r="D320" s="110" t="s">
        <v>3994</v>
      </c>
      <c r="E320" s="103">
        <v>2020</v>
      </c>
      <c r="F320" s="108" t="s">
        <v>8843</v>
      </c>
      <c r="G320" s="111" t="s">
        <v>124</v>
      </c>
      <c r="H320" s="110" t="s">
        <v>10451</v>
      </c>
      <c r="I320" s="212">
        <v>0</v>
      </c>
      <c r="J320" s="118" t="s">
        <v>10474</v>
      </c>
      <c r="K320" s="112"/>
      <c r="L320" s="135">
        <v>1</v>
      </c>
      <c r="M320" s="135">
        <v>1</v>
      </c>
      <c r="N320" s="112"/>
      <c r="O320" s="112"/>
      <c r="P320" s="112" t="str">
        <f>VLOOKUP(B320, 'Companies covered restructured'!$B$7:$K$470, 9, FALSE)</f>
        <v>AI/analytics based advisory algorithms (incl. weather)</v>
      </c>
      <c r="Q320" s="112" t="str">
        <f>VLOOKUP(B320, 'Companies covered restructured'!$B$7:$K$470, 6, FALSE)</f>
        <v>#Crops(100)</v>
      </c>
      <c r="R320" s="112" t="str">
        <f t="shared" si="142"/>
        <v>#Angel Investor(100)</v>
      </c>
      <c r="S320" s="112" t="s">
        <v>11003</v>
      </c>
      <c r="T320" s="112" t="s">
        <v>10466</v>
      </c>
      <c r="U320" s="103" t="s">
        <v>10970</v>
      </c>
      <c r="V320" s="112" t="str">
        <f>VLOOKUP(P320, 'Bottom-up Tagging Assumptions'!$B$12:$F$39, 5, FALSE)</f>
        <v>#Science &amp; tech(100)</v>
      </c>
      <c r="W320" s="112" t="str">
        <f>VLOOKUP(B320, 'Companies covered restructured'!$B$7:$K$470, 7, FALSE)</f>
        <v>#Farm/Household(100)</v>
      </c>
      <c r="X320" s="112" t="str">
        <f>VLOOKUP(B320, 'Companies covered restructured'!$B$7:$K$470, 8, FALSE)</f>
        <v>N/A</v>
      </c>
      <c r="Y320" s="112" t="str">
        <f>VLOOKUP(P320, '[2]Bottom-up Tagging Assumptions'!$B$12:$F$56, 2, FALSE)</f>
        <v>#Other Economic(P); #Productivity(S)</v>
      </c>
      <c r="Z320" s="112" t="str">
        <f>VLOOKUP(P320, 'Bottom-up Tagging Assumptions'!$B$12:$F$56, 3, FALSE)</f>
        <v>#Increasing output per unit input(P); #Increasing crop or animal yield(S)</v>
      </c>
      <c r="AA320" s="112" t="str">
        <f>VLOOKUP(P320, 'Bottom-up Tagging Assumptions'!$B$12:$F$56, 4, FALSE)</f>
        <v>#Level 1(100)</v>
      </c>
      <c r="AB320" s="110"/>
      <c r="AC320" s="110" t="s">
        <v>560</v>
      </c>
      <c r="AD320" s="110" t="s">
        <v>561</v>
      </c>
      <c r="AE320" s="110" t="str">
        <f>VLOOKUP(AD320,  '1.2'!$B$7:$C$2033, 2, FALSE)</f>
        <v>ANGEL</v>
      </c>
      <c r="AF320" s="112">
        <v>9059375</v>
      </c>
      <c r="AG320" s="110" t="s">
        <v>884</v>
      </c>
      <c r="AH320" s="121">
        <f t="shared" si="143"/>
        <v>0</v>
      </c>
      <c r="AI320" s="121">
        <f t="shared" si="144"/>
        <v>1</v>
      </c>
      <c r="AJ320" s="121">
        <f t="shared" si="145"/>
        <v>1</v>
      </c>
      <c r="AK320" s="121">
        <f t="shared" si="146"/>
        <v>0</v>
      </c>
      <c r="AL320" s="121">
        <f t="shared" si="147"/>
        <v>0</v>
      </c>
      <c r="AM320" s="121">
        <f t="shared" si="148"/>
        <v>0</v>
      </c>
      <c r="AN320" s="121">
        <f t="shared" si="149"/>
        <v>0</v>
      </c>
      <c r="AO320" s="121">
        <f t="shared" si="150"/>
        <v>0</v>
      </c>
      <c r="AP320" s="22">
        <f t="shared" si="151"/>
        <v>0</v>
      </c>
      <c r="AQ320" s="22">
        <f t="shared" si="152"/>
        <v>0</v>
      </c>
      <c r="AR320" s="22">
        <f t="shared" si="153"/>
        <v>0</v>
      </c>
      <c r="AS320" s="121" t="str">
        <f t="shared" si="154"/>
        <v>Crops</v>
      </c>
      <c r="AT320" s="121" t="str">
        <f t="shared" si="175"/>
        <v xml:space="preserve"> </v>
      </c>
      <c r="AU320" s="121" t="str">
        <f t="shared" si="175"/>
        <v xml:space="preserve"> </v>
      </c>
      <c r="AV320" s="121" t="str">
        <f t="shared" si="175"/>
        <v xml:space="preserve"> </v>
      </c>
      <c r="AW320" s="130" t="str">
        <f t="shared" si="176"/>
        <v>100</v>
      </c>
      <c r="AX320" s="130" t="str">
        <f t="shared" si="176"/>
        <v xml:space="preserve"> </v>
      </c>
      <c r="AY320" s="130" t="str">
        <f t="shared" si="176"/>
        <v xml:space="preserve"> </v>
      </c>
      <c r="AZ320" s="130" t="str">
        <f t="shared" si="176"/>
        <v xml:space="preserve"> </v>
      </c>
      <c r="BA320" s="121">
        <f t="shared" si="155"/>
        <v>0</v>
      </c>
      <c r="BB320" s="121">
        <f t="shared" si="156"/>
        <v>0</v>
      </c>
      <c r="BC320" s="121">
        <f t="shared" si="157"/>
        <v>0</v>
      </c>
      <c r="BD320" s="121">
        <f t="shared" si="158"/>
        <v>0</v>
      </c>
      <c r="BE320" s="121">
        <f t="shared" si="159"/>
        <v>0</v>
      </c>
      <c r="BF320" s="121">
        <f t="shared" si="160"/>
        <v>0</v>
      </c>
      <c r="BG320" s="121">
        <f t="shared" si="161"/>
        <v>0</v>
      </c>
      <c r="BH320" s="121">
        <f t="shared" si="162"/>
        <v>0</v>
      </c>
      <c r="BI320" s="121">
        <f t="shared" si="163"/>
        <v>0</v>
      </c>
      <c r="BJ320" s="121">
        <f t="shared" si="164"/>
        <v>0</v>
      </c>
      <c r="BK320" s="121">
        <f t="shared" si="165"/>
        <v>0</v>
      </c>
      <c r="BL320" s="121">
        <f t="shared" si="166"/>
        <v>0</v>
      </c>
      <c r="BM320" s="121">
        <f t="shared" si="167"/>
        <v>0</v>
      </c>
      <c r="BN320" s="121">
        <f t="shared" si="168"/>
        <v>0</v>
      </c>
      <c r="BO320" s="121">
        <f t="shared" si="169"/>
        <v>0</v>
      </c>
      <c r="BP320" s="121">
        <f t="shared" si="170"/>
        <v>0</v>
      </c>
      <c r="BQ320" s="199" t="e">
        <f>INDEX('GDP deflators'!$C$6:$M$36,MATCH('Bottom-up tagging'!$D320,'GDP deflators'!$B$6:$B$36,),MATCH('Bottom-up tagging'!$E320,'GDP deflators'!$C$5:$L$5,))/100</f>
        <v>#N/A</v>
      </c>
      <c r="BR320" s="24">
        <v>575016</v>
      </c>
    </row>
    <row r="321" spans="2:70" ht="26.15" hidden="1" customHeight="1">
      <c r="B321" s="110" t="s">
        <v>1147</v>
      </c>
      <c r="C321" s="110" t="s">
        <v>1152</v>
      </c>
      <c r="D321" s="110" t="s">
        <v>6213</v>
      </c>
      <c r="E321" s="103">
        <v>2017</v>
      </c>
      <c r="F321" s="108" t="s">
        <v>7200</v>
      </c>
      <c r="G321" s="111" t="s">
        <v>289</v>
      </c>
      <c r="H321" s="110" t="s">
        <v>10451</v>
      </c>
      <c r="I321" s="112">
        <f>IF(Dashboard!$B$16="Current USD",'Bottom-up tagging'!BR321,'Bottom-up tagging'!BR321/'Bottom-up tagging'!BQ321)</f>
        <v>337362.17837411969</v>
      </c>
      <c r="J321" s="117" t="s">
        <v>10474</v>
      </c>
      <c r="K321" s="112"/>
      <c r="L321" s="135">
        <v>1</v>
      </c>
      <c r="M321" s="135">
        <v>1</v>
      </c>
      <c r="N321" s="112"/>
      <c r="O321" s="112"/>
      <c r="P321" s="112" t="str">
        <f>VLOOKUP(B321, 'Companies covered restructured'!$B$7:$K$470, 9, FALSE)</f>
        <v xml:space="preserve">Agriculture financing systems </v>
      </c>
      <c r="Q321" s="112" t="str">
        <f>VLOOKUP(B321, 'Companies covered restructured'!$B$7:$K$470, 6, FALSE)</f>
        <v>#Cross-cutting(100)</v>
      </c>
      <c r="R321" s="112" t="str">
        <f t="shared" si="142"/>
        <v>N/A</v>
      </c>
      <c r="S321" s="112" t="s">
        <v>11003</v>
      </c>
      <c r="T321" s="112" t="s">
        <v>10464</v>
      </c>
      <c r="U321" s="103" t="s">
        <v>10970</v>
      </c>
      <c r="V321" s="112" t="str">
        <f>VLOOKUP(P321, 'Bottom-up Tagging Assumptions'!$B$12:$F$39, 5, FALSE)</f>
        <v>#Process Innovation(100)</v>
      </c>
      <c r="W321" s="112" t="str">
        <f>VLOOKUP(B321, 'Companies covered restructured'!$B$7:$K$470, 7, FALSE)</f>
        <v>#Landscape(100)</v>
      </c>
      <c r="X321" s="112" t="s">
        <v>10558</v>
      </c>
      <c r="Y321" s="212" t="str">
        <f>VLOOKUP(P321, 'Bottom-up Tagging Assumptions'!$B$12:$C$56, 2, FALSE)</f>
        <v>#Other Economic(P); Social(S)</v>
      </c>
      <c r="Z321" s="112" t="str">
        <f>VLOOKUP(P321, 'Bottom-up Tagging Assumptions'!$B$12:$F$56, 3, FALSE)</f>
        <v>NA</v>
      </c>
      <c r="AA321" s="112" t="str">
        <f>VLOOKUP(P321, 'Bottom-up Tagging Assumptions'!$B$12:$F$56, 4, FALSE)</f>
        <v>#Level 1(100)</v>
      </c>
      <c r="AB321" s="110"/>
      <c r="AC321" s="110"/>
      <c r="AD321" s="110"/>
      <c r="AE321" s="110" t="s">
        <v>10558</v>
      </c>
      <c r="AF321" s="112">
        <v>204990000</v>
      </c>
      <c r="AG321" s="110" t="s">
        <v>2313</v>
      </c>
      <c r="AH321" s="121">
        <f t="shared" si="143"/>
        <v>0</v>
      </c>
      <c r="AI321" s="121">
        <f t="shared" si="144"/>
        <v>0</v>
      </c>
      <c r="AJ321" s="121">
        <f t="shared" si="145"/>
        <v>1</v>
      </c>
      <c r="AK321" s="121">
        <f t="shared" si="146"/>
        <v>1</v>
      </c>
      <c r="AL321" s="121">
        <f t="shared" si="147"/>
        <v>0</v>
      </c>
      <c r="AM321" s="121">
        <f t="shared" si="148"/>
        <v>0</v>
      </c>
      <c r="AN321" s="121">
        <f t="shared" si="149"/>
        <v>1</v>
      </c>
      <c r="AO321" s="121">
        <f t="shared" si="150"/>
        <v>0</v>
      </c>
      <c r="AP321" s="22">
        <f t="shared" si="151"/>
        <v>0</v>
      </c>
      <c r="AQ321" s="22">
        <f t="shared" si="152"/>
        <v>337362.17837411969</v>
      </c>
      <c r="AR321" s="22">
        <f t="shared" si="153"/>
        <v>0</v>
      </c>
      <c r="AS321" s="121" t="str">
        <f t="shared" si="154"/>
        <v>Cross-cutting</v>
      </c>
      <c r="AT321" s="121" t="str">
        <f t="shared" si="175"/>
        <v xml:space="preserve"> </v>
      </c>
      <c r="AU321" s="121" t="str">
        <f t="shared" si="175"/>
        <v xml:space="preserve"> </v>
      </c>
      <c r="AV321" s="121" t="str">
        <f t="shared" si="175"/>
        <v xml:space="preserve"> </v>
      </c>
      <c r="AW321" s="130" t="str">
        <f t="shared" si="176"/>
        <v>100</v>
      </c>
      <c r="AX321" s="130" t="str">
        <f t="shared" si="176"/>
        <v xml:space="preserve"> </v>
      </c>
      <c r="AY321" s="130" t="str">
        <f t="shared" si="176"/>
        <v xml:space="preserve"> </v>
      </c>
      <c r="AZ321" s="130" t="str">
        <f t="shared" si="176"/>
        <v xml:space="preserve"> </v>
      </c>
      <c r="BA321" s="121">
        <f t="shared" si="155"/>
        <v>337362.17837411969</v>
      </c>
      <c r="BB321" s="121">
        <f t="shared" si="156"/>
        <v>0</v>
      </c>
      <c r="BC321" s="121">
        <f t="shared" si="157"/>
        <v>0</v>
      </c>
      <c r="BD321" s="121">
        <f t="shared" si="158"/>
        <v>0</v>
      </c>
      <c r="BE321" s="121">
        <f t="shared" si="159"/>
        <v>0</v>
      </c>
      <c r="BF321" s="121">
        <f t="shared" si="160"/>
        <v>0</v>
      </c>
      <c r="BG321" s="121">
        <f t="shared" si="161"/>
        <v>0</v>
      </c>
      <c r="BH321" s="121">
        <f t="shared" si="162"/>
        <v>0</v>
      </c>
      <c r="BI321" s="121">
        <f t="shared" si="163"/>
        <v>337362.17837411969</v>
      </c>
      <c r="BJ321" s="121">
        <f t="shared" si="164"/>
        <v>337362.17837411969</v>
      </c>
      <c r="BK321" s="121">
        <f t="shared" si="165"/>
        <v>337362.17837411969</v>
      </c>
      <c r="BL321" s="121">
        <f t="shared" si="166"/>
        <v>337362.17837411969</v>
      </c>
      <c r="BM321" s="121">
        <f t="shared" si="167"/>
        <v>0</v>
      </c>
      <c r="BN321" s="121">
        <f t="shared" si="168"/>
        <v>0</v>
      </c>
      <c r="BO321" s="121">
        <f t="shared" si="169"/>
        <v>0</v>
      </c>
      <c r="BP321" s="121">
        <f t="shared" si="170"/>
        <v>0</v>
      </c>
      <c r="BQ321" s="199">
        <f>INDEX('GDP deflators'!$C$6:$M$36,MATCH('Bottom-up tagging'!$D321,'GDP deflators'!$B$6:$B$36,),MATCH('Bottom-up tagging'!$E321,'GDP deflators'!$C$5:$L$5,))/100</f>
        <v>1.6602572425260578</v>
      </c>
      <c r="BR321" s="24">
        <v>560108</v>
      </c>
    </row>
    <row r="322" spans="2:70" ht="26.15" hidden="1" customHeight="1">
      <c r="B322" s="110" t="s">
        <v>991</v>
      </c>
      <c r="C322" s="110" t="s">
        <v>994</v>
      </c>
      <c r="D322" s="110" t="s">
        <v>3994</v>
      </c>
      <c r="E322" s="103">
        <v>2017</v>
      </c>
      <c r="F322" s="108" t="s">
        <v>7704</v>
      </c>
      <c r="G322" s="111" t="s">
        <v>34</v>
      </c>
      <c r="H322" s="110" t="s">
        <v>10451</v>
      </c>
      <c r="I322" s="112">
        <f>IF(Dashboard!$B$16="Current USD",'Bottom-up tagging'!BR322,'Bottom-up tagging'!BR322/'Bottom-up tagging'!BQ322)</f>
        <v>393213.19907406578</v>
      </c>
      <c r="J322" s="105" t="s">
        <v>10474</v>
      </c>
      <c r="K322" s="112"/>
      <c r="L322" s="135">
        <v>1</v>
      </c>
      <c r="M322" s="135">
        <v>1</v>
      </c>
      <c r="N322" s="112"/>
      <c r="O322" s="112"/>
      <c r="P322" s="112" t="str">
        <f>VLOOKUP(B322, 'Companies covered restructured'!$B$7:$K$470, 9, FALSE)</f>
        <v>Supply chain technologies</v>
      </c>
      <c r="Q322" s="112" t="str">
        <f>VLOOKUP(B322, 'Companies covered restructured'!$B$7:$K$470, 6, FALSE)</f>
        <v>#Crops(100)</v>
      </c>
      <c r="R322" s="112" t="str">
        <f t="shared" si="142"/>
        <v>#Corporate(100)</v>
      </c>
      <c r="S322" s="112" t="s">
        <v>11003</v>
      </c>
      <c r="T322" s="112" t="s">
        <v>10466</v>
      </c>
      <c r="U322" s="103" t="s">
        <v>10970</v>
      </c>
      <c r="V322" s="112" t="str">
        <f>VLOOKUP(P322, 'Bottom-up Tagging Assumptions'!$B$12:$F$39, 5, FALSE)</f>
        <v>#Process Innovation(100)</v>
      </c>
      <c r="W322" s="112" t="str">
        <f>VLOOKUP(B322, 'Companies covered restructured'!$B$7:$K$470, 7, FALSE)</f>
        <v>#Field/Animal Herd(100)</v>
      </c>
      <c r="X322" s="112" t="s">
        <v>10558</v>
      </c>
      <c r="Y322" s="212" t="str">
        <f>VLOOKUP(P322, 'Bottom-up Tagging Assumptions'!$B$12:$C$56, 2, FALSE)</f>
        <v>#Other Economic(P); Social(S)</v>
      </c>
      <c r="Z322" s="112" t="str">
        <f>VLOOKUP(P322, 'Bottom-up Tagging Assumptions'!$B$12:$F$56, 3, FALSE)</f>
        <v>#Improve price realization(P)</v>
      </c>
      <c r="AA322" s="112" t="str">
        <f>VLOOKUP(P322, 'Bottom-up Tagging Assumptions'!$B$12:$F$56, 4, FALSE)</f>
        <v>#Level 3(100)</v>
      </c>
      <c r="AB322" s="110" t="s">
        <v>2156</v>
      </c>
      <c r="AC322" s="110" t="s">
        <v>1716</v>
      </c>
      <c r="AD322" s="110" t="s">
        <v>1717</v>
      </c>
      <c r="AE322" s="110" t="str">
        <f>VLOOKUP(AD322,  '1.2'!$B$7:$C$2033, 2, FALSE)</f>
        <v>CORPORATE_INVESTOR</v>
      </c>
      <c r="AF322" s="112">
        <v>15568800</v>
      </c>
      <c r="AG322" s="110" t="s">
        <v>1335</v>
      </c>
      <c r="AH322" s="121">
        <f t="shared" si="143"/>
        <v>0</v>
      </c>
      <c r="AI322" s="121">
        <f t="shared" si="144"/>
        <v>0</v>
      </c>
      <c r="AJ322" s="121">
        <f t="shared" si="145"/>
        <v>1</v>
      </c>
      <c r="AK322" s="121">
        <f t="shared" si="146"/>
        <v>1</v>
      </c>
      <c r="AL322" s="121">
        <f t="shared" si="147"/>
        <v>0</v>
      </c>
      <c r="AM322" s="121">
        <f t="shared" si="148"/>
        <v>0</v>
      </c>
      <c r="AN322" s="121">
        <f t="shared" si="149"/>
        <v>1</v>
      </c>
      <c r="AO322" s="121">
        <f t="shared" si="150"/>
        <v>0</v>
      </c>
      <c r="AP322" s="22">
        <f t="shared" si="151"/>
        <v>0</v>
      </c>
      <c r="AQ322" s="22">
        <f t="shared" si="152"/>
        <v>393213.19907406578</v>
      </c>
      <c r="AR322" s="22">
        <f t="shared" si="153"/>
        <v>0</v>
      </c>
      <c r="AS322" s="121" t="str">
        <f t="shared" si="154"/>
        <v>Crops</v>
      </c>
      <c r="AT322" s="121" t="str">
        <f t="shared" si="175"/>
        <v xml:space="preserve"> </v>
      </c>
      <c r="AU322" s="121" t="str">
        <f t="shared" si="175"/>
        <v xml:space="preserve"> </v>
      </c>
      <c r="AV322" s="121" t="str">
        <f t="shared" si="175"/>
        <v xml:space="preserve"> </v>
      </c>
      <c r="AW322" s="130" t="str">
        <f t="shared" si="176"/>
        <v>100</v>
      </c>
      <c r="AX322" s="130" t="str">
        <f t="shared" si="176"/>
        <v xml:space="preserve"> </v>
      </c>
      <c r="AY322" s="130" t="str">
        <f t="shared" si="176"/>
        <v xml:space="preserve"> </v>
      </c>
      <c r="AZ322" s="130" t="str">
        <f t="shared" si="176"/>
        <v xml:space="preserve"> </v>
      </c>
      <c r="BA322" s="121">
        <f t="shared" si="155"/>
        <v>393213.19907406578</v>
      </c>
      <c r="BB322" s="121">
        <f t="shared" si="156"/>
        <v>0</v>
      </c>
      <c r="BC322" s="121">
        <f t="shared" si="157"/>
        <v>0</v>
      </c>
      <c r="BD322" s="121">
        <f t="shared" si="158"/>
        <v>0</v>
      </c>
      <c r="BE322" s="121">
        <f t="shared" si="159"/>
        <v>0</v>
      </c>
      <c r="BF322" s="121">
        <f t="shared" si="160"/>
        <v>0</v>
      </c>
      <c r="BG322" s="121">
        <f t="shared" si="161"/>
        <v>0</v>
      </c>
      <c r="BH322" s="121">
        <f t="shared" si="162"/>
        <v>0</v>
      </c>
      <c r="BI322" s="121">
        <f t="shared" si="163"/>
        <v>393213.19907406578</v>
      </c>
      <c r="BJ322" s="121">
        <f t="shared" si="164"/>
        <v>393213.19907406578</v>
      </c>
      <c r="BK322" s="121">
        <f t="shared" si="165"/>
        <v>393213.19907406578</v>
      </c>
      <c r="BL322" s="121">
        <f t="shared" si="166"/>
        <v>393213.19907406578</v>
      </c>
      <c r="BM322" s="121">
        <f t="shared" si="167"/>
        <v>0</v>
      </c>
      <c r="BN322" s="121">
        <f t="shared" si="168"/>
        <v>0</v>
      </c>
      <c r="BO322" s="121">
        <f t="shared" si="169"/>
        <v>0</v>
      </c>
      <c r="BP322" s="121">
        <f t="shared" si="170"/>
        <v>0</v>
      </c>
      <c r="BQ322" s="199">
        <f>INDEX('GDP deflators'!$C$6:$M$36,MATCH('Bottom-up tagging'!$D322,'GDP deflators'!$B$6:$B$36,),MATCH('Bottom-up tagging'!$E322,'GDP deflators'!$C$5:$L$5,))/100</f>
        <v>1.4111098032990623</v>
      </c>
      <c r="BR322" s="24">
        <v>554867</v>
      </c>
    </row>
    <row r="323" spans="2:70" ht="26.15" customHeight="1">
      <c r="B323" s="110" t="s">
        <v>385</v>
      </c>
      <c r="C323" s="110" t="s">
        <v>389</v>
      </c>
      <c r="D323" s="110" t="s">
        <v>5391</v>
      </c>
      <c r="E323" s="103">
        <v>2016</v>
      </c>
      <c r="F323" s="108" t="s">
        <v>7033</v>
      </c>
      <c r="G323" s="111" t="s">
        <v>34</v>
      </c>
      <c r="H323" s="110" t="s">
        <v>10451</v>
      </c>
      <c r="I323" s="112">
        <f>IF(Dashboard!$B$16="Current USD",'Bottom-up tagging'!BR323,'Bottom-up tagging'!BR323/'Bottom-up tagging'!BQ323)</f>
        <v>343852.06775995769</v>
      </c>
      <c r="J323" s="105" t="s">
        <v>10474</v>
      </c>
      <c r="K323" s="112"/>
      <c r="L323" s="135">
        <v>1</v>
      </c>
      <c r="M323" s="135">
        <v>1</v>
      </c>
      <c r="N323" s="112"/>
      <c r="O323" s="112"/>
      <c r="P323" s="112" t="str">
        <f>VLOOKUP(B323, 'Companies covered restructured'!$B$7:$K$470, 9, FALSE)</f>
        <v>Farmer financing services</v>
      </c>
      <c r="Q323" s="112" t="str">
        <f>VLOOKUP(B323, 'Companies covered restructured'!$B$7:$K$470, 6, FALSE)</f>
        <v>#Cross-cutting(100)</v>
      </c>
      <c r="R323" s="112" t="str">
        <f t="shared" si="142"/>
        <v>#Corporate(100)</v>
      </c>
      <c r="S323" s="112" t="s">
        <v>11003</v>
      </c>
      <c r="T323" s="112" t="s">
        <v>10466</v>
      </c>
      <c r="U323" s="103" t="s">
        <v>10970</v>
      </c>
      <c r="V323" s="112" t="str">
        <f>VLOOKUP(P323, 'Bottom-up Tagging Assumptions'!$B$12:$F$39, 5, FALSE)</f>
        <v>#Process Innovation(100)</v>
      </c>
      <c r="W323" s="112" t="str">
        <f>VLOOKUP(B323, 'Companies covered restructured'!$B$7:$K$470, 7, FALSE)</f>
        <v>#Field/Animal Herd(100)</v>
      </c>
      <c r="X323" s="112" t="s">
        <v>10558</v>
      </c>
      <c r="Y323" s="212" t="str">
        <f>VLOOKUP(P323, 'Bottom-up Tagging Assumptions'!$B$12:$C$56, 2, FALSE)</f>
        <v>#Other Economic(P); Social(S)</v>
      </c>
      <c r="Z323" s="112" t="str">
        <f>VLOOKUP(P323, 'Bottom-up Tagging Assumptions'!$B$12:$F$56, 3, FALSE)</f>
        <v>NA</v>
      </c>
      <c r="AA323" s="112" t="str">
        <f>VLOOKUP(P323, 'Bottom-up Tagging Assumptions'!$B$12:$F$56, 4, FALSE)</f>
        <v>#Level 1(100)</v>
      </c>
      <c r="AB323" s="110" t="s">
        <v>2244</v>
      </c>
      <c r="AC323" s="110"/>
      <c r="AD323" s="110" t="s">
        <v>2245</v>
      </c>
      <c r="AE323" s="110" t="s">
        <v>3139</v>
      </c>
      <c r="AF323" s="112">
        <v>89088</v>
      </c>
      <c r="AG323" s="110" t="s">
        <v>2318</v>
      </c>
      <c r="AH323" s="121">
        <f t="shared" si="143"/>
        <v>0</v>
      </c>
      <c r="AI323" s="121">
        <f t="shared" si="144"/>
        <v>0</v>
      </c>
      <c r="AJ323" s="121">
        <f t="shared" si="145"/>
        <v>1</v>
      </c>
      <c r="AK323" s="121">
        <f t="shared" si="146"/>
        <v>1</v>
      </c>
      <c r="AL323" s="121">
        <f t="shared" si="147"/>
        <v>0</v>
      </c>
      <c r="AM323" s="121">
        <f t="shared" si="148"/>
        <v>0</v>
      </c>
      <c r="AN323" s="121">
        <f t="shared" si="149"/>
        <v>1</v>
      </c>
      <c r="AO323" s="121">
        <f t="shared" si="150"/>
        <v>0</v>
      </c>
      <c r="AP323" s="22">
        <f t="shared" si="151"/>
        <v>0</v>
      </c>
      <c r="AQ323" s="22">
        <f t="shared" si="152"/>
        <v>343852.06775995769</v>
      </c>
      <c r="AR323" s="22">
        <f t="shared" si="153"/>
        <v>0</v>
      </c>
      <c r="AS323" s="121" t="str">
        <f t="shared" si="154"/>
        <v>Cross-cutting</v>
      </c>
      <c r="AT323" s="121" t="str">
        <f t="shared" si="175"/>
        <v xml:space="preserve"> </v>
      </c>
      <c r="AU323" s="121" t="str">
        <f t="shared" si="175"/>
        <v xml:space="preserve"> </v>
      </c>
      <c r="AV323" s="121" t="str">
        <f t="shared" si="175"/>
        <v xml:space="preserve"> </v>
      </c>
      <c r="AW323" s="130" t="str">
        <f t="shared" si="176"/>
        <v>100</v>
      </c>
      <c r="AX323" s="130" t="str">
        <f t="shared" si="176"/>
        <v xml:space="preserve"> </v>
      </c>
      <c r="AY323" s="130" t="str">
        <f t="shared" si="176"/>
        <v xml:space="preserve"> </v>
      </c>
      <c r="AZ323" s="130" t="str">
        <f t="shared" si="176"/>
        <v xml:space="preserve"> </v>
      </c>
      <c r="BA323" s="121">
        <f t="shared" si="155"/>
        <v>343852.06775995769</v>
      </c>
      <c r="BB323" s="121">
        <f t="shared" si="156"/>
        <v>0</v>
      </c>
      <c r="BC323" s="121">
        <f t="shared" si="157"/>
        <v>0</v>
      </c>
      <c r="BD323" s="121">
        <f t="shared" si="158"/>
        <v>0</v>
      </c>
      <c r="BE323" s="121">
        <f t="shared" si="159"/>
        <v>0</v>
      </c>
      <c r="BF323" s="121">
        <f t="shared" si="160"/>
        <v>0</v>
      </c>
      <c r="BG323" s="121">
        <f t="shared" si="161"/>
        <v>0</v>
      </c>
      <c r="BH323" s="121">
        <f t="shared" si="162"/>
        <v>0</v>
      </c>
      <c r="BI323" s="121">
        <f t="shared" si="163"/>
        <v>343852.06775995769</v>
      </c>
      <c r="BJ323" s="121">
        <f t="shared" si="164"/>
        <v>343852.06775995769</v>
      </c>
      <c r="BK323" s="121">
        <f t="shared" si="165"/>
        <v>343852.06775995769</v>
      </c>
      <c r="BL323" s="121">
        <f t="shared" si="166"/>
        <v>343852.06775995769</v>
      </c>
      <c r="BM323" s="121">
        <f t="shared" si="167"/>
        <v>0</v>
      </c>
      <c r="BN323" s="121">
        <f t="shared" si="168"/>
        <v>0</v>
      </c>
      <c r="BO323" s="121">
        <f t="shared" si="169"/>
        <v>0</v>
      </c>
      <c r="BP323" s="121">
        <f t="shared" si="170"/>
        <v>0</v>
      </c>
      <c r="BQ323" s="199">
        <f>INDEX('GDP deflators'!$C$6:$M$36,MATCH('Bottom-up tagging'!$D323,'GDP deflators'!$B$6:$B$36,),MATCH('Bottom-up tagging'!$E323,'GDP deflators'!$C$5:$L$5,))/100</f>
        <v>1.5995250619925128</v>
      </c>
      <c r="BR323" s="24">
        <v>550000</v>
      </c>
    </row>
    <row r="324" spans="2:70" ht="26.15" hidden="1" customHeight="1">
      <c r="B324" s="110" t="s">
        <v>1705</v>
      </c>
      <c r="C324" s="110" t="s">
        <v>1710</v>
      </c>
      <c r="D324" s="110" t="s">
        <v>3994</v>
      </c>
      <c r="E324" s="103">
        <v>2015</v>
      </c>
      <c r="F324" s="108" t="s">
        <v>8779</v>
      </c>
      <c r="G324" s="111" t="s">
        <v>109</v>
      </c>
      <c r="H324" s="110" t="s">
        <v>10451</v>
      </c>
      <c r="I324" s="112">
        <f>IF(Dashboard!$B$16="Current USD",'Bottom-up tagging'!BR324,'Bottom-up tagging'!BR324/'Bottom-up tagging'!BQ324)</f>
        <v>409671.16007692565</v>
      </c>
      <c r="J324" s="105" t="s">
        <v>10474</v>
      </c>
      <c r="K324" s="112"/>
      <c r="L324" s="135">
        <v>1</v>
      </c>
      <c r="M324" s="135">
        <v>1</v>
      </c>
      <c r="N324" s="112"/>
      <c r="O324" s="112"/>
      <c r="P324" s="112" t="str">
        <f>VLOOKUP(B324, 'Companies covered restructured'!$B$7:$K$470, 9, FALSE)</f>
        <v>Animal and fish monitoring systems</v>
      </c>
      <c r="Q324" s="112" t="str">
        <f>VLOOKUP(B324, 'Companies covered restructured'!$B$7:$K$470, 6, FALSE)</f>
        <v>#Fisheries and Aquaculture(100)</v>
      </c>
      <c r="R324" s="112" t="str">
        <f t="shared" si="142"/>
        <v>#Investment Fund(100)</v>
      </c>
      <c r="S324" s="112" t="s">
        <v>11003</v>
      </c>
      <c r="T324" s="112" t="s">
        <v>10466</v>
      </c>
      <c r="U324" s="103" t="s">
        <v>10970</v>
      </c>
      <c r="V324" s="112" t="str">
        <f>VLOOKUP(P324, 'Bottom-up Tagging Assumptions'!$B$12:$F$39, 5, FALSE)</f>
        <v>#Product Development(100)</v>
      </c>
      <c r="W324" s="112" t="str">
        <f>VLOOKUP(B324, 'Companies covered restructured'!$B$7:$K$470, 7, FALSE)</f>
        <v>#Field/Animal Herd(100)</v>
      </c>
      <c r="X324" s="112" t="s">
        <v>10558</v>
      </c>
      <c r="Y324" s="212" t="str">
        <f>VLOOKUP(P324, 'Bottom-up Tagging Assumptions'!$B$12:$C$56, 2, FALSE)</f>
        <v>#Productivity(P); Other economic(S)</v>
      </c>
      <c r="Z324" s="112" t="str">
        <f>VLOOKUP(P324, 'Bottom-up Tagging Assumptions'!$B$12:$F$56, 3, FALSE)</f>
        <v>#Increasing crop or animal yield(P)</v>
      </c>
      <c r="AA324" s="112" t="str">
        <f>VLOOKUP(P324, 'Bottom-up Tagging Assumptions'!$B$12:$F$56, 4, FALSE)</f>
        <v>#Level 2(100)</v>
      </c>
      <c r="AB324" s="110" t="s">
        <v>643</v>
      </c>
      <c r="AC324" s="110"/>
      <c r="AD324" s="110" t="s">
        <v>644</v>
      </c>
      <c r="AE324" s="110" t="s">
        <v>3114</v>
      </c>
      <c r="AF324" s="112">
        <v>6780764</v>
      </c>
      <c r="AG324" s="110" t="s">
        <v>1711</v>
      </c>
      <c r="AH324" s="121">
        <f t="shared" si="143"/>
        <v>0</v>
      </c>
      <c r="AI324" s="121">
        <f t="shared" si="144"/>
        <v>1</v>
      </c>
      <c r="AJ324" s="121">
        <f t="shared" si="145"/>
        <v>1</v>
      </c>
      <c r="AK324" s="121">
        <f t="shared" si="146"/>
        <v>0</v>
      </c>
      <c r="AL324" s="121">
        <f t="shared" si="147"/>
        <v>0</v>
      </c>
      <c r="AM324" s="121">
        <f t="shared" si="148"/>
        <v>0</v>
      </c>
      <c r="AN324" s="121">
        <f t="shared" si="149"/>
        <v>0</v>
      </c>
      <c r="AO324" s="121">
        <f t="shared" si="150"/>
        <v>0</v>
      </c>
      <c r="AP324" s="22">
        <f t="shared" si="151"/>
        <v>0</v>
      </c>
      <c r="AQ324" s="22">
        <f t="shared" si="152"/>
        <v>0</v>
      </c>
      <c r="AR324" s="22">
        <f t="shared" si="153"/>
        <v>0</v>
      </c>
      <c r="AS324" s="121" t="str">
        <f t="shared" si="154"/>
        <v>Fisheries and Aquaculture</v>
      </c>
      <c r="AT324" s="121" t="str">
        <f t="shared" si="175"/>
        <v xml:space="preserve"> </v>
      </c>
      <c r="AU324" s="121" t="str">
        <f t="shared" si="175"/>
        <v xml:space="preserve"> </v>
      </c>
      <c r="AV324" s="121" t="str">
        <f t="shared" si="175"/>
        <v xml:space="preserve"> </v>
      </c>
      <c r="AW324" s="130" t="str">
        <f t="shared" si="176"/>
        <v>100</v>
      </c>
      <c r="AX324" s="130" t="str">
        <f t="shared" si="176"/>
        <v xml:space="preserve"> </v>
      </c>
      <c r="AY324" s="130" t="str">
        <f t="shared" si="176"/>
        <v xml:space="preserve"> </v>
      </c>
      <c r="AZ324" s="130" t="str">
        <f t="shared" si="176"/>
        <v xml:space="preserve"> </v>
      </c>
      <c r="BA324" s="121">
        <f t="shared" si="155"/>
        <v>409671.16007692571</v>
      </c>
      <c r="BB324" s="121">
        <f t="shared" si="156"/>
        <v>0</v>
      </c>
      <c r="BC324" s="121">
        <f t="shared" si="157"/>
        <v>0</v>
      </c>
      <c r="BD324" s="121">
        <f t="shared" si="158"/>
        <v>0</v>
      </c>
      <c r="BE324" s="121">
        <f t="shared" si="159"/>
        <v>0</v>
      </c>
      <c r="BF324" s="121">
        <f t="shared" si="160"/>
        <v>0</v>
      </c>
      <c r="BG324" s="121">
        <f t="shared" si="161"/>
        <v>0</v>
      </c>
      <c r="BH324" s="121">
        <f t="shared" si="162"/>
        <v>0</v>
      </c>
      <c r="BI324" s="121">
        <f t="shared" si="163"/>
        <v>0</v>
      </c>
      <c r="BJ324" s="121">
        <f t="shared" si="164"/>
        <v>0</v>
      </c>
      <c r="BK324" s="121">
        <f t="shared" si="165"/>
        <v>0</v>
      </c>
      <c r="BL324" s="121">
        <f t="shared" si="166"/>
        <v>0</v>
      </c>
      <c r="BM324" s="121">
        <f t="shared" si="167"/>
        <v>0</v>
      </c>
      <c r="BN324" s="121">
        <f t="shared" si="168"/>
        <v>0</v>
      </c>
      <c r="BO324" s="121">
        <f t="shared" si="169"/>
        <v>0</v>
      </c>
      <c r="BP324" s="121">
        <f t="shared" si="170"/>
        <v>0</v>
      </c>
      <c r="BQ324" s="199">
        <f>INDEX('GDP deflators'!$C$6:$M$36,MATCH('Bottom-up tagging'!$D324,'GDP deflators'!$B$6:$B$36,),MATCH('Bottom-up tagging'!$E324,'GDP deflators'!$C$5:$L$5,))/100</f>
        <v>1.3170905169372478</v>
      </c>
      <c r="BR324" s="24">
        <v>539574</v>
      </c>
    </row>
    <row r="325" spans="2:70" ht="26.15" hidden="1" customHeight="1">
      <c r="B325" s="110" t="s">
        <v>980</v>
      </c>
      <c r="C325" s="110" t="s">
        <v>984</v>
      </c>
      <c r="D325" s="110" t="s">
        <v>3994</v>
      </c>
      <c r="E325" s="103">
        <v>2013</v>
      </c>
      <c r="F325" s="108" t="s">
        <v>7842</v>
      </c>
      <c r="G325" s="111" t="s">
        <v>34</v>
      </c>
      <c r="H325" s="110" t="s">
        <v>10451</v>
      </c>
      <c r="I325" s="112">
        <f>IF(Dashboard!$B$16="Current USD",'Bottom-up tagging'!BR325,'Bottom-up tagging'!BR325/'Bottom-up tagging'!BQ325)</f>
        <v>431646.36147059355</v>
      </c>
      <c r="J325" s="105" t="s">
        <v>10474</v>
      </c>
      <c r="K325" s="112"/>
      <c r="L325" s="135">
        <v>1</v>
      </c>
      <c r="M325" s="135">
        <v>1</v>
      </c>
      <c r="N325" s="112"/>
      <c r="O325" s="112"/>
      <c r="P325" s="112" t="str">
        <f>VLOOKUP(B325, 'Companies covered restructured'!$B$7:$K$470, 9, FALSE)</f>
        <v>Seed development and biotech</v>
      </c>
      <c r="Q325" s="112" t="str">
        <f>VLOOKUP(B325, 'Companies covered restructured'!$B$7:$K$470, 6, FALSE)</f>
        <v>#Crops(100)</v>
      </c>
      <c r="R325" s="112" t="str">
        <f t="shared" si="142"/>
        <v>#Corporate(100)</v>
      </c>
      <c r="S325" s="112" t="s">
        <v>11003</v>
      </c>
      <c r="T325" s="112" t="s">
        <v>10466</v>
      </c>
      <c r="U325" s="103" t="s">
        <v>10970</v>
      </c>
      <c r="V325" s="112" t="str">
        <f>VLOOKUP(P325, 'Bottom-up Tagging Assumptions'!$B$12:$F$39, 5, FALSE)</f>
        <v>#Product Development(100)</v>
      </c>
      <c r="W325" s="112" t="str">
        <f>VLOOKUP(B325, 'Companies covered restructured'!$B$7:$K$470, 7, FALSE)</f>
        <v>#Field/Animal Herd(100)</v>
      </c>
      <c r="X325" s="112" t="s">
        <v>10558</v>
      </c>
      <c r="Y325" s="212" t="str">
        <f>VLOOKUP(P325, 'Bottom-up Tagging Assumptions'!$B$12:$C$56, 2, FALSE)</f>
        <v>#Productivity(P); #Human Condition(S)</v>
      </c>
      <c r="Z325" s="112" t="str">
        <f>VLOOKUP(P325, 'Bottom-up Tagging Assumptions'!$B$12:$F$56, 3, FALSE)</f>
        <v>#Increasing crop or animal yield(P); #Improved nutrition(S)</v>
      </c>
      <c r="AA325" s="112" t="str">
        <f>VLOOKUP(P325, 'Bottom-up Tagging Assumptions'!$B$12:$F$56, 4, FALSE)</f>
        <v>#Level 1(100)</v>
      </c>
      <c r="AB325" s="110" t="s">
        <v>2971</v>
      </c>
      <c r="AC325" s="110"/>
      <c r="AD325" s="110" t="s">
        <v>2972</v>
      </c>
      <c r="AE325" s="110" t="str">
        <f>VLOOKUP(AD325,  '1.2'!$B$7:$C$2033, 2, FALSE)</f>
        <v>CORPORATE_INVESTOR</v>
      </c>
      <c r="AF325" s="112">
        <v>2750000</v>
      </c>
      <c r="AG325" s="110" t="s">
        <v>2323</v>
      </c>
      <c r="AH325" s="121">
        <f t="shared" si="143"/>
        <v>0</v>
      </c>
      <c r="AI325" s="121">
        <f t="shared" si="144"/>
        <v>1</v>
      </c>
      <c r="AJ325" s="121">
        <f t="shared" si="145"/>
        <v>0</v>
      </c>
      <c r="AK325" s="121">
        <f t="shared" si="146"/>
        <v>0</v>
      </c>
      <c r="AL325" s="121">
        <f t="shared" si="147"/>
        <v>1</v>
      </c>
      <c r="AM325" s="121">
        <f t="shared" si="148"/>
        <v>0</v>
      </c>
      <c r="AN325" s="121">
        <f t="shared" si="149"/>
        <v>1</v>
      </c>
      <c r="AO325" s="121">
        <f t="shared" si="150"/>
        <v>0</v>
      </c>
      <c r="AP325" s="22">
        <f t="shared" si="151"/>
        <v>0</v>
      </c>
      <c r="AQ325" s="22">
        <f t="shared" si="152"/>
        <v>431646.36147059355</v>
      </c>
      <c r="AR325" s="22">
        <f t="shared" si="153"/>
        <v>0</v>
      </c>
      <c r="AS325" s="121" t="str">
        <f t="shared" si="154"/>
        <v>Crops</v>
      </c>
      <c r="AT325" s="121" t="str">
        <f t="shared" si="175"/>
        <v xml:space="preserve"> </v>
      </c>
      <c r="AU325" s="121" t="str">
        <f t="shared" si="175"/>
        <v xml:space="preserve"> </v>
      </c>
      <c r="AV325" s="121" t="str">
        <f t="shared" si="175"/>
        <v xml:space="preserve"> </v>
      </c>
      <c r="AW325" s="130" t="str">
        <f t="shared" si="176"/>
        <v>100</v>
      </c>
      <c r="AX325" s="130" t="str">
        <f t="shared" si="176"/>
        <v xml:space="preserve"> </v>
      </c>
      <c r="AY325" s="130" t="str">
        <f t="shared" si="176"/>
        <v xml:space="preserve"> </v>
      </c>
      <c r="AZ325" s="130" t="str">
        <f t="shared" si="176"/>
        <v xml:space="preserve"> </v>
      </c>
      <c r="BA325" s="121">
        <f t="shared" si="155"/>
        <v>431646.36147059349</v>
      </c>
      <c r="BB325" s="121">
        <f t="shared" si="156"/>
        <v>0</v>
      </c>
      <c r="BC325" s="121">
        <f t="shared" si="157"/>
        <v>0</v>
      </c>
      <c r="BD325" s="121">
        <f t="shared" si="158"/>
        <v>0</v>
      </c>
      <c r="BE325" s="121">
        <f t="shared" si="159"/>
        <v>0</v>
      </c>
      <c r="BF325" s="121">
        <f t="shared" si="160"/>
        <v>0</v>
      </c>
      <c r="BG325" s="121">
        <f t="shared" si="161"/>
        <v>0</v>
      </c>
      <c r="BH325" s="121">
        <f t="shared" si="162"/>
        <v>0</v>
      </c>
      <c r="BI325" s="121">
        <f t="shared" si="163"/>
        <v>431646.36147059349</v>
      </c>
      <c r="BJ325" s="121">
        <f t="shared" si="164"/>
        <v>431646.36147059355</v>
      </c>
      <c r="BK325" s="121">
        <f t="shared" si="165"/>
        <v>431646.36147059355</v>
      </c>
      <c r="BL325" s="121">
        <f t="shared" si="166"/>
        <v>431646.36147059355</v>
      </c>
      <c r="BM325" s="121">
        <f t="shared" si="167"/>
        <v>0</v>
      </c>
      <c r="BN325" s="121">
        <f t="shared" si="168"/>
        <v>0</v>
      </c>
      <c r="BO325" s="121">
        <f t="shared" si="169"/>
        <v>0</v>
      </c>
      <c r="BP325" s="121">
        <f t="shared" si="170"/>
        <v>0</v>
      </c>
      <c r="BQ325" s="199">
        <f>INDEX('GDP deflators'!$C$6:$M$36,MATCH('Bottom-up tagging'!$D325,'GDP deflators'!$B$6:$B$36,),MATCH('Bottom-up tagging'!$E325,'GDP deflators'!$C$5:$L$5,))/100</f>
        <v>1.2462146053248888</v>
      </c>
      <c r="BR325" s="24">
        <v>537924</v>
      </c>
    </row>
    <row r="326" spans="2:70" ht="26.15" hidden="1" customHeight="1">
      <c r="B326" s="110" t="s">
        <v>930</v>
      </c>
      <c r="C326" s="110" t="s">
        <v>935</v>
      </c>
      <c r="D326" s="110" t="s">
        <v>5208</v>
      </c>
      <c r="E326" s="103">
        <v>2019</v>
      </c>
      <c r="F326" s="108" t="s">
        <v>5351</v>
      </c>
      <c r="G326" s="111" t="s">
        <v>34</v>
      </c>
      <c r="H326" s="110" t="s">
        <v>10451</v>
      </c>
      <c r="I326" s="112">
        <f>IF(Dashboard!$B$16="Current USD",'Bottom-up tagging'!BR326,'Bottom-up tagging'!BR326/'Bottom-up tagging'!BQ326)</f>
        <v>304277.93302859942</v>
      </c>
      <c r="J326" s="118" t="s">
        <v>10474</v>
      </c>
      <c r="K326" s="112"/>
      <c r="L326" s="135">
        <v>1</v>
      </c>
      <c r="M326" s="135">
        <v>1</v>
      </c>
      <c r="N326" s="112"/>
      <c r="O326" s="112"/>
      <c r="P326" s="112" t="str">
        <f>VLOOKUP(B326, 'Companies covered restructured'!$B$7:$K$470, 9, FALSE)</f>
        <v xml:space="preserve">Hydroponics </v>
      </c>
      <c r="Q326" s="112" t="str">
        <f>VLOOKUP(B326, 'Companies covered restructured'!$B$7:$K$470, 6, FALSE)</f>
        <v>#Crops(100)</v>
      </c>
      <c r="R326" s="112" t="str">
        <f t="shared" si="142"/>
        <v>#Investment Fund(100)</v>
      </c>
      <c r="S326" s="112" t="s">
        <v>11003</v>
      </c>
      <c r="T326" s="112" t="s">
        <v>10466</v>
      </c>
      <c r="U326" s="103" t="s">
        <v>10970</v>
      </c>
      <c r="V326" s="112" t="str">
        <f>VLOOKUP(P326, 'Bottom-up Tagging Assumptions'!$B$12:$F$39, 5, FALSE)</f>
        <v>#Science &amp; tech(100)</v>
      </c>
      <c r="W326" s="112" t="str">
        <f>VLOOKUP(B326, 'Companies covered restructured'!$B$7:$K$470, 7, FALSE)</f>
        <v>#Field/Animal Herd(100)</v>
      </c>
      <c r="X326" s="112" t="s">
        <v>10558</v>
      </c>
      <c r="Y326" s="212" t="str">
        <f>VLOOKUP(P326, 'Bottom-up Tagging Assumptions'!$B$12:$C$56, 2, FALSE)</f>
        <v>#Human Condition(P); #Environmental(S); #Productivity(S)</v>
      </c>
      <c r="Z326" s="112" t="str">
        <f>VLOOKUP(P326, 'Bottom-up Tagging Assumptions'!$B$12:$F$56, 3, FALSE)</f>
        <v>#Food security(P); #Reducing production variability(S)</v>
      </c>
      <c r="AA326" s="112" t="str">
        <f>VLOOKUP(P326, 'Bottom-up Tagging Assumptions'!$B$12:$F$56, 4, FALSE)</f>
        <v>#Level 2(100)</v>
      </c>
      <c r="AB326" s="110" t="s">
        <v>932</v>
      </c>
      <c r="AC326" s="110"/>
      <c r="AD326" s="110" t="s">
        <v>933</v>
      </c>
      <c r="AE326" s="110" t="s">
        <v>3114</v>
      </c>
      <c r="AF326" s="112"/>
      <c r="AG326" s="110" t="s">
        <v>2328</v>
      </c>
      <c r="AH326" s="121">
        <f t="shared" si="143"/>
        <v>1</v>
      </c>
      <c r="AI326" s="121">
        <f t="shared" si="144"/>
        <v>1</v>
      </c>
      <c r="AJ326" s="121">
        <f t="shared" si="145"/>
        <v>0</v>
      </c>
      <c r="AK326" s="121">
        <f t="shared" si="146"/>
        <v>0</v>
      </c>
      <c r="AL326" s="121">
        <f t="shared" si="147"/>
        <v>1</v>
      </c>
      <c r="AM326" s="121">
        <f t="shared" si="148"/>
        <v>1</v>
      </c>
      <c r="AN326" s="121">
        <f t="shared" si="149"/>
        <v>1</v>
      </c>
      <c r="AO326" s="121">
        <f t="shared" si="150"/>
        <v>1</v>
      </c>
      <c r="AP326" s="22">
        <f t="shared" si="151"/>
        <v>304277.93302859942</v>
      </c>
      <c r="AQ326" s="22">
        <f t="shared" si="152"/>
        <v>304277.93302859942</v>
      </c>
      <c r="AR326" s="22">
        <f t="shared" si="153"/>
        <v>304277.93302859942</v>
      </c>
      <c r="AS326" s="121" t="str">
        <f t="shared" si="154"/>
        <v>Crops</v>
      </c>
      <c r="AT326" s="121" t="str">
        <f t="shared" si="175"/>
        <v xml:space="preserve"> </v>
      </c>
      <c r="AU326" s="121" t="str">
        <f t="shared" si="175"/>
        <v xml:space="preserve"> </v>
      </c>
      <c r="AV326" s="121" t="str">
        <f t="shared" si="175"/>
        <v xml:space="preserve"> </v>
      </c>
      <c r="AW326" s="130" t="str">
        <f t="shared" si="176"/>
        <v>100</v>
      </c>
      <c r="AX326" s="130" t="str">
        <f t="shared" si="176"/>
        <v xml:space="preserve"> </v>
      </c>
      <c r="AY326" s="130" t="str">
        <f t="shared" si="176"/>
        <v xml:space="preserve"> </v>
      </c>
      <c r="AZ326" s="130" t="str">
        <f t="shared" si="176"/>
        <v xml:space="preserve"> </v>
      </c>
      <c r="BA326" s="121">
        <f t="shared" si="155"/>
        <v>304277.93302859942</v>
      </c>
      <c r="BB326" s="121">
        <f t="shared" si="156"/>
        <v>0</v>
      </c>
      <c r="BC326" s="121">
        <f t="shared" si="157"/>
        <v>0</v>
      </c>
      <c r="BD326" s="121">
        <f t="shared" si="158"/>
        <v>0</v>
      </c>
      <c r="BE326" s="121">
        <f t="shared" si="159"/>
        <v>304277.93302859942</v>
      </c>
      <c r="BF326" s="121">
        <f t="shared" si="160"/>
        <v>304277.93302859942</v>
      </c>
      <c r="BG326" s="121">
        <f t="shared" si="161"/>
        <v>304277.93302859942</v>
      </c>
      <c r="BH326" s="121">
        <f t="shared" si="162"/>
        <v>304277.93302859942</v>
      </c>
      <c r="BI326" s="121">
        <f t="shared" si="163"/>
        <v>304277.93302859942</v>
      </c>
      <c r="BJ326" s="121">
        <f t="shared" si="164"/>
        <v>304277.93302859942</v>
      </c>
      <c r="BK326" s="121">
        <f t="shared" si="165"/>
        <v>304277.93302859942</v>
      </c>
      <c r="BL326" s="121">
        <f t="shared" si="166"/>
        <v>304277.93302859942</v>
      </c>
      <c r="BM326" s="121">
        <f t="shared" si="167"/>
        <v>304277.93302859942</v>
      </c>
      <c r="BN326" s="121">
        <f t="shared" si="168"/>
        <v>304277.93302859942</v>
      </c>
      <c r="BO326" s="121">
        <f t="shared" si="169"/>
        <v>304277.93302859942</v>
      </c>
      <c r="BP326" s="121">
        <f t="shared" si="170"/>
        <v>304277.93302859942</v>
      </c>
      <c r="BQ326" s="199">
        <f>INDEX('GDP deflators'!$C$6:$M$36,MATCH('Bottom-up tagging'!$D326,'GDP deflators'!$B$6:$B$36,),MATCH('Bottom-up tagging'!$E326,'GDP deflators'!$C$5:$L$5,))/100</f>
        <v>1.7574393077980395</v>
      </c>
      <c r="BR326" s="24">
        <v>534750</v>
      </c>
    </row>
    <row r="327" spans="2:70" ht="26.15" hidden="1" customHeight="1">
      <c r="B327" s="110" t="s">
        <v>2588</v>
      </c>
      <c r="C327" s="110" t="s">
        <v>2590</v>
      </c>
      <c r="D327" s="110" t="s">
        <v>2057</v>
      </c>
      <c r="E327" s="103">
        <v>2015</v>
      </c>
      <c r="F327" s="108" t="s">
        <v>9019</v>
      </c>
      <c r="G327" s="111" t="s">
        <v>124</v>
      </c>
      <c r="H327" s="110" t="s">
        <v>10451</v>
      </c>
      <c r="I327" s="112">
        <f>IF(Dashboard!$B$16="Current USD",'Bottom-up tagging'!BR327,'Bottom-up tagging'!BR327/'Bottom-up tagging'!BQ327)</f>
        <v>464294.2263421003</v>
      </c>
      <c r="J327" s="118" t="s">
        <v>10474</v>
      </c>
      <c r="K327" s="112"/>
      <c r="L327" s="135">
        <v>1</v>
      </c>
      <c r="M327" s="135">
        <v>1</v>
      </c>
      <c r="N327" s="112"/>
      <c r="O327" s="112"/>
      <c r="P327" s="112" t="str">
        <f>VLOOKUP(B327, 'Companies covered restructured'!$B$7:$K$470, 9, FALSE)</f>
        <v>Agri marketplaces</v>
      </c>
      <c r="Q327" s="112" t="str">
        <f>VLOOKUP(B327, 'Companies covered restructured'!$B$7:$K$470, 6, FALSE)</f>
        <v>#Crops(100)</v>
      </c>
      <c r="R327" s="112" t="str">
        <f t="shared" si="142"/>
        <v>N/A</v>
      </c>
      <c r="S327" s="112" t="s">
        <v>11003</v>
      </c>
      <c r="T327" s="112" t="s">
        <v>10466</v>
      </c>
      <c r="U327" s="103" t="s">
        <v>10970</v>
      </c>
      <c r="V327" s="112" t="str">
        <f>VLOOKUP(P327, 'Bottom-up Tagging Assumptions'!$B$12:$F$39, 5, FALSE)</f>
        <v>#Process Innovation(100)</v>
      </c>
      <c r="W327" s="112" t="str">
        <f>VLOOKUP(B327, 'Companies covered restructured'!$B$7:$K$470, 7, FALSE)</f>
        <v>#Landscape(100)</v>
      </c>
      <c r="X327" s="112" t="str">
        <f>VLOOKUP(B327, 'Companies covered restructured'!$B$7:$K$470, 8, FALSE)</f>
        <v>N/A</v>
      </c>
      <c r="Y327" s="212" t="str">
        <f>VLOOKUP(P327, 'Bottom-up Tagging Assumptions'!$B$12:$C$56, 2, FALSE)</f>
        <v>#Other Economic(P); Social(S)</v>
      </c>
      <c r="Z327" s="112" t="str">
        <f>VLOOKUP(P327, 'Bottom-up Tagging Assumptions'!$B$12:$F$56, 3, FALSE)</f>
        <v>#Improve price realization(P)</v>
      </c>
      <c r="AA327" s="112" t="str">
        <f>VLOOKUP(P327, 'Bottom-up Tagging Assumptions'!$B$12:$F$56, 4, FALSE)</f>
        <v>#Level 4(100)</v>
      </c>
      <c r="AB327" s="110"/>
      <c r="AC327" s="110"/>
      <c r="AD327" s="110"/>
      <c r="AE327" s="110" t="s">
        <v>10558</v>
      </c>
      <c r="AF327" s="112">
        <v>89953</v>
      </c>
      <c r="AG327" s="110" t="s">
        <v>2334</v>
      </c>
      <c r="AH327" s="121">
        <f t="shared" si="143"/>
        <v>0</v>
      </c>
      <c r="AI327" s="121">
        <f t="shared" si="144"/>
        <v>0</v>
      </c>
      <c r="AJ327" s="121">
        <f t="shared" si="145"/>
        <v>1</v>
      </c>
      <c r="AK327" s="121">
        <f t="shared" si="146"/>
        <v>1</v>
      </c>
      <c r="AL327" s="121">
        <f t="shared" si="147"/>
        <v>0</v>
      </c>
      <c r="AM327" s="121">
        <f t="shared" si="148"/>
        <v>0</v>
      </c>
      <c r="AN327" s="121">
        <f t="shared" si="149"/>
        <v>1</v>
      </c>
      <c r="AO327" s="121">
        <f t="shared" si="150"/>
        <v>0</v>
      </c>
      <c r="AP327" s="22">
        <f t="shared" si="151"/>
        <v>0</v>
      </c>
      <c r="AQ327" s="22">
        <f t="shared" si="152"/>
        <v>464294.2263421003</v>
      </c>
      <c r="AR327" s="22">
        <f t="shared" si="153"/>
        <v>0</v>
      </c>
      <c r="AS327" s="121" t="str">
        <f t="shared" si="154"/>
        <v>Crops</v>
      </c>
      <c r="AT327" s="121" t="str">
        <f t="shared" si="175"/>
        <v xml:space="preserve"> </v>
      </c>
      <c r="AU327" s="121" t="str">
        <f t="shared" si="175"/>
        <v xml:space="preserve"> </v>
      </c>
      <c r="AV327" s="121" t="str">
        <f t="shared" si="175"/>
        <v xml:space="preserve"> </v>
      </c>
      <c r="AW327" s="130" t="str">
        <f t="shared" si="176"/>
        <v>100</v>
      </c>
      <c r="AX327" s="130" t="str">
        <f t="shared" si="176"/>
        <v xml:space="preserve"> </v>
      </c>
      <c r="AY327" s="130" t="str">
        <f t="shared" si="176"/>
        <v xml:space="preserve"> </v>
      </c>
      <c r="AZ327" s="130" t="str">
        <f t="shared" si="176"/>
        <v xml:space="preserve"> </v>
      </c>
      <c r="BA327" s="121">
        <f t="shared" si="155"/>
        <v>464294.2263421003</v>
      </c>
      <c r="BB327" s="121">
        <f t="shared" si="156"/>
        <v>0</v>
      </c>
      <c r="BC327" s="121">
        <f t="shared" si="157"/>
        <v>0</v>
      </c>
      <c r="BD327" s="121">
        <f t="shared" si="158"/>
        <v>0</v>
      </c>
      <c r="BE327" s="121">
        <f t="shared" si="159"/>
        <v>0</v>
      </c>
      <c r="BF327" s="121">
        <f t="shared" si="160"/>
        <v>0</v>
      </c>
      <c r="BG327" s="121">
        <f t="shared" si="161"/>
        <v>0</v>
      </c>
      <c r="BH327" s="121">
        <f t="shared" si="162"/>
        <v>0</v>
      </c>
      <c r="BI327" s="121">
        <f t="shared" si="163"/>
        <v>464294.2263421003</v>
      </c>
      <c r="BJ327" s="121">
        <f t="shared" si="164"/>
        <v>464294.2263421003</v>
      </c>
      <c r="BK327" s="121">
        <f t="shared" si="165"/>
        <v>464294.2263421003</v>
      </c>
      <c r="BL327" s="121">
        <f t="shared" si="166"/>
        <v>464294.2263421003</v>
      </c>
      <c r="BM327" s="121">
        <f t="shared" si="167"/>
        <v>0</v>
      </c>
      <c r="BN327" s="121">
        <f t="shared" si="168"/>
        <v>0</v>
      </c>
      <c r="BO327" s="121">
        <f t="shared" si="169"/>
        <v>0</v>
      </c>
      <c r="BP327" s="121">
        <f t="shared" si="170"/>
        <v>0</v>
      </c>
      <c r="BQ327" s="199">
        <f>INDEX('GDP deflators'!$C$6:$M$36,MATCH('Bottom-up tagging'!$D327,'GDP deflators'!$B$6:$B$36,),MATCH('Bottom-up tagging'!$E327,'GDP deflators'!$C$5:$L$5,))/100</f>
        <v>1.1415175333442258</v>
      </c>
      <c r="BR327" s="24">
        <v>530000</v>
      </c>
    </row>
    <row r="328" spans="2:70" ht="26.15" hidden="1" customHeight="1">
      <c r="B328" s="110" t="s">
        <v>749</v>
      </c>
      <c r="C328" s="110" t="s">
        <v>751</v>
      </c>
      <c r="D328" s="110" t="s">
        <v>3994</v>
      </c>
      <c r="E328" s="103">
        <v>2013</v>
      </c>
      <c r="F328" s="108" t="s">
        <v>8490</v>
      </c>
      <c r="G328" s="111" t="s">
        <v>34</v>
      </c>
      <c r="H328" s="110" t="s">
        <v>10451</v>
      </c>
      <c r="I328" s="112">
        <f>IF(Dashboard!$B$16="Current USD",'Bottom-up tagging'!BR328,'Bottom-up tagging'!BR328/'Bottom-up tagging'!BQ328)</f>
        <v>420439.62393090705</v>
      </c>
      <c r="J328" s="117" t="s">
        <v>10474</v>
      </c>
      <c r="K328" s="112"/>
      <c r="L328" s="135">
        <v>1</v>
      </c>
      <c r="M328" s="135">
        <v>1</v>
      </c>
      <c r="N328" s="112"/>
      <c r="O328" s="112"/>
      <c r="P328" s="112" t="str">
        <f>VLOOKUP(B328, 'Companies covered restructured'!$B$7:$K$470, 9, FALSE)</f>
        <v>Equipment automation</v>
      </c>
      <c r="Q328" s="112" t="str">
        <f>VLOOKUP(B328, 'Companies covered restructured'!$B$7:$K$470, 6, FALSE)</f>
        <v>#Crops(100)</v>
      </c>
      <c r="R328" s="112" t="str">
        <f t="shared" si="142"/>
        <v>#Corporate(100)</v>
      </c>
      <c r="S328" s="112" t="s">
        <v>11003</v>
      </c>
      <c r="T328" s="112" t="s">
        <v>10466</v>
      </c>
      <c r="U328" s="103" t="s">
        <v>10970</v>
      </c>
      <c r="V328" s="112" t="str">
        <f>VLOOKUP(P328, 'Bottom-up Tagging Assumptions'!$B$12:$F$39, 5, FALSE)</f>
        <v>#Science &amp; tech(100)</v>
      </c>
      <c r="W328" s="112" t="str">
        <f>VLOOKUP(B328, 'Companies covered restructured'!$B$7:$K$470, 7, FALSE)</f>
        <v>N/A</v>
      </c>
      <c r="X328" s="112" t="str">
        <f>VLOOKUP(B328, 'Companies covered restructured'!$B$7:$K$470, 8, FALSE)</f>
        <v>N/A</v>
      </c>
      <c r="Y328" s="212" t="str">
        <f>VLOOKUP(P328, 'Bottom-up Tagging Assumptions'!$B$12:$C$56, 2, FALSE)</f>
        <v>#Productivity(P); #Other Economic(S)</v>
      </c>
      <c r="Z328" s="112" t="str">
        <f>VLOOKUP(P328, 'Bottom-up Tagging Assumptions'!$B$12:$F$56, 3, FALSE)</f>
        <v>#Reducing human effort(P); #Increasing output per unit input(S)</v>
      </c>
      <c r="AA328" s="112" t="str">
        <f>VLOOKUP(P328, 'Bottom-up Tagging Assumptions'!$B$12:$F$56, 4, FALSE)</f>
        <v>#Level 1(100)</v>
      </c>
      <c r="AB328" s="110" t="s">
        <v>2211</v>
      </c>
      <c r="AC328" s="110"/>
      <c r="AD328" s="110" t="s">
        <v>2212</v>
      </c>
      <c r="AE328" s="110" t="str">
        <f>VLOOKUP(AD328,  '1.2'!$B$7:$C$2033, 2, FALSE)</f>
        <v>CORPORATE_INVESTOR</v>
      </c>
      <c r="AF328" s="112"/>
      <c r="AG328" s="110" t="s">
        <v>2340</v>
      </c>
      <c r="AH328" s="121">
        <f t="shared" si="143"/>
        <v>0</v>
      </c>
      <c r="AI328" s="121">
        <f t="shared" si="144"/>
        <v>1</v>
      </c>
      <c r="AJ328" s="121">
        <f t="shared" si="145"/>
        <v>1</v>
      </c>
      <c r="AK328" s="121">
        <f t="shared" si="146"/>
        <v>0</v>
      </c>
      <c r="AL328" s="121">
        <f t="shared" si="147"/>
        <v>0</v>
      </c>
      <c r="AM328" s="121">
        <f t="shared" si="148"/>
        <v>0</v>
      </c>
      <c r="AN328" s="121">
        <f t="shared" si="149"/>
        <v>0</v>
      </c>
      <c r="AO328" s="121">
        <f t="shared" si="150"/>
        <v>0</v>
      </c>
      <c r="AP328" s="22">
        <f t="shared" si="151"/>
        <v>0</v>
      </c>
      <c r="AQ328" s="22">
        <f t="shared" si="152"/>
        <v>0</v>
      </c>
      <c r="AR328" s="22">
        <f t="shared" si="153"/>
        <v>0</v>
      </c>
      <c r="AS328" s="121" t="str">
        <f t="shared" si="154"/>
        <v>Crops</v>
      </c>
      <c r="AT328" s="121" t="str">
        <f t="shared" si="175"/>
        <v xml:space="preserve"> </v>
      </c>
      <c r="AU328" s="121" t="str">
        <f t="shared" si="175"/>
        <v xml:space="preserve"> </v>
      </c>
      <c r="AV328" s="121" t="str">
        <f t="shared" si="175"/>
        <v xml:space="preserve"> </v>
      </c>
      <c r="AW328" s="130" t="str">
        <f t="shared" si="176"/>
        <v>100</v>
      </c>
      <c r="AX328" s="130" t="str">
        <f t="shared" si="176"/>
        <v xml:space="preserve"> </v>
      </c>
      <c r="AY328" s="130" t="str">
        <f t="shared" si="176"/>
        <v xml:space="preserve"> </v>
      </c>
      <c r="AZ328" s="130" t="str">
        <f t="shared" si="176"/>
        <v xml:space="preserve"> </v>
      </c>
      <c r="BA328" s="121">
        <f t="shared" si="155"/>
        <v>420439.62393090705</v>
      </c>
      <c r="BB328" s="121">
        <f t="shared" si="156"/>
        <v>0</v>
      </c>
      <c r="BC328" s="121">
        <f t="shared" si="157"/>
        <v>0</v>
      </c>
      <c r="BD328" s="121">
        <f t="shared" si="158"/>
        <v>0</v>
      </c>
      <c r="BE328" s="121">
        <f t="shared" si="159"/>
        <v>0</v>
      </c>
      <c r="BF328" s="121">
        <f t="shared" si="160"/>
        <v>0</v>
      </c>
      <c r="BG328" s="121">
        <f t="shared" si="161"/>
        <v>0</v>
      </c>
      <c r="BH328" s="121">
        <f t="shared" si="162"/>
        <v>0</v>
      </c>
      <c r="BI328" s="121">
        <f t="shared" si="163"/>
        <v>0</v>
      </c>
      <c r="BJ328" s="121">
        <f t="shared" si="164"/>
        <v>0</v>
      </c>
      <c r="BK328" s="121">
        <f t="shared" si="165"/>
        <v>0</v>
      </c>
      <c r="BL328" s="121">
        <f t="shared" si="166"/>
        <v>0</v>
      </c>
      <c r="BM328" s="121">
        <f t="shared" si="167"/>
        <v>0</v>
      </c>
      <c r="BN328" s="121">
        <f t="shared" si="168"/>
        <v>0</v>
      </c>
      <c r="BO328" s="121">
        <f t="shared" si="169"/>
        <v>0</v>
      </c>
      <c r="BP328" s="121">
        <f t="shared" si="170"/>
        <v>0</v>
      </c>
      <c r="BQ328" s="199">
        <f>INDEX('GDP deflators'!$C$6:$M$36,MATCH('Bottom-up tagging'!$D328,'GDP deflators'!$B$6:$B$36,),MATCH('Bottom-up tagging'!$E328,'GDP deflators'!$C$5:$L$5,))/100</f>
        <v>1.2462146053248888</v>
      </c>
      <c r="BR328" s="24">
        <v>523958</v>
      </c>
    </row>
    <row r="329" spans="2:70" ht="26.15" hidden="1" customHeight="1">
      <c r="B329" s="110" t="s">
        <v>1946</v>
      </c>
      <c r="C329" s="110" t="s">
        <v>1951</v>
      </c>
      <c r="D329" s="110" t="s">
        <v>3994</v>
      </c>
      <c r="E329" s="103">
        <v>2017</v>
      </c>
      <c r="F329" s="108" t="s">
        <v>7944</v>
      </c>
      <c r="G329" s="111" t="s">
        <v>34</v>
      </c>
      <c r="H329" s="110" t="s">
        <v>10451</v>
      </c>
      <c r="I329" s="112">
        <f>IF(Dashboard!$B$16="Current USD",'Bottom-up tagging'!BR329,'Bottom-up tagging'!BR329/'Bottom-up tagging'!BQ329)</f>
        <v>368478.76670147537</v>
      </c>
      <c r="J329" s="117" t="s">
        <v>10474</v>
      </c>
      <c r="K329" s="112"/>
      <c r="L329" s="135">
        <v>1</v>
      </c>
      <c r="M329" s="135">
        <v>1</v>
      </c>
      <c r="N329" s="112"/>
      <c r="O329" s="112"/>
      <c r="P329" s="112" t="str">
        <f>VLOOKUP(B329, 'Companies covered restructured'!$B$7:$K$470, 9, FALSE)</f>
        <v>Supply chain technologies</v>
      </c>
      <c r="Q329" s="112" t="str">
        <f>VLOOKUP(B329, 'Companies covered restructured'!$B$7:$K$470, 6, FALSE)</f>
        <v>#Crops(100)</v>
      </c>
      <c r="R329" s="112" t="str">
        <f t="shared" si="142"/>
        <v>#Angel Investor(100)</v>
      </c>
      <c r="S329" s="112" t="s">
        <v>11003</v>
      </c>
      <c r="T329" s="112" t="s">
        <v>10466</v>
      </c>
      <c r="U329" s="103" t="s">
        <v>10970</v>
      </c>
      <c r="V329" s="112" t="str">
        <f>VLOOKUP(P329, 'Bottom-up Tagging Assumptions'!$B$12:$F$39, 5, FALSE)</f>
        <v>#Process Innovation(100)</v>
      </c>
      <c r="W329" s="112" t="str">
        <f>VLOOKUP(B329, 'Companies covered restructured'!$B$7:$K$470, 7, FALSE)</f>
        <v>#Farm/Household(100)</v>
      </c>
      <c r="X329" s="112" t="s">
        <v>10558</v>
      </c>
      <c r="Y329" s="212" t="str">
        <f>VLOOKUP(P329, 'Bottom-up Tagging Assumptions'!$B$12:$C$56, 2, FALSE)</f>
        <v>#Other Economic(P); Social(S)</v>
      </c>
      <c r="Z329" s="112" t="str">
        <f>VLOOKUP(P329, 'Bottom-up Tagging Assumptions'!$B$12:$F$56, 3, FALSE)</f>
        <v>#Improve price realization(P)</v>
      </c>
      <c r="AA329" s="112" t="str">
        <f>VLOOKUP(P329, 'Bottom-up Tagging Assumptions'!$B$12:$F$56, 4, FALSE)</f>
        <v>#Level 3(100)</v>
      </c>
      <c r="AB329" s="110"/>
      <c r="AC329" s="110" t="s">
        <v>2172</v>
      </c>
      <c r="AD329" s="110" t="s">
        <v>2173</v>
      </c>
      <c r="AE329" s="110" t="str">
        <f>VLOOKUP(AD329,  '1.2'!$B$7:$C$2033, 2, FALSE)</f>
        <v>ANGEL</v>
      </c>
      <c r="AF329" s="112">
        <v>5971680</v>
      </c>
      <c r="AG329" s="110" t="s">
        <v>2346</v>
      </c>
      <c r="AH329" s="121">
        <f t="shared" si="143"/>
        <v>0</v>
      </c>
      <c r="AI329" s="121">
        <f t="shared" si="144"/>
        <v>0</v>
      </c>
      <c r="AJ329" s="121">
        <f t="shared" si="145"/>
        <v>1</v>
      </c>
      <c r="AK329" s="121">
        <f t="shared" si="146"/>
        <v>1</v>
      </c>
      <c r="AL329" s="121">
        <f t="shared" si="147"/>
        <v>0</v>
      </c>
      <c r="AM329" s="121">
        <f t="shared" si="148"/>
        <v>0</v>
      </c>
      <c r="AN329" s="121">
        <f t="shared" si="149"/>
        <v>1</v>
      </c>
      <c r="AO329" s="121">
        <f t="shared" si="150"/>
        <v>0</v>
      </c>
      <c r="AP329" s="22">
        <f t="shared" si="151"/>
        <v>0</v>
      </c>
      <c r="AQ329" s="22">
        <f t="shared" si="152"/>
        <v>368478.76670147537</v>
      </c>
      <c r="AR329" s="22">
        <f t="shared" si="153"/>
        <v>0</v>
      </c>
      <c r="AS329" s="121" t="str">
        <f t="shared" si="154"/>
        <v>Crops</v>
      </c>
      <c r="AT329" s="121" t="str">
        <f t="shared" si="175"/>
        <v xml:space="preserve"> </v>
      </c>
      <c r="AU329" s="121" t="str">
        <f t="shared" si="175"/>
        <v xml:space="preserve"> </v>
      </c>
      <c r="AV329" s="121" t="str">
        <f t="shared" si="175"/>
        <v xml:space="preserve"> </v>
      </c>
      <c r="AW329" s="130" t="str">
        <f t="shared" si="176"/>
        <v>100</v>
      </c>
      <c r="AX329" s="130" t="str">
        <f t="shared" si="176"/>
        <v xml:space="preserve"> </v>
      </c>
      <c r="AY329" s="130" t="str">
        <f t="shared" si="176"/>
        <v xml:space="preserve"> </v>
      </c>
      <c r="AZ329" s="130" t="str">
        <f t="shared" si="176"/>
        <v xml:space="preserve"> </v>
      </c>
      <c r="BA329" s="121">
        <f t="shared" si="155"/>
        <v>368478.76670147537</v>
      </c>
      <c r="BB329" s="121">
        <f t="shared" si="156"/>
        <v>0</v>
      </c>
      <c r="BC329" s="121">
        <f t="shared" si="157"/>
        <v>0</v>
      </c>
      <c r="BD329" s="121">
        <f t="shared" si="158"/>
        <v>0</v>
      </c>
      <c r="BE329" s="121">
        <f t="shared" si="159"/>
        <v>0</v>
      </c>
      <c r="BF329" s="121">
        <f t="shared" si="160"/>
        <v>0</v>
      </c>
      <c r="BG329" s="121">
        <f t="shared" si="161"/>
        <v>0</v>
      </c>
      <c r="BH329" s="121">
        <f t="shared" si="162"/>
        <v>0</v>
      </c>
      <c r="BI329" s="121">
        <f t="shared" si="163"/>
        <v>368478.76670147537</v>
      </c>
      <c r="BJ329" s="121">
        <f t="shared" si="164"/>
        <v>368478.76670147537</v>
      </c>
      <c r="BK329" s="121">
        <f t="shared" si="165"/>
        <v>368478.76670147537</v>
      </c>
      <c r="BL329" s="121">
        <f t="shared" si="166"/>
        <v>368478.76670147537</v>
      </c>
      <c r="BM329" s="121">
        <f t="shared" si="167"/>
        <v>0</v>
      </c>
      <c r="BN329" s="121">
        <f t="shared" si="168"/>
        <v>0</v>
      </c>
      <c r="BO329" s="121">
        <f t="shared" si="169"/>
        <v>0</v>
      </c>
      <c r="BP329" s="121">
        <f t="shared" si="170"/>
        <v>0</v>
      </c>
      <c r="BQ329" s="199">
        <f>INDEX('GDP deflators'!$C$6:$M$36,MATCH('Bottom-up tagging'!$D329,'GDP deflators'!$B$6:$B$36,),MATCH('Bottom-up tagging'!$E329,'GDP deflators'!$C$5:$L$5,))/100</f>
        <v>1.4111098032990623</v>
      </c>
      <c r="BR329" s="24">
        <v>519964</v>
      </c>
    </row>
    <row r="330" spans="2:70" ht="26.15" hidden="1" customHeight="1">
      <c r="B330" s="110" t="s">
        <v>749</v>
      </c>
      <c r="C330" s="110" t="s">
        <v>751</v>
      </c>
      <c r="D330" s="110" t="s">
        <v>3994</v>
      </c>
      <c r="E330" s="103">
        <v>2016</v>
      </c>
      <c r="F330" s="108" t="s">
        <v>8490</v>
      </c>
      <c r="G330" s="111" t="s">
        <v>34</v>
      </c>
      <c r="H330" s="110" t="s">
        <v>10451</v>
      </c>
      <c r="I330" s="112">
        <f>IF(Dashboard!$B$16="Current USD",'Bottom-up tagging'!BR330,'Bottom-up tagging'!BR330/'Bottom-up tagging'!BQ330)</f>
        <v>379200.37754326203</v>
      </c>
      <c r="J330" s="105" t="s">
        <v>10474</v>
      </c>
      <c r="K330" s="112"/>
      <c r="L330" s="135">
        <v>1</v>
      </c>
      <c r="M330" s="135">
        <v>1</v>
      </c>
      <c r="N330" s="112"/>
      <c r="O330" s="112"/>
      <c r="P330" s="112" t="str">
        <f>VLOOKUP(B330, 'Companies covered restructured'!$B$7:$K$470, 9, FALSE)</f>
        <v>Equipment automation</v>
      </c>
      <c r="Q330" s="112" t="str">
        <f>VLOOKUP(B330, 'Companies covered restructured'!$B$7:$K$470, 6, FALSE)</f>
        <v>#Crops(100)</v>
      </c>
      <c r="R330" s="112" t="str">
        <f t="shared" si="142"/>
        <v>N/A</v>
      </c>
      <c r="S330" s="112" t="s">
        <v>11003</v>
      </c>
      <c r="T330" s="112" t="s">
        <v>10466</v>
      </c>
      <c r="U330" s="103" t="s">
        <v>10970</v>
      </c>
      <c r="V330" s="112" t="str">
        <f>VLOOKUP(P330, 'Bottom-up Tagging Assumptions'!$B$12:$F$39, 5, FALSE)</f>
        <v>#Science &amp; tech(100)</v>
      </c>
      <c r="W330" s="112" t="str">
        <f>VLOOKUP(B330, 'Companies covered restructured'!$B$7:$K$470, 7, FALSE)</f>
        <v>N/A</v>
      </c>
      <c r="X330" s="112" t="str">
        <f>VLOOKUP(B330, 'Companies covered restructured'!$B$7:$K$470, 8, FALSE)</f>
        <v>N/A</v>
      </c>
      <c r="Y330" s="212" t="str">
        <f>VLOOKUP(P330, 'Bottom-up Tagging Assumptions'!$B$12:$C$56, 2, FALSE)</f>
        <v>#Productivity(P); #Other Economic(S)</v>
      </c>
      <c r="Z330" s="112" t="str">
        <f>VLOOKUP(P330, 'Bottom-up Tagging Assumptions'!$B$12:$F$56, 3, FALSE)</f>
        <v>#Reducing human effort(P); #Increasing output per unit input(S)</v>
      </c>
      <c r="AA330" s="112" t="str">
        <f>VLOOKUP(P330, 'Bottom-up Tagging Assumptions'!$B$12:$F$56, 4, FALSE)</f>
        <v>#Level 1(100)</v>
      </c>
      <c r="AB330" s="110"/>
      <c r="AC330" s="110"/>
      <c r="AD330" s="110"/>
      <c r="AE330" s="110" t="s">
        <v>10558</v>
      </c>
      <c r="AF330" s="112">
        <v>2500000</v>
      </c>
      <c r="AG330" s="110" t="s">
        <v>2351</v>
      </c>
      <c r="AH330" s="121">
        <f t="shared" si="143"/>
        <v>0</v>
      </c>
      <c r="AI330" s="121">
        <f t="shared" si="144"/>
        <v>1</v>
      </c>
      <c r="AJ330" s="121">
        <f t="shared" si="145"/>
        <v>1</v>
      </c>
      <c r="AK330" s="121">
        <f t="shared" si="146"/>
        <v>0</v>
      </c>
      <c r="AL330" s="121">
        <f t="shared" si="147"/>
        <v>0</v>
      </c>
      <c r="AM330" s="121">
        <f t="shared" si="148"/>
        <v>0</v>
      </c>
      <c r="AN330" s="121">
        <f t="shared" si="149"/>
        <v>0</v>
      </c>
      <c r="AO330" s="121">
        <f t="shared" si="150"/>
        <v>0</v>
      </c>
      <c r="AP330" s="22">
        <f t="shared" si="151"/>
        <v>0</v>
      </c>
      <c r="AQ330" s="22">
        <f t="shared" si="152"/>
        <v>0</v>
      </c>
      <c r="AR330" s="22">
        <f t="shared" si="153"/>
        <v>0</v>
      </c>
      <c r="AS330" s="121" t="str">
        <f t="shared" si="154"/>
        <v>Crops</v>
      </c>
      <c r="AT330" s="121" t="str">
        <f t="shared" si="175"/>
        <v xml:space="preserve"> </v>
      </c>
      <c r="AU330" s="121" t="str">
        <f t="shared" si="175"/>
        <v xml:space="preserve"> </v>
      </c>
      <c r="AV330" s="121" t="str">
        <f t="shared" si="175"/>
        <v xml:space="preserve"> </v>
      </c>
      <c r="AW330" s="130" t="str">
        <f t="shared" si="176"/>
        <v>100</v>
      </c>
      <c r="AX330" s="130" t="str">
        <f t="shared" si="176"/>
        <v xml:space="preserve"> </v>
      </c>
      <c r="AY330" s="130" t="str">
        <f t="shared" si="176"/>
        <v xml:space="preserve"> </v>
      </c>
      <c r="AZ330" s="130" t="str">
        <f t="shared" si="176"/>
        <v xml:space="preserve"> </v>
      </c>
      <c r="BA330" s="121">
        <f t="shared" si="155"/>
        <v>379200.37754326203</v>
      </c>
      <c r="BB330" s="121">
        <f t="shared" si="156"/>
        <v>0</v>
      </c>
      <c r="BC330" s="121">
        <f t="shared" si="157"/>
        <v>0</v>
      </c>
      <c r="BD330" s="121">
        <f t="shared" si="158"/>
        <v>0</v>
      </c>
      <c r="BE330" s="121">
        <f t="shared" si="159"/>
        <v>0</v>
      </c>
      <c r="BF330" s="121">
        <f t="shared" si="160"/>
        <v>0</v>
      </c>
      <c r="BG330" s="121">
        <f t="shared" si="161"/>
        <v>0</v>
      </c>
      <c r="BH330" s="121">
        <f t="shared" si="162"/>
        <v>0</v>
      </c>
      <c r="BI330" s="121">
        <f t="shared" si="163"/>
        <v>0</v>
      </c>
      <c r="BJ330" s="121">
        <f t="shared" si="164"/>
        <v>0</v>
      </c>
      <c r="BK330" s="121">
        <f t="shared" si="165"/>
        <v>0</v>
      </c>
      <c r="BL330" s="121">
        <f t="shared" si="166"/>
        <v>0</v>
      </c>
      <c r="BM330" s="121">
        <f t="shared" si="167"/>
        <v>0</v>
      </c>
      <c r="BN330" s="121">
        <f t="shared" si="168"/>
        <v>0</v>
      </c>
      <c r="BO330" s="121">
        <f t="shared" si="169"/>
        <v>0</v>
      </c>
      <c r="BP330" s="121">
        <f t="shared" si="170"/>
        <v>0</v>
      </c>
      <c r="BQ330" s="199">
        <f>INDEX('GDP deflators'!$C$6:$M$36,MATCH('Bottom-up tagging'!$D330,'GDP deflators'!$B$6:$B$36,),MATCH('Bottom-up tagging'!$E330,'GDP deflators'!$C$5:$L$5,))/100</f>
        <v>1.3597375702538033</v>
      </c>
      <c r="BR330" s="24">
        <v>515613</v>
      </c>
    </row>
    <row r="331" spans="2:70" ht="26.15" hidden="1" customHeight="1">
      <c r="B331" s="110" t="s">
        <v>125</v>
      </c>
      <c r="C331" s="110" t="s">
        <v>129</v>
      </c>
      <c r="D331" s="110" t="s">
        <v>3994</v>
      </c>
      <c r="E331" s="103">
        <v>2020</v>
      </c>
      <c r="F331" s="108" t="s">
        <v>5660</v>
      </c>
      <c r="G331" s="111" t="s">
        <v>124</v>
      </c>
      <c r="H331" s="110" t="s">
        <v>10451</v>
      </c>
      <c r="I331" s="212">
        <v>0</v>
      </c>
      <c r="J331" s="118" t="s">
        <v>10474</v>
      </c>
      <c r="K331" s="112"/>
      <c r="L331" s="135">
        <v>1</v>
      </c>
      <c r="M331" s="135">
        <v>1</v>
      </c>
      <c r="N331" s="112"/>
      <c r="O331" s="112"/>
      <c r="P331" s="112" t="str">
        <f>VLOOKUP(B331, 'Companies covered restructured'!$B$7:$K$470, 9, FALSE)</f>
        <v>Agri marketplaces</v>
      </c>
      <c r="Q331" s="112" t="str">
        <f>VLOOKUP(B331, 'Companies covered restructured'!$B$7:$K$470, 6, FALSE)</f>
        <v>#Crops(100)</v>
      </c>
      <c r="R331" s="112" t="str">
        <f t="shared" si="142"/>
        <v>#Angel Investor(100)</v>
      </c>
      <c r="S331" s="112" t="s">
        <v>11003</v>
      </c>
      <c r="T331" s="112" t="s">
        <v>10466</v>
      </c>
      <c r="U331" s="103" t="s">
        <v>10970</v>
      </c>
      <c r="V331" s="112" t="str">
        <f>VLOOKUP(P331, 'Bottom-up Tagging Assumptions'!$B$12:$F$39, 5, FALSE)</f>
        <v>#Process Innovation(100)</v>
      </c>
      <c r="W331" s="112" t="str">
        <f>VLOOKUP(B331, 'Companies covered restructured'!$B$7:$K$470, 7, FALSE)</f>
        <v>#Farm/Household(100)</v>
      </c>
      <c r="X331" s="112" t="s">
        <v>10558</v>
      </c>
      <c r="Y331" s="112" t="str">
        <f>VLOOKUP(P331, '[2]Bottom-up Tagging Assumptions'!$B$12:$F$56, 2, FALSE)</f>
        <v>#Other Economic(P); Social(S)</v>
      </c>
      <c r="Z331" s="112" t="str">
        <f>VLOOKUP(P331, 'Bottom-up Tagging Assumptions'!$B$12:$F$56, 3, FALSE)</f>
        <v>#Improve price realization(P)</v>
      </c>
      <c r="AA331" s="112" t="str">
        <f>VLOOKUP(P331, 'Bottom-up Tagging Assumptions'!$B$12:$F$56, 4, FALSE)</f>
        <v>#Level 4(100)</v>
      </c>
      <c r="AB331" s="110"/>
      <c r="AC331" s="110" t="s">
        <v>127</v>
      </c>
      <c r="AD331" s="110" t="s">
        <v>127</v>
      </c>
      <c r="AE331" s="110" t="str">
        <f>VLOOKUP(AD331,  '1.2'!$B$7:$C$2033, 2, FALSE)</f>
        <v>ANGEL</v>
      </c>
      <c r="AF331" s="112">
        <v>36362460</v>
      </c>
      <c r="AG331" s="110" t="s">
        <v>81</v>
      </c>
      <c r="AH331" s="121">
        <f t="shared" si="143"/>
        <v>0</v>
      </c>
      <c r="AI331" s="121">
        <f t="shared" si="144"/>
        <v>0</v>
      </c>
      <c r="AJ331" s="121">
        <f t="shared" si="145"/>
        <v>1</v>
      </c>
      <c r="AK331" s="121">
        <f t="shared" si="146"/>
        <v>1</v>
      </c>
      <c r="AL331" s="121">
        <f t="shared" si="147"/>
        <v>0</v>
      </c>
      <c r="AM331" s="121">
        <f t="shared" si="148"/>
        <v>0</v>
      </c>
      <c r="AN331" s="121">
        <f t="shared" si="149"/>
        <v>1</v>
      </c>
      <c r="AO331" s="121">
        <f t="shared" si="150"/>
        <v>0</v>
      </c>
      <c r="AP331" s="22">
        <f t="shared" si="151"/>
        <v>0</v>
      </c>
      <c r="AQ331" s="22">
        <f t="shared" si="152"/>
        <v>0</v>
      </c>
      <c r="AR331" s="22">
        <f t="shared" si="153"/>
        <v>0</v>
      </c>
      <c r="AS331" s="121" t="str">
        <f t="shared" si="154"/>
        <v>Crops</v>
      </c>
      <c r="AT331" s="121" t="str">
        <f t="shared" si="175"/>
        <v xml:space="preserve"> </v>
      </c>
      <c r="AU331" s="121" t="str">
        <f t="shared" si="175"/>
        <v xml:space="preserve"> </v>
      </c>
      <c r="AV331" s="121" t="str">
        <f t="shared" si="175"/>
        <v xml:space="preserve"> </v>
      </c>
      <c r="AW331" s="130" t="str">
        <f t="shared" si="176"/>
        <v>100</v>
      </c>
      <c r="AX331" s="130" t="str">
        <f t="shared" si="176"/>
        <v xml:space="preserve"> </v>
      </c>
      <c r="AY331" s="130" t="str">
        <f t="shared" si="176"/>
        <v xml:space="preserve"> </v>
      </c>
      <c r="AZ331" s="130" t="str">
        <f t="shared" si="176"/>
        <v xml:space="preserve"> </v>
      </c>
      <c r="BA331" s="121">
        <f t="shared" si="155"/>
        <v>0</v>
      </c>
      <c r="BB331" s="121">
        <f t="shared" si="156"/>
        <v>0</v>
      </c>
      <c r="BC331" s="121">
        <f t="shared" si="157"/>
        <v>0</v>
      </c>
      <c r="BD331" s="121">
        <f t="shared" si="158"/>
        <v>0</v>
      </c>
      <c r="BE331" s="121">
        <f t="shared" si="159"/>
        <v>0</v>
      </c>
      <c r="BF331" s="121">
        <f t="shared" si="160"/>
        <v>0</v>
      </c>
      <c r="BG331" s="121">
        <f t="shared" si="161"/>
        <v>0</v>
      </c>
      <c r="BH331" s="121">
        <f t="shared" si="162"/>
        <v>0</v>
      </c>
      <c r="BI331" s="121">
        <f t="shared" si="163"/>
        <v>0</v>
      </c>
      <c r="BJ331" s="121">
        <f t="shared" si="164"/>
        <v>0</v>
      </c>
      <c r="BK331" s="121">
        <f t="shared" si="165"/>
        <v>0</v>
      </c>
      <c r="BL331" s="121">
        <f t="shared" si="166"/>
        <v>0</v>
      </c>
      <c r="BM331" s="121">
        <f t="shared" si="167"/>
        <v>0</v>
      </c>
      <c r="BN331" s="121">
        <f t="shared" si="168"/>
        <v>0</v>
      </c>
      <c r="BO331" s="121">
        <f t="shared" si="169"/>
        <v>0</v>
      </c>
      <c r="BP331" s="121">
        <f t="shared" si="170"/>
        <v>0</v>
      </c>
      <c r="BQ331" s="199" t="e">
        <f>INDEX('GDP deflators'!$C$6:$M$36,MATCH('Bottom-up tagging'!$D331,'GDP deflators'!$B$6:$B$36,),MATCH('Bottom-up tagging'!$E331,'GDP deflators'!$C$5:$L$5,))/100</f>
        <v>#N/A</v>
      </c>
      <c r="BR331" s="24">
        <v>500000</v>
      </c>
    </row>
    <row r="332" spans="2:70" ht="26.15" hidden="1" customHeight="1">
      <c r="B332" s="110" t="s">
        <v>1147</v>
      </c>
      <c r="C332" s="110" t="s">
        <v>1152</v>
      </c>
      <c r="D332" s="110" t="s">
        <v>6213</v>
      </c>
      <c r="E332" s="103">
        <v>2019</v>
      </c>
      <c r="F332" s="108" t="s">
        <v>7200</v>
      </c>
      <c r="G332" s="111" t="s">
        <v>289</v>
      </c>
      <c r="H332" s="110" t="s">
        <v>10451</v>
      </c>
      <c r="I332" s="112">
        <f>IF(Dashboard!$B$16="Current USD",'Bottom-up tagging'!BR332,'Bottom-up tagging'!BR332/'Bottom-up tagging'!BQ332)</f>
        <v>247509.33815956718</v>
      </c>
      <c r="J332" s="105" t="s">
        <v>10474</v>
      </c>
      <c r="K332" s="112"/>
      <c r="L332" s="135">
        <v>1</v>
      </c>
      <c r="M332" s="135">
        <v>1</v>
      </c>
      <c r="N332" s="112"/>
      <c r="O332" s="112"/>
      <c r="P332" s="112" t="str">
        <f>VLOOKUP(B332, 'Companies covered restructured'!$B$7:$K$470, 9, FALSE)</f>
        <v xml:space="preserve">Agriculture financing systems </v>
      </c>
      <c r="Q332" s="112" t="str">
        <f>VLOOKUP(B332, 'Companies covered restructured'!$B$7:$K$470, 6, FALSE)</f>
        <v>#Cross-cutting(100)</v>
      </c>
      <c r="R332" s="112" t="str">
        <f t="shared" ref="R332:R395" si="177">IF(AE332="FUND", "#Investment Fund(100)", IF(AE332="CORPORATE_INVESTOR", "#Corporate(100)", IF(AE332="ANGEL", "#Angel Investor(100)", "N/A")))</f>
        <v>N/A</v>
      </c>
      <c r="S332" s="112" t="s">
        <v>11003</v>
      </c>
      <c r="T332" s="112" t="s">
        <v>10464</v>
      </c>
      <c r="U332" s="103" t="s">
        <v>10970</v>
      </c>
      <c r="V332" s="112" t="str">
        <f>VLOOKUP(P332, 'Bottom-up Tagging Assumptions'!$B$12:$F$39, 5, FALSE)</f>
        <v>#Process Innovation(100)</v>
      </c>
      <c r="W332" s="112" t="str">
        <f>VLOOKUP(B332, 'Companies covered restructured'!$B$7:$K$470, 7, FALSE)</f>
        <v>#Landscape(100)</v>
      </c>
      <c r="X332" s="112" t="s">
        <v>10558</v>
      </c>
      <c r="Y332" s="212" t="str">
        <f>VLOOKUP(P332, 'Bottom-up Tagging Assumptions'!$B$12:$C$56, 2, FALSE)</f>
        <v>#Other Economic(P); Social(S)</v>
      </c>
      <c r="Z332" s="112" t="str">
        <f>VLOOKUP(P332, 'Bottom-up Tagging Assumptions'!$B$12:$F$56, 3, FALSE)</f>
        <v>NA</v>
      </c>
      <c r="AA332" s="112" t="str">
        <f>VLOOKUP(P332, 'Bottom-up Tagging Assumptions'!$B$12:$F$56, 4, FALSE)</f>
        <v>#Level 1(100)</v>
      </c>
      <c r="AB332" s="110"/>
      <c r="AC332" s="110"/>
      <c r="AD332" s="110"/>
      <c r="AE332" s="110" t="s">
        <v>10558</v>
      </c>
      <c r="AF332" s="112">
        <v>5866696</v>
      </c>
      <c r="AG332" s="110" t="s">
        <v>165</v>
      </c>
      <c r="AH332" s="121">
        <f t="shared" ref="AH332:AH395" si="178">IF(ISNUMBER(SEARCH("Environmental",$Y332))=TRUE,1,0)</f>
        <v>0</v>
      </c>
      <c r="AI332" s="121">
        <f t="shared" ref="AI332:AI395" si="179">IF(ISNUMBER(SEARCH("Productivity",$Y332))=TRUE,1,0)</f>
        <v>0</v>
      </c>
      <c r="AJ332" s="121">
        <f t="shared" ref="AJ332:AJ395" si="180">IF(ISNUMBER(SEARCH("Other Economic",$Y332))=TRUE,1,0)</f>
        <v>1</v>
      </c>
      <c r="AK332" s="121">
        <f t="shared" ref="AK332:AK395" si="181">IF(ISNUMBER(SEARCH("Social",$Y332))=TRUE,1,0)</f>
        <v>1</v>
      </c>
      <c r="AL332" s="121">
        <f t="shared" ref="AL332:AL395" si="182">IF(ISNUMBER(SEARCH("Human Condition",$Y332))=TRUE,1,0)</f>
        <v>0</v>
      </c>
      <c r="AM332" s="121">
        <f t="shared" ref="AM332:AM395" si="183">IF((AI332+AH332+AK332)=3,1,IF((AI332+AH332+AL332)=3,1,0))</f>
        <v>0</v>
      </c>
      <c r="AN332" s="121">
        <f t="shared" ref="AN332:AN395" si="184">IF(AND(SUM(AI332:AJ332)&gt;0,SUM(AK332:AL332,AH332)&gt;0),1,0)</f>
        <v>1</v>
      </c>
      <c r="AO332" s="121">
        <f t="shared" ref="AO332:AO395" si="185">IF(AI332+AH332=2, 1, 0)</f>
        <v>0</v>
      </c>
      <c r="AP332" s="22">
        <f t="shared" ref="AP332:AP395" si="186">IF(AM332=1, I332, 0)</f>
        <v>0</v>
      </c>
      <c r="AQ332" s="22">
        <f t="shared" ref="AQ332:AQ395" si="187">IF(AN332=1, I332, 0)</f>
        <v>247509.33815956718</v>
      </c>
      <c r="AR332" s="22">
        <f t="shared" ref="AR332:AR395" si="188">IF(AO332=1, I332, 0)</f>
        <v>0</v>
      </c>
      <c r="AS332" s="121" t="str">
        <f t="shared" ref="AS332:AS395" si="189">IFERROR(MID($Q332,2,(FIND("~",SUBSTITUTE($Q332,")","~",AS$10))-6)),$Q332)</f>
        <v>Cross-cutting</v>
      </c>
      <c r="AT332" s="121" t="str">
        <f t="shared" ref="AT332:AV351" si="190">IFERROR(IFERROR(MID($Q332,FIND("~",SUBSTITUTE($Q332,";","~",AT$10-1))+3,(FIND("~",SUBSTITUTE($Q332,";","~",AT$10))+0-(FIND("~",SUBSTITUTE($Q332,";","~",AT$10-1))+2))-6),MID($Q332,FIND("~",SUBSTITUTE($Q332,";","~",AT$10-1))+3,(LEN($Q332)-6-FIND("~",SUBSTITUTE($Q332,";","~",AT$10-1))-1)))," ")</f>
        <v xml:space="preserve"> </v>
      </c>
      <c r="AU332" s="121" t="str">
        <f t="shared" si="190"/>
        <v xml:space="preserve"> </v>
      </c>
      <c r="AV332" s="121" t="str">
        <f t="shared" si="190"/>
        <v xml:space="preserve"> </v>
      </c>
      <c r="AW332" s="130" t="str">
        <f t="shared" ref="AW332:AZ351" si="191">IFERROR(MID($Q332,FIND("~",SUBSTITUTE($Q332,"(","~",AW$10))+1,3)," ")</f>
        <v>100</v>
      </c>
      <c r="AX332" s="130" t="str">
        <f t="shared" si="191"/>
        <v xml:space="preserve"> </v>
      </c>
      <c r="AY332" s="130" t="str">
        <f t="shared" si="191"/>
        <v xml:space="preserve"> </v>
      </c>
      <c r="AZ332" s="130" t="str">
        <f t="shared" si="191"/>
        <v xml:space="preserve"> </v>
      </c>
      <c r="BA332" s="121">
        <f t="shared" ref="BA332:BA395" si="192">IFERROR($I332*AW332/100,$I332)</f>
        <v>247509.33815956718</v>
      </c>
      <c r="BB332" s="121">
        <f t="shared" ref="BB332:BB395" si="193">IFERROR($I332*AX332/100,0)</f>
        <v>0</v>
      </c>
      <c r="BC332" s="121">
        <f t="shared" ref="BC332:BC395" si="194">IFERROR($I332*AY332/100,0)</f>
        <v>0</v>
      </c>
      <c r="BD332" s="121">
        <f t="shared" ref="BD332:BD395" si="195">IFERROR($I332*AZ332/100,0)</f>
        <v>0</v>
      </c>
      <c r="BE332" s="121">
        <f t="shared" ref="BE332:BE395" si="196">IFERROR($AP332*AW332/100,$AP332)</f>
        <v>0</v>
      </c>
      <c r="BF332" s="121">
        <f t="shared" ref="BF332:BF395" si="197">IFERROR($AP332*AX332/100,$AP332)</f>
        <v>0</v>
      </c>
      <c r="BG332" s="121">
        <f t="shared" ref="BG332:BG395" si="198">IFERROR($AP332*AY332/100,$AP332)</f>
        <v>0</v>
      </c>
      <c r="BH332" s="121">
        <f t="shared" ref="BH332:BH395" si="199">IFERROR($AP332*AZ332/100,$AP332)</f>
        <v>0</v>
      </c>
      <c r="BI332" s="121">
        <f t="shared" ref="BI332:BI395" si="200">IFERROR($AQ332*AW332/100,$AQ332)</f>
        <v>247509.33815956718</v>
      </c>
      <c r="BJ332" s="121">
        <f t="shared" ref="BJ332:BJ395" si="201">IFERROR($AQ332*AX332/100,$AQ332)</f>
        <v>247509.33815956718</v>
      </c>
      <c r="BK332" s="121">
        <f t="shared" ref="BK332:BK395" si="202">IFERROR($AQ332*AY332/100,$AQ332)</f>
        <v>247509.33815956718</v>
      </c>
      <c r="BL332" s="121">
        <f t="shared" ref="BL332:BL395" si="203">IFERROR($AQ332*AZ332/100,$AQ332)</f>
        <v>247509.33815956718</v>
      </c>
      <c r="BM332" s="121">
        <f t="shared" ref="BM332:BM395" si="204">IFERROR($AR332*AW332/100,$AR332)</f>
        <v>0</v>
      </c>
      <c r="BN332" s="121">
        <f t="shared" ref="BN332:BN395" si="205">IFERROR($AR332*AX332/100,$AR332)</f>
        <v>0</v>
      </c>
      <c r="BO332" s="121">
        <f t="shared" ref="BO332:BO395" si="206">IFERROR($AR332*AY332/100,$AR332)</f>
        <v>0</v>
      </c>
      <c r="BP332" s="121">
        <f t="shared" ref="BP332:BP395" si="207">IFERROR($AR332*AZ332/100,$AR332)</f>
        <v>0</v>
      </c>
      <c r="BQ332" s="199">
        <f>INDEX('GDP deflators'!$C$6:$M$36,MATCH('Bottom-up tagging'!$D332,'GDP deflators'!$B$6:$B$36,),MATCH('Bottom-up tagging'!$E332,'GDP deflators'!$C$5:$L$5,))/100</f>
        <v>2.0201258009815137</v>
      </c>
      <c r="BR332" s="24">
        <v>500000</v>
      </c>
    </row>
    <row r="333" spans="2:70" ht="26.15" hidden="1" customHeight="1">
      <c r="B333" s="110" t="s">
        <v>166</v>
      </c>
      <c r="C333" s="110" t="s">
        <v>168</v>
      </c>
      <c r="D333" s="110" t="s">
        <v>3994</v>
      </c>
      <c r="E333" s="103">
        <v>2019</v>
      </c>
      <c r="F333" s="108" t="s">
        <v>5581</v>
      </c>
      <c r="G333" s="111" t="s">
        <v>34</v>
      </c>
      <c r="H333" s="110" t="s">
        <v>10451</v>
      </c>
      <c r="I333" s="112">
        <f>IF(Dashboard!$B$16="Current USD",'Bottom-up tagging'!BR333,'Bottom-up tagging'!BR333/'Bottom-up tagging'!BQ333)</f>
        <v>331238.05444145418</v>
      </c>
      <c r="J333" s="105" t="s">
        <v>10474</v>
      </c>
      <c r="K333" s="112"/>
      <c r="L333" s="135">
        <v>1</v>
      </c>
      <c r="M333" s="135">
        <v>1</v>
      </c>
      <c r="N333" s="112"/>
      <c r="O333" s="112"/>
      <c r="P333" s="112" t="str">
        <f>VLOOKUP(B333, 'Companies covered restructured'!$B$7:$K$470, 9, FALSE)</f>
        <v>Agri marketplaces</v>
      </c>
      <c r="Q333" s="112" t="str">
        <f>VLOOKUP(B333, 'Companies covered restructured'!$B$7:$K$470, 6, FALSE)</f>
        <v>#Crops(100)</v>
      </c>
      <c r="R333" s="112" t="str">
        <f t="shared" si="177"/>
        <v>N/A</v>
      </c>
      <c r="S333" s="112" t="s">
        <v>11003</v>
      </c>
      <c r="T333" s="112" t="s">
        <v>10466</v>
      </c>
      <c r="U333" s="103" t="s">
        <v>10970</v>
      </c>
      <c r="V333" s="112" t="str">
        <f>VLOOKUP(P333, 'Bottom-up Tagging Assumptions'!$B$12:$F$39, 5, FALSE)</f>
        <v>#Process Innovation(100)</v>
      </c>
      <c r="W333" s="112" t="str">
        <f>VLOOKUP(B333, 'Companies covered restructured'!$B$7:$K$470, 7, FALSE)</f>
        <v>#Farm/Household(100)</v>
      </c>
      <c r="X333" s="112" t="s">
        <v>10558</v>
      </c>
      <c r="Y333" s="212" t="str">
        <f>VLOOKUP(P333, 'Bottom-up Tagging Assumptions'!$B$12:$C$56, 2, FALSE)</f>
        <v>#Other Economic(P); Social(S)</v>
      </c>
      <c r="Z333" s="112" t="str">
        <f>VLOOKUP(P333, 'Bottom-up Tagging Assumptions'!$B$12:$F$56, 3, FALSE)</f>
        <v>#Improve price realization(P)</v>
      </c>
      <c r="AA333" s="112" t="str">
        <f>VLOOKUP(P333, 'Bottom-up Tagging Assumptions'!$B$12:$F$56, 4, FALSE)</f>
        <v>#Level 4(100)</v>
      </c>
      <c r="AB333" s="110"/>
      <c r="AC333" s="110"/>
      <c r="AD333" s="110"/>
      <c r="AE333" s="110" t="s">
        <v>10558</v>
      </c>
      <c r="AF333" s="112">
        <v>22500000</v>
      </c>
      <c r="AG333" s="110" t="s">
        <v>2362</v>
      </c>
      <c r="AH333" s="121">
        <f t="shared" si="178"/>
        <v>0</v>
      </c>
      <c r="AI333" s="121">
        <f t="shared" si="179"/>
        <v>0</v>
      </c>
      <c r="AJ333" s="121">
        <f t="shared" si="180"/>
        <v>1</v>
      </c>
      <c r="AK333" s="121">
        <f t="shared" si="181"/>
        <v>1</v>
      </c>
      <c r="AL333" s="121">
        <f t="shared" si="182"/>
        <v>0</v>
      </c>
      <c r="AM333" s="121">
        <f t="shared" si="183"/>
        <v>0</v>
      </c>
      <c r="AN333" s="121">
        <f t="shared" si="184"/>
        <v>1</v>
      </c>
      <c r="AO333" s="121">
        <f t="shared" si="185"/>
        <v>0</v>
      </c>
      <c r="AP333" s="22">
        <f t="shared" si="186"/>
        <v>0</v>
      </c>
      <c r="AQ333" s="22">
        <f t="shared" si="187"/>
        <v>331238.05444145418</v>
      </c>
      <c r="AR333" s="22">
        <f t="shared" si="188"/>
        <v>0</v>
      </c>
      <c r="AS333" s="121" t="str">
        <f t="shared" si="189"/>
        <v>Crops</v>
      </c>
      <c r="AT333" s="121" t="str">
        <f t="shared" si="190"/>
        <v xml:space="preserve"> </v>
      </c>
      <c r="AU333" s="121" t="str">
        <f t="shared" si="190"/>
        <v xml:space="preserve"> </v>
      </c>
      <c r="AV333" s="121" t="str">
        <f t="shared" si="190"/>
        <v xml:space="preserve"> </v>
      </c>
      <c r="AW333" s="130" t="str">
        <f t="shared" si="191"/>
        <v>100</v>
      </c>
      <c r="AX333" s="130" t="str">
        <f t="shared" si="191"/>
        <v xml:space="preserve"> </v>
      </c>
      <c r="AY333" s="130" t="str">
        <f t="shared" si="191"/>
        <v xml:space="preserve"> </v>
      </c>
      <c r="AZ333" s="130" t="str">
        <f t="shared" si="191"/>
        <v xml:space="preserve"> </v>
      </c>
      <c r="BA333" s="121">
        <f t="shared" si="192"/>
        <v>331238.05444145418</v>
      </c>
      <c r="BB333" s="121">
        <f t="shared" si="193"/>
        <v>0</v>
      </c>
      <c r="BC333" s="121">
        <f t="shared" si="194"/>
        <v>0</v>
      </c>
      <c r="BD333" s="121">
        <f t="shared" si="195"/>
        <v>0</v>
      </c>
      <c r="BE333" s="121">
        <f t="shared" si="196"/>
        <v>0</v>
      </c>
      <c r="BF333" s="121">
        <f t="shared" si="197"/>
        <v>0</v>
      </c>
      <c r="BG333" s="121">
        <f t="shared" si="198"/>
        <v>0</v>
      </c>
      <c r="BH333" s="121">
        <f t="shared" si="199"/>
        <v>0</v>
      </c>
      <c r="BI333" s="121">
        <f t="shared" si="200"/>
        <v>331238.05444145418</v>
      </c>
      <c r="BJ333" s="121">
        <f t="shared" si="201"/>
        <v>331238.05444145418</v>
      </c>
      <c r="BK333" s="121">
        <f t="shared" si="202"/>
        <v>331238.05444145418</v>
      </c>
      <c r="BL333" s="121">
        <f t="shared" si="203"/>
        <v>331238.05444145418</v>
      </c>
      <c r="BM333" s="121">
        <f t="shared" si="204"/>
        <v>0</v>
      </c>
      <c r="BN333" s="121">
        <f t="shared" si="205"/>
        <v>0</v>
      </c>
      <c r="BO333" s="121">
        <f t="shared" si="206"/>
        <v>0</v>
      </c>
      <c r="BP333" s="121">
        <f t="shared" si="207"/>
        <v>0</v>
      </c>
      <c r="BQ333" s="199">
        <f>INDEX('GDP deflators'!$C$6:$M$36,MATCH('Bottom-up tagging'!$D333,'GDP deflators'!$B$6:$B$36,),MATCH('Bottom-up tagging'!$E333,'GDP deflators'!$C$5:$L$5,))/100</f>
        <v>1.5094883975306472</v>
      </c>
      <c r="BR333" s="24">
        <v>500000</v>
      </c>
    </row>
    <row r="334" spans="2:70" ht="26.15" hidden="1" customHeight="1">
      <c r="B334" s="110" t="s">
        <v>1490</v>
      </c>
      <c r="C334" s="110" t="s">
        <v>1495</v>
      </c>
      <c r="D334" s="110" t="s">
        <v>3994</v>
      </c>
      <c r="E334" s="103">
        <v>2018</v>
      </c>
      <c r="F334" s="108" t="s">
        <v>6997</v>
      </c>
      <c r="G334" s="111" t="s">
        <v>34</v>
      </c>
      <c r="H334" s="110" t="s">
        <v>10451</v>
      </c>
      <c r="I334" s="112">
        <f>IF(Dashboard!$B$16="Current USD",'Bottom-up tagging'!BR334,'Bottom-up tagging'!BR334/'Bottom-up tagging'!BQ334)</f>
        <v>338892.63282403623</v>
      </c>
      <c r="J334" s="118" t="s">
        <v>10474</v>
      </c>
      <c r="K334" s="112"/>
      <c r="L334" s="135">
        <v>1</v>
      </c>
      <c r="M334" s="135">
        <v>1</v>
      </c>
      <c r="N334" s="112"/>
      <c r="O334" s="112"/>
      <c r="P334" s="112" t="str">
        <f>VLOOKUP(B334, 'Companies covered restructured'!$B$7:$K$470, 9, FALSE)</f>
        <v>AI/analytics based advisory algorithms (incl. weather)</v>
      </c>
      <c r="Q334" s="112" t="str">
        <f>VLOOKUP(B334, 'Companies covered restructured'!$B$7:$K$470, 6, FALSE)</f>
        <v>#Crops(100)</v>
      </c>
      <c r="R334" s="112" t="str">
        <f t="shared" si="177"/>
        <v>#Investment Fund(100)</v>
      </c>
      <c r="S334" s="112" t="s">
        <v>11003</v>
      </c>
      <c r="T334" s="112" t="s">
        <v>10466</v>
      </c>
      <c r="U334" s="103" t="s">
        <v>10970</v>
      </c>
      <c r="V334" s="112" t="str">
        <f>VLOOKUP(P334, 'Bottom-up Tagging Assumptions'!$B$12:$F$39, 5, FALSE)</f>
        <v>#Science &amp; tech(100)</v>
      </c>
      <c r="W334" s="112" t="str">
        <f>VLOOKUP(B334, 'Companies covered restructured'!$B$7:$K$470, 7, FALSE)</f>
        <v>#Field/Animal Herd(100)</v>
      </c>
      <c r="X334" s="112" t="s">
        <v>10558</v>
      </c>
      <c r="Y334" s="212" t="str">
        <f>VLOOKUP(P334, 'Bottom-up Tagging Assumptions'!$B$12:$C$56, 2, FALSE)</f>
        <v>#Other Economic(P); #Productivity(S)</v>
      </c>
      <c r="Z334" s="112" t="str">
        <f>VLOOKUP(P334, 'Bottom-up Tagging Assumptions'!$B$12:$F$56, 3, FALSE)</f>
        <v>#Increasing output per unit input(P); #Increasing crop or animal yield(S)</v>
      </c>
      <c r="AA334" s="112" t="str">
        <f>VLOOKUP(P334, 'Bottom-up Tagging Assumptions'!$B$12:$F$56, 4, FALSE)</f>
        <v>#Level 1(100)</v>
      </c>
      <c r="AB334" s="110" t="s">
        <v>1492</v>
      </c>
      <c r="AC334" s="110" t="s">
        <v>1815</v>
      </c>
      <c r="AD334" s="110" t="s">
        <v>1467</v>
      </c>
      <c r="AE334" s="110" t="str">
        <f>VLOOKUP(AD334,  '1.2'!$B$7:$C$2033, 2, FALSE)</f>
        <v>FUND</v>
      </c>
      <c r="AF334" s="112">
        <v>125000</v>
      </c>
      <c r="AG334" s="110" t="s">
        <v>2368</v>
      </c>
      <c r="AH334" s="121">
        <f t="shared" si="178"/>
        <v>0</v>
      </c>
      <c r="AI334" s="121">
        <f t="shared" si="179"/>
        <v>1</v>
      </c>
      <c r="AJ334" s="121">
        <f t="shared" si="180"/>
        <v>1</v>
      </c>
      <c r="AK334" s="121">
        <f t="shared" si="181"/>
        <v>0</v>
      </c>
      <c r="AL334" s="121">
        <f t="shared" si="182"/>
        <v>0</v>
      </c>
      <c r="AM334" s="121">
        <f t="shared" si="183"/>
        <v>0</v>
      </c>
      <c r="AN334" s="121">
        <f t="shared" si="184"/>
        <v>0</v>
      </c>
      <c r="AO334" s="121">
        <f t="shared" si="185"/>
        <v>0</v>
      </c>
      <c r="AP334" s="22">
        <f t="shared" si="186"/>
        <v>0</v>
      </c>
      <c r="AQ334" s="22">
        <f t="shared" si="187"/>
        <v>0</v>
      </c>
      <c r="AR334" s="22">
        <f t="shared" si="188"/>
        <v>0</v>
      </c>
      <c r="AS334" s="121" t="str">
        <f t="shared" si="189"/>
        <v>Crops</v>
      </c>
      <c r="AT334" s="121" t="str">
        <f t="shared" si="190"/>
        <v xml:space="preserve"> </v>
      </c>
      <c r="AU334" s="121" t="str">
        <f t="shared" si="190"/>
        <v xml:space="preserve"> </v>
      </c>
      <c r="AV334" s="121" t="str">
        <f t="shared" si="190"/>
        <v xml:space="preserve"> </v>
      </c>
      <c r="AW334" s="130" t="str">
        <f t="shared" si="191"/>
        <v>100</v>
      </c>
      <c r="AX334" s="130" t="str">
        <f t="shared" si="191"/>
        <v xml:space="preserve"> </v>
      </c>
      <c r="AY334" s="130" t="str">
        <f t="shared" si="191"/>
        <v xml:space="preserve"> </v>
      </c>
      <c r="AZ334" s="130" t="str">
        <f t="shared" si="191"/>
        <v xml:space="preserve"> </v>
      </c>
      <c r="BA334" s="121">
        <f t="shared" si="192"/>
        <v>338892.63282403623</v>
      </c>
      <c r="BB334" s="121">
        <f t="shared" si="193"/>
        <v>0</v>
      </c>
      <c r="BC334" s="121">
        <f t="shared" si="194"/>
        <v>0</v>
      </c>
      <c r="BD334" s="121">
        <f t="shared" si="195"/>
        <v>0</v>
      </c>
      <c r="BE334" s="121">
        <f t="shared" si="196"/>
        <v>0</v>
      </c>
      <c r="BF334" s="121">
        <f t="shared" si="197"/>
        <v>0</v>
      </c>
      <c r="BG334" s="121">
        <f t="shared" si="198"/>
        <v>0</v>
      </c>
      <c r="BH334" s="121">
        <f t="shared" si="199"/>
        <v>0</v>
      </c>
      <c r="BI334" s="121">
        <f t="shared" si="200"/>
        <v>0</v>
      </c>
      <c r="BJ334" s="121">
        <f t="shared" si="201"/>
        <v>0</v>
      </c>
      <c r="BK334" s="121">
        <f t="shared" si="202"/>
        <v>0</v>
      </c>
      <c r="BL334" s="121">
        <f t="shared" si="203"/>
        <v>0</v>
      </c>
      <c r="BM334" s="121">
        <f t="shared" si="204"/>
        <v>0</v>
      </c>
      <c r="BN334" s="121">
        <f t="shared" si="205"/>
        <v>0</v>
      </c>
      <c r="BO334" s="121">
        <f t="shared" si="206"/>
        <v>0</v>
      </c>
      <c r="BP334" s="121">
        <f t="shared" si="207"/>
        <v>0</v>
      </c>
      <c r="BQ334" s="199">
        <f>INDEX('GDP deflators'!$C$6:$M$36,MATCH('Bottom-up tagging'!$D334,'GDP deflators'!$B$6:$B$36,),MATCH('Bottom-up tagging'!$E334,'GDP deflators'!$C$5:$L$5,))/100</f>
        <v>1.4753935363936217</v>
      </c>
      <c r="BR334" s="24">
        <v>500000</v>
      </c>
    </row>
    <row r="335" spans="2:70" ht="26.15" hidden="1" customHeight="1">
      <c r="B335" s="110" t="s">
        <v>2762</v>
      </c>
      <c r="C335" s="110" t="s">
        <v>2765</v>
      </c>
      <c r="D335" s="110" t="s">
        <v>2057</v>
      </c>
      <c r="E335" s="103">
        <v>2015</v>
      </c>
      <c r="F335" s="108" t="s">
        <v>9304</v>
      </c>
      <c r="G335" s="111" t="s">
        <v>34</v>
      </c>
      <c r="H335" s="110" t="s">
        <v>10451</v>
      </c>
      <c r="I335" s="112">
        <f>IF(Dashboard!$B$16="Current USD",'Bottom-up tagging'!BR335,'Bottom-up tagging'!BR335/'Bottom-up tagging'!BQ335)</f>
        <v>438013.42107745312</v>
      </c>
      <c r="J335" s="118" t="s">
        <v>10474</v>
      </c>
      <c r="K335" s="112"/>
      <c r="L335" s="135">
        <v>1</v>
      </c>
      <c r="M335" s="135">
        <v>1</v>
      </c>
      <c r="N335" s="112"/>
      <c r="O335" s="112"/>
      <c r="P335" s="112" t="str">
        <f>VLOOKUP(B335, 'Companies covered restructured'!$B$7:$K$470, 9, FALSE)</f>
        <v>Farmer engagement platforms (including marketplaces and information platforms)</v>
      </c>
      <c r="Q335" s="112" t="str">
        <f>VLOOKUP(B335, 'Companies covered restructured'!$B$7:$K$470, 6, FALSE)</f>
        <v>#Livestock(100)</v>
      </c>
      <c r="R335" s="112" t="str">
        <f t="shared" si="177"/>
        <v>N/A</v>
      </c>
      <c r="S335" s="112" t="s">
        <v>11003</v>
      </c>
      <c r="T335" s="112" t="s">
        <v>10466</v>
      </c>
      <c r="U335" s="103" t="s">
        <v>10970</v>
      </c>
      <c r="V335" s="112" t="str">
        <f>VLOOKUP(P335, 'Bottom-up Tagging Assumptions'!$B$12:$F$39, 5, FALSE)</f>
        <v>#Process Innovation(100)</v>
      </c>
      <c r="W335" s="112" t="str">
        <f>VLOOKUP(B335, 'Companies covered restructured'!$B$7:$K$470, 7, FALSE)</f>
        <v>#Field/Animal Herd(100)</v>
      </c>
      <c r="X335" s="112" t="str">
        <f>VLOOKUP(B335, 'Companies covered restructured'!$B$7:$K$470, 8, FALSE)</f>
        <v>N/A</v>
      </c>
      <c r="Y335" s="212" t="str">
        <f>VLOOKUP(P335, 'Bottom-up Tagging Assumptions'!$B$12:$C$56, 2, FALSE)</f>
        <v>#Other Economic(P); #Productivity(S)</v>
      </c>
      <c r="Z335" s="112" t="str">
        <f>VLOOKUP(P335, 'Bottom-up Tagging Assumptions'!$B$12:$F$56, 3, FALSE)</f>
        <v>#Improve price realization(P); #Increasing crop or animal yield(S)</v>
      </c>
      <c r="AA335" s="112" t="str">
        <f>VLOOKUP(P335, 'Bottom-up Tagging Assumptions'!$B$12:$F$56, 4, FALSE)</f>
        <v>#Level 4(100)</v>
      </c>
      <c r="AB335" s="110" t="s">
        <v>2764</v>
      </c>
      <c r="AC335" s="110"/>
      <c r="AD335" s="110"/>
      <c r="AE335" s="110" t="s">
        <v>10558</v>
      </c>
      <c r="AF335" s="112">
        <v>223330</v>
      </c>
      <c r="AG335" s="110" t="s">
        <v>2373</v>
      </c>
      <c r="AH335" s="121">
        <f t="shared" si="178"/>
        <v>0</v>
      </c>
      <c r="AI335" s="121">
        <f t="shared" si="179"/>
        <v>1</v>
      </c>
      <c r="AJ335" s="121">
        <f t="shared" si="180"/>
        <v>1</v>
      </c>
      <c r="AK335" s="121">
        <f t="shared" si="181"/>
        <v>0</v>
      </c>
      <c r="AL335" s="121">
        <f t="shared" si="182"/>
        <v>0</v>
      </c>
      <c r="AM335" s="121">
        <f t="shared" si="183"/>
        <v>0</v>
      </c>
      <c r="AN335" s="121">
        <f t="shared" si="184"/>
        <v>0</v>
      </c>
      <c r="AO335" s="121">
        <f t="shared" si="185"/>
        <v>0</v>
      </c>
      <c r="AP335" s="22">
        <f t="shared" si="186"/>
        <v>0</v>
      </c>
      <c r="AQ335" s="22">
        <f t="shared" si="187"/>
        <v>0</v>
      </c>
      <c r="AR335" s="22">
        <f t="shared" si="188"/>
        <v>0</v>
      </c>
      <c r="AS335" s="121" t="str">
        <f t="shared" si="189"/>
        <v>Livestock</v>
      </c>
      <c r="AT335" s="121" t="str">
        <f t="shared" si="190"/>
        <v xml:space="preserve"> </v>
      </c>
      <c r="AU335" s="121" t="str">
        <f t="shared" si="190"/>
        <v xml:space="preserve"> </v>
      </c>
      <c r="AV335" s="121" t="str">
        <f t="shared" si="190"/>
        <v xml:space="preserve"> </v>
      </c>
      <c r="AW335" s="130" t="str">
        <f t="shared" si="191"/>
        <v>100</v>
      </c>
      <c r="AX335" s="130" t="str">
        <f t="shared" si="191"/>
        <v xml:space="preserve"> </v>
      </c>
      <c r="AY335" s="130" t="str">
        <f t="shared" si="191"/>
        <v xml:space="preserve"> </v>
      </c>
      <c r="AZ335" s="130" t="str">
        <f t="shared" si="191"/>
        <v xml:space="preserve"> </v>
      </c>
      <c r="BA335" s="121">
        <f t="shared" si="192"/>
        <v>438013.42107745312</v>
      </c>
      <c r="BB335" s="121">
        <f t="shared" si="193"/>
        <v>0</v>
      </c>
      <c r="BC335" s="121">
        <f t="shared" si="194"/>
        <v>0</v>
      </c>
      <c r="BD335" s="121">
        <f t="shared" si="195"/>
        <v>0</v>
      </c>
      <c r="BE335" s="121">
        <f t="shared" si="196"/>
        <v>0</v>
      </c>
      <c r="BF335" s="121">
        <f t="shared" si="197"/>
        <v>0</v>
      </c>
      <c r="BG335" s="121">
        <f t="shared" si="198"/>
        <v>0</v>
      </c>
      <c r="BH335" s="121">
        <f t="shared" si="199"/>
        <v>0</v>
      </c>
      <c r="BI335" s="121">
        <f t="shared" si="200"/>
        <v>0</v>
      </c>
      <c r="BJ335" s="121">
        <f t="shared" si="201"/>
        <v>0</v>
      </c>
      <c r="BK335" s="121">
        <f t="shared" si="202"/>
        <v>0</v>
      </c>
      <c r="BL335" s="121">
        <f t="shared" si="203"/>
        <v>0</v>
      </c>
      <c r="BM335" s="121">
        <f t="shared" si="204"/>
        <v>0</v>
      </c>
      <c r="BN335" s="121">
        <f t="shared" si="205"/>
        <v>0</v>
      </c>
      <c r="BO335" s="121">
        <f t="shared" si="206"/>
        <v>0</v>
      </c>
      <c r="BP335" s="121">
        <f t="shared" si="207"/>
        <v>0</v>
      </c>
      <c r="BQ335" s="199">
        <f>INDEX('GDP deflators'!$C$6:$M$36,MATCH('Bottom-up tagging'!$D335,'GDP deflators'!$B$6:$B$36,),MATCH('Bottom-up tagging'!$E335,'GDP deflators'!$C$5:$L$5,))/100</f>
        <v>1.1415175333442258</v>
      </c>
      <c r="BR335" s="24">
        <v>500000</v>
      </c>
    </row>
    <row r="336" spans="2:70" ht="26.15" hidden="1" customHeight="1">
      <c r="B336" s="110" t="s">
        <v>2845</v>
      </c>
      <c r="C336" s="110" t="s">
        <v>2847</v>
      </c>
      <c r="D336" s="110" t="s">
        <v>3994</v>
      </c>
      <c r="E336" s="103">
        <v>2014</v>
      </c>
      <c r="F336" s="108" t="s">
        <v>9882</v>
      </c>
      <c r="G336" s="111" t="s">
        <v>34</v>
      </c>
      <c r="H336" s="110" t="s">
        <v>10451</v>
      </c>
      <c r="I336" s="112">
        <f>IF(Dashboard!$B$16="Current USD",'Bottom-up tagging'!BR336,'Bottom-up tagging'!BR336/'Bottom-up tagging'!BQ336)</f>
        <v>388278.50961539807</v>
      </c>
      <c r="J336" s="117" t="s">
        <v>10474</v>
      </c>
      <c r="K336" s="112"/>
      <c r="L336" s="135">
        <v>1</v>
      </c>
      <c r="M336" s="135">
        <v>1</v>
      </c>
      <c r="N336" s="112"/>
      <c r="O336" s="112"/>
      <c r="P336" s="112" t="str">
        <f>VLOOKUP(B336, 'Companies covered restructured'!$B$7:$K$470, 9, FALSE)</f>
        <v>irrigation systems</v>
      </c>
      <c r="Q336" s="112" t="str">
        <f>VLOOKUP(B336, 'Companies covered restructured'!$B$7:$K$470, 6, FALSE)</f>
        <v>#Crops(100)</v>
      </c>
      <c r="R336" s="112" t="str">
        <f t="shared" si="177"/>
        <v>N/A</v>
      </c>
      <c r="S336" s="112" t="s">
        <v>11003</v>
      </c>
      <c r="T336" s="112" t="s">
        <v>10466</v>
      </c>
      <c r="U336" s="103" t="s">
        <v>10970</v>
      </c>
      <c r="V336" s="212" t="s">
        <v>10977</v>
      </c>
      <c r="W336" s="112" t="str">
        <f>VLOOKUP(B336, 'Companies covered restructured'!$B$7:$K$470, 7, FALSE)</f>
        <v>#Farm/Household(100)</v>
      </c>
      <c r="X336" s="112" t="str">
        <f>VLOOKUP(B336, 'Companies covered restructured'!$B$7:$K$470, 8, FALSE)</f>
        <v>N/A</v>
      </c>
      <c r="Y336" s="212" t="str">
        <f>VLOOKUP(P336, 'Bottom-up Tagging Assumptions'!$B$12:$C$56, 2, FALSE)</f>
        <v>#Other Economic(P); Environmental(S)</v>
      </c>
      <c r="Z336" s="112" t="str">
        <f>VLOOKUP(P336, 'Bottom-up Tagging Assumptions'!$B$12:$F$56, 3, FALSE)</f>
        <v>#Waste reduction(P)</v>
      </c>
      <c r="AA336" s="112" t="str">
        <f>VLOOKUP(P336, 'Bottom-up Tagging Assumptions'!$B$12:$F$56, 4, FALSE)</f>
        <v>#Level 1(100)</v>
      </c>
      <c r="AB336" s="110" t="s">
        <v>2797</v>
      </c>
      <c r="AC336" s="110"/>
      <c r="AD336" s="110"/>
      <c r="AE336" s="110" t="s">
        <v>10558</v>
      </c>
      <c r="AF336" s="112">
        <v>2111924</v>
      </c>
      <c r="AG336" s="110" t="s">
        <v>1504</v>
      </c>
      <c r="AH336" s="121">
        <f t="shared" si="178"/>
        <v>1</v>
      </c>
      <c r="AI336" s="121">
        <f t="shared" si="179"/>
        <v>0</v>
      </c>
      <c r="AJ336" s="121">
        <f t="shared" si="180"/>
        <v>1</v>
      </c>
      <c r="AK336" s="121">
        <f t="shared" si="181"/>
        <v>0</v>
      </c>
      <c r="AL336" s="121">
        <f t="shared" si="182"/>
        <v>0</v>
      </c>
      <c r="AM336" s="121">
        <f t="shared" si="183"/>
        <v>0</v>
      </c>
      <c r="AN336" s="121">
        <f t="shared" si="184"/>
        <v>1</v>
      </c>
      <c r="AO336" s="121">
        <f t="shared" si="185"/>
        <v>0</v>
      </c>
      <c r="AP336" s="22">
        <f t="shared" si="186"/>
        <v>0</v>
      </c>
      <c r="AQ336" s="22">
        <f t="shared" si="187"/>
        <v>388278.50961539807</v>
      </c>
      <c r="AR336" s="22">
        <f t="shared" si="188"/>
        <v>0</v>
      </c>
      <c r="AS336" s="121" t="str">
        <f t="shared" si="189"/>
        <v>Crops</v>
      </c>
      <c r="AT336" s="121" t="str">
        <f t="shared" si="190"/>
        <v xml:space="preserve"> </v>
      </c>
      <c r="AU336" s="121" t="str">
        <f t="shared" si="190"/>
        <v xml:space="preserve"> </v>
      </c>
      <c r="AV336" s="121" t="str">
        <f t="shared" si="190"/>
        <v xml:space="preserve"> </v>
      </c>
      <c r="AW336" s="130" t="str">
        <f t="shared" si="191"/>
        <v>100</v>
      </c>
      <c r="AX336" s="130" t="str">
        <f t="shared" si="191"/>
        <v xml:space="preserve"> </v>
      </c>
      <c r="AY336" s="130" t="str">
        <f t="shared" si="191"/>
        <v xml:space="preserve"> </v>
      </c>
      <c r="AZ336" s="130" t="str">
        <f t="shared" si="191"/>
        <v xml:space="preserve"> </v>
      </c>
      <c r="BA336" s="121">
        <f t="shared" si="192"/>
        <v>388278.50961539807</v>
      </c>
      <c r="BB336" s="121">
        <f t="shared" si="193"/>
        <v>0</v>
      </c>
      <c r="BC336" s="121">
        <f t="shared" si="194"/>
        <v>0</v>
      </c>
      <c r="BD336" s="121">
        <f t="shared" si="195"/>
        <v>0</v>
      </c>
      <c r="BE336" s="121">
        <f t="shared" si="196"/>
        <v>0</v>
      </c>
      <c r="BF336" s="121">
        <f t="shared" si="197"/>
        <v>0</v>
      </c>
      <c r="BG336" s="121">
        <f t="shared" si="198"/>
        <v>0</v>
      </c>
      <c r="BH336" s="121">
        <f t="shared" si="199"/>
        <v>0</v>
      </c>
      <c r="BI336" s="121">
        <f t="shared" si="200"/>
        <v>388278.50961539807</v>
      </c>
      <c r="BJ336" s="121">
        <f t="shared" si="201"/>
        <v>388278.50961539807</v>
      </c>
      <c r="BK336" s="121">
        <f t="shared" si="202"/>
        <v>388278.50961539807</v>
      </c>
      <c r="BL336" s="121">
        <f t="shared" si="203"/>
        <v>388278.50961539807</v>
      </c>
      <c r="BM336" s="121">
        <f t="shared" si="204"/>
        <v>0</v>
      </c>
      <c r="BN336" s="121">
        <f t="shared" si="205"/>
        <v>0</v>
      </c>
      <c r="BO336" s="121">
        <f t="shared" si="206"/>
        <v>0</v>
      </c>
      <c r="BP336" s="121">
        <f t="shared" si="207"/>
        <v>0</v>
      </c>
      <c r="BQ336" s="199">
        <f>INDEX('GDP deflators'!$C$6:$M$36,MATCH('Bottom-up tagging'!$D336,'GDP deflators'!$B$6:$B$36,),MATCH('Bottom-up tagging'!$E336,'GDP deflators'!$C$5:$L$5,))/100</f>
        <v>1.2877354466392321</v>
      </c>
      <c r="BR336" s="24">
        <v>500000</v>
      </c>
    </row>
    <row r="337" spans="2:70" ht="26.15" hidden="1" customHeight="1">
      <c r="B337" s="110" t="s">
        <v>210</v>
      </c>
      <c r="C337" s="110" t="s">
        <v>215</v>
      </c>
      <c r="D337" s="110" t="s">
        <v>5277</v>
      </c>
      <c r="E337" s="103">
        <v>2015</v>
      </c>
      <c r="F337" s="108" t="s">
        <v>8450</v>
      </c>
      <c r="G337" s="111" t="s">
        <v>184</v>
      </c>
      <c r="H337" s="110" t="s">
        <v>10451</v>
      </c>
      <c r="I337" s="112">
        <f>IF(Dashboard!$B$16="Current USD",'Bottom-up tagging'!BR337,'Bottom-up tagging'!BR337/'Bottom-up tagging'!BQ337)</f>
        <v>389651.99321678438</v>
      </c>
      <c r="J337" s="105" t="s">
        <v>10474</v>
      </c>
      <c r="K337" s="112"/>
      <c r="L337" s="135">
        <v>1</v>
      </c>
      <c r="M337" s="135">
        <v>1</v>
      </c>
      <c r="N337" s="112"/>
      <c r="O337" s="112"/>
      <c r="P337" s="112" t="str">
        <f>VLOOKUP(B337, 'Companies covered restructured'!$B$7:$K$470, 9, FALSE)</f>
        <v xml:space="preserve">Smart ponds (IOT etc) </v>
      </c>
      <c r="Q337" s="112" t="str">
        <f>VLOOKUP(B337, 'Companies covered restructured'!$B$7:$K$470, 6, FALSE)</f>
        <v>#Fisheries and Aquaculture(100)</v>
      </c>
      <c r="R337" s="112" t="str">
        <f t="shared" si="177"/>
        <v>N/A</v>
      </c>
      <c r="S337" s="112" t="s">
        <v>11003</v>
      </c>
      <c r="T337" s="112" t="s">
        <v>10465</v>
      </c>
      <c r="U337" s="103" t="s">
        <v>10970</v>
      </c>
      <c r="V337" s="212" t="s">
        <v>10977</v>
      </c>
      <c r="W337" s="112" t="str">
        <f>VLOOKUP(B337, 'Companies covered restructured'!$B$7:$K$470, 7, FALSE)</f>
        <v>N/A</v>
      </c>
      <c r="X337" s="112" t="str">
        <f>VLOOKUP(B337, 'Companies covered restructured'!$B$7:$K$470, 8, FALSE)</f>
        <v>N/A</v>
      </c>
      <c r="Y337" s="212" t="str">
        <f>VLOOKUP(P337, 'Bottom-up Tagging Assumptions'!$B$12:$C$56, 2, FALSE)</f>
        <v>#Other Economic(P); Productivity(S)</v>
      </c>
      <c r="Z337" s="112" t="str">
        <f>VLOOKUP(P337, 'Bottom-up Tagging Assumptions'!$B$12:$F$56, 3, FALSE)</f>
        <v>#Waste reduction(P)</v>
      </c>
      <c r="AA337" s="112" t="str">
        <f>VLOOKUP(P337, 'Bottom-up Tagging Assumptions'!$B$12:$F$56, 4, FALSE)</f>
        <v>#Level 1(100)</v>
      </c>
      <c r="AB337" s="110" t="s">
        <v>666</v>
      </c>
      <c r="AC337" s="110"/>
      <c r="AD337" s="110"/>
      <c r="AE337" s="110" t="s">
        <v>10558</v>
      </c>
      <c r="AF337" s="112">
        <v>4000000</v>
      </c>
      <c r="AG337" s="110" t="s">
        <v>216</v>
      </c>
      <c r="AH337" s="121">
        <f t="shared" si="178"/>
        <v>0</v>
      </c>
      <c r="AI337" s="121">
        <f t="shared" si="179"/>
        <v>1</v>
      </c>
      <c r="AJ337" s="121">
        <f t="shared" si="180"/>
        <v>1</v>
      </c>
      <c r="AK337" s="121">
        <f t="shared" si="181"/>
        <v>0</v>
      </c>
      <c r="AL337" s="121">
        <f t="shared" si="182"/>
        <v>0</v>
      </c>
      <c r="AM337" s="121">
        <f t="shared" si="183"/>
        <v>0</v>
      </c>
      <c r="AN337" s="121">
        <f t="shared" si="184"/>
        <v>0</v>
      </c>
      <c r="AO337" s="121">
        <f t="shared" si="185"/>
        <v>0</v>
      </c>
      <c r="AP337" s="22">
        <f t="shared" si="186"/>
        <v>0</v>
      </c>
      <c r="AQ337" s="22">
        <f t="shared" si="187"/>
        <v>0</v>
      </c>
      <c r="AR337" s="22">
        <f t="shared" si="188"/>
        <v>0</v>
      </c>
      <c r="AS337" s="121" t="str">
        <f t="shared" si="189"/>
        <v>Fisheries and Aquaculture</v>
      </c>
      <c r="AT337" s="121" t="str">
        <f t="shared" si="190"/>
        <v xml:space="preserve"> </v>
      </c>
      <c r="AU337" s="121" t="str">
        <f t="shared" si="190"/>
        <v xml:space="preserve"> </v>
      </c>
      <c r="AV337" s="121" t="str">
        <f t="shared" si="190"/>
        <v xml:space="preserve"> </v>
      </c>
      <c r="AW337" s="130" t="str">
        <f t="shared" si="191"/>
        <v>100</v>
      </c>
      <c r="AX337" s="130" t="str">
        <f t="shared" si="191"/>
        <v xml:space="preserve"> </v>
      </c>
      <c r="AY337" s="130" t="str">
        <f t="shared" si="191"/>
        <v xml:space="preserve"> </v>
      </c>
      <c r="AZ337" s="130" t="str">
        <f t="shared" si="191"/>
        <v xml:space="preserve"> </v>
      </c>
      <c r="BA337" s="121">
        <f t="shared" si="192"/>
        <v>389651.99321678438</v>
      </c>
      <c r="BB337" s="121">
        <f t="shared" si="193"/>
        <v>0</v>
      </c>
      <c r="BC337" s="121">
        <f t="shared" si="194"/>
        <v>0</v>
      </c>
      <c r="BD337" s="121">
        <f t="shared" si="195"/>
        <v>0</v>
      </c>
      <c r="BE337" s="121">
        <f t="shared" si="196"/>
        <v>0</v>
      </c>
      <c r="BF337" s="121">
        <f t="shared" si="197"/>
        <v>0</v>
      </c>
      <c r="BG337" s="121">
        <f t="shared" si="198"/>
        <v>0</v>
      </c>
      <c r="BH337" s="121">
        <f t="shared" si="199"/>
        <v>0</v>
      </c>
      <c r="BI337" s="121">
        <f t="shared" si="200"/>
        <v>0</v>
      </c>
      <c r="BJ337" s="121">
        <f t="shared" si="201"/>
        <v>0</v>
      </c>
      <c r="BK337" s="121">
        <f t="shared" si="202"/>
        <v>0</v>
      </c>
      <c r="BL337" s="121">
        <f t="shared" si="203"/>
        <v>0</v>
      </c>
      <c r="BM337" s="121">
        <f t="shared" si="204"/>
        <v>0</v>
      </c>
      <c r="BN337" s="121">
        <f t="shared" si="205"/>
        <v>0</v>
      </c>
      <c r="BO337" s="121">
        <f t="shared" si="206"/>
        <v>0</v>
      </c>
      <c r="BP337" s="121">
        <f t="shared" si="207"/>
        <v>0</v>
      </c>
      <c r="BQ337" s="199">
        <f>INDEX('GDP deflators'!$C$6:$M$36,MATCH('Bottom-up tagging'!$D337,'GDP deflators'!$B$6:$B$36,),MATCH('Bottom-up tagging'!$E337,'GDP deflators'!$C$5:$L$5,))/100</f>
        <v>1.2831963103081654</v>
      </c>
      <c r="BR337" s="24">
        <v>500000</v>
      </c>
    </row>
    <row r="338" spans="2:70" ht="26.15" hidden="1" customHeight="1">
      <c r="B338" s="110" t="s">
        <v>724</v>
      </c>
      <c r="C338" s="110" t="s">
        <v>728</v>
      </c>
      <c r="D338" s="110" t="s">
        <v>3994</v>
      </c>
      <c r="E338" s="103">
        <v>2019</v>
      </c>
      <c r="F338" s="108" t="s">
        <v>7756</v>
      </c>
      <c r="G338" s="111" t="s">
        <v>34</v>
      </c>
      <c r="H338" s="110" t="s">
        <v>10451</v>
      </c>
      <c r="I338" s="112">
        <f>IF(Dashboard!$B$16="Current USD",'Bottom-up tagging'!BR338,'Bottom-up tagging'!BR338/'Bottom-up tagging'!BQ338)</f>
        <v>327592.44841427158</v>
      </c>
      <c r="J338" s="105" t="s">
        <v>10474</v>
      </c>
      <c r="K338" s="112"/>
      <c r="L338" s="135">
        <v>1</v>
      </c>
      <c r="M338" s="135">
        <v>1</v>
      </c>
      <c r="N338" s="112"/>
      <c r="O338" s="112"/>
      <c r="P338" s="112" t="str">
        <f>VLOOKUP(B338, 'Companies covered restructured'!$B$7:$K$470, 9, FALSE)</f>
        <v>Farm mechanization</v>
      </c>
      <c r="Q338" s="112" t="str">
        <f>VLOOKUP(B338, 'Companies covered restructured'!$B$7:$K$470, 6, FALSE)</f>
        <v>#Crops(100)</v>
      </c>
      <c r="R338" s="112" t="str">
        <f t="shared" si="177"/>
        <v>#Investment Fund(100)</v>
      </c>
      <c r="S338" s="112" t="s">
        <v>11003</v>
      </c>
      <c r="T338" s="112" t="s">
        <v>10466</v>
      </c>
      <c r="U338" s="103" t="s">
        <v>10970</v>
      </c>
      <c r="V338" s="112" t="str">
        <f>VLOOKUP(P338, 'Bottom-up Tagging Assumptions'!$B$12:$F$39, 5, FALSE)</f>
        <v>#Product Development(100)</v>
      </c>
      <c r="W338" s="112" t="str">
        <f>VLOOKUP(B338, 'Companies covered restructured'!$B$7:$K$470, 7, FALSE)</f>
        <v>#Field/Animal Herd(100)</v>
      </c>
      <c r="X338" s="112" t="s">
        <v>10558</v>
      </c>
      <c r="Y338" s="212" t="str">
        <f>VLOOKUP(P338, 'Bottom-up Tagging Assumptions'!$B$12:$C$56, 2, FALSE)</f>
        <v>#Productivity(P); #Other economic(S)</v>
      </c>
      <c r="Z338" s="112" t="str">
        <f>VLOOKUP(P338, 'Bottom-up Tagging Assumptions'!$B$12:$F$56, 3, FALSE)</f>
        <v>#Reducing human effort(P)</v>
      </c>
      <c r="AA338" s="112" t="str">
        <f>VLOOKUP(P338, 'Bottom-up Tagging Assumptions'!$B$12:$F$56, 4, FALSE)</f>
        <v>#Level 1(100)</v>
      </c>
      <c r="AB338" s="110" t="s">
        <v>726</v>
      </c>
      <c r="AC338" s="110"/>
      <c r="AD338" s="110" t="s">
        <v>727</v>
      </c>
      <c r="AE338" s="110" t="str">
        <f>VLOOKUP(AD338,  '1.2'!$B$7:$C$2033, 2, FALSE)</f>
        <v>FUND</v>
      </c>
      <c r="AF338" s="112">
        <v>15568800</v>
      </c>
      <c r="AG338" s="110" t="s">
        <v>1335</v>
      </c>
      <c r="AH338" s="121">
        <f t="shared" si="178"/>
        <v>0</v>
      </c>
      <c r="AI338" s="121">
        <f t="shared" si="179"/>
        <v>1</v>
      </c>
      <c r="AJ338" s="121">
        <f t="shared" si="180"/>
        <v>1</v>
      </c>
      <c r="AK338" s="121">
        <f t="shared" si="181"/>
        <v>0</v>
      </c>
      <c r="AL338" s="121">
        <f t="shared" si="182"/>
        <v>0</v>
      </c>
      <c r="AM338" s="121">
        <f t="shared" si="183"/>
        <v>0</v>
      </c>
      <c r="AN338" s="121">
        <f t="shared" si="184"/>
        <v>0</v>
      </c>
      <c r="AO338" s="121">
        <f t="shared" si="185"/>
        <v>0</v>
      </c>
      <c r="AP338" s="22">
        <f t="shared" si="186"/>
        <v>0</v>
      </c>
      <c r="AQ338" s="22">
        <f t="shared" si="187"/>
        <v>0</v>
      </c>
      <c r="AR338" s="22">
        <f t="shared" si="188"/>
        <v>0</v>
      </c>
      <c r="AS338" s="121" t="str">
        <f t="shared" si="189"/>
        <v>Crops</v>
      </c>
      <c r="AT338" s="121" t="str">
        <f t="shared" si="190"/>
        <v xml:space="preserve"> </v>
      </c>
      <c r="AU338" s="121" t="str">
        <f t="shared" si="190"/>
        <v xml:space="preserve"> </v>
      </c>
      <c r="AV338" s="121" t="str">
        <f t="shared" si="190"/>
        <v xml:space="preserve"> </v>
      </c>
      <c r="AW338" s="130" t="str">
        <f t="shared" si="191"/>
        <v>100</v>
      </c>
      <c r="AX338" s="130" t="str">
        <f t="shared" si="191"/>
        <v xml:space="preserve"> </v>
      </c>
      <c r="AY338" s="130" t="str">
        <f t="shared" si="191"/>
        <v xml:space="preserve"> </v>
      </c>
      <c r="AZ338" s="130" t="str">
        <f t="shared" si="191"/>
        <v xml:space="preserve"> </v>
      </c>
      <c r="BA338" s="121">
        <f t="shared" si="192"/>
        <v>327592.44841427158</v>
      </c>
      <c r="BB338" s="121">
        <f t="shared" si="193"/>
        <v>0</v>
      </c>
      <c r="BC338" s="121">
        <f t="shared" si="194"/>
        <v>0</v>
      </c>
      <c r="BD338" s="121">
        <f t="shared" si="195"/>
        <v>0</v>
      </c>
      <c r="BE338" s="121">
        <f t="shared" si="196"/>
        <v>0</v>
      </c>
      <c r="BF338" s="121">
        <f t="shared" si="197"/>
        <v>0</v>
      </c>
      <c r="BG338" s="121">
        <f t="shared" si="198"/>
        <v>0</v>
      </c>
      <c r="BH338" s="121">
        <f t="shared" si="199"/>
        <v>0</v>
      </c>
      <c r="BI338" s="121">
        <f t="shared" si="200"/>
        <v>0</v>
      </c>
      <c r="BJ338" s="121">
        <f t="shared" si="201"/>
        <v>0</v>
      </c>
      <c r="BK338" s="121">
        <f t="shared" si="202"/>
        <v>0</v>
      </c>
      <c r="BL338" s="121">
        <f t="shared" si="203"/>
        <v>0</v>
      </c>
      <c r="BM338" s="121">
        <f t="shared" si="204"/>
        <v>0</v>
      </c>
      <c r="BN338" s="121">
        <f t="shared" si="205"/>
        <v>0</v>
      </c>
      <c r="BO338" s="121">
        <f t="shared" si="206"/>
        <v>0</v>
      </c>
      <c r="BP338" s="121">
        <f t="shared" si="207"/>
        <v>0</v>
      </c>
      <c r="BQ338" s="199">
        <f>INDEX('GDP deflators'!$C$6:$M$36,MATCH('Bottom-up tagging'!$D338,'GDP deflators'!$B$6:$B$36,),MATCH('Bottom-up tagging'!$E338,'GDP deflators'!$C$5:$L$5,))/100</f>
        <v>1.5094883975306472</v>
      </c>
      <c r="BR338" s="24">
        <v>494497</v>
      </c>
    </row>
    <row r="339" spans="2:70" ht="26.15" hidden="1" customHeight="1">
      <c r="B339" s="110" t="s">
        <v>944</v>
      </c>
      <c r="C339" s="110" t="s">
        <v>948</v>
      </c>
      <c r="D339" s="110" t="s">
        <v>3994</v>
      </c>
      <c r="E339" s="103">
        <v>2019</v>
      </c>
      <c r="F339" s="108" t="s">
        <v>8679</v>
      </c>
      <c r="G339" s="111" t="s">
        <v>34</v>
      </c>
      <c r="H339" s="110" t="s">
        <v>10451</v>
      </c>
      <c r="I339" s="112">
        <f>IF(Dashboard!$B$16="Current USD",'Bottom-up tagging'!BR339,'Bottom-up tagging'!BR339/'Bottom-up tagging'!BQ339)</f>
        <v>326594.75939429388</v>
      </c>
      <c r="J339" s="118" t="s">
        <v>10474</v>
      </c>
      <c r="K339" s="112"/>
      <c r="L339" s="135">
        <v>1</v>
      </c>
      <c r="M339" s="135">
        <v>1</v>
      </c>
      <c r="N339" s="112"/>
      <c r="O339" s="112"/>
      <c r="P339" s="112" t="str">
        <f>VLOOKUP(B339, 'Companies covered restructured'!$B$7:$K$470, 9, FALSE)</f>
        <v>Agri marketplaces</v>
      </c>
      <c r="Q339" s="112" t="str">
        <f>VLOOKUP(B339, 'Companies covered restructured'!$B$7:$K$470, 6, FALSE)</f>
        <v>#Crops(100)</v>
      </c>
      <c r="R339" s="112" t="str">
        <f t="shared" si="177"/>
        <v>#Investment Fund(100)</v>
      </c>
      <c r="S339" s="112" t="s">
        <v>11003</v>
      </c>
      <c r="T339" s="112" t="s">
        <v>10466</v>
      </c>
      <c r="U339" s="103" t="s">
        <v>10970</v>
      </c>
      <c r="V339" s="112" t="str">
        <f>VLOOKUP(P339, 'Bottom-up Tagging Assumptions'!$B$12:$F$39, 5, FALSE)</f>
        <v>#Process Innovation(100)</v>
      </c>
      <c r="W339" s="112" t="str">
        <f>VLOOKUP(B339, 'Companies covered restructured'!$B$7:$K$470, 7, FALSE)</f>
        <v>#Landscape(100)</v>
      </c>
      <c r="X339" s="112" t="str">
        <f>VLOOKUP(B339, 'Companies covered restructured'!$B$7:$K$470, 8, FALSE)</f>
        <v>N/A</v>
      </c>
      <c r="Y339" s="212" t="str">
        <f>VLOOKUP(P339, 'Bottom-up Tagging Assumptions'!$B$12:$C$56, 2, FALSE)</f>
        <v>#Other Economic(P); Social(S)</v>
      </c>
      <c r="Z339" s="112" t="str">
        <f>VLOOKUP(P339, 'Bottom-up Tagging Assumptions'!$B$12:$F$56, 3, FALSE)</f>
        <v>#Improve price realization(P)</v>
      </c>
      <c r="AA339" s="112" t="str">
        <f>VLOOKUP(P339, 'Bottom-up Tagging Assumptions'!$B$12:$F$56, 4, FALSE)</f>
        <v>#Level 4(100)</v>
      </c>
      <c r="AB339" s="110" t="s">
        <v>946</v>
      </c>
      <c r="AC339" s="110"/>
      <c r="AD339" s="110" t="s">
        <v>947</v>
      </c>
      <c r="AE339" s="110" t="str">
        <f>VLOOKUP(AD339,  '1.2'!$B$7:$C$2033, 2, FALSE)</f>
        <v>FUND</v>
      </c>
      <c r="AF339" s="112">
        <v>264994</v>
      </c>
      <c r="AG339" s="110" t="s">
        <v>968</v>
      </c>
      <c r="AH339" s="121">
        <f t="shared" si="178"/>
        <v>0</v>
      </c>
      <c r="AI339" s="121">
        <f t="shared" si="179"/>
        <v>0</v>
      </c>
      <c r="AJ339" s="121">
        <f t="shared" si="180"/>
        <v>1</v>
      </c>
      <c r="AK339" s="121">
        <f t="shared" si="181"/>
        <v>1</v>
      </c>
      <c r="AL339" s="121">
        <f t="shared" si="182"/>
        <v>0</v>
      </c>
      <c r="AM339" s="121">
        <f t="shared" si="183"/>
        <v>0</v>
      </c>
      <c r="AN339" s="121">
        <f t="shared" si="184"/>
        <v>1</v>
      </c>
      <c r="AO339" s="121">
        <f t="shared" si="185"/>
        <v>0</v>
      </c>
      <c r="AP339" s="22">
        <f t="shared" si="186"/>
        <v>0</v>
      </c>
      <c r="AQ339" s="22">
        <f t="shared" si="187"/>
        <v>326594.75939429388</v>
      </c>
      <c r="AR339" s="22">
        <f t="shared" si="188"/>
        <v>0</v>
      </c>
      <c r="AS339" s="121" t="str">
        <f t="shared" si="189"/>
        <v>Crops</v>
      </c>
      <c r="AT339" s="121" t="str">
        <f t="shared" si="190"/>
        <v xml:space="preserve"> </v>
      </c>
      <c r="AU339" s="121" t="str">
        <f t="shared" si="190"/>
        <v xml:space="preserve"> </v>
      </c>
      <c r="AV339" s="121" t="str">
        <f t="shared" si="190"/>
        <v xml:space="preserve"> </v>
      </c>
      <c r="AW339" s="130" t="str">
        <f t="shared" si="191"/>
        <v>100</v>
      </c>
      <c r="AX339" s="130" t="str">
        <f t="shared" si="191"/>
        <v xml:space="preserve"> </v>
      </c>
      <c r="AY339" s="130" t="str">
        <f t="shared" si="191"/>
        <v xml:space="preserve"> </v>
      </c>
      <c r="AZ339" s="130" t="str">
        <f t="shared" si="191"/>
        <v xml:space="preserve"> </v>
      </c>
      <c r="BA339" s="121">
        <f t="shared" si="192"/>
        <v>326594.75939429388</v>
      </c>
      <c r="BB339" s="121">
        <f t="shared" si="193"/>
        <v>0</v>
      </c>
      <c r="BC339" s="121">
        <f t="shared" si="194"/>
        <v>0</v>
      </c>
      <c r="BD339" s="121">
        <f t="shared" si="195"/>
        <v>0</v>
      </c>
      <c r="BE339" s="121">
        <f t="shared" si="196"/>
        <v>0</v>
      </c>
      <c r="BF339" s="121">
        <f t="shared" si="197"/>
        <v>0</v>
      </c>
      <c r="BG339" s="121">
        <f t="shared" si="198"/>
        <v>0</v>
      </c>
      <c r="BH339" s="121">
        <f t="shared" si="199"/>
        <v>0</v>
      </c>
      <c r="BI339" s="121">
        <f t="shared" si="200"/>
        <v>326594.75939429388</v>
      </c>
      <c r="BJ339" s="121">
        <f t="shared" si="201"/>
        <v>326594.75939429388</v>
      </c>
      <c r="BK339" s="121">
        <f t="shared" si="202"/>
        <v>326594.75939429388</v>
      </c>
      <c r="BL339" s="121">
        <f t="shared" si="203"/>
        <v>326594.75939429388</v>
      </c>
      <c r="BM339" s="121">
        <f t="shared" si="204"/>
        <v>0</v>
      </c>
      <c r="BN339" s="121">
        <f t="shared" si="205"/>
        <v>0</v>
      </c>
      <c r="BO339" s="121">
        <f t="shared" si="206"/>
        <v>0</v>
      </c>
      <c r="BP339" s="121">
        <f t="shared" si="207"/>
        <v>0</v>
      </c>
      <c r="BQ339" s="199">
        <f>INDEX('GDP deflators'!$C$6:$M$36,MATCH('Bottom-up tagging'!$D339,'GDP deflators'!$B$6:$B$36,),MATCH('Bottom-up tagging'!$E339,'GDP deflators'!$C$5:$L$5,))/100</f>
        <v>1.5094883975306472</v>
      </c>
      <c r="BR339" s="24">
        <v>492991</v>
      </c>
    </row>
    <row r="340" spans="2:70" ht="26.15" hidden="1" customHeight="1">
      <c r="B340" s="110" t="s">
        <v>42</v>
      </c>
      <c r="C340" s="110" t="s">
        <v>48</v>
      </c>
      <c r="D340" s="110" t="s">
        <v>3994</v>
      </c>
      <c r="E340" s="103">
        <v>2019</v>
      </c>
      <c r="F340" s="108" t="s">
        <v>6695</v>
      </c>
      <c r="G340" s="111" t="s">
        <v>34</v>
      </c>
      <c r="H340" s="110" t="s">
        <v>10451</v>
      </c>
      <c r="I340" s="112">
        <f>IF(Dashboard!$B$16="Current USD",'Bottom-up tagging'!BR340,'Bottom-up tagging'!BR340/'Bottom-up tagging'!BQ340)</f>
        <v>319947.47411776282</v>
      </c>
      <c r="J340" s="105" t="s">
        <v>10474</v>
      </c>
      <c r="K340" s="112"/>
      <c r="L340" s="135">
        <v>1</v>
      </c>
      <c r="M340" s="135">
        <v>1</v>
      </c>
      <c r="N340" s="112"/>
      <c r="O340" s="112"/>
      <c r="P340" s="112" t="str">
        <f>VLOOKUP(B340, 'Companies covered restructured'!$B$7:$K$470, 9, FALSE)</f>
        <v>AI/analytics based advisory algorithms (incl. weather)</v>
      </c>
      <c r="Q340" s="112" t="str">
        <f>VLOOKUP(B340, 'Companies covered restructured'!$B$7:$K$470, 6, FALSE)</f>
        <v>#Crops(100)</v>
      </c>
      <c r="R340" s="112" t="str">
        <f t="shared" si="177"/>
        <v>#Investment Fund(100)</v>
      </c>
      <c r="S340" s="112" t="s">
        <v>11003</v>
      </c>
      <c r="T340" s="112" t="s">
        <v>10466</v>
      </c>
      <c r="U340" s="103" t="s">
        <v>10970</v>
      </c>
      <c r="V340" s="112" t="str">
        <f>VLOOKUP(P340, 'Bottom-up Tagging Assumptions'!$B$12:$F$39, 5, FALSE)</f>
        <v>#Science &amp; tech(100)</v>
      </c>
      <c r="W340" s="112" t="str">
        <f>VLOOKUP(B340, 'Companies covered restructured'!$B$7:$K$470, 7, FALSE)</f>
        <v>#Field/Animal Herd(100)</v>
      </c>
      <c r="X340" s="112" t="s">
        <v>10558</v>
      </c>
      <c r="Y340" s="212" t="str">
        <f>VLOOKUP(P340, 'Bottom-up Tagging Assumptions'!$B$12:$C$56, 2, FALSE)</f>
        <v>#Other Economic(P); #Productivity(S)</v>
      </c>
      <c r="Z340" s="112" t="str">
        <f>VLOOKUP(P340, 'Bottom-up Tagging Assumptions'!$B$12:$F$56, 3, FALSE)</f>
        <v>#Increasing output per unit input(P); #Increasing crop or animal yield(S)</v>
      </c>
      <c r="AA340" s="112" t="str">
        <f>VLOOKUP(P340, 'Bottom-up Tagging Assumptions'!$B$12:$F$56, 4, FALSE)</f>
        <v>#Level 1(100)</v>
      </c>
      <c r="AB340" s="110" t="s">
        <v>608</v>
      </c>
      <c r="AC340" s="110"/>
      <c r="AD340" s="110" t="s">
        <v>609</v>
      </c>
      <c r="AE340" s="110" t="str">
        <f>VLOOKUP(AD340,  '1.2'!$B$7:$C$2033, 2, FALSE)</f>
        <v>FUND</v>
      </c>
      <c r="AF340" s="112">
        <v>810223</v>
      </c>
      <c r="AG340" s="110" t="s">
        <v>1727</v>
      </c>
      <c r="AH340" s="121">
        <f t="shared" si="178"/>
        <v>0</v>
      </c>
      <c r="AI340" s="121">
        <f t="shared" si="179"/>
        <v>1</v>
      </c>
      <c r="AJ340" s="121">
        <f t="shared" si="180"/>
        <v>1</v>
      </c>
      <c r="AK340" s="121">
        <f t="shared" si="181"/>
        <v>0</v>
      </c>
      <c r="AL340" s="121">
        <f t="shared" si="182"/>
        <v>0</v>
      </c>
      <c r="AM340" s="121">
        <f t="shared" si="183"/>
        <v>0</v>
      </c>
      <c r="AN340" s="121">
        <f t="shared" si="184"/>
        <v>0</v>
      </c>
      <c r="AO340" s="121">
        <f t="shared" si="185"/>
        <v>0</v>
      </c>
      <c r="AP340" s="22">
        <f t="shared" si="186"/>
        <v>0</v>
      </c>
      <c r="AQ340" s="22">
        <f t="shared" si="187"/>
        <v>0</v>
      </c>
      <c r="AR340" s="22">
        <f t="shared" si="188"/>
        <v>0</v>
      </c>
      <c r="AS340" s="121" t="str">
        <f t="shared" si="189"/>
        <v>Crops</v>
      </c>
      <c r="AT340" s="121" t="str">
        <f t="shared" si="190"/>
        <v xml:space="preserve"> </v>
      </c>
      <c r="AU340" s="121" t="str">
        <f t="shared" si="190"/>
        <v xml:space="preserve"> </v>
      </c>
      <c r="AV340" s="121" t="str">
        <f t="shared" si="190"/>
        <v xml:space="preserve"> </v>
      </c>
      <c r="AW340" s="130" t="str">
        <f t="shared" si="191"/>
        <v>100</v>
      </c>
      <c r="AX340" s="130" t="str">
        <f t="shared" si="191"/>
        <v xml:space="preserve"> </v>
      </c>
      <c r="AY340" s="130" t="str">
        <f t="shared" si="191"/>
        <v xml:space="preserve"> </v>
      </c>
      <c r="AZ340" s="130" t="str">
        <f t="shared" si="191"/>
        <v xml:space="preserve"> </v>
      </c>
      <c r="BA340" s="121">
        <f t="shared" si="192"/>
        <v>319947.47411776282</v>
      </c>
      <c r="BB340" s="121">
        <f t="shared" si="193"/>
        <v>0</v>
      </c>
      <c r="BC340" s="121">
        <f t="shared" si="194"/>
        <v>0</v>
      </c>
      <c r="BD340" s="121">
        <f t="shared" si="195"/>
        <v>0</v>
      </c>
      <c r="BE340" s="121">
        <f t="shared" si="196"/>
        <v>0</v>
      </c>
      <c r="BF340" s="121">
        <f t="shared" si="197"/>
        <v>0</v>
      </c>
      <c r="BG340" s="121">
        <f t="shared" si="198"/>
        <v>0</v>
      </c>
      <c r="BH340" s="121">
        <f t="shared" si="199"/>
        <v>0</v>
      </c>
      <c r="BI340" s="121">
        <f t="shared" si="200"/>
        <v>0</v>
      </c>
      <c r="BJ340" s="121">
        <f t="shared" si="201"/>
        <v>0</v>
      </c>
      <c r="BK340" s="121">
        <f t="shared" si="202"/>
        <v>0</v>
      </c>
      <c r="BL340" s="121">
        <f t="shared" si="203"/>
        <v>0</v>
      </c>
      <c r="BM340" s="121">
        <f t="shared" si="204"/>
        <v>0</v>
      </c>
      <c r="BN340" s="121">
        <f t="shared" si="205"/>
        <v>0</v>
      </c>
      <c r="BO340" s="121">
        <f t="shared" si="206"/>
        <v>0</v>
      </c>
      <c r="BP340" s="121">
        <f t="shared" si="207"/>
        <v>0</v>
      </c>
      <c r="BQ340" s="199">
        <f>INDEX('GDP deflators'!$C$6:$M$36,MATCH('Bottom-up tagging'!$D340,'GDP deflators'!$B$6:$B$36,),MATCH('Bottom-up tagging'!$E340,'GDP deflators'!$C$5:$L$5,))/100</f>
        <v>1.5094883975306472</v>
      </c>
      <c r="BR340" s="24">
        <v>482957</v>
      </c>
    </row>
    <row r="341" spans="2:70" ht="26.15" hidden="1" customHeight="1">
      <c r="B341" s="110" t="s">
        <v>1191</v>
      </c>
      <c r="C341" s="110" t="s">
        <v>1194</v>
      </c>
      <c r="D341" s="110" t="s">
        <v>3994</v>
      </c>
      <c r="E341" s="103">
        <v>2019</v>
      </c>
      <c r="F341" s="108" t="s">
        <v>7021</v>
      </c>
      <c r="G341" s="111" t="s">
        <v>34</v>
      </c>
      <c r="H341" s="110" t="s">
        <v>10451</v>
      </c>
      <c r="I341" s="112">
        <f>IF(Dashboard!$B$16="Current USD",'Bottom-up tagging'!BR341,'Bottom-up tagging'!BR341/'Bottom-up tagging'!BQ341)</f>
        <v>318705.99388971622</v>
      </c>
      <c r="J341" s="105" t="s">
        <v>10474</v>
      </c>
      <c r="K341" s="112"/>
      <c r="L341" s="135">
        <v>1</v>
      </c>
      <c r="M341" s="135">
        <v>1</v>
      </c>
      <c r="N341" s="112"/>
      <c r="O341" s="112"/>
      <c r="P341" s="112" t="str">
        <f>VLOOKUP(B341, 'Companies covered restructured'!$B$7:$K$470, 9, FALSE)</f>
        <v>AI/analytics based advisory algorithms (incl. weather)</v>
      </c>
      <c r="Q341" s="112" t="str">
        <f>VLOOKUP(B341, 'Companies covered restructured'!$B$7:$K$470, 6, FALSE)</f>
        <v>#Crops(100)</v>
      </c>
      <c r="R341" s="112" t="str">
        <f t="shared" si="177"/>
        <v>#Investment Fund(100)</v>
      </c>
      <c r="S341" s="112" t="s">
        <v>11003</v>
      </c>
      <c r="T341" s="112" t="s">
        <v>10466</v>
      </c>
      <c r="U341" s="103" t="s">
        <v>10970</v>
      </c>
      <c r="V341" s="112" t="str">
        <f>VLOOKUP(P341, 'Bottom-up Tagging Assumptions'!$B$12:$F$39, 5, FALSE)</f>
        <v>#Science &amp; tech(100)</v>
      </c>
      <c r="W341" s="112" t="str">
        <f>VLOOKUP(B341, 'Companies covered restructured'!$B$7:$K$470, 7, FALSE)</f>
        <v>#Field/Animal Herd(100)</v>
      </c>
      <c r="X341" s="112" t="s">
        <v>10558</v>
      </c>
      <c r="Y341" s="212" t="str">
        <f>VLOOKUP(P341, 'Bottom-up Tagging Assumptions'!$B$12:$C$56, 2, FALSE)</f>
        <v>#Other Economic(P); #Productivity(S)</v>
      </c>
      <c r="Z341" s="112" t="str">
        <f>VLOOKUP(P341, 'Bottom-up Tagging Assumptions'!$B$12:$F$56, 3, FALSE)</f>
        <v>#Increasing output per unit input(P); #Increasing crop or animal yield(S)</v>
      </c>
      <c r="AA341" s="112" t="str">
        <f>VLOOKUP(P341, 'Bottom-up Tagging Assumptions'!$B$12:$F$56, 4, FALSE)</f>
        <v>#Level 1(100)</v>
      </c>
      <c r="AB341" s="110" t="s">
        <v>608</v>
      </c>
      <c r="AC341" s="110" t="s">
        <v>1193</v>
      </c>
      <c r="AD341" s="110" t="s">
        <v>609</v>
      </c>
      <c r="AE341" s="110" t="str">
        <f>VLOOKUP(AD341,  '1.2'!$B$7:$C$2033, 2, FALSE)</f>
        <v>FUND</v>
      </c>
      <c r="AF341" s="112">
        <v>5000000</v>
      </c>
      <c r="AG341" s="110" t="s">
        <v>2381</v>
      </c>
      <c r="AH341" s="121">
        <f t="shared" si="178"/>
        <v>0</v>
      </c>
      <c r="AI341" s="121">
        <f t="shared" si="179"/>
        <v>1</v>
      </c>
      <c r="AJ341" s="121">
        <f t="shared" si="180"/>
        <v>1</v>
      </c>
      <c r="AK341" s="121">
        <f t="shared" si="181"/>
        <v>0</v>
      </c>
      <c r="AL341" s="121">
        <f t="shared" si="182"/>
        <v>0</v>
      </c>
      <c r="AM341" s="121">
        <f t="shared" si="183"/>
        <v>0</v>
      </c>
      <c r="AN341" s="121">
        <f t="shared" si="184"/>
        <v>0</v>
      </c>
      <c r="AO341" s="121">
        <f t="shared" si="185"/>
        <v>0</v>
      </c>
      <c r="AP341" s="22">
        <f t="shared" si="186"/>
        <v>0</v>
      </c>
      <c r="AQ341" s="22">
        <f t="shared" si="187"/>
        <v>0</v>
      </c>
      <c r="AR341" s="22">
        <f t="shared" si="188"/>
        <v>0</v>
      </c>
      <c r="AS341" s="121" t="str">
        <f t="shared" si="189"/>
        <v>Crops</v>
      </c>
      <c r="AT341" s="121" t="str">
        <f t="shared" si="190"/>
        <v xml:space="preserve"> </v>
      </c>
      <c r="AU341" s="121" t="str">
        <f t="shared" si="190"/>
        <v xml:space="preserve"> </v>
      </c>
      <c r="AV341" s="121" t="str">
        <f t="shared" si="190"/>
        <v xml:space="preserve"> </v>
      </c>
      <c r="AW341" s="130" t="str">
        <f t="shared" si="191"/>
        <v>100</v>
      </c>
      <c r="AX341" s="130" t="str">
        <f t="shared" si="191"/>
        <v xml:space="preserve"> </v>
      </c>
      <c r="AY341" s="130" t="str">
        <f t="shared" si="191"/>
        <v xml:space="preserve"> </v>
      </c>
      <c r="AZ341" s="130" t="str">
        <f t="shared" si="191"/>
        <v xml:space="preserve"> </v>
      </c>
      <c r="BA341" s="121">
        <f t="shared" si="192"/>
        <v>318705.99388971622</v>
      </c>
      <c r="BB341" s="121">
        <f t="shared" si="193"/>
        <v>0</v>
      </c>
      <c r="BC341" s="121">
        <f t="shared" si="194"/>
        <v>0</v>
      </c>
      <c r="BD341" s="121">
        <f t="shared" si="195"/>
        <v>0</v>
      </c>
      <c r="BE341" s="121">
        <f t="shared" si="196"/>
        <v>0</v>
      </c>
      <c r="BF341" s="121">
        <f t="shared" si="197"/>
        <v>0</v>
      </c>
      <c r="BG341" s="121">
        <f t="shared" si="198"/>
        <v>0</v>
      </c>
      <c r="BH341" s="121">
        <f t="shared" si="199"/>
        <v>0</v>
      </c>
      <c r="BI341" s="121">
        <f t="shared" si="200"/>
        <v>0</v>
      </c>
      <c r="BJ341" s="121">
        <f t="shared" si="201"/>
        <v>0</v>
      </c>
      <c r="BK341" s="121">
        <f t="shared" si="202"/>
        <v>0</v>
      </c>
      <c r="BL341" s="121">
        <f t="shared" si="203"/>
        <v>0</v>
      </c>
      <c r="BM341" s="121">
        <f t="shared" si="204"/>
        <v>0</v>
      </c>
      <c r="BN341" s="121">
        <f t="shared" si="205"/>
        <v>0</v>
      </c>
      <c r="BO341" s="121">
        <f t="shared" si="206"/>
        <v>0</v>
      </c>
      <c r="BP341" s="121">
        <f t="shared" si="207"/>
        <v>0</v>
      </c>
      <c r="BQ341" s="199">
        <f>INDEX('GDP deflators'!$C$6:$M$36,MATCH('Bottom-up tagging'!$D341,'GDP deflators'!$B$6:$B$36,),MATCH('Bottom-up tagging'!$E341,'GDP deflators'!$C$5:$L$5,))/100</f>
        <v>1.5094883975306472</v>
      </c>
      <c r="BR341" s="24">
        <v>481083</v>
      </c>
    </row>
    <row r="342" spans="2:70" ht="26.15" hidden="1" customHeight="1">
      <c r="B342" s="110" t="s">
        <v>783</v>
      </c>
      <c r="C342" s="110" t="s">
        <v>788</v>
      </c>
      <c r="D342" s="110" t="s">
        <v>5208</v>
      </c>
      <c r="E342" s="103">
        <v>2019</v>
      </c>
      <c r="F342" s="108" t="s">
        <v>6110</v>
      </c>
      <c r="G342" s="111" t="s">
        <v>34</v>
      </c>
      <c r="H342" s="110" t="s">
        <v>10451</v>
      </c>
      <c r="I342" s="112">
        <f>IF(Dashboard!$B$16="Current USD",'Bottom-up tagging'!BR342,'Bottom-up tagging'!BR342/'Bottom-up tagging'!BQ342)</f>
        <v>273298.76933377184</v>
      </c>
      <c r="J342" s="105" t="s">
        <v>10474</v>
      </c>
      <c r="K342" s="112"/>
      <c r="L342" s="135">
        <v>1</v>
      </c>
      <c r="M342" s="135">
        <v>1</v>
      </c>
      <c r="N342" s="112"/>
      <c r="O342" s="112"/>
      <c r="P342" s="112" t="str">
        <f>VLOOKUP(B342, 'Companies covered restructured'!$B$7:$K$470, 9, FALSE)</f>
        <v>AI/analytics based advisory algorithms (incl. weather)</v>
      </c>
      <c r="Q342" s="112" t="str">
        <f>VLOOKUP(B342, 'Companies covered restructured'!$B$7:$K$470, 6, FALSE)</f>
        <v>#Crops(100)</v>
      </c>
      <c r="R342" s="112" t="str">
        <f t="shared" si="177"/>
        <v>#Investment Fund(100)</v>
      </c>
      <c r="S342" s="112" t="s">
        <v>11003</v>
      </c>
      <c r="T342" s="112" t="s">
        <v>10466</v>
      </c>
      <c r="U342" s="103" t="s">
        <v>10970</v>
      </c>
      <c r="V342" s="112" t="str">
        <f>VLOOKUP(P342, 'Bottom-up Tagging Assumptions'!$B$12:$F$39, 5, FALSE)</f>
        <v>#Science &amp; tech(100)</v>
      </c>
      <c r="W342" s="112" t="str">
        <f>VLOOKUP(B342, 'Companies covered restructured'!$B$7:$K$470, 7, FALSE)</f>
        <v>#Field/Animal Herd(100)</v>
      </c>
      <c r="X342" s="112" t="s">
        <v>10558</v>
      </c>
      <c r="Y342" s="212" t="str">
        <f>VLOOKUP(P342, 'Bottom-up Tagging Assumptions'!$B$12:$C$56, 2, FALSE)</f>
        <v>#Other Economic(P); #Productivity(S)</v>
      </c>
      <c r="Z342" s="112" t="str">
        <f>VLOOKUP(P342, 'Bottom-up Tagging Assumptions'!$B$12:$F$56, 3, FALSE)</f>
        <v>#Increasing output per unit input(P); #Increasing crop or animal yield(S)</v>
      </c>
      <c r="AA342" s="112" t="str">
        <f>VLOOKUP(P342, 'Bottom-up Tagging Assumptions'!$B$12:$F$56, 4, FALSE)</f>
        <v>#Level 1(100)</v>
      </c>
      <c r="AB342" s="110" t="s">
        <v>785</v>
      </c>
      <c r="AC342" s="110"/>
      <c r="AD342" s="110" t="s">
        <v>786</v>
      </c>
      <c r="AE342" s="110" t="str">
        <f>VLOOKUP(AD342,  '1.2'!$B$7:$C$2033, 2, FALSE)</f>
        <v>FUND</v>
      </c>
      <c r="AF342" s="112">
        <v>707610</v>
      </c>
      <c r="AG342" s="110" t="s">
        <v>2385</v>
      </c>
      <c r="AH342" s="121">
        <f t="shared" si="178"/>
        <v>0</v>
      </c>
      <c r="AI342" s="121">
        <f t="shared" si="179"/>
        <v>1</v>
      </c>
      <c r="AJ342" s="121">
        <f t="shared" si="180"/>
        <v>1</v>
      </c>
      <c r="AK342" s="121">
        <f t="shared" si="181"/>
        <v>0</v>
      </c>
      <c r="AL342" s="121">
        <f t="shared" si="182"/>
        <v>0</v>
      </c>
      <c r="AM342" s="121">
        <f t="shared" si="183"/>
        <v>0</v>
      </c>
      <c r="AN342" s="121">
        <f t="shared" si="184"/>
        <v>0</v>
      </c>
      <c r="AO342" s="121">
        <f t="shared" si="185"/>
        <v>0</v>
      </c>
      <c r="AP342" s="22">
        <f t="shared" si="186"/>
        <v>0</v>
      </c>
      <c r="AQ342" s="22">
        <f t="shared" si="187"/>
        <v>0</v>
      </c>
      <c r="AR342" s="22">
        <f t="shared" si="188"/>
        <v>0</v>
      </c>
      <c r="AS342" s="121" t="str">
        <f t="shared" si="189"/>
        <v>Crops</v>
      </c>
      <c r="AT342" s="121" t="str">
        <f t="shared" si="190"/>
        <v xml:space="preserve"> </v>
      </c>
      <c r="AU342" s="121" t="str">
        <f t="shared" si="190"/>
        <v xml:space="preserve"> </v>
      </c>
      <c r="AV342" s="121" t="str">
        <f t="shared" si="190"/>
        <v xml:space="preserve"> </v>
      </c>
      <c r="AW342" s="130" t="str">
        <f t="shared" si="191"/>
        <v>100</v>
      </c>
      <c r="AX342" s="130" t="str">
        <f t="shared" si="191"/>
        <v xml:space="preserve"> </v>
      </c>
      <c r="AY342" s="130" t="str">
        <f t="shared" si="191"/>
        <v xml:space="preserve"> </v>
      </c>
      <c r="AZ342" s="130" t="str">
        <f t="shared" si="191"/>
        <v xml:space="preserve"> </v>
      </c>
      <c r="BA342" s="121">
        <f t="shared" si="192"/>
        <v>273298.76933377184</v>
      </c>
      <c r="BB342" s="121">
        <f t="shared" si="193"/>
        <v>0</v>
      </c>
      <c r="BC342" s="121">
        <f t="shared" si="194"/>
        <v>0</v>
      </c>
      <c r="BD342" s="121">
        <f t="shared" si="195"/>
        <v>0</v>
      </c>
      <c r="BE342" s="121">
        <f t="shared" si="196"/>
        <v>0</v>
      </c>
      <c r="BF342" s="121">
        <f t="shared" si="197"/>
        <v>0</v>
      </c>
      <c r="BG342" s="121">
        <f t="shared" si="198"/>
        <v>0</v>
      </c>
      <c r="BH342" s="121">
        <f t="shared" si="199"/>
        <v>0</v>
      </c>
      <c r="BI342" s="121">
        <f t="shared" si="200"/>
        <v>0</v>
      </c>
      <c r="BJ342" s="121">
        <f t="shared" si="201"/>
        <v>0</v>
      </c>
      <c r="BK342" s="121">
        <f t="shared" si="202"/>
        <v>0</v>
      </c>
      <c r="BL342" s="121">
        <f t="shared" si="203"/>
        <v>0</v>
      </c>
      <c r="BM342" s="121">
        <f t="shared" si="204"/>
        <v>0</v>
      </c>
      <c r="BN342" s="121">
        <f t="shared" si="205"/>
        <v>0</v>
      </c>
      <c r="BO342" s="121">
        <f t="shared" si="206"/>
        <v>0</v>
      </c>
      <c r="BP342" s="121">
        <f t="shared" si="207"/>
        <v>0</v>
      </c>
      <c r="BQ342" s="199">
        <f>INDEX('GDP deflators'!$C$6:$M$36,MATCH('Bottom-up tagging'!$D342,'GDP deflators'!$B$6:$B$36,),MATCH('Bottom-up tagging'!$E342,'GDP deflators'!$C$5:$L$5,))/100</f>
        <v>1.7574393077980395</v>
      </c>
      <c r="BR342" s="24">
        <v>480306</v>
      </c>
    </row>
    <row r="343" spans="2:70" ht="26.15" hidden="1" customHeight="1">
      <c r="B343" s="110" t="s">
        <v>146</v>
      </c>
      <c r="C343" s="110" t="s">
        <v>151</v>
      </c>
      <c r="D343" s="110" t="s">
        <v>3994</v>
      </c>
      <c r="E343" s="103">
        <v>2020</v>
      </c>
      <c r="F343" s="108" t="s">
        <v>7065</v>
      </c>
      <c r="G343" s="111" t="s">
        <v>34</v>
      </c>
      <c r="H343" s="110" t="s">
        <v>10451</v>
      </c>
      <c r="I343" s="212">
        <v>0</v>
      </c>
      <c r="J343" s="118" t="s">
        <v>10474</v>
      </c>
      <c r="K343" s="112"/>
      <c r="L343" s="135">
        <v>1</v>
      </c>
      <c r="M343" s="135">
        <v>1</v>
      </c>
      <c r="N343" s="112"/>
      <c r="O343" s="112"/>
      <c r="P343" s="112" t="str">
        <f>VLOOKUP(B343, 'Companies covered restructured'!$B$7:$K$470, 9, FALSE)</f>
        <v>Agri marketplaces</v>
      </c>
      <c r="Q343" s="112" t="str">
        <f>VLOOKUP(B343, 'Companies covered restructured'!$B$7:$K$470, 6, FALSE)</f>
        <v>#Crops(100)</v>
      </c>
      <c r="R343" s="112" t="str">
        <f t="shared" si="177"/>
        <v>#Investment Fund(100)</v>
      </c>
      <c r="S343" s="112" t="s">
        <v>11003</v>
      </c>
      <c r="T343" s="112" t="s">
        <v>10466</v>
      </c>
      <c r="U343" s="103" t="s">
        <v>10970</v>
      </c>
      <c r="V343" s="112" t="str">
        <f>VLOOKUP(P343, 'Bottom-up Tagging Assumptions'!$B$12:$F$39, 5, FALSE)</f>
        <v>#Process Innovation(100)</v>
      </c>
      <c r="W343" s="112" t="str">
        <f>VLOOKUP(B343, 'Companies covered restructured'!$B$7:$K$470, 7, FALSE)</f>
        <v>#Farm/Household(100)</v>
      </c>
      <c r="X343" s="112" t="s">
        <v>10558</v>
      </c>
      <c r="Y343" s="112" t="str">
        <f>VLOOKUP(P343, '[2]Bottom-up Tagging Assumptions'!$B$12:$F$56, 2, FALSE)</f>
        <v>#Other Economic(P); Social(S)</v>
      </c>
      <c r="Z343" s="112" t="str">
        <f>VLOOKUP(P343, 'Bottom-up Tagging Assumptions'!$B$12:$F$56, 3, FALSE)</f>
        <v>#Improve price realization(P)</v>
      </c>
      <c r="AA343" s="112" t="str">
        <f>VLOOKUP(P343, 'Bottom-up Tagging Assumptions'!$B$12:$F$56, 4, FALSE)</f>
        <v>#Level 4(100)</v>
      </c>
      <c r="AB343" s="110" t="s">
        <v>148</v>
      </c>
      <c r="AC343" s="110"/>
      <c r="AD343" s="110" t="s">
        <v>149</v>
      </c>
      <c r="AE343" s="110" t="str">
        <f>VLOOKUP(AD343,  '1.2'!$B$7:$C$2033, 2, FALSE)</f>
        <v>FUND</v>
      </c>
      <c r="AF343" s="112"/>
      <c r="AG343" s="110" t="s">
        <v>2392</v>
      </c>
      <c r="AH343" s="121">
        <f t="shared" si="178"/>
        <v>0</v>
      </c>
      <c r="AI343" s="121">
        <f t="shared" si="179"/>
        <v>0</v>
      </c>
      <c r="AJ343" s="121">
        <f t="shared" si="180"/>
        <v>1</v>
      </c>
      <c r="AK343" s="121">
        <f t="shared" si="181"/>
        <v>1</v>
      </c>
      <c r="AL343" s="121">
        <f t="shared" si="182"/>
        <v>0</v>
      </c>
      <c r="AM343" s="121">
        <f t="shared" si="183"/>
        <v>0</v>
      </c>
      <c r="AN343" s="121">
        <f t="shared" si="184"/>
        <v>1</v>
      </c>
      <c r="AO343" s="121">
        <f t="shared" si="185"/>
        <v>0</v>
      </c>
      <c r="AP343" s="22">
        <f t="shared" si="186"/>
        <v>0</v>
      </c>
      <c r="AQ343" s="22">
        <f t="shared" si="187"/>
        <v>0</v>
      </c>
      <c r="AR343" s="22">
        <f t="shared" si="188"/>
        <v>0</v>
      </c>
      <c r="AS343" s="121" t="str">
        <f t="shared" si="189"/>
        <v>Crops</v>
      </c>
      <c r="AT343" s="121" t="str">
        <f t="shared" si="190"/>
        <v xml:space="preserve"> </v>
      </c>
      <c r="AU343" s="121" t="str">
        <f t="shared" si="190"/>
        <v xml:space="preserve"> </v>
      </c>
      <c r="AV343" s="121" t="str">
        <f t="shared" si="190"/>
        <v xml:space="preserve"> </v>
      </c>
      <c r="AW343" s="130" t="str">
        <f t="shared" si="191"/>
        <v>100</v>
      </c>
      <c r="AX343" s="130" t="str">
        <f t="shared" si="191"/>
        <v xml:space="preserve"> </v>
      </c>
      <c r="AY343" s="130" t="str">
        <f t="shared" si="191"/>
        <v xml:space="preserve"> </v>
      </c>
      <c r="AZ343" s="130" t="str">
        <f t="shared" si="191"/>
        <v xml:space="preserve"> </v>
      </c>
      <c r="BA343" s="121">
        <f t="shared" si="192"/>
        <v>0</v>
      </c>
      <c r="BB343" s="121">
        <f t="shared" si="193"/>
        <v>0</v>
      </c>
      <c r="BC343" s="121">
        <f t="shared" si="194"/>
        <v>0</v>
      </c>
      <c r="BD343" s="121">
        <f t="shared" si="195"/>
        <v>0</v>
      </c>
      <c r="BE343" s="121">
        <f t="shared" si="196"/>
        <v>0</v>
      </c>
      <c r="BF343" s="121">
        <f t="shared" si="197"/>
        <v>0</v>
      </c>
      <c r="BG343" s="121">
        <f t="shared" si="198"/>
        <v>0</v>
      </c>
      <c r="BH343" s="121">
        <f t="shared" si="199"/>
        <v>0</v>
      </c>
      <c r="BI343" s="121">
        <f t="shared" si="200"/>
        <v>0</v>
      </c>
      <c r="BJ343" s="121">
        <f t="shared" si="201"/>
        <v>0</v>
      </c>
      <c r="BK343" s="121">
        <f t="shared" si="202"/>
        <v>0</v>
      </c>
      <c r="BL343" s="121">
        <f t="shared" si="203"/>
        <v>0</v>
      </c>
      <c r="BM343" s="121">
        <f t="shared" si="204"/>
        <v>0</v>
      </c>
      <c r="BN343" s="121">
        <f t="shared" si="205"/>
        <v>0</v>
      </c>
      <c r="BO343" s="121">
        <f t="shared" si="206"/>
        <v>0</v>
      </c>
      <c r="BP343" s="121">
        <f t="shared" si="207"/>
        <v>0</v>
      </c>
      <c r="BQ343" s="199" t="e">
        <f>INDEX('GDP deflators'!$C$6:$M$36,MATCH('Bottom-up tagging'!$D343,'GDP deflators'!$B$6:$B$36,),MATCH('Bottom-up tagging'!$E343,'GDP deflators'!$C$5:$L$5,))/100</f>
        <v>#N/A</v>
      </c>
      <c r="BR343" s="24">
        <v>475612</v>
      </c>
    </row>
    <row r="344" spans="2:70" ht="26.15" hidden="1" customHeight="1">
      <c r="B344" s="110" t="s">
        <v>1685</v>
      </c>
      <c r="C344" s="110" t="s">
        <v>1690</v>
      </c>
      <c r="D344" s="110" t="s">
        <v>3994</v>
      </c>
      <c r="E344" s="103">
        <v>2015</v>
      </c>
      <c r="F344" s="108" t="s">
        <v>8549</v>
      </c>
      <c r="G344" s="111" t="s">
        <v>34</v>
      </c>
      <c r="H344" s="110" t="s">
        <v>10451</v>
      </c>
      <c r="I344" s="112">
        <f>IF(Dashboard!$B$16="Current USD",'Bottom-up tagging'!BR344,'Bottom-up tagging'!BR344/'Bottom-up tagging'!BQ344)</f>
        <v>358317.05864638399</v>
      </c>
      <c r="J344" s="117" t="s">
        <v>10474</v>
      </c>
      <c r="K344" s="112"/>
      <c r="L344" s="135">
        <v>1</v>
      </c>
      <c r="M344" s="135">
        <v>1</v>
      </c>
      <c r="N344" s="112"/>
      <c r="O344" s="112"/>
      <c r="P344" s="112" t="str">
        <f>VLOOKUP(B344, 'Companies covered restructured'!$B$7:$K$470, 9, FALSE)</f>
        <v>Agri marketplaces</v>
      </c>
      <c r="Q344" s="112" t="str">
        <f>VLOOKUP(B344, 'Companies covered restructured'!$B$7:$K$470, 6, FALSE)</f>
        <v>#Crops(100)</v>
      </c>
      <c r="R344" s="112" t="str">
        <f t="shared" si="177"/>
        <v>#Angel Investor(100)</v>
      </c>
      <c r="S344" s="112" t="s">
        <v>11003</v>
      </c>
      <c r="T344" s="112" t="s">
        <v>10466</v>
      </c>
      <c r="U344" s="103" t="s">
        <v>10970</v>
      </c>
      <c r="V344" s="112" t="str">
        <f>VLOOKUP(P344, 'Bottom-up Tagging Assumptions'!$B$12:$F$39, 5, FALSE)</f>
        <v>#Process Innovation(100)</v>
      </c>
      <c r="W344" s="112" t="str">
        <f>VLOOKUP(B344, 'Companies covered restructured'!$B$7:$K$470, 7, FALSE)</f>
        <v>#Landscape(100)</v>
      </c>
      <c r="X344" s="112" t="str">
        <f>VLOOKUP(B344, 'Companies covered restructured'!$B$7:$K$470, 8, FALSE)</f>
        <v>N/A</v>
      </c>
      <c r="Y344" s="212" t="str">
        <f>VLOOKUP(P344, 'Bottom-up Tagging Assumptions'!$B$12:$C$56, 2, FALSE)</f>
        <v>#Other Economic(P); Social(S)</v>
      </c>
      <c r="Z344" s="112" t="str">
        <f>VLOOKUP(P344, 'Bottom-up Tagging Assumptions'!$B$12:$F$56, 3, FALSE)</f>
        <v>#Improve price realization(P)</v>
      </c>
      <c r="AA344" s="112" t="str">
        <f>VLOOKUP(P344, 'Bottom-up Tagging Assumptions'!$B$12:$F$56, 4, FALSE)</f>
        <v>#Level 4(100)</v>
      </c>
      <c r="AB344" s="110" t="s">
        <v>2772</v>
      </c>
      <c r="AC344" s="110" t="s">
        <v>2773</v>
      </c>
      <c r="AD344" s="110" t="s">
        <v>2774</v>
      </c>
      <c r="AE344" s="110" t="s">
        <v>3127</v>
      </c>
      <c r="AF344" s="112"/>
      <c r="AG344" s="110" t="s">
        <v>2397</v>
      </c>
      <c r="AH344" s="121">
        <f t="shared" si="178"/>
        <v>0</v>
      </c>
      <c r="AI344" s="121">
        <f t="shared" si="179"/>
        <v>0</v>
      </c>
      <c r="AJ344" s="121">
        <f t="shared" si="180"/>
        <v>1</v>
      </c>
      <c r="AK344" s="121">
        <f t="shared" si="181"/>
        <v>1</v>
      </c>
      <c r="AL344" s="121">
        <f t="shared" si="182"/>
        <v>0</v>
      </c>
      <c r="AM344" s="121">
        <f t="shared" si="183"/>
        <v>0</v>
      </c>
      <c r="AN344" s="121">
        <f t="shared" si="184"/>
        <v>1</v>
      </c>
      <c r="AO344" s="121">
        <f t="shared" si="185"/>
        <v>0</v>
      </c>
      <c r="AP344" s="22">
        <f t="shared" si="186"/>
        <v>0</v>
      </c>
      <c r="AQ344" s="22">
        <f t="shared" si="187"/>
        <v>358317.05864638399</v>
      </c>
      <c r="AR344" s="22">
        <f t="shared" si="188"/>
        <v>0</v>
      </c>
      <c r="AS344" s="121" t="str">
        <f t="shared" si="189"/>
        <v>Crops</v>
      </c>
      <c r="AT344" s="121" t="str">
        <f t="shared" si="190"/>
        <v xml:space="preserve"> </v>
      </c>
      <c r="AU344" s="121" t="str">
        <f t="shared" si="190"/>
        <v xml:space="preserve"> </v>
      </c>
      <c r="AV344" s="121" t="str">
        <f t="shared" si="190"/>
        <v xml:space="preserve"> </v>
      </c>
      <c r="AW344" s="130" t="str">
        <f t="shared" si="191"/>
        <v>100</v>
      </c>
      <c r="AX344" s="130" t="str">
        <f t="shared" si="191"/>
        <v xml:space="preserve"> </v>
      </c>
      <c r="AY344" s="130" t="str">
        <f t="shared" si="191"/>
        <v xml:space="preserve"> </v>
      </c>
      <c r="AZ344" s="130" t="str">
        <f t="shared" si="191"/>
        <v xml:space="preserve"> </v>
      </c>
      <c r="BA344" s="121">
        <f t="shared" si="192"/>
        <v>358317.05864638393</v>
      </c>
      <c r="BB344" s="121">
        <f t="shared" si="193"/>
        <v>0</v>
      </c>
      <c r="BC344" s="121">
        <f t="shared" si="194"/>
        <v>0</v>
      </c>
      <c r="BD344" s="121">
        <f t="shared" si="195"/>
        <v>0</v>
      </c>
      <c r="BE344" s="121">
        <f t="shared" si="196"/>
        <v>0</v>
      </c>
      <c r="BF344" s="121">
        <f t="shared" si="197"/>
        <v>0</v>
      </c>
      <c r="BG344" s="121">
        <f t="shared" si="198"/>
        <v>0</v>
      </c>
      <c r="BH344" s="121">
        <f t="shared" si="199"/>
        <v>0</v>
      </c>
      <c r="BI344" s="121">
        <f t="shared" si="200"/>
        <v>358317.05864638393</v>
      </c>
      <c r="BJ344" s="121">
        <f t="shared" si="201"/>
        <v>358317.05864638399</v>
      </c>
      <c r="BK344" s="121">
        <f t="shared" si="202"/>
        <v>358317.05864638399</v>
      </c>
      <c r="BL344" s="121">
        <f t="shared" si="203"/>
        <v>358317.05864638399</v>
      </c>
      <c r="BM344" s="121">
        <f t="shared" si="204"/>
        <v>0</v>
      </c>
      <c r="BN344" s="121">
        <f t="shared" si="205"/>
        <v>0</v>
      </c>
      <c r="BO344" s="121">
        <f t="shared" si="206"/>
        <v>0</v>
      </c>
      <c r="BP344" s="121">
        <f t="shared" si="207"/>
        <v>0</v>
      </c>
      <c r="BQ344" s="199">
        <f>INDEX('GDP deflators'!$C$6:$M$36,MATCH('Bottom-up tagging'!$D344,'GDP deflators'!$B$6:$B$36,),MATCH('Bottom-up tagging'!$E344,'GDP deflators'!$C$5:$L$5,))/100</f>
        <v>1.3170905169372478</v>
      </c>
      <c r="BR344" s="24">
        <v>471936</v>
      </c>
    </row>
    <row r="345" spans="2:70" ht="26.15" hidden="1" customHeight="1">
      <c r="B345" s="110" t="s">
        <v>404</v>
      </c>
      <c r="C345" s="110" t="s">
        <v>408</v>
      </c>
      <c r="D345" s="110" t="s">
        <v>3994</v>
      </c>
      <c r="E345" s="103">
        <v>2018</v>
      </c>
      <c r="F345" s="108" t="s">
        <v>7119</v>
      </c>
      <c r="G345" s="111" t="s">
        <v>34</v>
      </c>
      <c r="H345" s="110" t="s">
        <v>10451</v>
      </c>
      <c r="I345" s="112">
        <f>IF(Dashboard!$B$16="Current USD",'Bottom-up tagging'!BR345,'Bottom-up tagging'!BR345/'Bottom-up tagging'!BQ345)</f>
        <v>318423.51780146448</v>
      </c>
      <c r="J345" s="105" t="s">
        <v>10474</v>
      </c>
      <c r="K345" s="112"/>
      <c r="L345" s="135">
        <v>1</v>
      </c>
      <c r="M345" s="135">
        <v>1</v>
      </c>
      <c r="N345" s="112"/>
      <c r="O345" s="112"/>
      <c r="P345" s="112" t="str">
        <f>VLOOKUP(B345, 'Companies covered restructured'!$B$7:$K$470, 9, FALSE)</f>
        <v>AI/analytics based advisory algorithms (incl. weather)</v>
      </c>
      <c r="Q345" s="112" t="str">
        <f>VLOOKUP(B345, 'Companies covered restructured'!$B$7:$K$470, 6, FALSE)</f>
        <v>#Crops(100)</v>
      </c>
      <c r="R345" s="112" t="str">
        <f t="shared" si="177"/>
        <v>#Corporate(100)</v>
      </c>
      <c r="S345" s="112" t="s">
        <v>11003</v>
      </c>
      <c r="T345" s="112" t="s">
        <v>10466</v>
      </c>
      <c r="U345" s="103" t="s">
        <v>10970</v>
      </c>
      <c r="V345" s="112" t="str">
        <f>VLOOKUP(P345, 'Bottom-up Tagging Assumptions'!$B$12:$F$39, 5, FALSE)</f>
        <v>#Science &amp; tech(100)</v>
      </c>
      <c r="W345" s="112" t="str">
        <f>VLOOKUP(B345, 'Companies covered restructured'!$B$7:$K$470, 7, FALSE)</f>
        <v>#Field/Animal Herd(100)</v>
      </c>
      <c r="X345" s="112" t="s">
        <v>10558</v>
      </c>
      <c r="Y345" s="212" t="str">
        <f>VLOOKUP(P345, 'Bottom-up Tagging Assumptions'!$B$12:$C$56, 2, FALSE)</f>
        <v>#Other Economic(P); #Productivity(S)</v>
      </c>
      <c r="Z345" s="112" t="str">
        <f>VLOOKUP(P345, 'Bottom-up Tagging Assumptions'!$B$12:$F$56, 3, FALSE)</f>
        <v>#Increasing output per unit input(P); #Increasing crop or animal yield(S)</v>
      </c>
      <c r="AA345" s="112" t="str">
        <f>VLOOKUP(P345, 'Bottom-up Tagging Assumptions'!$B$12:$F$56, 4, FALSE)</f>
        <v>#Level 1(100)</v>
      </c>
      <c r="AB345" s="110" t="s">
        <v>869</v>
      </c>
      <c r="AC345" s="110" t="s">
        <v>1570</v>
      </c>
      <c r="AD345" s="110" t="s">
        <v>870</v>
      </c>
      <c r="AE345" s="110" t="str">
        <f>VLOOKUP(AD345,  '1.2'!$B$7:$C$2033, 2, FALSE)</f>
        <v>CORPORATE_INVESTOR</v>
      </c>
      <c r="AF345" s="112">
        <v>1303000000</v>
      </c>
      <c r="AG345" s="110" t="s">
        <v>1416</v>
      </c>
      <c r="AH345" s="121">
        <f t="shared" si="178"/>
        <v>0</v>
      </c>
      <c r="AI345" s="121">
        <f t="shared" si="179"/>
        <v>1</v>
      </c>
      <c r="AJ345" s="121">
        <f t="shared" si="180"/>
        <v>1</v>
      </c>
      <c r="AK345" s="121">
        <f t="shared" si="181"/>
        <v>0</v>
      </c>
      <c r="AL345" s="121">
        <f t="shared" si="182"/>
        <v>0</v>
      </c>
      <c r="AM345" s="121">
        <f t="shared" si="183"/>
        <v>0</v>
      </c>
      <c r="AN345" s="121">
        <f t="shared" si="184"/>
        <v>0</v>
      </c>
      <c r="AO345" s="121">
        <f t="shared" si="185"/>
        <v>0</v>
      </c>
      <c r="AP345" s="22">
        <f t="shared" si="186"/>
        <v>0</v>
      </c>
      <c r="AQ345" s="22">
        <f t="shared" si="187"/>
        <v>0</v>
      </c>
      <c r="AR345" s="22">
        <f t="shared" si="188"/>
        <v>0</v>
      </c>
      <c r="AS345" s="121" t="str">
        <f t="shared" si="189"/>
        <v>Crops</v>
      </c>
      <c r="AT345" s="121" t="str">
        <f t="shared" si="190"/>
        <v xml:space="preserve"> </v>
      </c>
      <c r="AU345" s="121" t="str">
        <f t="shared" si="190"/>
        <v xml:space="preserve"> </v>
      </c>
      <c r="AV345" s="121" t="str">
        <f t="shared" si="190"/>
        <v xml:space="preserve"> </v>
      </c>
      <c r="AW345" s="130" t="str">
        <f t="shared" si="191"/>
        <v>100</v>
      </c>
      <c r="AX345" s="130" t="str">
        <f t="shared" si="191"/>
        <v xml:space="preserve"> </v>
      </c>
      <c r="AY345" s="130" t="str">
        <f t="shared" si="191"/>
        <v xml:space="preserve"> </v>
      </c>
      <c r="AZ345" s="130" t="str">
        <f t="shared" si="191"/>
        <v xml:space="preserve"> </v>
      </c>
      <c r="BA345" s="121">
        <f t="shared" si="192"/>
        <v>318423.51780146448</v>
      </c>
      <c r="BB345" s="121">
        <f t="shared" si="193"/>
        <v>0</v>
      </c>
      <c r="BC345" s="121">
        <f t="shared" si="194"/>
        <v>0</v>
      </c>
      <c r="BD345" s="121">
        <f t="shared" si="195"/>
        <v>0</v>
      </c>
      <c r="BE345" s="121">
        <f t="shared" si="196"/>
        <v>0</v>
      </c>
      <c r="BF345" s="121">
        <f t="shared" si="197"/>
        <v>0</v>
      </c>
      <c r="BG345" s="121">
        <f t="shared" si="198"/>
        <v>0</v>
      </c>
      <c r="BH345" s="121">
        <f t="shared" si="199"/>
        <v>0</v>
      </c>
      <c r="BI345" s="121">
        <f t="shared" si="200"/>
        <v>0</v>
      </c>
      <c r="BJ345" s="121">
        <f t="shared" si="201"/>
        <v>0</v>
      </c>
      <c r="BK345" s="121">
        <f t="shared" si="202"/>
        <v>0</v>
      </c>
      <c r="BL345" s="121">
        <f t="shared" si="203"/>
        <v>0</v>
      </c>
      <c r="BM345" s="121">
        <f t="shared" si="204"/>
        <v>0</v>
      </c>
      <c r="BN345" s="121">
        <f t="shared" si="205"/>
        <v>0</v>
      </c>
      <c r="BO345" s="121">
        <f t="shared" si="206"/>
        <v>0</v>
      </c>
      <c r="BP345" s="121">
        <f t="shared" si="207"/>
        <v>0</v>
      </c>
      <c r="BQ345" s="199">
        <f>INDEX('GDP deflators'!$C$6:$M$36,MATCH('Bottom-up tagging'!$D345,'GDP deflators'!$B$6:$B$36,),MATCH('Bottom-up tagging'!$E345,'GDP deflators'!$C$5:$L$5,))/100</f>
        <v>1.4753935363936217</v>
      </c>
      <c r="BR345" s="24">
        <v>469800</v>
      </c>
    </row>
    <row r="346" spans="2:70" ht="26.15" hidden="1" customHeight="1">
      <c r="B346" s="110" t="s">
        <v>523</v>
      </c>
      <c r="C346" s="110" t="s">
        <v>116</v>
      </c>
      <c r="D346" s="110" t="s">
        <v>3994</v>
      </c>
      <c r="E346" s="103">
        <v>2020</v>
      </c>
      <c r="F346" s="108" t="s">
        <v>5025</v>
      </c>
      <c r="G346" s="111" t="s">
        <v>34</v>
      </c>
      <c r="H346" s="110" t="s">
        <v>10451</v>
      </c>
      <c r="I346" s="212">
        <v>0</v>
      </c>
      <c r="J346" s="118" t="s">
        <v>10474</v>
      </c>
      <c r="K346" s="112"/>
      <c r="L346" s="135">
        <v>1</v>
      </c>
      <c r="M346" s="135">
        <v>1</v>
      </c>
      <c r="N346" s="112"/>
      <c r="O346" s="112"/>
      <c r="P346" s="112" t="str">
        <f>VLOOKUP(B346, 'Companies covered restructured'!$B$7:$K$470, 9, FALSE)</f>
        <v>Agri input e-commerce platforms</v>
      </c>
      <c r="Q346" s="112" t="str">
        <f>VLOOKUP(B346, 'Companies covered restructured'!$B$7:$K$470, 6, FALSE)</f>
        <v>#Crops(100)</v>
      </c>
      <c r="R346" s="112" t="str">
        <f t="shared" si="177"/>
        <v>N/A</v>
      </c>
      <c r="S346" s="112" t="s">
        <v>11003</v>
      </c>
      <c r="T346" s="112" t="s">
        <v>10466</v>
      </c>
      <c r="U346" s="103" t="s">
        <v>10970</v>
      </c>
      <c r="V346" s="112" t="str">
        <f>VLOOKUP(P346, 'Bottom-up Tagging Assumptions'!$B$12:$F$39, 5, FALSE)</f>
        <v>#Process Innovation(100)</v>
      </c>
      <c r="W346" s="112" t="str">
        <f>VLOOKUP(B346, 'Companies covered restructured'!$B$7:$K$470, 7, FALSE)</f>
        <v>#Field/Animal Herd(100)</v>
      </c>
      <c r="X346" s="112" t="s">
        <v>10558</v>
      </c>
      <c r="Y346" s="112" t="str">
        <f>VLOOKUP(P346, '[2]Bottom-up Tagging Assumptions'!$B$12:$F$56, 2, FALSE)</f>
        <v>#Other Economic(P); Productivity(S)</v>
      </c>
      <c r="Z346" s="112" t="str">
        <f>VLOOKUP(P346, 'Bottom-up Tagging Assumptions'!$B$12:$F$56, 3, FALSE)</f>
        <v>#Reduce cost of inputs(P)</v>
      </c>
      <c r="AA346" s="112" t="str">
        <f>VLOOKUP(P346, 'Bottom-up Tagging Assumptions'!$B$12:$F$56, 4, FALSE)</f>
        <v>#Level 1(100)</v>
      </c>
      <c r="AB346" s="110" t="s">
        <v>525</v>
      </c>
      <c r="AC346" s="110" t="s">
        <v>526</v>
      </c>
      <c r="AD346" s="110"/>
      <c r="AE346" s="110" t="s">
        <v>10558</v>
      </c>
      <c r="AF346" s="112">
        <v>16507907</v>
      </c>
      <c r="AG346" s="110" t="s">
        <v>464</v>
      </c>
      <c r="AH346" s="121">
        <f t="shared" si="178"/>
        <v>0</v>
      </c>
      <c r="AI346" s="121">
        <f t="shared" si="179"/>
        <v>1</v>
      </c>
      <c r="AJ346" s="121">
        <f t="shared" si="180"/>
        <v>1</v>
      </c>
      <c r="AK346" s="121">
        <f t="shared" si="181"/>
        <v>0</v>
      </c>
      <c r="AL346" s="121">
        <f t="shared" si="182"/>
        <v>0</v>
      </c>
      <c r="AM346" s="121">
        <f t="shared" si="183"/>
        <v>0</v>
      </c>
      <c r="AN346" s="121">
        <f t="shared" si="184"/>
        <v>0</v>
      </c>
      <c r="AO346" s="121">
        <f t="shared" si="185"/>
        <v>0</v>
      </c>
      <c r="AP346" s="22">
        <f t="shared" si="186"/>
        <v>0</v>
      </c>
      <c r="AQ346" s="22">
        <f t="shared" si="187"/>
        <v>0</v>
      </c>
      <c r="AR346" s="22">
        <f t="shared" si="188"/>
        <v>0</v>
      </c>
      <c r="AS346" s="121" t="str">
        <f t="shared" si="189"/>
        <v>Crops</v>
      </c>
      <c r="AT346" s="121" t="str">
        <f t="shared" si="190"/>
        <v xml:space="preserve"> </v>
      </c>
      <c r="AU346" s="121" t="str">
        <f t="shared" si="190"/>
        <v xml:space="preserve"> </v>
      </c>
      <c r="AV346" s="121" t="str">
        <f t="shared" si="190"/>
        <v xml:space="preserve"> </v>
      </c>
      <c r="AW346" s="130" t="str">
        <f t="shared" si="191"/>
        <v>100</v>
      </c>
      <c r="AX346" s="130" t="str">
        <f t="shared" si="191"/>
        <v xml:space="preserve"> </v>
      </c>
      <c r="AY346" s="130" t="str">
        <f t="shared" si="191"/>
        <v xml:space="preserve"> </v>
      </c>
      <c r="AZ346" s="130" t="str">
        <f t="shared" si="191"/>
        <v xml:space="preserve"> </v>
      </c>
      <c r="BA346" s="121">
        <f t="shared" si="192"/>
        <v>0</v>
      </c>
      <c r="BB346" s="121">
        <f t="shared" si="193"/>
        <v>0</v>
      </c>
      <c r="BC346" s="121">
        <f t="shared" si="194"/>
        <v>0</v>
      </c>
      <c r="BD346" s="121">
        <f t="shared" si="195"/>
        <v>0</v>
      </c>
      <c r="BE346" s="121">
        <f t="shared" si="196"/>
        <v>0</v>
      </c>
      <c r="BF346" s="121">
        <f t="shared" si="197"/>
        <v>0</v>
      </c>
      <c r="BG346" s="121">
        <f t="shared" si="198"/>
        <v>0</v>
      </c>
      <c r="BH346" s="121">
        <f t="shared" si="199"/>
        <v>0</v>
      </c>
      <c r="BI346" s="121">
        <f t="shared" si="200"/>
        <v>0</v>
      </c>
      <c r="BJ346" s="121">
        <f t="shared" si="201"/>
        <v>0</v>
      </c>
      <c r="BK346" s="121">
        <f t="shared" si="202"/>
        <v>0</v>
      </c>
      <c r="BL346" s="121">
        <f t="shared" si="203"/>
        <v>0</v>
      </c>
      <c r="BM346" s="121">
        <f t="shared" si="204"/>
        <v>0</v>
      </c>
      <c r="BN346" s="121">
        <f t="shared" si="205"/>
        <v>0</v>
      </c>
      <c r="BO346" s="121">
        <f t="shared" si="206"/>
        <v>0</v>
      </c>
      <c r="BP346" s="121">
        <f t="shared" si="207"/>
        <v>0</v>
      </c>
      <c r="BQ346" s="199" t="e">
        <f>INDEX('GDP deflators'!$C$6:$M$36,MATCH('Bottom-up tagging'!$D346,'GDP deflators'!$B$6:$B$36,),MATCH('Bottom-up tagging'!$E346,'GDP deflators'!$C$5:$L$5,))/100</f>
        <v>#N/A</v>
      </c>
      <c r="BR346" s="24">
        <v>450924</v>
      </c>
    </row>
    <row r="347" spans="2:70" ht="26.15" hidden="1" customHeight="1">
      <c r="B347" s="110" t="s">
        <v>980</v>
      </c>
      <c r="C347" s="110" t="s">
        <v>984</v>
      </c>
      <c r="D347" s="110" t="s">
        <v>3994</v>
      </c>
      <c r="E347" s="103">
        <v>2015</v>
      </c>
      <c r="F347" s="108" t="s">
        <v>7842</v>
      </c>
      <c r="G347" s="111" t="s">
        <v>124</v>
      </c>
      <c r="H347" s="110" t="s">
        <v>10451</v>
      </c>
      <c r="I347" s="112">
        <f>IF(Dashboard!$B$16="Current USD",'Bottom-up tagging'!BR347,'Bottom-up tagging'!BR347/'Bottom-up tagging'!BQ347)</f>
        <v>341208.89507658011</v>
      </c>
      <c r="J347" s="117" t="s">
        <v>10474</v>
      </c>
      <c r="K347" s="112"/>
      <c r="L347" s="135">
        <v>1</v>
      </c>
      <c r="M347" s="135">
        <v>1</v>
      </c>
      <c r="N347" s="112"/>
      <c r="O347" s="112"/>
      <c r="P347" s="112" t="str">
        <f>VLOOKUP(B347, 'Companies covered restructured'!$B$7:$K$470, 9, FALSE)</f>
        <v>Seed development and biotech</v>
      </c>
      <c r="Q347" s="112" t="str">
        <f>VLOOKUP(B347, 'Companies covered restructured'!$B$7:$K$470, 6, FALSE)</f>
        <v>#Crops(100)</v>
      </c>
      <c r="R347" s="112" t="str">
        <f t="shared" si="177"/>
        <v>#Angel Investor(100)</v>
      </c>
      <c r="S347" s="112" t="s">
        <v>11003</v>
      </c>
      <c r="T347" s="112" t="s">
        <v>10466</v>
      </c>
      <c r="U347" s="103" t="s">
        <v>10970</v>
      </c>
      <c r="V347" s="112" t="str">
        <f>VLOOKUP(P347, 'Bottom-up Tagging Assumptions'!$B$12:$F$39, 5, FALSE)</f>
        <v>#Product Development(100)</v>
      </c>
      <c r="W347" s="112" t="str">
        <f>VLOOKUP(B347, 'Companies covered restructured'!$B$7:$K$470, 7, FALSE)</f>
        <v>#Field/Animal Herd(100)</v>
      </c>
      <c r="X347" s="112" t="s">
        <v>10558</v>
      </c>
      <c r="Y347" s="212" t="str">
        <f>VLOOKUP(P347, 'Bottom-up Tagging Assumptions'!$B$12:$C$56, 2, FALSE)</f>
        <v>#Productivity(P); #Human Condition(S)</v>
      </c>
      <c r="Z347" s="112" t="str">
        <f>VLOOKUP(P347, 'Bottom-up Tagging Assumptions'!$B$12:$F$56, 3, FALSE)</f>
        <v>#Increasing crop or animal yield(P); #Improved nutrition(S)</v>
      </c>
      <c r="AA347" s="112" t="str">
        <f>VLOOKUP(P347, 'Bottom-up Tagging Assumptions'!$B$12:$F$56, 4, FALSE)</f>
        <v>#Level 1(100)</v>
      </c>
      <c r="AB347" s="110"/>
      <c r="AC347" s="110" t="s">
        <v>2559</v>
      </c>
      <c r="AD347" s="110" t="s">
        <v>2559</v>
      </c>
      <c r="AE347" s="110" t="s">
        <v>3127</v>
      </c>
      <c r="AF347" s="112"/>
      <c r="AG347" s="110" t="s">
        <v>2403</v>
      </c>
      <c r="AH347" s="121">
        <f t="shared" si="178"/>
        <v>0</v>
      </c>
      <c r="AI347" s="121">
        <f t="shared" si="179"/>
        <v>1</v>
      </c>
      <c r="AJ347" s="121">
        <f t="shared" si="180"/>
        <v>0</v>
      </c>
      <c r="AK347" s="121">
        <f t="shared" si="181"/>
        <v>0</v>
      </c>
      <c r="AL347" s="121">
        <f t="shared" si="182"/>
        <v>1</v>
      </c>
      <c r="AM347" s="121">
        <f t="shared" si="183"/>
        <v>0</v>
      </c>
      <c r="AN347" s="121">
        <f t="shared" si="184"/>
        <v>1</v>
      </c>
      <c r="AO347" s="121">
        <f t="shared" si="185"/>
        <v>0</v>
      </c>
      <c r="AP347" s="22">
        <f t="shared" si="186"/>
        <v>0</v>
      </c>
      <c r="AQ347" s="22">
        <f t="shared" si="187"/>
        <v>341208.89507658011</v>
      </c>
      <c r="AR347" s="22">
        <f t="shared" si="188"/>
        <v>0</v>
      </c>
      <c r="AS347" s="121" t="str">
        <f t="shared" si="189"/>
        <v>Crops</v>
      </c>
      <c r="AT347" s="121" t="str">
        <f t="shared" si="190"/>
        <v xml:space="preserve"> </v>
      </c>
      <c r="AU347" s="121" t="str">
        <f t="shared" si="190"/>
        <v xml:space="preserve"> </v>
      </c>
      <c r="AV347" s="121" t="str">
        <f t="shared" si="190"/>
        <v xml:space="preserve"> </v>
      </c>
      <c r="AW347" s="130" t="str">
        <f t="shared" si="191"/>
        <v>100</v>
      </c>
      <c r="AX347" s="130" t="str">
        <f t="shared" si="191"/>
        <v xml:space="preserve"> </v>
      </c>
      <c r="AY347" s="130" t="str">
        <f t="shared" si="191"/>
        <v xml:space="preserve"> </v>
      </c>
      <c r="AZ347" s="130" t="str">
        <f t="shared" si="191"/>
        <v xml:space="preserve"> </v>
      </c>
      <c r="BA347" s="121">
        <f t="shared" si="192"/>
        <v>341208.89507658011</v>
      </c>
      <c r="BB347" s="121">
        <f t="shared" si="193"/>
        <v>0</v>
      </c>
      <c r="BC347" s="121">
        <f t="shared" si="194"/>
        <v>0</v>
      </c>
      <c r="BD347" s="121">
        <f t="shared" si="195"/>
        <v>0</v>
      </c>
      <c r="BE347" s="121">
        <f t="shared" si="196"/>
        <v>0</v>
      </c>
      <c r="BF347" s="121">
        <f t="shared" si="197"/>
        <v>0</v>
      </c>
      <c r="BG347" s="121">
        <f t="shared" si="198"/>
        <v>0</v>
      </c>
      <c r="BH347" s="121">
        <f t="shared" si="199"/>
        <v>0</v>
      </c>
      <c r="BI347" s="121">
        <f t="shared" si="200"/>
        <v>341208.89507658011</v>
      </c>
      <c r="BJ347" s="121">
        <f t="shared" si="201"/>
        <v>341208.89507658011</v>
      </c>
      <c r="BK347" s="121">
        <f t="shared" si="202"/>
        <v>341208.89507658011</v>
      </c>
      <c r="BL347" s="121">
        <f t="shared" si="203"/>
        <v>341208.89507658011</v>
      </c>
      <c r="BM347" s="121">
        <f t="shared" si="204"/>
        <v>0</v>
      </c>
      <c r="BN347" s="121">
        <f t="shared" si="205"/>
        <v>0</v>
      </c>
      <c r="BO347" s="121">
        <f t="shared" si="206"/>
        <v>0</v>
      </c>
      <c r="BP347" s="121">
        <f t="shared" si="207"/>
        <v>0</v>
      </c>
      <c r="BQ347" s="199">
        <f>INDEX('GDP deflators'!$C$6:$M$36,MATCH('Bottom-up tagging'!$D347,'GDP deflators'!$B$6:$B$36,),MATCH('Bottom-up tagging'!$E347,'GDP deflators'!$C$5:$L$5,))/100</f>
        <v>1.3170905169372478</v>
      </c>
      <c r="BR347" s="24">
        <v>449403</v>
      </c>
    </row>
    <row r="348" spans="2:70" ht="26.15" hidden="1" customHeight="1">
      <c r="B348" s="110" t="s">
        <v>2284</v>
      </c>
      <c r="C348" s="110" t="s">
        <v>2286</v>
      </c>
      <c r="D348" s="110" t="s">
        <v>3994</v>
      </c>
      <c r="E348" s="103">
        <v>2016</v>
      </c>
      <c r="F348" s="108" t="s">
        <v>9323</v>
      </c>
      <c r="G348" s="111" t="s">
        <v>34</v>
      </c>
      <c r="H348" s="110" t="s">
        <v>10451</v>
      </c>
      <c r="I348" s="112">
        <f>IF(Dashboard!$B$16="Current USD",'Bottom-up tagging'!BR348,'Bottom-up tagging'!BR348/'Bottom-up tagging'!BQ348)</f>
        <v>328480.29632411397</v>
      </c>
      <c r="J348" s="117" t="s">
        <v>10474</v>
      </c>
      <c r="K348" s="112"/>
      <c r="L348" s="135">
        <v>1</v>
      </c>
      <c r="M348" s="135">
        <v>1</v>
      </c>
      <c r="N348" s="112"/>
      <c r="O348" s="112"/>
      <c r="P348" s="112" t="str">
        <f>VLOOKUP(B348, 'Companies covered restructured'!$B$7:$K$470, 9, FALSE)</f>
        <v>Agri input e-commerce platforms</v>
      </c>
      <c r="Q348" s="112" t="str">
        <f>VLOOKUP(B348, 'Companies covered restructured'!$B$7:$K$470, 6, FALSE)</f>
        <v>#Crops(100)</v>
      </c>
      <c r="R348" s="112" t="str">
        <f t="shared" si="177"/>
        <v>N/A</v>
      </c>
      <c r="S348" s="112" t="s">
        <v>11003</v>
      </c>
      <c r="T348" s="112" t="s">
        <v>10466</v>
      </c>
      <c r="U348" s="213" t="s">
        <v>10970</v>
      </c>
      <c r="V348" s="112" t="str">
        <f>VLOOKUP(P348, 'Bottom-up Tagging Assumptions'!$B$12:$F$39, 5, FALSE)</f>
        <v>#Process Innovation(100)</v>
      </c>
      <c r="W348" s="112" t="str">
        <f>VLOOKUP(B348, 'Companies covered restructured'!$B$7:$K$470, 7, FALSE)</f>
        <v>#Landscape(100)</v>
      </c>
      <c r="X348" s="112" t="str">
        <f>VLOOKUP(B348, 'Companies covered restructured'!$B$7:$K$470, 8, FALSE)</f>
        <v>N/A</v>
      </c>
      <c r="Y348" s="212" t="str">
        <f>VLOOKUP(P348, 'Bottom-up Tagging Assumptions'!$B$12:$C$56, 2, FALSE)</f>
        <v>#Other Economic(P); Productivity(S)</v>
      </c>
      <c r="Z348" s="112" t="str">
        <f>VLOOKUP(P348, 'Bottom-up Tagging Assumptions'!$B$12:$F$56, 3, FALSE)</f>
        <v>#Reduce cost of inputs(P)</v>
      </c>
      <c r="AA348" s="112" t="str">
        <f>VLOOKUP(P348, 'Bottom-up Tagging Assumptions'!$B$12:$F$56, 4, FALSE)</f>
        <v>#Level 1(100)</v>
      </c>
      <c r="AB348" s="110"/>
      <c r="AC348" s="110"/>
      <c r="AD348" s="110"/>
      <c r="AE348" s="110" t="s">
        <v>10558</v>
      </c>
      <c r="AF348" s="112">
        <v>15568800</v>
      </c>
      <c r="AG348" s="110" t="s">
        <v>1335</v>
      </c>
      <c r="AH348" s="121">
        <f t="shared" si="178"/>
        <v>0</v>
      </c>
      <c r="AI348" s="121">
        <f t="shared" si="179"/>
        <v>1</v>
      </c>
      <c r="AJ348" s="121">
        <f t="shared" si="180"/>
        <v>1</v>
      </c>
      <c r="AK348" s="121">
        <f t="shared" si="181"/>
        <v>0</v>
      </c>
      <c r="AL348" s="121">
        <f t="shared" si="182"/>
        <v>0</v>
      </c>
      <c r="AM348" s="121">
        <f t="shared" si="183"/>
        <v>0</v>
      </c>
      <c r="AN348" s="121">
        <f t="shared" si="184"/>
        <v>0</v>
      </c>
      <c r="AO348" s="121">
        <f t="shared" si="185"/>
        <v>0</v>
      </c>
      <c r="AP348" s="22">
        <f t="shared" si="186"/>
        <v>0</v>
      </c>
      <c r="AQ348" s="22">
        <f t="shared" si="187"/>
        <v>0</v>
      </c>
      <c r="AR348" s="22">
        <f t="shared" si="188"/>
        <v>0</v>
      </c>
      <c r="AS348" s="121" t="str">
        <f t="shared" si="189"/>
        <v>Crops</v>
      </c>
      <c r="AT348" s="121" t="str">
        <f t="shared" si="190"/>
        <v xml:space="preserve"> </v>
      </c>
      <c r="AU348" s="121" t="str">
        <f t="shared" si="190"/>
        <v xml:space="preserve"> </v>
      </c>
      <c r="AV348" s="121" t="str">
        <f t="shared" si="190"/>
        <v xml:space="preserve"> </v>
      </c>
      <c r="AW348" s="130" t="str">
        <f t="shared" si="191"/>
        <v>100</v>
      </c>
      <c r="AX348" s="130" t="str">
        <f t="shared" si="191"/>
        <v xml:space="preserve"> </v>
      </c>
      <c r="AY348" s="130" t="str">
        <f t="shared" si="191"/>
        <v xml:space="preserve"> </v>
      </c>
      <c r="AZ348" s="130" t="str">
        <f t="shared" si="191"/>
        <v xml:space="preserve"> </v>
      </c>
      <c r="BA348" s="121">
        <f t="shared" si="192"/>
        <v>328480.29632411397</v>
      </c>
      <c r="BB348" s="121">
        <f t="shared" si="193"/>
        <v>0</v>
      </c>
      <c r="BC348" s="121">
        <f t="shared" si="194"/>
        <v>0</v>
      </c>
      <c r="BD348" s="121">
        <f t="shared" si="195"/>
        <v>0</v>
      </c>
      <c r="BE348" s="121">
        <f t="shared" si="196"/>
        <v>0</v>
      </c>
      <c r="BF348" s="121">
        <f t="shared" si="197"/>
        <v>0</v>
      </c>
      <c r="BG348" s="121">
        <f t="shared" si="198"/>
        <v>0</v>
      </c>
      <c r="BH348" s="121">
        <f t="shared" si="199"/>
        <v>0</v>
      </c>
      <c r="BI348" s="121">
        <f t="shared" si="200"/>
        <v>0</v>
      </c>
      <c r="BJ348" s="121">
        <f t="shared" si="201"/>
        <v>0</v>
      </c>
      <c r="BK348" s="121">
        <f t="shared" si="202"/>
        <v>0</v>
      </c>
      <c r="BL348" s="121">
        <f t="shared" si="203"/>
        <v>0</v>
      </c>
      <c r="BM348" s="121">
        <f t="shared" si="204"/>
        <v>0</v>
      </c>
      <c r="BN348" s="121">
        <f t="shared" si="205"/>
        <v>0</v>
      </c>
      <c r="BO348" s="121">
        <f t="shared" si="206"/>
        <v>0</v>
      </c>
      <c r="BP348" s="121">
        <f t="shared" si="207"/>
        <v>0</v>
      </c>
      <c r="BQ348" s="199">
        <f>INDEX('GDP deflators'!$C$6:$M$36,MATCH('Bottom-up tagging'!$D348,'GDP deflators'!$B$6:$B$36,),MATCH('Bottom-up tagging'!$E348,'GDP deflators'!$C$5:$L$5,))/100</f>
        <v>1.3597375702538033</v>
      </c>
      <c r="BR348" s="24">
        <v>446647</v>
      </c>
    </row>
    <row r="349" spans="2:70" ht="26.15" hidden="1" customHeight="1">
      <c r="B349" s="110" t="s">
        <v>96</v>
      </c>
      <c r="C349" s="110" t="s">
        <v>100</v>
      </c>
      <c r="D349" s="110" t="s">
        <v>3994</v>
      </c>
      <c r="E349" s="103">
        <v>2019</v>
      </c>
      <c r="F349" s="108" t="s">
        <v>8260</v>
      </c>
      <c r="G349" s="111" t="s">
        <v>124</v>
      </c>
      <c r="H349" s="110" t="s">
        <v>10451</v>
      </c>
      <c r="I349" s="112">
        <f>IF(Dashboard!$B$16="Current USD",'Bottom-up tagging'!BR349,'Bottom-up tagging'!BR349/'Bottom-up tagging'!BQ349)</f>
        <v>290083.71360543015</v>
      </c>
      <c r="J349" s="118" t="s">
        <v>10474</v>
      </c>
      <c r="K349" s="112"/>
      <c r="L349" s="135">
        <v>1</v>
      </c>
      <c r="M349" s="135">
        <v>1</v>
      </c>
      <c r="N349" s="112"/>
      <c r="O349" s="112"/>
      <c r="P349" s="112" t="str">
        <f>VLOOKUP(B349, 'Companies covered restructured'!$B$7:$K$470, 9, FALSE)</f>
        <v>Agri marketplaces</v>
      </c>
      <c r="Q349" s="112" t="str">
        <f>VLOOKUP(B349, 'Companies covered restructured'!$B$7:$K$470, 6, FALSE)</f>
        <v>#Crops(100)</v>
      </c>
      <c r="R349" s="112" t="str">
        <f t="shared" si="177"/>
        <v>#Angel Investor(100)</v>
      </c>
      <c r="S349" s="112" t="s">
        <v>11003</v>
      </c>
      <c r="T349" s="112" t="s">
        <v>10466</v>
      </c>
      <c r="U349" s="103" t="s">
        <v>10970</v>
      </c>
      <c r="V349" s="112" t="str">
        <f>VLOOKUP(P349, 'Bottom-up Tagging Assumptions'!$B$12:$F$39, 5, FALSE)</f>
        <v>#Process Innovation(100)</v>
      </c>
      <c r="W349" s="112" t="str">
        <f>VLOOKUP(B349, 'Companies covered restructured'!$B$7:$K$470, 7, FALSE)</f>
        <v>#Farm/Household(100)</v>
      </c>
      <c r="X349" s="112" t="s">
        <v>10558</v>
      </c>
      <c r="Y349" s="212" t="str">
        <f>VLOOKUP(P349, 'Bottom-up Tagging Assumptions'!$B$12:$C$56, 2, FALSE)</f>
        <v>#Other Economic(P); Social(S)</v>
      </c>
      <c r="Z349" s="112" t="str">
        <f>VLOOKUP(P349, 'Bottom-up Tagging Assumptions'!$B$12:$F$56, 3, FALSE)</f>
        <v>#Improve price realization(P)</v>
      </c>
      <c r="AA349" s="112" t="str">
        <f>VLOOKUP(P349, 'Bottom-up Tagging Assumptions'!$B$12:$F$56, 4, FALSE)</f>
        <v>#Level 4(100)</v>
      </c>
      <c r="AB349" s="110"/>
      <c r="AC349" s="110" t="s">
        <v>929</v>
      </c>
      <c r="AD349" s="110" t="s">
        <v>929</v>
      </c>
      <c r="AE349" s="110" t="str">
        <f>VLOOKUP(AD349,  '1.2'!$B$7:$C$2033, 2, FALSE)</f>
        <v>ANGEL</v>
      </c>
      <c r="AF349" s="112"/>
      <c r="AG349" s="110" t="s">
        <v>1993</v>
      </c>
      <c r="AH349" s="121">
        <f t="shared" si="178"/>
        <v>0</v>
      </c>
      <c r="AI349" s="121">
        <f t="shared" si="179"/>
        <v>0</v>
      </c>
      <c r="AJ349" s="121">
        <f t="shared" si="180"/>
        <v>1</v>
      </c>
      <c r="AK349" s="121">
        <f t="shared" si="181"/>
        <v>1</v>
      </c>
      <c r="AL349" s="121">
        <f t="shared" si="182"/>
        <v>0</v>
      </c>
      <c r="AM349" s="121">
        <f t="shared" si="183"/>
        <v>0</v>
      </c>
      <c r="AN349" s="121">
        <f t="shared" si="184"/>
        <v>1</v>
      </c>
      <c r="AO349" s="121">
        <f t="shared" si="185"/>
        <v>0</v>
      </c>
      <c r="AP349" s="22">
        <f t="shared" si="186"/>
        <v>0</v>
      </c>
      <c r="AQ349" s="22">
        <f t="shared" si="187"/>
        <v>290083.71360543015</v>
      </c>
      <c r="AR349" s="22">
        <f t="shared" si="188"/>
        <v>0</v>
      </c>
      <c r="AS349" s="121" t="str">
        <f t="shared" si="189"/>
        <v>Crops</v>
      </c>
      <c r="AT349" s="121" t="str">
        <f t="shared" si="190"/>
        <v xml:space="preserve"> </v>
      </c>
      <c r="AU349" s="121" t="str">
        <f t="shared" si="190"/>
        <v xml:space="preserve"> </v>
      </c>
      <c r="AV349" s="121" t="str">
        <f t="shared" si="190"/>
        <v xml:space="preserve"> </v>
      </c>
      <c r="AW349" s="130" t="str">
        <f t="shared" si="191"/>
        <v>100</v>
      </c>
      <c r="AX349" s="130" t="str">
        <f t="shared" si="191"/>
        <v xml:space="preserve"> </v>
      </c>
      <c r="AY349" s="130" t="str">
        <f t="shared" si="191"/>
        <v xml:space="preserve"> </v>
      </c>
      <c r="AZ349" s="130" t="str">
        <f t="shared" si="191"/>
        <v xml:space="preserve"> </v>
      </c>
      <c r="BA349" s="121">
        <f t="shared" si="192"/>
        <v>290083.71360543015</v>
      </c>
      <c r="BB349" s="121">
        <f t="shared" si="193"/>
        <v>0</v>
      </c>
      <c r="BC349" s="121">
        <f t="shared" si="194"/>
        <v>0</v>
      </c>
      <c r="BD349" s="121">
        <f t="shared" si="195"/>
        <v>0</v>
      </c>
      <c r="BE349" s="121">
        <f t="shared" si="196"/>
        <v>0</v>
      </c>
      <c r="BF349" s="121">
        <f t="shared" si="197"/>
        <v>0</v>
      </c>
      <c r="BG349" s="121">
        <f t="shared" si="198"/>
        <v>0</v>
      </c>
      <c r="BH349" s="121">
        <f t="shared" si="199"/>
        <v>0</v>
      </c>
      <c r="BI349" s="121">
        <f t="shared" si="200"/>
        <v>290083.71360543015</v>
      </c>
      <c r="BJ349" s="121">
        <f t="shared" si="201"/>
        <v>290083.71360543015</v>
      </c>
      <c r="BK349" s="121">
        <f t="shared" si="202"/>
        <v>290083.71360543015</v>
      </c>
      <c r="BL349" s="121">
        <f t="shared" si="203"/>
        <v>290083.71360543015</v>
      </c>
      <c r="BM349" s="121">
        <f t="shared" si="204"/>
        <v>0</v>
      </c>
      <c r="BN349" s="121">
        <f t="shared" si="205"/>
        <v>0</v>
      </c>
      <c r="BO349" s="121">
        <f t="shared" si="206"/>
        <v>0</v>
      </c>
      <c r="BP349" s="121">
        <f t="shared" si="207"/>
        <v>0</v>
      </c>
      <c r="BQ349" s="199">
        <f>INDEX('GDP deflators'!$C$6:$M$36,MATCH('Bottom-up tagging'!$D349,'GDP deflators'!$B$6:$B$36,),MATCH('Bottom-up tagging'!$E349,'GDP deflators'!$C$5:$L$5,))/100</f>
        <v>1.5094883975306472</v>
      </c>
      <c r="BR349" s="24">
        <v>437878</v>
      </c>
    </row>
    <row r="350" spans="2:70" ht="26.15" hidden="1" customHeight="1">
      <c r="B350" s="110" t="s">
        <v>3047</v>
      </c>
      <c r="C350" s="110" t="s">
        <v>3051</v>
      </c>
      <c r="D350" s="110" t="s">
        <v>3994</v>
      </c>
      <c r="E350" s="103">
        <v>2011</v>
      </c>
      <c r="F350" s="108" t="s">
        <v>10180</v>
      </c>
      <c r="G350" s="111" t="s">
        <v>34</v>
      </c>
      <c r="H350" s="110" t="s">
        <v>10451</v>
      </c>
      <c r="I350" s="112">
        <f>IF(Dashboard!$B$16="Current USD",'Bottom-up tagging'!BR350,'Bottom-up tagging'!BR350/'Bottom-up tagging'!BQ350)</f>
        <v>402308.10798967391</v>
      </c>
      <c r="J350" s="118" t="s">
        <v>10474</v>
      </c>
      <c r="K350" s="112"/>
      <c r="L350" s="135">
        <v>1</v>
      </c>
      <c r="M350" s="135">
        <v>1</v>
      </c>
      <c r="N350" s="112"/>
      <c r="O350" s="112"/>
      <c r="P350" s="112" t="str">
        <f>VLOOKUP(B350, 'Companies covered restructured'!$B$7:$K$470, 9, FALSE)</f>
        <v>Precision livestock farming</v>
      </c>
      <c r="Q350" s="112" t="str">
        <f>VLOOKUP(B350, 'Companies covered restructured'!$B$7:$K$470, 6, FALSE)</f>
        <v>#Livestock(100)</v>
      </c>
      <c r="R350" s="112" t="str">
        <f t="shared" si="177"/>
        <v>#Investment Fund(100)</v>
      </c>
      <c r="S350" s="112" t="s">
        <v>11003</v>
      </c>
      <c r="T350" s="112" t="s">
        <v>10466</v>
      </c>
      <c r="U350" s="103" t="s">
        <v>10970</v>
      </c>
      <c r="V350" s="112" t="str">
        <f>VLOOKUP(P350, 'Bottom-up Tagging Assumptions'!$B$12:$F$39, 5, FALSE)</f>
        <v>#Science &amp; tech(100)</v>
      </c>
      <c r="W350" s="112" t="str">
        <f>VLOOKUP(B350, 'Companies covered restructured'!$B$7:$K$470, 7, FALSE)</f>
        <v>#Field/Animal Herd(100)</v>
      </c>
      <c r="X350" s="112" t="s">
        <v>10558</v>
      </c>
      <c r="Y350" s="212" t="str">
        <f>VLOOKUP(P350, 'Bottom-up Tagging Assumptions'!$B$12:$C$56, 2, FALSE)</f>
        <v>#Other Economic(P); #Productivity(S)</v>
      </c>
      <c r="Z350" s="112" t="str">
        <f>VLOOKUP(P350, 'Bottom-up Tagging Assumptions'!$B$12:$F$56, 3, FALSE)</f>
        <v>#Increasing output per unit input(P); #Increasing crop or animal yield(S)</v>
      </c>
      <c r="AA350" s="112" t="str">
        <f>VLOOKUP(P350, 'Bottom-up Tagging Assumptions'!$B$12:$F$56, 4, FALSE)</f>
        <v>#Level 1(100)</v>
      </c>
      <c r="AB350" s="110" t="s">
        <v>3049</v>
      </c>
      <c r="AC350" s="110"/>
      <c r="AD350" s="110" t="s">
        <v>3050</v>
      </c>
      <c r="AE350" s="110" t="s">
        <v>3114</v>
      </c>
      <c r="AF350" s="112">
        <v>437444</v>
      </c>
      <c r="AG350" s="110" t="s">
        <v>3052</v>
      </c>
      <c r="AH350" s="121">
        <f t="shared" si="178"/>
        <v>0</v>
      </c>
      <c r="AI350" s="121">
        <f t="shared" si="179"/>
        <v>1</v>
      </c>
      <c r="AJ350" s="121">
        <f t="shared" si="180"/>
        <v>1</v>
      </c>
      <c r="AK350" s="121">
        <f t="shared" si="181"/>
        <v>0</v>
      </c>
      <c r="AL350" s="121">
        <f t="shared" si="182"/>
        <v>0</v>
      </c>
      <c r="AM350" s="121">
        <f t="shared" si="183"/>
        <v>0</v>
      </c>
      <c r="AN350" s="121">
        <f t="shared" si="184"/>
        <v>0</v>
      </c>
      <c r="AO350" s="121">
        <f t="shared" si="185"/>
        <v>0</v>
      </c>
      <c r="AP350" s="22">
        <f t="shared" si="186"/>
        <v>0</v>
      </c>
      <c r="AQ350" s="22">
        <f t="shared" si="187"/>
        <v>0</v>
      </c>
      <c r="AR350" s="22">
        <f t="shared" si="188"/>
        <v>0</v>
      </c>
      <c r="AS350" s="121" t="str">
        <f t="shared" si="189"/>
        <v>Livestock</v>
      </c>
      <c r="AT350" s="121" t="str">
        <f t="shared" si="190"/>
        <v xml:space="preserve"> </v>
      </c>
      <c r="AU350" s="121" t="str">
        <f t="shared" si="190"/>
        <v xml:space="preserve"> </v>
      </c>
      <c r="AV350" s="121" t="str">
        <f t="shared" si="190"/>
        <v xml:space="preserve"> </v>
      </c>
      <c r="AW350" s="130" t="str">
        <f t="shared" si="191"/>
        <v>100</v>
      </c>
      <c r="AX350" s="130" t="str">
        <f t="shared" si="191"/>
        <v xml:space="preserve"> </v>
      </c>
      <c r="AY350" s="130" t="str">
        <f t="shared" si="191"/>
        <v xml:space="preserve"> </v>
      </c>
      <c r="AZ350" s="130" t="str">
        <f t="shared" si="191"/>
        <v xml:space="preserve"> </v>
      </c>
      <c r="BA350" s="121">
        <f t="shared" si="192"/>
        <v>402308.10798967391</v>
      </c>
      <c r="BB350" s="121">
        <f t="shared" si="193"/>
        <v>0</v>
      </c>
      <c r="BC350" s="121">
        <f t="shared" si="194"/>
        <v>0</v>
      </c>
      <c r="BD350" s="121">
        <f t="shared" si="195"/>
        <v>0</v>
      </c>
      <c r="BE350" s="121">
        <f t="shared" si="196"/>
        <v>0</v>
      </c>
      <c r="BF350" s="121">
        <f t="shared" si="197"/>
        <v>0</v>
      </c>
      <c r="BG350" s="121">
        <f t="shared" si="198"/>
        <v>0</v>
      </c>
      <c r="BH350" s="121">
        <f t="shared" si="199"/>
        <v>0</v>
      </c>
      <c r="BI350" s="121">
        <f t="shared" si="200"/>
        <v>0</v>
      </c>
      <c r="BJ350" s="121">
        <f t="shared" si="201"/>
        <v>0</v>
      </c>
      <c r="BK350" s="121">
        <f t="shared" si="202"/>
        <v>0</v>
      </c>
      <c r="BL350" s="121">
        <f t="shared" si="203"/>
        <v>0</v>
      </c>
      <c r="BM350" s="121">
        <f t="shared" si="204"/>
        <v>0</v>
      </c>
      <c r="BN350" s="121">
        <f t="shared" si="205"/>
        <v>0</v>
      </c>
      <c r="BO350" s="121">
        <f t="shared" si="206"/>
        <v>0</v>
      </c>
      <c r="BP350" s="121">
        <f t="shared" si="207"/>
        <v>0</v>
      </c>
      <c r="BQ350" s="199">
        <f>INDEX('GDP deflators'!$C$6:$M$36,MATCH('Bottom-up tagging'!$D350,'GDP deflators'!$B$6:$B$36,),MATCH('Bottom-up tagging'!$E350,'GDP deflators'!$C$5:$L$5,))/100</f>
        <v>1.0873357790025646</v>
      </c>
      <c r="BR350" s="24">
        <v>437444</v>
      </c>
    </row>
    <row r="351" spans="2:70" ht="26.15" hidden="1" customHeight="1">
      <c r="B351" s="110" t="s">
        <v>2215</v>
      </c>
      <c r="C351" s="110" t="s">
        <v>2218</v>
      </c>
      <c r="D351" s="110" t="s">
        <v>2057</v>
      </c>
      <c r="E351" s="103">
        <v>2017</v>
      </c>
      <c r="F351" s="108" t="s">
        <v>9015</v>
      </c>
      <c r="G351" s="111" t="s">
        <v>124</v>
      </c>
      <c r="H351" s="110" t="s">
        <v>10451</v>
      </c>
      <c r="I351" s="112">
        <f>IF(Dashboard!$B$16="Current USD",'Bottom-up tagging'!BR351,'Bottom-up tagging'!BR351/'Bottom-up tagging'!BQ351)</f>
        <v>360377.27668260143</v>
      </c>
      <c r="J351" s="117" t="s">
        <v>10474</v>
      </c>
      <c r="K351" s="112"/>
      <c r="L351" s="135">
        <v>1</v>
      </c>
      <c r="M351" s="135">
        <v>1</v>
      </c>
      <c r="N351" s="112"/>
      <c r="O351" s="112"/>
      <c r="P351" s="112" t="str">
        <f>VLOOKUP(B351, 'Companies covered restructured'!$B$7:$K$470, 9, FALSE)</f>
        <v>AI/analytics based advisory algorithms (incl. weather)</v>
      </c>
      <c r="Q351" s="112" t="str">
        <f>VLOOKUP(B351, 'Companies covered restructured'!$B$7:$K$470, 6, FALSE)</f>
        <v>#Livestock(100)</v>
      </c>
      <c r="R351" s="112" t="str">
        <f t="shared" si="177"/>
        <v>N/A</v>
      </c>
      <c r="S351" s="112" t="s">
        <v>11003</v>
      </c>
      <c r="T351" s="112" t="s">
        <v>10466</v>
      </c>
      <c r="U351" s="103" t="s">
        <v>10970</v>
      </c>
      <c r="V351" s="112" t="str">
        <f>VLOOKUP(P351, 'Bottom-up Tagging Assumptions'!$B$12:$F$39, 5, FALSE)</f>
        <v>#Science &amp; tech(100)</v>
      </c>
      <c r="W351" s="112" t="str">
        <f>VLOOKUP(B351, 'Companies covered restructured'!$B$7:$K$470, 7, FALSE)</f>
        <v>#Farm/Household(100)</v>
      </c>
      <c r="X351" s="112" t="str">
        <f>VLOOKUP(B351, 'Companies covered restructured'!$B$7:$K$470, 8, FALSE)</f>
        <v>N/A</v>
      </c>
      <c r="Y351" s="212" t="str">
        <f>VLOOKUP(P351, 'Bottom-up Tagging Assumptions'!$B$12:$C$56, 2, FALSE)</f>
        <v>#Other Economic(P); #Productivity(S)</v>
      </c>
      <c r="Z351" s="112" t="str">
        <f>VLOOKUP(P351, 'Bottom-up Tagging Assumptions'!$B$12:$F$56, 3, FALSE)</f>
        <v>#Increasing output per unit input(P); #Increasing crop or animal yield(S)</v>
      </c>
      <c r="AA351" s="112" t="str">
        <f>VLOOKUP(P351, 'Bottom-up Tagging Assumptions'!$B$12:$F$56, 4, FALSE)</f>
        <v>#Level 1(100)</v>
      </c>
      <c r="AB351" s="110" t="s">
        <v>2217</v>
      </c>
      <c r="AC351" s="110"/>
      <c r="AD351" s="110"/>
      <c r="AE351" s="110" t="s">
        <v>10558</v>
      </c>
      <c r="AF351" s="112"/>
      <c r="AG351" s="110" t="s">
        <v>2410</v>
      </c>
      <c r="AH351" s="121">
        <f t="shared" si="178"/>
        <v>0</v>
      </c>
      <c r="AI351" s="121">
        <f t="shared" si="179"/>
        <v>1</v>
      </c>
      <c r="AJ351" s="121">
        <f t="shared" si="180"/>
        <v>1</v>
      </c>
      <c r="AK351" s="121">
        <f t="shared" si="181"/>
        <v>0</v>
      </c>
      <c r="AL351" s="121">
        <f t="shared" si="182"/>
        <v>0</v>
      </c>
      <c r="AM351" s="121">
        <f t="shared" si="183"/>
        <v>0</v>
      </c>
      <c r="AN351" s="121">
        <f t="shared" si="184"/>
        <v>0</v>
      </c>
      <c r="AO351" s="121">
        <f t="shared" si="185"/>
        <v>0</v>
      </c>
      <c r="AP351" s="22">
        <f t="shared" si="186"/>
        <v>0</v>
      </c>
      <c r="AQ351" s="22">
        <f t="shared" si="187"/>
        <v>0</v>
      </c>
      <c r="AR351" s="22">
        <f t="shared" si="188"/>
        <v>0</v>
      </c>
      <c r="AS351" s="121" t="str">
        <f t="shared" si="189"/>
        <v>Livestock</v>
      </c>
      <c r="AT351" s="121" t="str">
        <f t="shared" si="190"/>
        <v xml:space="preserve"> </v>
      </c>
      <c r="AU351" s="121" t="str">
        <f t="shared" si="190"/>
        <v xml:space="preserve"> </v>
      </c>
      <c r="AV351" s="121" t="str">
        <f t="shared" si="190"/>
        <v xml:space="preserve"> </v>
      </c>
      <c r="AW351" s="130" t="str">
        <f t="shared" si="191"/>
        <v>100</v>
      </c>
      <c r="AX351" s="130" t="str">
        <f t="shared" si="191"/>
        <v xml:space="preserve"> </v>
      </c>
      <c r="AY351" s="130" t="str">
        <f t="shared" si="191"/>
        <v xml:space="preserve"> </v>
      </c>
      <c r="AZ351" s="130" t="str">
        <f t="shared" si="191"/>
        <v xml:space="preserve"> </v>
      </c>
      <c r="BA351" s="121">
        <f t="shared" si="192"/>
        <v>360377.27668260143</v>
      </c>
      <c r="BB351" s="121">
        <f t="shared" si="193"/>
        <v>0</v>
      </c>
      <c r="BC351" s="121">
        <f t="shared" si="194"/>
        <v>0</v>
      </c>
      <c r="BD351" s="121">
        <f t="shared" si="195"/>
        <v>0</v>
      </c>
      <c r="BE351" s="121">
        <f t="shared" si="196"/>
        <v>0</v>
      </c>
      <c r="BF351" s="121">
        <f t="shared" si="197"/>
        <v>0</v>
      </c>
      <c r="BG351" s="121">
        <f t="shared" si="198"/>
        <v>0</v>
      </c>
      <c r="BH351" s="121">
        <f t="shared" si="199"/>
        <v>0</v>
      </c>
      <c r="BI351" s="121">
        <f t="shared" si="200"/>
        <v>0</v>
      </c>
      <c r="BJ351" s="121">
        <f t="shared" si="201"/>
        <v>0</v>
      </c>
      <c r="BK351" s="121">
        <f t="shared" si="202"/>
        <v>0</v>
      </c>
      <c r="BL351" s="121">
        <f t="shared" si="203"/>
        <v>0</v>
      </c>
      <c r="BM351" s="121">
        <f t="shared" si="204"/>
        <v>0</v>
      </c>
      <c r="BN351" s="121">
        <f t="shared" si="205"/>
        <v>0</v>
      </c>
      <c r="BO351" s="121">
        <f t="shared" si="206"/>
        <v>0</v>
      </c>
      <c r="BP351" s="121">
        <f t="shared" si="207"/>
        <v>0</v>
      </c>
      <c r="BQ351" s="199">
        <f>INDEX('GDP deflators'!$C$6:$M$36,MATCH('Bottom-up tagging'!$D351,'GDP deflators'!$B$6:$B$36,),MATCH('Bottom-up tagging'!$E351,'GDP deflators'!$C$5:$L$5,))/100</f>
        <v>1.2065910592441995</v>
      </c>
      <c r="BR351" s="24">
        <v>434828</v>
      </c>
    </row>
    <row r="352" spans="2:70" ht="26.15" hidden="1" customHeight="1">
      <c r="B352" s="110" t="s">
        <v>878</v>
      </c>
      <c r="C352" s="110" t="s">
        <v>883</v>
      </c>
      <c r="D352" s="110" t="s">
        <v>3994</v>
      </c>
      <c r="E352" s="103">
        <v>2019</v>
      </c>
      <c r="F352" s="108" t="s">
        <v>8198</v>
      </c>
      <c r="G352" s="111" t="s">
        <v>109</v>
      </c>
      <c r="H352" s="110" t="s">
        <v>10451</v>
      </c>
      <c r="I352" s="112">
        <f>IF(Dashboard!$B$16="Current USD",'Bottom-up tagging'!BR352,'Bottom-up tagging'!BR352/'Bottom-up tagging'!BQ352)</f>
        <v>283573.56088343781</v>
      </c>
      <c r="J352" s="117" t="s">
        <v>10474</v>
      </c>
      <c r="K352" s="112"/>
      <c r="L352" s="135">
        <v>1</v>
      </c>
      <c r="M352" s="135">
        <v>1</v>
      </c>
      <c r="N352" s="112"/>
      <c r="O352" s="112"/>
      <c r="P352" s="112" t="str">
        <f>VLOOKUP(B352, 'Companies covered restructured'!$B$7:$K$470, 9, FALSE)</f>
        <v>Agri marketplaces</v>
      </c>
      <c r="Q352" s="112" t="str">
        <f>VLOOKUP(B352, 'Companies covered restructured'!$B$7:$K$470, 6, FALSE)</f>
        <v>#Livestock(100)</v>
      </c>
      <c r="R352" s="112" t="str">
        <f t="shared" si="177"/>
        <v>#Investment Fund(100)</v>
      </c>
      <c r="S352" s="112" t="s">
        <v>11003</v>
      </c>
      <c r="T352" s="112" t="s">
        <v>10466</v>
      </c>
      <c r="U352" s="103" t="s">
        <v>10970</v>
      </c>
      <c r="V352" s="112" t="str">
        <f>VLOOKUP(P352, 'Bottom-up Tagging Assumptions'!$B$12:$F$39, 5, FALSE)</f>
        <v>#Process Innovation(100)</v>
      </c>
      <c r="W352" s="112" t="str">
        <f>VLOOKUP(B352, 'Companies covered restructured'!$B$7:$K$470, 7, FALSE)</f>
        <v>#Farm/Household(100)</v>
      </c>
      <c r="X352" s="112" t="str">
        <f>VLOOKUP(B352, 'Companies covered restructured'!$B$7:$K$470, 8, FALSE)</f>
        <v>N/A</v>
      </c>
      <c r="Y352" s="212" t="str">
        <f>VLOOKUP(P352, 'Bottom-up Tagging Assumptions'!$B$12:$C$56, 2, FALSE)</f>
        <v>#Other Economic(P); Social(S)</v>
      </c>
      <c r="Z352" s="112" t="str">
        <f>VLOOKUP(P352, 'Bottom-up Tagging Assumptions'!$B$12:$F$56, 3, FALSE)</f>
        <v>#Improve price realization(P)</v>
      </c>
      <c r="AA352" s="112" t="str">
        <f>VLOOKUP(P352, 'Bottom-up Tagging Assumptions'!$B$12:$F$56, 4, FALSE)</f>
        <v>#Level 4(100)</v>
      </c>
      <c r="AB352" s="110" t="s">
        <v>880</v>
      </c>
      <c r="AC352" s="110"/>
      <c r="AD352" s="110" t="s">
        <v>882</v>
      </c>
      <c r="AE352" s="110" t="str">
        <f>VLOOKUP(AD352,  '1.2'!$B$7:$C$2033, 2, FALSE)</f>
        <v>FUND</v>
      </c>
      <c r="AF352" s="112">
        <v>46450000</v>
      </c>
      <c r="AG352" s="110" t="s">
        <v>476</v>
      </c>
      <c r="AH352" s="121">
        <f t="shared" si="178"/>
        <v>0</v>
      </c>
      <c r="AI352" s="121">
        <f t="shared" si="179"/>
        <v>0</v>
      </c>
      <c r="AJ352" s="121">
        <f t="shared" si="180"/>
        <v>1</v>
      </c>
      <c r="AK352" s="121">
        <f t="shared" si="181"/>
        <v>1</v>
      </c>
      <c r="AL352" s="121">
        <f t="shared" si="182"/>
        <v>0</v>
      </c>
      <c r="AM352" s="121">
        <f t="shared" si="183"/>
        <v>0</v>
      </c>
      <c r="AN352" s="121">
        <f t="shared" si="184"/>
        <v>1</v>
      </c>
      <c r="AO352" s="121">
        <f t="shared" si="185"/>
        <v>0</v>
      </c>
      <c r="AP352" s="22">
        <f t="shared" si="186"/>
        <v>0</v>
      </c>
      <c r="AQ352" s="22">
        <f t="shared" si="187"/>
        <v>283573.56088343781</v>
      </c>
      <c r="AR352" s="22">
        <f t="shared" si="188"/>
        <v>0</v>
      </c>
      <c r="AS352" s="121" t="str">
        <f t="shared" si="189"/>
        <v>Livestock</v>
      </c>
      <c r="AT352" s="121" t="str">
        <f t="shared" ref="AT352:AV371" si="208">IFERROR(IFERROR(MID($Q352,FIND("~",SUBSTITUTE($Q352,";","~",AT$10-1))+3,(FIND("~",SUBSTITUTE($Q352,";","~",AT$10))+0-(FIND("~",SUBSTITUTE($Q352,";","~",AT$10-1))+2))-6),MID($Q352,FIND("~",SUBSTITUTE($Q352,";","~",AT$10-1))+3,(LEN($Q352)-6-FIND("~",SUBSTITUTE($Q352,";","~",AT$10-1))-1)))," ")</f>
        <v xml:space="preserve"> </v>
      </c>
      <c r="AU352" s="121" t="str">
        <f t="shared" si="208"/>
        <v xml:space="preserve"> </v>
      </c>
      <c r="AV352" s="121" t="str">
        <f t="shared" si="208"/>
        <v xml:space="preserve"> </v>
      </c>
      <c r="AW352" s="130" t="str">
        <f t="shared" ref="AW352:AZ371" si="209">IFERROR(MID($Q352,FIND("~",SUBSTITUTE($Q352,"(","~",AW$10))+1,3)," ")</f>
        <v>100</v>
      </c>
      <c r="AX352" s="130" t="str">
        <f t="shared" si="209"/>
        <v xml:space="preserve"> </v>
      </c>
      <c r="AY352" s="130" t="str">
        <f t="shared" si="209"/>
        <v xml:space="preserve"> </v>
      </c>
      <c r="AZ352" s="130" t="str">
        <f t="shared" si="209"/>
        <v xml:space="preserve"> </v>
      </c>
      <c r="BA352" s="121">
        <f t="shared" si="192"/>
        <v>283573.56088343781</v>
      </c>
      <c r="BB352" s="121">
        <f t="shared" si="193"/>
        <v>0</v>
      </c>
      <c r="BC352" s="121">
        <f t="shared" si="194"/>
        <v>0</v>
      </c>
      <c r="BD352" s="121">
        <f t="shared" si="195"/>
        <v>0</v>
      </c>
      <c r="BE352" s="121">
        <f t="shared" si="196"/>
        <v>0</v>
      </c>
      <c r="BF352" s="121">
        <f t="shared" si="197"/>
        <v>0</v>
      </c>
      <c r="BG352" s="121">
        <f t="shared" si="198"/>
        <v>0</v>
      </c>
      <c r="BH352" s="121">
        <f t="shared" si="199"/>
        <v>0</v>
      </c>
      <c r="BI352" s="121">
        <f t="shared" si="200"/>
        <v>283573.56088343781</v>
      </c>
      <c r="BJ352" s="121">
        <f t="shared" si="201"/>
        <v>283573.56088343781</v>
      </c>
      <c r="BK352" s="121">
        <f t="shared" si="202"/>
        <v>283573.56088343781</v>
      </c>
      <c r="BL352" s="121">
        <f t="shared" si="203"/>
        <v>283573.56088343781</v>
      </c>
      <c r="BM352" s="121">
        <f t="shared" si="204"/>
        <v>0</v>
      </c>
      <c r="BN352" s="121">
        <f t="shared" si="205"/>
        <v>0</v>
      </c>
      <c r="BO352" s="121">
        <f t="shared" si="206"/>
        <v>0</v>
      </c>
      <c r="BP352" s="121">
        <f t="shared" si="207"/>
        <v>0</v>
      </c>
      <c r="BQ352" s="199">
        <f>INDEX('GDP deflators'!$C$6:$M$36,MATCH('Bottom-up tagging'!$D352,'GDP deflators'!$B$6:$B$36,),MATCH('Bottom-up tagging'!$E352,'GDP deflators'!$C$5:$L$5,))/100</f>
        <v>1.5094883975306472</v>
      </c>
      <c r="BR352" s="24">
        <v>428051</v>
      </c>
    </row>
    <row r="353" spans="2:70" ht="26.15" hidden="1" customHeight="1">
      <c r="B353" s="110" t="s">
        <v>2271</v>
      </c>
      <c r="C353" s="110" t="s">
        <v>2276</v>
      </c>
      <c r="D353" s="110" t="s">
        <v>3994</v>
      </c>
      <c r="E353" s="103">
        <v>2016</v>
      </c>
      <c r="F353" s="108" t="s">
        <v>9524</v>
      </c>
      <c r="G353" s="111" t="s">
        <v>34</v>
      </c>
      <c r="H353" s="110" t="s">
        <v>10451</v>
      </c>
      <c r="I353" s="112">
        <f>IF(Dashboard!$B$16="Current USD",'Bottom-up tagging'!BR353,'Bottom-up tagging'!BR353/'Bottom-up tagging'!BQ353)</f>
        <v>307785.86188648368</v>
      </c>
      <c r="J353" s="105" t="s">
        <v>10474</v>
      </c>
      <c r="K353" s="112"/>
      <c r="L353" s="135">
        <v>1</v>
      </c>
      <c r="M353" s="135">
        <v>1</v>
      </c>
      <c r="N353" s="112"/>
      <c r="O353" s="112"/>
      <c r="P353" s="112" t="str">
        <f>VLOOKUP(B353, 'Companies covered restructured'!$B$7:$K$470, 9, FALSE)</f>
        <v>Agri marketplaces</v>
      </c>
      <c r="Q353" s="112" t="str">
        <f>VLOOKUP(B353, 'Companies covered restructured'!$B$7:$K$470, 6, FALSE)</f>
        <v>#Crops(100)</v>
      </c>
      <c r="R353" s="112" t="str">
        <f t="shared" si="177"/>
        <v>#Investment Fund(100)</v>
      </c>
      <c r="S353" s="112" t="s">
        <v>11003</v>
      </c>
      <c r="T353" s="112" t="s">
        <v>10466</v>
      </c>
      <c r="U353" s="103" t="s">
        <v>10970</v>
      </c>
      <c r="V353" s="112" t="str">
        <f>VLOOKUP(P353, 'Bottom-up Tagging Assumptions'!$B$12:$F$39, 5, FALSE)</f>
        <v>#Process Innovation(100)</v>
      </c>
      <c r="W353" s="112" t="str">
        <f>VLOOKUP(B353, 'Companies covered restructured'!$B$7:$K$470, 7, FALSE)</f>
        <v>#Landscape(100)</v>
      </c>
      <c r="X353" s="112" t="str">
        <f>VLOOKUP(B353, 'Companies covered restructured'!$B$7:$K$470, 8, FALSE)</f>
        <v>N/A</v>
      </c>
      <c r="Y353" s="212" t="str">
        <f>VLOOKUP(P353, 'Bottom-up Tagging Assumptions'!$B$12:$C$56, 2, FALSE)</f>
        <v>#Other Economic(P); Social(S)</v>
      </c>
      <c r="Z353" s="112" t="str">
        <f>VLOOKUP(P353, 'Bottom-up Tagging Assumptions'!$B$12:$F$56, 3, FALSE)</f>
        <v>#Improve price realization(P)</v>
      </c>
      <c r="AA353" s="112" t="str">
        <f>VLOOKUP(P353, 'Bottom-up Tagging Assumptions'!$B$12:$F$56, 4, FALSE)</f>
        <v>#Level 4(100)</v>
      </c>
      <c r="AB353" s="110" t="s">
        <v>2273</v>
      </c>
      <c r="AC353" s="110" t="s">
        <v>2274</v>
      </c>
      <c r="AD353" s="110" t="s">
        <v>2275</v>
      </c>
      <c r="AE353" s="110" t="str">
        <f>VLOOKUP(AD353,  '1.2'!$B$7:$C$2033, 2, FALSE)</f>
        <v>FUND</v>
      </c>
      <c r="AF353" s="112">
        <v>2500000</v>
      </c>
      <c r="AG353" s="110" t="s">
        <v>2351</v>
      </c>
      <c r="AH353" s="121">
        <f t="shared" si="178"/>
        <v>0</v>
      </c>
      <c r="AI353" s="121">
        <f t="shared" si="179"/>
        <v>0</v>
      </c>
      <c r="AJ353" s="121">
        <f t="shared" si="180"/>
        <v>1</v>
      </c>
      <c r="AK353" s="121">
        <f t="shared" si="181"/>
        <v>1</v>
      </c>
      <c r="AL353" s="121">
        <f t="shared" si="182"/>
        <v>0</v>
      </c>
      <c r="AM353" s="121">
        <f t="shared" si="183"/>
        <v>0</v>
      </c>
      <c r="AN353" s="121">
        <f t="shared" si="184"/>
        <v>1</v>
      </c>
      <c r="AO353" s="121">
        <f t="shared" si="185"/>
        <v>0</v>
      </c>
      <c r="AP353" s="22">
        <f t="shared" si="186"/>
        <v>0</v>
      </c>
      <c r="AQ353" s="22">
        <f t="shared" si="187"/>
        <v>307785.86188648368</v>
      </c>
      <c r="AR353" s="22">
        <f t="shared" si="188"/>
        <v>0</v>
      </c>
      <c r="AS353" s="121" t="str">
        <f t="shared" si="189"/>
        <v>Crops</v>
      </c>
      <c r="AT353" s="121" t="str">
        <f t="shared" si="208"/>
        <v xml:space="preserve"> </v>
      </c>
      <c r="AU353" s="121" t="str">
        <f t="shared" si="208"/>
        <v xml:space="preserve"> </v>
      </c>
      <c r="AV353" s="121" t="str">
        <f t="shared" si="208"/>
        <v xml:space="preserve"> </v>
      </c>
      <c r="AW353" s="130" t="str">
        <f t="shared" si="209"/>
        <v>100</v>
      </c>
      <c r="AX353" s="130" t="str">
        <f t="shared" si="209"/>
        <v xml:space="preserve"> </v>
      </c>
      <c r="AY353" s="130" t="str">
        <f t="shared" si="209"/>
        <v xml:space="preserve"> </v>
      </c>
      <c r="AZ353" s="130" t="str">
        <f t="shared" si="209"/>
        <v xml:space="preserve"> </v>
      </c>
      <c r="BA353" s="121">
        <f t="shared" si="192"/>
        <v>307785.86188648368</v>
      </c>
      <c r="BB353" s="121">
        <f t="shared" si="193"/>
        <v>0</v>
      </c>
      <c r="BC353" s="121">
        <f t="shared" si="194"/>
        <v>0</v>
      </c>
      <c r="BD353" s="121">
        <f t="shared" si="195"/>
        <v>0</v>
      </c>
      <c r="BE353" s="121">
        <f t="shared" si="196"/>
        <v>0</v>
      </c>
      <c r="BF353" s="121">
        <f t="shared" si="197"/>
        <v>0</v>
      </c>
      <c r="BG353" s="121">
        <f t="shared" si="198"/>
        <v>0</v>
      </c>
      <c r="BH353" s="121">
        <f t="shared" si="199"/>
        <v>0</v>
      </c>
      <c r="BI353" s="121">
        <f t="shared" si="200"/>
        <v>307785.86188648368</v>
      </c>
      <c r="BJ353" s="121">
        <f t="shared" si="201"/>
        <v>307785.86188648368</v>
      </c>
      <c r="BK353" s="121">
        <f t="shared" si="202"/>
        <v>307785.86188648368</v>
      </c>
      <c r="BL353" s="121">
        <f t="shared" si="203"/>
        <v>307785.86188648368</v>
      </c>
      <c r="BM353" s="121">
        <f t="shared" si="204"/>
        <v>0</v>
      </c>
      <c r="BN353" s="121">
        <f t="shared" si="205"/>
        <v>0</v>
      </c>
      <c r="BO353" s="121">
        <f t="shared" si="206"/>
        <v>0</v>
      </c>
      <c r="BP353" s="121">
        <f t="shared" si="207"/>
        <v>0</v>
      </c>
      <c r="BQ353" s="199">
        <f>INDEX('GDP deflators'!$C$6:$M$36,MATCH('Bottom-up tagging'!$D353,'GDP deflators'!$B$6:$B$36,),MATCH('Bottom-up tagging'!$E353,'GDP deflators'!$C$5:$L$5,))/100</f>
        <v>1.3597375702538033</v>
      </c>
      <c r="BR353" s="24">
        <v>418508</v>
      </c>
    </row>
    <row r="354" spans="2:70" ht="26.15" hidden="1" customHeight="1">
      <c r="B354" s="110" t="s">
        <v>878</v>
      </c>
      <c r="C354" s="110" t="s">
        <v>883</v>
      </c>
      <c r="D354" s="110" t="s">
        <v>3994</v>
      </c>
      <c r="E354" s="103">
        <v>2015</v>
      </c>
      <c r="F354" s="108" t="s">
        <v>8198</v>
      </c>
      <c r="G354" s="111" t="s">
        <v>124</v>
      </c>
      <c r="H354" s="110" t="s">
        <v>10451</v>
      </c>
      <c r="I354" s="112">
        <f>IF(Dashboard!$B$16="Current USD",'Bottom-up tagging'!BR354,'Bottom-up tagging'!BR354/'Bottom-up tagging'!BQ354)</f>
        <v>314900.14897720254</v>
      </c>
      <c r="J354" s="118" t="s">
        <v>10474</v>
      </c>
      <c r="K354" s="112"/>
      <c r="L354" s="135">
        <v>1</v>
      </c>
      <c r="M354" s="135">
        <v>1</v>
      </c>
      <c r="N354" s="112"/>
      <c r="O354" s="112"/>
      <c r="P354" s="112" t="str">
        <f>VLOOKUP(B354, 'Companies covered restructured'!$B$7:$K$470, 9, FALSE)</f>
        <v>Agri marketplaces</v>
      </c>
      <c r="Q354" s="112" t="str">
        <f>VLOOKUP(B354, 'Companies covered restructured'!$B$7:$K$470, 6, FALSE)</f>
        <v>#Livestock(100)</v>
      </c>
      <c r="R354" s="112" t="str">
        <f t="shared" si="177"/>
        <v>#Angel Investor(100)</v>
      </c>
      <c r="S354" s="112" t="s">
        <v>11003</v>
      </c>
      <c r="T354" s="112" t="s">
        <v>10466</v>
      </c>
      <c r="U354" s="116" t="s">
        <v>10970</v>
      </c>
      <c r="V354" s="112" t="str">
        <f>VLOOKUP(P354, 'Bottom-up Tagging Assumptions'!$B$12:$F$39, 5, FALSE)</f>
        <v>#Process Innovation(100)</v>
      </c>
      <c r="W354" s="112" t="str">
        <f>VLOOKUP(B354, 'Companies covered restructured'!$B$7:$K$470, 7, FALSE)</f>
        <v>#Farm/Household(100)</v>
      </c>
      <c r="X354" s="112" t="str">
        <f>VLOOKUP(B354, 'Companies covered restructured'!$B$7:$K$470, 8, FALSE)</f>
        <v>N/A</v>
      </c>
      <c r="Y354" s="212" t="str">
        <f>VLOOKUP(P354, 'Bottom-up Tagging Assumptions'!$B$12:$C$56, 2, FALSE)</f>
        <v>#Other Economic(P); Social(S)</v>
      </c>
      <c r="Z354" s="112" t="str">
        <f>VLOOKUP(P354, 'Bottom-up Tagging Assumptions'!$B$12:$F$56, 3, FALSE)</f>
        <v>#Improve price realization(P)</v>
      </c>
      <c r="AA354" s="112" t="str">
        <f>VLOOKUP(P354, 'Bottom-up Tagging Assumptions'!$B$12:$F$56, 4, FALSE)</f>
        <v>#Level 4(100)</v>
      </c>
      <c r="AB354" s="110"/>
      <c r="AC354" s="110" t="s">
        <v>2609</v>
      </c>
      <c r="AD354" s="110" t="s">
        <v>2610</v>
      </c>
      <c r="AE354" s="110" t="s">
        <v>3127</v>
      </c>
      <c r="AF354" s="112">
        <v>3493115</v>
      </c>
      <c r="AG354" s="110" t="s">
        <v>506</v>
      </c>
      <c r="AH354" s="121">
        <f t="shared" si="178"/>
        <v>0</v>
      </c>
      <c r="AI354" s="121">
        <f t="shared" si="179"/>
        <v>0</v>
      </c>
      <c r="AJ354" s="121">
        <f t="shared" si="180"/>
        <v>1</v>
      </c>
      <c r="AK354" s="121">
        <f t="shared" si="181"/>
        <v>1</v>
      </c>
      <c r="AL354" s="121">
        <f t="shared" si="182"/>
        <v>0</v>
      </c>
      <c r="AM354" s="121">
        <f t="shared" si="183"/>
        <v>0</v>
      </c>
      <c r="AN354" s="121">
        <f t="shared" si="184"/>
        <v>1</v>
      </c>
      <c r="AO354" s="121">
        <f t="shared" si="185"/>
        <v>0</v>
      </c>
      <c r="AP354" s="22">
        <f t="shared" si="186"/>
        <v>0</v>
      </c>
      <c r="AQ354" s="22">
        <f t="shared" si="187"/>
        <v>314900.14897720254</v>
      </c>
      <c r="AR354" s="22">
        <f t="shared" si="188"/>
        <v>0</v>
      </c>
      <c r="AS354" s="121" t="str">
        <f t="shared" si="189"/>
        <v>Livestock</v>
      </c>
      <c r="AT354" s="121" t="str">
        <f t="shared" si="208"/>
        <v xml:space="preserve"> </v>
      </c>
      <c r="AU354" s="121" t="str">
        <f t="shared" si="208"/>
        <v xml:space="preserve"> </v>
      </c>
      <c r="AV354" s="121" t="str">
        <f t="shared" si="208"/>
        <v xml:space="preserve"> </v>
      </c>
      <c r="AW354" s="130" t="str">
        <f t="shared" si="209"/>
        <v>100</v>
      </c>
      <c r="AX354" s="130" t="str">
        <f t="shared" si="209"/>
        <v xml:space="preserve"> </v>
      </c>
      <c r="AY354" s="130" t="str">
        <f t="shared" si="209"/>
        <v xml:space="preserve"> </v>
      </c>
      <c r="AZ354" s="130" t="str">
        <f t="shared" si="209"/>
        <v xml:space="preserve"> </v>
      </c>
      <c r="BA354" s="121">
        <f t="shared" si="192"/>
        <v>314900.14897720254</v>
      </c>
      <c r="BB354" s="121">
        <f t="shared" si="193"/>
        <v>0</v>
      </c>
      <c r="BC354" s="121">
        <f t="shared" si="194"/>
        <v>0</v>
      </c>
      <c r="BD354" s="121">
        <f t="shared" si="195"/>
        <v>0</v>
      </c>
      <c r="BE354" s="121">
        <f t="shared" si="196"/>
        <v>0</v>
      </c>
      <c r="BF354" s="121">
        <f t="shared" si="197"/>
        <v>0</v>
      </c>
      <c r="BG354" s="121">
        <f t="shared" si="198"/>
        <v>0</v>
      </c>
      <c r="BH354" s="121">
        <f t="shared" si="199"/>
        <v>0</v>
      </c>
      <c r="BI354" s="121">
        <f t="shared" si="200"/>
        <v>314900.14897720254</v>
      </c>
      <c r="BJ354" s="121">
        <f t="shared" si="201"/>
        <v>314900.14897720254</v>
      </c>
      <c r="BK354" s="121">
        <f t="shared" si="202"/>
        <v>314900.14897720254</v>
      </c>
      <c r="BL354" s="121">
        <f t="shared" si="203"/>
        <v>314900.14897720254</v>
      </c>
      <c r="BM354" s="121">
        <f t="shared" si="204"/>
        <v>0</v>
      </c>
      <c r="BN354" s="121">
        <f t="shared" si="205"/>
        <v>0</v>
      </c>
      <c r="BO354" s="121">
        <f t="shared" si="206"/>
        <v>0</v>
      </c>
      <c r="BP354" s="121">
        <f t="shared" si="207"/>
        <v>0</v>
      </c>
      <c r="BQ354" s="199">
        <f>INDEX('GDP deflators'!$C$6:$M$36,MATCH('Bottom-up tagging'!$D354,'GDP deflators'!$B$6:$B$36,),MATCH('Bottom-up tagging'!$E354,'GDP deflators'!$C$5:$L$5,))/100</f>
        <v>1.3170905169372478</v>
      </c>
      <c r="BR354" s="24">
        <v>414752</v>
      </c>
    </row>
    <row r="355" spans="2:70" ht="26.15" hidden="1" customHeight="1">
      <c r="B355" s="110" t="s">
        <v>2869</v>
      </c>
      <c r="C355" s="110" t="s">
        <v>2872</v>
      </c>
      <c r="D355" s="110" t="s">
        <v>6632</v>
      </c>
      <c r="E355" s="103">
        <v>2014</v>
      </c>
      <c r="F355" s="108" t="s">
        <v>9606</v>
      </c>
      <c r="G355" s="111" t="s">
        <v>34</v>
      </c>
      <c r="H355" s="110" t="s">
        <v>10451</v>
      </c>
      <c r="I355" s="112">
        <f>IF(Dashboard!$B$16="Current USD",'Bottom-up tagging'!BR355,'Bottom-up tagging'!BR355/'Bottom-up tagging'!BQ355)</f>
        <v>348283.96188066964</v>
      </c>
      <c r="J355" s="118" t="s">
        <v>10474</v>
      </c>
      <c r="K355" s="112"/>
      <c r="L355" s="135">
        <v>1</v>
      </c>
      <c r="M355" s="135">
        <v>1</v>
      </c>
      <c r="N355" s="112"/>
      <c r="O355" s="112"/>
      <c r="P355" s="112" t="str">
        <f>VLOOKUP(B355, 'Companies covered restructured'!$B$7:$K$470, 9, FALSE)</f>
        <v>Agri marketplaces</v>
      </c>
      <c r="Q355" s="112" t="str">
        <f>VLOOKUP(B355, 'Companies covered restructured'!$B$7:$K$470, 6, FALSE)</f>
        <v>#Crops(100)</v>
      </c>
      <c r="R355" s="112" t="str">
        <f t="shared" si="177"/>
        <v>N/A</v>
      </c>
      <c r="S355" s="112" t="s">
        <v>11003</v>
      </c>
      <c r="T355" s="112" t="s">
        <v>10466</v>
      </c>
      <c r="U355" s="103" t="s">
        <v>10970</v>
      </c>
      <c r="V355" s="112" t="str">
        <f>VLOOKUP(P355, 'Bottom-up Tagging Assumptions'!$B$12:$F$39, 5, FALSE)</f>
        <v>#Process Innovation(100)</v>
      </c>
      <c r="W355" s="112" t="str">
        <f>VLOOKUP(B355, 'Companies covered restructured'!$B$7:$K$470, 7, FALSE)</f>
        <v>#Farm/Household(100)</v>
      </c>
      <c r="X355" s="112" t="str">
        <f>VLOOKUP(B355, 'Companies covered restructured'!$B$7:$K$470, 8, FALSE)</f>
        <v>#Small(100)</v>
      </c>
      <c r="Y355" s="212" t="str">
        <f>VLOOKUP(P355, 'Bottom-up Tagging Assumptions'!$B$12:$C$56, 2, FALSE)</f>
        <v>#Other Economic(P); Social(S)</v>
      </c>
      <c r="Z355" s="112" t="str">
        <f>VLOOKUP(P355, 'Bottom-up Tagging Assumptions'!$B$12:$F$56, 3, FALSE)</f>
        <v>#Improve price realization(P)</v>
      </c>
      <c r="AA355" s="112" t="str">
        <f>VLOOKUP(P355, 'Bottom-up Tagging Assumptions'!$B$12:$F$56, 4, FALSE)</f>
        <v>#Level 4(100)</v>
      </c>
      <c r="AB355" s="110" t="s">
        <v>2871</v>
      </c>
      <c r="AC355" s="110"/>
      <c r="AD355" s="110"/>
      <c r="AE355" s="110" t="s">
        <v>10558</v>
      </c>
      <c r="AF355" s="112">
        <v>1577228</v>
      </c>
      <c r="AG355" s="110" t="s">
        <v>614</v>
      </c>
      <c r="AH355" s="121">
        <f t="shared" si="178"/>
        <v>0</v>
      </c>
      <c r="AI355" s="121">
        <f t="shared" si="179"/>
        <v>0</v>
      </c>
      <c r="AJ355" s="121">
        <f t="shared" si="180"/>
        <v>1</v>
      </c>
      <c r="AK355" s="121">
        <f t="shared" si="181"/>
        <v>1</v>
      </c>
      <c r="AL355" s="121">
        <f t="shared" si="182"/>
        <v>0</v>
      </c>
      <c r="AM355" s="121">
        <f t="shared" si="183"/>
        <v>0</v>
      </c>
      <c r="AN355" s="121">
        <f t="shared" si="184"/>
        <v>1</v>
      </c>
      <c r="AO355" s="121">
        <f t="shared" si="185"/>
        <v>0</v>
      </c>
      <c r="AP355" s="22">
        <f t="shared" si="186"/>
        <v>0</v>
      </c>
      <c r="AQ355" s="22">
        <f t="shared" si="187"/>
        <v>348283.96188066964</v>
      </c>
      <c r="AR355" s="22">
        <f t="shared" si="188"/>
        <v>0</v>
      </c>
      <c r="AS355" s="121" t="str">
        <f t="shared" si="189"/>
        <v>Crops</v>
      </c>
      <c r="AT355" s="121" t="str">
        <f t="shared" si="208"/>
        <v xml:space="preserve"> </v>
      </c>
      <c r="AU355" s="121" t="str">
        <f t="shared" si="208"/>
        <v xml:space="preserve"> </v>
      </c>
      <c r="AV355" s="121" t="str">
        <f t="shared" si="208"/>
        <v xml:space="preserve"> </v>
      </c>
      <c r="AW355" s="130" t="str">
        <f t="shared" si="209"/>
        <v>100</v>
      </c>
      <c r="AX355" s="130" t="str">
        <f t="shared" si="209"/>
        <v xml:space="preserve"> </v>
      </c>
      <c r="AY355" s="130" t="str">
        <f t="shared" si="209"/>
        <v xml:space="preserve"> </v>
      </c>
      <c r="AZ355" s="130" t="str">
        <f t="shared" si="209"/>
        <v xml:space="preserve"> </v>
      </c>
      <c r="BA355" s="121">
        <f t="shared" si="192"/>
        <v>348283.9618806697</v>
      </c>
      <c r="BB355" s="121">
        <f t="shared" si="193"/>
        <v>0</v>
      </c>
      <c r="BC355" s="121">
        <f t="shared" si="194"/>
        <v>0</v>
      </c>
      <c r="BD355" s="121">
        <f t="shared" si="195"/>
        <v>0</v>
      </c>
      <c r="BE355" s="121">
        <f t="shared" si="196"/>
        <v>0</v>
      </c>
      <c r="BF355" s="121">
        <f t="shared" si="197"/>
        <v>0</v>
      </c>
      <c r="BG355" s="121">
        <f t="shared" si="198"/>
        <v>0</v>
      </c>
      <c r="BH355" s="121">
        <f t="shared" si="199"/>
        <v>0</v>
      </c>
      <c r="BI355" s="121">
        <f t="shared" si="200"/>
        <v>348283.9618806697</v>
      </c>
      <c r="BJ355" s="121">
        <f t="shared" si="201"/>
        <v>348283.96188066964</v>
      </c>
      <c r="BK355" s="121">
        <f t="shared" si="202"/>
        <v>348283.96188066964</v>
      </c>
      <c r="BL355" s="121">
        <f t="shared" si="203"/>
        <v>348283.96188066964</v>
      </c>
      <c r="BM355" s="121">
        <f t="shared" si="204"/>
        <v>0</v>
      </c>
      <c r="BN355" s="121">
        <f t="shared" si="205"/>
        <v>0</v>
      </c>
      <c r="BO355" s="121">
        <f t="shared" si="206"/>
        <v>0</v>
      </c>
      <c r="BP355" s="121">
        <f t="shared" si="207"/>
        <v>0</v>
      </c>
      <c r="BQ355" s="199">
        <f>INDEX('GDP deflators'!$C$6:$M$36,MATCH('Bottom-up tagging'!$D355,'GDP deflators'!$B$6:$B$36,),MATCH('Bottom-up tagging'!$E355,'GDP deflators'!$C$5:$L$5,))/100</f>
        <v>1.1484881412284196</v>
      </c>
      <c r="BR355" s="24">
        <v>400000</v>
      </c>
    </row>
    <row r="356" spans="2:70" ht="26.15" hidden="1" customHeight="1">
      <c r="B356" s="110" t="s">
        <v>749</v>
      </c>
      <c r="C356" s="110" t="s">
        <v>751</v>
      </c>
      <c r="D356" s="110" t="s">
        <v>3994</v>
      </c>
      <c r="E356" s="103">
        <v>2019</v>
      </c>
      <c r="F356" s="108" t="s">
        <v>8490</v>
      </c>
      <c r="G356" s="111" t="s">
        <v>34</v>
      </c>
      <c r="H356" s="110" t="s">
        <v>10451</v>
      </c>
      <c r="I356" s="112">
        <f>IF(Dashboard!$B$16="Current USD",'Bottom-up tagging'!BR356,'Bottom-up tagging'!BR356/'Bottom-up tagging'!BQ356)</f>
        <v>261101.04631791182</v>
      </c>
      <c r="J356" s="117" t="s">
        <v>10474</v>
      </c>
      <c r="K356" s="112"/>
      <c r="L356" s="135">
        <v>1</v>
      </c>
      <c r="M356" s="135">
        <v>1</v>
      </c>
      <c r="N356" s="112"/>
      <c r="O356" s="112"/>
      <c r="P356" s="112" t="str">
        <f>VLOOKUP(B356, 'Companies covered restructured'!$B$7:$K$470, 9, FALSE)</f>
        <v>Equipment automation</v>
      </c>
      <c r="Q356" s="112" t="str">
        <f>VLOOKUP(B356, 'Companies covered restructured'!$B$7:$K$470, 6, FALSE)</f>
        <v>#Crops(100)</v>
      </c>
      <c r="R356" s="112" t="str">
        <f t="shared" si="177"/>
        <v>N/A</v>
      </c>
      <c r="S356" s="112" t="s">
        <v>11003</v>
      </c>
      <c r="T356" s="112" t="s">
        <v>10466</v>
      </c>
      <c r="U356" s="103" t="s">
        <v>10970</v>
      </c>
      <c r="V356" s="112" t="str">
        <f>VLOOKUP(P356, 'Bottom-up Tagging Assumptions'!$B$12:$F$39, 5, FALSE)</f>
        <v>#Science &amp; tech(100)</v>
      </c>
      <c r="W356" s="112" t="str">
        <f>VLOOKUP(B356, 'Companies covered restructured'!$B$7:$K$470, 7, FALSE)</f>
        <v>N/A</v>
      </c>
      <c r="X356" s="112" t="str">
        <f>VLOOKUP(B356, 'Companies covered restructured'!$B$7:$K$470, 8, FALSE)</f>
        <v>N/A</v>
      </c>
      <c r="Y356" s="212" t="str">
        <f>VLOOKUP(P356, 'Bottom-up Tagging Assumptions'!$B$12:$C$56, 2, FALSE)</f>
        <v>#Productivity(P); #Other Economic(S)</v>
      </c>
      <c r="Z356" s="112" t="str">
        <f>VLOOKUP(P356, 'Bottom-up Tagging Assumptions'!$B$12:$F$56, 3, FALSE)</f>
        <v>#Reducing human effort(P); #Increasing output per unit input(S)</v>
      </c>
      <c r="AA356" s="112" t="str">
        <f>VLOOKUP(P356, 'Bottom-up Tagging Assumptions'!$B$12:$F$56, 4, FALSE)</f>
        <v>#Level 1(100)</v>
      </c>
      <c r="AB356" s="110"/>
      <c r="AC356" s="110"/>
      <c r="AD356" s="110"/>
      <c r="AE356" s="110" t="s">
        <v>10558</v>
      </c>
      <c r="AF356" s="112">
        <v>1070000</v>
      </c>
      <c r="AG356" s="110" t="s">
        <v>834</v>
      </c>
      <c r="AH356" s="121">
        <f t="shared" si="178"/>
        <v>0</v>
      </c>
      <c r="AI356" s="121">
        <f t="shared" si="179"/>
        <v>1</v>
      </c>
      <c r="AJ356" s="121">
        <f t="shared" si="180"/>
        <v>1</v>
      </c>
      <c r="AK356" s="121">
        <f t="shared" si="181"/>
        <v>0</v>
      </c>
      <c r="AL356" s="121">
        <f t="shared" si="182"/>
        <v>0</v>
      </c>
      <c r="AM356" s="121">
        <f t="shared" si="183"/>
        <v>0</v>
      </c>
      <c r="AN356" s="121">
        <f t="shared" si="184"/>
        <v>0</v>
      </c>
      <c r="AO356" s="121">
        <f t="shared" si="185"/>
        <v>0</v>
      </c>
      <c r="AP356" s="22">
        <f t="shared" si="186"/>
        <v>0</v>
      </c>
      <c r="AQ356" s="22">
        <f t="shared" si="187"/>
        <v>0</v>
      </c>
      <c r="AR356" s="22">
        <f t="shared" si="188"/>
        <v>0</v>
      </c>
      <c r="AS356" s="121" t="str">
        <f t="shared" si="189"/>
        <v>Crops</v>
      </c>
      <c r="AT356" s="121" t="str">
        <f t="shared" si="208"/>
        <v xml:space="preserve"> </v>
      </c>
      <c r="AU356" s="121" t="str">
        <f t="shared" si="208"/>
        <v xml:space="preserve"> </v>
      </c>
      <c r="AV356" s="121" t="str">
        <f t="shared" si="208"/>
        <v xml:space="preserve"> </v>
      </c>
      <c r="AW356" s="130" t="str">
        <f t="shared" si="209"/>
        <v>100</v>
      </c>
      <c r="AX356" s="130" t="str">
        <f t="shared" si="209"/>
        <v xml:space="preserve"> </v>
      </c>
      <c r="AY356" s="130" t="str">
        <f t="shared" si="209"/>
        <v xml:space="preserve"> </v>
      </c>
      <c r="AZ356" s="130" t="str">
        <f t="shared" si="209"/>
        <v xml:space="preserve"> </v>
      </c>
      <c r="BA356" s="121">
        <f t="shared" si="192"/>
        <v>261101.04631791182</v>
      </c>
      <c r="BB356" s="121">
        <f t="shared" si="193"/>
        <v>0</v>
      </c>
      <c r="BC356" s="121">
        <f t="shared" si="194"/>
        <v>0</v>
      </c>
      <c r="BD356" s="121">
        <f t="shared" si="195"/>
        <v>0</v>
      </c>
      <c r="BE356" s="121">
        <f t="shared" si="196"/>
        <v>0</v>
      </c>
      <c r="BF356" s="121">
        <f t="shared" si="197"/>
        <v>0</v>
      </c>
      <c r="BG356" s="121">
        <f t="shared" si="198"/>
        <v>0</v>
      </c>
      <c r="BH356" s="121">
        <f t="shared" si="199"/>
        <v>0</v>
      </c>
      <c r="BI356" s="121">
        <f t="shared" si="200"/>
        <v>0</v>
      </c>
      <c r="BJ356" s="121">
        <f t="shared" si="201"/>
        <v>0</v>
      </c>
      <c r="BK356" s="121">
        <f t="shared" si="202"/>
        <v>0</v>
      </c>
      <c r="BL356" s="121">
        <f t="shared" si="203"/>
        <v>0</v>
      </c>
      <c r="BM356" s="121">
        <f t="shared" si="204"/>
        <v>0</v>
      </c>
      <c r="BN356" s="121">
        <f t="shared" si="205"/>
        <v>0</v>
      </c>
      <c r="BO356" s="121">
        <f t="shared" si="206"/>
        <v>0</v>
      </c>
      <c r="BP356" s="121">
        <f t="shared" si="207"/>
        <v>0</v>
      </c>
      <c r="BQ356" s="199">
        <f>INDEX('GDP deflators'!$C$6:$M$36,MATCH('Bottom-up tagging'!$D356,'GDP deflators'!$B$6:$B$36,),MATCH('Bottom-up tagging'!$E356,'GDP deflators'!$C$5:$L$5,))/100</f>
        <v>1.5094883975306472</v>
      </c>
      <c r="BR356" s="24">
        <v>394129</v>
      </c>
    </row>
    <row r="357" spans="2:70" ht="26.15" hidden="1" customHeight="1">
      <c r="B357" s="110" t="s">
        <v>878</v>
      </c>
      <c r="C357" s="110" t="s">
        <v>883</v>
      </c>
      <c r="D357" s="110" t="s">
        <v>3994</v>
      </c>
      <c r="E357" s="103">
        <v>2017</v>
      </c>
      <c r="F357" s="108" t="s">
        <v>8198</v>
      </c>
      <c r="G357" s="111" t="s">
        <v>34</v>
      </c>
      <c r="H357" s="110" t="s">
        <v>10451</v>
      </c>
      <c r="I357" s="112">
        <f>IF(Dashboard!$B$16="Current USD",'Bottom-up tagging'!BR357,'Bottom-up tagging'!BR357/'Bottom-up tagging'!BQ357)</f>
        <v>274867.34136010928</v>
      </c>
      <c r="J357" s="105" t="s">
        <v>10474</v>
      </c>
      <c r="K357" s="112"/>
      <c r="L357" s="135">
        <v>1</v>
      </c>
      <c r="M357" s="135">
        <v>1</v>
      </c>
      <c r="N357" s="112"/>
      <c r="O357" s="112"/>
      <c r="P357" s="112" t="str">
        <f>VLOOKUP(B357, 'Companies covered restructured'!$B$7:$K$470, 9, FALSE)</f>
        <v>Agri marketplaces</v>
      </c>
      <c r="Q357" s="112" t="str">
        <f>VLOOKUP(B357, 'Companies covered restructured'!$B$7:$K$470, 6, FALSE)</f>
        <v>#Livestock(100)</v>
      </c>
      <c r="R357" s="112" t="str">
        <f t="shared" si="177"/>
        <v>#Angel Investor(100)</v>
      </c>
      <c r="S357" s="112" t="s">
        <v>11003</v>
      </c>
      <c r="T357" s="112" t="s">
        <v>10466</v>
      </c>
      <c r="U357" s="213" t="s">
        <v>10970</v>
      </c>
      <c r="V357" s="112" t="str">
        <f>VLOOKUP(P357, 'Bottom-up Tagging Assumptions'!$B$12:$F$39, 5, FALSE)</f>
        <v>#Process Innovation(100)</v>
      </c>
      <c r="W357" s="112" t="str">
        <f>VLOOKUP(B357, 'Companies covered restructured'!$B$7:$K$470, 7, FALSE)</f>
        <v>#Farm/Household(100)</v>
      </c>
      <c r="X357" s="112" t="str">
        <f>VLOOKUP(B357, 'Companies covered restructured'!$B$7:$K$470, 8, FALSE)</f>
        <v>N/A</v>
      </c>
      <c r="Y357" s="212" t="str">
        <f>VLOOKUP(P357, 'Bottom-up Tagging Assumptions'!$B$12:$C$56, 2, FALSE)</f>
        <v>#Other Economic(P); Social(S)</v>
      </c>
      <c r="Z357" s="112" t="str">
        <f>VLOOKUP(P357, 'Bottom-up Tagging Assumptions'!$B$12:$F$56, 3, FALSE)</f>
        <v>#Improve price realization(P)</v>
      </c>
      <c r="AA357" s="112" t="str">
        <f>VLOOKUP(P357, 'Bottom-up Tagging Assumptions'!$B$12:$F$56, 4, FALSE)</f>
        <v>#Level 4(100)</v>
      </c>
      <c r="AB357" s="110"/>
      <c r="AC357" s="110" t="s">
        <v>2188</v>
      </c>
      <c r="AD357" s="110" t="s">
        <v>881</v>
      </c>
      <c r="AE357" s="110" t="str">
        <f>VLOOKUP(AD357,  '1.2'!$B$7:$C$2033, 2, FALSE)</f>
        <v>ANGEL</v>
      </c>
      <c r="AF357" s="112">
        <v>1000000</v>
      </c>
      <c r="AG357" s="110" t="s">
        <v>2423</v>
      </c>
      <c r="AH357" s="121">
        <f t="shared" si="178"/>
        <v>0</v>
      </c>
      <c r="AI357" s="121">
        <f t="shared" si="179"/>
        <v>0</v>
      </c>
      <c r="AJ357" s="121">
        <f t="shared" si="180"/>
        <v>1</v>
      </c>
      <c r="AK357" s="121">
        <f t="shared" si="181"/>
        <v>1</v>
      </c>
      <c r="AL357" s="121">
        <f t="shared" si="182"/>
        <v>0</v>
      </c>
      <c r="AM357" s="121">
        <f t="shared" si="183"/>
        <v>0</v>
      </c>
      <c r="AN357" s="121">
        <f t="shared" si="184"/>
        <v>1</v>
      </c>
      <c r="AO357" s="121">
        <f t="shared" si="185"/>
        <v>0</v>
      </c>
      <c r="AP357" s="22">
        <f t="shared" si="186"/>
        <v>0</v>
      </c>
      <c r="AQ357" s="22">
        <f t="shared" si="187"/>
        <v>274867.34136010928</v>
      </c>
      <c r="AR357" s="22">
        <f t="shared" si="188"/>
        <v>0</v>
      </c>
      <c r="AS357" s="121" t="str">
        <f t="shared" si="189"/>
        <v>Livestock</v>
      </c>
      <c r="AT357" s="121" t="str">
        <f t="shared" si="208"/>
        <v xml:space="preserve"> </v>
      </c>
      <c r="AU357" s="121" t="str">
        <f t="shared" si="208"/>
        <v xml:space="preserve"> </v>
      </c>
      <c r="AV357" s="121" t="str">
        <f t="shared" si="208"/>
        <v xml:space="preserve"> </v>
      </c>
      <c r="AW357" s="130" t="str">
        <f t="shared" si="209"/>
        <v>100</v>
      </c>
      <c r="AX357" s="130" t="str">
        <f t="shared" si="209"/>
        <v xml:space="preserve"> </v>
      </c>
      <c r="AY357" s="130" t="str">
        <f t="shared" si="209"/>
        <v xml:space="preserve"> </v>
      </c>
      <c r="AZ357" s="130" t="str">
        <f t="shared" si="209"/>
        <v xml:space="preserve"> </v>
      </c>
      <c r="BA357" s="121">
        <f t="shared" si="192"/>
        <v>274867.34136010928</v>
      </c>
      <c r="BB357" s="121">
        <f t="shared" si="193"/>
        <v>0</v>
      </c>
      <c r="BC357" s="121">
        <f t="shared" si="194"/>
        <v>0</v>
      </c>
      <c r="BD357" s="121">
        <f t="shared" si="195"/>
        <v>0</v>
      </c>
      <c r="BE357" s="121">
        <f t="shared" si="196"/>
        <v>0</v>
      </c>
      <c r="BF357" s="121">
        <f t="shared" si="197"/>
        <v>0</v>
      </c>
      <c r="BG357" s="121">
        <f t="shared" si="198"/>
        <v>0</v>
      </c>
      <c r="BH357" s="121">
        <f t="shared" si="199"/>
        <v>0</v>
      </c>
      <c r="BI357" s="121">
        <f t="shared" si="200"/>
        <v>274867.34136010928</v>
      </c>
      <c r="BJ357" s="121">
        <f t="shared" si="201"/>
        <v>274867.34136010928</v>
      </c>
      <c r="BK357" s="121">
        <f t="shared" si="202"/>
        <v>274867.34136010928</v>
      </c>
      <c r="BL357" s="121">
        <f t="shared" si="203"/>
        <v>274867.34136010928</v>
      </c>
      <c r="BM357" s="121">
        <f t="shared" si="204"/>
        <v>0</v>
      </c>
      <c r="BN357" s="121">
        <f t="shared" si="205"/>
        <v>0</v>
      </c>
      <c r="BO357" s="121">
        <f t="shared" si="206"/>
        <v>0</v>
      </c>
      <c r="BP357" s="121">
        <f t="shared" si="207"/>
        <v>0</v>
      </c>
      <c r="BQ357" s="199">
        <f>INDEX('GDP deflators'!$C$6:$M$36,MATCH('Bottom-up tagging'!$D357,'GDP deflators'!$B$6:$B$36,),MATCH('Bottom-up tagging'!$E357,'GDP deflators'!$C$5:$L$5,))/100</f>
        <v>1.4111098032990623</v>
      </c>
      <c r="BR357" s="24">
        <v>387868</v>
      </c>
    </row>
    <row r="358" spans="2:70" ht="26.15" hidden="1" customHeight="1">
      <c r="B358" s="110" t="s">
        <v>1672</v>
      </c>
      <c r="C358" s="110" t="s">
        <v>1675</v>
      </c>
      <c r="D358" s="110" t="s">
        <v>3994</v>
      </c>
      <c r="E358" s="103">
        <v>2018</v>
      </c>
      <c r="F358" s="108" t="s">
        <v>6683</v>
      </c>
      <c r="G358" s="111" t="s">
        <v>109</v>
      </c>
      <c r="H358" s="110" t="s">
        <v>10451</v>
      </c>
      <c r="I358" s="112">
        <f>IF(Dashboard!$B$16="Current USD",'Bottom-up tagging'!BR358,'Bottom-up tagging'!BR358/'Bottom-up tagging'!BQ358)</f>
        <v>261962.64960244871</v>
      </c>
      <c r="J358" s="118" t="s">
        <v>10474</v>
      </c>
      <c r="K358" s="112"/>
      <c r="L358" s="135">
        <v>1</v>
      </c>
      <c r="M358" s="135">
        <v>1</v>
      </c>
      <c r="N358" s="112"/>
      <c r="O358" s="112"/>
      <c r="P358" s="112" t="str">
        <f>VLOOKUP(B358, 'Companies covered restructured'!$B$7:$K$470, 9, FALSE)</f>
        <v>Agri input e-commerce platforms</v>
      </c>
      <c r="Q358" s="112" t="str">
        <f>VLOOKUP(B358, 'Companies covered restructured'!$B$7:$K$470, 6, FALSE)</f>
        <v>#Crops(100)</v>
      </c>
      <c r="R358" s="112" t="str">
        <f t="shared" si="177"/>
        <v>N/A</v>
      </c>
      <c r="S358" s="112" t="s">
        <v>11003</v>
      </c>
      <c r="T358" s="112" t="s">
        <v>10466</v>
      </c>
      <c r="U358" s="103" t="s">
        <v>10970</v>
      </c>
      <c r="V358" s="112" t="str">
        <f>VLOOKUP(P358, 'Bottom-up Tagging Assumptions'!$B$12:$F$39, 5, FALSE)</f>
        <v>#Process Innovation(100)</v>
      </c>
      <c r="W358" s="112" t="str">
        <f>VLOOKUP(B358, 'Companies covered restructured'!$B$7:$K$470, 7, FALSE)</f>
        <v>#Field/Animal Herd(100)</v>
      </c>
      <c r="X358" s="112" t="s">
        <v>10558</v>
      </c>
      <c r="Y358" s="212" t="str">
        <f>VLOOKUP(P358, 'Bottom-up Tagging Assumptions'!$B$12:$C$56, 2, FALSE)</f>
        <v>#Other Economic(P); Productivity(S)</v>
      </c>
      <c r="Z358" s="112" t="str">
        <f>VLOOKUP(P358, 'Bottom-up Tagging Assumptions'!$B$12:$F$56, 3, FALSE)</f>
        <v>#Reduce cost of inputs(P)</v>
      </c>
      <c r="AA358" s="112" t="str">
        <f>VLOOKUP(P358, 'Bottom-up Tagging Assumptions'!$B$12:$F$56, 4, FALSE)</f>
        <v>#Level 1(100)</v>
      </c>
      <c r="AB358" s="110" t="s">
        <v>1674</v>
      </c>
      <c r="AC358" s="110"/>
      <c r="AD358" s="110"/>
      <c r="AE358" s="110" t="s">
        <v>10558</v>
      </c>
      <c r="AF358" s="112">
        <v>10693115</v>
      </c>
      <c r="AG358" s="110" t="s">
        <v>1952</v>
      </c>
      <c r="AH358" s="121">
        <f t="shared" si="178"/>
        <v>0</v>
      </c>
      <c r="AI358" s="121">
        <f t="shared" si="179"/>
        <v>1</v>
      </c>
      <c r="AJ358" s="121">
        <f t="shared" si="180"/>
        <v>1</v>
      </c>
      <c r="AK358" s="121">
        <f t="shared" si="181"/>
        <v>0</v>
      </c>
      <c r="AL358" s="121">
        <f t="shared" si="182"/>
        <v>0</v>
      </c>
      <c r="AM358" s="121">
        <f t="shared" si="183"/>
        <v>0</v>
      </c>
      <c r="AN358" s="121">
        <f t="shared" si="184"/>
        <v>0</v>
      </c>
      <c r="AO358" s="121">
        <f t="shared" si="185"/>
        <v>0</v>
      </c>
      <c r="AP358" s="22">
        <f t="shared" si="186"/>
        <v>0</v>
      </c>
      <c r="AQ358" s="22">
        <f t="shared" si="187"/>
        <v>0</v>
      </c>
      <c r="AR358" s="22">
        <f t="shared" si="188"/>
        <v>0</v>
      </c>
      <c r="AS358" s="121" t="str">
        <f t="shared" si="189"/>
        <v>Crops</v>
      </c>
      <c r="AT358" s="121" t="str">
        <f t="shared" si="208"/>
        <v xml:space="preserve"> </v>
      </c>
      <c r="AU358" s="121" t="str">
        <f t="shared" si="208"/>
        <v xml:space="preserve"> </v>
      </c>
      <c r="AV358" s="121" t="str">
        <f t="shared" si="208"/>
        <v xml:space="preserve"> </v>
      </c>
      <c r="AW358" s="130" t="str">
        <f t="shared" si="209"/>
        <v>100</v>
      </c>
      <c r="AX358" s="130" t="str">
        <f t="shared" si="209"/>
        <v xml:space="preserve"> </v>
      </c>
      <c r="AY358" s="130" t="str">
        <f t="shared" si="209"/>
        <v xml:space="preserve"> </v>
      </c>
      <c r="AZ358" s="130" t="str">
        <f t="shared" si="209"/>
        <v xml:space="preserve"> </v>
      </c>
      <c r="BA358" s="121">
        <f t="shared" si="192"/>
        <v>261962.64960244871</v>
      </c>
      <c r="BB358" s="121">
        <f t="shared" si="193"/>
        <v>0</v>
      </c>
      <c r="BC358" s="121">
        <f t="shared" si="194"/>
        <v>0</v>
      </c>
      <c r="BD358" s="121">
        <f t="shared" si="195"/>
        <v>0</v>
      </c>
      <c r="BE358" s="121">
        <f t="shared" si="196"/>
        <v>0</v>
      </c>
      <c r="BF358" s="121">
        <f t="shared" si="197"/>
        <v>0</v>
      </c>
      <c r="BG358" s="121">
        <f t="shared" si="198"/>
        <v>0</v>
      </c>
      <c r="BH358" s="121">
        <f t="shared" si="199"/>
        <v>0</v>
      </c>
      <c r="BI358" s="121">
        <f t="shared" si="200"/>
        <v>0</v>
      </c>
      <c r="BJ358" s="121">
        <f t="shared" si="201"/>
        <v>0</v>
      </c>
      <c r="BK358" s="121">
        <f t="shared" si="202"/>
        <v>0</v>
      </c>
      <c r="BL358" s="121">
        <f t="shared" si="203"/>
        <v>0</v>
      </c>
      <c r="BM358" s="121">
        <f t="shared" si="204"/>
        <v>0</v>
      </c>
      <c r="BN358" s="121">
        <f t="shared" si="205"/>
        <v>0</v>
      </c>
      <c r="BO358" s="121">
        <f t="shared" si="206"/>
        <v>0</v>
      </c>
      <c r="BP358" s="121">
        <f t="shared" si="207"/>
        <v>0</v>
      </c>
      <c r="BQ358" s="199">
        <f>INDEX('GDP deflators'!$C$6:$M$36,MATCH('Bottom-up tagging'!$D358,'GDP deflators'!$B$6:$B$36,),MATCH('Bottom-up tagging'!$E358,'GDP deflators'!$C$5:$L$5,))/100</f>
        <v>1.4753935363936217</v>
      </c>
      <c r="BR358" s="24">
        <v>386498</v>
      </c>
    </row>
    <row r="359" spans="2:70" ht="26.15" hidden="1" customHeight="1">
      <c r="B359" s="110" t="s">
        <v>322</v>
      </c>
      <c r="C359" s="110" t="s">
        <v>327</v>
      </c>
      <c r="D359" s="110" t="s">
        <v>3994</v>
      </c>
      <c r="E359" s="103">
        <v>2018</v>
      </c>
      <c r="F359" s="108" t="s">
        <v>8214</v>
      </c>
      <c r="G359" s="111" t="s">
        <v>34</v>
      </c>
      <c r="H359" s="110" t="s">
        <v>10451</v>
      </c>
      <c r="I359" s="112">
        <f>IF(Dashboard!$B$16="Current USD",'Bottom-up tagging'!BR359,'Bottom-up tagging'!BR359/'Bottom-up tagging'!BQ359)</f>
        <v>260653.16846921665</v>
      </c>
      <c r="J359" s="118" t="s">
        <v>10474</v>
      </c>
      <c r="K359" s="112"/>
      <c r="L359" s="135">
        <v>1</v>
      </c>
      <c r="M359" s="135">
        <v>1</v>
      </c>
      <c r="N359" s="112"/>
      <c r="O359" s="112"/>
      <c r="P359" s="112" t="str">
        <f>VLOOKUP(B359, 'Companies covered restructured'!$B$7:$K$470, 9, FALSE)</f>
        <v>Drone technologies/robotics</v>
      </c>
      <c r="Q359" s="112" t="str">
        <f>VLOOKUP(B359, 'Companies covered restructured'!$B$7:$K$470, 6, FALSE)</f>
        <v>#Crops(100)</v>
      </c>
      <c r="R359" s="112" t="str">
        <f t="shared" si="177"/>
        <v>#Investment Fund(100)</v>
      </c>
      <c r="S359" s="112" t="s">
        <v>11003</v>
      </c>
      <c r="T359" s="112" t="s">
        <v>10466</v>
      </c>
      <c r="U359" s="103" t="s">
        <v>10970</v>
      </c>
      <c r="V359" s="112" t="str">
        <f>VLOOKUP(P359, 'Bottom-up Tagging Assumptions'!$B$12:$F$39, 5, FALSE)</f>
        <v>#Process Innovation(100)</v>
      </c>
      <c r="W359" s="112" t="str">
        <f>VLOOKUP(B359, 'Companies covered restructured'!$B$7:$K$470, 7, FALSE)</f>
        <v>N/A</v>
      </c>
      <c r="X359" s="112" t="str">
        <f>VLOOKUP(B359, 'Companies covered restructured'!$B$7:$K$470, 8, FALSE)</f>
        <v>N/A</v>
      </c>
      <c r="Y359" s="212" t="str">
        <f>VLOOKUP(P359, 'Bottom-up Tagging Assumptions'!$B$12:$C$56, 2, FALSE)</f>
        <v>#Productivity(P); #Other Economic(P)</v>
      </c>
      <c r="Z359" s="112" t="str">
        <f>VLOOKUP(P359, 'Bottom-up Tagging Assumptions'!$B$12:$F$56, 3, FALSE)</f>
        <v>#Reducing human effort(P)</v>
      </c>
      <c r="AA359" s="112" t="str">
        <f>VLOOKUP(P359, 'Bottom-up Tagging Assumptions'!$B$12:$F$56, 4, FALSE)</f>
        <v>#Level 1(100)</v>
      </c>
      <c r="AB359" s="110" t="s">
        <v>1786</v>
      </c>
      <c r="AC359" s="110" t="s">
        <v>1787</v>
      </c>
      <c r="AD359" s="110" t="s">
        <v>1788</v>
      </c>
      <c r="AE359" s="110" t="s">
        <v>3114</v>
      </c>
      <c r="AF359" s="112"/>
      <c r="AG359" s="110" t="s">
        <v>2429</v>
      </c>
      <c r="AH359" s="121">
        <f t="shared" si="178"/>
        <v>0</v>
      </c>
      <c r="AI359" s="121">
        <f t="shared" si="179"/>
        <v>1</v>
      </c>
      <c r="AJ359" s="121">
        <f t="shared" si="180"/>
        <v>1</v>
      </c>
      <c r="AK359" s="121">
        <f t="shared" si="181"/>
        <v>0</v>
      </c>
      <c r="AL359" s="121">
        <f t="shared" si="182"/>
        <v>0</v>
      </c>
      <c r="AM359" s="121">
        <f t="shared" si="183"/>
        <v>0</v>
      </c>
      <c r="AN359" s="121">
        <f t="shared" si="184"/>
        <v>0</v>
      </c>
      <c r="AO359" s="121">
        <f t="shared" si="185"/>
        <v>0</v>
      </c>
      <c r="AP359" s="22">
        <f t="shared" si="186"/>
        <v>0</v>
      </c>
      <c r="AQ359" s="22">
        <f t="shared" si="187"/>
        <v>0</v>
      </c>
      <c r="AR359" s="22">
        <f t="shared" si="188"/>
        <v>0</v>
      </c>
      <c r="AS359" s="121" t="str">
        <f t="shared" si="189"/>
        <v>Crops</v>
      </c>
      <c r="AT359" s="121" t="str">
        <f t="shared" si="208"/>
        <v xml:space="preserve"> </v>
      </c>
      <c r="AU359" s="121" t="str">
        <f t="shared" si="208"/>
        <v xml:space="preserve"> </v>
      </c>
      <c r="AV359" s="121" t="str">
        <f t="shared" si="208"/>
        <v xml:space="preserve"> </v>
      </c>
      <c r="AW359" s="130" t="str">
        <f t="shared" si="209"/>
        <v>100</v>
      </c>
      <c r="AX359" s="130" t="str">
        <f t="shared" si="209"/>
        <v xml:space="preserve"> </v>
      </c>
      <c r="AY359" s="130" t="str">
        <f t="shared" si="209"/>
        <v xml:space="preserve"> </v>
      </c>
      <c r="AZ359" s="130" t="str">
        <f t="shared" si="209"/>
        <v xml:space="preserve"> </v>
      </c>
      <c r="BA359" s="121">
        <f t="shared" si="192"/>
        <v>260653.16846921665</v>
      </c>
      <c r="BB359" s="121">
        <f t="shared" si="193"/>
        <v>0</v>
      </c>
      <c r="BC359" s="121">
        <f t="shared" si="194"/>
        <v>0</v>
      </c>
      <c r="BD359" s="121">
        <f t="shared" si="195"/>
        <v>0</v>
      </c>
      <c r="BE359" s="121">
        <f t="shared" si="196"/>
        <v>0</v>
      </c>
      <c r="BF359" s="121">
        <f t="shared" si="197"/>
        <v>0</v>
      </c>
      <c r="BG359" s="121">
        <f t="shared" si="198"/>
        <v>0</v>
      </c>
      <c r="BH359" s="121">
        <f t="shared" si="199"/>
        <v>0</v>
      </c>
      <c r="BI359" s="121">
        <f t="shared" si="200"/>
        <v>0</v>
      </c>
      <c r="BJ359" s="121">
        <f t="shared" si="201"/>
        <v>0</v>
      </c>
      <c r="BK359" s="121">
        <f t="shared" si="202"/>
        <v>0</v>
      </c>
      <c r="BL359" s="121">
        <f t="shared" si="203"/>
        <v>0</v>
      </c>
      <c r="BM359" s="121">
        <f t="shared" si="204"/>
        <v>0</v>
      </c>
      <c r="BN359" s="121">
        <f t="shared" si="205"/>
        <v>0</v>
      </c>
      <c r="BO359" s="121">
        <f t="shared" si="206"/>
        <v>0</v>
      </c>
      <c r="BP359" s="121">
        <f t="shared" si="207"/>
        <v>0</v>
      </c>
      <c r="BQ359" s="199">
        <f>INDEX('GDP deflators'!$C$6:$M$36,MATCH('Bottom-up tagging'!$D359,'GDP deflators'!$B$6:$B$36,),MATCH('Bottom-up tagging'!$E359,'GDP deflators'!$C$5:$L$5,))/100</f>
        <v>1.4753935363936217</v>
      </c>
      <c r="BR359" s="24">
        <v>384566</v>
      </c>
    </row>
    <row r="360" spans="2:70" ht="26.15" hidden="1" customHeight="1">
      <c r="B360" s="110" t="s">
        <v>2271</v>
      </c>
      <c r="C360" s="110" t="s">
        <v>2276</v>
      </c>
      <c r="D360" s="110" t="s">
        <v>3994</v>
      </c>
      <c r="E360" s="103">
        <v>2016</v>
      </c>
      <c r="F360" s="108" t="s">
        <v>9524</v>
      </c>
      <c r="G360" s="111" t="s">
        <v>124</v>
      </c>
      <c r="H360" s="110" t="s">
        <v>10451</v>
      </c>
      <c r="I360" s="112">
        <f>IF(Dashboard!$B$16="Current USD",'Bottom-up tagging'!BR360,'Bottom-up tagging'!BR360/'Bottom-up tagging'!BQ360)</f>
        <v>276117.98645081226</v>
      </c>
      <c r="J360" s="117" t="s">
        <v>10474</v>
      </c>
      <c r="K360" s="112"/>
      <c r="L360" s="135">
        <v>1</v>
      </c>
      <c r="M360" s="135">
        <v>1</v>
      </c>
      <c r="N360" s="112"/>
      <c r="O360" s="112"/>
      <c r="P360" s="112" t="str">
        <f>VLOOKUP(B360, 'Companies covered restructured'!$B$7:$K$470, 9, FALSE)</f>
        <v>Agri marketplaces</v>
      </c>
      <c r="Q360" s="112" t="str">
        <f>VLOOKUP(B360, 'Companies covered restructured'!$B$7:$K$470, 6, FALSE)</f>
        <v>#Crops(100)</v>
      </c>
      <c r="R360" s="112" t="str">
        <f t="shared" si="177"/>
        <v>#Angel Investor(100)</v>
      </c>
      <c r="S360" s="112" t="s">
        <v>11003</v>
      </c>
      <c r="T360" s="112" t="s">
        <v>10466</v>
      </c>
      <c r="U360" s="103" t="s">
        <v>10970</v>
      </c>
      <c r="V360" s="112" t="str">
        <f>VLOOKUP(P360, 'Bottom-up Tagging Assumptions'!$B$12:$F$39, 5, FALSE)</f>
        <v>#Process Innovation(100)</v>
      </c>
      <c r="W360" s="112" t="str">
        <f>VLOOKUP(B360, 'Companies covered restructured'!$B$7:$K$470, 7, FALSE)</f>
        <v>#Landscape(100)</v>
      </c>
      <c r="X360" s="112" t="str">
        <f>VLOOKUP(B360, 'Companies covered restructured'!$B$7:$K$470, 8, FALSE)</f>
        <v>N/A</v>
      </c>
      <c r="Y360" s="212" t="str">
        <f>VLOOKUP(P360, 'Bottom-up Tagging Assumptions'!$B$12:$C$56, 2, FALSE)</f>
        <v>#Other Economic(P); Social(S)</v>
      </c>
      <c r="Z360" s="112" t="str">
        <f>VLOOKUP(P360, 'Bottom-up Tagging Assumptions'!$B$12:$F$56, 3, FALSE)</f>
        <v>#Improve price realization(P)</v>
      </c>
      <c r="AA360" s="112" t="str">
        <f>VLOOKUP(P360, 'Bottom-up Tagging Assumptions'!$B$12:$F$56, 4, FALSE)</f>
        <v>#Level 4(100)</v>
      </c>
      <c r="AB360" s="110" t="s">
        <v>2520</v>
      </c>
      <c r="AC360" s="110" t="s">
        <v>2521</v>
      </c>
      <c r="AD360" s="110" t="s">
        <v>2522</v>
      </c>
      <c r="AE360" s="110" t="s">
        <v>3127</v>
      </c>
      <c r="AF360" s="112">
        <v>7000000</v>
      </c>
      <c r="AG360" s="110" t="s">
        <v>862</v>
      </c>
      <c r="AH360" s="121">
        <f t="shared" si="178"/>
        <v>0</v>
      </c>
      <c r="AI360" s="121">
        <f t="shared" si="179"/>
        <v>0</v>
      </c>
      <c r="AJ360" s="121">
        <f t="shared" si="180"/>
        <v>1</v>
      </c>
      <c r="AK360" s="121">
        <f t="shared" si="181"/>
        <v>1</v>
      </c>
      <c r="AL360" s="121">
        <f t="shared" si="182"/>
        <v>0</v>
      </c>
      <c r="AM360" s="121">
        <f t="shared" si="183"/>
        <v>0</v>
      </c>
      <c r="AN360" s="121">
        <f t="shared" si="184"/>
        <v>1</v>
      </c>
      <c r="AO360" s="121">
        <f t="shared" si="185"/>
        <v>0</v>
      </c>
      <c r="AP360" s="22">
        <f t="shared" si="186"/>
        <v>0</v>
      </c>
      <c r="AQ360" s="22">
        <f t="shared" si="187"/>
        <v>276117.98645081226</v>
      </c>
      <c r="AR360" s="22">
        <f t="shared" si="188"/>
        <v>0</v>
      </c>
      <c r="AS360" s="121" t="str">
        <f t="shared" si="189"/>
        <v>Crops</v>
      </c>
      <c r="AT360" s="121" t="str">
        <f t="shared" si="208"/>
        <v xml:space="preserve"> </v>
      </c>
      <c r="AU360" s="121" t="str">
        <f t="shared" si="208"/>
        <v xml:space="preserve"> </v>
      </c>
      <c r="AV360" s="121" t="str">
        <f t="shared" si="208"/>
        <v xml:space="preserve"> </v>
      </c>
      <c r="AW360" s="130" t="str">
        <f t="shared" si="209"/>
        <v>100</v>
      </c>
      <c r="AX360" s="130" t="str">
        <f t="shared" si="209"/>
        <v xml:space="preserve"> </v>
      </c>
      <c r="AY360" s="130" t="str">
        <f t="shared" si="209"/>
        <v xml:space="preserve"> </v>
      </c>
      <c r="AZ360" s="130" t="str">
        <f t="shared" si="209"/>
        <v xml:space="preserve"> </v>
      </c>
      <c r="BA360" s="121">
        <f t="shared" si="192"/>
        <v>276117.98645081226</v>
      </c>
      <c r="BB360" s="121">
        <f t="shared" si="193"/>
        <v>0</v>
      </c>
      <c r="BC360" s="121">
        <f t="shared" si="194"/>
        <v>0</v>
      </c>
      <c r="BD360" s="121">
        <f t="shared" si="195"/>
        <v>0</v>
      </c>
      <c r="BE360" s="121">
        <f t="shared" si="196"/>
        <v>0</v>
      </c>
      <c r="BF360" s="121">
        <f t="shared" si="197"/>
        <v>0</v>
      </c>
      <c r="BG360" s="121">
        <f t="shared" si="198"/>
        <v>0</v>
      </c>
      <c r="BH360" s="121">
        <f t="shared" si="199"/>
        <v>0</v>
      </c>
      <c r="BI360" s="121">
        <f t="shared" si="200"/>
        <v>276117.98645081226</v>
      </c>
      <c r="BJ360" s="121">
        <f t="shared" si="201"/>
        <v>276117.98645081226</v>
      </c>
      <c r="BK360" s="121">
        <f t="shared" si="202"/>
        <v>276117.98645081226</v>
      </c>
      <c r="BL360" s="121">
        <f t="shared" si="203"/>
        <v>276117.98645081226</v>
      </c>
      <c r="BM360" s="121">
        <f t="shared" si="204"/>
        <v>0</v>
      </c>
      <c r="BN360" s="121">
        <f t="shared" si="205"/>
        <v>0</v>
      </c>
      <c r="BO360" s="121">
        <f t="shared" si="206"/>
        <v>0</v>
      </c>
      <c r="BP360" s="121">
        <f t="shared" si="207"/>
        <v>0</v>
      </c>
      <c r="BQ360" s="199">
        <f>INDEX('GDP deflators'!$C$6:$M$36,MATCH('Bottom-up tagging'!$D360,'GDP deflators'!$B$6:$B$36,),MATCH('Bottom-up tagging'!$E360,'GDP deflators'!$C$5:$L$5,))/100</f>
        <v>1.3597375702538033</v>
      </c>
      <c r="BR360" s="24">
        <v>375448</v>
      </c>
    </row>
    <row r="361" spans="2:70" ht="26.15" hidden="1" customHeight="1">
      <c r="B361" s="110" t="s">
        <v>322</v>
      </c>
      <c r="C361" s="110" t="s">
        <v>327</v>
      </c>
      <c r="D361" s="110" t="s">
        <v>3994</v>
      </c>
      <c r="E361" s="103">
        <v>2016</v>
      </c>
      <c r="F361" s="108" t="s">
        <v>8214</v>
      </c>
      <c r="G361" s="111" t="s">
        <v>34</v>
      </c>
      <c r="H361" s="110" t="s">
        <v>10451</v>
      </c>
      <c r="I361" s="112">
        <f>IF(Dashboard!$B$16="Current USD",'Bottom-up tagging'!BR361,'Bottom-up tagging'!BR361/'Bottom-up tagging'!BQ361)</f>
        <v>267649.44056967529</v>
      </c>
      <c r="J361" s="118" t="s">
        <v>10474</v>
      </c>
      <c r="K361" s="112"/>
      <c r="L361" s="135">
        <v>1</v>
      </c>
      <c r="M361" s="135">
        <v>1</v>
      </c>
      <c r="N361" s="112"/>
      <c r="O361" s="112"/>
      <c r="P361" s="112" t="str">
        <f>VLOOKUP(B361, 'Companies covered restructured'!$B$7:$K$470, 9, FALSE)</f>
        <v>Drone technologies/robotics</v>
      </c>
      <c r="Q361" s="112" t="str">
        <f>VLOOKUP(B361, 'Companies covered restructured'!$B$7:$K$470, 6, FALSE)</f>
        <v>#Crops(100)</v>
      </c>
      <c r="R361" s="112" t="str">
        <f t="shared" si="177"/>
        <v>#Investment Fund(100)</v>
      </c>
      <c r="S361" s="112" t="s">
        <v>11003</v>
      </c>
      <c r="T361" s="112" t="s">
        <v>10466</v>
      </c>
      <c r="U361" s="103" t="s">
        <v>10970</v>
      </c>
      <c r="V361" s="112" t="str">
        <f>VLOOKUP(P361, 'Bottom-up Tagging Assumptions'!$B$12:$F$39, 5, FALSE)</f>
        <v>#Process Innovation(100)</v>
      </c>
      <c r="W361" s="112" t="str">
        <f>VLOOKUP(B361, 'Companies covered restructured'!$B$7:$K$470, 7, FALSE)</f>
        <v>N/A</v>
      </c>
      <c r="X361" s="112" t="str">
        <f>VLOOKUP(B361, 'Companies covered restructured'!$B$7:$K$470, 8, FALSE)</f>
        <v>N/A</v>
      </c>
      <c r="Y361" s="212" t="str">
        <f>VLOOKUP(P361, 'Bottom-up Tagging Assumptions'!$B$12:$C$56, 2, FALSE)</f>
        <v>#Productivity(P); #Other Economic(P)</v>
      </c>
      <c r="Z361" s="112" t="str">
        <f>VLOOKUP(P361, 'Bottom-up Tagging Assumptions'!$B$12:$F$56, 3, FALSE)</f>
        <v>#Reducing human effort(P)</v>
      </c>
      <c r="AA361" s="112" t="str">
        <f>VLOOKUP(P361, 'Bottom-up Tagging Assumptions'!$B$12:$F$56, 4, FALSE)</f>
        <v>#Level 1(100)</v>
      </c>
      <c r="AB361" s="110" t="s">
        <v>2510</v>
      </c>
      <c r="AC361" s="110" t="s">
        <v>2511</v>
      </c>
      <c r="AD361" s="110" t="s">
        <v>326</v>
      </c>
      <c r="AE361" s="110" t="str">
        <f>VLOOKUP(AD361,  '1.2'!$B$7:$C$2033, 2, FALSE)</f>
        <v>FUND</v>
      </c>
      <c r="AF361" s="112">
        <v>14470000</v>
      </c>
      <c r="AG361" s="110" t="s">
        <v>1753</v>
      </c>
      <c r="AH361" s="121">
        <f t="shared" si="178"/>
        <v>0</v>
      </c>
      <c r="AI361" s="121">
        <f t="shared" si="179"/>
        <v>1</v>
      </c>
      <c r="AJ361" s="121">
        <f t="shared" si="180"/>
        <v>1</v>
      </c>
      <c r="AK361" s="121">
        <f t="shared" si="181"/>
        <v>0</v>
      </c>
      <c r="AL361" s="121">
        <f t="shared" si="182"/>
        <v>0</v>
      </c>
      <c r="AM361" s="121">
        <f t="shared" si="183"/>
        <v>0</v>
      </c>
      <c r="AN361" s="121">
        <f t="shared" si="184"/>
        <v>0</v>
      </c>
      <c r="AO361" s="121">
        <f t="shared" si="185"/>
        <v>0</v>
      </c>
      <c r="AP361" s="22">
        <f t="shared" si="186"/>
        <v>0</v>
      </c>
      <c r="AQ361" s="22">
        <f t="shared" si="187"/>
        <v>0</v>
      </c>
      <c r="AR361" s="22">
        <f t="shared" si="188"/>
        <v>0</v>
      </c>
      <c r="AS361" s="121" t="str">
        <f t="shared" si="189"/>
        <v>Crops</v>
      </c>
      <c r="AT361" s="121" t="str">
        <f t="shared" si="208"/>
        <v xml:space="preserve"> </v>
      </c>
      <c r="AU361" s="121" t="str">
        <f t="shared" si="208"/>
        <v xml:space="preserve"> </v>
      </c>
      <c r="AV361" s="121" t="str">
        <f t="shared" si="208"/>
        <v xml:space="preserve"> </v>
      </c>
      <c r="AW361" s="130" t="str">
        <f t="shared" si="209"/>
        <v>100</v>
      </c>
      <c r="AX361" s="130" t="str">
        <f t="shared" si="209"/>
        <v xml:space="preserve"> </v>
      </c>
      <c r="AY361" s="130" t="str">
        <f t="shared" si="209"/>
        <v xml:space="preserve"> </v>
      </c>
      <c r="AZ361" s="130" t="str">
        <f t="shared" si="209"/>
        <v xml:space="preserve"> </v>
      </c>
      <c r="BA361" s="121">
        <f t="shared" si="192"/>
        <v>267649.44056967529</v>
      </c>
      <c r="BB361" s="121">
        <f t="shared" si="193"/>
        <v>0</v>
      </c>
      <c r="BC361" s="121">
        <f t="shared" si="194"/>
        <v>0</v>
      </c>
      <c r="BD361" s="121">
        <f t="shared" si="195"/>
        <v>0</v>
      </c>
      <c r="BE361" s="121">
        <f t="shared" si="196"/>
        <v>0</v>
      </c>
      <c r="BF361" s="121">
        <f t="shared" si="197"/>
        <v>0</v>
      </c>
      <c r="BG361" s="121">
        <f t="shared" si="198"/>
        <v>0</v>
      </c>
      <c r="BH361" s="121">
        <f t="shared" si="199"/>
        <v>0</v>
      </c>
      <c r="BI361" s="121">
        <f t="shared" si="200"/>
        <v>0</v>
      </c>
      <c r="BJ361" s="121">
        <f t="shared" si="201"/>
        <v>0</v>
      </c>
      <c r="BK361" s="121">
        <f t="shared" si="202"/>
        <v>0</v>
      </c>
      <c r="BL361" s="121">
        <f t="shared" si="203"/>
        <v>0</v>
      </c>
      <c r="BM361" s="121">
        <f t="shared" si="204"/>
        <v>0</v>
      </c>
      <c r="BN361" s="121">
        <f t="shared" si="205"/>
        <v>0</v>
      </c>
      <c r="BO361" s="121">
        <f t="shared" si="206"/>
        <v>0</v>
      </c>
      <c r="BP361" s="121">
        <f t="shared" si="207"/>
        <v>0</v>
      </c>
      <c r="BQ361" s="199">
        <f>INDEX('GDP deflators'!$C$6:$M$36,MATCH('Bottom-up tagging'!$D361,'GDP deflators'!$B$6:$B$36,),MATCH('Bottom-up tagging'!$E361,'GDP deflators'!$C$5:$L$5,))/100</f>
        <v>1.3597375702538033</v>
      </c>
      <c r="BR361" s="24">
        <v>363933</v>
      </c>
    </row>
    <row r="362" spans="2:70" ht="26.15" hidden="1" customHeight="1">
      <c r="B362" s="110" t="s">
        <v>1816</v>
      </c>
      <c r="C362" s="110" t="s">
        <v>1819</v>
      </c>
      <c r="D362" s="110" t="s">
        <v>5333</v>
      </c>
      <c r="E362" s="103">
        <v>2018</v>
      </c>
      <c r="F362" s="108" t="s">
        <v>8163</v>
      </c>
      <c r="G362" s="111" t="s">
        <v>34</v>
      </c>
      <c r="H362" s="110" t="s">
        <v>10451</v>
      </c>
      <c r="I362" s="112">
        <f>IF(Dashboard!$B$16="Current USD",'Bottom-up tagging'!BR362,'Bottom-up tagging'!BR362/'Bottom-up tagging'!BQ362)</f>
        <v>42005.756439878438</v>
      </c>
      <c r="J362" s="117" t="s">
        <v>10474</v>
      </c>
      <c r="K362" s="112"/>
      <c r="L362" s="135">
        <v>1</v>
      </c>
      <c r="M362" s="135">
        <v>1</v>
      </c>
      <c r="N362" s="112"/>
      <c r="O362" s="112"/>
      <c r="P362" s="112" t="str">
        <f>VLOOKUP(B362, 'Companies covered restructured'!$B$7:$K$470, 9, FALSE)</f>
        <v>AI/analytics based advisory algorithms (incl. weather)</v>
      </c>
      <c r="Q362" s="112" t="str">
        <f>VLOOKUP(B362, 'Companies covered restructured'!$B$7:$K$470, 6, FALSE)</f>
        <v>#Crops(100)</v>
      </c>
      <c r="R362" s="112" t="str">
        <f t="shared" si="177"/>
        <v>N/A</v>
      </c>
      <c r="S362" s="112" t="s">
        <v>11003</v>
      </c>
      <c r="T362" s="112" t="s">
        <v>10466</v>
      </c>
      <c r="U362" s="103" t="s">
        <v>10970</v>
      </c>
      <c r="V362" s="112" t="str">
        <f>VLOOKUP(P362, 'Bottom-up Tagging Assumptions'!$B$12:$F$39, 5, FALSE)</f>
        <v>#Science &amp; tech(100)</v>
      </c>
      <c r="W362" s="112" t="str">
        <f>VLOOKUP(B362, 'Companies covered restructured'!$B$7:$K$470, 7, FALSE)</f>
        <v>#Farm/Household(100)</v>
      </c>
      <c r="X362" s="112" t="str">
        <f>VLOOKUP(B362, 'Companies covered restructured'!$B$7:$K$470, 8, FALSE)</f>
        <v>N/A</v>
      </c>
      <c r="Y362" s="212" t="str">
        <f>VLOOKUP(P362, 'Bottom-up Tagging Assumptions'!$B$12:$C$56, 2, FALSE)</f>
        <v>#Other Economic(P); #Productivity(S)</v>
      </c>
      <c r="Z362" s="112" t="str">
        <f>VLOOKUP(P362, 'Bottom-up Tagging Assumptions'!$B$12:$F$56, 3, FALSE)</f>
        <v>#Increasing output per unit input(P); #Increasing crop or animal yield(S)</v>
      </c>
      <c r="AA362" s="112" t="str">
        <f>VLOOKUP(P362, 'Bottom-up Tagging Assumptions'!$B$12:$F$56, 4, FALSE)</f>
        <v>#Level 1(100)</v>
      </c>
      <c r="AB362" s="110" t="s">
        <v>1818</v>
      </c>
      <c r="AC362" s="110"/>
      <c r="AD362" s="110"/>
      <c r="AE362" s="110" t="s">
        <v>10558</v>
      </c>
      <c r="AF362" s="112">
        <v>5080000</v>
      </c>
      <c r="AG362" s="110" t="s">
        <v>2437</v>
      </c>
      <c r="AH362" s="121">
        <f t="shared" si="178"/>
        <v>0</v>
      </c>
      <c r="AI362" s="121">
        <f t="shared" si="179"/>
        <v>1</v>
      </c>
      <c r="AJ362" s="121">
        <f t="shared" si="180"/>
        <v>1</v>
      </c>
      <c r="AK362" s="121">
        <f t="shared" si="181"/>
        <v>0</v>
      </c>
      <c r="AL362" s="121">
        <f t="shared" si="182"/>
        <v>0</v>
      </c>
      <c r="AM362" s="121">
        <f t="shared" si="183"/>
        <v>0</v>
      </c>
      <c r="AN362" s="121">
        <f t="shared" si="184"/>
        <v>0</v>
      </c>
      <c r="AO362" s="121">
        <f t="shared" si="185"/>
        <v>0</v>
      </c>
      <c r="AP362" s="22">
        <f t="shared" si="186"/>
        <v>0</v>
      </c>
      <c r="AQ362" s="22">
        <f t="shared" si="187"/>
        <v>0</v>
      </c>
      <c r="AR362" s="22">
        <f t="shared" si="188"/>
        <v>0</v>
      </c>
      <c r="AS362" s="121" t="str">
        <f t="shared" si="189"/>
        <v>Crops</v>
      </c>
      <c r="AT362" s="121" t="str">
        <f t="shared" si="208"/>
        <v xml:space="preserve"> </v>
      </c>
      <c r="AU362" s="121" t="str">
        <f t="shared" si="208"/>
        <v xml:space="preserve"> </v>
      </c>
      <c r="AV362" s="121" t="str">
        <f t="shared" si="208"/>
        <v xml:space="preserve"> </v>
      </c>
      <c r="AW362" s="130" t="str">
        <f t="shared" si="209"/>
        <v>100</v>
      </c>
      <c r="AX362" s="130" t="str">
        <f t="shared" si="209"/>
        <v xml:space="preserve"> </v>
      </c>
      <c r="AY362" s="130" t="str">
        <f t="shared" si="209"/>
        <v xml:space="preserve"> </v>
      </c>
      <c r="AZ362" s="130" t="str">
        <f t="shared" si="209"/>
        <v xml:space="preserve"> </v>
      </c>
      <c r="BA362" s="121">
        <f t="shared" si="192"/>
        <v>42005.756439878438</v>
      </c>
      <c r="BB362" s="121">
        <f t="shared" si="193"/>
        <v>0</v>
      </c>
      <c r="BC362" s="121">
        <f t="shared" si="194"/>
        <v>0</v>
      </c>
      <c r="BD362" s="121">
        <f t="shared" si="195"/>
        <v>0</v>
      </c>
      <c r="BE362" s="121">
        <f t="shared" si="196"/>
        <v>0</v>
      </c>
      <c r="BF362" s="121">
        <f t="shared" si="197"/>
        <v>0</v>
      </c>
      <c r="BG362" s="121">
        <f t="shared" si="198"/>
        <v>0</v>
      </c>
      <c r="BH362" s="121">
        <f t="shared" si="199"/>
        <v>0</v>
      </c>
      <c r="BI362" s="121">
        <f t="shared" si="200"/>
        <v>0</v>
      </c>
      <c r="BJ362" s="121">
        <f t="shared" si="201"/>
        <v>0</v>
      </c>
      <c r="BK362" s="121">
        <f t="shared" si="202"/>
        <v>0</v>
      </c>
      <c r="BL362" s="121">
        <f t="shared" si="203"/>
        <v>0</v>
      </c>
      <c r="BM362" s="121">
        <f t="shared" si="204"/>
        <v>0</v>
      </c>
      <c r="BN362" s="121">
        <f t="shared" si="205"/>
        <v>0</v>
      </c>
      <c r="BO362" s="121">
        <f t="shared" si="206"/>
        <v>0</v>
      </c>
      <c r="BP362" s="121">
        <f t="shared" si="207"/>
        <v>0</v>
      </c>
      <c r="BQ362" s="199">
        <f>INDEX('GDP deflators'!$C$6:$M$36,MATCH('Bottom-up tagging'!$D362,'GDP deflators'!$B$6:$B$36,),MATCH('Bottom-up tagging'!$E362,'GDP deflators'!$C$5:$L$5,))/100</f>
        <v>8.3321913390833551</v>
      </c>
      <c r="BR362" s="24">
        <v>350000</v>
      </c>
    </row>
    <row r="363" spans="2:70" ht="26.15" hidden="1" customHeight="1">
      <c r="B363" s="110" t="s">
        <v>553</v>
      </c>
      <c r="C363" s="110" t="s">
        <v>556</v>
      </c>
      <c r="D363" s="110" t="s">
        <v>3994</v>
      </c>
      <c r="E363" s="103">
        <v>2020</v>
      </c>
      <c r="F363" s="108" t="s">
        <v>7184</v>
      </c>
      <c r="G363" s="111" t="s">
        <v>34</v>
      </c>
      <c r="H363" s="110" t="s">
        <v>10451</v>
      </c>
      <c r="I363" s="212">
        <v>0</v>
      </c>
      <c r="J363" s="117" t="s">
        <v>10474</v>
      </c>
      <c r="K363" s="112"/>
      <c r="L363" s="135">
        <v>1</v>
      </c>
      <c r="M363" s="135">
        <v>1</v>
      </c>
      <c r="N363" s="112"/>
      <c r="O363" s="112"/>
      <c r="P363" s="112" t="str">
        <f>VLOOKUP(B363, 'Companies covered restructured'!$B$7:$K$470, 9, FALSE)</f>
        <v>Farmer engagement platforms (including marketplaces and information platforms)</v>
      </c>
      <c r="Q363" s="112" t="str">
        <f>VLOOKUP(B363, 'Companies covered restructured'!$B$7:$K$470, 6, FALSE)</f>
        <v>#Crops(100)</v>
      </c>
      <c r="R363" s="112" t="str">
        <f t="shared" si="177"/>
        <v>#Angel Investor(100)</v>
      </c>
      <c r="S363" s="112" t="s">
        <v>11003</v>
      </c>
      <c r="T363" s="112" t="s">
        <v>10466</v>
      </c>
      <c r="U363" s="103" t="s">
        <v>10970</v>
      </c>
      <c r="V363" s="112" t="str">
        <f>VLOOKUP(P363, 'Bottom-up Tagging Assumptions'!$B$12:$F$39, 5, FALSE)</f>
        <v>#Process Innovation(100)</v>
      </c>
      <c r="W363" s="112" t="str">
        <f>VLOOKUP(B363, 'Companies covered restructured'!$B$7:$K$470, 7, FALSE)</f>
        <v>#Field/Animal Herd(100)</v>
      </c>
      <c r="X363" s="112" t="str">
        <f>VLOOKUP(B363, 'Companies covered restructured'!$B$7:$K$470, 8, FALSE)</f>
        <v>#Small(100)</v>
      </c>
      <c r="Y363" s="112" t="str">
        <f>VLOOKUP(P363, '[2]Bottom-up Tagging Assumptions'!$B$12:$F$56, 2, FALSE)</f>
        <v>#Other Economic(P); #Productivity(S)</v>
      </c>
      <c r="Z363" s="112" t="str">
        <f>VLOOKUP(P363, 'Bottom-up Tagging Assumptions'!$B$12:$F$56, 3, FALSE)</f>
        <v>#Improve price realization(P); #Increasing crop or animal yield(S)</v>
      </c>
      <c r="AA363" s="112" t="str">
        <f>VLOOKUP(P363, 'Bottom-up Tagging Assumptions'!$B$12:$F$56, 4, FALSE)</f>
        <v>#Level 4(100)</v>
      </c>
      <c r="AB363" s="110"/>
      <c r="AC363" s="110" t="s">
        <v>555</v>
      </c>
      <c r="AD363" s="110" t="s">
        <v>555</v>
      </c>
      <c r="AE363" s="110" t="s">
        <v>3127</v>
      </c>
      <c r="AF363" s="112">
        <v>5345286</v>
      </c>
      <c r="AG363" s="110" t="s">
        <v>265</v>
      </c>
      <c r="AH363" s="121">
        <f t="shared" si="178"/>
        <v>0</v>
      </c>
      <c r="AI363" s="121">
        <f t="shared" si="179"/>
        <v>1</v>
      </c>
      <c r="AJ363" s="121">
        <f t="shared" si="180"/>
        <v>1</v>
      </c>
      <c r="AK363" s="121">
        <f t="shared" si="181"/>
        <v>0</v>
      </c>
      <c r="AL363" s="121">
        <f t="shared" si="182"/>
        <v>0</v>
      </c>
      <c r="AM363" s="121">
        <f t="shared" si="183"/>
        <v>0</v>
      </c>
      <c r="AN363" s="121">
        <f t="shared" si="184"/>
        <v>0</v>
      </c>
      <c r="AO363" s="121">
        <f t="shared" si="185"/>
        <v>0</v>
      </c>
      <c r="AP363" s="22">
        <f t="shared" si="186"/>
        <v>0</v>
      </c>
      <c r="AQ363" s="22">
        <f t="shared" si="187"/>
        <v>0</v>
      </c>
      <c r="AR363" s="22">
        <f t="shared" si="188"/>
        <v>0</v>
      </c>
      <c r="AS363" s="121" t="str">
        <f t="shared" si="189"/>
        <v>Crops</v>
      </c>
      <c r="AT363" s="121" t="str">
        <f t="shared" si="208"/>
        <v xml:space="preserve"> </v>
      </c>
      <c r="AU363" s="121" t="str">
        <f t="shared" si="208"/>
        <v xml:space="preserve"> </v>
      </c>
      <c r="AV363" s="121" t="str">
        <f t="shared" si="208"/>
        <v xml:space="preserve"> </v>
      </c>
      <c r="AW363" s="130" t="str">
        <f t="shared" si="209"/>
        <v>100</v>
      </c>
      <c r="AX363" s="130" t="str">
        <f t="shared" si="209"/>
        <v xml:space="preserve"> </v>
      </c>
      <c r="AY363" s="130" t="str">
        <f t="shared" si="209"/>
        <v xml:space="preserve"> </v>
      </c>
      <c r="AZ363" s="130" t="str">
        <f t="shared" si="209"/>
        <v xml:space="preserve"> </v>
      </c>
      <c r="BA363" s="121">
        <f t="shared" si="192"/>
        <v>0</v>
      </c>
      <c r="BB363" s="121">
        <f t="shared" si="193"/>
        <v>0</v>
      </c>
      <c r="BC363" s="121">
        <f t="shared" si="194"/>
        <v>0</v>
      </c>
      <c r="BD363" s="121">
        <f t="shared" si="195"/>
        <v>0</v>
      </c>
      <c r="BE363" s="121">
        <f t="shared" si="196"/>
        <v>0</v>
      </c>
      <c r="BF363" s="121">
        <f t="shared" si="197"/>
        <v>0</v>
      </c>
      <c r="BG363" s="121">
        <f t="shared" si="198"/>
        <v>0</v>
      </c>
      <c r="BH363" s="121">
        <f t="shared" si="199"/>
        <v>0</v>
      </c>
      <c r="BI363" s="121">
        <f t="shared" si="200"/>
        <v>0</v>
      </c>
      <c r="BJ363" s="121">
        <f t="shared" si="201"/>
        <v>0</v>
      </c>
      <c r="BK363" s="121">
        <f t="shared" si="202"/>
        <v>0</v>
      </c>
      <c r="BL363" s="121">
        <f t="shared" si="203"/>
        <v>0</v>
      </c>
      <c r="BM363" s="121">
        <f t="shared" si="204"/>
        <v>0</v>
      </c>
      <c r="BN363" s="121">
        <f t="shared" si="205"/>
        <v>0</v>
      </c>
      <c r="BO363" s="121">
        <f t="shared" si="206"/>
        <v>0</v>
      </c>
      <c r="BP363" s="121">
        <f t="shared" si="207"/>
        <v>0</v>
      </c>
      <c r="BQ363" s="199" t="e">
        <f>INDEX('GDP deflators'!$C$6:$M$36,MATCH('Bottom-up tagging'!$D363,'GDP deflators'!$B$6:$B$36,),MATCH('Bottom-up tagging'!$E363,'GDP deflators'!$C$5:$L$5,))/100</f>
        <v>#N/A</v>
      </c>
      <c r="BR363" s="24">
        <v>348442</v>
      </c>
    </row>
    <row r="364" spans="2:70" ht="26.15" hidden="1" customHeight="1">
      <c r="B364" s="110" t="s">
        <v>198</v>
      </c>
      <c r="C364" s="110" t="s">
        <v>201</v>
      </c>
      <c r="D364" s="110" t="s">
        <v>1740</v>
      </c>
      <c r="E364" s="103">
        <v>2020</v>
      </c>
      <c r="F364" s="108" t="s">
        <v>6861</v>
      </c>
      <c r="G364" s="111" t="s">
        <v>34</v>
      </c>
      <c r="H364" s="110" t="s">
        <v>10451</v>
      </c>
      <c r="I364" s="212">
        <v>0</v>
      </c>
      <c r="J364" s="105" t="s">
        <v>10474</v>
      </c>
      <c r="K364" s="112"/>
      <c r="L364" s="135">
        <v>1</v>
      </c>
      <c r="M364" s="135">
        <v>1</v>
      </c>
      <c r="N364" s="112"/>
      <c r="O364" s="112"/>
      <c r="P364" s="112" t="str">
        <f>VLOOKUP(B364, 'Companies covered restructured'!$B$7:$K$470, 9, FALSE)</f>
        <v>Drone technologies/robotics</v>
      </c>
      <c r="Q364" s="112" t="str">
        <f>VLOOKUP(B364, 'Companies covered restructured'!$B$7:$K$470, 6, FALSE)</f>
        <v>#Crops(100)</v>
      </c>
      <c r="R364" s="112" t="str">
        <f t="shared" si="177"/>
        <v>N/A</v>
      </c>
      <c r="S364" s="112" t="s">
        <v>11003</v>
      </c>
      <c r="T364" s="112" t="s">
        <v>10466</v>
      </c>
      <c r="U364" s="103" t="s">
        <v>10970</v>
      </c>
      <c r="V364" s="112" t="str">
        <f>VLOOKUP(P364, 'Bottom-up Tagging Assumptions'!$B$12:$F$39, 5, FALSE)</f>
        <v>#Process Innovation(100)</v>
      </c>
      <c r="W364" s="112" t="str">
        <f>VLOOKUP(B364, 'Companies covered restructured'!$B$7:$K$470, 7, FALSE)</f>
        <v>#Field/Animal Herd(100)</v>
      </c>
      <c r="X364" s="112" t="s">
        <v>10558</v>
      </c>
      <c r="Y364" s="112" t="str">
        <f>VLOOKUP(P364, '[2]Bottom-up Tagging Assumptions'!$B$12:$F$56, 2, FALSE)</f>
        <v>#Productivity(P); #Other Economic(P)</v>
      </c>
      <c r="Z364" s="112" t="str">
        <f>VLOOKUP(P364, 'Bottom-up Tagging Assumptions'!$B$12:$F$56, 3, FALSE)</f>
        <v>#Reducing human effort(P)</v>
      </c>
      <c r="AA364" s="112" t="str">
        <f>VLOOKUP(P364, 'Bottom-up Tagging Assumptions'!$B$12:$F$56, 4, FALSE)</f>
        <v>#Level 1(100)</v>
      </c>
      <c r="AB364" s="110"/>
      <c r="AC364" s="110"/>
      <c r="AD364" s="110"/>
      <c r="AE364" s="110" t="s">
        <v>10558</v>
      </c>
      <c r="AF364" s="112"/>
      <c r="AG364" s="110" t="s">
        <v>2451</v>
      </c>
      <c r="AH364" s="121">
        <f t="shared" si="178"/>
        <v>0</v>
      </c>
      <c r="AI364" s="121">
        <f t="shared" si="179"/>
        <v>1</v>
      </c>
      <c r="AJ364" s="121">
        <f t="shared" si="180"/>
        <v>1</v>
      </c>
      <c r="AK364" s="121">
        <f t="shared" si="181"/>
        <v>0</v>
      </c>
      <c r="AL364" s="121">
        <f t="shared" si="182"/>
        <v>0</v>
      </c>
      <c r="AM364" s="121">
        <f t="shared" si="183"/>
        <v>0</v>
      </c>
      <c r="AN364" s="121">
        <f t="shared" si="184"/>
        <v>0</v>
      </c>
      <c r="AO364" s="121">
        <f t="shared" si="185"/>
        <v>0</v>
      </c>
      <c r="AP364" s="22">
        <f t="shared" si="186"/>
        <v>0</v>
      </c>
      <c r="AQ364" s="22">
        <f t="shared" si="187"/>
        <v>0</v>
      </c>
      <c r="AR364" s="22">
        <f t="shared" si="188"/>
        <v>0</v>
      </c>
      <c r="AS364" s="121" t="str">
        <f t="shared" si="189"/>
        <v>Crops</v>
      </c>
      <c r="AT364" s="121" t="str">
        <f t="shared" si="208"/>
        <v xml:space="preserve"> </v>
      </c>
      <c r="AU364" s="121" t="str">
        <f t="shared" si="208"/>
        <v xml:space="preserve"> </v>
      </c>
      <c r="AV364" s="121" t="str">
        <f t="shared" si="208"/>
        <v xml:space="preserve"> </v>
      </c>
      <c r="AW364" s="130" t="str">
        <f t="shared" si="209"/>
        <v>100</v>
      </c>
      <c r="AX364" s="130" t="str">
        <f t="shared" si="209"/>
        <v xml:space="preserve"> </v>
      </c>
      <c r="AY364" s="130" t="str">
        <f t="shared" si="209"/>
        <v xml:space="preserve"> </v>
      </c>
      <c r="AZ364" s="130" t="str">
        <f t="shared" si="209"/>
        <v xml:space="preserve"> </v>
      </c>
      <c r="BA364" s="121">
        <f t="shared" si="192"/>
        <v>0</v>
      </c>
      <c r="BB364" s="121">
        <f t="shared" si="193"/>
        <v>0</v>
      </c>
      <c r="BC364" s="121">
        <f t="shared" si="194"/>
        <v>0</v>
      </c>
      <c r="BD364" s="121">
        <f t="shared" si="195"/>
        <v>0</v>
      </c>
      <c r="BE364" s="121">
        <f t="shared" si="196"/>
        <v>0</v>
      </c>
      <c r="BF364" s="121">
        <f t="shared" si="197"/>
        <v>0</v>
      </c>
      <c r="BG364" s="121">
        <f t="shared" si="198"/>
        <v>0</v>
      </c>
      <c r="BH364" s="121">
        <f t="shared" si="199"/>
        <v>0</v>
      </c>
      <c r="BI364" s="121">
        <f t="shared" si="200"/>
        <v>0</v>
      </c>
      <c r="BJ364" s="121">
        <f t="shared" si="201"/>
        <v>0</v>
      </c>
      <c r="BK364" s="121">
        <f t="shared" si="202"/>
        <v>0</v>
      </c>
      <c r="BL364" s="121">
        <f t="shared" si="203"/>
        <v>0</v>
      </c>
      <c r="BM364" s="121">
        <f t="shared" si="204"/>
        <v>0</v>
      </c>
      <c r="BN364" s="121">
        <f t="shared" si="205"/>
        <v>0</v>
      </c>
      <c r="BO364" s="121">
        <f t="shared" si="206"/>
        <v>0</v>
      </c>
      <c r="BP364" s="121">
        <f t="shared" si="207"/>
        <v>0</v>
      </c>
      <c r="BQ364" s="199" t="e">
        <f>INDEX('GDP deflators'!$C$6:$M$36,MATCH('Bottom-up tagging'!$D364,'GDP deflators'!$B$6:$B$36,),MATCH('Bottom-up tagging'!$E364,'GDP deflators'!$C$5:$L$5,))/100</f>
        <v>#N/A</v>
      </c>
      <c r="BR364" s="24">
        <v>338300</v>
      </c>
    </row>
    <row r="365" spans="2:70" ht="26.15" hidden="1" customHeight="1">
      <c r="B365" s="110" t="s">
        <v>391</v>
      </c>
      <c r="C365" s="110" t="s">
        <v>396</v>
      </c>
      <c r="D365" s="110" t="s">
        <v>3994</v>
      </c>
      <c r="E365" s="103">
        <v>2020</v>
      </c>
      <c r="F365" s="108" t="s">
        <v>5610</v>
      </c>
      <c r="G365" s="111" t="s">
        <v>34</v>
      </c>
      <c r="H365" s="110" t="s">
        <v>10451</v>
      </c>
      <c r="I365" s="212">
        <v>0</v>
      </c>
      <c r="J365" s="105" t="s">
        <v>10474</v>
      </c>
      <c r="K365" s="112"/>
      <c r="L365" s="135">
        <v>1</v>
      </c>
      <c r="M365" s="135">
        <v>1</v>
      </c>
      <c r="N365" s="112"/>
      <c r="O365" s="112"/>
      <c r="P365" s="112" t="str">
        <f>VLOOKUP(B365, 'Companies covered restructured'!$B$7:$K$470, 9, FALSE)</f>
        <v>Precision livestock farming</v>
      </c>
      <c r="Q365" s="112" t="str">
        <f>VLOOKUP(B365, 'Companies covered restructured'!$B$7:$K$470, 6, FALSE)</f>
        <v>#Livestock(100)</v>
      </c>
      <c r="R365" s="112" t="str">
        <f t="shared" si="177"/>
        <v>N/A</v>
      </c>
      <c r="S365" s="112" t="s">
        <v>11003</v>
      </c>
      <c r="T365" s="112" t="s">
        <v>10466</v>
      </c>
      <c r="U365" s="103" t="s">
        <v>10970</v>
      </c>
      <c r="V365" s="112" t="str">
        <f>VLOOKUP(P365, 'Bottom-up Tagging Assumptions'!$B$12:$F$39, 5, FALSE)</f>
        <v>#Science &amp; tech(100)</v>
      </c>
      <c r="W365" s="112" t="str">
        <f>VLOOKUP(B365, 'Companies covered restructured'!$B$7:$K$470, 7, FALSE)</f>
        <v>#Field/Animal Herd(100)</v>
      </c>
      <c r="X365" s="112" t="s">
        <v>10558</v>
      </c>
      <c r="Y365" s="112" t="str">
        <f>VLOOKUP(P365, '[2]Bottom-up Tagging Assumptions'!$B$12:$F$56, 2, FALSE)</f>
        <v>#Other Economic(P); #Productivity(S)</v>
      </c>
      <c r="Z365" s="112" t="str">
        <f>VLOOKUP(P365, 'Bottom-up Tagging Assumptions'!$B$12:$F$56, 3, FALSE)</f>
        <v>#Increasing output per unit input(P); #Increasing crop or animal yield(S)</v>
      </c>
      <c r="AA365" s="112" t="str">
        <f>VLOOKUP(P365, 'Bottom-up Tagging Assumptions'!$B$12:$F$56, 4, FALSE)</f>
        <v>#Level 1(100)</v>
      </c>
      <c r="AB365" s="110" t="s">
        <v>393</v>
      </c>
      <c r="AC365" s="110" t="s">
        <v>394</v>
      </c>
      <c r="AD365" s="110"/>
      <c r="AE365" s="110" t="s">
        <v>10558</v>
      </c>
      <c r="AF365" s="112">
        <v>94500000</v>
      </c>
      <c r="AG365" s="110" t="s">
        <v>633</v>
      </c>
      <c r="AH365" s="121">
        <f t="shared" si="178"/>
        <v>0</v>
      </c>
      <c r="AI365" s="121">
        <f t="shared" si="179"/>
        <v>1</v>
      </c>
      <c r="AJ365" s="121">
        <f t="shared" si="180"/>
        <v>1</v>
      </c>
      <c r="AK365" s="121">
        <f t="shared" si="181"/>
        <v>0</v>
      </c>
      <c r="AL365" s="121">
        <f t="shared" si="182"/>
        <v>0</v>
      </c>
      <c r="AM365" s="121">
        <f t="shared" si="183"/>
        <v>0</v>
      </c>
      <c r="AN365" s="121">
        <f t="shared" si="184"/>
        <v>0</v>
      </c>
      <c r="AO365" s="121">
        <f t="shared" si="185"/>
        <v>0</v>
      </c>
      <c r="AP365" s="22">
        <f t="shared" si="186"/>
        <v>0</v>
      </c>
      <c r="AQ365" s="22">
        <f t="shared" si="187"/>
        <v>0</v>
      </c>
      <c r="AR365" s="22">
        <f t="shared" si="188"/>
        <v>0</v>
      </c>
      <c r="AS365" s="121" t="str">
        <f t="shared" si="189"/>
        <v>Livestock</v>
      </c>
      <c r="AT365" s="121" t="str">
        <f t="shared" si="208"/>
        <v xml:space="preserve"> </v>
      </c>
      <c r="AU365" s="121" t="str">
        <f t="shared" si="208"/>
        <v xml:space="preserve"> </v>
      </c>
      <c r="AV365" s="121" t="str">
        <f t="shared" si="208"/>
        <v xml:space="preserve"> </v>
      </c>
      <c r="AW365" s="130" t="str">
        <f t="shared" si="209"/>
        <v>100</v>
      </c>
      <c r="AX365" s="130" t="str">
        <f t="shared" si="209"/>
        <v xml:space="preserve"> </v>
      </c>
      <c r="AY365" s="130" t="str">
        <f t="shared" si="209"/>
        <v xml:space="preserve"> </v>
      </c>
      <c r="AZ365" s="130" t="str">
        <f t="shared" si="209"/>
        <v xml:space="preserve"> </v>
      </c>
      <c r="BA365" s="121">
        <f t="shared" si="192"/>
        <v>0</v>
      </c>
      <c r="BB365" s="121">
        <f t="shared" si="193"/>
        <v>0</v>
      </c>
      <c r="BC365" s="121">
        <f t="shared" si="194"/>
        <v>0</v>
      </c>
      <c r="BD365" s="121">
        <f t="shared" si="195"/>
        <v>0</v>
      </c>
      <c r="BE365" s="121">
        <f t="shared" si="196"/>
        <v>0</v>
      </c>
      <c r="BF365" s="121">
        <f t="shared" si="197"/>
        <v>0</v>
      </c>
      <c r="BG365" s="121">
        <f t="shared" si="198"/>
        <v>0</v>
      </c>
      <c r="BH365" s="121">
        <f t="shared" si="199"/>
        <v>0</v>
      </c>
      <c r="BI365" s="121">
        <f t="shared" si="200"/>
        <v>0</v>
      </c>
      <c r="BJ365" s="121">
        <f t="shared" si="201"/>
        <v>0</v>
      </c>
      <c r="BK365" s="121">
        <f t="shared" si="202"/>
        <v>0</v>
      </c>
      <c r="BL365" s="121">
        <f t="shared" si="203"/>
        <v>0</v>
      </c>
      <c r="BM365" s="121">
        <f t="shared" si="204"/>
        <v>0</v>
      </c>
      <c r="BN365" s="121">
        <f t="shared" si="205"/>
        <v>0</v>
      </c>
      <c r="BO365" s="121">
        <f t="shared" si="206"/>
        <v>0</v>
      </c>
      <c r="BP365" s="121">
        <f t="shared" si="207"/>
        <v>0</v>
      </c>
      <c r="BQ365" s="199" t="e">
        <f>INDEX('GDP deflators'!$C$6:$M$36,MATCH('Bottom-up tagging'!$D365,'GDP deflators'!$B$6:$B$36,),MATCH('Bottom-up tagging'!$E365,'GDP deflators'!$C$5:$L$5,))/100</f>
        <v>#N/A</v>
      </c>
      <c r="BR365" s="24">
        <v>331715</v>
      </c>
    </row>
    <row r="366" spans="2:70" ht="26.15" hidden="1" customHeight="1">
      <c r="B366" s="110" t="s">
        <v>1147</v>
      </c>
      <c r="C366" s="110" t="s">
        <v>1152</v>
      </c>
      <c r="D366" s="110" t="s">
        <v>6213</v>
      </c>
      <c r="E366" s="103">
        <v>2018</v>
      </c>
      <c r="F366" s="108" t="s">
        <v>7200</v>
      </c>
      <c r="G366" s="111" t="s">
        <v>184</v>
      </c>
      <c r="H366" s="110" t="s">
        <v>10451</v>
      </c>
      <c r="I366" s="112">
        <f>IF(Dashboard!$B$16="Current USD",'Bottom-up tagging'!BR366,'Bottom-up tagging'!BR366/'Bottom-up tagging'!BQ366)</f>
        <v>177588.21366738592</v>
      </c>
      <c r="J366" s="118" t="s">
        <v>10474</v>
      </c>
      <c r="K366" s="112"/>
      <c r="L366" s="135">
        <v>1</v>
      </c>
      <c r="M366" s="135">
        <v>1</v>
      </c>
      <c r="N366" s="112"/>
      <c r="O366" s="112"/>
      <c r="P366" s="112" t="str">
        <f>VLOOKUP(B366, 'Companies covered restructured'!$B$7:$K$470, 9, FALSE)</f>
        <v xml:space="preserve">Agriculture financing systems </v>
      </c>
      <c r="Q366" s="112" t="str">
        <f>VLOOKUP(B366, 'Companies covered restructured'!$B$7:$K$470, 6, FALSE)</f>
        <v>#Cross-cutting(100)</v>
      </c>
      <c r="R366" s="112" t="str">
        <f t="shared" si="177"/>
        <v>N/A</v>
      </c>
      <c r="S366" s="112" t="s">
        <v>11003</v>
      </c>
      <c r="T366" s="112" t="s">
        <v>10465</v>
      </c>
      <c r="U366" s="103" t="s">
        <v>10970</v>
      </c>
      <c r="V366" s="112" t="str">
        <f>VLOOKUP(P366, 'Bottom-up Tagging Assumptions'!$B$12:$F$39, 5, FALSE)</f>
        <v>#Process Innovation(100)</v>
      </c>
      <c r="W366" s="112" t="str">
        <f>VLOOKUP(B366, 'Companies covered restructured'!$B$7:$K$470, 7, FALSE)</f>
        <v>#Landscape(100)</v>
      </c>
      <c r="X366" s="112" t="s">
        <v>10558</v>
      </c>
      <c r="Y366" s="212" t="str">
        <f>VLOOKUP(P366, 'Bottom-up Tagging Assumptions'!$B$12:$C$56, 2, FALSE)</f>
        <v>#Other Economic(P); Social(S)</v>
      </c>
      <c r="Z366" s="112" t="str">
        <f>VLOOKUP(P366, 'Bottom-up Tagging Assumptions'!$B$12:$F$56, 3, FALSE)</f>
        <v>NA</v>
      </c>
      <c r="AA366" s="112" t="str">
        <f>VLOOKUP(P366, 'Bottom-up Tagging Assumptions'!$B$12:$F$56, 4, FALSE)</f>
        <v>#Level 1(100)</v>
      </c>
      <c r="AB366" s="110" t="s">
        <v>1808</v>
      </c>
      <c r="AC366" s="110"/>
      <c r="AD366" s="110"/>
      <c r="AE366" s="110" t="s">
        <v>10558</v>
      </c>
      <c r="AF366" s="112">
        <v>239863</v>
      </c>
      <c r="AG366" s="110" t="s">
        <v>2162</v>
      </c>
      <c r="AH366" s="121">
        <f t="shared" si="178"/>
        <v>0</v>
      </c>
      <c r="AI366" s="121">
        <f t="shared" si="179"/>
        <v>0</v>
      </c>
      <c r="AJ366" s="121">
        <f t="shared" si="180"/>
        <v>1</v>
      </c>
      <c r="AK366" s="121">
        <f t="shared" si="181"/>
        <v>1</v>
      </c>
      <c r="AL366" s="121">
        <f t="shared" si="182"/>
        <v>0</v>
      </c>
      <c r="AM366" s="121">
        <f t="shared" si="183"/>
        <v>0</v>
      </c>
      <c r="AN366" s="121">
        <f t="shared" si="184"/>
        <v>1</v>
      </c>
      <c r="AO366" s="121">
        <f t="shared" si="185"/>
        <v>0</v>
      </c>
      <c r="AP366" s="22">
        <f t="shared" si="186"/>
        <v>0</v>
      </c>
      <c r="AQ366" s="22">
        <f t="shared" si="187"/>
        <v>177588.21366738592</v>
      </c>
      <c r="AR366" s="22">
        <f t="shared" si="188"/>
        <v>0</v>
      </c>
      <c r="AS366" s="121" t="str">
        <f t="shared" si="189"/>
        <v>Cross-cutting</v>
      </c>
      <c r="AT366" s="121" t="str">
        <f t="shared" si="208"/>
        <v xml:space="preserve"> </v>
      </c>
      <c r="AU366" s="121" t="str">
        <f t="shared" si="208"/>
        <v xml:space="preserve"> </v>
      </c>
      <c r="AV366" s="121" t="str">
        <f t="shared" si="208"/>
        <v xml:space="preserve"> </v>
      </c>
      <c r="AW366" s="130" t="str">
        <f t="shared" si="209"/>
        <v>100</v>
      </c>
      <c r="AX366" s="130" t="str">
        <f t="shared" si="209"/>
        <v xml:space="preserve"> </v>
      </c>
      <c r="AY366" s="130" t="str">
        <f t="shared" si="209"/>
        <v xml:space="preserve"> </v>
      </c>
      <c r="AZ366" s="130" t="str">
        <f t="shared" si="209"/>
        <v xml:space="preserve"> </v>
      </c>
      <c r="BA366" s="121">
        <f t="shared" si="192"/>
        <v>177588.21366738592</v>
      </c>
      <c r="BB366" s="121">
        <f t="shared" si="193"/>
        <v>0</v>
      </c>
      <c r="BC366" s="121">
        <f t="shared" si="194"/>
        <v>0</v>
      </c>
      <c r="BD366" s="121">
        <f t="shared" si="195"/>
        <v>0</v>
      </c>
      <c r="BE366" s="121">
        <f t="shared" si="196"/>
        <v>0</v>
      </c>
      <c r="BF366" s="121">
        <f t="shared" si="197"/>
        <v>0</v>
      </c>
      <c r="BG366" s="121">
        <f t="shared" si="198"/>
        <v>0</v>
      </c>
      <c r="BH366" s="121">
        <f t="shared" si="199"/>
        <v>0</v>
      </c>
      <c r="BI366" s="121">
        <f t="shared" si="200"/>
        <v>177588.21366738592</v>
      </c>
      <c r="BJ366" s="121">
        <f t="shared" si="201"/>
        <v>177588.21366738592</v>
      </c>
      <c r="BK366" s="121">
        <f t="shared" si="202"/>
        <v>177588.21366738592</v>
      </c>
      <c r="BL366" s="121">
        <f t="shared" si="203"/>
        <v>177588.21366738592</v>
      </c>
      <c r="BM366" s="121">
        <f t="shared" si="204"/>
        <v>0</v>
      </c>
      <c r="BN366" s="121">
        <f t="shared" si="205"/>
        <v>0</v>
      </c>
      <c r="BO366" s="121">
        <f t="shared" si="206"/>
        <v>0</v>
      </c>
      <c r="BP366" s="121">
        <f t="shared" si="207"/>
        <v>0</v>
      </c>
      <c r="BQ366" s="199">
        <f>INDEX('GDP deflators'!$C$6:$M$36,MATCH('Bottom-up tagging'!$D366,'GDP deflators'!$B$6:$B$36,),MATCH('Bottom-up tagging'!$E366,'GDP deflators'!$C$5:$L$5,))/100</f>
        <v>1.830076407034023</v>
      </c>
      <c r="BR366" s="24">
        <v>325000</v>
      </c>
    </row>
    <row r="367" spans="2:70" ht="26.15" hidden="1" customHeight="1">
      <c r="B367" s="110" t="s">
        <v>743</v>
      </c>
      <c r="C367" s="110" t="s">
        <v>747</v>
      </c>
      <c r="D367" s="110" t="s">
        <v>3994</v>
      </c>
      <c r="E367" s="103">
        <v>2013</v>
      </c>
      <c r="F367" s="108" t="s">
        <v>8148</v>
      </c>
      <c r="G367" s="111" t="s">
        <v>34</v>
      </c>
      <c r="H367" s="110" t="s">
        <v>10451</v>
      </c>
      <c r="I367" s="112">
        <f>IF(Dashboard!$B$16="Current USD",'Bottom-up tagging'!BR367,'Bottom-up tagging'!BR367/'Bottom-up tagging'!BQ367)</f>
        <v>259988.92856462111</v>
      </c>
      <c r="J367" s="105" t="s">
        <v>10474</v>
      </c>
      <c r="K367" s="112"/>
      <c r="L367" s="135">
        <v>1</v>
      </c>
      <c r="M367" s="135">
        <v>1</v>
      </c>
      <c r="N367" s="112"/>
      <c r="O367" s="112"/>
      <c r="P367" s="112" t="str">
        <f>VLOOKUP(B367, 'Companies covered restructured'!$B$7:$K$470, 9, FALSE)</f>
        <v>Farm mechanization</v>
      </c>
      <c r="Q367" s="112" t="str">
        <f>VLOOKUP(B367, 'Companies covered restructured'!$B$7:$K$470, 6, FALSE)</f>
        <v>#Crops(100)</v>
      </c>
      <c r="R367" s="112" t="str">
        <f t="shared" si="177"/>
        <v>N/A</v>
      </c>
      <c r="S367" s="112" t="s">
        <v>11003</v>
      </c>
      <c r="T367" s="112" t="s">
        <v>10466</v>
      </c>
      <c r="U367" s="103" t="s">
        <v>10970</v>
      </c>
      <c r="V367" s="112" t="str">
        <f>VLOOKUP(P367, 'Bottom-up Tagging Assumptions'!$B$12:$F$39, 5, FALSE)</f>
        <v>#Product Development(100)</v>
      </c>
      <c r="W367" s="112" t="str">
        <f>VLOOKUP(B367, 'Companies covered restructured'!$B$7:$K$470, 7, FALSE)</f>
        <v>#Field/Animal Herd(100)</v>
      </c>
      <c r="X367" s="112" t="s">
        <v>10558</v>
      </c>
      <c r="Y367" s="212" t="str">
        <f>VLOOKUP(P367, 'Bottom-up Tagging Assumptions'!$B$12:$C$56, 2, FALSE)</f>
        <v>#Productivity(P); #Other economic(S)</v>
      </c>
      <c r="Z367" s="112" t="str">
        <f>VLOOKUP(P367, 'Bottom-up Tagging Assumptions'!$B$12:$F$56, 3, FALSE)</f>
        <v>#Reducing human effort(P)</v>
      </c>
      <c r="AA367" s="112" t="str">
        <f>VLOOKUP(P367, 'Bottom-up Tagging Assumptions'!$B$12:$F$56, 4, FALSE)</f>
        <v>#Level 1(100)</v>
      </c>
      <c r="AB367" s="110"/>
      <c r="AC367" s="110"/>
      <c r="AD367" s="110"/>
      <c r="AE367" s="110" t="s">
        <v>10558</v>
      </c>
      <c r="AF367" s="112">
        <v>920000</v>
      </c>
      <c r="AG367" s="110" t="s">
        <v>2457</v>
      </c>
      <c r="AH367" s="121">
        <f t="shared" si="178"/>
        <v>0</v>
      </c>
      <c r="AI367" s="121">
        <f t="shared" si="179"/>
        <v>1</v>
      </c>
      <c r="AJ367" s="121">
        <f t="shared" si="180"/>
        <v>1</v>
      </c>
      <c r="AK367" s="121">
        <f t="shared" si="181"/>
        <v>0</v>
      </c>
      <c r="AL367" s="121">
        <f t="shared" si="182"/>
        <v>0</v>
      </c>
      <c r="AM367" s="121">
        <f t="shared" si="183"/>
        <v>0</v>
      </c>
      <c r="AN367" s="121">
        <f t="shared" si="184"/>
        <v>0</v>
      </c>
      <c r="AO367" s="121">
        <f t="shared" si="185"/>
        <v>0</v>
      </c>
      <c r="AP367" s="22">
        <f t="shared" si="186"/>
        <v>0</v>
      </c>
      <c r="AQ367" s="22">
        <f t="shared" si="187"/>
        <v>0</v>
      </c>
      <c r="AR367" s="22">
        <f t="shared" si="188"/>
        <v>0</v>
      </c>
      <c r="AS367" s="121" t="str">
        <f t="shared" si="189"/>
        <v>Crops</v>
      </c>
      <c r="AT367" s="121" t="str">
        <f t="shared" si="208"/>
        <v xml:space="preserve"> </v>
      </c>
      <c r="AU367" s="121" t="str">
        <f t="shared" si="208"/>
        <v xml:space="preserve"> </v>
      </c>
      <c r="AV367" s="121" t="str">
        <f t="shared" si="208"/>
        <v xml:space="preserve"> </v>
      </c>
      <c r="AW367" s="130" t="str">
        <f t="shared" si="209"/>
        <v>100</v>
      </c>
      <c r="AX367" s="130" t="str">
        <f t="shared" si="209"/>
        <v xml:space="preserve"> </v>
      </c>
      <c r="AY367" s="130" t="str">
        <f t="shared" si="209"/>
        <v xml:space="preserve"> </v>
      </c>
      <c r="AZ367" s="130" t="str">
        <f t="shared" si="209"/>
        <v xml:space="preserve"> </v>
      </c>
      <c r="BA367" s="121">
        <f t="shared" si="192"/>
        <v>259988.92856462111</v>
      </c>
      <c r="BB367" s="121">
        <f t="shared" si="193"/>
        <v>0</v>
      </c>
      <c r="BC367" s="121">
        <f t="shared" si="194"/>
        <v>0</v>
      </c>
      <c r="BD367" s="121">
        <f t="shared" si="195"/>
        <v>0</v>
      </c>
      <c r="BE367" s="121">
        <f t="shared" si="196"/>
        <v>0</v>
      </c>
      <c r="BF367" s="121">
        <f t="shared" si="197"/>
        <v>0</v>
      </c>
      <c r="BG367" s="121">
        <f t="shared" si="198"/>
        <v>0</v>
      </c>
      <c r="BH367" s="121">
        <f t="shared" si="199"/>
        <v>0</v>
      </c>
      <c r="BI367" s="121">
        <f t="shared" si="200"/>
        <v>0</v>
      </c>
      <c r="BJ367" s="121">
        <f t="shared" si="201"/>
        <v>0</v>
      </c>
      <c r="BK367" s="121">
        <f t="shared" si="202"/>
        <v>0</v>
      </c>
      <c r="BL367" s="121">
        <f t="shared" si="203"/>
        <v>0</v>
      </c>
      <c r="BM367" s="121">
        <f t="shared" si="204"/>
        <v>0</v>
      </c>
      <c r="BN367" s="121">
        <f t="shared" si="205"/>
        <v>0</v>
      </c>
      <c r="BO367" s="121">
        <f t="shared" si="206"/>
        <v>0</v>
      </c>
      <c r="BP367" s="121">
        <f t="shared" si="207"/>
        <v>0</v>
      </c>
      <c r="BQ367" s="199">
        <f>INDEX('GDP deflators'!$C$6:$M$36,MATCH('Bottom-up tagging'!$D367,'GDP deflators'!$B$6:$B$36,),MATCH('Bottom-up tagging'!$E367,'GDP deflators'!$C$5:$L$5,))/100</f>
        <v>1.2462146053248888</v>
      </c>
      <c r="BR367" s="24">
        <v>324002</v>
      </c>
    </row>
    <row r="368" spans="2:70" ht="26.15" hidden="1" customHeight="1">
      <c r="B368" s="110" t="s">
        <v>217</v>
      </c>
      <c r="C368" s="110" t="s">
        <v>221</v>
      </c>
      <c r="D368" s="110" t="s">
        <v>3994</v>
      </c>
      <c r="E368" s="103">
        <v>2016</v>
      </c>
      <c r="F368" s="108" t="s">
        <v>8133</v>
      </c>
      <c r="G368" s="111" t="s">
        <v>34</v>
      </c>
      <c r="H368" s="110" t="s">
        <v>10451</v>
      </c>
      <c r="I368" s="112">
        <f>IF(Dashboard!$B$16="Current USD",'Bottom-up tagging'!BR368,'Bottom-up tagging'!BR368/'Bottom-up tagging'!BQ368)</f>
        <v>237877.51921837823</v>
      </c>
      <c r="J368" s="105" t="s">
        <v>10474</v>
      </c>
      <c r="K368" s="112"/>
      <c r="L368" s="135">
        <v>1</v>
      </c>
      <c r="M368" s="135">
        <v>1</v>
      </c>
      <c r="N368" s="112"/>
      <c r="O368" s="112"/>
      <c r="P368" s="112" t="str">
        <f>VLOOKUP(B368, 'Companies covered restructured'!$B$7:$K$470, 9, FALSE)</f>
        <v>Agri input e-commerce platforms</v>
      </c>
      <c r="Q368" s="112" t="str">
        <f>VLOOKUP(B368, 'Companies covered restructured'!$B$7:$K$470, 6, FALSE)</f>
        <v>#Crops(100)</v>
      </c>
      <c r="R368" s="112" t="str">
        <f t="shared" si="177"/>
        <v>#Investment Fund(100)</v>
      </c>
      <c r="S368" s="112" t="s">
        <v>11003</v>
      </c>
      <c r="T368" s="112" t="s">
        <v>10466</v>
      </c>
      <c r="U368" s="103" t="s">
        <v>10970</v>
      </c>
      <c r="V368" s="112" t="str">
        <f>VLOOKUP(P368, 'Bottom-up Tagging Assumptions'!$B$12:$F$39, 5, FALSE)</f>
        <v>#Process Innovation(100)</v>
      </c>
      <c r="W368" s="112" t="str">
        <f>VLOOKUP(B368, 'Companies covered restructured'!$B$7:$K$470, 7, FALSE)</f>
        <v>#Landscape(100)</v>
      </c>
      <c r="X368" s="112" t="str">
        <f>VLOOKUP(B368, 'Companies covered restructured'!$B$7:$K$470, 8, FALSE)</f>
        <v>N/A</v>
      </c>
      <c r="Y368" s="212" t="str">
        <f>VLOOKUP(P368, 'Bottom-up Tagging Assumptions'!$B$12:$C$56, 2, FALSE)</f>
        <v>#Other Economic(P); Productivity(S)</v>
      </c>
      <c r="Z368" s="112" t="str">
        <f>VLOOKUP(P368, 'Bottom-up Tagging Assumptions'!$B$12:$F$56, 3, FALSE)</f>
        <v>#Reduce cost of inputs(P)</v>
      </c>
      <c r="AA368" s="112" t="str">
        <f>VLOOKUP(P368, 'Bottom-up Tagging Assumptions'!$B$12:$F$56, 4, FALSE)</f>
        <v>#Level 1(100)</v>
      </c>
      <c r="AB368" s="110" t="s">
        <v>1466</v>
      </c>
      <c r="AC368" s="110"/>
      <c r="AD368" s="110" t="s">
        <v>1467</v>
      </c>
      <c r="AE368" s="110" t="str">
        <f>VLOOKUP(AD368,  '1.2'!$B$7:$C$2033, 2, FALSE)</f>
        <v>FUND</v>
      </c>
      <c r="AF368" s="112">
        <v>314748</v>
      </c>
      <c r="AG368" s="110" t="s">
        <v>2466</v>
      </c>
      <c r="AH368" s="121">
        <f t="shared" si="178"/>
        <v>0</v>
      </c>
      <c r="AI368" s="121">
        <f t="shared" si="179"/>
        <v>1</v>
      </c>
      <c r="AJ368" s="121">
        <f t="shared" si="180"/>
        <v>1</v>
      </c>
      <c r="AK368" s="121">
        <f t="shared" si="181"/>
        <v>0</v>
      </c>
      <c r="AL368" s="121">
        <f t="shared" si="182"/>
        <v>0</v>
      </c>
      <c r="AM368" s="121">
        <f t="shared" si="183"/>
        <v>0</v>
      </c>
      <c r="AN368" s="121">
        <f t="shared" si="184"/>
        <v>0</v>
      </c>
      <c r="AO368" s="121">
        <f t="shared" si="185"/>
        <v>0</v>
      </c>
      <c r="AP368" s="22">
        <f t="shared" si="186"/>
        <v>0</v>
      </c>
      <c r="AQ368" s="22">
        <f t="shared" si="187"/>
        <v>0</v>
      </c>
      <c r="AR368" s="22">
        <f t="shared" si="188"/>
        <v>0</v>
      </c>
      <c r="AS368" s="121" t="str">
        <f t="shared" si="189"/>
        <v>Crops</v>
      </c>
      <c r="AT368" s="121" t="str">
        <f t="shared" si="208"/>
        <v xml:space="preserve"> </v>
      </c>
      <c r="AU368" s="121" t="str">
        <f t="shared" si="208"/>
        <v xml:space="preserve"> </v>
      </c>
      <c r="AV368" s="121" t="str">
        <f t="shared" si="208"/>
        <v xml:space="preserve"> </v>
      </c>
      <c r="AW368" s="130" t="str">
        <f t="shared" si="209"/>
        <v>100</v>
      </c>
      <c r="AX368" s="130" t="str">
        <f t="shared" si="209"/>
        <v xml:space="preserve"> </v>
      </c>
      <c r="AY368" s="130" t="str">
        <f t="shared" si="209"/>
        <v xml:space="preserve"> </v>
      </c>
      <c r="AZ368" s="130" t="str">
        <f t="shared" si="209"/>
        <v xml:space="preserve"> </v>
      </c>
      <c r="BA368" s="121">
        <f t="shared" si="192"/>
        <v>237877.51921837821</v>
      </c>
      <c r="BB368" s="121">
        <f t="shared" si="193"/>
        <v>0</v>
      </c>
      <c r="BC368" s="121">
        <f t="shared" si="194"/>
        <v>0</v>
      </c>
      <c r="BD368" s="121">
        <f t="shared" si="195"/>
        <v>0</v>
      </c>
      <c r="BE368" s="121">
        <f t="shared" si="196"/>
        <v>0</v>
      </c>
      <c r="BF368" s="121">
        <f t="shared" si="197"/>
        <v>0</v>
      </c>
      <c r="BG368" s="121">
        <f t="shared" si="198"/>
        <v>0</v>
      </c>
      <c r="BH368" s="121">
        <f t="shared" si="199"/>
        <v>0</v>
      </c>
      <c r="BI368" s="121">
        <f t="shared" si="200"/>
        <v>0</v>
      </c>
      <c r="BJ368" s="121">
        <f t="shared" si="201"/>
        <v>0</v>
      </c>
      <c r="BK368" s="121">
        <f t="shared" si="202"/>
        <v>0</v>
      </c>
      <c r="BL368" s="121">
        <f t="shared" si="203"/>
        <v>0</v>
      </c>
      <c r="BM368" s="121">
        <f t="shared" si="204"/>
        <v>0</v>
      </c>
      <c r="BN368" s="121">
        <f t="shared" si="205"/>
        <v>0</v>
      </c>
      <c r="BO368" s="121">
        <f t="shared" si="206"/>
        <v>0</v>
      </c>
      <c r="BP368" s="121">
        <f t="shared" si="207"/>
        <v>0</v>
      </c>
      <c r="BQ368" s="199">
        <f>INDEX('GDP deflators'!$C$6:$M$36,MATCH('Bottom-up tagging'!$D368,'GDP deflators'!$B$6:$B$36,),MATCH('Bottom-up tagging'!$E368,'GDP deflators'!$C$5:$L$5,))/100</f>
        <v>1.3597375702538033</v>
      </c>
      <c r="BR368" s="24">
        <v>323451</v>
      </c>
    </row>
    <row r="369" spans="2:70" ht="26.15" hidden="1" customHeight="1">
      <c r="B369" s="110" t="s">
        <v>1685</v>
      </c>
      <c r="C369" s="110" t="s">
        <v>1690</v>
      </c>
      <c r="D369" s="110" t="s">
        <v>3994</v>
      </c>
      <c r="E369" s="103">
        <v>2016</v>
      </c>
      <c r="F369" s="108" t="s">
        <v>8549</v>
      </c>
      <c r="G369" s="111" t="s">
        <v>34</v>
      </c>
      <c r="H369" s="110" t="s">
        <v>10451</v>
      </c>
      <c r="I369" s="112">
        <f>IF(Dashboard!$B$16="Current USD",'Bottom-up tagging'!BR369,'Bottom-up tagging'!BR369/'Bottom-up tagging'!BQ369)</f>
        <v>237831.92218454144</v>
      </c>
      <c r="J369" s="118" t="s">
        <v>10474</v>
      </c>
      <c r="K369" s="112"/>
      <c r="L369" s="135">
        <v>1</v>
      </c>
      <c r="M369" s="135">
        <v>1</v>
      </c>
      <c r="N369" s="112"/>
      <c r="O369" s="112"/>
      <c r="P369" s="112" t="str">
        <f>VLOOKUP(B369, 'Companies covered restructured'!$B$7:$K$470, 9, FALSE)</f>
        <v>Agri marketplaces</v>
      </c>
      <c r="Q369" s="112" t="str">
        <f>VLOOKUP(B369, 'Companies covered restructured'!$B$7:$K$470, 6, FALSE)</f>
        <v>#Crops(100)</v>
      </c>
      <c r="R369" s="112" t="str">
        <f t="shared" si="177"/>
        <v>#Angel Investor(100)</v>
      </c>
      <c r="S369" s="112" t="s">
        <v>11003</v>
      </c>
      <c r="T369" s="112" t="s">
        <v>10466</v>
      </c>
      <c r="U369" s="103" t="s">
        <v>10970</v>
      </c>
      <c r="V369" s="112" t="str">
        <f>VLOOKUP(P369, 'Bottom-up Tagging Assumptions'!$B$12:$F$39, 5, FALSE)</f>
        <v>#Process Innovation(100)</v>
      </c>
      <c r="W369" s="112" t="str">
        <f>VLOOKUP(B369, 'Companies covered restructured'!$B$7:$K$470, 7, FALSE)</f>
        <v>#Landscape(100)</v>
      </c>
      <c r="X369" s="112" t="str">
        <f>VLOOKUP(B369, 'Companies covered restructured'!$B$7:$K$470, 8, FALSE)</f>
        <v>N/A</v>
      </c>
      <c r="Y369" s="212" t="str">
        <f>VLOOKUP(P369, 'Bottom-up Tagging Assumptions'!$B$12:$C$56, 2, FALSE)</f>
        <v>#Other Economic(P); Social(S)</v>
      </c>
      <c r="Z369" s="112" t="str">
        <f>VLOOKUP(P369, 'Bottom-up Tagging Assumptions'!$B$12:$F$56, 3, FALSE)</f>
        <v>#Improve price realization(P)</v>
      </c>
      <c r="AA369" s="112" t="str">
        <f>VLOOKUP(P369, 'Bottom-up Tagging Assumptions'!$B$12:$F$56, 4, FALSE)</f>
        <v>#Level 4(100)</v>
      </c>
      <c r="AB369" s="110" t="s">
        <v>2523</v>
      </c>
      <c r="AC369" s="110" t="s">
        <v>2524</v>
      </c>
      <c r="AD369" s="110" t="s">
        <v>2525</v>
      </c>
      <c r="AE369" s="110" t="s">
        <v>3127</v>
      </c>
      <c r="AF369" s="112"/>
      <c r="AG369" s="110" t="s">
        <v>2470</v>
      </c>
      <c r="AH369" s="121">
        <f t="shared" si="178"/>
        <v>0</v>
      </c>
      <c r="AI369" s="121">
        <f t="shared" si="179"/>
        <v>0</v>
      </c>
      <c r="AJ369" s="121">
        <f t="shared" si="180"/>
        <v>1</v>
      </c>
      <c r="AK369" s="121">
        <f t="shared" si="181"/>
        <v>1</v>
      </c>
      <c r="AL369" s="121">
        <f t="shared" si="182"/>
        <v>0</v>
      </c>
      <c r="AM369" s="121">
        <f t="shared" si="183"/>
        <v>0</v>
      </c>
      <c r="AN369" s="121">
        <f t="shared" si="184"/>
        <v>1</v>
      </c>
      <c r="AO369" s="121">
        <f t="shared" si="185"/>
        <v>0</v>
      </c>
      <c r="AP369" s="22">
        <f t="shared" si="186"/>
        <v>0</v>
      </c>
      <c r="AQ369" s="22">
        <f t="shared" si="187"/>
        <v>237831.92218454144</v>
      </c>
      <c r="AR369" s="22">
        <f t="shared" si="188"/>
        <v>0</v>
      </c>
      <c r="AS369" s="121" t="str">
        <f t="shared" si="189"/>
        <v>Crops</v>
      </c>
      <c r="AT369" s="121" t="str">
        <f t="shared" si="208"/>
        <v xml:space="preserve"> </v>
      </c>
      <c r="AU369" s="121" t="str">
        <f t="shared" si="208"/>
        <v xml:space="preserve"> </v>
      </c>
      <c r="AV369" s="121" t="str">
        <f t="shared" si="208"/>
        <v xml:space="preserve"> </v>
      </c>
      <c r="AW369" s="130" t="str">
        <f t="shared" si="209"/>
        <v>100</v>
      </c>
      <c r="AX369" s="130" t="str">
        <f t="shared" si="209"/>
        <v xml:space="preserve"> </v>
      </c>
      <c r="AY369" s="130" t="str">
        <f t="shared" si="209"/>
        <v xml:space="preserve"> </v>
      </c>
      <c r="AZ369" s="130" t="str">
        <f t="shared" si="209"/>
        <v xml:space="preserve"> </v>
      </c>
      <c r="BA369" s="121">
        <f t="shared" si="192"/>
        <v>237831.92218454144</v>
      </c>
      <c r="BB369" s="121">
        <f t="shared" si="193"/>
        <v>0</v>
      </c>
      <c r="BC369" s="121">
        <f t="shared" si="194"/>
        <v>0</v>
      </c>
      <c r="BD369" s="121">
        <f t="shared" si="195"/>
        <v>0</v>
      </c>
      <c r="BE369" s="121">
        <f t="shared" si="196"/>
        <v>0</v>
      </c>
      <c r="BF369" s="121">
        <f t="shared" si="197"/>
        <v>0</v>
      </c>
      <c r="BG369" s="121">
        <f t="shared" si="198"/>
        <v>0</v>
      </c>
      <c r="BH369" s="121">
        <f t="shared" si="199"/>
        <v>0</v>
      </c>
      <c r="BI369" s="121">
        <f t="shared" si="200"/>
        <v>237831.92218454144</v>
      </c>
      <c r="BJ369" s="121">
        <f t="shared" si="201"/>
        <v>237831.92218454144</v>
      </c>
      <c r="BK369" s="121">
        <f t="shared" si="202"/>
        <v>237831.92218454144</v>
      </c>
      <c r="BL369" s="121">
        <f t="shared" si="203"/>
        <v>237831.92218454144</v>
      </c>
      <c r="BM369" s="121">
        <f t="shared" si="204"/>
        <v>0</v>
      </c>
      <c r="BN369" s="121">
        <f t="shared" si="205"/>
        <v>0</v>
      </c>
      <c r="BO369" s="121">
        <f t="shared" si="206"/>
        <v>0</v>
      </c>
      <c r="BP369" s="121">
        <f t="shared" si="207"/>
        <v>0</v>
      </c>
      <c r="BQ369" s="199">
        <f>INDEX('GDP deflators'!$C$6:$M$36,MATCH('Bottom-up tagging'!$D369,'GDP deflators'!$B$6:$B$36,),MATCH('Bottom-up tagging'!$E369,'GDP deflators'!$C$5:$L$5,))/100</f>
        <v>1.3597375702538033</v>
      </c>
      <c r="BR369" s="24">
        <v>323389</v>
      </c>
    </row>
    <row r="370" spans="2:70" ht="26.15" hidden="1" customHeight="1">
      <c r="B370" s="110" t="s">
        <v>1953</v>
      </c>
      <c r="C370" s="110" t="s">
        <v>1956</v>
      </c>
      <c r="D370" s="110" t="s">
        <v>5208</v>
      </c>
      <c r="E370" s="103">
        <v>2017</v>
      </c>
      <c r="F370" s="108" t="s">
        <v>8625</v>
      </c>
      <c r="G370" s="111" t="s">
        <v>34</v>
      </c>
      <c r="H370" s="110" t="s">
        <v>10451</v>
      </c>
      <c r="I370" s="112">
        <f>IF(Dashboard!$B$16="Current USD",'Bottom-up tagging'!BR370,'Bottom-up tagging'!BR370/'Bottom-up tagging'!BQ370)</f>
        <v>194162.92478989117</v>
      </c>
      <c r="J370" s="117" t="s">
        <v>10474</v>
      </c>
      <c r="K370" s="112"/>
      <c r="L370" s="135">
        <v>1</v>
      </c>
      <c r="M370" s="135">
        <v>1</v>
      </c>
      <c r="N370" s="112"/>
      <c r="O370" s="112"/>
      <c r="P370" s="112" t="str">
        <f>VLOOKUP(B370, 'Companies covered restructured'!$B$7:$K$470, 9, FALSE)</f>
        <v>AI/analytics based advisory algorithms (incl. weather)</v>
      </c>
      <c r="Q370" s="112" t="str">
        <f>VLOOKUP(B370, 'Companies covered restructured'!$B$7:$K$470, 6, FALSE)</f>
        <v>#Crops(100)</v>
      </c>
      <c r="R370" s="112" t="str">
        <f t="shared" si="177"/>
        <v>N/A</v>
      </c>
      <c r="S370" s="112" t="s">
        <v>11003</v>
      </c>
      <c r="T370" s="112" t="s">
        <v>10466</v>
      </c>
      <c r="U370" s="103" t="s">
        <v>10970</v>
      </c>
      <c r="V370" s="112" t="str">
        <f>VLOOKUP(P370, 'Bottom-up Tagging Assumptions'!$B$12:$F$39, 5, FALSE)</f>
        <v>#Science &amp; tech(100)</v>
      </c>
      <c r="W370" s="112" t="str">
        <f>VLOOKUP(B370, 'Companies covered restructured'!$B$7:$K$470, 7, FALSE)</f>
        <v>N/A</v>
      </c>
      <c r="X370" s="112" t="str">
        <f>VLOOKUP(B370, 'Companies covered restructured'!$B$7:$K$470, 8, FALSE)</f>
        <v>N/A</v>
      </c>
      <c r="Y370" s="212" t="str">
        <f>VLOOKUP(P370, 'Bottom-up Tagging Assumptions'!$B$12:$C$56, 2, FALSE)</f>
        <v>#Other Economic(P); #Productivity(S)</v>
      </c>
      <c r="Z370" s="112" t="str">
        <f>VLOOKUP(P370, 'Bottom-up Tagging Assumptions'!$B$12:$F$56, 3, FALSE)</f>
        <v>#Increasing output per unit input(P); #Increasing crop or animal yield(S)</v>
      </c>
      <c r="AA370" s="112" t="str">
        <f>VLOOKUP(P370, 'Bottom-up Tagging Assumptions'!$B$12:$F$56, 4, FALSE)</f>
        <v>#Level 1(100)</v>
      </c>
      <c r="AB370" s="110"/>
      <c r="AC370" s="110"/>
      <c r="AD370" s="110"/>
      <c r="AE370" s="110" t="s">
        <v>10558</v>
      </c>
      <c r="AF370" s="112">
        <v>1489730</v>
      </c>
      <c r="AG370" s="110" t="s">
        <v>335</v>
      </c>
      <c r="AH370" s="121">
        <f t="shared" si="178"/>
        <v>0</v>
      </c>
      <c r="AI370" s="121">
        <f t="shared" si="179"/>
        <v>1</v>
      </c>
      <c r="AJ370" s="121">
        <f t="shared" si="180"/>
        <v>1</v>
      </c>
      <c r="AK370" s="121">
        <f t="shared" si="181"/>
        <v>0</v>
      </c>
      <c r="AL370" s="121">
        <f t="shared" si="182"/>
        <v>0</v>
      </c>
      <c r="AM370" s="121">
        <f t="shared" si="183"/>
        <v>0</v>
      </c>
      <c r="AN370" s="121">
        <f t="shared" si="184"/>
        <v>0</v>
      </c>
      <c r="AO370" s="121">
        <f t="shared" si="185"/>
        <v>0</v>
      </c>
      <c r="AP370" s="22">
        <f t="shared" si="186"/>
        <v>0</v>
      </c>
      <c r="AQ370" s="22">
        <f t="shared" si="187"/>
        <v>0</v>
      </c>
      <c r="AR370" s="22">
        <f t="shared" si="188"/>
        <v>0</v>
      </c>
      <c r="AS370" s="121" t="str">
        <f t="shared" si="189"/>
        <v>Crops</v>
      </c>
      <c r="AT370" s="121" t="str">
        <f t="shared" si="208"/>
        <v xml:space="preserve"> </v>
      </c>
      <c r="AU370" s="121" t="str">
        <f t="shared" si="208"/>
        <v xml:space="preserve"> </v>
      </c>
      <c r="AV370" s="121" t="str">
        <f t="shared" si="208"/>
        <v xml:space="preserve"> </v>
      </c>
      <c r="AW370" s="130" t="str">
        <f t="shared" si="209"/>
        <v>100</v>
      </c>
      <c r="AX370" s="130" t="str">
        <f t="shared" si="209"/>
        <v xml:space="preserve"> </v>
      </c>
      <c r="AY370" s="130" t="str">
        <f t="shared" si="209"/>
        <v xml:space="preserve"> </v>
      </c>
      <c r="AZ370" s="130" t="str">
        <f t="shared" si="209"/>
        <v xml:space="preserve"> </v>
      </c>
      <c r="BA370" s="121">
        <f t="shared" si="192"/>
        <v>194162.92478989117</v>
      </c>
      <c r="BB370" s="121">
        <f t="shared" si="193"/>
        <v>0</v>
      </c>
      <c r="BC370" s="121">
        <f t="shared" si="194"/>
        <v>0</v>
      </c>
      <c r="BD370" s="121">
        <f t="shared" si="195"/>
        <v>0</v>
      </c>
      <c r="BE370" s="121">
        <f t="shared" si="196"/>
        <v>0</v>
      </c>
      <c r="BF370" s="121">
        <f t="shared" si="197"/>
        <v>0</v>
      </c>
      <c r="BG370" s="121">
        <f t="shared" si="198"/>
        <v>0</v>
      </c>
      <c r="BH370" s="121">
        <f t="shared" si="199"/>
        <v>0</v>
      </c>
      <c r="BI370" s="121">
        <f t="shared" si="200"/>
        <v>0</v>
      </c>
      <c r="BJ370" s="121">
        <f t="shared" si="201"/>
        <v>0</v>
      </c>
      <c r="BK370" s="121">
        <f t="shared" si="202"/>
        <v>0</v>
      </c>
      <c r="BL370" s="121">
        <f t="shared" si="203"/>
        <v>0</v>
      </c>
      <c r="BM370" s="121">
        <f t="shared" si="204"/>
        <v>0</v>
      </c>
      <c r="BN370" s="121">
        <f t="shared" si="205"/>
        <v>0</v>
      </c>
      <c r="BO370" s="121">
        <f t="shared" si="206"/>
        <v>0</v>
      </c>
      <c r="BP370" s="121">
        <f t="shared" si="207"/>
        <v>0</v>
      </c>
      <c r="BQ370" s="199">
        <f>INDEX('GDP deflators'!$C$6:$M$36,MATCH('Bottom-up tagging'!$D370,'GDP deflators'!$B$6:$B$36,),MATCH('Bottom-up tagging'!$E370,'GDP deflators'!$C$5:$L$5,))/100</f>
        <v>1.6336692514456523</v>
      </c>
      <c r="BR370" s="24">
        <v>317198</v>
      </c>
    </row>
    <row r="371" spans="2:70" ht="26.15" hidden="1" customHeight="1">
      <c r="B371" s="110" t="s">
        <v>2461</v>
      </c>
      <c r="C371" s="110" t="s">
        <v>2465</v>
      </c>
      <c r="D371" s="110" t="s">
        <v>3994</v>
      </c>
      <c r="E371" s="103">
        <v>2016</v>
      </c>
      <c r="F371" s="108" t="s">
        <v>10020</v>
      </c>
      <c r="G371" s="111" t="s">
        <v>34</v>
      </c>
      <c r="H371" s="110" t="s">
        <v>10451</v>
      </c>
      <c r="I371" s="112">
        <f>IF(Dashboard!$B$16="Current USD",'Bottom-up tagging'!BR371,'Bottom-up tagging'!BR371/'Bottom-up tagging'!BQ371)</f>
        <v>231477.01945254803</v>
      </c>
      <c r="J371" s="117" t="s">
        <v>10474</v>
      </c>
      <c r="K371" s="112"/>
      <c r="L371" s="135">
        <v>1</v>
      </c>
      <c r="M371" s="135">
        <v>1</v>
      </c>
      <c r="N371" s="112"/>
      <c r="O371" s="112"/>
      <c r="P371" s="112" t="str">
        <f>VLOOKUP(B371, 'Companies covered restructured'!$B$7:$K$470, 9, FALSE)</f>
        <v>Farmer engagement platforms (including marketplaces and information platforms)</v>
      </c>
      <c r="Q371" s="112" t="str">
        <f>VLOOKUP(B371, 'Companies covered restructured'!$B$7:$K$470, 6, FALSE)</f>
        <v>#Crops(100)</v>
      </c>
      <c r="R371" s="112" t="str">
        <f t="shared" si="177"/>
        <v>#Corporate(100)</v>
      </c>
      <c r="S371" s="112" t="s">
        <v>11003</v>
      </c>
      <c r="T371" s="112" t="s">
        <v>10466</v>
      </c>
      <c r="U371" s="103" t="s">
        <v>10970</v>
      </c>
      <c r="V371" s="112" t="str">
        <f>VLOOKUP(P371, 'Bottom-up Tagging Assumptions'!$B$12:$F$39, 5, FALSE)</f>
        <v>#Process Innovation(100)</v>
      </c>
      <c r="W371" s="112" t="str">
        <f>VLOOKUP(B371, 'Companies covered restructured'!$B$7:$K$470, 7, FALSE)</f>
        <v>N/A</v>
      </c>
      <c r="X371" s="112" t="str">
        <f>VLOOKUP(B371, 'Companies covered restructured'!$B$7:$K$470, 8, FALSE)</f>
        <v>#Small(100)</v>
      </c>
      <c r="Y371" s="212" t="str">
        <f>VLOOKUP(P371, 'Bottom-up Tagging Assumptions'!$B$12:$C$56, 2, FALSE)</f>
        <v>#Other Economic(P); #Productivity(S)</v>
      </c>
      <c r="Z371" s="112" t="str">
        <f>VLOOKUP(P371, 'Bottom-up Tagging Assumptions'!$B$12:$F$56, 3, FALSE)</f>
        <v>#Improve price realization(P); #Increasing crop or animal yield(S)</v>
      </c>
      <c r="AA371" s="112" t="str">
        <f>VLOOKUP(P371, 'Bottom-up Tagging Assumptions'!$B$12:$F$56, 4, FALSE)</f>
        <v>#Level 4(100)</v>
      </c>
      <c r="AB371" s="110" t="s">
        <v>2463</v>
      </c>
      <c r="AC371" s="110"/>
      <c r="AD371" s="110" t="s">
        <v>2464</v>
      </c>
      <c r="AE371" s="110" t="str">
        <f>VLOOKUP(AD371,  '1.2'!$B$7:$C$2033, 2, FALSE)</f>
        <v>CORPORATE_INVESTOR</v>
      </c>
      <c r="AF371" s="112"/>
      <c r="AG371" s="110" t="s">
        <v>2149</v>
      </c>
      <c r="AH371" s="121">
        <f t="shared" si="178"/>
        <v>0</v>
      </c>
      <c r="AI371" s="121">
        <f t="shared" si="179"/>
        <v>1</v>
      </c>
      <c r="AJ371" s="121">
        <f t="shared" si="180"/>
        <v>1</v>
      </c>
      <c r="AK371" s="121">
        <f t="shared" si="181"/>
        <v>0</v>
      </c>
      <c r="AL371" s="121">
        <f t="shared" si="182"/>
        <v>0</v>
      </c>
      <c r="AM371" s="121">
        <f t="shared" si="183"/>
        <v>0</v>
      </c>
      <c r="AN371" s="121">
        <f t="shared" si="184"/>
        <v>0</v>
      </c>
      <c r="AO371" s="121">
        <f t="shared" si="185"/>
        <v>0</v>
      </c>
      <c r="AP371" s="22">
        <f t="shared" si="186"/>
        <v>0</v>
      </c>
      <c r="AQ371" s="22">
        <f t="shared" si="187"/>
        <v>0</v>
      </c>
      <c r="AR371" s="22">
        <f t="shared" si="188"/>
        <v>0</v>
      </c>
      <c r="AS371" s="121" t="str">
        <f t="shared" si="189"/>
        <v>Crops</v>
      </c>
      <c r="AT371" s="121" t="str">
        <f t="shared" si="208"/>
        <v xml:space="preserve"> </v>
      </c>
      <c r="AU371" s="121" t="str">
        <f t="shared" si="208"/>
        <v xml:space="preserve"> </v>
      </c>
      <c r="AV371" s="121" t="str">
        <f t="shared" si="208"/>
        <v xml:space="preserve"> </v>
      </c>
      <c r="AW371" s="130" t="str">
        <f t="shared" si="209"/>
        <v>100</v>
      </c>
      <c r="AX371" s="130" t="str">
        <f t="shared" si="209"/>
        <v xml:space="preserve"> </v>
      </c>
      <c r="AY371" s="130" t="str">
        <f t="shared" si="209"/>
        <v xml:space="preserve"> </v>
      </c>
      <c r="AZ371" s="130" t="str">
        <f t="shared" si="209"/>
        <v xml:space="preserve"> </v>
      </c>
      <c r="BA371" s="121">
        <f t="shared" si="192"/>
        <v>231477.01945254803</v>
      </c>
      <c r="BB371" s="121">
        <f t="shared" si="193"/>
        <v>0</v>
      </c>
      <c r="BC371" s="121">
        <f t="shared" si="194"/>
        <v>0</v>
      </c>
      <c r="BD371" s="121">
        <f t="shared" si="195"/>
        <v>0</v>
      </c>
      <c r="BE371" s="121">
        <f t="shared" si="196"/>
        <v>0</v>
      </c>
      <c r="BF371" s="121">
        <f t="shared" si="197"/>
        <v>0</v>
      </c>
      <c r="BG371" s="121">
        <f t="shared" si="198"/>
        <v>0</v>
      </c>
      <c r="BH371" s="121">
        <f t="shared" si="199"/>
        <v>0</v>
      </c>
      <c r="BI371" s="121">
        <f t="shared" si="200"/>
        <v>0</v>
      </c>
      <c r="BJ371" s="121">
        <f t="shared" si="201"/>
        <v>0</v>
      </c>
      <c r="BK371" s="121">
        <f t="shared" si="202"/>
        <v>0</v>
      </c>
      <c r="BL371" s="121">
        <f t="shared" si="203"/>
        <v>0</v>
      </c>
      <c r="BM371" s="121">
        <f t="shared" si="204"/>
        <v>0</v>
      </c>
      <c r="BN371" s="121">
        <f t="shared" si="205"/>
        <v>0</v>
      </c>
      <c r="BO371" s="121">
        <f t="shared" si="206"/>
        <v>0</v>
      </c>
      <c r="BP371" s="121">
        <f t="shared" si="207"/>
        <v>0</v>
      </c>
      <c r="BQ371" s="199">
        <f>INDEX('GDP deflators'!$C$6:$M$36,MATCH('Bottom-up tagging'!$D371,'GDP deflators'!$B$6:$B$36,),MATCH('Bottom-up tagging'!$E371,'GDP deflators'!$C$5:$L$5,))/100</f>
        <v>1.3597375702538033</v>
      </c>
      <c r="BR371" s="24">
        <v>314748</v>
      </c>
    </row>
    <row r="372" spans="2:70" ht="26.15" hidden="1" customHeight="1">
      <c r="B372" s="110" t="s">
        <v>573</v>
      </c>
      <c r="C372" s="110" t="s">
        <v>578</v>
      </c>
      <c r="D372" s="110" t="s">
        <v>3994</v>
      </c>
      <c r="E372" s="103">
        <v>2020</v>
      </c>
      <c r="F372" s="108" t="s">
        <v>5925</v>
      </c>
      <c r="G372" s="111" t="s">
        <v>124</v>
      </c>
      <c r="H372" s="110" t="s">
        <v>10451</v>
      </c>
      <c r="I372" s="212">
        <v>0</v>
      </c>
      <c r="J372" s="105" t="s">
        <v>10474</v>
      </c>
      <c r="K372" s="112"/>
      <c r="L372" s="135">
        <v>1</v>
      </c>
      <c r="M372" s="135">
        <v>1</v>
      </c>
      <c r="N372" s="112"/>
      <c r="O372" s="112"/>
      <c r="P372" s="112" t="str">
        <f>VLOOKUP(B372, 'Companies covered restructured'!$B$7:$K$470, 9, FALSE)</f>
        <v>Farmer engagement platforms (including marketplaces and information platforms)</v>
      </c>
      <c r="Q372" s="112" t="str">
        <f>VLOOKUP(B372, 'Companies covered restructured'!$B$7:$K$470, 6, FALSE)</f>
        <v>#Crops(100)</v>
      </c>
      <c r="R372" s="112" t="str">
        <f t="shared" si="177"/>
        <v>#Angel Investor(100)</v>
      </c>
      <c r="S372" s="112" t="s">
        <v>11003</v>
      </c>
      <c r="T372" s="112" t="s">
        <v>10466</v>
      </c>
      <c r="U372" s="213" t="s">
        <v>10970</v>
      </c>
      <c r="V372" s="112" t="str">
        <f>VLOOKUP(P372, 'Bottom-up Tagging Assumptions'!$B$12:$F$39, 5, FALSE)</f>
        <v>#Process Innovation(100)</v>
      </c>
      <c r="W372" s="112" t="str">
        <f>VLOOKUP(B372, 'Companies covered restructured'!$B$7:$K$470, 7, FALSE)</f>
        <v>#Field/Animal Herd(100)</v>
      </c>
      <c r="X372" s="112" t="s">
        <v>10558</v>
      </c>
      <c r="Y372" s="112" t="str">
        <f>VLOOKUP(P372, '[2]Bottom-up Tagging Assumptions'!$B$12:$F$56, 2, FALSE)</f>
        <v>#Other Economic(P); #Productivity(S)</v>
      </c>
      <c r="Z372" s="112" t="str">
        <f>VLOOKUP(P372, 'Bottom-up Tagging Assumptions'!$B$12:$F$56, 3, FALSE)</f>
        <v>#Improve price realization(P); #Increasing crop or animal yield(S)</v>
      </c>
      <c r="AA372" s="112" t="str">
        <f>VLOOKUP(P372, 'Bottom-up Tagging Assumptions'!$B$12:$F$56, 4, FALSE)</f>
        <v>#Level 4(100)</v>
      </c>
      <c r="AB372" s="110" t="s">
        <v>575</v>
      </c>
      <c r="AC372" s="110" t="s">
        <v>576</v>
      </c>
      <c r="AD372" s="110" t="s">
        <v>577</v>
      </c>
      <c r="AE372" s="110" t="s">
        <v>3127</v>
      </c>
      <c r="AF372" s="112">
        <v>4632223</v>
      </c>
      <c r="AG372" s="110" t="s">
        <v>2477</v>
      </c>
      <c r="AH372" s="121">
        <f t="shared" si="178"/>
        <v>0</v>
      </c>
      <c r="AI372" s="121">
        <f t="shared" si="179"/>
        <v>1</v>
      </c>
      <c r="AJ372" s="121">
        <f t="shared" si="180"/>
        <v>1</v>
      </c>
      <c r="AK372" s="121">
        <f t="shared" si="181"/>
        <v>0</v>
      </c>
      <c r="AL372" s="121">
        <f t="shared" si="182"/>
        <v>0</v>
      </c>
      <c r="AM372" s="121">
        <f t="shared" si="183"/>
        <v>0</v>
      </c>
      <c r="AN372" s="121">
        <f t="shared" si="184"/>
        <v>0</v>
      </c>
      <c r="AO372" s="121">
        <f t="shared" si="185"/>
        <v>0</v>
      </c>
      <c r="AP372" s="22">
        <f t="shared" si="186"/>
        <v>0</v>
      </c>
      <c r="AQ372" s="22">
        <f t="shared" si="187"/>
        <v>0</v>
      </c>
      <c r="AR372" s="22">
        <f t="shared" si="188"/>
        <v>0</v>
      </c>
      <c r="AS372" s="121" t="str">
        <f t="shared" si="189"/>
        <v>Crops</v>
      </c>
      <c r="AT372" s="121" t="str">
        <f t="shared" ref="AT372:AV391" si="210">IFERROR(IFERROR(MID($Q372,FIND("~",SUBSTITUTE($Q372,";","~",AT$10-1))+3,(FIND("~",SUBSTITUTE($Q372,";","~",AT$10))+0-(FIND("~",SUBSTITUTE($Q372,";","~",AT$10-1))+2))-6),MID($Q372,FIND("~",SUBSTITUTE($Q372,";","~",AT$10-1))+3,(LEN($Q372)-6-FIND("~",SUBSTITUTE($Q372,";","~",AT$10-1))-1)))," ")</f>
        <v xml:space="preserve"> </v>
      </c>
      <c r="AU372" s="121" t="str">
        <f t="shared" si="210"/>
        <v xml:space="preserve"> </v>
      </c>
      <c r="AV372" s="121" t="str">
        <f t="shared" si="210"/>
        <v xml:space="preserve"> </v>
      </c>
      <c r="AW372" s="130" t="str">
        <f t="shared" ref="AW372:AZ391" si="211">IFERROR(MID($Q372,FIND("~",SUBSTITUTE($Q372,"(","~",AW$10))+1,3)," ")</f>
        <v>100</v>
      </c>
      <c r="AX372" s="130" t="str">
        <f t="shared" si="211"/>
        <v xml:space="preserve"> </v>
      </c>
      <c r="AY372" s="130" t="str">
        <f t="shared" si="211"/>
        <v xml:space="preserve"> </v>
      </c>
      <c r="AZ372" s="130" t="str">
        <f t="shared" si="211"/>
        <v xml:space="preserve"> </v>
      </c>
      <c r="BA372" s="121">
        <f t="shared" si="192"/>
        <v>0</v>
      </c>
      <c r="BB372" s="121">
        <f t="shared" si="193"/>
        <v>0</v>
      </c>
      <c r="BC372" s="121">
        <f t="shared" si="194"/>
        <v>0</v>
      </c>
      <c r="BD372" s="121">
        <f t="shared" si="195"/>
        <v>0</v>
      </c>
      <c r="BE372" s="121">
        <f t="shared" si="196"/>
        <v>0</v>
      </c>
      <c r="BF372" s="121">
        <f t="shared" si="197"/>
        <v>0</v>
      </c>
      <c r="BG372" s="121">
        <f t="shared" si="198"/>
        <v>0</v>
      </c>
      <c r="BH372" s="121">
        <f t="shared" si="199"/>
        <v>0</v>
      </c>
      <c r="BI372" s="121">
        <f t="shared" si="200"/>
        <v>0</v>
      </c>
      <c r="BJ372" s="121">
        <f t="shared" si="201"/>
        <v>0</v>
      </c>
      <c r="BK372" s="121">
        <f t="shared" si="202"/>
        <v>0</v>
      </c>
      <c r="BL372" s="121">
        <f t="shared" si="203"/>
        <v>0</v>
      </c>
      <c r="BM372" s="121">
        <f t="shared" si="204"/>
        <v>0</v>
      </c>
      <c r="BN372" s="121">
        <f t="shared" si="205"/>
        <v>0</v>
      </c>
      <c r="BO372" s="121">
        <f t="shared" si="206"/>
        <v>0</v>
      </c>
      <c r="BP372" s="121">
        <f t="shared" si="207"/>
        <v>0</v>
      </c>
      <c r="BQ372" s="199" t="e">
        <f>INDEX('GDP deflators'!$C$6:$M$36,MATCH('Bottom-up tagging'!$D372,'GDP deflators'!$B$6:$B$36,),MATCH('Bottom-up tagging'!$E372,'GDP deflators'!$C$5:$L$5,))/100</f>
        <v>#N/A</v>
      </c>
      <c r="BR372" s="24">
        <v>309159</v>
      </c>
    </row>
    <row r="373" spans="2:70" ht="26.15" hidden="1" customHeight="1">
      <c r="B373" s="110" t="s">
        <v>1330</v>
      </c>
      <c r="C373" s="110" t="s">
        <v>1334</v>
      </c>
      <c r="D373" s="110" t="s">
        <v>3994</v>
      </c>
      <c r="E373" s="103">
        <v>2015</v>
      </c>
      <c r="F373" s="108" t="s">
        <v>8242</v>
      </c>
      <c r="G373" s="111" t="s">
        <v>34</v>
      </c>
      <c r="H373" s="110" t="s">
        <v>10451</v>
      </c>
      <c r="I373" s="112">
        <f>IF(Dashboard!$B$16="Current USD",'Bottom-up tagging'!BR373,'Bottom-up tagging'!BR373/'Bottom-up tagging'!BQ373)</f>
        <v>232219.42308963742</v>
      </c>
      <c r="J373" s="118" t="s">
        <v>10474</v>
      </c>
      <c r="K373" s="112"/>
      <c r="L373" s="135">
        <v>1</v>
      </c>
      <c r="M373" s="135">
        <v>1</v>
      </c>
      <c r="N373" s="112"/>
      <c r="O373" s="112"/>
      <c r="P373" s="112" t="str">
        <f>VLOOKUP(B373, 'Companies covered restructured'!$B$7:$K$470, 9, FALSE)</f>
        <v>AI/analytics based advisory algorithms (incl. weather)</v>
      </c>
      <c r="Q373" s="112" t="str">
        <f>VLOOKUP(B373, 'Companies covered restructured'!$B$7:$K$470, 6, FALSE)</f>
        <v>#Crops(100)</v>
      </c>
      <c r="R373" s="112" t="str">
        <f t="shared" si="177"/>
        <v>#Corporate(100)</v>
      </c>
      <c r="S373" s="112" t="s">
        <v>11003</v>
      </c>
      <c r="T373" s="112" t="s">
        <v>10466</v>
      </c>
      <c r="U373" s="103" t="s">
        <v>10970</v>
      </c>
      <c r="V373" s="112" t="str">
        <f>VLOOKUP(P373, 'Bottom-up Tagging Assumptions'!$B$12:$F$39, 5, FALSE)</f>
        <v>#Science &amp; tech(100)</v>
      </c>
      <c r="W373" s="112" t="str">
        <f>VLOOKUP(B373, 'Companies covered restructured'!$B$7:$K$470, 7, FALSE)</f>
        <v>#Field/Animal Herd(100)</v>
      </c>
      <c r="X373" s="112" t="s">
        <v>10558</v>
      </c>
      <c r="Y373" s="212" t="str">
        <f>VLOOKUP(P373, 'Bottom-up Tagging Assumptions'!$B$12:$C$56, 2, FALSE)</f>
        <v>#Other Economic(P); #Productivity(S)</v>
      </c>
      <c r="Z373" s="112" t="str">
        <f>VLOOKUP(P373, 'Bottom-up Tagging Assumptions'!$B$12:$F$56, 3, FALSE)</f>
        <v>#Increasing output per unit input(P); #Increasing crop or animal yield(S)</v>
      </c>
      <c r="AA373" s="112" t="str">
        <f>VLOOKUP(P373, 'Bottom-up Tagging Assumptions'!$B$12:$F$56, 4, FALSE)</f>
        <v>#Level 1(100)</v>
      </c>
      <c r="AB373" s="110" t="s">
        <v>2649</v>
      </c>
      <c r="AC373" s="110"/>
      <c r="AD373" s="110" t="s">
        <v>2650</v>
      </c>
      <c r="AE373" s="110" t="str">
        <f>VLOOKUP(AD373,  '1.2'!$B$7:$C$2033, 2, FALSE)</f>
        <v>CORPORATE_INVESTOR</v>
      </c>
      <c r="AF373" s="112"/>
      <c r="AG373" s="110" t="s">
        <v>2483</v>
      </c>
      <c r="AH373" s="121">
        <f t="shared" si="178"/>
        <v>0</v>
      </c>
      <c r="AI373" s="121">
        <f t="shared" si="179"/>
        <v>1</v>
      </c>
      <c r="AJ373" s="121">
        <f t="shared" si="180"/>
        <v>1</v>
      </c>
      <c r="AK373" s="121">
        <f t="shared" si="181"/>
        <v>0</v>
      </c>
      <c r="AL373" s="121">
        <f t="shared" si="182"/>
        <v>0</v>
      </c>
      <c r="AM373" s="121">
        <f t="shared" si="183"/>
        <v>0</v>
      </c>
      <c r="AN373" s="121">
        <f t="shared" si="184"/>
        <v>0</v>
      </c>
      <c r="AO373" s="121">
        <f t="shared" si="185"/>
        <v>0</v>
      </c>
      <c r="AP373" s="22">
        <f t="shared" si="186"/>
        <v>0</v>
      </c>
      <c r="AQ373" s="22">
        <f t="shared" si="187"/>
        <v>0</v>
      </c>
      <c r="AR373" s="22">
        <f t="shared" si="188"/>
        <v>0</v>
      </c>
      <c r="AS373" s="121" t="str">
        <f t="shared" si="189"/>
        <v>Crops</v>
      </c>
      <c r="AT373" s="121" t="str">
        <f t="shared" si="210"/>
        <v xml:space="preserve"> </v>
      </c>
      <c r="AU373" s="121" t="str">
        <f t="shared" si="210"/>
        <v xml:space="preserve"> </v>
      </c>
      <c r="AV373" s="121" t="str">
        <f t="shared" si="210"/>
        <v xml:space="preserve"> </v>
      </c>
      <c r="AW373" s="130" t="str">
        <f t="shared" si="211"/>
        <v>100</v>
      </c>
      <c r="AX373" s="130" t="str">
        <f t="shared" si="211"/>
        <v xml:space="preserve"> </v>
      </c>
      <c r="AY373" s="130" t="str">
        <f t="shared" si="211"/>
        <v xml:space="preserve"> </v>
      </c>
      <c r="AZ373" s="130" t="str">
        <f t="shared" si="211"/>
        <v xml:space="preserve"> </v>
      </c>
      <c r="BA373" s="121">
        <f t="shared" si="192"/>
        <v>232219.42308963742</v>
      </c>
      <c r="BB373" s="121">
        <f t="shared" si="193"/>
        <v>0</v>
      </c>
      <c r="BC373" s="121">
        <f t="shared" si="194"/>
        <v>0</v>
      </c>
      <c r="BD373" s="121">
        <f t="shared" si="195"/>
        <v>0</v>
      </c>
      <c r="BE373" s="121">
        <f t="shared" si="196"/>
        <v>0</v>
      </c>
      <c r="BF373" s="121">
        <f t="shared" si="197"/>
        <v>0</v>
      </c>
      <c r="BG373" s="121">
        <f t="shared" si="198"/>
        <v>0</v>
      </c>
      <c r="BH373" s="121">
        <f t="shared" si="199"/>
        <v>0</v>
      </c>
      <c r="BI373" s="121">
        <f t="shared" si="200"/>
        <v>0</v>
      </c>
      <c r="BJ373" s="121">
        <f t="shared" si="201"/>
        <v>0</v>
      </c>
      <c r="BK373" s="121">
        <f t="shared" si="202"/>
        <v>0</v>
      </c>
      <c r="BL373" s="121">
        <f t="shared" si="203"/>
        <v>0</v>
      </c>
      <c r="BM373" s="121">
        <f t="shared" si="204"/>
        <v>0</v>
      </c>
      <c r="BN373" s="121">
        <f t="shared" si="205"/>
        <v>0</v>
      </c>
      <c r="BO373" s="121">
        <f t="shared" si="206"/>
        <v>0</v>
      </c>
      <c r="BP373" s="121">
        <f t="shared" si="207"/>
        <v>0</v>
      </c>
      <c r="BQ373" s="199">
        <f>INDEX('GDP deflators'!$C$6:$M$36,MATCH('Bottom-up tagging'!$D373,'GDP deflators'!$B$6:$B$36,),MATCH('Bottom-up tagging'!$E373,'GDP deflators'!$C$5:$L$5,))/100</f>
        <v>1.3170905169372478</v>
      </c>
      <c r="BR373" s="24">
        <v>305854</v>
      </c>
    </row>
    <row r="374" spans="2:70" ht="26.15" hidden="1" customHeight="1">
      <c r="B374" s="110" t="s">
        <v>749</v>
      </c>
      <c r="C374" s="110" t="s">
        <v>751</v>
      </c>
      <c r="D374" s="110" t="s">
        <v>3994</v>
      </c>
      <c r="E374" s="103">
        <v>2014</v>
      </c>
      <c r="F374" s="108" t="s">
        <v>8490</v>
      </c>
      <c r="G374" s="111" t="s">
        <v>34</v>
      </c>
      <c r="H374" s="110" t="s">
        <v>10451</v>
      </c>
      <c r="I374" s="112">
        <f>IF(Dashboard!$B$16="Current USD",'Bottom-up tagging'!BR374,'Bottom-up tagging'!BR374/'Bottom-up tagging'!BQ374)</f>
        <v>237245.1583881813</v>
      </c>
      <c r="J374" s="105" t="s">
        <v>10474</v>
      </c>
      <c r="K374" s="112"/>
      <c r="L374" s="135">
        <v>1</v>
      </c>
      <c r="M374" s="135">
        <v>1</v>
      </c>
      <c r="N374" s="112"/>
      <c r="O374" s="112"/>
      <c r="P374" s="112" t="str">
        <f>VLOOKUP(B374, 'Companies covered restructured'!$B$7:$K$470, 9, FALSE)</f>
        <v>Equipment automation</v>
      </c>
      <c r="Q374" s="112" t="str">
        <f>VLOOKUP(B374, 'Companies covered restructured'!$B$7:$K$470, 6, FALSE)</f>
        <v>#Crops(100)</v>
      </c>
      <c r="R374" s="112" t="str">
        <f t="shared" si="177"/>
        <v>N/A</v>
      </c>
      <c r="S374" s="112" t="s">
        <v>11003</v>
      </c>
      <c r="T374" s="112" t="s">
        <v>10466</v>
      </c>
      <c r="U374" s="103" t="s">
        <v>10970</v>
      </c>
      <c r="V374" s="112" t="str">
        <f>VLOOKUP(P374, 'Bottom-up Tagging Assumptions'!$B$12:$F$39, 5, FALSE)</f>
        <v>#Science &amp; tech(100)</v>
      </c>
      <c r="W374" s="112" t="str">
        <f>VLOOKUP(B374, 'Companies covered restructured'!$B$7:$K$470, 7, FALSE)</f>
        <v>N/A</v>
      </c>
      <c r="X374" s="112" t="str">
        <f>VLOOKUP(B374, 'Companies covered restructured'!$B$7:$K$470, 8, FALSE)</f>
        <v>N/A</v>
      </c>
      <c r="Y374" s="212" t="str">
        <f>VLOOKUP(P374, 'Bottom-up Tagging Assumptions'!$B$12:$C$56, 2, FALSE)</f>
        <v>#Productivity(P); #Other Economic(S)</v>
      </c>
      <c r="Z374" s="112" t="str">
        <f>VLOOKUP(P374, 'Bottom-up Tagging Assumptions'!$B$12:$F$56, 3, FALSE)</f>
        <v>#Reducing human effort(P); #Increasing output per unit input(S)</v>
      </c>
      <c r="AA374" s="112" t="str">
        <f>VLOOKUP(P374, 'Bottom-up Tagging Assumptions'!$B$12:$F$56, 4, FALSE)</f>
        <v>#Level 1(100)</v>
      </c>
      <c r="AB374" s="110"/>
      <c r="AC374" s="110"/>
      <c r="AD374" s="110"/>
      <c r="AE374" s="110" t="s">
        <v>10558</v>
      </c>
      <c r="AF374" s="112">
        <v>60000000</v>
      </c>
      <c r="AG374" s="110" t="s">
        <v>235</v>
      </c>
      <c r="AH374" s="121">
        <f t="shared" si="178"/>
        <v>0</v>
      </c>
      <c r="AI374" s="121">
        <f t="shared" si="179"/>
        <v>1</v>
      </c>
      <c r="AJ374" s="121">
        <f t="shared" si="180"/>
        <v>1</v>
      </c>
      <c r="AK374" s="121">
        <f t="shared" si="181"/>
        <v>0</v>
      </c>
      <c r="AL374" s="121">
        <f t="shared" si="182"/>
        <v>0</v>
      </c>
      <c r="AM374" s="121">
        <f t="shared" si="183"/>
        <v>0</v>
      </c>
      <c r="AN374" s="121">
        <f t="shared" si="184"/>
        <v>0</v>
      </c>
      <c r="AO374" s="121">
        <f t="shared" si="185"/>
        <v>0</v>
      </c>
      <c r="AP374" s="22">
        <f t="shared" si="186"/>
        <v>0</v>
      </c>
      <c r="AQ374" s="22">
        <f t="shared" si="187"/>
        <v>0</v>
      </c>
      <c r="AR374" s="22">
        <f t="shared" si="188"/>
        <v>0</v>
      </c>
      <c r="AS374" s="121" t="str">
        <f t="shared" si="189"/>
        <v>Crops</v>
      </c>
      <c r="AT374" s="121" t="str">
        <f t="shared" si="210"/>
        <v xml:space="preserve"> </v>
      </c>
      <c r="AU374" s="121" t="str">
        <f t="shared" si="210"/>
        <v xml:space="preserve"> </v>
      </c>
      <c r="AV374" s="121" t="str">
        <f t="shared" si="210"/>
        <v xml:space="preserve"> </v>
      </c>
      <c r="AW374" s="130" t="str">
        <f t="shared" si="211"/>
        <v>100</v>
      </c>
      <c r="AX374" s="130" t="str">
        <f t="shared" si="211"/>
        <v xml:space="preserve"> </v>
      </c>
      <c r="AY374" s="130" t="str">
        <f t="shared" si="211"/>
        <v xml:space="preserve"> </v>
      </c>
      <c r="AZ374" s="130" t="str">
        <f t="shared" si="211"/>
        <v xml:space="preserve"> </v>
      </c>
      <c r="BA374" s="121">
        <f t="shared" si="192"/>
        <v>237245.1583881813</v>
      </c>
      <c r="BB374" s="121">
        <f t="shared" si="193"/>
        <v>0</v>
      </c>
      <c r="BC374" s="121">
        <f t="shared" si="194"/>
        <v>0</v>
      </c>
      <c r="BD374" s="121">
        <f t="shared" si="195"/>
        <v>0</v>
      </c>
      <c r="BE374" s="121">
        <f t="shared" si="196"/>
        <v>0</v>
      </c>
      <c r="BF374" s="121">
        <f t="shared" si="197"/>
        <v>0</v>
      </c>
      <c r="BG374" s="121">
        <f t="shared" si="198"/>
        <v>0</v>
      </c>
      <c r="BH374" s="121">
        <f t="shared" si="199"/>
        <v>0</v>
      </c>
      <c r="BI374" s="121">
        <f t="shared" si="200"/>
        <v>0</v>
      </c>
      <c r="BJ374" s="121">
        <f t="shared" si="201"/>
        <v>0</v>
      </c>
      <c r="BK374" s="121">
        <f t="shared" si="202"/>
        <v>0</v>
      </c>
      <c r="BL374" s="121">
        <f t="shared" si="203"/>
        <v>0</v>
      </c>
      <c r="BM374" s="121">
        <f t="shared" si="204"/>
        <v>0</v>
      </c>
      <c r="BN374" s="121">
        <f t="shared" si="205"/>
        <v>0</v>
      </c>
      <c r="BO374" s="121">
        <f t="shared" si="206"/>
        <v>0</v>
      </c>
      <c r="BP374" s="121">
        <f t="shared" si="207"/>
        <v>0</v>
      </c>
      <c r="BQ374" s="199">
        <f>INDEX('GDP deflators'!$C$6:$M$36,MATCH('Bottom-up tagging'!$D374,'GDP deflators'!$B$6:$B$36,),MATCH('Bottom-up tagging'!$E374,'GDP deflators'!$C$5:$L$5,))/100</f>
        <v>1.2877354466392321</v>
      </c>
      <c r="BR374" s="24">
        <v>305509</v>
      </c>
    </row>
    <row r="375" spans="2:70" ht="26.15" hidden="1" customHeight="1">
      <c r="B375" s="110" t="s">
        <v>749</v>
      </c>
      <c r="C375" s="110" t="s">
        <v>751</v>
      </c>
      <c r="D375" s="110" t="s">
        <v>3994</v>
      </c>
      <c r="E375" s="103">
        <v>2015</v>
      </c>
      <c r="F375" s="108" t="s">
        <v>8490</v>
      </c>
      <c r="G375" s="111" t="s">
        <v>34</v>
      </c>
      <c r="H375" s="110" t="s">
        <v>10451</v>
      </c>
      <c r="I375" s="112">
        <f>IF(Dashboard!$B$16="Current USD",'Bottom-up tagging'!BR375,'Bottom-up tagging'!BR375/'Bottom-up tagging'!BQ375)</f>
        <v>229016.90971203867</v>
      </c>
      <c r="J375" s="105" t="s">
        <v>10474</v>
      </c>
      <c r="K375" s="112"/>
      <c r="L375" s="135">
        <v>1</v>
      </c>
      <c r="M375" s="135">
        <v>1</v>
      </c>
      <c r="N375" s="112"/>
      <c r="O375" s="112"/>
      <c r="P375" s="112" t="str">
        <f>VLOOKUP(B375, 'Companies covered restructured'!$B$7:$K$470, 9, FALSE)</f>
        <v>Equipment automation</v>
      </c>
      <c r="Q375" s="112" t="str">
        <f>VLOOKUP(B375, 'Companies covered restructured'!$B$7:$K$470, 6, FALSE)</f>
        <v>#Crops(100)</v>
      </c>
      <c r="R375" s="112" t="str">
        <f t="shared" si="177"/>
        <v>N/A</v>
      </c>
      <c r="S375" s="112" t="s">
        <v>11003</v>
      </c>
      <c r="T375" s="112" t="s">
        <v>10466</v>
      </c>
      <c r="U375" s="103" t="s">
        <v>10970</v>
      </c>
      <c r="V375" s="112" t="str">
        <f>VLOOKUP(P375, 'Bottom-up Tagging Assumptions'!$B$12:$F$39, 5, FALSE)</f>
        <v>#Science &amp; tech(100)</v>
      </c>
      <c r="W375" s="112" t="str">
        <f>VLOOKUP(B375, 'Companies covered restructured'!$B$7:$K$470, 7, FALSE)</f>
        <v>N/A</v>
      </c>
      <c r="X375" s="112" t="str">
        <f>VLOOKUP(B375, 'Companies covered restructured'!$B$7:$K$470, 8, FALSE)</f>
        <v>N/A</v>
      </c>
      <c r="Y375" s="212" t="str">
        <f>VLOOKUP(P375, 'Bottom-up Tagging Assumptions'!$B$12:$C$56, 2, FALSE)</f>
        <v>#Productivity(P); #Other Economic(S)</v>
      </c>
      <c r="Z375" s="112" t="str">
        <f>VLOOKUP(P375, 'Bottom-up Tagging Assumptions'!$B$12:$F$56, 3, FALSE)</f>
        <v>#Reducing human effort(P); #Increasing output per unit input(S)</v>
      </c>
      <c r="AA375" s="112" t="str">
        <f>VLOOKUP(P375, 'Bottom-up Tagging Assumptions'!$B$12:$F$56, 4, FALSE)</f>
        <v>#Level 1(100)</v>
      </c>
      <c r="AB375" s="110"/>
      <c r="AC375" s="110"/>
      <c r="AD375" s="110"/>
      <c r="AE375" s="110" t="s">
        <v>10558</v>
      </c>
      <c r="AF375" s="112">
        <v>2990000</v>
      </c>
      <c r="AG375" s="110" t="s">
        <v>2490</v>
      </c>
      <c r="AH375" s="121">
        <f t="shared" si="178"/>
        <v>0</v>
      </c>
      <c r="AI375" s="121">
        <f t="shared" si="179"/>
        <v>1</v>
      </c>
      <c r="AJ375" s="121">
        <f t="shared" si="180"/>
        <v>1</v>
      </c>
      <c r="AK375" s="121">
        <f t="shared" si="181"/>
        <v>0</v>
      </c>
      <c r="AL375" s="121">
        <f t="shared" si="182"/>
        <v>0</v>
      </c>
      <c r="AM375" s="121">
        <f t="shared" si="183"/>
        <v>0</v>
      </c>
      <c r="AN375" s="121">
        <f t="shared" si="184"/>
        <v>0</v>
      </c>
      <c r="AO375" s="121">
        <f t="shared" si="185"/>
        <v>0</v>
      </c>
      <c r="AP375" s="22">
        <f t="shared" si="186"/>
        <v>0</v>
      </c>
      <c r="AQ375" s="22">
        <f t="shared" si="187"/>
        <v>0</v>
      </c>
      <c r="AR375" s="22">
        <f t="shared" si="188"/>
        <v>0</v>
      </c>
      <c r="AS375" s="121" t="str">
        <f t="shared" si="189"/>
        <v>Crops</v>
      </c>
      <c r="AT375" s="121" t="str">
        <f t="shared" si="210"/>
        <v xml:space="preserve"> </v>
      </c>
      <c r="AU375" s="121" t="str">
        <f t="shared" si="210"/>
        <v xml:space="preserve"> </v>
      </c>
      <c r="AV375" s="121" t="str">
        <f t="shared" si="210"/>
        <v xml:space="preserve"> </v>
      </c>
      <c r="AW375" s="130" t="str">
        <f t="shared" si="211"/>
        <v>100</v>
      </c>
      <c r="AX375" s="130" t="str">
        <f t="shared" si="211"/>
        <v xml:space="preserve"> </v>
      </c>
      <c r="AY375" s="130" t="str">
        <f t="shared" si="211"/>
        <v xml:space="preserve"> </v>
      </c>
      <c r="AZ375" s="130" t="str">
        <f t="shared" si="211"/>
        <v xml:space="preserve"> </v>
      </c>
      <c r="BA375" s="121">
        <f t="shared" si="192"/>
        <v>229016.90971203867</v>
      </c>
      <c r="BB375" s="121">
        <f t="shared" si="193"/>
        <v>0</v>
      </c>
      <c r="BC375" s="121">
        <f t="shared" si="194"/>
        <v>0</v>
      </c>
      <c r="BD375" s="121">
        <f t="shared" si="195"/>
        <v>0</v>
      </c>
      <c r="BE375" s="121">
        <f t="shared" si="196"/>
        <v>0</v>
      </c>
      <c r="BF375" s="121">
        <f t="shared" si="197"/>
        <v>0</v>
      </c>
      <c r="BG375" s="121">
        <f t="shared" si="198"/>
        <v>0</v>
      </c>
      <c r="BH375" s="121">
        <f t="shared" si="199"/>
        <v>0</v>
      </c>
      <c r="BI375" s="121">
        <f t="shared" si="200"/>
        <v>0</v>
      </c>
      <c r="BJ375" s="121">
        <f t="shared" si="201"/>
        <v>0</v>
      </c>
      <c r="BK375" s="121">
        <f t="shared" si="202"/>
        <v>0</v>
      </c>
      <c r="BL375" s="121">
        <f t="shared" si="203"/>
        <v>0</v>
      </c>
      <c r="BM375" s="121">
        <f t="shared" si="204"/>
        <v>0</v>
      </c>
      <c r="BN375" s="121">
        <f t="shared" si="205"/>
        <v>0</v>
      </c>
      <c r="BO375" s="121">
        <f t="shared" si="206"/>
        <v>0</v>
      </c>
      <c r="BP375" s="121">
        <f t="shared" si="207"/>
        <v>0</v>
      </c>
      <c r="BQ375" s="199">
        <f>INDEX('GDP deflators'!$C$6:$M$36,MATCH('Bottom-up tagging'!$D375,'GDP deflators'!$B$6:$B$36,),MATCH('Bottom-up tagging'!$E375,'GDP deflators'!$C$5:$L$5,))/100</f>
        <v>1.3170905169372478</v>
      </c>
      <c r="BR375" s="24">
        <v>301636</v>
      </c>
    </row>
    <row r="376" spans="2:70" ht="26.15" hidden="1" customHeight="1">
      <c r="B376" s="110" t="s">
        <v>512</v>
      </c>
      <c r="C376" s="110" t="s">
        <v>517</v>
      </c>
      <c r="D376" s="110" t="s">
        <v>1258</v>
      </c>
      <c r="E376" s="103">
        <v>2018</v>
      </c>
      <c r="F376" s="108" t="s">
        <v>7970</v>
      </c>
      <c r="G376" s="111" t="s">
        <v>34</v>
      </c>
      <c r="H376" s="110" t="s">
        <v>10451</v>
      </c>
      <c r="I376" s="112">
        <f>IF(Dashboard!$B$16="Current USD",'Bottom-up tagging'!BR376,'Bottom-up tagging'!BR376/'Bottom-up tagging'!BQ376)</f>
        <v>226515.23236480006</v>
      </c>
      <c r="J376" s="118" t="s">
        <v>10474</v>
      </c>
      <c r="K376" s="112"/>
      <c r="L376" s="135">
        <v>1</v>
      </c>
      <c r="M376" s="135">
        <v>1</v>
      </c>
      <c r="N376" s="112"/>
      <c r="O376" s="112"/>
      <c r="P376" s="112" t="str">
        <f>VLOOKUP(B376, 'Companies covered restructured'!$B$7:$K$470, 9, FALSE)</f>
        <v>AI/analytics based advisory algorithms (incl. weather)</v>
      </c>
      <c r="Q376" s="112" t="str">
        <f>VLOOKUP(B376, 'Companies covered restructured'!$B$7:$K$470, 6, FALSE)</f>
        <v>#Crops(100)</v>
      </c>
      <c r="R376" s="112" t="str">
        <f t="shared" si="177"/>
        <v>N/A</v>
      </c>
      <c r="S376" s="112" t="s">
        <v>11003</v>
      </c>
      <c r="T376" s="112" t="s">
        <v>10466</v>
      </c>
      <c r="U376" s="103" t="s">
        <v>10970</v>
      </c>
      <c r="V376" s="112" t="str">
        <f>VLOOKUP(P376, 'Bottom-up Tagging Assumptions'!$B$12:$F$39, 5, FALSE)</f>
        <v>#Science &amp; tech(100)</v>
      </c>
      <c r="W376" s="112" t="str">
        <f>VLOOKUP(B376, 'Companies covered restructured'!$B$7:$K$470, 7, FALSE)</f>
        <v>#Farm/Household(100)</v>
      </c>
      <c r="X376" s="112" t="str">
        <f>VLOOKUP(B376, 'Companies covered restructured'!$B$7:$K$470, 8, FALSE)</f>
        <v>N/A</v>
      </c>
      <c r="Y376" s="212" t="str">
        <f>VLOOKUP(P376, 'Bottom-up Tagging Assumptions'!$B$12:$C$56, 2, FALSE)</f>
        <v>#Other Economic(P); #Productivity(S)</v>
      </c>
      <c r="Z376" s="112" t="str">
        <f>VLOOKUP(P376, 'Bottom-up Tagging Assumptions'!$B$12:$F$56, 3, FALSE)</f>
        <v>#Increasing output per unit input(P); #Increasing crop or animal yield(S)</v>
      </c>
      <c r="AA376" s="112" t="str">
        <f>VLOOKUP(P376, 'Bottom-up Tagging Assumptions'!$B$12:$F$56, 4, FALSE)</f>
        <v>#Level 1(100)</v>
      </c>
      <c r="AB376" s="110" t="s">
        <v>1329</v>
      </c>
      <c r="AC376" s="110"/>
      <c r="AD376" s="110"/>
      <c r="AE376" s="110" t="s">
        <v>10558</v>
      </c>
      <c r="AF376" s="112">
        <v>75000</v>
      </c>
      <c r="AG376" s="110" t="s">
        <v>2495</v>
      </c>
      <c r="AH376" s="121">
        <f t="shared" si="178"/>
        <v>0</v>
      </c>
      <c r="AI376" s="121">
        <f t="shared" si="179"/>
        <v>1</v>
      </c>
      <c r="AJ376" s="121">
        <f t="shared" si="180"/>
        <v>1</v>
      </c>
      <c r="AK376" s="121">
        <f t="shared" si="181"/>
        <v>0</v>
      </c>
      <c r="AL376" s="121">
        <f t="shared" si="182"/>
        <v>0</v>
      </c>
      <c r="AM376" s="121">
        <f t="shared" si="183"/>
        <v>0</v>
      </c>
      <c r="AN376" s="121">
        <f t="shared" si="184"/>
        <v>0</v>
      </c>
      <c r="AO376" s="121">
        <f t="shared" si="185"/>
        <v>0</v>
      </c>
      <c r="AP376" s="22">
        <f t="shared" si="186"/>
        <v>0</v>
      </c>
      <c r="AQ376" s="22">
        <f t="shared" si="187"/>
        <v>0</v>
      </c>
      <c r="AR376" s="22">
        <f t="shared" si="188"/>
        <v>0</v>
      </c>
      <c r="AS376" s="121" t="str">
        <f t="shared" si="189"/>
        <v>Crops</v>
      </c>
      <c r="AT376" s="121" t="str">
        <f t="shared" si="210"/>
        <v xml:space="preserve"> </v>
      </c>
      <c r="AU376" s="121" t="str">
        <f t="shared" si="210"/>
        <v xml:space="preserve"> </v>
      </c>
      <c r="AV376" s="121" t="str">
        <f t="shared" si="210"/>
        <v xml:space="preserve"> </v>
      </c>
      <c r="AW376" s="130" t="str">
        <f t="shared" si="211"/>
        <v>100</v>
      </c>
      <c r="AX376" s="130" t="str">
        <f t="shared" si="211"/>
        <v xml:space="preserve"> </v>
      </c>
      <c r="AY376" s="130" t="str">
        <f t="shared" si="211"/>
        <v xml:space="preserve"> </v>
      </c>
      <c r="AZ376" s="130" t="str">
        <f t="shared" si="211"/>
        <v xml:space="preserve"> </v>
      </c>
      <c r="BA376" s="121">
        <f t="shared" si="192"/>
        <v>226515.23236480006</v>
      </c>
      <c r="BB376" s="121">
        <f t="shared" si="193"/>
        <v>0</v>
      </c>
      <c r="BC376" s="121">
        <f t="shared" si="194"/>
        <v>0</v>
      </c>
      <c r="BD376" s="121">
        <f t="shared" si="195"/>
        <v>0</v>
      </c>
      <c r="BE376" s="121">
        <f t="shared" si="196"/>
        <v>0</v>
      </c>
      <c r="BF376" s="121">
        <f t="shared" si="197"/>
        <v>0</v>
      </c>
      <c r="BG376" s="121">
        <f t="shared" si="198"/>
        <v>0</v>
      </c>
      <c r="BH376" s="121">
        <f t="shared" si="199"/>
        <v>0</v>
      </c>
      <c r="BI376" s="121">
        <f t="shared" si="200"/>
        <v>0</v>
      </c>
      <c r="BJ376" s="121">
        <f t="shared" si="201"/>
        <v>0</v>
      </c>
      <c r="BK376" s="121">
        <f t="shared" si="202"/>
        <v>0</v>
      </c>
      <c r="BL376" s="121">
        <f t="shared" si="203"/>
        <v>0</v>
      </c>
      <c r="BM376" s="121">
        <f t="shared" si="204"/>
        <v>0</v>
      </c>
      <c r="BN376" s="121">
        <f t="shared" si="205"/>
        <v>0</v>
      </c>
      <c r="BO376" s="121">
        <f t="shared" si="206"/>
        <v>0</v>
      </c>
      <c r="BP376" s="121">
        <f t="shared" si="207"/>
        <v>0</v>
      </c>
      <c r="BQ376" s="199">
        <f>INDEX('GDP deflators'!$C$6:$M$36,MATCH('Bottom-up tagging'!$D376,'GDP deflators'!$B$6:$B$36,),MATCH('Bottom-up tagging'!$E376,'GDP deflators'!$C$5:$L$5,))/100</f>
        <v>1.3244142429982528</v>
      </c>
      <c r="BR376" s="24">
        <v>300000</v>
      </c>
    </row>
    <row r="377" spans="2:70" ht="26.15" hidden="1" customHeight="1">
      <c r="B377" s="110" t="s">
        <v>1347</v>
      </c>
      <c r="C377" s="110" t="s">
        <v>1351</v>
      </c>
      <c r="D377" s="110" t="s">
        <v>5524</v>
      </c>
      <c r="E377" s="103">
        <v>2018</v>
      </c>
      <c r="F377" s="108" t="s">
        <v>6528</v>
      </c>
      <c r="G377" s="111" t="s">
        <v>34</v>
      </c>
      <c r="H377" s="110" t="s">
        <v>10451</v>
      </c>
      <c r="I377" s="112">
        <f>IF(Dashboard!$B$16="Current USD",'Bottom-up tagging'!BR377,'Bottom-up tagging'!BR377/'Bottom-up tagging'!BQ377)</f>
        <v>76822.36606167171</v>
      </c>
      <c r="J377" s="118" t="s">
        <v>10474</v>
      </c>
      <c r="K377" s="112"/>
      <c r="L377" s="135">
        <v>1</v>
      </c>
      <c r="M377" s="135">
        <v>1</v>
      </c>
      <c r="N377" s="112"/>
      <c r="O377" s="112"/>
      <c r="P377" s="112" t="str">
        <f>VLOOKUP(B377, 'Companies covered restructured'!$B$7:$K$470, 9, FALSE)</f>
        <v>Animal health</v>
      </c>
      <c r="Q377" s="112" t="str">
        <f>VLOOKUP(B377, 'Companies covered restructured'!$B$7:$K$470, 6, FALSE)</f>
        <v>#Livestock(100)</v>
      </c>
      <c r="R377" s="112" t="str">
        <f t="shared" si="177"/>
        <v>N/A</v>
      </c>
      <c r="S377" s="112" t="s">
        <v>11003</v>
      </c>
      <c r="T377" s="112" t="s">
        <v>10466</v>
      </c>
      <c r="U377" s="103" t="s">
        <v>10970</v>
      </c>
      <c r="V377" s="112" t="str">
        <f>VLOOKUP(P377, 'Bottom-up Tagging Assumptions'!$B$12:$F$39, 5, FALSE)</f>
        <v>#Product Development(100)</v>
      </c>
      <c r="W377" s="112" t="str">
        <f>VLOOKUP(B377, 'Companies covered restructured'!$B$7:$K$470, 7, FALSE)</f>
        <v>#Field/Animal Herd(100)</v>
      </c>
      <c r="X377" s="112" t="s">
        <v>10558</v>
      </c>
      <c r="Y377" s="212" t="str">
        <f>VLOOKUP(P377, 'Bottom-up Tagging Assumptions'!$B$12:$C$56, 2, FALSE)</f>
        <v>#Productivity(P); Other economic(S)</v>
      </c>
      <c r="Z377" s="112" t="str">
        <f>VLOOKUP(P377, 'Bottom-up Tagging Assumptions'!$B$12:$F$56, 3, FALSE)</f>
        <v>#Increasing crop or animal yield(P)</v>
      </c>
      <c r="AA377" s="112" t="str">
        <f>VLOOKUP(P377, 'Bottom-up Tagging Assumptions'!$B$12:$F$56, 4, FALSE)</f>
        <v>#Level 2(100)</v>
      </c>
      <c r="AB377" s="110" t="s">
        <v>1349</v>
      </c>
      <c r="AC377" s="110"/>
      <c r="AD377" s="110"/>
      <c r="AE377" s="110" t="s">
        <v>10558</v>
      </c>
      <c r="AF377" s="112">
        <v>41586600</v>
      </c>
      <c r="AG377" s="110" t="s">
        <v>1657</v>
      </c>
      <c r="AH377" s="121">
        <f t="shared" si="178"/>
        <v>0</v>
      </c>
      <c r="AI377" s="121">
        <f t="shared" si="179"/>
        <v>1</v>
      </c>
      <c r="AJ377" s="121">
        <f t="shared" si="180"/>
        <v>1</v>
      </c>
      <c r="AK377" s="121">
        <f t="shared" si="181"/>
        <v>0</v>
      </c>
      <c r="AL377" s="121">
        <f t="shared" si="182"/>
        <v>0</v>
      </c>
      <c r="AM377" s="121">
        <f t="shared" si="183"/>
        <v>0</v>
      </c>
      <c r="AN377" s="121">
        <f t="shared" si="184"/>
        <v>0</v>
      </c>
      <c r="AO377" s="121">
        <f t="shared" si="185"/>
        <v>0</v>
      </c>
      <c r="AP377" s="22">
        <f t="shared" si="186"/>
        <v>0</v>
      </c>
      <c r="AQ377" s="22">
        <f t="shared" si="187"/>
        <v>0</v>
      </c>
      <c r="AR377" s="22">
        <f t="shared" si="188"/>
        <v>0</v>
      </c>
      <c r="AS377" s="121" t="str">
        <f t="shared" si="189"/>
        <v>Livestock</v>
      </c>
      <c r="AT377" s="121" t="str">
        <f t="shared" si="210"/>
        <v xml:space="preserve"> </v>
      </c>
      <c r="AU377" s="121" t="str">
        <f t="shared" si="210"/>
        <v xml:space="preserve"> </v>
      </c>
      <c r="AV377" s="121" t="str">
        <f t="shared" si="210"/>
        <v xml:space="preserve"> </v>
      </c>
      <c r="AW377" s="130" t="str">
        <f t="shared" si="211"/>
        <v>100</v>
      </c>
      <c r="AX377" s="130" t="str">
        <f t="shared" si="211"/>
        <v xml:space="preserve"> </v>
      </c>
      <c r="AY377" s="130" t="str">
        <f t="shared" si="211"/>
        <v xml:space="preserve"> </v>
      </c>
      <c r="AZ377" s="130" t="str">
        <f t="shared" si="211"/>
        <v xml:space="preserve"> </v>
      </c>
      <c r="BA377" s="121">
        <f t="shared" si="192"/>
        <v>76822.36606167171</v>
      </c>
      <c r="BB377" s="121">
        <f t="shared" si="193"/>
        <v>0</v>
      </c>
      <c r="BC377" s="121">
        <f t="shared" si="194"/>
        <v>0</v>
      </c>
      <c r="BD377" s="121">
        <f t="shared" si="195"/>
        <v>0</v>
      </c>
      <c r="BE377" s="121">
        <f t="shared" si="196"/>
        <v>0</v>
      </c>
      <c r="BF377" s="121">
        <f t="shared" si="197"/>
        <v>0</v>
      </c>
      <c r="BG377" s="121">
        <f t="shared" si="198"/>
        <v>0</v>
      </c>
      <c r="BH377" s="121">
        <f t="shared" si="199"/>
        <v>0</v>
      </c>
      <c r="BI377" s="121">
        <f t="shared" si="200"/>
        <v>0</v>
      </c>
      <c r="BJ377" s="121">
        <f t="shared" si="201"/>
        <v>0</v>
      </c>
      <c r="BK377" s="121">
        <f t="shared" si="202"/>
        <v>0</v>
      </c>
      <c r="BL377" s="121">
        <f t="shared" si="203"/>
        <v>0</v>
      </c>
      <c r="BM377" s="121">
        <f t="shared" si="204"/>
        <v>0</v>
      </c>
      <c r="BN377" s="121">
        <f t="shared" si="205"/>
        <v>0</v>
      </c>
      <c r="BO377" s="121">
        <f t="shared" si="206"/>
        <v>0</v>
      </c>
      <c r="BP377" s="121">
        <f t="shared" si="207"/>
        <v>0</v>
      </c>
      <c r="BQ377" s="199">
        <f>INDEX('GDP deflators'!$C$6:$M$36,MATCH('Bottom-up tagging'!$D377,'GDP deflators'!$B$6:$B$36,),MATCH('Bottom-up tagging'!$E377,'GDP deflators'!$C$5:$L$5,))/100</f>
        <v>3.9051127344758561</v>
      </c>
      <c r="BR377" s="24">
        <v>300000</v>
      </c>
    </row>
    <row r="378" spans="2:70" ht="26.15" hidden="1" customHeight="1">
      <c r="B378" s="110" t="s">
        <v>1685</v>
      </c>
      <c r="C378" s="110" t="s">
        <v>1690</v>
      </c>
      <c r="D378" s="110" t="s">
        <v>3994</v>
      </c>
      <c r="E378" s="103">
        <v>2016</v>
      </c>
      <c r="F378" s="108" t="s">
        <v>8549</v>
      </c>
      <c r="G378" s="111" t="s">
        <v>34</v>
      </c>
      <c r="H378" s="110" t="s">
        <v>10451</v>
      </c>
      <c r="I378" s="112">
        <f>IF(Dashboard!$B$16="Current USD",'Bottom-up tagging'!BR378,'Bottom-up tagging'!BR378/'Bottom-up tagging'!BQ378)</f>
        <v>219830.65448739956</v>
      </c>
      <c r="J378" s="105" t="s">
        <v>10474</v>
      </c>
      <c r="K378" s="112"/>
      <c r="L378" s="135">
        <v>1</v>
      </c>
      <c r="M378" s="135">
        <v>1</v>
      </c>
      <c r="N378" s="112"/>
      <c r="O378" s="112"/>
      <c r="P378" s="112" t="str">
        <f>VLOOKUP(B378, 'Companies covered restructured'!$B$7:$K$470, 9, FALSE)</f>
        <v>Agri marketplaces</v>
      </c>
      <c r="Q378" s="112" t="str">
        <f>VLOOKUP(B378, 'Companies covered restructured'!$B$7:$K$470, 6, FALSE)</f>
        <v>#Crops(100)</v>
      </c>
      <c r="R378" s="112" t="str">
        <f t="shared" si="177"/>
        <v>#Angel Investor(100)</v>
      </c>
      <c r="S378" s="112" t="s">
        <v>11003</v>
      </c>
      <c r="T378" s="112" t="s">
        <v>10466</v>
      </c>
      <c r="U378" s="103" t="s">
        <v>10970</v>
      </c>
      <c r="V378" s="112" t="str">
        <f>VLOOKUP(P378, 'Bottom-up Tagging Assumptions'!$B$12:$F$39, 5, FALSE)</f>
        <v>#Process Innovation(100)</v>
      </c>
      <c r="W378" s="112" t="str">
        <f>VLOOKUP(B378, 'Companies covered restructured'!$B$7:$K$470, 7, FALSE)</f>
        <v>#Landscape(100)</v>
      </c>
      <c r="X378" s="112" t="str">
        <f>VLOOKUP(B378, 'Companies covered restructured'!$B$7:$K$470, 8, FALSE)</f>
        <v>N/A</v>
      </c>
      <c r="Y378" s="212" t="str">
        <f>VLOOKUP(P378, 'Bottom-up Tagging Assumptions'!$B$12:$C$56, 2, FALSE)</f>
        <v>#Other Economic(P); Social(S)</v>
      </c>
      <c r="Z378" s="112" t="str">
        <f>VLOOKUP(P378, 'Bottom-up Tagging Assumptions'!$B$12:$F$56, 3, FALSE)</f>
        <v>#Improve price realization(P)</v>
      </c>
      <c r="AA378" s="112" t="str">
        <f>VLOOKUP(P378, 'Bottom-up Tagging Assumptions'!$B$12:$F$56, 4, FALSE)</f>
        <v>#Level 4(100)</v>
      </c>
      <c r="AB378" s="110" t="s">
        <v>2305</v>
      </c>
      <c r="AC378" s="110" t="s">
        <v>2306</v>
      </c>
      <c r="AD378" s="110" t="s">
        <v>2307</v>
      </c>
      <c r="AE378" s="110" t="s">
        <v>3127</v>
      </c>
      <c r="AF378" s="112">
        <v>65736870</v>
      </c>
      <c r="AG378" s="110" t="s">
        <v>190</v>
      </c>
      <c r="AH378" s="121">
        <f t="shared" si="178"/>
        <v>0</v>
      </c>
      <c r="AI378" s="121">
        <f t="shared" si="179"/>
        <v>0</v>
      </c>
      <c r="AJ378" s="121">
        <f t="shared" si="180"/>
        <v>1</v>
      </c>
      <c r="AK378" s="121">
        <f t="shared" si="181"/>
        <v>1</v>
      </c>
      <c r="AL378" s="121">
        <f t="shared" si="182"/>
        <v>0</v>
      </c>
      <c r="AM378" s="121">
        <f t="shared" si="183"/>
        <v>0</v>
      </c>
      <c r="AN378" s="121">
        <f t="shared" si="184"/>
        <v>1</v>
      </c>
      <c r="AO378" s="121">
        <f t="shared" si="185"/>
        <v>0</v>
      </c>
      <c r="AP378" s="22">
        <f t="shared" si="186"/>
        <v>0</v>
      </c>
      <c r="AQ378" s="22">
        <f t="shared" si="187"/>
        <v>219830.65448739956</v>
      </c>
      <c r="AR378" s="22">
        <f t="shared" si="188"/>
        <v>0</v>
      </c>
      <c r="AS378" s="121" t="str">
        <f t="shared" si="189"/>
        <v>Crops</v>
      </c>
      <c r="AT378" s="121" t="str">
        <f t="shared" si="210"/>
        <v xml:space="preserve"> </v>
      </c>
      <c r="AU378" s="121" t="str">
        <f t="shared" si="210"/>
        <v xml:space="preserve"> </v>
      </c>
      <c r="AV378" s="121" t="str">
        <f t="shared" si="210"/>
        <v xml:space="preserve"> </v>
      </c>
      <c r="AW378" s="130" t="str">
        <f t="shared" si="211"/>
        <v>100</v>
      </c>
      <c r="AX378" s="130" t="str">
        <f t="shared" si="211"/>
        <v xml:space="preserve"> </v>
      </c>
      <c r="AY378" s="130" t="str">
        <f t="shared" si="211"/>
        <v xml:space="preserve"> </v>
      </c>
      <c r="AZ378" s="130" t="str">
        <f t="shared" si="211"/>
        <v xml:space="preserve"> </v>
      </c>
      <c r="BA378" s="121">
        <f t="shared" si="192"/>
        <v>219830.65448739956</v>
      </c>
      <c r="BB378" s="121">
        <f t="shared" si="193"/>
        <v>0</v>
      </c>
      <c r="BC378" s="121">
        <f t="shared" si="194"/>
        <v>0</v>
      </c>
      <c r="BD378" s="121">
        <f t="shared" si="195"/>
        <v>0</v>
      </c>
      <c r="BE378" s="121">
        <f t="shared" si="196"/>
        <v>0</v>
      </c>
      <c r="BF378" s="121">
        <f t="shared" si="197"/>
        <v>0</v>
      </c>
      <c r="BG378" s="121">
        <f t="shared" si="198"/>
        <v>0</v>
      </c>
      <c r="BH378" s="121">
        <f t="shared" si="199"/>
        <v>0</v>
      </c>
      <c r="BI378" s="121">
        <f t="shared" si="200"/>
        <v>219830.65448739956</v>
      </c>
      <c r="BJ378" s="121">
        <f t="shared" si="201"/>
        <v>219830.65448739956</v>
      </c>
      <c r="BK378" s="121">
        <f t="shared" si="202"/>
        <v>219830.65448739956</v>
      </c>
      <c r="BL378" s="121">
        <f t="shared" si="203"/>
        <v>219830.65448739956</v>
      </c>
      <c r="BM378" s="121">
        <f t="shared" si="204"/>
        <v>0</v>
      </c>
      <c r="BN378" s="121">
        <f t="shared" si="205"/>
        <v>0</v>
      </c>
      <c r="BO378" s="121">
        <f t="shared" si="206"/>
        <v>0</v>
      </c>
      <c r="BP378" s="121">
        <f t="shared" si="207"/>
        <v>0</v>
      </c>
      <c r="BQ378" s="199">
        <f>INDEX('GDP deflators'!$C$6:$M$36,MATCH('Bottom-up tagging'!$D378,'GDP deflators'!$B$6:$B$36,),MATCH('Bottom-up tagging'!$E378,'GDP deflators'!$C$5:$L$5,))/100</f>
        <v>1.3597375702538033</v>
      </c>
      <c r="BR378" s="24">
        <v>298912</v>
      </c>
    </row>
    <row r="379" spans="2:70" ht="26.15" hidden="1" customHeight="1">
      <c r="B379" s="110" t="s">
        <v>1976</v>
      </c>
      <c r="C379" s="110" t="s">
        <v>1981</v>
      </c>
      <c r="D379" s="110" t="s">
        <v>3994</v>
      </c>
      <c r="E379" s="103">
        <v>2017</v>
      </c>
      <c r="F379" s="108" t="s">
        <v>6572</v>
      </c>
      <c r="G379" s="111" t="s">
        <v>34</v>
      </c>
      <c r="H379" s="110" t="s">
        <v>10451</v>
      </c>
      <c r="I379" s="112">
        <f>IF(Dashboard!$B$16="Current USD",'Bottom-up tagging'!BR379,'Bottom-up tagging'!BR379/'Bottom-up tagging'!BQ379)</f>
        <v>210178.54124931165</v>
      </c>
      <c r="J379" s="118" t="s">
        <v>10474</v>
      </c>
      <c r="K379" s="112"/>
      <c r="L379" s="135">
        <v>1</v>
      </c>
      <c r="M379" s="135">
        <v>1</v>
      </c>
      <c r="N379" s="112"/>
      <c r="O379" s="112"/>
      <c r="P379" s="112" t="str">
        <f>VLOOKUP(B379, 'Companies covered restructured'!$B$7:$K$470, 9, FALSE)</f>
        <v>Agri marketplaces</v>
      </c>
      <c r="Q379" s="112" t="str">
        <f>VLOOKUP(B379, 'Companies covered restructured'!$B$7:$K$470, 6, FALSE)</f>
        <v>#Crops(100)</v>
      </c>
      <c r="R379" s="112" t="str">
        <f t="shared" si="177"/>
        <v>#Investment Fund(100)</v>
      </c>
      <c r="S379" s="112" t="s">
        <v>11003</v>
      </c>
      <c r="T379" s="112" t="s">
        <v>10466</v>
      </c>
      <c r="U379" s="103" t="s">
        <v>10970</v>
      </c>
      <c r="V379" s="112" t="str">
        <f>VLOOKUP(P379, 'Bottom-up Tagging Assumptions'!$B$12:$F$39, 5, FALSE)</f>
        <v>#Process Innovation(100)</v>
      </c>
      <c r="W379" s="112" t="str">
        <f>VLOOKUP(B379, 'Companies covered restructured'!$B$7:$K$470, 7, FALSE)</f>
        <v>#Farm/Household(100)</v>
      </c>
      <c r="X379" s="112" t="s">
        <v>10558</v>
      </c>
      <c r="Y379" s="212" t="str">
        <f>VLOOKUP(P379, 'Bottom-up Tagging Assumptions'!$B$12:$C$56, 2, FALSE)</f>
        <v>#Other Economic(P); Social(S)</v>
      </c>
      <c r="Z379" s="112" t="str">
        <f>VLOOKUP(P379, 'Bottom-up Tagging Assumptions'!$B$12:$F$56, 3, FALSE)</f>
        <v>#Improve price realization(P)</v>
      </c>
      <c r="AA379" s="112" t="str">
        <f>VLOOKUP(P379, 'Bottom-up Tagging Assumptions'!$B$12:$F$56, 4, FALSE)</f>
        <v>#Level 4(100)</v>
      </c>
      <c r="AB379" s="110" t="s">
        <v>1978</v>
      </c>
      <c r="AC379" s="110" t="s">
        <v>1979</v>
      </c>
      <c r="AD379" s="110" t="s">
        <v>1980</v>
      </c>
      <c r="AE379" s="110" t="str">
        <f>VLOOKUP(AD379,  '1.2'!$B$7:$C$2033, 2, FALSE)</f>
        <v>FUND</v>
      </c>
      <c r="AF379" s="112">
        <v>5971680</v>
      </c>
      <c r="AG379" s="110" t="s">
        <v>2346</v>
      </c>
      <c r="AH379" s="121">
        <f t="shared" si="178"/>
        <v>0</v>
      </c>
      <c r="AI379" s="121">
        <f t="shared" si="179"/>
        <v>0</v>
      </c>
      <c r="AJ379" s="121">
        <f t="shared" si="180"/>
        <v>1</v>
      </c>
      <c r="AK379" s="121">
        <f t="shared" si="181"/>
        <v>1</v>
      </c>
      <c r="AL379" s="121">
        <f t="shared" si="182"/>
        <v>0</v>
      </c>
      <c r="AM379" s="121">
        <f t="shared" si="183"/>
        <v>0</v>
      </c>
      <c r="AN379" s="121">
        <f t="shared" si="184"/>
        <v>1</v>
      </c>
      <c r="AO379" s="121">
        <f t="shared" si="185"/>
        <v>0</v>
      </c>
      <c r="AP379" s="22">
        <f t="shared" si="186"/>
        <v>0</v>
      </c>
      <c r="AQ379" s="22">
        <f t="shared" si="187"/>
        <v>210178.54124931165</v>
      </c>
      <c r="AR379" s="22">
        <f t="shared" si="188"/>
        <v>0</v>
      </c>
      <c r="AS379" s="121" t="str">
        <f t="shared" si="189"/>
        <v>Crops</v>
      </c>
      <c r="AT379" s="121" t="str">
        <f t="shared" si="210"/>
        <v xml:space="preserve"> </v>
      </c>
      <c r="AU379" s="121" t="str">
        <f t="shared" si="210"/>
        <v xml:space="preserve"> </v>
      </c>
      <c r="AV379" s="121" t="str">
        <f t="shared" si="210"/>
        <v xml:space="preserve"> </v>
      </c>
      <c r="AW379" s="130" t="str">
        <f t="shared" si="211"/>
        <v>100</v>
      </c>
      <c r="AX379" s="130" t="str">
        <f t="shared" si="211"/>
        <v xml:space="preserve"> </v>
      </c>
      <c r="AY379" s="130" t="str">
        <f t="shared" si="211"/>
        <v xml:space="preserve"> </v>
      </c>
      <c r="AZ379" s="130" t="str">
        <f t="shared" si="211"/>
        <v xml:space="preserve"> </v>
      </c>
      <c r="BA379" s="121">
        <f t="shared" si="192"/>
        <v>210178.54124931165</v>
      </c>
      <c r="BB379" s="121">
        <f t="shared" si="193"/>
        <v>0</v>
      </c>
      <c r="BC379" s="121">
        <f t="shared" si="194"/>
        <v>0</v>
      </c>
      <c r="BD379" s="121">
        <f t="shared" si="195"/>
        <v>0</v>
      </c>
      <c r="BE379" s="121">
        <f t="shared" si="196"/>
        <v>0</v>
      </c>
      <c r="BF379" s="121">
        <f t="shared" si="197"/>
        <v>0</v>
      </c>
      <c r="BG379" s="121">
        <f t="shared" si="198"/>
        <v>0</v>
      </c>
      <c r="BH379" s="121">
        <f t="shared" si="199"/>
        <v>0</v>
      </c>
      <c r="BI379" s="121">
        <f t="shared" si="200"/>
        <v>210178.54124931165</v>
      </c>
      <c r="BJ379" s="121">
        <f t="shared" si="201"/>
        <v>210178.54124931165</v>
      </c>
      <c r="BK379" s="121">
        <f t="shared" si="202"/>
        <v>210178.54124931165</v>
      </c>
      <c r="BL379" s="121">
        <f t="shared" si="203"/>
        <v>210178.54124931165</v>
      </c>
      <c r="BM379" s="121">
        <f t="shared" si="204"/>
        <v>0</v>
      </c>
      <c r="BN379" s="121">
        <f t="shared" si="205"/>
        <v>0</v>
      </c>
      <c r="BO379" s="121">
        <f t="shared" si="206"/>
        <v>0</v>
      </c>
      <c r="BP379" s="121">
        <f t="shared" si="207"/>
        <v>0</v>
      </c>
      <c r="BQ379" s="199">
        <f>INDEX('GDP deflators'!$C$6:$M$36,MATCH('Bottom-up tagging'!$D379,'GDP deflators'!$B$6:$B$36,),MATCH('Bottom-up tagging'!$E379,'GDP deflators'!$C$5:$L$5,))/100</f>
        <v>1.4111098032990623</v>
      </c>
      <c r="BR379" s="24">
        <v>296585</v>
      </c>
    </row>
    <row r="380" spans="2:70" ht="26.15" hidden="1" customHeight="1">
      <c r="B380" s="110" t="s">
        <v>1631</v>
      </c>
      <c r="C380" s="110" t="s">
        <v>1633</v>
      </c>
      <c r="D380" s="110" t="s">
        <v>3994</v>
      </c>
      <c r="E380" s="103">
        <v>2018</v>
      </c>
      <c r="F380" s="108" t="s">
        <v>6231</v>
      </c>
      <c r="G380" s="111" t="s">
        <v>34</v>
      </c>
      <c r="H380" s="110" t="s">
        <v>10451</v>
      </c>
      <c r="I380" s="112">
        <f>IF(Dashboard!$B$16="Current USD",'Bottom-up tagging'!BR380,'Bottom-up tagging'!BR380/'Bottom-up tagging'!BQ380)</f>
        <v>199763.65134445642</v>
      </c>
      <c r="J380" s="117" t="s">
        <v>10474</v>
      </c>
      <c r="K380" s="112"/>
      <c r="L380" s="135">
        <v>1</v>
      </c>
      <c r="M380" s="135">
        <v>1</v>
      </c>
      <c r="N380" s="112"/>
      <c r="O380" s="112"/>
      <c r="P380" s="112" t="str">
        <f>VLOOKUP(B380, 'Companies covered restructured'!$B$7:$K$470, 9, FALSE)</f>
        <v>Quality testing technologies</v>
      </c>
      <c r="Q380" s="112" t="str">
        <f>VLOOKUP(B380, 'Companies covered restructured'!$B$7:$K$470, 6, FALSE)</f>
        <v>#Crops(090); #Livestock(010)</v>
      </c>
      <c r="R380" s="112" t="str">
        <f t="shared" si="177"/>
        <v>N/A</v>
      </c>
      <c r="S380" s="112" t="s">
        <v>11003</v>
      </c>
      <c r="T380" s="112" t="s">
        <v>10466</v>
      </c>
      <c r="U380" s="103" t="s">
        <v>10970</v>
      </c>
      <c r="V380" s="112" t="str">
        <f>VLOOKUP(P380, 'Bottom-up Tagging Assumptions'!$B$12:$F$39, 5, FALSE)</f>
        <v>#Science &amp; tech(100)</v>
      </c>
      <c r="W380" s="112" t="str">
        <f>VLOOKUP(B380, 'Companies covered restructured'!$B$7:$K$470, 7, FALSE)</f>
        <v>#Farm/Household(100)</v>
      </c>
      <c r="X380" s="112" t="s">
        <v>10558</v>
      </c>
      <c r="Y380" s="212" t="str">
        <f>VLOOKUP(P380, 'Bottom-up Tagging Assumptions'!$B$12:$C$56, 2, FALSE)</f>
        <v>#Human Condition(P); #Other Economic(S)</v>
      </c>
      <c r="Z380" s="112" t="str">
        <f>VLOOKUP(P380, 'Bottom-up Tagging Assumptions'!$B$12:$F$56, 3, FALSE)</f>
        <v>#Health(P); #Reducing variability of profits(S)</v>
      </c>
      <c r="AA380" s="112" t="str">
        <f>VLOOKUP(P380, 'Bottom-up Tagging Assumptions'!$B$12:$F$56, 4, FALSE)</f>
        <v>#Level 1(100)</v>
      </c>
      <c r="AB380" s="110"/>
      <c r="AC380" s="110"/>
      <c r="AD380" s="110"/>
      <c r="AE380" s="110" t="s">
        <v>10558</v>
      </c>
      <c r="AF380" s="112"/>
      <c r="AG380" s="110" t="s">
        <v>1509</v>
      </c>
      <c r="AH380" s="121">
        <f t="shared" si="178"/>
        <v>0</v>
      </c>
      <c r="AI380" s="121">
        <f t="shared" si="179"/>
        <v>0</v>
      </c>
      <c r="AJ380" s="121">
        <f t="shared" si="180"/>
        <v>1</v>
      </c>
      <c r="AK380" s="121">
        <f t="shared" si="181"/>
        <v>0</v>
      </c>
      <c r="AL380" s="121">
        <f t="shared" si="182"/>
        <v>1</v>
      </c>
      <c r="AM380" s="121">
        <f t="shared" si="183"/>
        <v>0</v>
      </c>
      <c r="AN380" s="121">
        <f t="shared" si="184"/>
        <v>1</v>
      </c>
      <c r="AO380" s="121">
        <f t="shared" si="185"/>
        <v>0</v>
      </c>
      <c r="AP380" s="22">
        <f t="shared" si="186"/>
        <v>0</v>
      </c>
      <c r="AQ380" s="22">
        <f t="shared" si="187"/>
        <v>199763.65134445642</v>
      </c>
      <c r="AR380" s="22">
        <f t="shared" si="188"/>
        <v>0</v>
      </c>
      <c r="AS380" s="121" t="str">
        <f t="shared" si="189"/>
        <v>Crops</v>
      </c>
      <c r="AT380" s="121" t="str">
        <f t="shared" si="210"/>
        <v>Livestock</v>
      </c>
      <c r="AU380" s="121" t="str">
        <f t="shared" si="210"/>
        <v xml:space="preserve"> </v>
      </c>
      <c r="AV380" s="121" t="str">
        <f t="shared" si="210"/>
        <v xml:space="preserve"> </v>
      </c>
      <c r="AW380" s="130" t="str">
        <f t="shared" si="211"/>
        <v>090</v>
      </c>
      <c r="AX380" s="130" t="str">
        <f t="shared" si="211"/>
        <v>010</v>
      </c>
      <c r="AY380" s="130" t="str">
        <f t="shared" si="211"/>
        <v xml:space="preserve"> </v>
      </c>
      <c r="AZ380" s="130" t="str">
        <f t="shared" si="211"/>
        <v xml:space="preserve"> </v>
      </c>
      <c r="BA380" s="121">
        <f t="shared" si="192"/>
        <v>179787.28621001076</v>
      </c>
      <c r="BB380" s="121">
        <f t="shared" si="193"/>
        <v>19976.365134445645</v>
      </c>
      <c r="BC380" s="121">
        <f t="shared" si="194"/>
        <v>0</v>
      </c>
      <c r="BD380" s="121">
        <f t="shared" si="195"/>
        <v>0</v>
      </c>
      <c r="BE380" s="121">
        <f t="shared" si="196"/>
        <v>0</v>
      </c>
      <c r="BF380" s="121">
        <f t="shared" si="197"/>
        <v>0</v>
      </c>
      <c r="BG380" s="121">
        <f t="shared" si="198"/>
        <v>0</v>
      </c>
      <c r="BH380" s="121">
        <f t="shared" si="199"/>
        <v>0</v>
      </c>
      <c r="BI380" s="121">
        <f t="shared" si="200"/>
        <v>179787.28621001076</v>
      </c>
      <c r="BJ380" s="121">
        <f t="shared" si="201"/>
        <v>19976.365134445645</v>
      </c>
      <c r="BK380" s="121">
        <f t="shared" si="202"/>
        <v>199763.65134445642</v>
      </c>
      <c r="BL380" s="121">
        <f t="shared" si="203"/>
        <v>199763.65134445642</v>
      </c>
      <c r="BM380" s="121">
        <f t="shared" si="204"/>
        <v>0</v>
      </c>
      <c r="BN380" s="121">
        <f t="shared" si="205"/>
        <v>0</v>
      </c>
      <c r="BO380" s="121">
        <f t="shared" si="206"/>
        <v>0</v>
      </c>
      <c r="BP380" s="121">
        <f t="shared" si="207"/>
        <v>0</v>
      </c>
      <c r="BQ380" s="199">
        <f>INDEX('GDP deflators'!$C$6:$M$36,MATCH('Bottom-up tagging'!$D380,'GDP deflators'!$B$6:$B$36,),MATCH('Bottom-up tagging'!$E380,'GDP deflators'!$C$5:$L$5,))/100</f>
        <v>1.4753935363936217</v>
      </c>
      <c r="BR380" s="24">
        <v>294730</v>
      </c>
    </row>
    <row r="381" spans="2:70" ht="26.15" hidden="1" customHeight="1">
      <c r="B381" s="110" t="s">
        <v>1330</v>
      </c>
      <c r="C381" s="110" t="s">
        <v>1334</v>
      </c>
      <c r="D381" s="110" t="s">
        <v>3994</v>
      </c>
      <c r="E381" s="103">
        <v>2014</v>
      </c>
      <c r="F381" s="108" t="s">
        <v>8242</v>
      </c>
      <c r="G381" s="111" t="s">
        <v>34</v>
      </c>
      <c r="H381" s="110" t="s">
        <v>10451</v>
      </c>
      <c r="I381" s="112">
        <f>IF(Dashboard!$B$16="Current USD",'Bottom-up tagging'!BR381,'Bottom-up tagging'!BR381/'Bottom-up tagging'!BQ381)</f>
        <v>225262.10702443088</v>
      </c>
      <c r="J381" s="117" t="s">
        <v>10474</v>
      </c>
      <c r="K381" s="112"/>
      <c r="L381" s="135">
        <v>1</v>
      </c>
      <c r="M381" s="135">
        <v>1</v>
      </c>
      <c r="N381" s="112"/>
      <c r="O381" s="112"/>
      <c r="P381" s="112" t="str">
        <f>VLOOKUP(B381, 'Companies covered restructured'!$B$7:$K$470, 9, FALSE)</f>
        <v>AI/analytics based advisory algorithms (incl. weather)</v>
      </c>
      <c r="Q381" s="112" t="str">
        <f>VLOOKUP(B381, 'Companies covered restructured'!$B$7:$K$470, 6, FALSE)</f>
        <v>#Crops(100)</v>
      </c>
      <c r="R381" s="112" t="str">
        <f t="shared" si="177"/>
        <v>#Corporate(100)</v>
      </c>
      <c r="S381" s="112" t="s">
        <v>11003</v>
      </c>
      <c r="T381" s="112" t="s">
        <v>10466</v>
      </c>
      <c r="U381" s="103" t="s">
        <v>10970</v>
      </c>
      <c r="V381" s="112" t="str">
        <f>VLOOKUP(P381, 'Bottom-up Tagging Assumptions'!$B$12:$F$39, 5, FALSE)</f>
        <v>#Science &amp; tech(100)</v>
      </c>
      <c r="W381" s="112" t="str">
        <f>VLOOKUP(B381, 'Companies covered restructured'!$B$7:$K$470, 7, FALSE)</f>
        <v>#Field/Animal Herd(100)</v>
      </c>
      <c r="X381" s="112" t="s">
        <v>10558</v>
      </c>
      <c r="Y381" s="212" t="str">
        <f>VLOOKUP(P381, 'Bottom-up Tagging Assumptions'!$B$12:$C$56, 2, FALSE)</f>
        <v>#Other Economic(P); #Productivity(S)</v>
      </c>
      <c r="Z381" s="112" t="str">
        <f>VLOOKUP(P381, 'Bottom-up Tagging Assumptions'!$B$12:$F$56, 3, FALSE)</f>
        <v>#Increasing output per unit input(P); #Increasing crop or animal yield(S)</v>
      </c>
      <c r="AA381" s="112" t="str">
        <f>VLOOKUP(P381, 'Bottom-up Tagging Assumptions'!$B$12:$F$56, 4, FALSE)</f>
        <v>#Level 1(100)</v>
      </c>
      <c r="AB381" s="110" t="s">
        <v>2649</v>
      </c>
      <c r="AC381" s="110" t="s">
        <v>2896</v>
      </c>
      <c r="AD381" s="110" t="s">
        <v>2650</v>
      </c>
      <c r="AE381" s="110" t="str">
        <f>VLOOKUP(AD381,  '1.2'!$B$7:$C$2033, 2, FALSE)</f>
        <v>CORPORATE_INVESTOR</v>
      </c>
      <c r="AF381" s="112">
        <v>163285834</v>
      </c>
      <c r="AG381" s="110" t="s">
        <v>101</v>
      </c>
      <c r="AH381" s="121">
        <f t="shared" si="178"/>
        <v>0</v>
      </c>
      <c r="AI381" s="121">
        <f t="shared" si="179"/>
        <v>1</v>
      </c>
      <c r="AJ381" s="121">
        <f t="shared" si="180"/>
        <v>1</v>
      </c>
      <c r="AK381" s="121">
        <f t="shared" si="181"/>
        <v>0</v>
      </c>
      <c r="AL381" s="121">
        <f t="shared" si="182"/>
        <v>0</v>
      </c>
      <c r="AM381" s="121">
        <f t="shared" si="183"/>
        <v>0</v>
      </c>
      <c r="AN381" s="121">
        <f t="shared" si="184"/>
        <v>0</v>
      </c>
      <c r="AO381" s="121">
        <f t="shared" si="185"/>
        <v>0</v>
      </c>
      <c r="AP381" s="22">
        <f t="shared" si="186"/>
        <v>0</v>
      </c>
      <c r="AQ381" s="22">
        <f t="shared" si="187"/>
        <v>0</v>
      </c>
      <c r="AR381" s="22">
        <f t="shared" si="188"/>
        <v>0</v>
      </c>
      <c r="AS381" s="121" t="str">
        <f t="shared" si="189"/>
        <v>Crops</v>
      </c>
      <c r="AT381" s="121" t="str">
        <f t="shared" si="210"/>
        <v xml:space="preserve"> </v>
      </c>
      <c r="AU381" s="121" t="str">
        <f t="shared" si="210"/>
        <v xml:space="preserve"> </v>
      </c>
      <c r="AV381" s="121" t="str">
        <f t="shared" si="210"/>
        <v xml:space="preserve"> </v>
      </c>
      <c r="AW381" s="130" t="str">
        <f t="shared" si="211"/>
        <v>100</v>
      </c>
      <c r="AX381" s="130" t="str">
        <f t="shared" si="211"/>
        <v xml:space="preserve"> </v>
      </c>
      <c r="AY381" s="130" t="str">
        <f t="shared" si="211"/>
        <v xml:space="preserve"> </v>
      </c>
      <c r="AZ381" s="130" t="str">
        <f t="shared" si="211"/>
        <v xml:space="preserve"> </v>
      </c>
      <c r="BA381" s="121">
        <f t="shared" si="192"/>
        <v>225262.10702443088</v>
      </c>
      <c r="BB381" s="121">
        <f t="shared" si="193"/>
        <v>0</v>
      </c>
      <c r="BC381" s="121">
        <f t="shared" si="194"/>
        <v>0</v>
      </c>
      <c r="BD381" s="121">
        <f t="shared" si="195"/>
        <v>0</v>
      </c>
      <c r="BE381" s="121">
        <f t="shared" si="196"/>
        <v>0</v>
      </c>
      <c r="BF381" s="121">
        <f t="shared" si="197"/>
        <v>0</v>
      </c>
      <c r="BG381" s="121">
        <f t="shared" si="198"/>
        <v>0</v>
      </c>
      <c r="BH381" s="121">
        <f t="shared" si="199"/>
        <v>0</v>
      </c>
      <c r="BI381" s="121">
        <f t="shared" si="200"/>
        <v>0</v>
      </c>
      <c r="BJ381" s="121">
        <f t="shared" si="201"/>
        <v>0</v>
      </c>
      <c r="BK381" s="121">
        <f t="shared" si="202"/>
        <v>0</v>
      </c>
      <c r="BL381" s="121">
        <f t="shared" si="203"/>
        <v>0</v>
      </c>
      <c r="BM381" s="121">
        <f t="shared" si="204"/>
        <v>0</v>
      </c>
      <c r="BN381" s="121">
        <f t="shared" si="205"/>
        <v>0</v>
      </c>
      <c r="BO381" s="121">
        <f t="shared" si="206"/>
        <v>0</v>
      </c>
      <c r="BP381" s="121">
        <f t="shared" si="207"/>
        <v>0</v>
      </c>
      <c r="BQ381" s="199">
        <f>INDEX('GDP deflators'!$C$6:$M$36,MATCH('Bottom-up tagging'!$D381,'GDP deflators'!$B$6:$B$36,),MATCH('Bottom-up tagging'!$E381,'GDP deflators'!$C$5:$L$5,))/100</f>
        <v>1.2877354466392321</v>
      </c>
      <c r="BR381" s="24">
        <v>290078</v>
      </c>
    </row>
    <row r="382" spans="2:70" ht="26.15" hidden="1" customHeight="1">
      <c r="B382" s="110" t="s">
        <v>991</v>
      </c>
      <c r="C382" s="110" t="s">
        <v>994</v>
      </c>
      <c r="D382" s="110" t="s">
        <v>3994</v>
      </c>
      <c r="E382" s="103">
        <v>2016</v>
      </c>
      <c r="F382" s="108" t="s">
        <v>7704</v>
      </c>
      <c r="G382" s="111" t="s">
        <v>34</v>
      </c>
      <c r="H382" s="110" t="s">
        <v>10451</v>
      </c>
      <c r="I382" s="112">
        <f>IF(Dashboard!$B$16="Current USD",'Bottom-up tagging'!BR382,'Bottom-up tagging'!BR382/'Bottom-up tagging'!BQ382)</f>
        <v>207071.57480942778</v>
      </c>
      <c r="J382" s="118" t="s">
        <v>10474</v>
      </c>
      <c r="K382" s="112"/>
      <c r="L382" s="135">
        <v>1</v>
      </c>
      <c r="M382" s="135">
        <v>1</v>
      </c>
      <c r="N382" s="112"/>
      <c r="O382" s="112"/>
      <c r="P382" s="112" t="str">
        <f>VLOOKUP(B382, 'Companies covered restructured'!$B$7:$K$470, 9, FALSE)</f>
        <v>Supply chain technologies</v>
      </c>
      <c r="Q382" s="112" t="str">
        <f>VLOOKUP(B382, 'Companies covered restructured'!$B$7:$K$470, 6, FALSE)</f>
        <v>#Crops(100)</v>
      </c>
      <c r="R382" s="112" t="str">
        <f t="shared" si="177"/>
        <v>N/A</v>
      </c>
      <c r="S382" s="112" t="s">
        <v>11003</v>
      </c>
      <c r="T382" s="112" t="s">
        <v>10466</v>
      </c>
      <c r="U382" s="103" t="s">
        <v>10970</v>
      </c>
      <c r="V382" s="112" t="str">
        <f>VLOOKUP(P382, 'Bottom-up Tagging Assumptions'!$B$12:$F$39, 5, FALSE)</f>
        <v>#Process Innovation(100)</v>
      </c>
      <c r="W382" s="112" t="str">
        <f>VLOOKUP(B382, 'Companies covered restructured'!$B$7:$K$470, 7, FALSE)</f>
        <v>#Field/Animal Herd(100)</v>
      </c>
      <c r="X382" s="112" t="s">
        <v>10558</v>
      </c>
      <c r="Y382" s="212" t="str">
        <f>VLOOKUP(P382, 'Bottom-up Tagging Assumptions'!$B$12:$C$56, 2, FALSE)</f>
        <v>#Other Economic(P); Social(S)</v>
      </c>
      <c r="Z382" s="112" t="str">
        <f>VLOOKUP(P382, 'Bottom-up Tagging Assumptions'!$B$12:$F$56, 3, FALSE)</f>
        <v>#Improve price realization(P)</v>
      </c>
      <c r="AA382" s="112" t="str">
        <f>VLOOKUP(P382, 'Bottom-up Tagging Assumptions'!$B$12:$F$56, 4, FALSE)</f>
        <v>#Level 3(100)</v>
      </c>
      <c r="AB382" s="110" t="s">
        <v>2398</v>
      </c>
      <c r="AC382" s="110" t="s">
        <v>1716</v>
      </c>
      <c r="AD382" s="110"/>
      <c r="AE382" s="110" t="s">
        <v>10558</v>
      </c>
      <c r="AF382" s="112">
        <v>781000</v>
      </c>
      <c r="AG382" s="110" t="s">
        <v>2506</v>
      </c>
      <c r="AH382" s="121">
        <f t="shared" si="178"/>
        <v>0</v>
      </c>
      <c r="AI382" s="121">
        <f t="shared" si="179"/>
        <v>0</v>
      </c>
      <c r="AJ382" s="121">
        <f t="shared" si="180"/>
        <v>1</v>
      </c>
      <c r="AK382" s="121">
        <f t="shared" si="181"/>
        <v>1</v>
      </c>
      <c r="AL382" s="121">
        <f t="shared" si="182"/>
        <v>0</v>
      </c>
      <c r="AM382" s="121">
        <f t="shared" si="183"/>
        <v>0</v>
      </c>
      <c r="AN382" s="121">
        <f t="shared" si="184"/>
        <v>1</v>
      </c>
      <c r="AO382" s="121">
        <f t="shared" si="185"/>
        <v>0</v>
      </c>
      <c r="AP382" s="22">
        <f t="shared" si="186"/>
        <v>0</v>
      </c>
      <c r="AQ382" s="22">
        <f t="shared" si="187"/>
        <v>207071.57480942778</v>
      </c>
      <c r="AR382" s="22">
        <f t="shared" si="188"/>
        <v>0</v>
      </c>
      <c r="AS382" s="121" t="str">
        <f t="shared" si="189"/>
        <v>Crops</v>
      </c>
      <c r="AT382" s="121" t="str">
        <f t="shared" si="210"/>
        <v xml:space="preserve"> </v>
      </c>
      <c r="AU382" s="121" t="str">
        <f t="shared" si="210"/>
        <v xml:space="preserve"> </v>
      </c>
      <c r="AV382" s="121" t="str">
        <f t="shared" si="210"/>
        <v xml:space="preserve"> </v>
      </c>
      <c r="AW382" s="130" t="str">
        <f t="shared" si="211"/>
        <v>100</v>
      </c>
      <c r="AX382" s="130" t="str">
        <f t="shared" si="211"/>
        <v xml:space="preserve"> </v>
      </c>
      <c r="AY382" s="130" t="str">
        <f t="shared" si="211"/>
        <v xml:space="preserve"> </v>
      </c>
      <c r="AZ382" s="130" t="str">
        <f t="shared" si="211"/>
        <v xml:space="preserve"> </v>
      </c>
      <c r="BA382" s="121">
        <f t="shared" si="192"/>
        <v>207071.57480942778</v>
      </c>
      <c r="BB382" s="121">
        <f t="shared" si="193"/>
        <v>0</v>
      </c>
      <c r="BC382" s="121">
        <f t="shared" si="194"/>
        <v>0</v>
      </c>
      <c r="BD382" s="121">
        <f t="shared" si="195"/>
        <v>0</v>
      </c>
      <c r="BE382" s="121">
        <f t="shared" si="196"/>
        <v>0</v>
      </c>
      <c r="BF382" s="121">
        <f t="shared" si="197"/>
        <v>0</v>
      </c>
      <c r="BG382" s="121">
        <f t="shared" si="198"/>
        <v>0</v>
      </c>
      <c r="BH382" s="121">
        <f t="shared" si="199"/>
        <v>0</v>
      </c>
      <c r="BI382" s="121">
        <f t="shared" si="200"/>
        <v>207071.57480942778</v>
      </c>
      <c r="BJ382" s="121">
        <f t="shared" si="201"/>
        <v>207071.57480942778</v>
      </c>
      <c r="BK382" s="121">
        <f t="shared" si="202"/>
        <v>207071.57480942778</v>
      </c>
      <c r="BL382" s="121">
        <f t="shared" si="203"/>
        <v>207071.57480942778</v>
      </c>
      <c r="BM382" s="121">
        <f t="shared" si="204"/>
        <v>0</v>
      </c>
      <c r="BN382" s="121">
        <f t="shared" si="205"/>
        <v>0</v>
      </c>
      <c r="BO382" s="121">
        <f t="shared" si="206"/>
        <v>0</v>
      </c>
      <c r="BP382" s="121">
        <f t="shared" si="207"/>
        <v>0</v>
      </c>
      <c r="BQ382" s="199">
        <f>INDEX('GDP deflators'!$C$6:$M$36,MATCH('Bottom-up tagging'!$D382,'GDP deflators'!$B$6:$B$36,),MATCH('Bottom-up tagging'!$E382,'GDP deflators'!$C$5:$L$5,))/100</f>
        <v>1.3597375702538033</v>
      </c>
      <c r="BR382" s="24">
        <v>281563</v>
      </c>
    </row>
    <row r="383" spans="2:70" ht="26.15" hidden="1" customHeight="1">
      <c r="B383" s="110" t="s">
        <v>373</v>
      </c>
      <c r="C383" s="110" t="s">
        <v>376</v>
      </c>
      <c r="D383" s="110" t="s">
        <v>2057</v>
      </c>
      <c r="E383" s="103">
        <v>2020</v>
      </c>
      <c r="F383" s="108" t="s">
        <v>7339</v>
      </c>
      <c r="G383" s="111" t="s">
        <v>124</v>
      </c>
      <c r="H383" s="110" t="s">
        <v>10451</v>
      </c>
      <c r="I383" s="212">
        <v>0</v>
      </c>
      <c r="J383" s="117" t="s">
        <v>10474</v>
      </c>
      <c r="K383" s="112"/>
      <c r="L383" s="135">
        <v>1</v>
      </c>
      <c r="M383" s="135">
        <v>1</v>
      </c>
      <c r="N383" s="112"/>
      <c r="O383" s="112"/>
      <c r="P383" s="112" t="str">
        <f>VLOOKUP(B383, 'Companies covered restructured'!$B$7:$K$470, 9, FALSE)</f>
        <v>AI/analytics based advisory algorithms (incl. weather)</v>
      </c>
      <c r="Q383" s="112" t="str">
        <f>VLOOKUP(B383, 'Companies covered restructured'!$B$7:$K$470, 6, FALSE)</f>
        <v>#Crops(100)</v>
      </c>
      <c r="R383" s="112" t="str">
        <f t="shared" si="177"/>
        <v>N/A</v>
      </c>
      <c r="S383" s="112" t="s">
        <v>11003</v>
      </c>
      <c r="T383" s="112" t="s">
        <v>10466</v>
      </c>
      <c r="U383" s="213" t="s">
        <v>10970</v>
      </c>
      <c r="V383" s="112" t="str">
        <f>VLOOKUP(P383, 'Bottom-up Tagging Assumptions'!$B$12:$F$39, 5, FALSE)</f>
        <v>#Science &amp; tech(100)</v>
      </c>
      <c r="W383" s="112" t="str">
        <f>VLOOKUP(B383, 'Companies covered restructured'!$B$7:$K$470, 7, FALSE)</f>
        <v>#Field/Animal Herd(100)</v>
      </c>
      <c r="X383" s="112" t="s">
        <v>10558</v>
      </c>
      <c r="Y383" s="112" t="str">
        <f>VLOOKUP(P383, '[2]Bottom-up Tagging Assumptions'!$B$12:$F$56, 2, FALSE)</f>
        <v>#Other Economic(P); #Productivity(S)</v>
      </c>
      <c r="Z383" s="112" t="str">
        <f>VLOOKUP(P383, 'Bottom-up Tagging Assumptions'!$B$12:$F$56, 3, FALSE)</f>
        <v>#Increasing output per unit input(P); #Increasing crop or animal yield(S)</v>
      </c>
      <c r="AA383" s="112" t="str">
        <f>VLOOKUP(P383, 'Bottom-up Tagging Assumptions'!$B$12:$F$56, 4, FALSE)</f>
        <v>#Level 1(100)</v>
      </c>
      <c r="AB383" s="110"/>
      <c r="AC383" s="110"/>
      <c r="AD383" s="110"/>
      <c r="AE383" s="110" t="s">
        <v>10558</v>
      </c>
      <c r="AF383" s="112">
        <v>10590520</v>
      </c>
      <c r="AG383" s="110" t="s">
        <v>646</v>
      </c>
      <c r="AH383" s="121">
        <f t="shared" si="178"/>
        <v>0</v>
      </c>
      <c r="AI383" s="121">
        <f t="shared" si="179"/>
        <v>1</v>
      </c>
      <c r="AJ383" s="121">
        <f t="shared" si="180"/>
        <v>1</v>
      </c>
      <c r="AK383" s="121">
        <f t="shared" si="181"/>
        <v>0</v>
      </c>
      <c r="AL383" s="121">
        <f t="shared" si="182"/>
        <v>0</v>
      </c>
      <c r="AM383" s="121">
        <f t="shared" si="183"/>
        <v>0</v>
      </c>
      <c r="AN383" s="121">
        <f t="shared" si="184"/>
        <v>0</v>
      </c>
      <c r="AO383" s="121">
        <f t="shared" si="185"/>
        <v>0</v>
      </c>
      <c r="AP383" s="22">
        <f t="shared" si="186"/>
        <v>0</v>
      </c>
      <c r="AQ383" s="22">
        <f t="shared" si="187"/>
        <v>0</v>
      </c>
      <c r="AR383" s="22">
        <f t="shared" si="188"/>
        <v>0</v>
      </c>
      <c r="AS383" s="121" t="str">
        <f t="shared" si="189"/>
        <v>Crops</v>
      </c>
      <c r="AT383" s="121" t="str">
        <f t="shared" si="210"/>
        <v xml:space="preserve"> </v>
      </c>
      <c r="AU383" s="121" t="str">
        <f t="shared" si="210"/>
        <v xml:space="preserve"> </v>
      </c>
      <c r="AV383" s="121" t="str">
        <f t="shared" si="210"/>
        <v xml:space="preserve"> </v>
      </c>
      <c r="AW383" s="130" t="str">
        <f t="shared" si="211"/>
        <v>100</v>
      </c>
      <c r="AX383" s="130" t="str">
        <f t="shared" si="211"/>
        <v xml:space="preserve"> </v>
      </c>
      <c r="AY383" s="130" t="str">
        <f t="shared" si="211"/>
        <v xml:space="preserve"> </v>
      </c>
      <c r="AZ383" s="130" t="str">
        <f t="shared" si="211"/>
        <v xml:space="preserve"> </v>
      </c>
      <c r="BA383" s="121">
        <f t="shared" si="192"/>
        <v>0</v>
      </c>
      <c r="BB383" s="121">
        <f t="shared" si="193"/>
        <v>0</v>
      </c>
      <c r="BC383" s="121">
        <f t="shared" si="194"/>
        <v>0</v>
      </c>
      <c r="BD383" s="121">
        <f t="shared" si="195"/>
        <v>0</v>
      </c>
      <c r="BE383" s="121">
        <f t="shared" si="196"/>
        <v>0</v>
      </c>
      <c r="BF383" s="121">
        <f t="shared" si="197"/>
        <v>0</v>
      </c>
      <c r="BG383" s="121">
        <f t="shared" si="198"/>
        <v>0</v>
      </c>
      <c r="BH383" s="121">
        <f t="shared" si="199"/>
        <v>0</v>
      </c>
      <c r="BI383" s="121">
        <f t="shared" si="200"/>
        <v>0</v>
      </c>
      <c r="BJ383" s="121">
        <f t="shared" si="201"/>
        <v>0</v>
      </c>
      <c r="BK383" s="121">
        <f t="shared" si="202"/>
        <v>0</v>
      </c>
      <c r="BL383" s="121">
        <f t="shared" si="203"/>
        <v>0</v>
      </c>
      <c r="BM383" s="121">
        <f t="shared" si="204"/>
        <v>0</v>
      </c>
      <c r="BN383" s="121">
        <f t="shared" si="205"/>
        <v>0</v>
      </c>
      <c r="BO383" s="121">
        <f t="shared" si="206"/>
        <v>0</v>
      </c>
      <c r="BP383" s="121">
        <f t="shared" si="207"/>
        <v>0</v>
      </c>
      <c r="BQ383" s="199" t="e">
        <f>INDEX('GDP deflators'!$C$6:$M$36,MATCH('Bottom-up tagging'!$D383,'GDP deflators'!$B$6:$B$36,),MATCH('Bottom-up tagging'!$E383,'GDP deflators'!$C$5:$L$5,))/100</f>
        <v>#N/A</v>
      </c>
      <c r="BR383" s="24">
        <v>280450</v>
      </c>
    </row>
    <row r="384" spans="2:70" ht="26.15" hidden="1" customHeight="1">
      <c r="B384" s="110" t="s">
        <v>360</v>
      </c>
      <c r="C384" s="110" t="s">
        <v>363</v>
      </c>
      <c r="D384" s="110" t="s">
        <v>2057</v>
      </c>
      <c r="E384" s="103">
        <v>2020</v>
      </c>
      <c r="F384" s="108" t="s">
        <v>5372</v>
      </c>
      <c r="G384" s="111" t="s">
        <v>124</v>
      </c>
      <c r="H384" s="110" t="s">
        <v>10451</v>
      </c>
      <c r="I384" s="212">
        <v>0</v>
      </c>
      <c r="J384" s="105" t="s">
        <v>10474</v>
      </c>
      <c r="K384" s="112"/>
      <c r="L384" s="135">
        <v>1</v>
      </c>
      <c r="M384" s="135">
        <v>1</v>
      </c>
      <c r="N384" s="112"/>
      <c r="O384" s="112"/>
      <c r="P384" s="112" t="str">
        <f>VLOOKUP(B384, 'Companies covered restructured'!$B$7:$K$470, 9, FALSE)</f>
        <v>Agri marketplaces</v>
      </c>
      <c r="Q384" s="112" t="str">
        <f>VLOOKUP(B384, 'Companies covered restructured'!$B$7:$K$470, 6, FALSE)</f>
        <v>#Crops(100)</v>
      </c>
      <c r="R384" s="112" t="str">
        <f t="shared" si="177"/>
        <v>N/A</v>
      </c>
      <c r="S384" s="112" t="s">
        <v>11003</v>
      </c>
      <c r="T384" s="112" t="s">
        <v>10466</v>
      </c>
      <c r="U384" s="103" t="s">
        <v>10970</v>
      </c>
      <c r="V384" s="112" t="str">
        <f>VLOOKUP(P384, 'Bottom-up Tagging Assumptions'!$B$12:$F$39, 5, FALSE)</f>
        <v>#Process Innovation(100)</v>
      </c>
      <c r="W384" s="112" t="str">
        <f>VLOOKUP(B384, 'Companies covered restructured'!$B$7:$K$470, 7, FALSE)</f>
        <v>#Farm/Household(100)</v>
      </c>
      <c r="X384" s="112" t="s">
        <v>10558</v>
      </c>
      <c r="Y384" s="112" t="str">
        <f>VLOOKUP(P384, '[2]Bottom-up Tagging Assumptions'!$B$12:$F$56, 2, FALSE)</f>
        <v>#Other Economic(P); Social(S)</v>
      </c>
      <c r="Z384" s="112" t="str">
        <f>VLOOKUP(P384, 'Bottom-up Tagging Assumptions'!$B$12:$F$56, 3, FALSE)</f>
        <v>#Improve price realization(P)</v>
      </c>
      <c r="AA384" s="112" t="str">
        <f>VLOOKUP(P384, 'Bottom-up Tagging Assumptions'!$B$12:$F$56, 4, FALSE)</f>
        <v>#Level 4(100)</v>
      </c>
      <c r="AB384" s="110"/>
      <c r="AC384" s="110"/>
      <c r="AD384" s="110"/>
      <c r="AE384" s="110" t="s">
        <v>10558</v>
      </c>
      <c r="AF384" s="112">
        <v>6141730</v>
      </c>
      <c r="AG384" s="110" t="s">
        <v>1481</v>
      </c>
      <c r="AH384" s="121">
        <f t="shared" si="178"/>
        <v>0</v>
      </c>
      <c r="AI384" s="121">
        <f t="shared" si="179"/>
        <v>0</v>
      </c>
      <c r="AJ384" s="121">
        <f t="shared" si="180"/>
        <v>1</v>
      </c>
      <c r="AK384" s="121">
        <f t="shared" si="181"/>
        <v>1</v>
      </c>
      <c r="AL384" s="121">
        <f t="shared" si="182"/>
        <v>0</v>
      </c>
      <c r="AM384" s="121">
        <f t="shared" si="183"/>
        <v>0</v>
      </c>
      <c r="AN384" s="121">
        <f t="shared" si="184"/>
        <v>1</v>
      </c>
      <c r="AO384" s="121">
        <f t="shared" si="185"/>
        <v>0</v>
      </c>
      <c r="AP384" s="22">
        <f t="shared" si="186"/>
        <v>0</v>
      </c>
      <c r="AQ384" s="22">
        <f t="shared" si="187"/>
        <v>0</v>
      </c>
      <c r="AR384" s="22">
        <f t="shared" si="188"/>
        <v>0</v>
      </c>
      <c r="AS384" s="121" t="str">
        <f t="shared" si="189"/>
        <v>Crops</v>
      </c>
      <c r="AT384" s="121" t="str">
        <f t="shared" si="210"/>
        <v xml:space="preserve"> </v>
      </c>
      <c r="AU384" s="121" t="str">
        <f t="shared" si="210"/>
        <v xml:space="preserve"> </v>
      </c>
      <c r="AV384" s="121" t="str">
        <f t="shared" si="210"/>
        <v xml:space="preserve"> </v>
      </c>
      <c r="AW384" s="130" t="str">
        <f t="shared" si="211"/>
        <v>100</v>
      </c>
      <c r="AX384" s="130" t="str">
        <f t="shared" si="211"/>
        <v xml:space="preserve"> </v>
      </c>
      <c r="AY384" s="130" t="str">
        <f t="shared" si="211"/>
        <v xml:space="preserve"> </v>
      </c>
      <c r="AZ384" s="130" t="str">
        <f t="shared" si="211"/>
        <v xml:space="preserve"> </v>
      </c>
      <c r="BA384" s="121">
        <f t="shared" si="192"/>
        <v>0</v>
      </c>
      <c r="BB384" s="121">
        <f t="shared" si="193"/>
        <v>0</v>
      </c>
      <c r="BC384" s="121">
        <f t="shared" si="194"/>
        <v>0</v>
      </c>
      <c r="BD384" s="121">
        <f t="shared" si="195"/>
        <v>0</v>
      </c>
      <c r="BE384" s="121">
        <f t="shared" si="196"/>
        <v>0</v>
      </c>
      <c r="BF384" s="121">
        <f t="shared" si="197"/>
        <v>0</v>
      </c>
      <c r="BG384" s="121">
        <f t="shared" si="198"/>
        <v>0</v>
      </c>
      <c r="BH384" s="121">
        <f t="shared" si="199"/>
        <v>0</v>
      </c>
      <c r="BI384" s="121">
        <f t="shared" si="200"/>
        <v>0</v>
      </c>
      <c r="BJ384" s="121">
        <f t="shared" si="201"/>
        <v>0</v>
      </c>
      <c r="BK384" s="121">
        <f t="shared" si="202"/>
        <v>0</v>
      </c>
      <c r="BL384" s="121">
        <f t="shared" si="203"/>
        <v>0</v>
      </c>
      <c r="BM384" s="121">
        <f t="shared" si="204"/>
        <v>0</v>
      </c>
      <c r="BN384" s="121">
        <f t="shared" si="205"/>
        <v>0</v>
      </c>
      <c r="BO384" s="121">
        <f t="shared" si="206"/>
        <v>0</v>
      </c>
      <c r="BP384" s="121">
        <f t="shared" si="207"/>
        <v>0</v>
      </c>
      <c r="BQ384" s="199" t="e">
        <f>INDEX('GDP deflators'!$C$6:$M$36,MATCH('Bottom-up tagging'!$D384,'GDP deflators'!$B$6:$B$36,),MATCH('Bottom-up tagging'!$E384,'GDP deflators'!$C$5:$L$5,))/100</f>
        <v>#N/A</v>
      </c>
      <c r="BR384" s="24">
        <v>280183</v>
      </c>
    </row>
    <row r="385" spans="2:70" ht="26.15" hidden="1" customHeight="1">
      <c r="B385" s="110" t="s">
        <v>1276</v>
      </c>
      <c r="C385" s="110" t="s">
        <v>1279</v>
      </c>
      <c r="D385" s="110" t="s">
        <v>5416</v>
      </c>
      <c r="E385" s="103">
        <v>2018</v>
      </c>
      <c r="F385" s="108" t="s">
        <v>5419</v>
      </c>
      <c r="G385" s="111" t="s">
        <v>34</v>
      </c>
      <c r="H385" s="110" t="s">
        <v>10451</v>
      </c>
      <c r="I385" s="112">
        <f>IF(Dashboard!$B$16="Current USD",'Bottom-up tagging'!BR385,'Bottom-up tagging'!BR385/'Bottom-up tagging'!BQ385)</f>
        <v>233773.99728823258</v>
      </c>
      <c r="J385" s="105" t="s">
        <v>10474</v>
      </c>
      <c r="K385" s="112"/>
      <c r="L385" s="135">
        <v>1</v>
      </c>
      <c r="M385" s="135">
        <v>1</v>
      </c>
      <c r="N385" s="112"/>
      <c r="O385" s="112"/>
      <c r="P385" s="112" t="str">
        <f>VLOOKUP(B385, 'Companies covered restructured'!$B$7:$K$470, 9, FALSE)</f>
        <v>Agri marketplaces</v>
      </c>
      <c r="Q385" s="112" t="str">
        <f>VLOOKUP(B385, 'Companies covered restructured'!$B$7:$K$470, 6, FALSE)</f>
        <v>#Crops(020); #Livestock(080)</v>
      </c>
      <c r="R385" s="112" t="str">
        <f t="shared" si="177"/>
        <v>N/A</v>
      </c>
      <c r="S385" s="112" t="s">
        <v>11003</v>
      </c>
      <c r="T385" s="112" t="s">
        <v>10466</v>
      </c>
      <c r="U385" s="103" t="s">
        <v>10970</v>
      </c>
      <c r="V385" s="112" t="str">
        <f>VLOOKUP(P385, 'Bottom-up Tagging Assumptions'!$B$12:$F$39, 5, FALSE)</f>
        <v>#Process Innovation(100)</v>
      </c>
      <c r="W385" s="112" t="str">
        <f>VLOOKUP(B385, 'Companies covered restructured'!$B$7:$K$470, 7, FALSE)</f>
        <v>#Farm/Household(100)</v>
      </c>
      <c r="X385" s="112" t="s">
        <v>10558</v>
      </c>
      <c r="Y385" s="212" t="str">
        <f>VLOOKUP(P385, 'Bottom-up Tagging Assumptions'!$B$12:$C$56, 2, FALSE)</f>
        <v>#Other Economic(P); Social(S)</v>
      </c>
      <c r="Z385" s="112" t="str">
        <f>VLOOKUP(P385, 'Bottom-up Tagging Assumptions'!$B$12:$F$56, 3, FALSE)</f>
        <v>#Improve price realization(P)</v>
      </c>
      <c r="AA385" s="112" t="str">
        <f>VLOOKUP(P385, 'Bottom-up Tagging Assumptions'!$B$12:$F$56, 4, FALSE)</f>
        <v>#Level 4(100)</v>
      </c>
      <c r="AB385" s="110"/>
      <c r="AC385" s="110"/>
      <c r="AD385" s="110"/>
      <c r="AE385" s="110" t="s">
        <v>10558</v>
      </c>
      <c r="AF385" s="112">
        <v>814923</v>
      </c>
      <c r="AG385" s="110" t="s">
        <v>328</v>
      </c>
      <c r="AH385" s="121">
        <f t="shared" si="178"/>
        <v>0</v>
      </c>
      <c r="AI385" s="121">
        <f t="shared" si="179"/>
        <v>0</v>
      </c>
      <c r="AJ385" s="121">
        <f t="shared" si="180"/>
        <v>1</v>
      </c>
      <c r="AK385" s="121">
        <f t="shared" si="181"/>
        <v>1</v>
      </c>
      <c r="AL385" s="121">
        <f t="shared" si="182"/>
        <v>0</v>
      </c>
      <c r="AM385" s="121">
        <f t="shared" si="183"/>
        <v>0</v>
      </c>
      <c r="AN385" s="121">
        <f t="shared" si="184"/>
        <v>1</v>
      </c>
      <c r="AO385" s="121">
        <f t="shared" si="185"/>
        <v>0</v>
      </c>
      <c r="AP385" s="22">
        <f t="shared" si="186"/>
        <v>0</v>
      </c>
      <c r="AQ385" s="22">
        <f t="shared" si="187"/>
        <v>233773.99728823258</v>
      </c>
      <c r="AR385" s="22">
        <f t="shared" si="188"/>
        <v>0</v>
      </c>
      <c r="AS385" s="121" t="str">
        <f t="shared" si="189"/>
        <v>Crops</v>
      </c>
      <c r="AT385" s="121" t="str">
        <f t="shared" si="210"/>
        <v>Livestock</v>
      </c>
      <c r="AU385" s="121" t="str">
        <f t="shared" si="210"/>
        <v xml:space="preserve"> </v>
      </c>
      <c r="AV385" s="121" t="str">
        <f t="shared" si="210"/>
        <v xml:space="preserve"> </v>
      </c>
      <c r="AW385" s="130" t="str">
        <f t="shared" si="211"/>
        <v>020</v>
      </c>
      <c r="AX385" s="130" t="str">
        <f t="shared" si="211"/>
        <v>080</v>
      </c>
      <c r="AY385" s="130" t="str">
        <f t="shared" si="211"/>
        <v xml:space="preserve"> </v>
      </c>
      <c r="AZ385" s="130" t="str">
        <f t="shared" si="211"/>
        <v xml:space="preserve"> </v>
      </c>
      <c r="BA385" s="121">
        <f t="shared" si="192"/>
        <v>46754.799457646513</v>
      </c>
      <c r="BB385" s="121">
        <f t="shared" si="193"/>
        <v>187019.19783058605</v>
      </c>
      <c r="BC385" s="121">
        <f t="shared" si="194"/>
        <v>0</v>
      </c>
      <c r="BD385" s="121">
        <f t="shared" si="195"/>
        <v>0</v>
      </c>
      <c r="BE385" s="121">
        <f t="shared" si="196"/>
        <v>0</v>
      </c>
      <c r="BF385" s="121">
        <f t="shared" si="197"/>
        <v>0</v>
      </c>
      <c r="BG385" s="121">
        <f t="shared" si="198"/>
        <v>0</v>
      </c>
      <c r="BH385" s="121">
        <f t="shared" si="199"/>
        <v>0</v>
      </c>
      <c r="BI385" s="121">
        <f t="shared" si="200"/>
        <v>46754.799457646513</v>
      </c>
      <c r="BJ385" s="121">
        <f t="shared" si="201"/>
        <v>187019.19783058605</v>
      </c>
      <c r="BK385" s="121">
        <f t="shared" si="202"/>
        <v>233773.99728823258</v>
      </c>
      <c r="BL385" s="121">
        <f t="shared" si="203"/>
        <v>233773.99728823258</v>
      </c>
      <c r="BM385" s="121">
        <f t="shared" si="204"/>
        <v>0</v>
      </c>
      <c r="BN385" s="121">
        <f t="shared" si="205"/>
        <v>0</v>
      </c>
      <c r="BO385" s="121">
        <f t="shared" si="206"/>
        <v>0</v>
      </c>
      <c r="BP385" s="121">
        <f t="shared" si="207"/>
        <v>0</v>
      </c>
      <c r="BQ385" s="199">
        <f>INDEX('GDP deflators'!$C$6:$M$36,MATCH('Bottom-up tagging'!$D385,'GDP deflators'!$B$6:$B$36,),MATCH('Bottom-up tagging'!$E385,'GDP deflators'!$C$5:$L$5,))/100</f>
        <v>1.1755156826153683</v>
      </c>
      <c r="BR385" s="24">
        <v>274805</v>
      </c>
    </row>
    <row r="386" spans="2:70" ht="26.15" hidden="1" customHeight="1">
      <c r="B386" s="110" t="s">
        <v>1490</v>
      </c>
      <c r="C386" s="110" t="s">
        <v>1495</v>
      </c>
      <c r="D386" s="110" t="s">
        <v>3994</v>
      </c>
      <c r="E386" s="103">
        <v>2018</v>
      </c>
      <c r="F386" s="108" t="s">
        <v>6997</v>
      </c>
      <c r="G386" s="111" t="s">
        <v>34</v>
      </c>
      <c r="H386" s="110" t="s">
        <v>10451</v>
      </c>
      <c r="I386" s="112">
        <f>IF(Dashboard!$B$16="Current USD",'Bottom-up tagging'!BR386,'Bottom-up tagging'!BR386/'Bottom-up tagging'!BQ386)</f>
        <v>186239.12415371477</v>
      </c>
      <c r="J386" s="105" t="s">
        <v>10474</v>
      </c>
      <c r="K386" s="112"/>
      <c r="L386" s="135">
        <v>1</v>
      </c>
      <c r="M386" s="135">
        <v>1</v>
      </c>
      <c r="N386" s="112"/>
      <c r="O386" s="112"/>
      <c r="P386" s="112" t="str">
        <f>VLOOKUP(B386, 'Companies covered restructured'!$B$7:$K$470, 9, FALSE)</f>
        <v>AI/analytics based advisory algorithms (incl. weather)</v>
      </c>
      <c r="Q386" s="112" t="str">
        <f>VLOOKUP(B386, 'Companies covered restructured'!$B$7:$K$470, 6, FALSE)</f>
        <v>#Crops(100)</v>
      </c>
      <c r="R386" s="112" t="str">
        <f t="shared" si="177"/>
        <v>#Investment Fund(100)</v>
      </c>
      <c r="S386" s="112" t="s">
        <v>11003</v>
      </c>
      <c r="T386" s="112" t="s">
        <v>10466</v>
      </c>
      <c r="U386" s="103" t="s">
        <v>10970</v>
      </c>
      <c r="V386" s="112" t="str">
        <f>VLOOKUP(P386, 'Bottom-up Tagging Assumptions'!$B$12:$F$39, 5, FALSE)</f>
        <v>#Science &amp; tech(100)</v>
      </c>
      <c r="W386" s="112" t="str">
        <f>VLOOKUP(B386, 'Companies covered restructured'!$B$7:$K$470, 7, FALSE)</f>
        <v>#Field/Animal Herd(100)</v>
      </c>
      <c r="X386" s="112" t="s">
        <v>10558</v>
      </c>
      <c r="Y386" s="212" t="str">
        <f>VLOOKUP(P386, 'Bottom-up Tagging Assumptions'!$B$12:$C$56, 2, FALSE)</f>
        <v>#Other Economic(P); #Productivity(S)</v>
      </c>
      <c r="Z386" s="112" t="str">
        <f>VLOOKUP(P386, 'Bottom-up Tagging Assumptions'!$B$12:$F$56, 3, FALSE)</f>
        <v>#Increasing output per unit input(P); #Increasing crop or animal yield(S)</v>
      </c>
      <c r="AA386" s="112" t="str">
        <f>VLOOKUP(P386, 'Bottom-up Tagging Assumptions'!$B$12:$F$56, 4, FALSE)</f>
        <v>#Level 1(100)</v>
      </c>
      <c r="AB386" s="110" t="s">
        <v>1492</v>
      </c>
      <c r="AC386" s="110" t="s">
        <v>1493</v>
      </c>
      <c r="AD386" s="110" t="s">
        <v>1467</v>
      </c>
      <c r="AE386" s="110" t="str">
        <f>VLOOKUP(AD386,  '1.2'!$B$7:$C$2033, 2, FALSE)</f>
        <v>FUND</v>
      </c>
      <c r="AF386" s="112">
        <v>214702</v>
      </c>
      <c r="AG386" s="110" t="s">
        <v>1851</v>
      </c>
      <c r="AH386" s="121">
        <f t="shared" si="178"/>
        <v>0</v>
      </c>
      <c r="AI386" s="121">
        <f t="shared" si="179"/>
        <v>1</v>
      </c>
      <c r="AJ386" s="121">
        <f t="shared" si="180"/>
        <v>1</v>
      </c>
      <c r="AK386" s="121">
        <f t="shared" si="181"/>
        <v>0</v>
      </c>
      <c r="AL386" s="121">
        <f t="shared" si="182"/>
        <v>0</v>
      </c>
      <c r="AM386" s="121">
        <f t="shared" si="183"/>
        <v>0</v>
      </c>
      <c r="AN386" s="121">
        <f t="shared" si="184"/>
        <v>0</v>
      </c>
      <c r="AO386" s="121">
        <f t="shared" si="185"/>
        <v>0</v>
      </c>
      <c r="AP386" s="22">
        <f t="shared" si="186"/>
        <v>0</v>
      </c>
      <c r="AQ386" s="22">
        <f t="shared" si="187"/>
        <v>0</v>
      </c>
      <c r="AR386" s="22">
        <f t="shared" si="188"/>
        <v>0</v>
      </c>
      <c r="AS386" s="121" t="str">
        <f t="shared" si="189"/>
        <v>Crops</v>
      </c>
      <c r="AT386" s="121" t="str">
        <f t="shared" si="210"/>
        <v xml:space="preserve"> </v>
      </c>
      <c r="AU386" s="121" t="str">
        <f t="shared" si="210"/>
        <v xml:space="preserve"> </v>
      </c>
      <c r="AV386" s="121" t="str">
        <f t="shared" si="210"/>
        <v xml:space="preserve"> </v>
      </c>
      <c r="AW386" s="130" t="str">
        <f t="shared" si="211"/>
        <v>100</v>
      </c>
      <c r="AX386" s="130" t="str">
        <f t="shared" si="211"/>
        <v xml:space="preserve"> </v>
      </c>
      <c r="AY386" s="130" t="str">
        <f t="shared" si="211"/>
        <v xml:space="preserve"> </v>
      </c>
      <c r="AZ386" s="130" t="str">
        <f t="shared" si="211"/>
        <v xml:space="preserve"> </v>
      </c>
      <c r="BA386" s="121">
        <f t="shared" si="192"/>
        <v>186239.12415371477</v>
      </c>
      <c r="BB386" s="121">
        <f t="shared" si="193"/>
        <v>0</v>
      </c>
      <c r="BC386" s="121">
        <f t="shared" si="194"/>
        <v>0</v>
      </c>
      <c r="BD386" s="121">
        <f t="shared" si="195"/>
        <v>0</v>
      </c>
      <c r="BE386" s="121">
        <f t="shared" si="196"/>
        <v>0</v>
      </c>
      <c r="BF386" s="121">
        <f t="shared" si="197"/>
        <v>0</v>
      </c>
      <c r="BG386" s="121">
        <f t="shared" si="198"/>
        <v>0</v>
      </c>
      <c r="BH386" s="121">
        <f t="shared" si="199"/>
        <v>0</v>
      </c>
      <c r="BI386" s="121">
        <f t="shared" si="200"/>
        <v>0</v>
      </c>
      <c r="BJ386" s="121">
        <f t="shared" si="201"/>
        <v>0</v>
      </c>
      <c r="BK386" s="121">
        <f t="shared" si="202"/>
        <v>0</v>
      </c>
      <c r="BL386" s="121">
        <f t="shared" si="203"/>
        <v>0</v>
      </c>
      <c r="BM386" s="121">
        <f t="shared" si="204"/>
        <v>0</v>
      </c>
      <c r="BN386" s="121">
        <f t="shared" si="205"/>
        <v>0</v>
      </c>
      <c r="BO386" s="121">
        <f t="shared" si="206"/>
        <v>0</v>
      </c>
      <c r="BP386" s="121">
        <f t="shared" si="207"/>
        <v>0</v>
      </c>
      <c r="BQ386" s="199">
        <f>INDEX('GDP deflators'!$C$6:$M$36,MATCH('Bottom-up tagging'!$D386,'GDP deflators'!$B$6:$B$36,),MATCH('Bottom-up tagging'!$E386,'GDP deflators'!$C$5:$L$5,))/100</f>
        <v>1.4753935363936217</v>
      </c>
      <c r="BR386" s="24">
        <v>274776</v>
      </c>
    </row>
    <row r="387" spans="2:70" ht="26.15" hidden="1" customHeight="1">
      <c r="B387" s="110" t="s">
        <v>783</v>
      </c>
      <c r="C387" s="110" t="s">
        <v>788</v>
      </c>
      <c r="D387" s="110" t="s">
        <v>5208</v>
      </c>
      <c r="E387" s="103">
        <v>2017</v>
      </c>
      <c r="F387" s="108" t="s">
        <v>6110</v>
      </c>
      <c r="G387" s="111" t="s">
        <v>34</v>
      </c>
      <c r="H387" s="110" t="s">
        <v>10451</v>
      </c>
      <c r="I387" s="112">
        <f>IF(Dashboard!$B$16="Current USD",'Bottom-up tagging'!BR387,'Bottom-up tagging'!BR387/'Bottom-up tagging'!BQ387)</f>
        <v>156702.46579805718</v>
      </c>
      <c r="J387" s="118" t="s">
        <v>10474</v>
      </c>
      <c r="K387" s="112"/>
      <c r="L387" s="135">
        <v>1</v>
      </c>
      <c r="M387" s="135">
        <v>1</v>
      </c>
      <c r="N387" s="112"/>
      <c r="O387" s="112"/>
      <c r="P387" s="112" t="str">
        <f>VLOOKUP(B387, 'Companies covered restructured'!$B$7:$K$470, 9, FALSE)</f>
        <v>AI/analytics based advisory algorithms (incl. weather)</v>
      </c>
      <c r="Q387" s="112" t="str">
        <f>VLOOKUP(B387, 'Companies covered restructured'!$B$7:$K$470, 6, FALSE)</f>
        <v>#Crops(100)</v>
      </c>
      <c r="R387" s="112" t="str">
        <f t="shared" si="177"/>
        <v>N/A</v>
      </c>
      <c r="S387" s="112" t="s">
        <v>11003</v>
      </c>
      <c r="T387" s="112" t="s">
        <v>10466</v>
      </c>
      <c r="U387" s="103" t="s">
        <v>10970</v>
      </c>
      <c r="V387" s="112" t="str">
        <f>VLOOKUP(P387, 'Bottom-up Tagging Assumptions'!$B$12:$F$39, 5, FALSE)</f>
        <v>#Science &amp; tech(100)</v>
      </c>
      <c r="W387" s="112" t="str">
        <f>VLOOKUP(B387, 'Companies covered restructured'!$B$7:$K$470, 7, FALSE)</f>
        <v>#Field/Animal Herd(100)</v>
      </c>
      <c r="X387" s="112" t="s">
        <v>10558</v>
      </c>
      <c r="Y387" s="212" t="str">
        <f>VLOOKUP(P387, 'Bottom-up Tagging Assumptions'!$B$12:$C$56, 2, FALSE)</f>
        <v>#Other Economic(P); #Productivity(S)</v>
      </c>
      <c r="Z387" s="112" t="str">
        <f>VLOOKUP(P387, 'Bottom-up Tagging Assumptions'!$B$12:$F$56, 3, FALSE)</f>
        <v>#Increasing output per unit input(P); #Increasing crop or animal yield(S)</v>
      </c>
      <c r="AA387" s="112" t="str">
        <f>VLOOKUP(P387, 'Bottom-up Tagging Assumptions'!$B$12:$F$56, 4, FALSE)</f>
        <v>#Level 1(100)</v>
      </c>
      <c r="AB387" s="110" t="s">
        <v>2067</v>
      </c>
      <c r="AC387" s="110"/>
      <c r="AD387" s="110"/>
      <c r="AE387" s="110" t="s">
        <v>10558</v>
      </c>
      <c r="AF387" s="112">
        <v>212000</v>
      </c>
      <c r="AG387" s="110" t="s">
        <v>2115</v>
      </c>
      <c r="AH387" s="121">
        <f t="shared" si="178"/>
        <v>0</v>
      </c>
      <c r="AI387" s="121">
        <f t="shared" si="179"/>
        <v>1</v>
      </c>
      <c r="AJ387" s="121">
        <f t="shared" si="180"/>
        <v>1</v>
      </c>
      <c r="AK387" s="121">
        <f t="shared" si="181"/>
        <v>0</v>
      </c>
      <c r="AL387" s="121">
        <f t="shared" si="182"/>
        <v>0</v>
      </c>
      <c r="AM387" s="121">
        <f t="shared" si="183"/>
        <v>0</v>
      </c>
      <c r="AN387" s="121">
        <f t="shared" si="184"/>
        <v>0</v>
      </c>
      <c r="AO387" s="121">
        <f t="shared" si="185"/>
        <v>0</v>
      </c>
      <c r="AP387" s="22">
        <f t="shared" si="186"/>
        <v>0</v>
      </c>
      <c r="AQ387" s="22">
        <f t="shared" si="187"/>
        <v>0</v>
      </c>
      <c r="AR387" s="22">
        <f t="shared" si="188"/>
        <v>0</v>
      </c>
      <c r="AS387" s="121" t="str">
        <f t="shared" si="189"/>
        <v>Crops</v>
      </c>
      <c r="AT387" s="121" t="str">
        <f t="shared" si="210"/>
        <v xml:space="preserve"> </v>
      </c>
      <c r="AU387" s="121" t="str">
        <f t="shared" si="210"/>
        <v xml:space="preserve"> </v>
      </c>
      <c r="AV387" s="121" t="str">
        <f t="shared" si="210"/>
        <v xml:space="preserve"> </v>
      </c>
      <c r="AW387" s="130" t="str">
        <f t="shared" si="211"/>
        <v>100</v>
      </c>
      <c r="AX387" s="130" t="str">
        <f t="shared" si="211"/>
        <v xml:space="preserve"> </v>
      </c>
      <c r="AY387" s="130" t="str">
        <f t="shared" si="211"/>
        <v xml:space="preserve"> </v>
      </c>
      <c r="AZ387" s="130" t="str">
        <f t="shared" si="211"/>
        <v xml:space="preserve"> </v>
      </c>
      <c r="BA387" s="121">
        <f t="shared" si="192"/>
        <v>156702.46579805718</v>
      </c>
      <c r="BB387" s="121">
        <f t="shared" si="193"/>
        <v>0</v>
      </c>
      <c r="BC387" s="121">
        <f t="shared" si="194"/>
        <v>0</v>
      </c>
      <c r="BD387" s="121">
        <f t="shared" si="195"/>
        <v>0</v>
      </c>
      <c r="BE387" s="121">
        <f t="shared" si="196"/>
        <v>0</v>
      </c>
      <c r="BF387" s="121">
        <f t="shared" si="197"/>
        <v>0</v>
      </c>
      <c r="BG387" s="121">
        <f t="shared" si="198"/>
        <v>0</v>
      </c>
      <c r="BH387" s="121">
        <f t="shared" si="199"/>
        <v>0</v>
      </c>
      <c r="BI387" s="121">
        <f t="shared" si="200"/>
        <v>0</v>
      </c>
      <c r="BJ387" s="121">
        <f t="shared" si="201"/>
        <v>0</v>
      </c>
      <c r="BK387" s="121">
        <f t="shared" si="202"/>
        <v>0</v>
      </c>
      <c r="BL387" s="121">
        <f t="shared" si="203"/>
        <v>0</v>
      </c>
      <c r="BM387" s="121">
        <f t="shared" si="204"/>
        <v>0</v>
      </c>
      <c r="BN387" s="121">
        <f t="shared" si="205"/>
        <v>0</v>
      </c>
      <c r="BO387" s="121">
        <f t="shared" si="206"/>
        <v>0</v>
      </c>
      <c r="BP387" s="121">
        <f t="shared" si="207"/>
        <v>0</v>
      </c>
      <c r="BQ387" s="199">
        <f>INDEX('GDP deflators'!$C$6:$M$36,MATCH('Bottom-up tagging'!$D387,'GDP deflators'!$B$6:$B$36,),MATCH('Bottom-up tagging'!$E387,'GDP deflators'!$C$5:$L$5,))/100</f>
        <v>1.6336692514456523</v>
      </c>
      <c r="BR387" s="24">
        <v>256000</v>
      </c>
    </row>
    <row r="388" spans="2:70" ht="26.15" hidden="1" customHeight="1">
      <c r="B388" s="110" t="s">
        <v>2651</v>
      </c>
      <c r="C388" s="110" t="s">
        <v>2656</v>
      </c>
      <c r="D388" s="110" t="s">
        <v>3994</v>
      </c>
      <c r="E388" s="103">
        <v>2012</v>
      </c>
      <c r="F388" s="108" t="s">
        <v>9450</v>
      </c>
      <c r="G388" s="111" t="s">
        <v>124</v>
      </c>
      <c r="H388" s="110" t="s">
        <v>10451</v>
      </c>
      <c r="I388" s="112">
        <f>IF(Dashboard!$B$16="Current USD",'Bottom-up tagging'!BR388,'Bottom-up tagging'!BR388/'Bottom-up tagging'!BQ388)</f>
        <v>214249.33863240288</v>
      </c>
      <c r="J388" s="105" t="s">
        <v>10474</v>
      </c>
      <c r="K388" s="112"/>
      <c r="L388" s="135">
        <v>1</v>
      </c>
      <c r="M388" s="135">
        <v>1</v>
      </c>
      <c r="N388" s="112"/>
      <c r="O388" s="112"/>
      <c r="P388" s="112" t="str">
        <f>VLOOKUP(B388, 'Companies covered restructured'!$B$7:$K$470, 9, FALSE)</f>
        <v>Plant breeding &amp; biofortification</v>
      </c>
      <c r="Q388" s="112" t="str">
        <f>VLOOKUP(B388, 'Companies covered restructured'!$B$7:$K$470, 6, FALSE)</f>
        <v>#Crops(100)</v>
      </c>
      <c r="R388" s="112" t="str">
        <f t="shared" si="177"/>
        <v>#Angel Investor(100)</v>
      </c>
      <c r="S388" s="112" t="s">
        <v>11003</v>
      </c>
      <c r="T388" s="112" t="s">
        <v>10466</v>
      </c>
      <c r="U388" s="103" t="s">
        <v>10970</v>
      </c>
      <c r="V388" s="112" t="str">
        <f>VLOOKUP(P388, 'Bottom-up Tagging Assumptions'!$B$12:$F$39, 5, FALSE)</f>
        <v>#Process Innovation(100)</v>
      </c>
      <c r="W388" s="112" t="str">
        <f>VLOOKUP(B388, 'Companies covered restructured'!$B$7:$K$470, 7, FALSE)</f>
        <v>N/A</v>
      </c>
      <c r="X388" s="112" t="str">
        <f>VLOOKUP(B388, 'Companies covered restructured'!$B$7:$K$470, 8, FALSE)</f>
        <v>#Large(100)</v>
      </c>
      <c r="Y388" s="212" t="str">
        <f>VLOOKUP(P388, 'Bottom-up Tagging Assumptions'!$B$12:$C$56, 2, FALSE)</f>
        <v>#Human Condition(P); Productivity(S)</v>
      </c>
      <c r="Z388" s="112" t="str">
        <f>VLOOKUP(P388, 'Bottom-up Tagging Assumptions'!$B$12:$F$56, 3, FALSE)</f>
        <v>#Improved nutrition(P)</v>
      </c>
      <c r="AA388" s="112" t="str">
        <f>VLOOKUP(P388, 'Bottom-up Tagging Assumptions'!$B$12:$F$56, 4, FALSE)</f>
        <v>#Level 1(100)</v>
      </c>
      <c r="AB388" s="110"/>
      <c r="AC388" s="110" t="s">
        <v>3001</v>
      </c>
      <c r="AD388" s="110" t="s">
        <v>3002</v>
      </c>
      <c r="AE388" s="110" t="str">
        <f>VLOOKUP(AD388,  '1.2'!$B$7:$C$2033, 2, FALSE)</f>
        <v>ANGEL</v>
      </c>
      <c r="AF388" s="112">
        <v>152000</v>
      </c>
      <c r="AG388" s="110" t="s">
        <v>2519</v>
      </c>
      <c r="AH388" s="121">
        <f t="shared" si="178"/>
        <v>0</v>
      </c>
      <c r="AI388" s="121">
        <f t="shared" si="179"/>
        <v>1</v>
      </c>
      <c r="AJ388" s="121">
        <f t="shared" si="180"/>
        <v>0</v>
      </c>
      <c r="AK388" s="121">
        <f t="shared" si="181"/>
        <v>0</v>
      </c>
      <c r="AL388" s="121">
        <f t="shared" si="182"/>
        <v>1</v>
      </c>
      <c r="AM388" s="121">
        <f t="shared" si="183"/>
        <v>0</v>
      </c>
      <c r="AN388" s="121">
        <f t="shared" si="184"/>
        <v>1</v>
      </c>
      <c r="AO388" s="121">
        <f t="shared" si="185"/>
        <v>0</v>
      </c>
      <c r="AP388" s="22">
        <f t="shared" si="186"/>
        <v>0</v>
      </c>
      <c r="AQ388" s="22">
        <f t="shared" si="187"/>
        <v>214249.33863240288</v>
      </c>
      <c r="AR388" s="22">
        <f t="shared" si="188"/>
        <v>0</v>
      </c>
      <c r="AS388" s="121" t="str">
        <f t="shared" si="189"/>
        <v>Crops</v>
      </c>
      <c r="AT388" s="121" t="str">
        <f t="shared" si="210"/>
        <v xml:space="preserve"> </v>
      </c>
      <c r="AU388" s="121" t="str">
        <f t="shared" si="210"/>
        <v xml:space="preserve"> </v>
      </c>
      <c r="AV388" s="121" t="str">
        <f t="shared" si="210"/>
        <v xml:space="preserve"> </v>
      </c>
      <c r="AW388" s="130" t="str">
        <f t="shared" si="211"/>
        <v>100</v>
      </c>
      <c r="AX388" s="130" t="str">
        <f t="shared" si="211"/>
        <v xml:space="preserve"> </v>
      </c>
      <c r="AY388" s="130" t="str">
        <f t="shared" si="211"/>
        <v xml:space="preserve"> </v>
      </c>
      <c r="AZ388" s="130" t="str">
        <f t="shared" si="211"/>
        <v xml:space="preserve"> </v>
      </c>
      <c r="BA388" s="121">
        <f t="shared" si="192"/>
        <v>214249.33863240285</v>
      </c>
      <c r="BB388" s="121">
        <f t="shared" si="193"/>
        <v>0</v>
      </c>
      <c r="BC388" s="121">
        <f t="shared" si="194"/>
        <v>0</v>
      </c>
      <c r="BD388" s="121">
        <f t="shared" si="195"/>
        <v>0</v>
      </c>
      <c r="BE388" s="121">
        <f t="shared" si="196"/>
        <v>0</v>
      </c>
      <c r="BF388" s="121">
        <f t="shared" si="197"/>
        <v>0</v>
      </c>
      <c r="BG388" s="121">
        <f t="shared" si="198"/>
        <v>0</v>
      </c>
      <c r="BH388" s="121">
        <f t="shared" si="199"/>
        <v>0</v>
      </c>
      <c r="BI388" s="121">
        <f t="shared" si="200"/>
        <v>214249.33863240285</v>
      </c>
      <c r="BJ388" s="121">
        <f t="shared" si="201"/>
        <v>214249.33863240288</v>
      </c>
      <c r="BK388" s="121">
        <f t="shared" si="202"/>
        <v>214249.33863240288</v>
      </c>
      <c r="BL388" s="121">
        <f t="shared" si="203"/>
        <v>214249.33863240288</v>
      </c>
      <c r="BM388" s="121">
        <f t="shared" si="204"/>
        <v>0</v>
      </c>
      <c r="BN388" s="121">
        <f t="shared" si="205"/>
        <v>0</v>
      </c>
      <c r="BO388" s="121">
        <f t="shared" si="206"/>
        <v>0</v>
      </c>
      <c r="BP388" s="121">
        <f t="shared" si="207"/>
        <v>0</v>
      </c>
      <c r="BQ388" s="199">
        <f>INDEX('GDP deflators'!$C$6:$M$36,MATCH('Bottom-up tagging'!$D388,'GDP deflators'!$B$6:$B$36,),MATCH('Bottom-up tagging'!$E388,'GDP deflators'!$C$5:$L$5,))/100</f>
        <v>1.1736092237438145</v>
      </c>
      <c r="BR388" s="24">
        <v>251445</v>
      </c>
    </row>
    <row r="389" spans="2:70" ht="26.15" customHeight="1">
      <c r="B389" s="110" t="s">
        <v>656</v>
      </c>
      <c r="C389" s="110" t="s">
        <v>660</v>
      </c>
      <c r="D389" s="110" t="s">
        <v>5391</v>
      </c>
      <c r="E389" s="103">
        <v>2019</v>
      </c>
      <c r="F389" s="108" t="s">
        <v>5394</v>
      </c>
      <c r="G389" s="111" t="s">
        <v>34</v>
      </c>
      <c r="H389" s="110" t="s">
        <v>10451</v>
      </c>
      <c r="I389" s="112">
        <f>IF(Dashboard!$B$16="Current USD",'Bottom-up tagging'!BR389,'Bottom-up tagging'!BR389/'Bottom-up tagging'!BQ389)</f>
        <v>132308.37149852494</v>
      </c>
      <c r="J389" s="118" t="s">
        <v>10474</v>
      </c>
      <c r="K389" s="112"/>
      <c r="L389" s="135">
        <v>1</v>
      </c>
      <c r="M389" s="135">
        <v>1</v>
      </c>
      <c r="N389" s="112"/>
      <c r="O389" s="112"/>
      <c r="P389" s="112" t="str">
        <f>VLOOKUP(B389, 'Companies covered restructured'!$B$7:$K$470, 9, FALSE)</f>
        <v>Agri marketplaces</v>
      </c>
      <c r="Q389" s="112" t="str">
        <f>VLOOKUP(B389, 'Companies covered restructured'!$B$7:$K$470, 6, FALSE)</f>
        <v>#Crops(100)</v>
      </c>
      <c r="R389" s="112" t="str">
        <f t="shared" si="177"/>
        <v>#Investment Fund(100)</v>
      </c>
      <c r="S389" s="112" t="s">
        <v>11003</v>
      </c>
      <c r="T389" s="112" t="s">
        <v>10466</v>
      </c>
      <c r="U389" s="103" t="s">
        <v>10970</v>
      </c>
      <c r="V389" s="112" t="str">
        <f>VLOOKUP(P389, 'Bottom-up Tagging Assumptions'!$B$12:$F$39, 5, FALSE)</f>
        <v>#Process Innovation(100)</v>
      </c>
      <c r="W389" s="112" t="str">
        <f>VLOOKUP(B389, 'Companies covered restructured'!$B$7:$K$470, 7, FALSE)</f>
        <v>#Farm/Household(100)</v>
      </c>
      <c r="X389" s="112" t="s">
        <v>10558</v>
      </c>
      <c r="Y389" s="212" t="str">
        <f>VLOOKUP(P389, 'Bottom-up Tagging Assumptions'!$B$12:$C$56, 2, FALSE)</f>
        <v>#Other Economic(P); Social(S)</v>
      </c>
      <c r="Z389" s="112" t="str">
        <f>VLOOKUP(P389, 'Bottom-up Tagging Assumptions'!$B$12:$F$56, 3, FALSE)</f>
        <v>#Improve price realization(P)</v>
      </c>
      <c r="AA389" s="112" t="str">
        <f>VLOOKUP(P389, 'Bottom-up Tagging Assumptions'!$B$12:$F$56, 4, FALSE)</f>
        <v>#Level 4(100)</v>
      </c>
      <c r="AB389" s="110" t="s">
        <v>658</v>
      </c>
      <c r="AC389" s="110"/>
      <c r="AD389" s="110" t="s">
        <v>659</v>
      </c>
      <c r="AE389" s="110" t="str">
        <f>VLOOKUP(AD389,  '1.2'!$B$7:$C$2033, 2, FALSE)</f>
        <v>FUND</v>
      </c>
      <c r="AF389" s="112">
        <v>793956</v>
      </c>
      <c r="AG389" s="110" t="s">
        <v>2277</v>
      </c>
      <c r="AH389" s="121">
        <f t="shared" si="178"/>
        <v>0</v>
      </c>
      <c r="AI389" s="121">
        <f t="shared" si="179"/>
        <v>0</v>
      </c>
      <c r="AJ389" s="121">
        <f t="shared" si="180"/>
        <v>1</v>
      </c>
      <c r="AK389" s="121">
        <f t="shared" si="181"/>
        <v>1</v>
      </c>
      <c r="AL389" s="121">
        <f t="shared" si="182"/>
        <v>0</v>
      </c>
      <c r="AM389" s="121">
        <f t="shared" si="183"/>
        <v>0</v>
      </c>
      <c r="AN389" s="121">
        <f t="shared" si="184"/>
        <v>1</v>
      </c>
      <c r="AO389" s="121">
        <f t="shared" si="185"/>
        <v>0</v>
      </c>
      <c r="AP389" s="22">
        <f t="shared" si="186"/>
        <v>0</v>
      </c>
      <c r="AQ389" s="22">
        <f t="shared" si="187"/>
        <v>132308.37149852494</v>
      </c>
      <c r="AR389" s="22">
        <f t="shared" si="188"/>
        <v>0</v>
      </c>
      <c r="AS389" s="121" t="str">
        <f t="shared" si="189"/>
        <v>Crops</v>
      </c>
      <c r="AT389" s="121" t="str">
        <f t="shared" si="210"/>
        <v xml:space="preserve"> </v>
      </c>
      <c r="AU389" s="121" t="str">
        <f t="shared" si="210"/>
        <v xml:space="preserve"> </v>
      </c>
      <c r="AV389" s="121" t="str">
        <f t="shared" si="210"/>
        <v xml:space="preserve"> </v>
      </c>
      <c r="AW389" s="130" t="str">
        <f t="shared" si="211"/>
        <v>100</v>
      </c>
      <c r="AX389" s="130" t="str">
        <f t="shared" si="211"/>
        <v xml:space="preserve"> </v>
      </c>
      <c r="AY389" s="130" t="str">
        <f t="shared" si="211"/>
        <v xml:space="preserve"> </v>
      </c>
      <c r="AZ389" s="130" t="str">
        <f t="shared" si="211"/>
        <v xml:space="preserve"> </v>
      </c>
      <c r="BA389" s="121">
        <f t="shared" si="192"/>
        <v>132308.37149852494</v>
      </c>
      <c r="BB389" s="121">
        <f t="shared" si="193"/>
        <v>0</v>
      </c>
      <c r="BC389" s="121">
        <f t="shared" si="194"/>
        <v>0</v>
      </c>
      <c r="BD389" s="121">
        <f t="shared" si="195"/>
        <v>0</v>
      </c>
      <c r="BE389" s="121">
        <f t="shared" si="196"/>
        <v>0</v>
      </c>
      <c r="BF389" s="121">
        <f t="shared" si="197"/>
        <v>0</v>
      </c>
      <c r="BG389" s="121">
        <f t="shared" si="198"/>
        <v>0</v>
      </c>
      <c r="BH389" s="121">
        <f t="shared" si="199"/>
        <v>0</v>
      </c>
      <c r="BI389" s="121">
        <f t="shared" si="200"/>
        <v>132308.37149852494</v>
      </c>
      <c r="BJ389" s="121">
        <f t="shared" si="201"/>
        <v>132308.37149852494</v>
      </c>
      <c r="BK389" s="121">
        <f t="shared" si="202"/>
        <v>132308.37149852494</v>
      </c>
      <c r="BL389" s="121">
        <f t="shared" si="203"/>
        <v>132308.37149852494</v>
      </c>
      <c r="BM389" s="121">
        <f t="shared" si="204"/>
        <v>0</v>
      </c>
      <c r="BN389" s="121">
        <f t="shared" si="205"/>
        <v>0</v>
      </c>
      <c r="BO389" s="121">
        <f t="shared" si="206"/>
        <v>0</v>
      </c>
      <c r="BP389" s="121">
        <f t="shared" si="207"/>
        <v>0</v>
      </c>
      <c r="BQ389" s="199">
        <f>INDEX('GDP deflators'!$C$6:$M$36,MATCH('Bottom-up tagging'!$D389,'GDP deflators'!$B$6:$B$36,),MATCH('Bottom-up tagging'!$E389,'GDP deflators'!$C$5:$L$5,))/100</f>
        <v>1.8895251839962912</v>
      </c>
      <c r="BR389" s="24">
        <v>250000</v>
      </c>
    </row>
    <row r="390" spans="2:70" ht="26.15" hidden="1" customHeight="1">
      <c r="B390" s="110" t="s">
        <v>1282</v>
      </c>
      <c r="C390" s="110" t="s">
        <v>1286</v>
      </c>
      <c r="D390" s="110" t="s">
        <v>5524</v>
      </c>
      <c r="E390" s="103">
        <v>2018</v>
      </c>
      <c r="F390" s="108" t="s">
        <v>7640</v>
      </c>
      <c r="G390" s="111" t="s">
        <v>184</v>
      </c>
      <c r="H390" s="110" t="s">
        <v>10451</v>
      </c>
      <c r="I390" s="112">
        <f>IF(Dashboard!$B$16="Current USD",'Bottom-up tagging'!BR390,'Bottom-up tagging'!BR390/'Bottom-up tagging'!BQ390)</f>
        <v>64018.638384726422</v>
      </c>
      <c r="J390" s="105" t="s">
        <v>10474</v>
      </c>
      <c r="K390" s="112"/>
      <c r="L390" s="135">
        <v>1</v>
      </c>
      <c r="M390" s="135">
        <v>1</v>
      </c>
      <c r="N390" s="112"/>
      <c r="O390" s="112"/>
      <c r="P390" s="112" t="str">
        <f>VLOOKUP(B390, 'Companies covered restructured'!$B$7:$K$470, 9, FALSE)</f>
        <v>Supply chain technologies</v>
      </c>
      <c r="Q390" s="112" t="str">
        <f>VLOOKUP(B390, 'Companies covered restructured'!$B$7:$K$470, 6, FALSE)</f>
        <v>#Crops(100)</v>
      </c>
      <c r="R390" s="112" t="str">
        <f t="shared" si="177"/>
        <v>N/A</v>
      </c>
      <c r="S390" s="112" t="s">
        <v>11003</v>
      </c>
      <c r="T390" s="112" t="s">
        <v>10465</v>
      </c>
      <c r="U390" s="103" t="s">
        <v>10970</v>
      </c>
      <c r="V390" s="112" t="str">
        <f>VLOOKUP(P390, 'Bottom-up Tagging Assumptions'!$B$12:$F$39, 5, FALSE)</f>
        <v>#Process Innovation(100)</v>
      </c>
      <c r="W390" s="112" t="str">
        <f>VLOOKUP(B390, 'Companies covered restructured'!$B$7:$K$470, 7, FALSE)</f>
        <v>#Farm/Household(100)</v>
      </c>
      <c r="X390" s="112" t="str">
        <f>VLOOKUP(B390, 'Companies covered restructured'!$B$7:$K$470, 8, FALSE)</f>
        <v>#Small(100)</v>
      </c>
      <c r="Y390" s="212" t="str">
        <f>VLOOKUP(P390, 'Bottom-up Tagging Assumptions'!$B$12:$C$56, 2, FALSE)</f>
        <v>#Other Economic(P); Social(S)</v>
      </c>
      <c r="Z390" s="112" t="str">
        <f>VLOOKUP(P390, 'Bottom-up Tagging Assumptions'!$B$12:$F$56, 3, FALSE)</f>
        <v>#Improve price realization(P)</v>
      </c>
      <c r="AA390" s="112" t="str">
        <f>VLOOKUP(P390, 'Bottom-up Tagging Assumptions'!$B$12:$F$56, 4, FALSE)</f>
        <v>#Level 3(100)</v>
      </c>
      <c r="AB390" s="110" t="s">
        <v>1284</v>
      </c>
      <c r="AC390" s="110"/>
      <c r="AD390" s="110"/>
      <c r="AE390" s="110" t="s">
        <v>10558</v>
      </c>
      <c r="AF390" s="112">
        <v>2257449</v>
      </c>
      <c r="AG390" s="110" t="s">
        <v>1691</v>
      </c>
      <c r="AH390" s="121">
        <f t="shared" si="178"/>
        <v>0</v>
      </c>
      <c r="AI390" s="121">
        <f t="shared" si="179"/>
        <v>0</v>
      </c>
      <c r="AJ390" s="121">
        <f t="shared" si="180"/>
        <v>1</v>
      </c>
      <c r="AK390" s="121">
        <f t="shared" si="181"/>
        <v>1</v>
      </c>
      <c r="AL390" s="121">
        <f t="shared" si="182"/>
        <v>0</v>
      </c>
      <c r="AM390" s="121">
        <f t="shared" si="183"/>
        <v>0</v>
      </c>
      <c r="AN390" s="121">
        <f t="shared" si="184"/>
        <v>1</v>
      </c>
      <c r="AO390" s="121">
        <f t="shared" si="185"/>
        <v>0</v>
      </c>
      <c r="AP390" s="22">
        <f t="shared" si="186"/>
        <v>0</v>
      </c>
      <c r="AQ390" s="22">
        <f t="shared" si="187"/>
        <v>64018.638384726422</v>
      </c>
      <c r="AR390" s="22">
        <f t="shared" si="188"/>
        <v>0</v>
      </c>
      <c r="AS390" s="121" t="str">
        <f t="shared" si="189"/>
        <v>Crops</v>
      </c>
      <c r="AT390" s="121" t="str">
        <f t="shared" si="210"/>
        <v xml:space="preserve"> </v>
      </c>
      <c r="AU390" s="121" t="str">
        <f t="shared" si="210"/>
        <v xml:space="preserve"> </v>
      </c>
      <c r="AV390" s="121" t="str">
        <f t="shared" si="210"/>
        <v xml:space="preserve"> </v>
      </c>
      <c r="AW390" s="130" t="str">
        <f t="shared" si="211"/>
        <v>100</v>
      </c>
      <c r="AX390" s="130" t="str">
        <f t="shared" si="211"/>
        <v xml:space="preserve"> </v>
      </c>
      <c r="AY390" s="130" t="str">
        <f t="shared" si="211"/>
        <v xml:space="preserve"> </v>
      </c>
      <c r="AZ390" s="130" t="str">
        <f t="shared" si="211"/>
        <v xml:space="preserve"> </v>
      </c>
      <c r="BA390" s="121">
        <f t="shared" si="192"/>
        <v>64018.638384726422</v>
      </c>
      <c r="BB390" s="121">
        <f t="shared" si="193"/>
        <v>0</v>
      </c>
      <c r="BC390" s="121">
        <f t="shared" si="194"/>
        <v>0</v>
      </c>
      <c r="BD390" s="121">
        <f t="shared" si="195"/>
        <v>0</v>
      </c>
      <c r="BE390" s="121">
        <f t="shared" si="196"/>
        <v>0</v>
      </c>
      <c r="BF390" s="121">
        <f t="shared" si="197"/>
        <v>0</v>
      </c>
      <c r="BG390" s="121">
        <f t="shared" si="198"/>
        <v>0</v>
      </c>
      <c r="BH390" s="121">
        <f t="shared" si="199"/>
        <v>0</v>
      </c>
      <c r="BI390" s="121">
        <f t="shared" si="200"/>
        <v>64018.638384726422</v>
      </c>
      <c r="BJ390" s="121">
        <f t="shared" si="201"/>
        <v>64018.638384726422</v>
      </c>
      <c r="BK390" s="121">
        <f t="shared" si="202"/>
        <v>64018.638384726422</v>
      </c>
      <c r="BL390" s="121">
        <f t="shared" si="203"/>
        <v>64018.638384726422</v>
      </c>
      <c r="BM390" s="121">
        <f t="shared" si="204"/>
        <v>0</v>
      </c>
      <c r="BN390" s="121">
        <f t="shared" si="205"/>
        <v>0</v>
      </c>
      <c r="BO390" s="121">
        <f t="shared" si="206"/>
        <v>0</v>
      </c>
      <c r="BP390" s="121">
        <f t="shared" si="207"/>
        <v>0</v>
      </c>
      <c r="BQ390" s="199">
        <f>INDEX('GDP deflators'!$C$6:$M$36,MATCH('Bottom-up tagging'!$D390,'GDP deflators'!$B$6:$B$36,),MATCH('Bottom-up tagging'!$E390,'GDP deflators'!$C$5:$L$5,))/100</f>
        <v>3.9051127344758561</v>
      </c>
      <c r="BR390" s="24">
        <v>250000</v>
      </c>
    </row>
    <row r="391" spans="2:70" ht="26.15" customHeight="1">
      <c r="B391" s="110" t="s">
        <v>385</v>
      </c>
      <c r="C391" s="110" t="s">
        <v>389</v>
      </c>
      <c r="D391" s="110" t="s">
        <v>5391</v>
      </c>
      <c r="E391" s="103">
        <v>2018</v>
      </c>
      <c r="F391" s="108" t="s">
        <v>7033</v>
      </c>
      <c r="G391" s="111" t="s">
        <v>289</v>
      </c>
      <c r="H391" s="110" t="s">
        <v>10451</v>
      </c>
      <c r="I391" s="112">
        <f>IF(Dashboard!$B$16="Current USD",'Bottom-up tagging'!BR391,'Bottom-up tagging'!BR391/'Bottom-up tagging'!BQ391)</f>
        <v>137549.17931020056</v>
      </c>
      <c r="J391" s="118" t="s">
        <v>10474</v>
      </c>
      <c r="K391" s="112"/>
      <c r="L391" s="135">
        <v>1</v>
      </c>
      <c r="M391" s="135">
        <v>1</v>
      </c>
      <c r="N391" s="112"/>
      <c r="O391" s="112"/>
      <c r="P391" s="112" t="str">
        <f>VLOOKUP(B391, 'Companies covered restructured'!$B$7:$K$470, 9, FALSE)</f>
        <v>Farmer financing services</v>
      </c>
      <c r="Q391" s="112" t="str">
        <f>VLOOKUP(B391, 'Companies covered restructured'!$B$7:$K$470, 6, FALSE)</f>
        <v>#Cross-cutting(100)</v>
      </c>
      <c r="R391" s="112" t="str">
        <f t="shared" si="177"/>
        <v>N/A</v>
      </c>
      <c r="S391" s="112" t="s">
        <v>11003</v>
      </c>
      <c r="T391" s="112" t="s">
        <v>10464</v>
      </c>
      <c r="U391" s="103" t="s">
        <v>10970</v>
      </c>
      <c r="V391" s="112" t="str">
        <f>VLOOKUP(P391, 'Bottom-up Tagging Assumptions'!$B$12:$F$39, 5, FALSE)</f>
        <v>#Process Innovation(100)</v>
      </c>
      <c r="W391" s="112" t="str">
        <f>VLOOKUP(B391, 'Companies covered restructured'!$B$7:$K$470, 7, FALSE)</f>
        <v>#Field/Animal Herd(100)</v>
      </c>
      <c r="X391" s="112" t="s">
        <v>10558</v>
      </c>
      <c r="Y391" s="212" t="str">
        <f>VLOOKUP(P391, 'Bottom-up Tagging Assumptions'!$B$12:$C$56, 2, FALSE)</f>
        <v>#Other Economic(P); Social(S)</v>
      </c>
      <c r="Z391" s="112" t="str">
        <f>VLOOKUP(P391, 'Bottom-up Tagging Assumptions'!$B$12:$F$56, 3, FALSE)</f>
        <v>NA</v>
      </c>
      <c r="AA391" s="112" t="str">
        <f>VLOOKUP(P391, 'Bottom-up Tagging Assumptions'!$B$12:$F$56, 4, FALSE)</f>
        <v>#Level 1(100)</v>
      </c>
      <c r="AB391" s="110" t="s">
        <v>1563</v>
      </c>
      <c r="AC391" s="110"/>
      <c r="AD391" s="110"/>
      <c r="AE391" s="110" t="s">
        <v>10558</v>
      </c>
      <c r="AF391" s="112">
        <v>751000</v>
      </c>
      <c r="AG391" s="110" t="s">
        <v>2529</v>
      </c>
      <c r="AH391" s="121">
        <f t="shared" si="178"/>
        <v>0</v>
      </c>
      <c r="AI391" s="121">
        <f t="shared" si="179"/>
        <v>0</v>
      </c>
      <c r="AJ391" s="121">
        <f t="shared" si="180"/>
        <v>1</v>
      </c>
      <c r="AK391" s="121">
        <f t="shared" si="181"/>
        <v>1</v>
      </c>
      <c r="AL391" s="121">
        <f t="shared" si="182"/>
        <v>0</v>
      </c>
      <c r="AM391" s="121">
        <f t="shared" si="183"/>
        <v>0</v>
      </c>
      <c r="AN391" s="121">
        <f t="shared" si="184"/>
        <v>1</v>
      </c>
      <c r="AO391" s="121">
        <f t="shared" si="185"/>
        <v>0</v>
      </c>
      <c r="AP391" s="22">
        <f t="shared" si="186"/>
        <v>0</v>
      </c>
      <c r="AQ391" s="22">
        <f t="shared" si="187"/>
        <v>137549.17931020056</v>
      </c>
      <c r="AR391" s="22">
        <f t="shared" si="188"/>
        <v>0</v>
      </c>
      <c r="AS391" s="121" t="str">
        <f t="shared" si="189"/>
        <v>Cross-cutting</v>
      </c>
      <c r="AT391" s="121" t="str">
        <f t="shared" si="210"/>
        <v xml:space="preserve"> </v>
      </c>
      <c r="AU391" s="121" t="str">
        <f t="shared" si="210"/>
        <v xml:space="preserve"> </v>
      </c>
      <c r="AV391" s="121" t="str">
        <f t="shared" si="210"/>
        <v xml:space="preserve"> </v>
      </c>
      <c r="AW391" s="130" t="str">
        <f t="shared" si="211"/>
        <v>100</v>
      </c>
      <c r="AX391" s="130" t="str">
        <f t="shared" si="211"/>
        <v xml:space="preserve"> </v>
      </c>
      <c r="AY391" s="130" t="str">
        <f t="shared" si="211"/>
        <v xml:space="preserve"> </v>
      </c>
      <c r="AZ391" s="130" t="str">
        <f t="shared" si="211"/>
        <v xml:space="preserve"> </v>
      </c>
      <c r="BA391" s="121">
        <f t="shared" si="192"/>
        <v>137549.17931020056</v>
      </c>
      <c r="BB391" s="121">
        <f t="shared" si="193"/>
        <v>0</v>
      </c>
      <c r="BC391" s="121">
        <f t="shared" si="194"/>
        <v>0</v>
      </c>
      <c r="BD391" s="121">
        <f t="shared" si="195"/>
        <v>0</v>
      </c>
      <c r="BE391" s="121">
        <f t="shared" si="196"/>
        <v>0</v>
      </c>
      <c r="BF391" s="121">
        <f t="shared" si="197"/>
        <v>0</v>
      </c>
      <c r="BG391" s="121">
        <f t="shared" si="198"/>
        <v>0</v>
      </c>
      <c r="BH391" s="121">
        <f t="shared" si="199"/>
        <v>0</v>
      </c>
      <c r="BI391" s="121">
        <f t="shared" si="200"/>
        <v>137549.17931020056</v>
      </c>
      <c r="BJ391" s="121">
        <f t="shared" si="201"/>
        <v>137549.17931020056</v>
      </c>
      <c r="BK391" s="121">
        <f t="shared" si="202"/>
        <v>137549.17931020056</v>
      </c>
      <c r="BL391" s="121">
        <f t="shared" si="203"/>
        <v>137549.17931020056</v>
      </c>
      <c r="BM391" s="121">
        <f t="shared" si="204"/>
        <v>0</v>
      </c>
      <c r="BN391" s="121">
        <f t="shared" si="205"/>
        <v>0</v>
      </c>
      <c r="BO391" s="121">
        <f t="shared" si="206"/>
        <v>0</v>
      </c>
      <c r="BP391" s="121">
        <f t="shared" si="207"/>
        <v>0</v>
      </c>
      <c r="BQ391" s="199">
        <f>INDEX('GDP deflators'!$C$6:$M$36,MATCH('Bottom-up tagging'!$D391,'GDP deflators'!$B$6:$B$36,),MATCH('Bottom-up tagging'!$E391,'GDP deflators'!$C$5:$L$5,))/100</f>
        <v>1.8175317457634599</v>
      </c>
      <c r="BR391" s="24">
        <v>250000</v>
      </c>
    </row>
    <row r="392" spans="2:70" ht="26.15" customHeight="1">
      <c r="B392" s="110" t="s">
        <v>385</v>
      </c>
      <c r="C392" s="110" t="s">
        <v>389</v>
      </c>
      <c r="D392" s="110" t="s">
        <v>5391</v>
      </c>
      <c r="E392" s="103">
        <v>2018</v>
      </c>
      <c r="F392" s="108" t="s">
        <v>7033</v>
      </c>
      <c r="G392" s="111" t="s">
        <v>184</v>
      </c>
      <c r="H392" s="110" t="s">
        <v>10451</v>
      </c>
      <c r="I392" s="112">
        <f>IF(Dashboard!$B$16="Current USD",'Bottom-up tagging'!BR392,'Bottom-up tagging'!BR392/'Bottom-up tagging'!BQ392)</f>
        <v>137549.17931020056</v>
      </c>
      <c r="J392" s="118" t="s">
        <v>10474</v>
      </c>
      <c r="K392" s="112"/>
      <c r="L392" s="135">
        <v>1</v>
      </c>
      <c r="M392" s="135">
        <v>1</v>
      </c>
      <c r="N392" s="112"/>
      <c r="O392" s="112"/>
      <c r="P392" s="112" t="str">
        <f>VLOOKUP(B392, 'Companies covered restructured'!$B$7:$K$470, 9, FALSE)</f>
        <v>Farmer financing services</v>
      </c>
      <c r="Q392" s="112" t="str">
        <f>VLOOKUP(B392, 'Companies covered restructured'!$B$7:$K$470, 6, FALSE)</f>
        <v>#Cross-cutting(100)</v>
      </c>
      <c r="R392" s="112" t="str">
        <f t="shared" si="177"/>
        <v>N/A</v>
      </c>
      <c r="S392" s="112" t="s">
        <v>11003</v>
      </c>
      <c r="T392" s="112" t="s">
        <v>10465</v>
      </c>
      <c r="U392" s="103" t="s">
        <v>10970</v>
      </c>
      <c r="V392" s="112" t="str">
        <f>VLOOKUP(P392, 'Bottom-up Tagging Assumptions'!$B$12:$F$39, 5, FALSE)</f>
        <v>#Process Innovation(100)</v>
      </c>
      <c r="W392" s="112" t="str">
        <f>VLOOKUP(B392, 'Companies covered restructured'!$B$7:$K$470, 7, FALSE)</f>
        <v>#Field/Animal Herd(100)</v>
      </c>
      <c r="X392" s="112" t="s">
        <v>10558</v>
      </c>
      <c r="Y392" s="212" t="str">
        <f>VLOOKUP(P392, 'Bottom-up Tagging Assumptions'!$B$12:$C$56, 2, FALSE)</f>
        <v>#Other Economic(P); Social(S)</v>
      </c>
      <c r="Z392" s="112" t="str">
        <f>VLOOKUP(P392, 'Bottom-up Tagging Assumptions'!$B$12:$F$56, 3, FALSE)</f>
        <v>NA</v>
      </c>
      <c r="AA392" s="112" t="str">
        <f>VLOOKUP(P392, 'Bottom-up Tagging Assumptions'!$B$12:$F$56, 4, FALSE)</f>
        <v>#Level 1(100)</v>
      </c>
      <c r="AB392" s="110" t="s">
        <v>187</v>
      </c>
      <c r="AC392" s="110"/>
      <c r="AD392" s="110"/>
      <c r="AE392" s="110" t="s">
        <v>10558</v>
      </c>
      <c r="AF392" s="112">
        <v>62610600</v>
      </c>
      <c r="AG392" s="110" t="s">
        <v>1416</v>
      </c>
      <c r="AH392" s="121">
        <f t="shared" si="178"/>
        <v>0</v>
      </c>
      <c r="AI392" s="121">
        <f t="shared" si="179"/>
        <v>0</v>
      </c>
      <c r="AJ392" s="121">
        <f t="shared" si="180"/>
        <v>1</v>
      </c>
      <c r="AK392" s="121">
        <f t="shared" si="181"/>
        <v>1</v>
      </c>
      <c r="AL392" s="121">
        <f t="shared" si="182"/>
        <v>0</v>
      </c>
      <c r="AM392" s="121">
        <f t="shared" si="183"/>
        <v>0</v>
      </c>
      <c r="AN392" s="121">
        <f t="shared" si="184"/>
        <v>1</v>
      </c>
      <c r="AO392" s="121">
        <f t="shared" si="185"/>
        <v>0</v>
      </c>
      <c r="AP392" s="22">
        <f t="shared" si="186"/>
        <v>0</v>
      </c>
      <c r="AQ392" s="22">
        <f t="shared" si="187"/>
        <v>137549.17931020056</v>
      </c>
      <c r="AR392" s="22">
        <f t="shared" si="188"/>
        <v>0</v>
      </c>
      <c r="AS392" s="121" t="str">
        <f t="shared" si="189"/>
        <v>Cross-cutting</v>
      </c>
      <c r="AT392" s="121" t="str">
        <f t="shared" ref="AT392:AV411" si="212">IFERROR(IFERROR(MID($Q392,FIND("~",SUBSTITUTE($Q392,";","~",AT$10-1))+3,(FIND("~",SUBSTITUTE($Q392,";","~",AT$10))+0-(FIND("~",SUBSTITUTE($Q392,";","~",AT$10-1))+2))-6),MID($Q392,FIND("~",SUBSTITUTE($Q392,";","~",AT$10-1))+3,(LEN($Q392)-6-FIND("~",SUBSTITUTE($Q392,";","~",AT$10-1))-1)))," ")</f>
        <v xml:space="preserve"> </v>
      </c>
      <c r="AU392" s="121" t="str">
        <f t="shared" si="212"/>
        <v xml:space="preserve"> </v>
      </c>
      <c r="AV392" s="121" t="str">
        <f t="shared" si="212"/>
        <v xml:space="preserve"> </v>
      </c>
      <c r="AW392" s="130" t="str">
        <f t="shared" ref="AW392:AZ411" si="213">IFERROR(MID($Q392,FIND("~",SUBSTITUTE($Q392,"(","~",AW$10))+1,3)," ")</f>
        <v>100</v>
      </c>
      <c r="AX392" s="130" t="str">
        <f t="shared" si="213"/>
        <v xml:space="preserve"> </v>
      </c>
      <c r="AY392" s="130" t="str">
        <f t="shared" si="213"/>
        <v xml:space="preserve"> </v>
      </c>
      <c r="AZ392" s="130" t="str">
        <f t="shared" si="213"/>
        <v xml:space="preserve"> </v>
      </c>
      <c r="BA392" s="121">
        <f t="shared" si="192"/>
        <v>137549.17931020056</v>
      </c>
      <c r="BB392" s="121">
        <f t="shared" si="193"/>
        <v>0</v>
      </c>
      <c r="BC392" s="121">
        <f t="shared" si="194"/>
        <v>0</v>
      </c>
      <c r="BD392" s="121">
        <f t="shared" si="195"/>
        <v>0</v>
      </c>
      <c r="BE392" s="121">
        <f t="shared" si="196"/>
        <v>0</v>
      </c>
      <c r="BF392" s="121">
        <f t="shared" si="197"/>
        <v>0</v>
      </c>
      <c r="BG392" s="121">
        <f t="shared" si="198"/>
        <v>0</v>
      </c>
      <c r="BH392" s="121">
        <f t="shared" si="199"/>
        <v>0</v>
      </c>
      <c r="BI392" s="121">
        <f t="shared" si="200"/>
        <v>137549.17931020056</v>
      </c>
      <c r="BJ392" s="121">
        <f t="shared" si="201"/>
        <v>137549.17931020056</v>
      </c>
      <c r="BK392" s="121">
        <f t="shared" si="202"/>
        <v>137549.17931020056</v>
      </c>
      <c r="BL392" s="121">
        <f t="shared" si="203"/>
        <v>137549.17931020056</v>
      </c>
      <c r="BM392" s="121">
        <f t="shared" si="204"/>
        <v>0</v>
      </c>
      <c r="BN392" s="121">
        <f t="shared" si="205"/>
        <v>0</v>
      </c>
      <c r="BO392" s="121">
        <f t="shared" si="206"/>
        <v>0</v>
      </c>
      <c r="BP392" s="121">
        <f t="shared" si="207"/>
        <v>0</v>
      </c>
      <c r="BQ392" s="199">
        <f>INDEX('GDP deflators'!$C$6:$M$36,MATCH('Bottom-up tagging'!$D392,'GDP deflators'!$B$6:$B$36,),MATCH('Bottom-up tagging'!$E392,'GDP deflators'!$C$5:$L$5,))/100</f>
        <v>1.8175317457634599</v>
      </c>
      <c r="BR392" s="24">
        <v>250000</v>
      </c>
    </row>
    <row r="393" spans="2:70" ht="26.15" hidden="1" customHeight="1">
      <c r="B393" s="110" t="s">
        <v>724</v>
      </c>
      <c r="C393" s="110" t="s">
        <v>728</v>
      </c>
      <c r="D393" s="110" t="s">
        <v>3994</v>
      </c>
      <c r="E393" s="103">
        <v>2017</v>
      </c>
      <c r="F393" s="108" t="s">
        <v>7756</v>
      </c>
      <c r="G393" s="111" t="s">
        <v>34</v>
      </c>
      <c r="H393" s="110" t="s">
        <v>10451</v>
      </c>
      <c r="I393" s="112">
        <f>IF(Dashboard!$B$16="Current USD",'Bottom-up tagging'!BR393,'Bottom-up tagging'!BR393/'Bottom-up tagging'!BQ393)</f>
        <v>173812.12959231305</v>
      </c>
      <c r="J393" s="117" t="s">
        <v>10474</v>
      </c>
      <c r="K393" s="112"/>
      <c r="L393" s="135">
        <v>1</v>
      </c>
      <c r="M393" s="135">
        <v>1</v>
      </c>
      <c r="N393" s="112"/>
      <c r="O393" s="112"/>
      <c r="P393" s="112" t="str">
        <f>VLOOKUP(B393, 'Companies covered restructured'!$B$7:$K$470, 9, FALSE)</f>
        <v>Farm mechanization</v>
      </c>
      <c r="Q393" s="112" t="str">
        <f>VLOOKUP(B393, 'Companies covered restructured'!$B$7:$K$470, 6, FALSE)</f>
        <v>#Crops(100)</v>
      </c>
      <c r="R393" s="112" t="str">
        <f t="shared" si="177"/>
        <v>#Angel Investor(100)</v>
      </c>
      <c r="S393" s="112" t="s">
        <v>11003</v>
      </c>
      <c r="T393" s="112" t="s">
        <v>10466</v>
      </c>
      <c r="U393" s="103" t="s">
        <v>10970</v>
      </c>
      <c r="V393" s="112" t="str">
        <f>VLOOKUP(P393, 'Bottom-up Tagging Assumptions'!$B$12:$F$39, 5, FALSE)</f>
        <v>#Product Development(100)</v>
      </c>
      <c r="W393" s="112" t="str">
        <f>VLOOKUP(B393, 'Companies covered restructured'!$B$7:$K$470, 7, FALSE)</f>
        <v>#Field/Animal Herd(100)</v>
      </c>
      <c r="X393" s="112" t="s">
        <v>10558</v>
      </c>
      <c r="Y393" s="212" t="str">
        <f>VLOOKUP(P393, 'Bottom-up Tagging Assumptions'!$B$12:$C$56, 2, FALSE)</f>
        <v>#Productivity(P); #Other economic(S)</v>
      </c>
      <c r="Z393" s="112" t="str">
        <f>VLOOKUP(P393, 'Bottom-up Tagging Assumptions'!$B$12:$F$56, 3, FALSE)</f>
        <v>#Reducing human effort(P)</v>
      </c>
      <c r="AA393" s="112" t="str">
        <f>VLOOKUP(P393, 'Bottom-up Tagging Assumptions'!$B$12:$F$56, 4, FALSE)</f>
        <v>#Level 1(100)</v>
      </c>
      <c r="AB393" s="110" t="s">
        <v>2174</v>
      </c>
      <c r="AC393" s="110" t="s">
        <v>2175</v>
      </c>
      <c r="AD393" s="110" t="s">
        <v>2176</v>
      </c>
      <c r="AE393" s="110" t="s">
        <v>3127</v>
      </c>
      <c r="AF393" s="112">
        <v>73326732</v>
      </c>
      <c r="AG393" s="110" t="s">
        <v>1125</v>
      </c>
      <c r="AH393" s="121">
        <f t="shared" si="178"/>
        <v>0</v>
      </c>
      <c r="AI393" s="121">
        <f t="shared" si="179"/>
        <v>1</v>
      </c>
      <c r="AJ393" s="121">
        <f t="shared" si="180"/>
        <v>1</v>
      </c>
      <c r="AK393" s="121">
        <f t="shared" si="181"/>
        <v>0</v>
      </c>
      <c r="AL393" s="121">
        <f t="shared" si="182"/>
        <v>0</v>
      </c>
      <c r="AM393" s="121">
        <f t="shared" si="183"/>
        <v>0</v>
      </c>
      <c r="AN393" s="121">
        <f t="shared" si="184"/>
        <v>0</v>
      </c>
      <c r="AO393" s="121">
        <f t="shared" si="185"/>
        <v>0</v>
      </c>
      <c r="AP393" s="22">
        <f t="shared" si="186"/>
        <v>0</v>
      </c>
      <c r="AQ393" s="22">
        <f t="shared" si="187"/>
        <v>0</v>
      </c>
      <c r="AR393" s="22">
        <f t="shared" si="188"/>
        <v>0</v>
      </c>
      <c r="AS393" s="121" t="str">
        <f t="shared" si="189"/>
        <v>Crops</v>
      </c>
      <c r="AT393" s="121" t="str">
        <f t="shared" si="212"/>
        <v xml:space="preserve"> </v>
      </c>
      <c r="AU393" s="121" t="str">
        <f t="shared" si="212"/>
        <v xml:space="preserve"> </v>
      </c>
      <c r="AV393" s="121" t="str">
        <f t="shared" si="212"/>
        <v xml:space="preserve"> </v>
      </c>
      <c r="AW393" s="130" t="str">
        <f t="shared" si="213"/>
        <v>100</v>
      </c>
      <c r="AX393" s="130" t="str">
        <f t="shared" si="213"/>
        <v xml:space="preserve"> </v>
      </c>
      <c r="AY393" s="130" t="str">
        <f t="shared" si="213"/>
        <v xml:space="preserve"> </v>
      </c>
      <c r="AZ393" s="130" t="str">
        <f t="shared" si="213"/>
        <v xml:space="preserve"> </v>
      </c>
      <c r="BA393" s="121">
        <f t="shared" si="192"/>
        <v>173812.12959231305</v>
      </c>
      <c r="BB393" s="121">
        <f t="shared" si="193"/>
        <v>0</v>
      </c>
      <c r="BC393" s="121">
        <f t="shared" si="194"/>
        <v>0</v>
      </c>
      <c r="BD393" s="121">
        <f t="shared" si="195"/>
        <v>0</v>
      </c>
      <c r="BE393" s="121">
        <f t="shared" si="196"/>
        <v>0</v>
      </c>
      <c r="BF393" s="121">
        <f t="shared" si="197"/>
        <v>0</v>
      </c>
      <c r="BG393" s="121">
        <f t="shared" si="198"/>
        <v>0</v>
      </c>
      <c r="BH393" s="121">
        <f t="shared" si="199"/>
        <v>0</v>
      </c>
      <c r="BI393" s="121">
        <f t="shared" si="200"/>
        <v>0</v>
      </c>
      <c r="BJ393" s="121">
        <f t="shared" si="201"/>
        <v>0</v>
      </c>
      <c r="BK393" s="121">
        <f t="shared" si="202"/>
        <v>0</v>
      </c>
      <c r="BL393" s="121">
        <f t="shared" si="203"/>
        <v>0</v>
      </c>
      <c r="BM393" s="121">
        <f t="shared" si="204"/>
        <v>0</v>
      </c>
      <c r="BN393" s="121">
        <f t="shared" si="205"/>
        <v>0</v>
      </c>
      <c r="BO393" s="121">
        <f t="shared" si="206"/>
        <v>0</v>
      </c>
      <c r="BP393" s="121">
        <f t="shared" si="207"/>
        <v>0</v>
      </c>
      <c r="BQ393" s="199">
        <f>INDEX('GDP deflators'!$C$6:$M$36,MATCH('Bottom-up tagging'!$D393,'GDP deflators'!$B$6:$B$36,),MATCH('Bottom-up tagging'!$E393,'GDP deflators'!$C$5:$L$5,))/100</f>
        <v>1.4111098032990623</v>
      </c>
      <c r="BR393" s="24">
        <v>245268</v>
      </c>
    </row>
    <row r="394" spans="2:70" ht="26.15" hidden="1" customHeight="1">
      <c r="B394" s="110" t="s">
        <v>391</v>
      </c>
      <c r="C394" s="110" t="s">
        <v>396</v>
      </c>
      <c r="D394" s="110" t="s">
        <v>3994</v>
      </c>
      <c r="E394" s="103">
        <v>2018</v>
      </c>
      <c r="F394" s="108" t="s">
        <v>5610</v>
      </c>
      <c r="G394" s="111" t="s">
        <v>34</v>
      </c>
      <c r="H394" s="110" t="s">
        <v>10451</v>
      </c>
      <c r="I394" s="112">
        <f>IF(Dashboard!$B$16="Current USD",'Bottom-up tagging'!BR394,'Bottom-up tagging'!BR394/'Bottom-up tagging'!BQ394)</f>
        <v>165094.25722129186</v>
      </c>
      <c r="J394" s="117" t="s">
        <v>10474</v>
      </c>
      <c r="K394" s="112"/>
      <c r="L394" s="135">
        <v>1</v>
      </c>
      <c r="M394" s="135">
        <v>1</v>
      </c>
      <c r="N394" s="112"/>
      <c r="O394" s="112"/>
      <c r="P394" s="112" t="str">
        <f>VLOOKUP(B394, 'Companies covered restructured'!$B$7:$K$470, 9, FALSE)</f>
        <v>Precision livestock farming</v>
      </c>
      <c r="Q394" s="112" t="str">
        <f>VLOOKUP(B394, 'Companies covered restructured'!$B$7:$K$470, 6, FALSE)</f>
        <v>#Livestock(100)</v>
      </c>
      <c r="R394" s="112" t="str">
        <f t="shared" si="177"/>
        <v>#Angel Investor(100)</v>
      </c>
      <c r="S394" s="112" t="s">
        <v>11003</v>
      </c>
      <c r="T394" s="112" t="s">
        <v>10466</v>
      </c>
      <c r="U394" s="103" t="s">
        <v>10970</v>
      </c>
      <c r="V394" s="112" t="str">
        <f>VLOOKUP(P394, 'Bottom-up Tagging Assumptions'!$B$12:$F$39, 5, FALSE)</f>
        <v>#Science &amp; tech(100)</v>
      </c>
      <c r="W394" s="112" t="str">
        <f>VLOOKUP(B394, 'Companies covered restructured'!$B$7:$K$470, 7, FALSE)</f>
        <v>#Field/Animal Herd(100)</v>
      </c>
      <c r="X394" s="112" t="s">
        <v>10558</v>
      </c>
      <c r="Y394" s="212" t="str">
        <f>VLOOKUP(P394, 'Bottom-up Tagging Assumptions'!$B$12:$C$56, 2, FALSE)</f>
        <v>#Other Economic(P); #Productivity(S)</v>
      </c>
      <c r="Z394" s="112" t="str">
        <f>VLOOKUP(P394, 'Bottom-up Tagging Assumptions'!$B$12:$F$56, 3, FALSE)</f>
        <v>#Increasing output per unit input(P); #Increasing crop or animal yield(S)</v>
      </c>
      <c r="AA394" s="112" t="str">
        <f>VLOOKUP(P394, 'Bottom-up Tagging Assumptions'!$B$12:$F$56, 4, FALSE)</f>
        <v>#Level 1(100)</v>
      </c>
      <c r="AB394" s="110" t="s">
        <v>1378</v>
      </c>
      <c r="AC394" s="110" t="s">
        <v>1379</v>
      </c>
      <c r="AD394" s="110" t="s">
        <v>1380</v>
      </c>
      <c r="AE394" s="110" t="s">
        <v>3127</v>
      </c>
      <c r="AF394" s="112">
        <v>15000</v>
      </c>
      <c r="AG394" s="110" t="s">
        <v>2535</v>
      </c>
      <c r="AH394" s="121">
        <f t="shared" si="178"/>
        <v>0</v>
      </c>
      <c r="AI394" s="121">
        <f t="shared" si="179"/>
        <v>1</v>
      </c>
      <c r="AJ394" s="121">
        <f t="shared" si="180"/>
        <v>1</v>
      </c>
      <c r="AK394" s="121">
        <f t="shared" si="181"/>
        <v>0</v>
      </c>
      <c r="AL394" s="121">
        <f t="shared" si="182"/>
        <v>0</v>
      </c>
      <c r="AM394" s="121">
        <f t="shared" si="183"/>
        <v>0</v>
      </c>
      <c r="AN394" s="121">
        <f t="shared" si="184"/>
        <v>0</v>
      </c>
      <c r="AO394" s="121">
        <f t="shared" si="185"/>
        <v>0</v>
      </c>
      <c r="AP394" s="22">
        <f t="shared" si="186"/>
        <v>0</v>
      </c>
      <c r="AQ394" s="22">
        <f t="shared" si="187"/>
        <v>0</v>
      </c>
      <c r="AR394" s="22">
        <f t="shared" si="188"/>
        <v>0</v>
      </c>
      <c r="AS394" s="121" t="str">
        <f t="shared" si="189"/>
        <v>Livestock</v>
      </c>
      <c r="AT394" s="121" t="str">
        <f t="shared" si="212"/>
        <v xml:space="preserve"> </v>
      </c>
      <c r="AU394" s="121" t="str">
        <f t="shared" si="212"/>
        <v xml:space="preserve"> </v>
      </c>
      <c r="AV394" s="121" t="str">
        <f t="shared" si="212"/>
        <v xml:space="preserve"> </v>
      </c>
      <c r="AW394" s="130" t="str">
        <f t="shared" si="213"/>
        <v>100</v>
      </c>
      <c r="AX394" s="130" t="str">
        <f t="shared" si="213"/>
        <v xml:space="preserve"> </v>
      </c>
      <c r="AY394" s="130" t="str">
        <f t="shared" si="213"/>
        <v xml:space="preserve"> </v>
      </c>
      <c r="AZ394" s="130" t="str">
        <f t="shared" si="213"/>
        <v xml:space="preserve"> </v>
      </c>
      <c r="BA394" s="121">
        <f t="shared" si="192"/>
        <v>165094.25722129186</v>
      </c>
      <c r="BB394" s="121">
        <f t="shared" si="193"/>
        <v>0</v>
      </c>
      <c r="BC394" s="121">
        <f t="shared" si="194"/>
        <v>0</v>
      </c>
      <c r="BD394" s="121">
        <f t="shared" si="195"/>
        <v>0</v>
      </c>
      <c r="BE394" s="121">
        <f t="shared" si="196"/>
        <v>0</v>
      </c>
      <c r="BF394" s="121">
        <f t="shared" si="197"/>
        <v>0</v>
      </c>
      <c r="BG394" s="121">
        <f t="shared" si="198"/>
        <v>0</v>
      </c>
      <c r="BH394" s="121">
        <f t="shared" si="199"/>
        <v>0</v>
      </c>
      <c r="BI394" s="121">
        <f t="shared" si="200"/>
        <v>0</v>
      </c>
      <c r="BJ394" s="121">
        <f t="shared" si="201"/>
        <v>0</v>
      </c>
      <c r="BK394" s="121">
        <f t="shared" si="202"/>
        <v>0</v>
      </c>
      <c r="BL394" s="121">
        <f t="shared" si="203"/>
        <v>0</v>
      </c>
      <c r="BM394" s="121">
        <f t="shared" si="204"/>
        <v>0</v>
      </c>
      <c r="BN394" s="121">
        <f t="shared" si="205"/>
        <v>0</v>
      </c>
      <c r="BO394" s="121">
        <f t="shared" si="206"/>
        <v>0</v>
      </c>
      <c r="BP394" s="121">
        <f t="shared" si="207"/>
        <v>0</v>
      </c>
      <c r="BQ394" s="199">
        <f>INDEX('GDP deflators'!$C$6:$M$36,MATCH('Bottom-up tagging'!$D394,'GDP deflators'!$B$6:$B$36,),MATCH('Bottom-up tagging'!$E394,'GDP deflators'!$C$5:$L$5,))/100</f>
        <v>1.4753935363936217</v>
      </c>
      <c r="BR394" s="24">
        <v>243579</v>
      </c>
    </row>
    <row r="395" spans="2:70" ht="26.15" customHeight="1">
      <c r="B395" s="110" t="s">
        <v>2886</v>
      </c>
      <c r="C395" s="110" t="s">
        <v>2888</v>
      </c>
      <c r="D395" s="110" t="s">
        <v>5391</v>
      </c>
      <c r="E395" s="103">
        <v>2013</v>
      </c>
      <c r="F395" s="108" t="s">
        <v>10116</v>
      </c>
      <c r="G395" s="111" t="s">
        <v>34</v>
      </c>
      <c r="H395" s="110" t="s">
        <v>10451</v>
      </c>
      <c r="I395" s="112">
        <f>IF(Dashboard!$B$16="Current USD",'Bottom-up tagging'!BR395,'Bottom-up tagging'!BR395/'Bottom-up tagging'!BQ395)</f>
        <v>184386.10369195833</v>
      </c>
      <c r="J395" s="105" t="s">
        <v>10474</v>
      </c>
      <c r="K395" s="112"/>
      <c r="L395" s="135">
        <v>1</v>
      </c>
      <c r="M395" s="135">
        <v>1</v>
      </c>
      <c r="N395" s="112"/>
      <c r="O395" s="112"/>
      <c r="P395" s="112" t="str">
        <f>VLOOKUP(B395, 'Companies covered restructured'!$B$7:$K$470, 9, FALSE)</f>
        <v>Farmer engagement platforms (including marketplaces and information platforms)</v>
      </c>
      <c r="Q395" s="112" t="str">
        <f>VLOOKUP(B395, 'Companies covered restructured'!$B$7:$K$470, 6, FALSE)</f>
        <v>#Crops(100)</v>
      </c>
      <c r="R395" s="112" t="str">
        <f t="shared" si="177"/>
        <v>N/A</v>
      </c>
      <c r="S395" s="112" t="s">
        <v>11003</v>
      </c>
      <c r="T395" s="112" t="s">
        <v>10466</v>
      </c>
      <c r="U395" s="103" t="s">
        <v>10970</v>
      </c>
      <c r="V395" s="112" t="str">
        <f>VLOOKUP(P395, 'Bottom-up Tagging Assumptions'!$B$12:$F$39, 5, FALSE)</f>
        <v>#Process Innovation(100)</v>
      </c>
      <c r="W395" s="112" t="str">
        <f>VLOOKUP(B395, 'Companies covered restructured'!$B$7:$K$470, 7, FALSE)</f>
        <v>#Farm/Household(100)</v>
      </c>
      <c r="X395" s="112" t="str">
        <f>VLOOKUP(B395, 'Companies covered restructured'!$B$7:$K$470, 8, FALSE)</f>
        <v>N/A</v>
      </c>
      <c r="Y395" s="212" t="str">
        <f>VLOOKUP(P395, 'Bottom-up Tagging Assumptions'!$B$12:$C$56, 2, FALSE)</f>
        <v>#Other Economic(P); #Productivity(S)</v>
      </c>
      <c r="Z395" s="112" t="str">
        <f>VLOOKUP(P395, 'Bottom-up Tagging Assumptions'!$B$12:$F$56, 3, FALSE)</f>
        <v>#Improve price realization(P); #Increasing crop or animal yield(S)</v>
      </c>
      <c r="AA395" s="112" t="str">
        <f>VLOOKUP(P395, 'Bottom-up Tagging Assumptions'!$B$12:$F$56, 4, FALSE)</f>
        <v>#Level 4(100)</v>
      </c>
      <c r="AB395" s="110" t="s">
        <v>2940</v>
      </c>
      <c r="AC395" s="110"/>
      <c r="AD395" s="110"/>
      <c r="AE395" s="110" t="s">
        <v>10558</v>
      </c>
      <c r="AF395" s="112">
        <v>125000</v>
      </c>
      <c r="AG395" s="110" t="s">
        <v>2368</v>
      </c>
      <c r="AH395" s="121">
        <f t="shared" si="178"/>
        <v>0</v>
      </c>
      <c r="AI395" s="121">
        <f t="shared" si="179"/>
        <v>1</v>
      </c>
      <c r="AJ395" s="121">
        <f t="shared" si="180"/>
        <v>1</v>
      </c>
      <c r="AK395" s="121">
        <f t="shared" si="181"/>
        <v>0</v>
      </c>
      <c r="AL395" s="121">
        <f t="shared" si="182"/>
        <v>0</v>
      </c>
      <c r="AM395" s="121">
        <f t="shared" si="183"/>
        <v>0</v>
      </c>
      <c r="AN395" s="121">
        <f t="shared" si="184"/>
        <v>0</v>
      </c>
      <c r="AO395" s="121">
        <f t="shared" si="185"/>
        <v>0</v>
      </c>
      <c r="AP395" s="22">
        <f t="shared" si="186"/>
        <v>0</v>
      </c>
      <c r="AQ395" s="22">
        <f t="shared" si="187"/>
        <v>0</v>
      </c>
      <c r="AR395" s="22">
        <f t="shared" si="188"/>
        <v>0</v>
      </c>
      <c r="AS395" s="121" t="str">
        <f t="shared" si="189"/>
        <v>Crops</v>
      </c>
      <c r="AT395" s="121" t="str">
        <f t="shared" si="212"/>
        <v xml:space="preserve"> </v>
      </c>
      <c r="AU395" s="121" t="str">
        <f t="shared" si="212"/>
        <v xml:space="preserve"> </v>
      </c>
      <c r="AV395" s="121" t="str">
        <f t="shared" si="212"/>
        <v xml:space="preserve"> </v>
      </c>
      <c r="AW395" s="130" t="str">
        <f t="shared" si="213"/>
        <v>100</v>
      </c>
      <c r="AX395" s="130" t="str">
        <f t="shared" si="213"/>
        <v xml:space="preserve"> </v>
      </c>
      <c r="AY395" s="130" t="str">
        <f t="shared" si="213"/>
        <v xml:space="preserve"> </v>
      </c>
      <c r="AZ395" s="130" t="str">
        <f t="shared" si="213"/>
        <v xml:space="preserve"> </v>
      </c>
      <c r="BA395" s="121">
        <f t="shared" si="192"/>
        <v>184386.10369195833</v>
      </c>
      <c r="BB395" s="121">
        <f t="shared" si="193"/>
        <v>0</v>
      </c>
      <c r="BC395" s="121">
        <f t="shared" si="194"/>
        <v>0</v>
      </c>
      <c r="BD395" s="121">
        <f t="shared" si="195"/>
        <v>0</v>
      </c>
      <c r="BE395" s="121">
        <f t="shared" si="196"/>
        <v>0</v>
      </c>
      <c r="BF395" s="121">
        <f t="shared" si="197"/>
        <v>0</v>
      </c>
      <c r="BG395" s="121">
        <f t="shared" si="198"/>
        <v>0</v>
      </c>
      <c r="BH395" s="121">
        <f t="shared" si="199"/>
        <v>0</v>
      </c>
      <c r="BI395" s="121">
        <f t="shared" si="200"/>
        <v>0</v>
      </c>
      <c r="BJ395" s="121">
        <f t="shared" si="201"/>
        <v>0</v>
      </c>
      <c r="BK395" s="121">
        <f t="shared" si="202"/>
        <v>0</v>
      </c>
      <c r="BL395" s="121">
        <f t="shared" si="203"/>
        <v>0</v>
      </c>
      <c r="BM395" s="121">
        <f t="shared" si="204"/>
        <v>0</v>
      </c>
      <c r="BN395" s="121">
        <f t="shared" si="205"/>
        <v>0</v>
      </c>
      <c r="BO395" s="121">
        <f t="shared" si="206"/>
        <v>0</v>
      </c>
      <c r="BP395" s="121">
        <f t="shared" si="207"/>
        <v>0</v>
      </c>
      <c r="BQ395" s="199">
        <f>INDEX('GDP deflators'!$C$6:$M$36,MATCH('Bottom-up tagging'!$D395,'GDP deflators'!$B$6:$B$36,),MATCH('Bottom-up tagging'!$E395,'GDP deflators'!$C$5:$L$5,))/100</f>
        <v>1.2744995164744028</v>
      </c>
      <c r="BR395" s="24">
        <v>235000</v>
      </c>
    </row>
    <row r="396" spans="2:70" ht="26.15" hidden="1" customHeight="1">
      <c r="B396" s="110" t="s">
        <v>185</v>
      </c>
      <c r="C396" s="110" t="s">
        <v>189</v>
      </c>
      <c r="D396" s="110" t="s">
        <v>3994</v>
      </c>
      <c r="E396" s="103">
        <v>2018</v>
      </c>
      <c r="F396" s="108" t="s">
        <v>6465</v>
      </c>
      <c r="G396" s="111" t="s">
        <v>124</v>
      </c>
      <c r="H396" s="110" t="s">
        <v>10451</v>
      </c>
      <c r="I396" s="112">
        <f>IF(Dashboard!$B$16="Current USD",'Bottom-up tagging'!BR396,'Bottom-up tagging'!BR396/'Bottom-up tagging'!BQ396)</f>
        <v>155755.05404592707</v>
      </c>
      <c r="J396" s="118" t="s">
        <v>10474</v>
      </c>
      <c r="K396" s="112"/>
      <c r="L396" s="135">
        <v>1</v>
      </c>
      <c r="M396" s="135">
        <v>1</v>
      </c>
      <c r="N396" s="112"/>
      <c r="O396" s="112"/>
      <c r="P396" s="112" t="str">
        <f>VLOOKUP(B396, 'Companies covered restructured'!$B$7:$K$470, 9, FALSE)</f>
        <v>Agri marketplaces</v>
      </c>
      <c r="Q396" s="112" t="str">
        <f>VLOOKUP(B396, 'Companies covered restructured'!$B$7:$K$470, 6, FALSE)</f>
        <v>#Crops(100)</v>
      </c>
      <c r="R396" s="112" t="str">
        <f t="shared" ref="R396:R459" si="214">IF(AE396="FUND", "#Investment Fund(100)", IF(AE396="CORPORATE_INVESTOR", "#Corporate(100)", IF(AE396="ANGEL", "#Angel Investor(100)", "N/A")))</f>
        <v>#Angel Investor(100)</v>
      </c>
      <c r="S396" s="112" t="s">
        <v>11003</v>
      </c>
      <c r="T396" s="112" t="s">
        <v>10466</v>
      </c>
      <c r="U396" s="103" t="s">
        <v>10970</v>
      </c>
      <c r="V396" s="112" t="str">
        <f>VLOOKUP(P396, 'Bottom-up Tagging Assumptions'!$B$12:$F$39, 5, FALSE)</f>
        <v>#Process Innovation(100)</v>
      </c>
      <c r="W396" s="112" t="str">
        <f>VLOOKUP(B396, 'Companies covered restructured'!$B$7:$K$470, 7, FALSE)</f>
        <v>#Field/Animal Herd(100)</v>
      </c>
      <c r="X396" s="112" t="s">
        <v>10558</v>
      </c>
      <c r="Y396" s="212" t="str">
        <f>VLOOKUP(P396, 'Bottom-up Tagging Assumptions'!$B$12:$C$56, 2, FALSE)</f>
        <v>#Other Economic(P); Social(S)</v>
      </c>
      <c r="Z396" s="112" t="str">
        <f>VLOOKUP(P396, 'Bottom-up Tagging Assumptions'!$B$12:$F$56, 3, FALSE)</f>
        <v>#Improve price realization(P)</v>
      </c>
      <c r="AA396" s="112" t="str">
        <f>VLOOKUP(P396, 'Bottom-up Tagging Assumptions'!$B$12:$F$56, 4, FALSE)</f>
        <v>#Level 4(100)</v>
      </c>
      <c r="AB396" s="110"/>
      <c r="AC396" s="110" t="s">
        <v>1800</v>
      </c>
      <c r="AD396" s="110" t="s">
        <v>1801</v>
      </c>
      <c r="AE396" s="110" t="str">
        <f>VLOOKUP(AD396,  '1.2'!$B$7:$C$2033, 2, FALSE)</f>
        <v>ANGEL</v>
      </c>
      <c r="AF396" s="112"/>
      <c r="AG396" s="110" t="s">
        <v>2544</v>
      </c>
      <c r="AH396" s="121">
        <f t="shared" ref="AH396:AH459" si="215">IF(ISNUMBER(SEARCH("Environmental",$Y396))=TRUE,1,0)</f>
        <v>0</v>
      </c>
      <c r="AI396" s="121">
        <f t="shared" ref="AI396:AI459" si="216">IF(ISNUMBER(SEARCH("Productivity",$Y396))=TRUE,1,0)</f>
        <v>0</v>
      </c>
      <c r="AJ396" s="121">
        <f t="shared" ref="AJ396:AJ459" si="217">IF(ISNUMBER(SEARCH("Other Economic",$Y396))=TRUE,1,0)</f>
        <v>1</v>
      </c>
      <c r="AK396" s="121">
        <f t="shared" ref="AK396:AK459" si="218">IF(ISNUMBER(SEARCH("Social",$Y396))=TRUE,1,0)</f>
        <v>1</v>
      </c>
      <c r="AL396" s="121">
        <f t="shared" ref="AL396:AL459" si="219">IF(ISNUMBER(SEARCH("Human Condition",$Y396))=TRUE,1,0)</f>
        <v>0</v>
      </c>
      <c r="AM396" s="121">
        <f t="shared" ref="AM396:AM459" si="220">IF((AI396+AH396+AK396)=3,1,IF((AI396+AH396+AL396)=3,1,0))</f>
        <v>0</v>
      </c>
      <c r="AN396" s="121">
        <f t="shared" ref="AN396:AN459" si="221">IF(AND(SUM(AI396:AJ396)&gt;0,SUM(AK396:AL396,AH396)&gt;0),1,0)</f>
        <v>1</v>
      </c>
      <c r="AO396" s="121">
        <f t="shared" ref="AO396:AO459" si="222">IF(AI396+AH396=2, 1, 0)</f>
        <v>0</v>
      </c>
      <c r="AP396" s="22">
        <f t="shared" ref="AP396:AP459" si="223">IF(AM396=1, I396, 0)</f>
        <v>0</v>
      </c>
      <c r="AQ396" s="22">
        <f t="shared" ref="AQ396:AQ459" si="224">IF(AN396=1, I396, 0)</f>
        <v>155755.05404592707</v>
      </c>
      <c r="AR396" s="22">
        <f t="shared" ref="AR396:AR459" si="225">IF(AO396=1, I396, 0)</f>
        <v>0</v>
      </c>
      <c r="AS396" s="121" t="str">
        <f t="shared" ref="AS396:AS459" si="226">IFERROR(MID($Q396,2,(FIND("~",SUBSTITUTE($Q396,")","~",AS$10))-6)),$Q396)</f>
        <v>Crops</v>
      </c>
      <c r="AT396" s="121" t="str">
        <f t="shared" si="212"/>
        <v xml:space="preserve"> </v>
      </c>
      <c r="AU396" s="121" t="str">
        <f t="shared" si="212"/>
        <v xml:space="preserve"> </v>
      </c>
      <c r="AV396" s="121" t="str">
        <f t="shared" si="212"/>
        <v xml:space="preserve"> </v>
      </c>
      <c r="AW396" s="130" t="str">
        <f t="shared" si="213"/>
        <v>100</v>
      </c>
      <c r="AX396" s="130" t="str">
        <f t="shared" si="213"/>
        <v xml:space="preserve"> </v>
      </c>
      <c r="AY396" s="130" t="str">
        <f t="shared" si="213"/>
        <v xml:space="preserve"> </v>
      </c>
      <c r="AZ396" s="130" t="str">
        <f t="shared" si="213"/>
        <v xml:space="preserve"> </v>
      </c>
      <c r="BA396" s="121">
        <f t="shared" ref="BA396:BA459" si="227">IFERROR($I396*AW396/100,$I396)</f>
        <v>155755.05404592707</v>
      </c>
      <c r="BB396" s="121">
        <f t="shared" ref="BB396:BB459" si="228">IFERROR($I396*AX396/100,0)</f>
        <v>0</v>
      </c>
      <c r="BC396" s="121">
        <f t="shared" ref="BC396:BC459" si="229">IFERROR($I396*AY396/100,0)</f>
        <v>0</v>
      </c>
      <c r="BD396" s="121">
        <f t="shared" ref="BD396:BD459" si="230">IFERROR($I396*AZ396/100,0)</f>
        <v>0</v>
      </c>
      <c r="BE396" s="121">
        <f t="shared" ref="BE396:BE459" si="231">IFERROR($AP396*AW396/100,$AP396)</f>
        <v>0</v>
      </c>
      <c r="BF396" s="121">
        <f t="shared" ref="BF396:BF459" si="232">IFERROR($AP396*AX396/100,$AP396)</f>
        <v>0</v>
      </c>
      <c r="BG396" s="121">
        <f t="shared" ref="BG396:BG459" si="233">IFERROR($AP396*AY396/100,$AP396)</f>
        <v>0</v>
      </c>
      <c r="BH396" s="121">
        <f t="shared" ref="BH396:BH459" si="234">IFERROR($AP396*AZ396/100,$AP396)</f>
        <v>0</v>
      </c>
      <c r="BI396" s="121">
        <f t="shared" ref="BI396:BI459" si="235">IFERROR($AQ396*AW396/100,$AQ396)</f>
        <v>155755.05404592707</v>
      </c>
      <c r="BJ396" s="121">
        <f t="shared" ref="BJ396:BJ459" si="236">IFERROR($AQ396*AX396/100,$AQ396)</f>
        <v>155755.05404592707</v>
      </c>
      <c r="BK396" s="121">
        <f t="shared" ref="BK396:BK459" si="237">IFERROR($AQ396*AY396/100,$AQ396)</f>
        <v>155755.05404592707</v>
      </c>
      <c r="BL396" s="121">
        <f t="shared" ref="BL396:BL459" si="238">IFERROR($AQ396*AZ396/100,$AQ396)</f>
        <v>155755.05404592707</v>
      </c>
      <c r="BM396" s="121">
        <f t="shared" ref="BM396:BM459" si="239">IFERROR($AR396*AW396/100,$AR396)</f>
        <v>0</v>
      </c>
      <c r="BN396" s="121">
        <f t="shared" ref="BN396:BN459" si="240">IFERROR($AR396*AX396/100,$AR396)</f>
        <v>0</v>
      </c>
      <c r="BO396" s="121">
        <f t="shared" ref="BO396:BO459" si="241">IFERROR($AR396*AY396/100,$AR396)</f>
        <v>0</v>
      </c>
      <c r="BP396" s="121">
        <f t="shared" ref="BP396:BP459" si="242">IFERROR($AR396*AZ396/100,$AR396)</f>
        <v>0</v>
      </c>
      <c r="BQ396" s="199">
        <f>INDEX('GDP deflators'!$C$6:$M$36,MATCH('Bottom-up tagging'!$D396,'GDP deflators'!$B$6:$B$36,),MATCH('Bottom-up tagging'!$E396,'GDP deflators'!$C$5:$L$5,))/100</f>
        <v>1.4753935363936217</v>
      </c>
      <c r="BR396" s="24">
        <v>229800</v>
      </c>
    </row>
    <row r="397" spans="2:70" ht="26.15" customHeight="1">
      <c r="B397" s="110" t="s">
        <v>35</v>
      </c>
      <c r="C397" s="110" t="s">
        <v>40</v>
      </c>
      <c r="D397" s="110" t="s">
        <v>5391</v>
      </c>
      <c r="E397" s="103">
        <v>2020</v>
      </c>
      <c r="F397" s="108" t="s">
        <v>7356</v>
      </c>
      <c r="G397" s="111" t="s">
        <v>34</v>
      </c>
      <c r="H397" s="110" t="s">
        <v>10451</v>
      </c>
      <c r="I397" s="212">
        <v>0</v>
      </c>
      <c r="J397" s="117" t="s">
        <v>10474</v>
      </c>
      <c r="K397" s="112"/>
      <c r="L397" s="135">
        <v>1</v>
      </c>
      <c r="M397" s="135">
        <v>1</v>
      </c>
      <c r="N397" s="112"/>
      <c r="O397" s="112"/>
      <c r="P397" s="112" t="str">
        <f>VLOOKUP(B397, 'Companies covered restructured'!$B$7:$K$470, 9, FALSE)</f>
        <v>Farmer engagement platforms (including marketplaces and information platforms)</v>
      </c>
      <c r="Q397" s="112" t="str">
        <f>VLOOKUP(B397, 'Companies covered restructured'!$B$7:$K$470, 6, FALSE)</f>
        <v>#Crops(100)</v>
      </c>
      <c r="R397" s="112" t="str">
        <f t="shared" si="214"/>
        <v>#Investment Fund(100)</v>
      </c>
      <c r="S397" s="112" t="s">
        <v>11003</v>
      </c>
      <c r="T397" s="112" t="s">
        <v>10466</v>
      </c>
      <c r="U397" s="103" t="s">
        <v>10970</v>
      </c>
      <c r="V397" s="112" t="str">
        <f>VLOOKUP(P397, 'Bottom-up Tagging Assumptions'!$B$12:$F$39, 5, FALSE)</f>
        <v>#Process Innovation(100)</v>
      </c>
      <c r="W397" s="112" t="str">
        <f>VLOOKUP(B397, 'Companies covered restructured'!$B$7:$K$470, 7, FALSE)</f>
        <v>#Field/Animal Herd(100)</v>
      </c>
      <c r="X397" s="112" t="s">
        <v>10558</v>
      </c>
      <c r="Y397" s="112" t="str">
        <f>VLOOKUP(P397, '[2]Bottom-up Tagging Assumptions'!$B$12:$F$56, 2, FALSE)</f>
        <v>#Other Economic(P); #Productivity(S)</v>
      </c>
      <c r="Z397" s="112" t="str">
        <f>VLOOKUP(P397, 'Bottom-up Tagging Assumptions'!$B$12:$F$56, 3, FALSE)</f>
        <v>#Improve price realization(P); #Increasing crop or animal yield(S)</v>
      </c>
      <c r="AA397" s="112" t="str">
        <f>VLOOKUP(P397, 'Bottom-up Tagging Assumptions'!$B$12:$F$56, 4, FALSE)</f>
        <v>#Level 4(100)</v>
      </c>
      <c r="AB397" s="110" t="s">
        <v>37</v>
      </c>
      <c r="AC397" s="110"/>
      <c r="AD397" s="110" t="s">
        <v>38</v>
      </c>
      <c r="AE397" s="110" t="str">
        <f>VLOOKUP(AD397,  '1.2'!$B$7:$C$2033, 2, FALSE)</f>
        <v>FUND</v>
      </c>
      <c r="AF397" s="112">
        <v>1000000</v>
      </c>
      <c r="AG397" s="110" t="s">
        <v>2423</v>
      </c>
      <c r="AH397" s="121">
        <f t="shared" si="215"/>
        <v>0</v>
      </c>
      <c r="AI397" s="121">
        <f t="shared" si="216"/>
        <v>1</v>
      </c>
      <c r="AJ397" s="121">
        <f t="shared" si="217"/>
        <v>1</v>
      </c>
      <c r="AK397" s="121">
        <f t="shared" si="218"/>
        <v>0</v>
      </c>
      <c r="AL397" s="121">
        <f t="shared" si="219"/>
        <v>0</v>
      </c>
      <c r="AM397" s="121">
        <f t="shared" si="220"/>
        <v>0</v>
      </c>
      <c r="AN397" s="121">
        <f t="shared" si="221"/>
        <v>0</v>
      </c>
      <c r="AO397" s="121">
        <f t="shared" si="222"/>
        <v>0</v>
      </c>
      <c r="AP397" s="22">
        <f t="shared" si="223"/>
        <v>0</v>
      </c>
      <c r="AQ397" s="22">
        <f t="shared" si="224"/>
        <v>0</v>
      </c>
      <c r="AR397" s="22">
        <f t="shared" si="225"/>
        <v>0</v>
      </c>
      <c r="AS397" s="121" t="str">
        <f t="shared" si="226"/>
        <v>Crops</v>
      </c>
      <c r="AT397" s="121" t="str">
        <f t="shared" si="212"/>
        <v xml:space="preserve"> </v>
      </c>
      <c r="AU397" s="121" t="str">
        <f t="shared" si="212"/>
        <v xml:space="preserve"> </v>
      </c>
      <c r="AV397" s="121" t="str">
        <f t="shared" si="212"/>
        <v xml:space="preserve"> </v>
      </c>
      <c r="AW397" s="130" t="str">
        <f t="shared" si="213"/>
        <v>100</v>
      </c>
      <c r="AX397" s="130" t="str">
        <f t="shared" si="213"/>
        <v xml:space="preserve"> </v>
      </c>
      <c r="AY397" s="130" t="str">
        <f t="shared" si="213"/>
        <v xml:space="preserve"> </v>
      </c>
      <c r="AZ397" s="130" t="str">
        <f t="shared" si="213"/>
        <v xml:space="preserve"> </v>
      </c>
      <c r="BA397" s="121">
        <f t="shared" si="227"/>
        <v>0</v>
      </c>
      <c r="BB397" s="121">
        <f t="shared" si="228"/>
        <v>0</v>
      </c>
      <c r="BC397" s="121">
        <f t="shared" si="229"/>
        <v>0</v>
      </c>
      <c r="BD397" s="121">
        <f t="shared" si="230"/>
        <v>0</v>
      </c>
      <c r="BE397" s="121">
        <f t="shared" si="231"/>
        <v>0</v>
      </c>
      <c r="BF397" s="121">
        <f t="shared" si="232"/>
        <v>0</v>
      </c>
      <c r="BG397" s="121">
        <f t="shared" si="233"/>
        <v>0</v>
      </c>
      <c r="BH397" s="121">
        <f t="shared" si="234"/>
        <v>0</v>
      </c>
      <c r="BI397" s="121">
        <f t="shared" si="235"/>
        <v>0</v>
      </c>
      <c r="BJ397" s="121">
        <f t="shared" si="236"/>
        <v>0</v>
      </c>
      <c r="BK397" s="121">
        <f t="shared" si="237"/>
        <v>0</v>
      </c>
      <c r="BL397" s="121">
        <f t="shared" si="238"/>
        <v>0</v>
      </c>
      <c r="BM397" s="121">
        <f t="shared" si="239"/>
        <v>0</v>
      </c>
      <c r="BN397" s="121">
        <f t="shared" si="240"/>
        <v>0</v>
      </c>
      <c r="BO397" s="121">
        <f t="shared" si="241"/>
        <v>0</v>
      </c>
      <c r="BP397" s="121">
        <f t="shared" si="242"/>
        <v>0</v>
      </c>
      <c r="BQ397" s="199" t="e">
        <f>INDEX('GDP deflators'!$C$6:$M$36,MATCH('Bottom-up tagging'!$D397,'GDP deflators'!$B$6:$B$36,),MATCH('Bottom-up tagging'!$E397,'GDP deflators'!$C$5:$L$5,))/100</f>
        <v>#N/A</v>
      </c>
      <c r="BR397" s="24">
        <v>220000</v>
      </c>
    </row>
    <row r="398" spans="2:70" ht="26.15" hidden="1" customHeight="1">
      <c r="B398" s="110" t="s">
        <v>1554</v>
      </c>
      <c r="C398" s="110" t="s">
        <v>1558</v>
      </c>
      <c r="D398" s="110" t="s">
        <v>3994</v>
      </c>
      <c r="E398" s="103">
        <v>2018</v>
      </c>
      <c r="F398" s="108" t="s">
        <v>8123</v>
      </c>
      <c r="G398" s="111" t="s">
        <v>34</v>
      </c>
      <c r="H398" s="110" t="s">
        <v>10451</v>
      </c>
      <c r="I398" s="112">
        <f>IF(Dashboard!$B$16="Current USD",'Bottom-up tagging'!BR398,'Bottom-up tagging'!BR398/'Bottom-up tagging'!BQ398)</f>
        <v>148374.65028828519</v>
      </c>
      <c r="J398" s="118" t="s">
        <v>10474</v>
      </c>
      <c r="K398" s="112"/>
      <c r="L398" s="135">
        <v>1</v>
      </c>
      <c r="M398" s="135">
        <v>1</v>
      </c>
      <c r="N398" s="112"/>
      <c r="O398" s="112"/>
      <c r="P398" s="112" t="str">
        <f>VLOOKUP(B398, 'Companies covered restructured'!$B$7:$K$470, 9, FALSE)</f>
        <v>Seed development and biotech</v>
      </c>
      <c r="Q398" s="112" t="str">
        <f>VLOOKUP(B398, 'Companies covered restructured'!$B$7:$K$470, 6, FALSE)</f>
        <v>#Crops(100)</v>
      </c>
      <c r="R398" s="112" t="str">
        <f t="shared" si="214"/>
        <v>N/A</v>
      </c>
      <c r="S398" s="112" t="s">
        <v>11003</v>
      </c>
      <c r="T398" s="112" t="s">
        <v>10466</v>
      </c>
      <c r="U398" s="103" t="s">
        <v>10970</v>
      </c>
      <c r="V398" s="112" t="str">
        <f>VLOOKUP(P398, 'Bottom-up Tagging Assumptions'!$B$12:$F$39, 5, FALSE)</f>
        <v>#Product Development(100)</v>
      </c>
      <c r="W398" s="112" t="str">
        <f>VLOOKUP(B398, 'Companies covered restructured'!$B$7:$K$470, 7, FALSE)</f>
        <v>#Farm/Household(100)</v>
      </c>
      <c r="X398" s="112" t="s">
        <v>10558</v>
      </c>
      <c r="Y398" s="212" t="str">
        <f>VLOOKUP(P398, 'Bottom-up Tagging Assumptions'!$B$12:$C$56, 2, FALSE)</f>
        <v>#Productivity(P); #Human Condition(S)</v>
      </c>
      <c r="Z398" s="112" t="str">
        <f>VLOOKUP(P398, 'Bottom-up Tagging Assumptions'!$B$12:$F$56, 3, FALSE)</f>
        <v>#Increasing crop or animal yield(P); #Improved nutrition(S)</v>
      </c>
      <c r="AA398" s="112" t="str">
        <f>VLOOKUP(P398, 'Bottom-up Tagging Assumptions'!$B$12:$F$56, 4, FALSE)</f>
        <v>#Level 1(100)</v>
      </c>
      <c r="AB398" s="110" t="s">
        <v>1556</v>
      </c>
      <c r="AC398" s="110" t="s">
        <v>1557</v>
      </c>
      <c r="AD398" s="110"/>
      <c r="AE398" s="110" t="s">
        <v>10558</v>
      </c>
      <c r="AF398" s="112"/>
      <c r="AG398" s="110" t="s">
        <v>2550</v>
      </c>
      <c r="AH398" s="121">
        <f t="shared" si="215"/>
        <v>0</v>
      </c>
      <c r="AI398" s="121">
        <f t="shared" si="216"/>
        <v>1</v>
      </c>
      <c r="AJ398" s="121">
        <f t="shared" si="217"/>
        <v>0</v>
      </c>
      <c r="AK398" s="121">
        <f t="shared" si="218"/>
        <v>0</v>
      </c>
      <c r="AL398" s="121">
        <f t="shared" si="219"/>
        <v>1</v>
      </c>
      <c r="AM398" s="121">
        <f t="shared" si="220"/>
        <v>0</v>
      </c>
      <c r="AN398" s="121">
        <f t="shared" si="221"/>
        <v>1</v>
      </c>
      <c r="AO398" s="121">
        <f t="shared" si="222"/>
        <v>0</v>
      </c>
      <c r="AP398" s="22">
        <f t="shared" si="223"/>
        <v>0</v>
      </c>
      <c r="AQ398" s="22">
        <f t="shared" si="224"/>
        <v>148374.65028828519</v>
      </c>
      <c r="AR398" s="22">
        <f t="shared" si="225"/>
        <v>0</v>
      </c>
      <c r="AS398" s="121" t="str">
        <f t="shared" si="226"/>
        <v>Crops</v>
      </c>
      <c r="AT398" s="121" t="str">
        <f t="shared" si="212"/>
        <v xml:space="preserve"> </v>
      </c>
      <c r="AU398" s="121" t="str">
        <f t="shared" si="212"/>
        <v xml:space="preserve"> </v>
      </c>
      <c r="AV398" s="121" t="str">
        <f t="shared" si="212"/>
        <v xml:space="preserve"> </v>
      </c>
      <c r="AW398" s="130" t="str">
        <f t="shared" si="213"/>
        <v>100</v>
      </c>
      <c r="AX398" s="130" t="str">
        <f t="shared" si="213"/>
        <v xml:space="preserve"> </v>
      </c>
      <c r="AY398" s="130" t="str">
        <f t="shared" si="213"/>
        <v xml:space="preserve"> </v>
      </c>
      <c r="AZ398" s="130" t="str">
        <f t="shared" si="213"/>
        <v xml:space="preserve"> </v>
      </c>
      <c r="BA398" s="121">
        <f t="shared" si="227"/>
        <v>148374.65028828519</v>
      </c>
      <c r="BB398" s="121">
        <f t="shared" si="228"/>
        <v>0</v>
      </c>
      <c r="BC398" s="121">
        <f t="shared" si="229"/>
        <v>0</v>
      </c>
      <c r="BD398" s="121">
        <f t="shared" si="230"/>
        <v>0</v>
      </c>
      <c r="BE398" s="121">
        <f t="shared" si="231"/>
        <v>0</v>
      </c>
      <c r="BF398" s="121">
        <f t="shared" si="232"/>
        <v>0</v>
      </c>
      <c r="BG398" s="121">
        <f t="shared" si="233"/>
        <v>0</v>
      </c>
      <c r="BH398" s="121">
        <f t="shared" si="234"/>
        <v>0</v>
      </c>
      <c r="BI398" s="121">
        <f t="shared" si="235"/>
        <v>148374.65028828519</v>
      </c>
      <c r="BJ398" s="121">
        <f t="shared" si="236"/>
        <v>148374.65028828519</v>
      </c>
      <c r="BK398" s="121">
        <f t="shared" si="237"/>
        <v>148374.65028828519</v>
      </c>
      <c r="BL398" s="121">
        <f t="shared" si="238"/>
        <v>148374.65028828519</v>
      </c>
      <c r="BM398" s="121">
        <f t="shared" si="239"/>
        <v>0</v>
      </c>
      <c r="BN398" s="121">
        <f t="shared" si="240"/>
        <v>0</v>
      </c>
      <c r="BO398" s="121">
        <f t="shared" si="241"/>
        <v>0</v>
      </c>
      <c r="BP398" s="121">
        <f t="shared" si="242"/>
        <v>0</v>
      </c>
      <c r="BQ398" s="199">
        <f>INDEX('GDP deflators'!$C$6:$M$36,MATCH('Bottom-up tagging'!$D398,'GDP deflators'!$B$6:$B$36,),MATCH('Bottom-up tagging'!$E398,'GDP deflators'!$C$5:$L$5,))/100</f>
        <v>1.4753935363936217</v>
      </c>
      <c r="BR398" s="24">
        <v>218911</v>
      </c>
    </row>
    <row r="399" spans="2:70" ht="26.15" hidden="1" customHeight="1">
      <c r="B399" s="110" t="s">
        <v>1126</v>
      </c>
      <c r="C399" s="110" t="s">
        <v>1130</v>
      </c>
      <c r="D399" s="110" t="s">
        <v>3994</v>
      </c>
      <c r="E399" s="103">
        <v>2019</v>
      </c>
      <c r="F399" s="108" t="s">
        <v>7591</v>
      </c>
      <c r="G399" s="111" t="s">
        <v>34</v>
      </c>
      <c r="H399" s="110" t="s">
        <v>10451</v>
      </c>
      <c r="I399" s="112">
        <f>IF(Dashboard!$B$16="Current USD",'Bottom-up tagging'!BR399,'Bottom-up tagging'!BR399/'Bottom-up tagging'!BQ399)</f>
        <v>143646.68211740768</v>
      </c>
      <c r="J399" s="117" t="s">
        <v>10474</v>
      </c>
      <c r="K399" s="112"/>
      <c r="L399" s="135">
        <v>1</v>
      </c>
      <c r="M399" s="135">
        <v>1</v>
      </c>
      <c r="N399" s="112"/>
      <c r="O399" s="112"/>
      <c r="P399" s="112" t="str">
        <f>VLOOKUP(B399, 'Companies covered restructured'!$B$7:$K$470, 9, FALSE)</f>
        <v>Farmer engagement platforms (including marketplaces and information platforms)</v>
      </c>
      <c r="Q399" s="112" t="str">
        <f>VLOOKUP(B399, 'Companies covered restructured'!$B$7:$K$470, 6, FALSE)</f>
        <v>#Crops(100)</v>
      </c>
      <c r="R399" s="112" t="str">
        <f t="shared" si="214"/>
        <v>N/A</v>
      </c>
      <c r="S399" s="112" t="s">
        <v>11003</v>
      </c>
      <c r="T399" s="112" t="s">
        <v>10466</v>
      </c>
      <c r="U399" s="103" t="s">
        <v>10970</v>
      </c>
      <c r="V399" s="112" t="str">
        <f>VLOOKUP(P399, 'Bottom-up Tagging Assumptions'!$B$12:$F$39, 5, FALSE)</f>
        <v>#Process Innovation(100)</v>
      </c>
      <c r="W399" s="112" t="str">
        <f>VLOOKUP(B399, 'Companies covered restructured'!$B$7:$K$470, 7, FALSE)</f>
        <v>#Farm/Household(100)</v>
      </c>
      <c r="X399" s="112" t="s">
        <v>10558</v>
      </c>
      <c r="Y399" s="212" t="str">
        <f>VLOOKUP(P399, 'Bottom-up Tagging Assumptions'!$B$12:$C$56, 2, FALSE)</f>
        <v>#Other Economic(P); #Productivity(S)</v>
      </c>
      <c r="Z399" s="112" t="str">
        <f>VLOOKUP(P399, 'Bottom-up Tagging Assumptions'!$B$12:$F$56, 3, FALSE)</f>
        <v>#Improve price realization(P); #Increasing crop or animal yield(S)</v>
      </c>
      <c r="AA399" s="112" t="str">
        <f>VLOOKUP(P399, 'Bottom-up Tagging Assumptions'!$B$12:$F$56, 4, FALSE)</f>
        <v>#Level 4(100)</v>
      </c>
      <c r="AB399" s="110" t="s">
        <v>1128</v>
      </c>
      <c r="AC399" s="110"/>
      <c r="AD399" s="110" t="s">
        <v>1129</v>
      </c>
      <c r="AE399" s="110" t="s">
        <v>10558</v>
      </c>
      <c r="AF399" s="112"/>
      <c r="AG399" s="110" t="s">
        <v>2554</v>
      </c>
      <c r="AH399" s="121">
        <f t="shared" si="215"/>
        <v>0</v>
      </c>
      <c r="AI399" s="121">
        <f t="shared" si="216"/>
        <v>1</v>
      </c>
      <c r="AJ399" s="121">
        <f t="shared" si="217"/>
        <v>1</v>
      </c>
      <c r="AK399" s="121">
        <f t="shared" si="218"/>
        <v>0</v>
      </c>
      <c r="AL399" s="121">
        <f t="shared" si="219"/>
        <v>0</v>
      </c>
      <c r="AM399" s="121">
        <f t="shared" si="220"/>
        <v>0</v>
      </c>
      <c r="AN399" s="121">
        <f t="shared" si="221"/>
        <v>0</v>
      </c>
      <c r="AO399" s="121">
        <f t="shared" si="222"/>
        <v>0</v>
      </c>
      <c r="AP399" s="22">
        <f t="shared" si="223"/>
        <v>0</v>
      </c>
      <c r="AQ399" s="22">
        <f t="shared" si="224"/>
        <v>0</v>
      </c>
      <c r="AR399" s="22">
        <f t="shared" si="225"/>
        <v>0</v>
      </c>
      <c r="AS399" s="121" t="str">
        <f t="shared" si="226"/>
        <v>Crops</v>
      </c>
      <c r="AT399" s="121" t="str">
        <f t="shared" si="212"/>
        <v xml:space="preserve"> </v>
      </c>
      <c r="AU399" s="121" t="str">
        <f t="shared" si="212"/>
        <v xml:space="preserve"> </v>
      </c>
      <c r="AV399" s="121" t="str">
        <f t="shared" si="212"/>
        <v xml:space="preserve"> </v>
      </c>
      <c r="AW399" s="130" t="str">
        <f t="shared" si="213"/>
        <v>100</v>
      </c>
      <c r="AX399" s="130" t="str">
        <f t="shared" si="213"/>
        <v xml:space="preserve"> </v>
      </c>
      <c r="AY399" s="130" t="str">
        <f t="shared" si="213"/>
        <v xml:space="preserve"> </v>
      </c>
      <c r="AZ399" s="130" t="str">
        <f t="shared" si="213"/>
        <v xml:space="preserve"> </v>
      </c>
      <c r="BA399" s="121">
        <f t="shared" si="227"/>
        <v>143646.68211740768</v>
      </c>
      <c r="BB399" s="121">
        <f t="shared" si="228"/>
        <v>0</v>
      </c>
      <c r="BC399" s="121">
        <f t="shared" si="229"/>
        <v>0</v>
      </c>
      <c r="BD399" s="121">
        <f t="shared" si="230"/>
        <v>0</v>
      </c>
      <c r="BE399" s="121">
        <f t="shared" si="231"/>
        <v>0</v>
      </c>
      <c r="BF399" s="121">
        <f t="shared" si="232"/>
        <v>0</v>
      </c>
      <c r="BG399" s="121">
        <f t="shared" si="233"/>
        <v>0</v>
      </c>
      <c r="BH399" s="121">
        <f t="shared" si="234"/>
        <v>0</v>
      </c>
      <c r="BI399" s="121">
        <f t="shared" si="235"/>
        <v>0</v>
      </c>
      <c r="BJ399" s="121">
        <f t="shared" si="236"/>
        <v>0</v>
      </c>
      <c r="BK399" s="121">
        <f t="shared" si="237"/>
        <v>0</v>
      </c>
      <c r="BL399" s="121">
        <f t="shared" si="238"/>
        <v>0</v>
      </c>
      <c r="BM399" s="121">
        <f t="shared" si="239"/>
        <v>0</v>
      </c>
      <c r="BN399" s="121">
        <f t="shared" si="240"/>
        <v>0</v>
      </c>
      <c r="BO399" s="121">
        <f t="shared" si="241"/>
        <v>0</v>
      </c>
      <c r="BP399" s="121">
        <f t="shared" si="242"/>
        <v>0</v>
      </c>
      <c r="BQ399" s="199">
        <f>INDEX('GDP deflators'!$C$6:$M$36,MATCH('Bottom-up tagging'!$D399,'GDP deflators'!$B$6:$B$36,),MATCH('Bottom-up tagging'!$E399,'GDP deflators'!$C$5:$L$5,))/100</f>
        <v>1.5094883975306472</v>
      </c>
      <c r="BR399" s="24">
        <v>216833</v>
      </c>
    </row>
    <row r="400" spans="2:70" ht="26.15" hidden="1" customHeight="1">
      <c r="B400" s="110" t="s">
        <v>622</v>
      </c>
      <c r="C400" s="110" t="s">
        <v>625</v>
      </c>
      <c r="D400" s="110" t="s">
        <v>3994</v>
      </c>
      <c r="E400" s="103">
        <v>2018</v>
      </c>
      <c r="F400" s="108" t="s">
        <v>8796</v>
      </c>
      <c r="G400" s="111" t="s">
        <v>109</v>
      </c>
      <c r="H400" s="110" t="s">
        <v>10451</v>
      </c>
      <c r="I400" s="112">
        <f>IF(Dashboard!$B$16="Current USD",'Bottom-up tagging'!BR400,'Bottom-up tagging'!BR400/'Bottom-up tagging'!BQ400)</f>
        <v>146890.30055651593</v>
      </c>
      <c r="J400" s="105" t="s">
        <v>10474</v>
      </c>
      <c r="K400" s="112"/>
      <c r="L400" s="135">
        <v>1</v>
      </c>
      <c r="M400" s="135">
        <v>1</v>
      </c>
      <c r="N400" s="112"/>
      <c r="O400" s="112"/>
      <c r="P400" s="112" t="str">
        <f>VLOOKUP(B400, 'Companies covered restructured'!$B$7:$K$470, 9, FALSE)</f>
        <v xml:space="preserve">Pesticides </v>
      </c>
      <c r="Q400" s="112" t="str">
        <f>VLOOKUP(B400, 'Companies covered restructured'!$B$7:$K$470, 6, FALSE)</f>
        <v>#Crops(100)</v>
      </c>
      <c r="R400" s="112" t="str">
        <f t="shared" si="214"/>
        <v>#Corporate(100)</v>
      </c>
      <c r="S400" s="112" t="s">
        <v>11003</v>
      </c>
      <c r="T400" s="112" t="s">
        <v>10466</v>
      </c>
      <c r="U400" s="103" t="s">
        <v>10970</v>
      </c>
      <c r="V400" s="112" t="str">
        <f>VLOOKUP(P400, 'Bottom-up Tagging Assumptions'!$B$12:$F$39, 5, FALSE)</f>
        <v>#Product Development(100)</v>
      </c>
      <c r="W400" s="112" t="str">
        <f>VLOOKUP(B400, 'Companies covered restructured'!$B$7:$K$470, 7, FALSE)</f>
        <v>N/A</v>
      </c>
      <c r="X400" s="112" t="str">
        <f>VLOOKUP(B400, 'Companies covered restructured'!$B$7:$K$470, 8, FALSE)</f>
        <v>N/A</v>
      </c>
      <c r="Y400" s="212" t="str">
        <f>VLOOKUP(P400, 'Bottom-up Tagging Assumptions'!$B$12:$C$56, 2, FALSE)</f>
        <v>#Other economic(P); #Productivity(S)</v>
      </c>
      <c r="Z400" s="112" t="str">
        <f>VLOOKUP(P400, 'Bottom-up Tagging Assumptions'!$B$12:$F$56, 3, FALSE)</f>
        <v>#Waste reduction(P)</v>
      </c>
      <c r="AA400" s="112" t="str">
        <f>VLOOKUP(P400, 'Bottom-up Tagging Assumptions'!$B$12:$F$56, 4, FALSE)</f>
        <v>#Level 1(100)</v>
      </c>
      <c r="AB400" s="110" t="s">
        <v>1399</v>
      </c>
      <c r="AC400" s="110"/>
      <c r="AD400" s="110" t="s">
        <v>1400</v>
      </c>
      <c r="AE400" s="110" t="str">
        <f>VLOOKUP(AD400,  '1.2'!$B$7:$C$2033, 2, FALSE)</f>
        <v>CORPORATE_INVESTOR</v>
      </c>
      <c r="AF400" s="112">
        <v>2500000</v>
      </c>
      <c r="AG400" s="110" t="s">
        <v>2351</v>
      </c>
      <c r="AH400" s="121">
        <f t="shared" si="215"/>
        <v>0</v>
      </c>
      <c r="AI400" s="121">
        <f t="shared" si="216"/>
        <v>1</v>
      </c>
      <c r="AJ400" s="121">
        <f t="shared" si="217"/>
        <v>1</v>
      </c>
      <c r="AK400" s="121">
        <f t="shared" si="218"/>
        <v>0</v>
      </c>
      <c r="AL400" s="121">
        <f t="shared" si="219"/>
        <v>0</v>
      </c>
      <c r="AM400" s="121">
        <f t="shared" si="220"/>
        <v>0</v>
      </c>
      <c r="AN400" s="121">
        <f t="shared" si="221"/>
        <v>0</v>
      </c>
      <c r="AO400" s="121">
        <f t="shared" si="222"/>
        <v>0</v>
      </c>
      <c r="AP400" s="22">
        <f t="shared" si="223"/>
        <v>0</v>
      </c>
      <c r="AQ400" s="22">
        <f t="shared" si="224"/>
        <v>0</v>
      </c>
      <c r="AR400" s="22">
        <f t="shared" si="225"/>
        <v>0</v>
      </c>
      <c r="AS400" s="121" t="str">
        <f t="shared" si="226"/>
        <v>Crops</v>
      </c>
      <c r="AT400" s="121" t="str">
        <f t="shared" si="212"/>
        <v xml:space="preserve"> </v>
      </c>
      <c r="AU400" s="121" t="str">
        <f t="shared" si="212"/>
        <v xml:space="preserve"> </v>
      </c>
      <c r="AV400" s="121" t="str">
        <f t="shared" si="212"/>
        <v xml:space="preserve"> </v>
      </c>
      <c r="AW400" s="130" t="str">
        <f t="shared" si="213"/>
        <v>100</v>
      </c>
      <c r="AX400" s="130" t="str">
        <f t="shared" si="213"/>
        <v xml:space="preserve"> </v>
      </c>
      <c r="AY400" s="130" t="str">
        <f t="shared" si="213"/>
        <v xml:space="preserve"> </v>
      </c>
      <c r="AZ400" s="130" t="str">
        <f t="shared" si="213"/>
        <v xml:space="preserve"> </v>
      </c>
      <c r="BA400" s="121">
        <f t="shared" si="227"/>
        <v>146890.30055651593</v>
      </c>
      <c r="BB400" s="121">
        <f t="shared" si="228"/>
        <v>0</v>
      </c>
      <c r="BC400" s="121">
        <f t="shared" si="229"/>
        <v>0</v>
      </c>
      <c r="BD400" s="121">
        <f t="shared" si="230"/>
        <v>0</v>
      </c>
      <c r="BE400" s="121">
        <f t="shared" si="231"/>
        <v>0</v>
      </c>
      <c r="BF400" s="121">
        <f t="shared" si="232"/>
        <v>0</v>
      </c>
      <c r="BG400" s="121">
        <f t="shared" si="233"/>
        <v>0</v>
      </c>
      <c r="BH400" s="121">
        <f t="shared" si="234"/>
        <v>0</v>
      </c>
      <c r="BI400" s="121">
        <f t="shared" si="235"/>
        <v>0</v>
      </c>
      <c r="BJ400" s="121">
        <f t="shared" si="236"/>
        <v>0</v>
      </c>
      <c r="BK400" s="121">
        <f t="shared" si="237"/>
        <v>0</v>
      </c>
      <c r="BL400" s="121">
        <f t="shared" si="238"/>
        <v>0</v>
      </c>
      <c r="BM400" s="121">
        <f t="shared" si="239"/>
        <v>0</v>
      </c>
      <c r="BN400" s="121">
        <f t="shared" si="240"/>
        <v>0</v>
      </c>
      <c r="BO400" s="121">
        <f t="shared" si="241"/>
        <v>0</v>
      </c>
      <c r="BP400" s="121">
        <f t="shared" si="242"/>
        <v>0</v>
      </c>
      <c r="BQ400" s="199">
        <f>INDEX('GDP deflators'!$C$6:$M$36,MATCH('Bottom-up tagging'!$D400,'GDP deflators'!$B$6:$B$36,),MATCH('Bottom-up tagging'!$E400,'GDP deflators'!$C$5:$L$5,))/100</f>
        <v>1.4753935363936217</v>
      </c>
      <c r="BR400" s="24">
        <v>216721</v>
      </c>
    </row>
    <row r="401" spans="2:70" ht="26.15" hidden="1" customHeight="1">
      <c r="B401" s="110" t="s">
        <v>1763</v>
      </c>
      <c r="C401" s="110" t="s">
        <v>1767</v>
      </c>
      <c r="D401" s="110" t="s">
        <v>3994</v>
      </c>
      <c r="E401" s="103">
        <v>2018</v>
      </c>
      <c r="F401" s="108" t="s">
        <v>5596</v>
      </c>
      <c r="G401" s="111" t="s">
        <v>124</v>
      </c>
      <c r="H401" s="110" t="s">
        <v>10451</v>
      </c>
      <c r="I401" s="112">
        <f>IF(Dashboard!$B$16="Current USD",'Bottom-up tagging'!BR401,'Bottom-up tagging'!BR401/'Bottom-up tagging'!BQ401)</f>
        <v>145870.23373171556</v>
      </c>
      <c r="J401" s="105" t="s">
        <v>10474</v>
      </c>
      <c r="K401" s="112"/>
      <c r="L401" s="135">
        <v>1</v>
      </c>
      <c r="M401" s="135">
        <v>1</v>
      </c>
      <c r="N401" s="112"/>
      <c r="O401" s="112"/>
      <c r="P401" s="112" t="str">
        <f>VLOOKUP(B401, 'Companies covered restructured'!$B$7:$K$470, 9, FALSE)</f>
        <v>Farmer engagement platforms (including marketplaces and information platforms)</v>
      </c>
      <c r="Q401" s="112" t="str">
        <f>VLOOKUP(B401, 'Companies covered restructured'!$B$7:$K$470, 6, FALSE)</f>
        <v>#Crops(100)</v>
      </c>
      <c r="R401" s="112" t="str">
        <f t="shared" si="214"/>
        <v>#Angel Investor(100)</v>
      </c>
      <c r="S401" s="112" t="s">
        <v>11003</v>
      </c>
      <c r="T401" s="112" t="s">
        <v>10466</v>
      </c>
      <c r="U401" s="103" t="s">
        <v>10970</v>
      </c>
      <c r="V401" s="112" t="str">
        <f>VLOOKUP(P401, 'Bottom-up Tagging Assumptions'!$B$12:$F$39, 5, FALSE)</f>
        <v>#Process Innovation(100)</v>
      </c>
      <c r="W401" s="112" t="str">
        <f>VLOOKUP(B401, 'Companies covered restructured'!$B$7:$K$470, 7, FALSE)</f>
        <v>#Field/Animal Herd(100)</v>
      </c>
      <c r="X401" s="112" t="s">
        <v>10558</v>
      </c>
      <c r="Y401" s="212" t="str">
        <f>VLOOKUP(P401, 'Bottom-up Tagging Assumptions'!$B$12:$C$56, 2, FALSE)</f>
        <v>#Other Economic(P); #Productivity(S)</v>
      </c>
      <c r="Z401" s="112" t="str">
        <f>VLOOKUP(P401, 'Bottom-up Tagging Assumptions'!$B$12:$F$56, 3, FALSE)</f>
        <v>#Improve price realization(P); #Increasing crop or animal yield(S)</v>
      </c>
      <c r="AA401" s="112" t="str">
        <f>VLOOKUP(P401, 'Bottom-up Tagging Assumptions'!$B$12:$F$56, 4, FALSE)</f>
        <v>#Level 4(100)</v>
      </c>
      <c r="AB401" s="110"/>
      <c r="AC401" s="110" t="s">
        <v>1765</v>
      </c>
      <c r="AD401" s="110" t="s">
        <v>1766</v>
      </c>
      <c r="AE401" s="110" t="str">
        <f>VLOOKUP(AD401,  '1.2'!$B$7:$C$2033, 2, FALSE)</f>
        <v>ANGEL</v>
      </c>
      <c r="AF401" s="112">
        <v>7000000</v>
      </c>
      <c r="AG401" s="110" t="s">
        <v>862</v>
      </c>
      <c r="AH401" s="121">
        <f t="shared" si="215"/>
        <v>0</v>
      </c>
      <c r="AI401" s="121">
        <f t="shared" si="216"/>
        <v>1</v>
      </c>
      <c r="AJ401" s="121">
        <f t="shared" si="217"/>
        <v>1</v>
      </c>
      <c r="AK401" s="121">
        <f t="shared" si="218"/>
        <v>0</v>
      </c>
      <c r="AL401" s="121">
        <f t="shared" si="219"/>
        <v>0</v>
      </c>
      <c r="AM401" s="121">
        <f t="shared" si="220"/>
        <v>0</v>
      </c>
      <c r="AN401" s="121">
        <f t="shared" si="221"/>
        <v>0</v>
      </c>
      <c r="AO401" s="121">
        <f t="shared" si="222"/>
        <v>0</v>
      </c>
      <c r="AP401" s="22">
        <f t="shared" si="223"/>
        <v>0</v>
      </c>
      <c r="AQ401" s="22">
        <f t="shared" si="224"/>
        <v>0</v>
      </c>
      <c r="AR401" s="22">
        <f t="shared" si="225"/>
        <v>0</v>
      </c>
      <c r="AS401" s="121" t="str">
        <f t="shared" si="226"/>
        <v>Crops</v>
      </c>
      <c r="AT401" s="121" t="str">
        <f t="shared" si="212"/>
        <v xml:space="preserve"> </v>
      </c>
      <c r="AU401" s="121" t="str">
        <f t="shared" si="212"/>
        <v xml:space="preserve"> </v>
      </c>
      <c r="AV401" s="121" t="str">
        <f t="shared" si="212"/>
        <v xml:space="preserve"> </v>
      </c>
      <c r="AW401" s="130" t="str">
        <f t="shared" si="213"/>
        <v>100</v>
      </c>
      <c r="AX401" s="130" t="str">
        <f t="shared" si="213"/>
        <v xml:space="preserve"> </v>
      </c>
      <c r="AY401" s="130" t="str">
        <f t="shared" si="213"/>
        <v xml:space="preserve"> </v>
      </c>
      <c r="AZ401" s="130" t="str">
        <f t="shared" si="213"/>
        <v xml:space="preserve"> </v>
      </c>
      <c r="BA401" s="121">
        <f t="shared" si="227"/>
        <v>145870.23373171556</v>
      </c>
      <c r="BB401" s="121">
        <f t="shared" si="228"/>
        <v>0</v>
      </c>
      <c r="BC401" s="121">
        <f t="shared" si="229"/>
        <v>0</v>
      </c>
      <c r="BD401" s="121">
        <f t="shared" si="230"/>
        <v>0</v>
      </c>
      <c r="BE401" s="121">
        <f t="shared" si="231"/>
        <v>0</v>
      </c>
      <c r="BF401" s="121">
        <f t="shared" si="232"/>
        <v>0</v>
      </c>
      <c r="BG401" s="121">
        <f t="shared" si="233"/>
        <v>0</v>
      </c>
      <c r="BH401" s="121">
        <f t="shared" si="234"/>
        <v>0</v>
      </c>
      <c r="BI401" s="121">
        <f t="shared" si="235"/>
        <v>0</v>
      </c>
      <c r="BJ401" s="121">
        <f t="shared" si="236"/>
        <v>0</v>
      </c>
      <c r="BK401" s="121">
        <f t="shared" si="237"/>
        <v>0</v>
      </c>
      <c r="BL401" s="121">
        <f t="shared" si="238"/>
        <v>0</v>
      </c>
      <c r="BM401" s="121">
        <f t="shared" si="239"/>
        <v>0</v>
      </c>
      <c r="BN401" s="121">
        <f t="shared" si="240"/>
        <v>0</v>
      </c>
      <c r="BO401" s="121">
        <f t="shared" si="241"/>
        <v>0</v>
      </c>
      <c r="BP401" s="121">
        <f t="shared" si="242"/>
        <v>0</v>
      </c>
      <c r="BQ401" s="199">
        <f>INDEX('GDP deflators'!$C$6:$M$36,MATCH('Bottom-up tagging'!$D401,'GDP deflators'!$B$6:$B$36,),MATCH('Bottom-up tagging'!$E401,'GDP deflators'!$C$5:$L$5,))/100</f>
        <v>1.4753935363936217</v>
      </c>
      <c r="BR401" s="24">
        <v>215216</v>
      </c>
    </row>
    <row r="402" spans="2:70" ht="26.15" hidden="1" customHeight="1">
      <c r="B402" s="110" t="s">
        <v>404</v>
      </c>
      <c r="C402" s="110" t="s">
        <v>408</v>
      </c>
      <c r="D402" s="110" t="s">
        <v>3994</v>
      </c>
      <c r="E402" s="103">
        <v>2020</v>
      </c>
      <c r="F402" s="108" t="s">
        <v>7119</v>
      </c>
      <c r="G402" s="111" t="s">
        <v>34</v>
      </c>
      <c r="H402" s="110" t="s">
        <v>10451</v>
      </c>
      <c r="I402" s="212">
        <v>0</v>
      </c>
      <c r="J402" s="105" t="s">
        <v>10474</v>
      </c>
      <c r="K402" s="112"/>
      <c r="L402" s="135">
        <v>1</v>
      </c>
      <c r="M402" s="135">
        <v>1</v>
      </c>
      <c r="N402" s="112"/>
      <c r="O402" s="112"/>
      <c r="P402" s="112" t="str">
        <f>VLOOKUP(B402, 'Companies covered restructured'!$B$7:$K$470, 9, FALSE)</f>
        <v>AI/analytics based advisory algorithms (incl. weather)</v>
      </c>
      <c r="Q402" s="112" t="str">
        <f>VLOOKUP(B402, 'Companies covered restructured'!$B$7:$K$470, 6, FALSE)</f>
        <v>#Crops(100)</v>
      </c>
      <c r="R402" s="112" t="str">
        <f t="shared" si="214"/>
        <v>#Investment Fund(100)</v>
      </c>
      <c r="S402" s="112" t="s">
        <v>11003</v>
      </c>
      <c r="T402" s="112" t="s">
        <v>10466</v>
      </c>
      <c r="U402" s="103" t="s">
        <v>10970</v>
      </c>
      <c r="V402" s="112" t="str">
        <f>VLOOKUP(P402, 'Bottom-up Tagging Assumptions'!$B$12:$F$39, 5, FALSE)</f>
        <v>#Science &amp; tech(100)</v>
      </c>
      <c r="W402" s="112" t="str">
        <f>VLOOKUP(B402, 'Companies covered restructured'!$B$7:$K$470, 7, FALSE)</f>
        <v>#Field/Animal Herd(100)</v>
      </c>
      <c r="X402" s="112" t="s">
        <v>10558</v>
      </c>
      <c r="Y402" s="112" t="str">
        <f>VLOOKUP(P402, '[2]Bottom-up Tagging Assumptions'!$B$12:$F$56, 2, FALSE)</f>
        <v>#Other Economic(P); #Productivity(S)</v>
      </c>
      <c r="Z402" s="112" t="str">
        <f>VLOOKUP(P402, 'Bottom-up Tagging Assumptions'!$B$12:$F$56, 3, FALSE)</f>
        <v>#Increasing output per unit input(P); #Increasing crop or animal yield(S)</v>
      </c>
      <c r="AA402" s="112" t="str">
        <f>VLOOKUP(P402, 'Bottom-up Tagging Assumptions'!$B$12:$F$56, 4, FALSE)</f>
        <v>#Level 1(100)</v>
      </c>
      <c r="AB402" s="110" t="s">
        <v>491</v>
      </c>
      <c r="AC402" s="110"/>
      <c r="AD402" s="110" t="s">
        <v>492</v>
      </c>
      <c r="AE402" s="110" t="str">
        <f>VLOOKUP(AD402,  '1.2'!$B$7:$C$2033, 2, FALSE)</f>
        <v>FUND</v>
      </c>
      <c r="AF402" s="112">
        <v>223330</v>
      </c>
      <c r="AG402" s="110" t="s">
        <v>2373</v>
      </c>
      <c r="AH402" s="121">
        <f t="shared" si="215"/>
        <v>0</v>
      </c>
      <c r="AI402" s="121">
        <f t="shared" si="216"/>
        <v>1</v>
      </c>
      <c r="AJ402" s="121">
        <f t="shared" si="217"/>
        <v>1</v>
      </c>
      <c r="AK402" s="121">
        <f t="shared" si="218"/>
        <v>0</v>
      </c>
      <c r="AL402" s="121">
        <f t="shared" si="219"/>
        <v>0</v>
      </c>
      <c r="AM402" s="121">
        <f t="shared" si="220"/>
        <v>0</v>
      </c>
      <c r="AN402" s="121">
        <f t="shared" si="221"/>
        <v>0</v>
      </c>
      <c r="AO402" s="121">
        <f t="shared" si="222"/>
        <v>0</v>
      </c>
      <c r="AP402" s="22">
        <f t="shared" si="223"/>
        <v>0</v>
      </c>
      <c r="AQ402" s="22">
        <f t="shared" si="224"/>
        <v>0</v>
      </c>
      <c r="AR402" s="22">
        <f t="shared" si="225"/>
        <v>0</v>
      </c>
      <c r="AS402" s="121" t="str">
        <f t="shared" si="226"/>
        <v>Crops</v>
      </c>
      <c r="AT402" s="121" t="str">
        <f t="shared" si="212"/>
        <v xml:space="preserve"> </v>
      </c>
      <c r="AU402" s="121" t="str">
        <f t="shared" si="212"/>
        <v xml:space="preserve"> </v>
      </c>
      <c r="AV402" s="121" t="str">
        <f t="shared" si="212"/>
        <v xml:space="preserve"> </v>
      </c>
      <c r="AW402" s="130" t="str">
        <f t="shared" si="213"/>
        <v>100</v>
      </c>
      <c r="AX402" s="130" t="str">
        <f t="shared" si="213"/>
        <v xml:space="preserve"> </v>
      </c>
      <c r="AY402" s="130" t="str">
        <f t="shared" si="213"/>
        <v xml:space="preserve"> </v>
      </c>
      <c r="AZ402" s="130" t="str">
        <f t="shared" si="213"/>
        <v xml:space="preserve"> </v>
      </c>
      <c r="BA402" s="121">
        <f t="shared" si="227"/>
        <v>0</v>
      </c>
      <c r="BB402" s="121">
        <f t="shared" si="228"/>
        <v>0</v>
      </c>
      <c r="BC402" s="121">
        <f t="shared" si="229"/>
        <v>0</v>
      </c>
      <c r="BD402" s="121">
        <f t="shared" si="230"/>
        <v>0</v>
      </c>
      <c r="BE402" s="121">
        <f t="shared" si="231"/>
        <v>0</v>
      </c>
      <c r="BF402" s="121">
        <f t="shared" si="232"/>
        <v>0</v>
      </c>
      <c r="BG402" s="121">
        <f t="shared" si="233"/>
        <v>0</v>
      </c>
      <c r="BH402" s="121">
        <f t="shared" si="234"/>
        <v>0</v>
      </c>
      <c r="BI402" s="121">
        <f t="shared" si="235"/>
        <v>0</v>
      </c>
      <c r="BJ402" s="121">
        <f t="shared" si="236"/>
        <v>0</v>
      </c>
      <c r="BK402" s="121">
        <f t="shared" si="237"/>
        <v>0</v>
      </c>
      <c r="BL402" s="121">
        <f t="shared" si="238"/>
        <v>0</v>
      </c>
      <c r="BM402" s="121">
        <f t="shared" si="239"/>
        <v>0</v>
      </c>
      <c r="BN402" s="121">
        <f t="shared" si="240"/>
        <v>0</v>
      </c>
      <c r="BO402" s="121">
        <f t="shared" si="241"/>
        <v>0</v>
      </c>
      <c r="BP402" s="121">
        <f t="shared" si="242"/>
        <v>0</v>
      </c>
      <c r="BQ402" s="199" t="e">
        <f>INDEX('GDP deflators'!$C$6:$M$36,MATCH('Bottom-up tagging'!$D402,'GDP deflators'!$B$6:$B$36,),MATCH('Bottom-up tagging'!$E402,'GDP deflators'!$C$5:$L$5,))/100</f>
        <v>#N/A</v>
      </c>
      <c r="BR402" s="24">
        <v>213680</v>
      </c>
    </row>
    <row r="403" spans="2:70" ht="26.15" hidden="1" customHeight="1">
      <c r="B403" s="110" t="s">
        <v>622</v>
      </c>
      <c r="C403" s="110" t="s">
        <v>625</v>
      </c>
      <c r="D403" s="110" t="s">
        <v>3994</v>
      </c>
      <c r="E403" s="103">
        <v>2013</v>
      </c>
      <c r="F403" s="108" t="s">
        <v>8796</v>
      </c>
      <c r="G403" s="111" t="s">
        <v>34</v>
      </c>
      <c r="H403" s="110" t="s">
        <v>10451</v>
      </c>
      <c r="I403" s="112">
        <f>IF(Dashboard!$B$16="Current USD",'Bottom-up tagging'!BR403,'Bottom-up tagging'!BR403/'Bottom-up tagging'!BQ403)</f>
        <v>166525.89298285235</v>
      </c>
      <c r="J403" s="105" t="s">
        <v>10474</v>
      </c>
      <c r="K403" s="112"/>
      <c r="L403" s="135">
        <v>1</v>
      </c>
      <c r="M403" s="135">
        <v>1</v>
      </c>
      <c r="N403" s="112"/>
      <c r="O403" s="112"/>
      <c r="P403" s="112" t="str">
        <f>VLOOKUP(B403, 'Companies covered restructured'!$B$7:$K$470, 9, FALSE)</f>
        <v xml:space="preserve">Pesticides </v>
      </c>
      <c r="Q403" s="112" t="str">
        <f>VLOOKUP(B403, 'Companies covered restructured'!$B$7:$K$470, 6, FALSE)</f>
        <v>#Crops(100)</v>
      </c>
      <c r="R403" s="112" t="str">
        <f t="shared" si="214"/>
        <v>#Investment Fund(100)</v>
      </c>
      <c r="S403" s="112" t="s">
        <v>11003</v>
      </c>
      <c r="T403" s="112" t="s">
        <v>10466</v>
      </c>
      <c r="U403" s="103" t="s">
        <v>10970</v>
      </c>
      <c r="V403" s="112" t="str">
        <f>VLOOKUP(P403, 'Bottom-up Tagging Assumptions'!$B$12:$F$39, 5, FALSE)</f>
        <v>#Product Development(100)</v>
      </c>
      <c r="W403" s="112" t="str">
        <f>VLOOKUP(B403, 'Companies covered restructured'!$B$7:$K$470, 7, FALSE)</f>
        <v>N/A</v>
      </c>
      <c r="X403" s="112" t="str">
        <f>VLOOKUP(B403, 'Companies covered restructured'!$B$7:$K$470, 8, FALSE)</f>
        <v>N/A</v>
      </c>
      <c r="Y403" s="212" t="str">
        <f>VLOOKUP(P403, 'Bottom-up Tagging Assumptions'!$B$12:$C$56, 2, FALSE)</f>
        <v>#Other economic(P); #Productivity(S)</v>
      </c>
      <c r="Z403" s="112" t="str">
        <f>VLOOKUP(P403, 'Bottom-up Tagging Assumptions'!$B$12:$F$56, 3, FALSE)</f>
        <v>#Waste reduction(P)</v>
      </c>
      <c r="AA403" s="112" t="str">
        <f>VLOOKUP(P403, 'Bottom-up Tagging Assumptions'!$B$12:$F$56, 4, FALSE)</f>
        <v>#Level 1(100)</v>
      </c>
      <c r="AB403" s="110" t="s">
        <v>2957</v>
      </c>
      <c r="AC403" s="110"/>
      <c r="AD403" s="110" t="s">
        <v>644</v>
      </c>
      <c r="AE403" s="110" t="str">
        <f>VLOOKUP(AD403,  '1.2'!$B$7:$C$2033, 2, FALSE)</f>
        <v>FUND</v>
      </c>
      <c r="AF403" s="112">
        <v>987327</v>
      </c>
      <c r="AG403" s="110" t="s">
        <v>435</v>
      </c>
      <c r="AH403" s="121">
        <f t="shared" si="215"/>
        <v>0</v>
      </c>
      <c r="AI403" s="121">
        <f t="shared" si="216"/>
        <v>1</v>
      </c>
      <c r="AJ403" s="121">
        <f t="shared" si="217"/>
        <v>1</v>
      </c>
      <c r="AK403" s="121">
        <f t="shared" si="218"/>
        <v>0</v>
      </c>
      <c r="AL403" s="121">
        <f t="shared" si="219"/>
        <v>0</v>
      </c>
      <c r="AM403" s="121">
        <f t="shared" si="220"/>
        <v>0</v>
      </c>
      <c r="AN403" s="121">
        <f t="shared" si="221"/>
        <v>0</v>
      </c>
      <c r="AO403" s="121">
        <f t="shared" si="222"/>
        <v>0</v>
      </c>
      <c r="AP403" s="22">
        <f t="shared" si="223"/>
        <v>0</v>
      </c>
      <c r="AQ403" s="22">
        <f t="shared" si="224"/>
        <v>0</v>
      </c>
      <c r="AR403" s="22">
        <f t="shared" si="225"/>
        <v>0</v>
      </c>
      <c r="AS403" s="121" t="str">
        <f t="shared" si="226"/>
        <v>Crops</v>
      </c>
      <c r="AT403" s="121" t="str">
        <f t="shared" si="212"/>
        <v xml:space="preserve"> </v>
      </c>
      <c r="AU403" s="121" t="str">
        <f t="shared" si="212"/>
        <v xml:space="preserve"> </v>
      </c>
      <c r="AV403" s="121" t="str">
        <f t="shared" si="212"/>
        <v xml:space="preserve"> </v>
      </c>
      <c r="AW403" s="130" t="str">
        <f t="shared" si="213"/>
        <v>100</v>
      </c>
      <c r="AX403" s="130" t="str">
        <f t="shared" si="213"/>
        <v xml:space="preserve"> </v>
      </c>
      <c r="AY403" s="130" t="str">
        <f t="shared" si="213"/>
        <v xml:space="preserve"> </v>
      </c>
      <c r="AZ403" s="130" t="str">
        <f t="shared" si="213"/>
        <v xml:space="preserve"> </v>
      </c>
      <c r="BA403" s="121">
        <f t="shared" si="227"/>
        <v>166525.89298285235</v>
      </c>
      <c r="BB403" s="121">
        <f t="shared" si="228"/>
        <v>0</v>
      </c>
      <c r="BC403" s="121">
        <f t="shared" si="229"/>
        <v>0</v>
      </c>
      <c r="BD403" s="121">
        <f t="shared" si="230"/>
        <v>0</v>
      </c>
      <c r="BE403" s="121">
        <f t="shared" si="231"/>
        <v>0</v>
      </c>
      <c r="BF403" s="121">
        <f t="shared" si="232"/>
        <v>0</v>
      </c>
      <c r="BG403" s="121">
        <f t="shared" si="233"/>
        <v>0</v>
      </c>
      <c r="BH403" s="121">
        <f t="shared" si="234"/>
        <v>0</v>
      </c>
      <c r="BI403" s="121">
        <f t="shared" si="235"/>
        <v>0</v>
      </c>
      <c r="BJ403" s="121">
        <f t="shared" si="236"/>
        <v>0</v>
      </c>
      <c r="BK403" s="121">
        <f t="shared" si="237"/>
        <v>0</v>
      </c>
      <c r="BL403" s="121">
        <f t="shared" si="238"/>
        <v>0</v>
      </c>
      <c r="BM403" s="121">
        <f t="shared" si="239"/>
        <v>0</v>
      </c>
      <c r="BN403" s="121">
        <f t="shared" si="240"/>
        <v>0</v>
      </c>
      <c r="BO403" s="121">
        <f t="shared" si="241"/>
        <v>0</v>
      </c>
      <c r="BP403" s="121">
        <f t="shared" si="242"/>
        <v>0</v>
      </c>
      <c r="BQ403" s="199">
        <f>INDEX('GDP deflators'!$C$6:$M$36,MATCH('Bottom-up tagging'!$D403,'GDP deflators'!$B$6:$B$36,),MATCH('Bottom-up tagging'!$E403,'GDP deflators'!$C$5:$L$5,))/100</f>
        <v>1.2462146053248888</v>
      </c>
      <c r="BR403" s="24">
        <v>207527</v>
      </c>
    </row>
    <row r="404" spans="2:70" ht="26.15" hidden="1" customHeight="1">
      <c r="B404" s="110" t="s">
        <v>1581</v>
      </c>
      <c r="C404" s="110" t="s">
        <v>1584</v>
      </c>
      <c r="D404" s="110" t="s">
        <v>5333</v>
      </c>
      <c r="E404" s="103">
        <v>2018</v>
      </c>
      <c r="F404" s="108" t="s">
        <v>8315</v>
      </c>
      <c r="G404" s="111" t="s">
        <v>34</v>
      </c>
      <c r="H404" s="110" t="s">
        <v>10451</v>
      </c>
      <c r="I404" s="112">
        <f>IF(Dashboard!$B$16="Current USD",'Bottom-up tagging'!BR404,'Bottom-up tagging'!BR404/'Bottom-up tagging'!BQ404)</f>
        <v>24003.289394216252</v>
      </c>
      <c r="J404" s="105" t="s">
        <v>10474</v>
      </c>
      <c r="K404" s="112"/>
      <c r="L404" s="135">
        <v>1</v>
      </c>
      <c r="M404" s="135">
        <v>1</v>
      </c>
      <c r="N404" s="112"/>
      <c r="O404" s="112"/>
      <c r="P404" s="112" t="str">
        <f>VLOOKUP(B404, 'Companies covered restructured'!$B$7:$K$470, 9, FALSE)</f>
        <v>Irrigation systems</v>
      </c>
      <c r="Q404" s="112" t="str">
        <f>VLOOKUP(B404, 'Companies covered restructured'!$B$7:$K$470, 6, FALSE)</f>
        <v>#Crops(100)</v>
      </c>
      <c r="R404" s="112" t="str">
        <f t="shared" si="214"/>
        <v>#Investment Fund(100)</v>
      </c>
      <c r="S404" s="112" t="s">
        <v>11003</v>
      </c>
      <c r="T404" s="112" t="s">
        <v>10466</v>
      </c>
      <c r="U404" s="103" t="s">
        <v>10970</v>
      </c>
      <c r="V404" s="212" t="s">
        <v>10977</v>
      </c>
      <c r="W404" s="112" t="str">
        <f>VLOOKUP(B404, 'Companies covered restructured'!$B$7:$K$470, 7, FALSE)</f>
        <v>#Farm/Household(100)</v>
      </c>
      <c r="X404" s="112" t="str">
        <f>VLOOKUP(B404, 'Companies covered restructured'!$B$7:$K$470, 8, FALSE)</f>
        <v>#Small(100)</v>
      </c>
      <c r="Y404" s="212" t="str">
        <f>VLOOKUP(P404, 'Bottom-up Tagging Assumptions'!$B$12:$C$56, 2, FALSE)</f>
        <v>#Other Economic(P); Environmental(S)</v>
      </c>
      <c r="Z404" s="112" t="str">
        <f>VLOOKUP(P404, 'Bottom-up Tagging Assumptions'!$B$12:$F$56, 3, FALSE)</f>
        <v>#Waste reduction(P)</v>
      </c>
      <c r="AA404" s="112" t="str">
        <f>VLOOKUP(P404, 'Bottom-up Tagging Assumptions'!$B$12:$F$56, 4, FALSE)</f>
        <v>#Level 1(100)</v>
      </c>
      <c r="AB404" s="110" t="s">
        <v>1677</v>
      </c>
      <c r="AC404" s="110"/>
      <c r="AD404" s="110" t="s">
        <v>1678</v>
      </c>
      <c r="AE404" s="110" t="str">
        <f>VLOOKUP(AD404,  '1.2'!$B$7:$C$2033, 2, FALSE)</f>
        <v>FUND</v>
      </c>
      <c r="AF404" s="112">
        <v>1730000</v>
      </c>
      <c r="AG404" s="110" t="s">
        <v>2563</v>
      </c>
      <c r="AH404" s="121">
        <f t="shared" si="215"/>
        <v>1</v>
      </c>
      <c r="AI404" s="121">
        <f t="shared" si="216"/>
        <v>0</v>
      </c>
      <c r="AJ404" s="121">
        <f t="shared" si="217"/>
        <v>1</v>
      </c>
      <c r="AK404" s="121">
        <f t="shared" si="218"/>
        <v>0</v>
      </c>
      <c r="AL404" s="121">
        <f t="shared" si="219"/>
        <v>0</v>
      </c>
      <c r="AM404" s="121">
        <f t="shared" si="220"/>
        <v>0</v>
      </c>
      <c r="AN404" s="121">
        <f t="shared" si="221"/>
        <v>1</v>
      </c>
      <c r="AO404" s="121">
        <f t="shared" si="222"/>
        <v>0</v>
      </c>
      <c r="AP404" s="22">
        <f t="shared" si="223"/>
        <v>0</v>
      </c>
      <c r="AQ404" s="22">
        <f t="shared" si="224"/>
        <v>24003.289394216252</v>
      </c>
      <c r="AR404" s="22">
        <f t="shared" si="225"/>
        <v>0</v>
      </c>
      <c r="AS404" s="121" t="str">
        <f t="shared" si="226"/>
        <v>Crops</v>
      </c>
      <c r="AT404" s="121" t="str">
        <f t="shared" si="212"/>
        <v xml:space="preserve"> </v>
      </c>
      <c r="AU404" s="121" t="str">
        <f t="shared" si="212"/>
        <v xml:space="preserve"> </v>
      </c>
      <c r="AV404" s="121" t="str">
        <f t="shared" si="212"/>
        <v xml:space="preserve"> </v>
      </c>
      <c r="AW404" s="130" t="str">
        <f t="shared" si="213"/>
        <v>100</v>
      </c>
      <c r="AX404" s="130" t="str">
        <f t="shared" si="213"/>
        <v xml:space="preserve"> </v>
      </c>
      <c r="AY404" s="130" t="str">
        <f t="shared" si="213"/>
        <v xml:space="preserve"> </v>
      </c>
      <c r="AZ404" s="130" t="str">
        <f t="shared" si="213"/>
        <v xml:space="preserve"> </v>
      </c>
      <c r="BA404" s="121">
        <f t="shared" si="227"/>
        <v>24003.289394216252</v>
      </c>
      <c r="BB404" s="121">
        <f t="shared" si="228"/>
        <v>0</v>
      </c>
      <c r="BC404" s="121">
        <f t="shared" si="229"/>
        <v>0</v>
      </c>
      <c r="BD404" s="121">
        <f t="shared" si="230"/>
        <v>0</v>
      </c>
      <c r="BE404" s="121">
        <f t="shared" si="231"/>
        <v>0</v>
      </c>
      <c r="BF404" s="121">
        <f t="shared" si="232"/>
        <v>0</v>
      </c>
      <c r="BG404" s="121">
        <f t="shared" si="233"/>
        <v>0</v>
      </c>
      <c r="BH404" s="121">
        <f t="shared" si="234"/>
        <v>0</v>
      </c>
      <c r="BI404" s="121">
        <f t="shared" si="235"/>
        <v>24003.289394216252</v>
      </c>
      <c r="BJ404" s="121">
        <f t="shared" si="236"/>
        <v>24003.289394216252</v>
      </c>
      <c r="BK404" s="121">
        <f t="shared" si="237"/>
        <v>24003.289394216252</v>
      </c>
      <c r="BL404" s="121">
        <f t="shared" si="238"/>
        <v>24003.289394216252</v>
      </c>
      <c r="BM404" s="121">
        <f t="shared" si="239"/>
        <v>0</v>
      </c>
      <c r="BN404" s="121">
        <f t="shared" si="240"/>
        <v>0</v>
      </c>
      <c r="BO404" s="121">
        <f t="shared" si="241"/>
        <v>0</v>
      </c>
      <c r="BP404" s="121">
        <f t="shared" si="242"/>
        <v>0</v>
      </c>
      <c r="BQ404" s="199">
        <f>INDEX('GDP deflators'!$C$6:$M$36,MATCH('Bottom-up tagging'!$D404,'GDP deflators'!$B$6:$B$36,),MATCH('Bottom-up tagging'!$E404,'GDP deflators'!$C$5:$L$5,))/100</f>
        <v>8.3321913390833551</v>
      </c>
      <c r="BR404" s="24">
        <v>200000</v>
      </c>
    </row>
    <row r="405" spans="2:70" ht="26.15" hidden="1" customHeight="1">
      <c r="B405" s="110" t="s">
        <v>398</v>
      </c>
      <c r="C405" s="110" t="s">
        <v>402</v>
      </c>
      <c r="D405" s="110" t="s">
        <v>3994</v>
      </c>
      <c r="E405" s="103">
        <v>2019</v>
      </c>
      <c r="F405" s="108" t="s">
        <v>5095</v>
      </c>
      <c r="G405" s="111" t="s">
        <v>34</v>
      </c>
      <c r="H405" s="110" t="s">
        <v>10451</v>
      </c>
      <c r="I405" s="112">
        <f>IF(Dashboard!$B$16="Current USD",'Bottom-up tagging'!BR405,'Bottom-up tagging'!BR405/'Bottom-up tagging'!BQ405)</f>
        <v>130744.29742080416</v>
      </c>
      <c r="J405" s="118" t="s">
        <v>10474</v>
      </c>
      <c r="K405" s="112"/>
      <c r="L405" s="135">
        <v>1</v>
      </c>
      <c r="M405" s="135">
        <v>1</v>
      </c>
      <c r="N405" s="112"/>
      <c r="O405" s="112"/>
      <c r="P405" s="112" t="str">
        <f>VLOOKUP(B405, 'Companies covered restructured'!$B$7:$K$470, 9, FALSE)</f>
        <v>Supply chain technologies</v>
      </c>
      <c r="Q405" s="112" t="str">
        <f>VLOOKUP(B405, 'Companies covered restructured'!$B$7:$K$470, 6, FALSE)</f>
        <v>#Crops(100)</v>
      </c>
      <c r="R405" s="112" t="str">
        <f t="shared" si="214"/>
        <v>N/A</v>
      </c>
      <c r="S405" s="112" t="s">
        <v>11003</v>
      </c>
      <c r="T405" s="112" t="s">
        <v>10466</v>
      </c>
      <c r="U405" s="103" t="s">
        <v>10970</v>
      </c>
      <c r="V405" s="112" t="str">
        <f>VLOOKUP(P405, 'Bottom-up Tagging Assumptions'!$B$12:$F$39, 5, FALSE)</f>
        <v>#Process Innovation(100)</v>
      </c>
      <c r="W405" s="112" t="str">
        <f>VLOOKUP(B405, 'Companies covered restructured'!$B$7:$K$470, 7, FALSE)</f>
        <v>#Farm/Household(100)</v>
      </c>
      <c r="X405" s="112" t="s">
        <v>10558</v>
      </c>
      <c r="Y405" s="212" t="str">
        <f>VLOOKUP(P405, 'Bottom-up Tagging Assumptions'!$B$12:$C$56, 2, FALSE)</f>
        <v>#Other Economic(P); Social(S)</v>
      </c>
      <c r="Z405" s="112" t="str">
        <f>VLOOKUP(P405, 'Bottom-up Tagging Assumptions'!$B$12:$F$56, 3, FALSE)</f>
        <v>#Improve price realization(P)</v>
      </c>
      <c r="AA405" s="112" t="str">
        <f>VLOOKUP(P405, 'Bottom-up Tagging Assumptions'!$B$12:$F$56, 4, FALSE)</f>
        <v>#Level 3(100)</v>
      </c>
      <c r="AB405" s="110"/>
      <c r="AC405" s="110"/>
      <c r="AD405" s="110"/>
      <c r="AE405" s="110" t="s">
        <v>10558</v>
      </c>
      <c r="AF405" s="112">
        <v>2907110</v>
      </c>
      <c r="AG405" s="110" t="s">
        <v>2129</v>
      </c>
      <c r="AH405" s="121">
        <f t="shared" si="215"/>
        <v>0</v>
      </c>
      <c r="AI405" s="121">
        <f t="shared" si="216"/>
        <v>0</v>
      </c>
      <c r="AJ405" s="121">
        <f t="shared" si="217"/>
        <v>1</v>
      </c>
      <c r="AK405" s="121">
        <f t="shared" si="218"/>
        <v>1</v>
      </c>
      <c r="AL405" s="121">
        <f t="shared" si="219"/>
        <v>0</v>
      </c>
      <c r="AM405" s="121">
        <f t="shared" si="220"/>
        <v>0</v>
      </c>
      <c r="AN405" s="121">
        <f t="shared" si="221"/>
        <v>1</v>
      </c>
      <c r="AO405" s="121">
        <f t="shared" si="222"/>
        <v>0</v>
      </c>
      <c r="AP405" s="22">
        <f t="shared" si="223"/>
        <v>0</v>
      </c>
      <c r="AQ405" s="22">
        <f t="shared" si="224"/>
        <v>130744.29742080416</v>
      </c>
      <c r="AR405" s="22">
        <f t="shared" si="225"/>
        <v>0</v>
      </c>
      <c r="AS405" s="121" t="str">
        <f t="shared" si="226"/>
        <v>Crops</v>
      </c>
      <c r="AT405" s="121" t="str">
        <f t="shared" si="212"/>
        <v xml:space="preserve"> </v>
      </c>
      <c r="AU405" s="121" t="str">
        <f t="shared" si="212"/>
        <v xml:space="preserve"> </v>
      </c>
      <c r="AV405" s="121" t="str">
        <f t="shared" si="212"/>
        <v xml:space="preserve"> </v>
      </c>
      <c r="AW405" s="130" t="str">
        <f t="shared" si="213"/>
        <v>100</v>
      </c>
      <c r="AX405" s="130" t="str">
        <f t="shared" si="213"/>
        <v xml:space="preserve"> </v>
      </c>
      <c r="AY405" s="130" t="str">
        <f t="shared" si="213"/>
        <v xml:space="preserve"> </v>
      </c>
      <c r="AZ405" s="130" t="str">
        <f t="shared" si="213"/>
        <v xml:space="preserve"> </v>
      </c>
      <c r="BA405" s="121">
        <f t="shared" si="227"/>
        <v>130744.29742080417</v>
      </c>
      <c r="BB405" s="121">
        <f t="shared" si="228"/>
        <v>0</v>
      </c>
      <c r="BC405" s="121">
        <f t="shared" si="229"/>
        <v>0</v>
      </c>
      <c r="BD405" s="121">
        <f t="shared" si="230"/>
        <v>0</v>
      </c>
      <c r="BE405" s="121">
        <f t="shared" si="231"/>
        <v>0</v>
      </c>
      <c r="BF405" s="121">
        <f t="shared" si="232"/>
        <v>0</v>
      </c>
      <c r="BG405" s="121">
        <f t="shared" si="233"/>
        <v>0</v>
      </c>
      <c r="BH405" s="121">
        <f t="shared" si="234"/>
        <v>0</v>
      </c>
      <c r="BI405" s="121">
        <f t="shared" si="235"/>
        <v>130744.29742080417</v>
      </c>
      <c r="BJ405" s="121">
        <f t="shared" si="236"/>
        <v>130744.29742080416</v>
      </c>
      <c r="BK405" s="121">
        <f t="shared" si="237"/>
        <v>130744.29742080416</v>
      </c>
      <c r="BL405" s="121">
        <f t="shared" si="238"/>
        <v>130744.29742080416</v>
      </c>
      <c r="BM405" s="121">
        <f t="shared" si="239"/>
        <v>0</v>
      </c>
      <c r="BN405" s="121">
        <f t="shared" si="240"/>
        <v>0</v>
      </c>
      <c r="BO405" s="121">
        <f t="shared" si="241"/>
        <v>0</v>
      </c>
      <c r="BP405" s="121">
        <f t="shared" si="242"/>
        <v>0</v>
      </c>
      <c r="BQ405" s="199">
        <f>INDEX('GDP deflators'!$C$6:$M$36,MATCH('Bottom-up tagging'!$D405,'GDP deflators'!$B$6:$B$36,),MATCH('Bottom-up tagging'!$E405,'GDP deflators'!$C$5:$L$5,))/100</f>
        <v>1.5094883975306472</v>
      </c>
      <c r="BR405" s="24">
        <v>197357</v>
      </c>
    </row>
    <row r="406" spans="2:70" ht="26.15" hidden="1" customHeight="1">
      <c r="B406" s="110" t="s">
        <v>1288</v>
      </c>
      <c r="C406" s="110" t="s">
        <v>1293</v>
      </c>
      <c r="D406" s="110" t="s">
        <v>3994</v>
      </c>
      <c r="E406" s="103">
        <v>2018</v>
      </c>
      <c r="F406" s="108" t="s">
        <v>7242</v>
      </c>
      <c r="G406" s="111" t="s">
        <v>34</v>
      </c>
      <c r="H406" s="110" t="s">
        <v>10451</v>
      </c>
      <c r="I406" s="112">
        <f>IF(Dashboard!$B$16="Current USD",'Bottom-up tagging'!BR406,'Bottom-up tagging'!BR406/'Bottom-up tagging'!BQ406)</f>
        <v>132493.46372888522</v>
      </c>
      <c r="J406" s="117" t="s">
        <v>10474</v>
      </c>
      <c r="K406" s="112"/>
      <c r="L406" s="135">
        <v>1</v>
      </c>
      <c r="M406" s="135">
        <v>1</v>
      </c>
      <c r="N406" s="112"/>
      <c r="O406" s="112"/>
      <c r="P406" s="112" t="str">
        <f>VLOOKUP(B406, 'Companies covered restructured'!$B$7:$K$470, 9, FALSE)</f>
        <v>Equipment automation</v>
      </c>
      <c r="Q406" s="112" t="str">
        <f>VLOOKUP(B406, 'Companies covered restructured'!$B$7:$K$470, 6, FALSE)</f>
        <v>#Crops(100)</v>
      </c>
      <c r="R406" s="112" t="str">
        <f t="shared" si="214"/>
        <v>#Angel Investor(100)</v>
      </c>
      <c r="S406" s="112" t="s">
        <v>11003</v>
      </c>
      <c r="T406" s="112" t="s">
        <v>10466</v>
      </c>
      <c r="U406" s="103" t="s">
        <v>10970</v>
      </c>
      <c r="V406" s="112" t="str">
        <f>VLOOKUP(P406, 'Bottom-up Tagging Assumptions'!$B$12:$F$39, 5, FALSE)</f>
        <v>#Science &amp; tech(100)</v>
      </c>
      <c r="W406" s="112" t="str">
        <f>VLOOKUP(B406, 'Companies covered restructured'!$B$7:$K$470, 7, FALSE)</f>
        <v>#Field/Animal Herd(100)</v>
      </c>
      <c r="X406" s="112" t="s">
        <v>10558</v>
      </c>
      <c r="Y406" s="212" t="str">
        <f>VLOOKUP(P406, 'Bottom-up Tagging Assumptions'!$B$12:$C$56, 2, FALSE)</f>
        <v>#Productivity(P); #Other Economic(S)</v>
      </c>
      <c r="Z406" s="112" t="str">
        <f>VLOOKUP(P406, 'Bottom-up Tagging Assumptions'!$B$12:$F$56, 3, FALSE)</f>
        <v>#Reducing human effort(P); #Increasing output per unit input(S)</v>
      </c>
      <c r="AA406" s="112" t="str">
        <f>VLOOKUP(P406, 'Bottom-up Tagging Assumptions'!$B$12:$F$56, 4, FALSE)</f>
        <v>#Level 1(100)</v>
      </c>
      <c r="AB406" s="110" t="s">
        <v>1290</v>
      </c>
      <c r="AC406" s="110" t="s">
        <v>1291</v>
      </c>
      <c r="AD406" s="110" t="s">
        <v>1292</v>
      </c>
      <c r="AE406" s="110" t="s">
        <v>3127</v>
      </c>
      <c r="AF406" s="112">
        <v>89953</v>
      </c>
      <c r="AG406" s="110" t="s">
        <v>2334</v>
      </c>
      <c r="AH406" s="121">
        <f t="shared" si="215"/>
        <v>0</v>
      </c>
      <c r="AI406" s="121">
        <f t="shared" si="216"/>
        <v>1</v>
      </c>
      <c r="AJ406" s="121">
        <f t="shared" si="217"/>
        <v>1</v>
      </c>
      <c r="AK406" s="121">
        <f t="shared" si="218"/>
        <v>0</v>
      </c>
      <c r="AL406" s="121">
        <f t="shared" si="219"/>
        <v>0</v>
      </c>
      <c r="AM406" s="121">
        <f t="shared" si="220"/>
        <v>0</v>
      </c>
      <c r="AN406" s="121">
        <f t="shared" si="221"/>
        <v>0</v>
      </c>
      <c r="AO406" s="121">
        <f t="shared" si="222"/>
        <v>0</v>
      </c>
      <c r="AP406" s="22">
        <f t="shared" si="223"/>
        <v>0</v>
      </c>
      <c r="AQ406" s="22">
        <f t="shared" si="224"/>
        <v>0</v>
      </c>
      <c r="AR406" s="22">
        <f t="shared" si="225"/>
        <v>0</v>
      </c>
      <c r="AS406" s="121" t="str">
        <f t="shared" si="226"/>
        <v>Crops</v>
      </c>
      <c r="AT406" s="121" t="str">
        <f t="shared" si="212"/>
        <v xml:space="preserve"> </v>
      </c>
      <c r="AU406" s="121" t="str">
        <f t="shared" si="212"/>
        <v xml:space="preserve"> </v>
      </c>
      <c r="AV406" s="121" t="str">
        <f t="shared" si="212"/>
        <v xml:space="preserve"> </v>
      </c>
      <c r="AW406" s="130" t="str">
        <f t="shared" si="213"/>
        <v>100</v>
      </c>
      <c r="AX406" s="130" t="str">
        <f t="shared" si="213"/>
        <v xml:space="preserve"> </v>
      </c>
      <c r="AY406" s="130" t="str">
        <f t="shared" si="213"/>
        <v xml:space="preserve"> </v>
      </c>
      <c r="AZ406" s="130" t="str">
        <f t="shared" si="213"/>
        <v xml:space="preserve"> </v>
      </c>
      <c r="BA406" s="121">
        <f t="shared" si="227"/>
        <v>132493.46372888522</v>
      </c>
      <c r="BB406" s="121">
        <f t="shared" si="228"/>
        <v>0</v>
      </c>
      <c r="BC406" s="121">
        <f t="shared" si="229"/>
        <v>0</v>
      </c>
      <c r="BD406" s="121">
        <f t="shared" si="230"/>
        <v>0</v>
      </c>
      <c r="BE406" s="121">
        <f t="shared" si="231"/>
        <v>0</v>
      </c>
      <c r="BF406" s="121">
        <f t="shared" si="232"/>
        <v>0</v>
      </c>
      <c r="BG406" s="121">
        <f t="shared" si="233"/>
        <v>0</v>
      </c>
      <c r="BH406" s="121">
        <f t="shared" si="234"/>
        <v>0</v>
      </c>
      <c r="BI406" s="121">
        <f t="shared" si="235"/>
        <v>0</v>
      </c>
      <c r="BJ406" s="121">
        <f t="shared" si="236"/>
        <v>0</v>
      </c>
      <c r="BK406" s="121">
        <f t="shared" si="237"/>
        <v>0</v>
      </c>
      <c r="BL406" s="121">
        <f t="shared" si="238"/>
        <v>0</v>
      </c>
      <c r="BM406" s="121">
        <f t="shared" si="239"/>
        <v>0</v>
      </c>
      <c r="BN406" s="121">
        <f t="shared" si="240"/>
        <v>0</v>
      </c>
      <c r="BO406" s="121">
        <f t="shared" si="241"/>
        <v>0</v>
      </c>
      <c r="BP406" s="121">
        <f t="shared" si="242"/>
        <v>0</v>
      </c>
      <c r="BQ406" s="199">
        <f>INDEX('GDP deflators'!$C$6:$M$36,MATCH('Bottom-up tagging'!$D406,'GDP deflators'!$B$6:$B$36,),MATCH('Bottom-up tagging'!$E406,'GDP deflators'!$C$5:$L$5,))/100</f>
        <v>1.4753935363936217</v>
      </c>
      <c r="BR406" s="24">
        <v>195480</v>
      </c>
    </row>
    <row r="407" spans="2:70" ht="26.15" hidden="1" customHeight="1">
      <c r="B407" s="110" t="s">
        <v>1330</v>
      </c>
      <c r="C407" s="110" t="s">
        <v>1334</v>
      </c>
      <c r="D407" s="110" t="s">
        <v>3994</v>
      </c>
      <c r="E407" s="103">
        <v>2016</v>
      </c>
      <c r="F407" s="108" t="s">
        <v>8242</v>
      </c>
      <c r="G407" s="111" t="s">
        <v>34</v>
      </c>
      <c r="H407" s="110" t="s">
        <v>10451</v>
      </c>
      <c r="I407" s="112">
        <f>IF(Dashboard!$B$16="Current USD",'Bottom-up tagging'!BR407,'Bottom-up tagging'!BR407/'Bottom-up tagging'!BQ407)</f>
        <v>143295.29775633925</v>
      </c>
      <c r="J407" s="118" t="s">
        <v>10474</v>
      </c>
      <c r="K407" s="112"/>
      <c r="L407" s="135">
        <v>1</v>
      </c>
      <c r="M407" s="135">
        <v>1</v>
      </c>
      <c r="N407" s="112"/>
      <c r="O407" s="112"/>
      <c r="P407" s="112" t="str">
        <f>VLOOKUP(B407, 'Companies covered restructured'!$B$7:$K$470, 9, FALSE)</f>
        <v>AI/analytics based advisory algorithms (incl. weather)</v>
      </c>
      <c r="Q407" s="112" t="str">
        <f>VLOOKUP(B407, 'Companies covered restructured'!$B$7:$K$470, 6, FALSE)</f>
        <v>#Crops(100)</v>
      </c>
      <c r="R407" s="112" t="str">
        <f t="shared" si="214"/>
        <v>N/A</v>
      </c>
      <c r="S407" s="112" t="s">
        <v>11003</v>
      </c>
      <c r="T407" s="112" t="s">
        <v>10466</v>
      </c>
      <c r="U407" s="103" t="s">
        <v>10970</v>
      </c>
      <c r="V407" s="112" t="str">
        <f>VLOOKUP(P407, 'Bottom-up Tagging Assumptions'!$B$12:$F$39, 5, FALSE)</f>
        <v>#Science &amp; tech(100)</v>
      </c>
      <c r="W407" s="112" t="str">
        <f>VLOOKUP(B407, 'Companies covered restructured'!$B$7:$K$470, 7, FALSE)</f>
        <v>#Field/Animal Herd(100)</v>
      </c>
      <c r="X407" s="112" t="s">
        <v>10558</v>
      </c>
      <c r="Y407" s="212" t="str">
        <f>VLOOKUP(P407, 'Bottom-up Tagging Assumptions'!$B$12:$C$56, 2, FALSE)</f>
        <v>#Other Economic(P); #Productivity(S)</v>
      </c>
      <c r="Z407" s="112" t="str">
        <f>VLOOKUP(P407, 'Bottom-up Tagging Assumptions'!$B$12:$F$56, 3, FALSE)</f>
        <v>#Increasing output per unit input(P); #Increasing crop or animal yield(S)</v>
      </c>
      <c r="AA407" s="112" t="str">
        <f>VLOOKUP(P407, 'Bottom-up Tagging Assumptions'!$B$12:$F$56, 4, FALSE)</f>
        <v>#Level 1(100)</v>
      </c>
      <c r="AB407" s="110" t="s">
        <v>2374</v>
      </c>
      <c r="AC407" s="110"/>
      <c r="AD407" s="110"/>
      <c r="AE407" s="110" t="s">
        <v>10558</v>
      </c>
      <c r="AF407" s="112">
        <v>37911025</v>
      </c>
      <c r="AG407" s="110" t="s">
        <v>257</v>
      </c>
      <c r="AH407" s="121">
        <f t="shared" si="215"/>
        <v>0</v>
      </c>
      <c r="AI407" s="121">
        <f t="shared" si="216"/>
        <v>1</v>
      </c>
      <c r="AJ407" s="121">
        <f t="shared" si="217"/>
        <v>1</v>
      </c>
      <c r="AK407" s="121">
        <f t="shared" si="218"/>
        <v>0</v>
      </c>
      <c r="AL407" s="121">
        <f t="shared" si="219"/>
        <v>0</v>
      </c>
      <c r="AM407" s="121">
        <f t="shared" si="220"/>
        <v>0</v>
      </c>
      <c r="AN407" s="121">
        <f t="shared" si="221"/>
        <v>0</v>
      </c>
      <c r="AO407" s="121">
        <f t="shared" si="222"/>
        <v>0</v>
      </c>
      <c r="AP407" s="22">
        <f t="shared" si="223"/>
        <v>0</v>
      </c>
      <c r="AQ407" s="22">
        <f t="shared" si="224"/>
        <v>0</v>
      </c>
      <c r="AR407" s="22">
        <f t="shared" si="225"/>
        <v>0</v>
      </c>
      <c r="AS407" s="121" t="str">
        <f t="shared" si="226"/>
        <v>Crops</v>
      </c>
      <c r="AT407" s="121" t="str">
        <f t="shared" si="212"/>
        <v xml:space="preserve"> </v>
      </c>
      <c r="AU407" s="121" t="str">
        <f t="shared" si="212"/>
        <v xml:space="preserve"> </v>
      </c>
      <c r="AV407" s="121" t="str">
        <f t="shared" si="212"/>
        <v xml:space="preserve"> </v>
      </c>
      <c r="AW407" s="130" t="str">
        <f t="shared" si="213"/>
        <v>100</v>
      </c>
      <c r="AX407" s="130" t="str">
        <f t="shared" si="213"/>
        <v xml:space="preserve"> </v>
      </c>
      <c r="AY407" s="130" t="str">
        <f t="shared" si="213"/>
        <v xml:space="preserve"> </v>
      </c>
      <c r="AZ407" s="130" t="str">
        <f t="shared" si="213"/>
        <v xml:space="preserve"> </v>
      </c>
      <c r="BA407" s="121">
        <f t="shared" si="227"/>
        <v>143295.29775633925</v>
      </c>
      <c r="BB407" s="121">
        <f t="shared" si="228"/>
        <v>0</v>
      </c>
      <c r="BC407" s="121">
        <f t="shared" si="229"/>
        <v>0</v>
      </c>
      <c r="BD407" s="121">
        <f t="shared" si="230"/>
        <v>0</v>
      </c>
      <c r="BE407" s="121">
        <f t="shared" si="231"/>
        <v>0</v>
      </c>
      <c r="BF407" s="121">
        <f t="shared" si="232"/>
        <v>0</v>
      </c>
      <c r="BG407" s="121">
        <f t="shared" si="233"/>
        <v>0</v>
      </c>
      <c r="BH407" s="121">
        <f t="shared" si="234"/>
        <v>0</v>
      </c>
      <c r="BI407" s="121">
        <f t="shared" si="235"/>
        <v>0</v>
      </c>
      <c r="BJ407" s="121">
        <f t="shared" si="236"/>
        <v>0</v>
      </c>
      <c r="BK407" s="121">
        <f t="shared" si="237"/>
        <v>0</v>
      </c>
      <c r="BL407" s="121">
        <f t="shared" si="238"/>
        <v>0</v>
      </c>
      <c r="BM407" s="121">
        <f t="shared" si="239"/>
        <v>0</v>
      </c>
      <c r="BN407" s="121">
        <f t="shared" si="240"/>
        <v>0</v>
      </c>
      <c r="BO407" s="121">
        <f t="shared" si="241"/>
        <v>0</v>
      </c>
      <c r="BP407" s="121">
        <f t="shared" si="242"/>
        <v>0</v>
      </c>
      <c r="BQ407" s="199">
        <f>INDEX('GDP deflators'!$C$6:$M$36,MATCH('Bottom-up tagging'!$D407,'GDP deflators'!$B$6:$B$36,),MATCH('Bottom-up tagging'!$E407,'GDP deflators'!$C$5:$L$5,))/100</f>
        <v>1.3597375702538033</v>
      </c>
      <c r="BR407" s="24">
        <v>194844</v>
      </c>
    </row>
    <row r="408" spans="2:70" ht="26.15" hidden="1" customHeight="1">
      <c r="B408" s="110" t="s">
        <v>436</v>
      </c>
      <c r="C408" s="110" t="s">
        <v>441</v>
      </c>
      <c r="D408" s="110" t="s">
        <v>5208</v>
      </c>
      <c r="E408" s="103">
        <v>2020</v>
      </c>
      <c r="F408" s="108">
        <v>0</v>
      </c>
      <c r="G408" s="111" t="s">
        <v>34</v>
      </c>
      <c r="H408" s="110" t="s">
        <v>10451</v>
      </c>
      <c r="I408" s="212">
        <v>0</v>
      </c>
      <c r="J408" s="117" t="s">
        <v>10474</v>
      </c>
      <c r="K408" s="112"/>
      <c r="L408" s="135">
        <v>1</v>
      </c>
      <c r="M408" s="135">
        <v>1</v>
      </c>
      <c r="N408" s="112"/>
      <c r="O408" s="112"/>
      <c r="P408" s="112" t="str">
        <f>VLOOKUP(B408, 'Companies covered restructured'!$B$7:$K$470, 9, FALSE)</f>
        <v>AI/analytics based advisory algorithms (incl. weather)</v>
      </c>
      <c r="Q408" s="112" t="str">
        <f>VLOOKUP(B408, 'Companies covered restructured'!$B$7:$K$470, 6, FALSE)</f>
        <v>#Crops(100)</v>
      </c>
      <c r="R408" s="112" t="str">
        <f t="shared" si="214"/>
        <v>#Investment Fund(100)</v>
      </c>
      <c r="S408" s="112" t="s">
        <v>11003</v>
      </c>
      <c r="T408" s="112" t="s">
        <v>10466</v>
      </c>
      <c r="U408" s="103" t="s">
        <v>10970</v>
      </c>
      <c r="V408" s="112" t="str">
        <f>VLOOKUP(P408, 'Bottom-up Tagging Assumptions'!$B$12:$F$39, 5, FALSE)</f>
        <v>#Science &amp; tech(100)</v>
      </c>
      <c r="W408" s="112" t="str">
        <f>VLOOKUP(B408, 'Companies covered restructured'!$B$7:$K$470, 7, FALSE)</f>
        <v>#Field/Animal Herd(100)</v>
      </c>
      <c r="X408" s="112" t="s">
        <v>10558</v>
      </c>
      <c r="Y408" s="112" t="str">
        <f>VLOOKUP(P408, '[2]Bottom-up Tagging Assumptions'!$B$12:$F$56, 2, FALSE)</f>
        <v>#Other Economic(P); #Productivity(S)</v>
      </c>
      <c r="Z408" s="112" t="str">
        <f>VLOOKUP(P408, 'Bottom-up Tagging Assumptions'!$B$12:$F$56, 3, FALSE)</f>
        <v>#Increasing output per unit input(P); #Increasing crop or animal yield(S)</v>
      </c>
      <c r="AA408" s="112" t="str">
        <f>VLOOKUP(P408, 'Bottom-up Tagging Assumptions'!$B$12:$F$56, 4, FALSE)</f>
        <v>#Level 1(100)</v>
      </c>
      <c r="AB408" s="110" t="s">
        <v>438</v>
      </c>
      <c r="AC408" s="110"/>
      <c r="AD408" s="110" t="s">
        <v>439</v>
      </c>
      <c r="AE408" s="110" t="s">
        <v>3114</v>
      </c>
      <c r="AF408" s="112"/>
      <c r="AG408" s="110" t="s">
        <v>2573</v>
      </c>
      <c r="AH408" s="121">
        <f t="shared" si="215"/>
        <v>0</v>
      </c>
      <c r="AI408" s="121">
        <f t="shared" si="216"/>
        <v>1</v>
      </c>
      <c r="AJ408" s="121">
        <f t="shared" si="217"/>
        <v>1</v>
      </c>
      <c r="AK408" s="121">
        <f t="shared" si="218"/>
        <v>0</v>
      </c>
      <c r="AL408" s="121">
        <f t="shared" si="219"/>
        <v>0</v>
      </c>
      <c r="AM408" s="121">
        <f t="shared" si="220"/>
        <v>0</v>
      </c>
      <c r="AN408" s="121">
        <f t="shared" si="221"/>
        <v>0</v>
      </c>
      <c r="AO408" s="121">
        <f t="shared" si="222"/>
        <v>0</v>
      </c>
      <c r="AP408" s="22">
        <f t="shared" si="223"/>
        <v>0</v>
      </c>
      <c r="AQ408" s="22">
        <f t="shared" si="224"/>
        <v>0</v>
      </c>
      <c r="AR408" s="22">
        <f t="shared" si="225"/>
        <v>0</v>
      </c>
      <c r="AS408" s="121" t="str">
        <f t="shared" si="226"/>
        <v>Crops</v>
      </c>
      <c r="AT408" s="121" t="str">
        <f t="shared" si="212"/>
        <v xml:space="preserve"> </v>
      </c>
      <c r="AU408" s="121" t="str">
        <f t="shared" si="212"/>
        <v xml:space="preserve"> </v>
      </c>
      <c r="AV408" s="121" t="str">
        <f t="shared" si="212"/>
        <v xml:space="preserve"> </v>
      </c>
      <c r="AW408" s="130" t="str">
        <f t="shared" si="213"/>
        <v>100</v>
      </c>
      <c r="AX408" s="130" t="str">
        <f t="shared" si="213"/>
        <v xml:space="preserve"> </v>
      </c>
      <c r="AY408" s="130" t="str">
        <f t="shared" si="213"/>
        <v xml:space="preserve"> </v>
      </c>
      <c r="AZ408" s="130" t="str">
        <f t="shared" si="213"/>
        <v xml:space="preserve"> </v>
      </c>
      <c r="BA408" s="121">
        <f t="shared" si="227"/>
        <v>0</v>
      </c>
      <c r="BB408" s="121">
        <f t="shared" si="228"/>
        <v>0</v>
      </c>
      <c r="BC408" s="121">
        <f t="shared" si="229"/>
        <v>0</v>
      </c>
      <c r="BD408" s="121">
        <f t="shared" si="230"/>
        <v>0</v>
      </c>
      <c r="BE408" s="121">
        <f t="shared" si="231"/>
        <v>0</v>
      </c>
      <c r="BF408" s="121">
        <f t="shared" si="232"/>
        <v>0</v>
      </c>
      <c r="BG408" s="121">
        <f t="shared" si="233"/>
        <v>0</v>
      </c>
      <c r="BH408" s="121">
        <f t="shared" si="234"/>
        <v>0</v>
      </c>
      <c r="BI408" s="121">
        <f t="shared" si="235"/>
        <v>0</v>
      </c>
      <c r="BJ408" s="121">
        <f t="shared" si="236"/>
        <v>0</v>
      </c>
      <c r="BK408" s="121">
        <f t="shared" si="237"/>
        <v>0</v>
      </c>
      <c r="BL408" s="121">
        <f t="shared" si="238"/>
        <v>0</v>
      </c>
      <c r="BM408" s="121">
        <f t="shared" si="239"/>
        <v>0</v>
      </c>
      <c r="BN408" s="121">
        <f t="shared" si="240"/>
        <v>0</v>
      </c>
      <c r="BO408" s="121">
        <f t="shared" si="241"/>
        <v>0</v>
      </c>
      <c r="BP408" s="121">
        <f t="shared" si="242"/>
        <v>0</v>
      </c>
      <c r="BQ408" s="199" t="e">
        <f>INDEX('GDP deflators'!$C$6:$M$36,MATCH('Bottom-up tagging'!$D408,'GDP deflators'!$B$6:$B$36,),MATCH('Bottom-up tagging'!$E408,'GDP deflators'!$C$5:$L$5,))/100</f>
        <v>#N/A</v>
      </c>
      <c r="BR408" s="24">
        <v>194267</v>
      </c>
    </row>
    <row r="409" spans="2:70" ht="26.15" hidden="1" customHeight="1">
      <c r="B409" s="110" t="s">
        <v>303</v>
      </c>
      <c r="C409" s="110" t="s">
        <v>306</v>
      </c>
      <c r="D409" s="110" t="s">
        <v>3994</v>
      </c>
      <c r="E409" s="103">
        <v>2013</v>
      </c>
      <c r="F409" s="108" t="s">
        <v>8813</v>
      </c>
      <c r="G409" s="111" t="s">
        <v>34</v>
      </c>
      <c r="H409" s="110" t="s">
        <v>10451</v>
      </c>
      <c r="I409" s="112">
        <f>IF(Dashboard!$B$16="Current USD",'Bottom-up tagging'!BR409,'Bottom-up tagging'!BR409/'Bottom-up tagging'!BQ409)</f>
        <v>146553.40999826146</v>
      </c>
      <c r="J409" s="117" t="s">
        <v>10474</v>
      </c>
      <c r="K409" s="112"/>
      <c r="L409" s="135">
        <v>1</v>
      </c>
      <c r="M409" s="135">
        <v>1</v>
      </c>
      <c r="N409" s="112"/>
      <c r="O409" s="112"/>
      <c r="P409" s="112" t="str">
        <f>VLOOKUP(B409, 'Companies covered restructured'!$B$7:$K$470, 9, FALSE)</f>
        <v>Animal and fish monitoring systems</v>
      </c>
      <c r="Q409" s="112" t="str">
        <f>VLOOKUP(B409, 'Companies covered restructured'!$B$7:$K$470, 6, FALSE)</f>
        <v>#Livestock(100)</v>
      </c>
      <c r="R409" s="112" t="str">
        <f t="shared" si="214"/>
        <v>#Angel Investor(100)</v>
      </c>
      <c r="S409" s="112" t="s">
        <v>11003</v>
      </c>
      <c r="T409" s="112" t="s">
        <v>10466</v>
      </c>
      <c r="U409" s="103" t="s">
        <v>10970</v>
      </c>
      <c r="V409" s="112" t="str">
        <f>VLOOKUP(P409, 'Bottom-up Tagging Assumptions'!$B$12:$F$39, 5, FALSE)</f>
        <v>#Product Development(100)</v>
      </c>
      <c r="W409" s="112" t="str">
        <f>VLOOKUP(B409, 'Companies covered restructured'!$B$7:$K$470, 7, FALSE)</f>
        <v>#Field/Animal Herd(100)</v>
      </c>
      <c r="X409" s="112" t="s">
        <v>10558</v>
      </c>
      <c r="Y409" s="212" t="str">
        <f>VLOOKUP(P409, 'Bottom-up Tagging Assumptions'!$B$12:$C$56, 2, FALSE)</f>
        <v>#Productivity(P); Other economic(S)</v>
      </c>
      <c r="Z409" s="112" t="str">
        <f>VLOOKUP(P409, 'Bottom-up Tagging Assumptions'!$B$12:$F$56, 3, FALSE)</f>
        <v>#Increasing crop or animal yield(P)</v>
      </c>
      <c r="AA409" s="112" t="str">
        <f>VLOOKUP(P409, 'Bottom-up Tagging Assumptions'!$B$12:$F$56, 4, FALSE)</f>
        <v>#Level 2(100)</v>
      </c>
      <c r="AB409" s="110" t="s">
        <v>643</v>
      </c>
      <c r="AC409" s="110" t="s">
        <v>2980</v>
      </c>
      <c r="AD409" s="110" t="s">
        <v>2981</v>
      </c>
      <c r="AE409" s="110" t="str">
        <f>VLOOKUP(AD409,  '1.2'!$B$7:$C$2033, 2, FALSE)</f>
        <v>ANGEL</v>
      </c>
      <c r="AF409" s="112"/>
      <c r="AG409" s="110" t="s">
        <v>2577</v>
      </c>
      <c r="AH409" s="121">
        <f t="shared" si="215"/>
        <v>0</v>
      </c>
      <c r="AI409" s="121">
        <f t="shared" si="216"/>
        <v>1</v>
      </c>
      <c r="AJ409" s="121">
        <f t="shared" si="217"/>
        <v>1</v>
      </c>
      <c r="AK409" s="121">
        <f t="shared" si="218"/>
        <v>0</v>
      </c>
      <c r="AL409" s="121">
        <f t="shared" si="219"/>
        <v>0</v>
      </c>
      <c r="AM409" s="121">
        <f t="shared" si="220"/>
        <v>0</v>
      </c>
      <c r="AN409" s="121">
        <f t="shared" si="221"/>
        <v>0</v>
      </c>
      <c r="AO409" s="121">
        <f t="shared" si="222"/>
        <v>0</v>
      </c>
      <c r="AP409" s="22">
        <f t="shared" si="223"/>
        <v>0</v>
      </c>
      <c r="AQ409" s="22">
        <f t="shared" si="224"/>
        <v>0</v>
      </c>
      <c r="AR409" s="22">
        <f t="shared" si="225"/>
        <v>0</v>
      </c>
      <c r="AS409" s="121" t="str">
        <f t="shared" si="226"/>
        <v>Livestock</v>
      </c>
      <c r="AT409" s="121" t="str">
        <f t="shared" si="212"/>
        <v xml:space="preserve"> </v>
      </c>
      <c r="AU409" s="121" t="str">
        <f t="shared" si="212"/>
        <v xml:space="preserve"> </v>
      </c>
      <c r="AV409" s="121" t="str">
        <f t="shared" si="212"/>
        <v xml:space="preserve"> </v>
      </c>
      <c r="AW409" s="130" t="str">
        <f t="shared" si="213"/>
        <v>100</v>
      </c>
      <c r="AX409" s="130" t="str">
        <f t="shared" si="213"/>
        <v xml:space="preserve"> </v>
      </c>
      <c r="AY409" s="130" t="str">
        <f t="shared" si="213"/>
        <v xml:space="preserve"> </v>
      </c>
      <c r="AZ409" s="130" t="str">
        <f t="shared" si="213"/>
        <v xml:space="preserve"> </v>
      </c>
      <c r="BA409" s="121">
        <f t="shared" si="227"/>
        <v>146553.40999826146</v>
      </c>
      <c r="BB409" s="121">
        <f t="shared" si="228"/>
        <v>0</v>
      </c>
      <c r="BC409" s="121">
        <f t="shared" si="229"/>
        <v>0</v>
      </c>
      <c r="BD409" s="121">
        <f t="shared" si="230"/>
        <v>0</v>
      </c>
      <c r="BE409" s="121">
        <f t="shared" si="231"/>
        <v>0</v>
      </c>
      <c r="BF409" s="121">
        <f t="shared" si="232"/>
        <v>0</v>
      </c>
      <c r="BG409" s="121">
        <f t="shared" si="233"/>
        <v>0</v>
      </c>
      <c r="BH409" s="121">
        <f t="shared" si="234"/>
        <v>0</v>
      </c>
      <c r="BI409" s="121">
        <f t="shared" si="235"/>
        <v>0</v>
      </c>
      <c r="BJ409" s="121">
        <f t="shared" si="236"/>
        <v>0</v>
      </c>
      <c r="BK409" s="121">
        <f t="shared" si="237"/>
        <v>0</v>
      </c>
      <c r="BL409" s="121">
        <f t="shared" si="238"/>
        <v>0</v>
      </c>
      <c r="BM409" s="121">
        <f t="shared" si="239"/>
        <v>0</v>
      </c>
      <c r="BN409" s="121">
        <f t="shared" si="240"/>
        <v>0</v>
      </c>
      <c r="BO409" s="121">
        <f t="shared" si="241"/>
        <v>0</v>
      </c>
      <c r="BP409" s="121">
        <f t="shared" si="242"/>
        <v>0</v>
      </c>
      <c r="BQ409" s="199">
        <f>INDEX('GDP deflators'!$C$6:$M$36,MATCH('Bottom-up tagging'!$D409,'GDP deflators'!$B$6:$B$36,),MATCH('Bottom-up tagging'!$E409,'GDP deflators'!$C$5:$L$5,))/100</f>
        <v>1.2462146053248888</v>
      </c>
      <c r="BR409" s="24">
        <v>182637</v>
      </c>
    </row>
    <row r="410" spans="2:70" ht="26.15" hidden="1" customHeight="1">
      <c r="B410" s="110" t="s">
        <v>391</v>
      </c>
      <c r="C410" s="110" t="s">
        <v>396</v>
      </c>
      <c r="D410" s="110" t="s">
        <v>3994</v>
      </c>
      <c r="E410" s="103">
        <v>2018</v>
      </c>
      <c r="F410" s="108" t="s">
        <v>5610</v>
      </c>
      <c r="G410" s="111" t="s">
        <v>124</v>
      </c>
      <c r="H410" s="110" t="s">
        <v>10451</v>
      </c>
      <c r="I410" s="112">
        <f>IF(Dashboard!$B$16="Current USD",'Bottom-up tagging'!BR410,'Bottom-up tagging'!BR410/'Bottom-up tagging'!BQ410)</f>
        <v>119463.04199680102</v>
      </c>
      <c r="J410" s="117" t="s">
        <v>10474</v>
      </c>
      <c r="K410" s="112"/>
      <c r="L410" s="135">
        <v>1</v>
      </c>
      <c r="M410" s="135">
        <v>1</v>
      </c>
      <c r="N410" s="112"/>
      <c r="O410" s="112"/>
      <c r="P410" s="112" t="str">
        <f>VLOOKUP(B410, 'Companies covered restructured'!$B$7:$K$470, 9, FALSE)</f>
        <v>Precision livestock farming</v>
      </c>
      <c r="Q410" s="112" t="str">
        <f>VLOOKUP(B410, 'Companies covered restructured'!$B$7:$K$470, 6, FALSE)</f>
        <v>#Livestock(100)</v>
      </c>
      <c r="R410" s="112" t="str">
        <f t="shared" si="214"/>
        <v>#Angel Investor(100)</v>
      </c>
      <c r="S410" s="112" t="s">
        <v>11003</v>
      </c>
      <c r="T410" s="112" t="s">
        <v>10466</v>
      </c>
      <c r="U410" s="103" t="s">
        <v>10970</v>
      </c>
      <c r="V410" s="112" t="str">
        <f>VLOOKUP(P410, 'Bottom-up Tagging Assumptions'!$B$12:$F$39, 5, FALSE)</f>
        <v>#Science &amp; tech(100)</v>
      </c>
      <c r="W410" s="112" t="str">
        <f>VLOOKUP(B410, 'Companies covered restructured'!$B$7:$K$470, 7, FALSE)</f>
        <v>#Field/Animal Herd(100)</v>
      </c>
      <c r="X410" s="112" t="s">
        <v>10558</v>
      </c>
      <c r="Y410" s="212" t="str">
        <f>VLOOKUP(P410, 'Bottom-up Tagging Assumptions'!$B$12:$C$56, 2, FALSE)</f>
        <v>#Other Economic(P); #Productivity(S)</v>
      </c>
      <c r="Z410" s="112" t="str">
        <f>VLOOKUP(P410, 'Bottom-up Tagging Assumptions'!$B$12:$F$56, 3, FALSE)</f>
        <v>#Increasing output per unit input(P); #Increasing crop or animal yield(S)</v>
      </c>
      <c r="AA410" s="112" t="str">
        <f>VLOOKUP(P410, 'Bottom-up Tagging Assumptions'!$B$12:$F$56, 4, FALSE)</f>
        <v>#Level 1(100)</v>
      </c>
      <c r="AB410" s="110"/>
      <c r="AC410" s="110" t="s">
        <v>1574</v>
      </c>
      <c r="AD410" s="110" t="s">
        <v>1575</v>
      </c>
      <c r="AE410" s="110" t="s">
        <v>3127</v>
      </c>
      <c r="AF410" s="112"/>
      <c r="AG410" s="110" t="s">
        <v>2582</v>
      </c>
      <c r="AH410" s="121">
        <f t="shared" si="215"/>
        <v>0</v>
      </c>
      <c r="AI410" s="121">
        <f t="shared" si="216"/>
        <v>1</v>
      </c>
      <c r="AJ410" s="121">
        <f t="shared" si="217"/>
        <v>1</v>
      </c>
      <c r="AK410" s="121">
        <f t="shared" si="218"/>
        <v>0</v>
      </c>
      <c r="AL410" s="121">
        <f t="shared" si="219"/>
        <v>0</v>
      </c>
      <c r="AM410" s="121">
        <f t="shared" si="220"/>
        <v>0</v>
      </c>
      <c r="AN410" s="121">
        <f t="shared" si="221"/>
        <v>0</v>
      </c>
      <c r="AO410" s="121">
        <f t="shared" si="222"/>
        <v>0</v>
      </c>
      <c r="AP410" s="22">
        <f t="shared" si="223"/>
        <v>0</v>
      </c>
      <c r="AQ410" s="22">
        <f t="shared" si="224"/>
        <v>0</v>
      </c>
      <c r="AR410" s="22">
        <f t="shared" si="225"/>
        <v>0</v>
      </c>
      <c r="AS410" s="121" t="str">
        <f t="shared" si="226"/>
        <v>Livestock</v>
      </c>
      <c r="AT410" s="121" t="str">
        <f t="shared" si="212"/>
        <v xml:space="preserve"> </v>
      </c>
      <c r="AU410" s="121" t="str">
        <f t="shared" si="212"/>
        <v xml:space="preserve"> </v>
      </c>
      <c r="AV410" s="121" t="str">
        <f t="shared" si="212"/>
        <v xml:space="preserve"> </v>
      </c>
      <c r="AW410" s="130" t="str">
        <f t="shared" si="213"/>
        <v>100</v>
      </c>
      <c r="AX410" s="130" t="str">
        <f t="shared" si="213"/>
        <v xml:space="preserve"> </v>
      </c>
      <c r="AY410" s="130" t="str">
        <f t="shared" si="213"/>
        <v xml:space="preserve"> </v>
      </c>
      <c r="AZ410" s="130" t="str">
        <f t="shared" si="213"/>
        <v xml:space="preserve"> </v>
      </c>
      <c r="BA410" s="121">
        <f t="shared" si="227"/>
        <v>119463.04199680102</v>
      </c>
      <c r="BB410" s="121">
        <f t="shared" si="228"/>
        <v>0</v>
      </c>
      <c r="BC410" s="121">
        <f t="shared" si="229"/>
        <v>0</v>
      </c>
      <c r="BD410" s="121">
        <f t="shared" si="230"/>
        <v>0</v>
      </c>
      <c r="BE410" s="121">
        <f t="shared" si="231"/>
        <v>0</v>
      </c>
      <c r="BF410" s="121">
        <f t="shared" si="232"/>
        <v>0</v>
      </c>
      <c r="BG410" s="121">
        <f t="shared" si="233"/>
        <v>0</v>
      </c>
      <c r="BH410" s="121">
        <f t="shared" si="234"/>
        <v>0</v>
      </c>
      <c r="BI410" s="121">
        <f t="shared" si="235"/>
        <v>0</v>
      </c>
      <c r="BJ410" s="121">
        <f t="shared" si="236"/>
        <v>0</v>
      </c>
      <c r="BK410" s="121">
        <f t="shared" si="237"/>
        <v>0</v>
      </c>
      <c r="BL410" s="121">
        <f t="shared" si="238"/>
        <v>0</v>
      </c>
      <c r="BM410" s="121">
        <f t="shared" si="239"/>
        <v>0</v>
      </c>
      <c r="BN410" s="121">
        <f t="shared" si="240"/>
        <v>0</v>
      </c>
      <c r="BO410" s="121">
        <f t="shared" si="241"/>
        <v>0</v>
      </c>
      <c r="BP410" s="121">
        <f t="shared" si="242"/>
        <v>0</v>
      </c>
      <c r="BQ410" s="199">
        <f>INDEX('GDP deflators'!$C$6:$M$36,MATCH('Bottom-up tagging'!$D410,'GDP deflators'!$B$6:$B$36,),MATCH('Bottom-up tagging'!$E410,'GDP deflators'!$C$5:$L$5,))/100</f>
        <v>1.4753935363936217</v>
      </c>
      <c r="BR410" s="24">
        <v>176255</v>
      </c>
    </row>
    <row r="411" spans="2:70" ht="26.15" hidden="1" customHeight="1">
      <c r="B411" s="110" t="s">
        <v>146</v>
      </c>
      <c r="C411" s="110" t="s">
        <v>151</v>
      </c>
      <c r="D411" s="110" t="s">
        <v>3994</v>
      </c>
      <c r="E411" s="103">
        <v>2018</v>
      </c>
      <c r="F411" s="108" t="s">
        <v>7065</v>
      </c>
      <c r="G411" s="111" t="s">
        <v>34</v>
      </c>
      <c r="H411" s="110" t="s">
        <v>10451</v>
      </c>
      <c r="I411" s="112">
        <f>IF(Dashboard!$B$16="Current USD",'Bottom-up tagging'!BR411,'Bottom-up tagging'!BR411/'Bottom-up tagging'!BQ411)</f>
        <v>119348.49628690649</v>
      </c>
      <c r="J411" s="117" t="s">
        <v>10474</v>
      </c>
      <c r="K411" s="112"/>
      <c r="L411" s="135">
        <v>1</v>
      </c>
      <c r="M411" s="135">
        <v>1</v>
      </c>
      <c r="N411" s="112"/>
      <c r="O411" s="112"/>
      <c r="P411" s="112" t="str">
        <f>VLOOKUP(B411, 'Companies covered restructured'!$B$7:$K$470, 9, FALSE)</f>
        <v>Agri marketplaces</v>
      </c>
      <c r="Q411" s="112" t="str">
        <f>VLOOKUP(B411, 'Companies covered restructured'!$B$7:$K$470, 6, FALSE)</f>
        <v>#Crops(100)</v>
      </c>
      <c r="R411" s="112" t="str">
        <f t="shared" si="214"/>
        <v>#Angel Investor(100)</v>
      </c>
      <c r="S411" s="112" t="s">
        <v>11003</v>
      </c>
      <c r="T411" s="112" t="s">
        <v>10466</v>
      </c>
      <c r="U411" s="103" t="s">
        <v>10970</v>
      </c>
      <c r="V411" s="112" t="str">
        <f>VLOOKUP(P411, 'Bottom-up Tagging Assumptions'!$B$12:$F$39, 5, FALSE)</f>
        <v>#Process Innovation(100)</v>
      </c>
      <c r="W411" s="112" t="str">
        <f>VLOOKUP(B411, 'Companies covered restructured'!$B$7:$K$470, 7, FALSE)</f>
        <v>#Farm/Household(100)</v>
      </c>
      <c r="X411" s="112" t="s">
        <v>10558</v>
      </c>
      <c r="Y411" s="212" t="str">
        <f>VLOOKUP(P411, 'Bottom-up Tagging Assumptions'!$B$12:$C$56, 2, FALSE)</f>
        <v>#Other Economic(P); Social(S)</v>
      </c>
      <c r="Z411" s="112" t="str">
        <f>VLOOKUP(P411, 'Bottom-up Tagging Assumptions'!$B$12:$F$56, 3, FALSE)</f>
        <v>#Improve price realization(P)</v>
      </c>
      <c r="AA411" s="112" t="str">
        <f>VLOOKUP(P411, 'Bottom-up Tagging Assumptions'!$B$12:$F$56, 4, FALSE)</f>
        <v>#Level 4(100)</v>
      </c>
      <c r="AB411" s="110" t="s">
        <v>1401</v>
      </c>
      <c r="AC411" s="110" t="s">
        <v>1402</v>
      </c>
      <c r="AD411" s="110" t="s">
        <v>1403</v>
      </c>
      <c r="AE411" s="110" t="s">
        <v>3127</v>
      </c>
      <c r="AF411" s="112">
        <v>2740519</v>
      </c>
      <c r="AG411" s="110" t="s">
        <v>752</v>
      </c>
      <c r="AH411" s="121">
        <f t="shared" si="215"/>
        <v>0</v>
      </c>
      <c r="AI411" s="121">
        <f t="shared" si="216"/>
        <v>0</v>
      </c>
      <c r="AJ411" s="121">
        <f t="shared" si="217"/>
        <v>1</v>
      </c>
      <c r="AK411" s="121">
        <f t="shared" si="218"/>
        <v>1</v>
      </c>
      <c r="AL411" s="121">
        <f t="shared" si="219"/>
        <v>0</v>
      </c>
      <c r="AM411" s="121">
        <f t="shared" si="220"/>
        <v>0</v>
      </c>
      <c r="AN411" s="121">
        <f t="shared" si="221"/>
        <v>1</v>
      </c>
      <c r="AO411" s="121">
        <f t="shared" si="222"/>
        <v>0</v>
      </c>
      <c r="AP411" s="22">
        <f t="shared" si="223"/>
        <v>0</v>
      </c>
      <c r="AQ411" s="22">
        <f t="shared" si="224"/>
        <v>119348.49628690649</v>
      </c>
      <c r="AR411" s="22">
        <f t="shared" si="225"/>
        <v>0</v>
      </c>
      <c r="AS411" s="121" t="str">
        <f t="shared" si="226"/>
        <v>Crops</v>
      </c>
      <c r="AT411" s="121" t="str">
        <f t="shared" si="212"/>
        <v xml:space="preserve"> </v>
      </c>
      <c r="AU411" s="121" t="str">
        <f t="shared" si="212"/>
        <v xml:space="preserve"> </v>
      </c>
      <c r="AV411" s="121" t="str">
        <f t="shared" si="212"/>
        <v xml:space="preserve"> </v>
      </c>
      <c r="AW411" s="130" t="str">
        <f t="shared" si="213"/>
        <v>100</v>
      </c>
      <c r="AX411" s="130" t="str">
        <f t="shared" si="213"/>
        <v xml:space="preserve"> </v>
      </c>
      <c r="AY411" s="130" t="str">
        <f t="shared" si="213"/>
        <v xml:space="preserve"> </v>
      </c>
      <c r="AZ411" s="130" t="str">
        <f t="shared" si="213"/>
        <v xml:space="preserve"> </v>
      </c>
      <c r="BA411" s="121">
        <f t="shared" si="227"/>
        <v>119348.49628690649</v>
      </c>
      <c r="BB411" s="121">
        <f t="shared" si="228"/>
        <v>0</v>
      </c>
      <c r="BC411" s="121">
        <f t="shared" si="229"/>
        <v>0</v>
      </c>
      <c r="BD411" s="121">
        <f t="shared" si="230"/>
        <v>0</v>
      </c>
      <c r="BE411" s="121">
        <f t="shared" si="231"/>
        <v>0</v>
      </c>
      <c r="BF411" s="121">
        <f t="shared" si="232"/>
        <v>0</v>
      </c>
      <c r="BG411" s="121">
        <f t="shared" si="233"/>
        <v>0</v>
      </c>
      <c r="BH411" s="121">
        <f t="shared" si="234"/>
        <v>0</v>
      </c>
      <c r="BI411" s="121">
        <f t="shared" si="235"/>
        <v>119348.49628690649</v>
      </c>
      <c r="BJ411" s="121">
        <f t="shared" si="236"/>
        <v>119348.49628690649</v>
      </c>
      <c r="BK411" s="121">
        <f t="shared" si="237"/>
        <v>119348.49628690649</v>
      </c>
      <c r="BL411" s="121">
        <f t="shared" si="238"/>
        <v>119348.49628690649</v>
      </c>
      <c r="BM411" s="121">
        <f t="shared" si="239"/>
        <v>0</v>
      </c>
      <c r="BN411" s="121">
        <f t="shared" si="240"/>
        <v>0</v>
      </c>
      <c r="BO411" s="121">
        <f t="shared" si="241"/>
        <v>0</v>
      </c>
      <c r="BP411" s="121">
        <f t="shared" si="242"/>
        <v>0</v>
      </c>
      <c r="BQ411" s="199">
        <f>INDEX('GDP deflators'!$C$6:$M$36,MATCH('Bottom-up tagging'!$D411,'GDP deflators'!$B$6:$B$36,),MATCH('Bottom-up tagging'!$E411,'GDP deflators'!$C$5:$L$5,))/100</f>
        <v>1.4753935363936217</v>
      </c>
      <c r="BR411" s="24">
        <v>176086</v>
      </c>
    </row>
    <row r="412" spans="2:70" ht="26.15" hidden="1" customHeight="1">
      <c r="B412" s="110" t="s">
        <v>1685</v>
      </c>
      <c r="C412" s="110" t="s">
        <v>1690</v>
      </c>
      <c r="D412" s="110" t="s">
        <v>3994</v>
      </c>
      <c r="E412" s="103">
        <v>2013</v>
      </c>
      <c r="F412" s="108" t="s">
        <v>8549</v>
      </c>
      <c r="G412" s="111" t="s">
        <v>124</v>
      </c>
      <c r="H412" s="110" t="s">
        <v>10451</v>
      </c>
      <c r="I412" s="112">
        <f>IF(Dashboard!$B$16="Current USD",'Bottom-up tagging'!BR412,'Bottom-up tagging'!BR412/'Bottom-up tagging'!BQ412)</f>
        <v>132840.68353286677</v>
      </c>
      <c r="J412" s="118" t="s">
        <v>10474</v>
      </c>
      <c r="K412" s="112"/>
      <c r="L412" s="135">
        <v>1</v>
      </c>
      <c r="M412" s="135">
        <v>1</v>
      </c>
      <c r="N412" s="112"/>
      <c r="O412" s="112"/>
      <c r="P412" s="112" t="str">
        <f>VLOOKUP(B412, 'Companies covered restructured'!$B$7:$K$470, 9, FALSE)</f>
        <v>Agri marketplaces</v>
      </c>
      <c r="Q412" s="112" t="str">
        <f>VLOOKUP(B412, 'Companies covered restructured'!$B$7:$K$470, 6, FALSE)</f>
        <v>#Crops(100)</v>
      </c>
      <c r="R412" s="112" t="str">
        <f t="shared" si="214"/>
        <v>#Angel Investor(100)</v>
      </c>
      <c r="S412" s="112" t="s">
        <v>11003</v>
      </c>
      <c r="T412" s="112" t="s">
        <v>10466</v>
      </c>
      <c r="U412" s="103" t="s">
        <v>10970</v>
      </c>
      <c r="V412" s="112" t="str">
        <f>VLOOKUP(P412, 'Bottom-up Tagging Assumptions'!$B$12:$F$39, 5, FALSE)</f>
        <v>#Process Innovation(100)</v>
      </c>
      <c r="W412" s="112" t="str">
        <f>VLOOKUP(B412, 'Companies covered restructured'!$B$7:$K$470, 7, FALSE)</f>
        <v>#Landscape(100)</v>
      </c>
      <c r="X412" s="112" t="str">
        <f>VLOOKUP(B412, 'Companies covered restructured'!$B$7:$K$470, 8, FALSE)</f>
        <v>N/A</v>
      </c>
      <c r="Y412" s="212" t="str">
        <f>VLOOKUP(P412, 'Bottom-up Tagging Assumptions'!$B$12:$C$56, 2, FALSE)</f>
        <v>#Other Economic(P); Social(S)</v>
      </c>
      <c r="Z412" s="112" t="str">
        <f>VLOOKUP(P412, 'Bottom-up Tagging Assumptions'!$B$12:$F$56, 3, FALSE)</f>
        <v>#Improve price realization(P)</v>
      </c>
      <c r="AA412" s="112" t="str">
        <f>VLOOKUP(P412, 'Bottom-up Tagging Assumptions'!$B$12:$F$56, 4, FALSE)</f>
        <v>#Level 4(100)</v>
      </c>
      <c r="AB412" s="110"/>
      <c r="AC412" s="110" t="s">
        <v>2948</v>
      </c>
      <c r="AD412" s="110" t="s">
        <v>2949</v>
      </c>
      <c r="AE412" s="110" t="str">
        <f>VLOOKUP(AD412,  '1.2'!$B$7:$C$2033, 2, FALSE)</f>
        <v>ANGEL</v>
      </c>
      <c r="AF412" s="112"/>
      <c r="AG412" s="110" t="s">
        <v>2587</v>
      </c>
      <c r="AH412" s="121">
        <f t="shared" si="215"/>
        <v>0</v>
      </c>
      <c r="AI412" s="121">
        <f t="shared" si="216"/>
        <v>0</v>
      </c>
      <c r="AJ412" s="121">
        <f t="shared" si="217"/>
        <v>1</v>
      </c>
      <c r="AK412" s="121">
        <f t="shared" si="218"/>
        <v>1</v>
      </c>
      <c r="AL412" s="121">
        <f t="shared" si="219"/>
        <v>0</v>
      </c>
      <c r="AM412" s="121">
        <f t="shared" si="220"/>
        <v>0</v>
      </c>
      <c r="AN412" s="121">
        <f t="shared" si="221"/>
        <v>1</v>
      </c>
      <c r="AO412" s="121">
        <f t="shared" si="222"/>
        <v>0</v>
      </c>
      <c r="AP412" s="22">
        <f t="shared" si="223"/>
        <v>0</v>
      </c>
      <c r="AQ412" s="22">
        <f t="shared" si="224"/>
        <v>132840.68353286677</v>
      </c>
      <c r="AR412" s="22">
        <f t="shared" si="225"/>
        <v>0</v>
      </c>
      <c r="AS412" s="121" t="str">
        <f t="shared" si="226"/>
        <v>Crops</v>
      </c>
      <c r="AT412" s="121" t="str">
        <f t="shared" ref="AT412:AV431" si="243">IFERROR(IFERROR(MID($Q412,FIND("~",SUBSTITUTE($Q412,";","~",AT$10-1))+3,(FIND("~",SUBSTITUTE($Q412,";","~",AT$10))+0-(FIND("~",SUBSTITUTE($Q412,";","~",AT$10-1))+2))-6),MID($Q412,FIND("~",SUBSTITUTE($Q412,";","~",AT$10-1))+3,(LEN($Q412)-6-FIND("~",SUBSTITUTE($Q412,";","~",AT$10-1))-1)))," ")</f>
        <v xml:space="preserve"> </v>
      </c>
      <c r="AU412" s="121" t="str">
        <f t="shared" si="243"/>
        <v xml:space="preserve"> </v>
      </c>
      <c r="AV412" s="121" t="str">
        <f t="shared" si="243"/>
        <v xml:space="preserve"> </v>
      </c>
      <c r="AW412" s="130" t="str">
        <f t="shared" ref="AW412:AZ431" si="244">IFERROR(MID($Q412,FIND("~",SUBSTITUTE($Q412,"(","~",AW$10))+1,3)," ")</f>
        <v>100</v>
      </c>
      <c r="AX412" s="130" t="str">
        <f t="shared" si="244"/>
        <v xml:space="preserve"> </v>
      </c>
      <c r="AY412" s="130" t="str">
        <f t="shared" si="244"/>
        <v xml:space="preserve"> </v>
      </c>
      <c r="AZ412" s="130" t="str">
        <f t="shared" si="244"/>
        <v xml:space="preserve"> </v>
      </c>
      <c r="BA412" s="121">
        <f t="shared" si="227"/>
        <v>132840.68353286677</v>
      </c>
      <c r="BB412" s="121">
        <f t="shared" si="228"/>
        <v>0</v>
      </c>
      <c r="BC412" s="121">
        <f t="shared" si="229"/>
        <v>0</v>
      </c>
      <c r="BD412" s="121">
        <f t="shared" si="230"/>
        <v>0</v>
      </c>
      <c r="BE412" s="121">
        <f t="shared" si="231"/>
        <v>0</v>
      </c>
      <c r="BF412" s="121">
        <f t="shared" si="232"/>
        <v>0</v>
      </c>
      <c r="BG412" s="121">
        <f t="shared" si="233"/>
        <v>0</v>
      </c>
      <c r="BH412" s="121">
        <f t="shared" si="234"/>
        <v>0</v>
      </c>
      <c r="BI412" s="121">
        <f t="shared" si="235"/>
        <v>132840.68353286677</v>
      </c>
      <c r="BJ412" s="121">
        <f t="shared" si="236"/>
        <v>132840.68353286677</v>
      </c>
      <c r="BK412" s="121">
        <f t="shared" si="237"/>
        <v>132840.68353286677</v>
      </c>
      <c r="BL412" s="121">
        <f t="shared" si="238"/>
        <v>132840.68353286677</v>
      </c>
      <c r="BM412" s="121">
        <f t="shared" si="239"/>
        <v>0</v>
      </c>
      <c r="BN412" s="121">
        <f t="shared" si="240"/>
        <v>0</v>
      </c>
      <c r="BO412" s="121">
        <f t="shared" si="241"/>
        <v>0</v>
      </c>
      <c r="BP412" s="121">
        <f t="shared" si="242"/>
        <v>0</v>
      </c>
      <c r="BQ412" s="199">
        <f>INDEX('GDP deflators'!$C$6:$M$36,MATCH('Bottom-up tagging'!$D412,'GDP deflators'!$B$6:$B$36,),MATCH('Bottom-up tagging'!$E412,'GDP deflators'!$C$5:$L$5,))/100</f>
        <v>1.2462146053248888</v>
      </c>
      <c r="BR412" s="24">
        <v>165548</v>
      </c>
    </row>
    <row r="413" spans="2:70" ht="26.15" hidden="1" customHeight="1">
      <c r="B413" s="110" t="s">
        <v>259</v>
      </c>
      <c r="C413" s="110" t="s">
        <v>264</v>
      </c>
      <c r="D413" s="110" t="s">
        <v>3994</v>
      </c>
      <c r="E413" s="103">
        <v>2016</v>
      </c>
      <c r="F413" s="108" t="s">
        <v>7396</v>
      </c>
      <c r="G413" s="111" t="s">
        <v>34</v>
      </c>
      <c r="H413" s="110" t="s">
        <v>10451</v>
      </c>
      <c r="I413" s="112">
        <f>IF(Dashboard!$B$16="Current USD",'Bottom-up tagging'!BR413,'Bottom-up tagging'!BR413/'Bottom-up tagging'!BQ413)</f>
        <v>121395.4836661529</v>
      </c>
      <c r="J413" s="117" t="s">
        <v>10474</v>
      </c>
      <c r="K413" s="112"/>
      <c r="L413" s="135">
        <v>1</v>
      </c>
      <c r="M413" s="135">
        <v>1</v>
      </c>
      <c r="N413" s="112"/>
      <c r="O413" s="112"/>
      <c r="P413" s="112" t="str">
        <f>VLOOKUP(B413, 'Companies covered restructured'!$B$7:$K$470, 9, FALSE)</f>
        <v>Precision agriculture</v>
      </c>
      <c r="Q413" s="112" t="str">
        <f>VLOOKUP(B413, 'Companies covered restructured'!$B$7:$K$470, 6, FALSE)</f>
        <v>#Crops(100)</v>
      </c>
      <c r="R413" s="112" t="str">
        <f t="shared" si="214"/>
        <v>#Investment Fund(100)</v>
      </c>
      <c r="S413" s="112" t="s">
        <v>11003</v>
      </c>
      <c r="T413" s="112" t="s">
        <v>10466</v>
      </c>
      <c r="U413" s="103" t="s">
        <v>10970</v>
      </c>
      <c r="V413" s="112" t="str">
        <f>VLOOKUP(P413, 'Bottom-up Tagging Assumptions'!$B$12:$F$39, 5, FALSE)</f>
        <v>#Science &amp; tech(100)</v>
      </c>
      <c r="W413" s="112" t="str">
        <f>VLOOKUP(B413, 'Companies covered restructured'!$B$7:$K$470, 7, FALSE)</f>
        <v>#Field/Animal Herd(100)</v>
      </c>
      <c r="X413" s="112" t="s">
        <v>10558</v>
      </c>
      <c r="Y413" s="212" t="str">
        <f>VLOOKUP(P413, 'Bottom-up Tagging Assumptions'!$B$12:$C$56, 2, FALSE)</f>
        <v>#Other Economic(P); #Productivity(S)</v>
      </c>
      <c r="Z413" s="112" t="str">
        <f>VLOOKUP(P413, 'Bottom-up Tagging Assumptions'!$B$12:$F$56, 3, FALSE)</f>
        <v>#Increasing output per unit input(P); #Increasing crop or animal yield(S)</v>
      </c>
      <c r="AA413" s="112" t="str">
        <f>VLOOKUP(P413, 'Bottom-up Tagging Assumptions'!$B$12:$F$56, 4, FALSE)</f>
        <v>#Level 1(100)</v>
      </c>
      <c r="AB413" s="110" t="s">
        <v>2438</v>
      </c>
      <c r="AC413" s="110" t="s">
        <v>2439</v>
      </c>
      <c r="AD413" s="110" t="s">
        <v>326</v>
      </c>
      <c r="AE413" s="110" t="str">
        <f>VLOOKUP(AD413,  '1.2'!$B$7:$C$2033, 2, FALSE)</f>
        <v>FUND</v>
      </c>
      <c r="AF413" s="112">
        <v>530000</v>
      </c>
      <c r="AG413" s="110" t="s">
        <v>2544</v>
      </c>
      <c r="AH413" s="121">
        <f t="shared" si="215"/>
        <v>0</v>
      </c>
      <c r="AI413" s="121">
        <f t="shared" si="216"/>
        <v>1</v>
      </c>
      <c r="AJ413" s="121">
        <f t="shared" si="217"/>
        <v>1</v>
      </c>
      <c r="AK413" s="121">
        <f t="shared" si="218"/>
        <v>0</v>
      </c>
      <c r="AL413" s="121">
        <f t="shared" si="219"/>
        <v>0</v>
      </c>
      <c r="AM413" s="121">
        <f t="shared" si="220"/>
        <v>0</v>
      </c>
      <c r="AN413" s="121">
        <f t="shared" si="221"/>
        <v>0</v>
      </c>
      <c r="AO413" s="121">
        <f t="shared" si="222"/>
        <v>0</v>
      </c>
      <c r="AP413" s="22">
        <f t="shared" si="223"/>
        <v>0</v>
      </c>
      <c r="AQ413" s="22">
        <f t="shared" si="224"/>
        <v>0</v>
      </c>
      <c r="AR413" s="22">
        <f t="shared" si="225"/>
        <v>0</v>
      </c>
      <c r="AS413" s="121" t="str">
        <f t="shared" si="226"/>
        <v>Crops</v>
      </c>
      <c r="AT413" s="121" t="str">
        <f t="shared" si="243"/>
        <v xml:space="preserve"> </v>
      </c>
      <c r="AU413" s="121" t="str">
        <f t="shared" si="243"/>
        <v xml:space="preserve"> </v>
      </c>
      <c r="AV413" s="121" t="str">
        <f t="shared" si="243"/>
        <v xml:space="preserve"> </v>
      </c>
      <c r="AW413" s="130" t="str">
        <f t="shared" si="244"/>
        <v>100</v>
      </c>
      <c r="AX413" s="130" t="str">
        <f t="shared" si="244"/>
        <v xml:space="preserve"> </v>
      </c>
      <c r="AY413" s="130" t="str">
        <f t="shared" si="244"/>
        <v xml:space="preserve"> </v>
      </c>
      <c r="AZ413" s="130" t="str">
        <f t="shared" si="244"/>
        <v xml:space="preserve"> </v>
      </c>
      <c r="BA413" s="121">
        <f t="shared" si="227"/>
        <v>121395.4836661529</v>
      </c>
      <c r="BB413" s="121">
        <f t="shared" si="228"/>
        <v>0</v>
      </c>
      <c r="BC413" s="121">
        <f t="shared" si="229"/>
        <v>0</v>
      </c>
      <c r="BD413" s="121">
        <f t="shared" si="230"/>
        <v>0</v>
      </c>
      <c r="BE413" s="121">
        <f t="shared" si="231"/>
        <v>0</v>
      </c>
      <c r="BF413" s="121">
        <f t="shared" si="232"/>
        <v>0</v>
      </c>
      <c r="BG413" s="121">
        <f t="shared" si="233"/>
        <v>0</v>
      </c>
      <c r="BH413" s="121">
        <f t="shared" si="234"/>
        <v>0</v>
      </c>
      <c r="BI413" s="121">
        <f t="shared" si="235"/>
        <v>0</v>
      </c>
      <c r="BJ413" s="121">
        <f t="shared" si="236"/>
        <v>0</v>
      </c>
      <c r="BK413" s="121">
        <f t="shared" si="237"/>
        <v>0</v>
      </c>
      <c r="BL413" s="121">
        <f t="shared" si="238"/>
        <v>0</v>
      </c>
      <c r="BM413" s="121">
        <f t="shared" si="239"/>
        <v>0</v>
      </c>
      <c r="BN413" s="121">
        <f t="shared" si="240"/>
        <v>0</v>
      </c>
      <c r="BO413" s="121">
        <f t="shared" si="241"/>
        <v>0</v>
      </c>
      <c r="BP413" s="121">
        <f t="shared" si="242"/>
        <v>0</v>
      </c>
      <c r="BQ413" s="199">
        <f>INDEX('GDP deflators'!$C$6:$M$36,MATCH('Bottom-up tagging'!$D413,'GDP deflators'!$B$6:$B$36,),MATCH('Bottom-up tagging'!$E413,'GDP deflators'!$C$5:$L$5,))/100</f>
        <v>1.3597375702538033</v>
      </c>
      <c r="BR413" s="24">
        <v>165066</v>
      </c>
    </row>
    <row r="414" spans="2:70" ht="26.15" hidden="1" customHeight="1">
      <c r="B414" s="110" t="s">
        <v>2560</v>
      </c>
      <c r="C414" s="110" t="s">
        <v>2562</v>
      </c>
      <c r="D414" s="110" t="s">
        <v>2057</v>
      </c>
      <c r="E414" s="103">
        <v>2015</v>
      </c>
      <c r="F414" s="108" t="s">
        <v>9342</v>
      </c>
      <c r="G414" s="111" t="s">
        <v>34</v>
      </c>
      <c r="H414" s="110" t="s">
        <v>10451</v>
      </c>
      <c r="I414" s="112">
        <f>IF(Dashboard!$B$16="Current USD",'Bottom-up tagging'!BR414,'Bottom-up tagging'!BR414/'Bottom-up tagging'!BQ414)</f>
        <v>138412.24106047518</v>
      </c>
      <c r="J414" s="105" t="s">
        <v>10474</v>
      </c>
      <c r="K414" s="112"/>
      <c r="L414" s="135">
        <v>1</v>
      </c>
      <c r="M414" s="135">
        <v>1</v>
      </c>
      <c r="N414" s="112"/>
      <c r="O414" s="112"/>
      <c r="P414" s="112" t="str">
        <f>VLOOKUP(B414, 'Companies covered restructured'!$B$7:$K$470, 9, FALSE)</f>
        <v>Agri marketplaces</v>
      </c>
      <c r="Q414" s="112" t="str">
        <f>VLOOKUP(B414, 'Companies covered restructured'!$B$7:$K$470, 6, FALSE)</f>
        <v>#Livestock(050); #Fisheries and Aquaculture(050)</v>
      </c>
      <c r="R414" s="112" t="str">
        <f t="shared" si="214"/>
        <v>N/A</v>
      </c>
      <c r="S414" s="112" t="s">
        <v>11003</v>
      </c>
      <c r="T414" s="112" t="s">
        <v>10466</v>
      </c>
      <c r="U414" s="103" t="s">
        <v>10970</v>
      </c>
      <c r="V414" s="112" t="str">
        <f>VLOOKUP(P414, 'Bottom-up Tagging Assumptions'!$B$12:$F$39, 5, FALSE)</f>
        <v>#Process Innovation(100)</v>
      </c>
      <c r="W414" s="112" t="str">
        <f>VLOOKUP(B414, 'Companies covered restructured'!$B$7:$K$470, 7, FALSE)</f>
        <v>N/A</v>
      </c>
      <c r="X414" s="112" t="str">
        <f>VLOOKUP(B414, 'Companies covered restructured'!$B$7:$K$470, 8, FALSE)</f>
        <v>N/A</v>
      </c>
      <c r="Y414" s="212" t="str">
        <f>VLOOKUP(P414, 'Bottom-up Tagging Assumptions'!$B$12:$C$56, 2, FALSE)</f>
        <v>#Other Economic(P); Social(S)</v>
      </c>
      <c r="Z414" s="112" t="str">
        <f>VLOOKUP(P414, 'Bottom-up Tagging Assumptions'!$B$12:$F$56, 3, FALSE)</f>
        <v>#Improve price realization(P)</v>
      </c>
      <c r="AA414" s="112" t="str">
        <f>VLOOKUP(P414, 'Bottom-up Tagging Assumptions'!$B$12:$F$56, 4, FALSE)</f>
        <v>#Level 4(100)</v>
      </c>
      <c r="AB414" s="110"/>
      <c r="AC414" s="110"/>
      <c r="AD414" s="110"/>
      <c r="AE414" s="110" t="s">
        <v>10558</v>
      </c>
      <c r="AF414" s="112">
        <v>9099055</v>
      </c>
      <c r="AG414" s="110" t="s">
        <v>1768</v>
      </c>
      <c r="AH414" s="121">
        <f t="shared" si="215"/>
        <v>0</v>
      </c>
      <c r="AI414" s="121">
        <f t="shared" si="216"/>
        <v>0</v>
      </c>
      <c r="AJ414" s="121">
        <f t="shared" si="217"/>
        <v>1</v>
      </c>
      <c r="AK414" s="121">
        <f t="shared" si="218"/>
        <v>1</v>
      </c>
      <c r="AL414" s="121">
        <f t="shared" si="219"/>
        <v>0</v>
      </c>
      <c r="AM414" s="121">
        <f t="shared" si="220"/>
        <v>0</v>
      </c>
      <c r="AN414" s="121">
        <f t="shared" si="221"/>
        <v>1</v>
      </c>
      <c r="AO414" s="121">
        <f t="shared" si="222"/>
        <v>0</v>
      </c>
      <c r="AP414" s="22">
        <f t="shared" si="223"/>
        <v>0</v>
      </c>
      <c r="AQ414" s="22">
        <f t="shared" si="224"/>
        <v>138412.24106047518</v>
      </c>
      <c r="AR414" s="22">
        <f t="shared" si="225"/>
        <v>0</v>
      </c>
      <c r="AS414" s="121" t="str">
        <f t="shared" si="226"/>
        <v>Livestock</v>
      </c>
      <c r="AT414" s="121" t="str">
        <f t="shared" si="243"/>
        <v>Fisheries and Aquaculture</v>
      </c>
      <c r="AU414" s="121" t="str">
        <f t="shared" si="243"/>
        <v xml:space="preserve"> </v>
      </c>
      <c r="AV414" s="121" t="str">
        <f t="shared" si="243"/>
        <v xml:space="preserve"> </v>
      </c>
      <c r="AW414" s="130" t="str">
        <f t="shared" si="244"/>
        <v>050</v>
      </c>
      <c r="AX414" s="130" t="str">
        <f t="shared" si="244"/>
        <v>050</v>
      </c>
      <c r="AY414" s="130" t="str">
        <f t="shared" si="244"/>
        <v xml:space="preserve"> </v>
      </c>
      <c r="AZ414" s="130" t="str">
        <f t="shared" si="244"/>
        <v xml:space="preserve"> </v>
      </c>
      <c r="BA414" s="121">
        <f t="shared" si="227"/>
        <v>69206.120530237589</v>
      </c>
      <c r="BB414" s="121">
        <f t="shared" si="228"/>
        <v>69206.120530237589</v>
      </c>
      <c r="BC414" s="121">
        <f t="shared" si="229"/>
        <v>0</v>
      </c>
      <c r="BD414" s="121">
        <f t="shared" si="230"/>
        <v>0</v>
      </c>
      <c r="BE414" s="121">
        <f t="shared" si="231"/>
        <v>0</v>
      </c>
      <c r="BF414" s="121">
        <f t="shared" si="232"/>
        <v>0</v>
      </c>
      <c r="BG414" s="121">
        <f t="shared" si="233"/>
        <v>0</v>
      </c>
      <c r="BH414" s="121">
        <f t="shared" si="234"/>
        <v>0</v>
      </c>
      <c r="BI414" s="121">
        <f t="shared" si="235"/>
        <v>69206.120530237589</v>
      </c>
      <c r="BJ414" s="121">
        <f t="shared" si="236"/>
        <v>69206.120530237589</v>
      </c>
      <c r="BK414" s="121">
        <f t="shared" si="237"/>
        <v>138412.24106047518</v>
      </c>
      <c r="BL414" s="121">
        <f t="shared" si="238"/>
        <v>138412.24106047518</v>
      </c>
      <c r="BM414" s="121">
        <f t="shared" si="239"/>
        <v>0</v>
      </c>
      <c r="BN414" s="121">
        <f t="shared" si="240"/>
        <v>0</v>
      </c>
      <c r="BO414" s="121">
        <f t="shared" si="241"/>
        <v>0</v>
      </c>
      <c r="BP414" s="121">
        <f t="shared" si="242"/>
        <v>0</v>
      </c>
      <c r="BQ414" s="199">
        <f>INDEX('GDP deflators'!$C$6:$M$36,MATCH('Bottom-up tagging'!$D414,'GDP deflators'!$B$6:$B$36,),MATCH('Bottom-up tagging'!$E414,'GDP deflators'!$C$5:$L$5,))/100</f>
        <v>1.1415175333442258</v>
      </c>
      <c r="BR414" s="24">
        <v>158000</v>
      </c>
    </row>
    <row r="415" spans="2:70" ht="26.15" hidden="1" customHeight="1">
      <c r="B415" s="110" t="s">
        <v>2795</v>
      </c>
      <c r="C415" s="110" t="s">
        <v>2798</v>
      </c>
      <c r="D415" s="110" t="s">
        <v>3994</v>
      </c>
      <c r="E415" s="103">
        <v>2014</v>
      </c>
      <c r="F415" s="108" t="s">
        <v>9897</v>
      </c>
      <c r="G415" s="111" t="s">
        <v>124</v>
      </c>
      <c r="H415" s="110" t="s">
        <v>10451</v>
      </c>
      <c r="I415" s="112">
        <f>IF(Dashboard!$B$16="Current USD",'Bottom-up tagging'!BR415,'Bottom-up tagging'!BR415/'Bottom-up tagging'!BQ415)</f>
        <v>122542.25074865809</v>
      </c>
      <c r="J415" s="105" t="s">
        <v>10474</v>
      </c>
      <c r="K415" s="112"/>
      <c r="L415" s="135">
        <v>1</v>
      </c>
      <c r="M415" s="135">
        <v>1</v>
      </c>
      <c r="N415" s="112"/>
      <c r="O415" s="112"/>
      <c r="P415" s="112" t="str">
        <f>VLOOKUP(B415, 'Companies covered restructured'!$B$7:$K$470, 9, FALSE)</f>
        <v>Waste management</v>
      </c>
      <c r="Q415" s="112" t="str">
        <f>VLOOKUP(B415, 'Companies covered restructured'!$B$7:$K$470, 6, FALSE)</f>
        <v>#Crops(100)</v>
      </c>
      <c r="R415" s="112" t="str">
        <f t="shared" si="214"/>
        <v>N/A</v>
      </c>
      <c r="S415" s="112" t="s">
        <v>11003</v>
      </c>
      <c r="T415" s="112" t="s">
        <v>10466</v>
      </c>
      <c r="U415" s="213" t="s">
        <v>10970</v>
      </c>
      <c r="V415" s="112" t="str">
        <f>VLOOKUP(P415, 'Bottom-up Tagging Assumptions'!$B$12:$F$39, 5, FALSE)</f>
        <v>#Product Development(100)</v>
      </c>
      <c r="W415" s="112" t="str">
        <f>VLOOKUP(B415, 'Companies covered restructured'!$B$7:$K$470, 7, FALSE)</f>
        <v>N/A</v>
      </c>
      <c r="X415" s="112" t="str">
        <f>VLOOKUP(B415, 'Companies covered restructured'!$B$7:$K$470, 8, FALSE)</f>
        <v>N/A</v>
      </c>
      <c r="Y415" s="212" t="str">
        <f>VLOOKUP(P415, 'Bottom-up Tagging Assumptions'!$B$12:$C$56, 2, FALSE)</f>
        <v>#Environmental(P); #Other economic(S)</v>
      </c>
      <c r="Z415" s="112" t="str">
        <f>VLOOKUP(P415, 'Bottom-up Tagging Assumptions'!$B$12:$F$56, 3, FALSE)</f>
        <v>#Waste reduction(P)</v>
      </c>
      <c r="AA415" s="112" t="str">
        <f>VLOOKUP(P415, 'Bottom-up Tagging Assumptions'!$B$12:$F$56, 4, FALSE)</f>
        <v>#Level 2(100)</v>
      </c>
      <c r="AB415" s="110" t="s">
        <v>2797</v>
      </c>
      <c r="AC415" s="110"/>
      <c r="AD415" s="110"/>
      <c r="AE415" s="110" t="s">
        <v>10558</v>
      </c>
      <c r="AF415" s="112">
        <v>4600000</v>
      </c>
      <c r="AG415" s="110" t="s">
        <v>2600</v>
      </c>
      <c r="AH415" s="121">
        <f t="shared" si="215"/>
        <v>1</v>
      </c>
      <c r="AI415" s="121">
        <f t="shared" si="216"/>
        <v>0</v>
      </c>
      <c r="AJ415" s="121">
        <f t="shared" si="217"/>
        <v>1</v>
      </c>
      <c r="AK415" s="121">
        <f t="shared" si="218"/>
        <v>0</v>
      </c>
      <c r="AL415" s="121">
        <f t="shared" si="219"/>
        <v>0</v>
      </c>
      <c r="AM415" s="121">
        <f t="shared" si="220"/>
        <v>0</v>
      </c>
      <c r="AN415" s="121">
        <f t="shared" si="221"/>
        <v>1</v>
      </c>
      <c r="AO415" s="121">
        <f t="shared" si="222"/>
        <v>0</v>
      </c>
      <c r="AP415" s="22">
        <f t="shared" si="223"/>
        <v>0</v>
      </c>
      <c r="AQ415" s="22">
        <f t="shared" si="224"/>
        <v>122542.25074865809</v>
      </c>
      <c r="AR415" s="22">
        <f t="shared" si="225"/>
        <v>0</v>
      </c>
      <c r="AS415" s="121" t="str">
        <f t="shared" si="226"/>
        <v>Crops</v>
      </c>
      <c r="AT415" s="121" t="str">
        <f t="shared" si="243"/>
        <v xml:space="preserve"> </v>
      </c>
      <c r="AU415" s="121" t="str">
        <f t="shared" si="243"/>
        <v xml:space="preserve"> </v>
      </c>
      <c r="AV415" s="121" t="str">
        <f t="shared" si="243"/>
        <v xml:space="preserve"> </v>
      </c>
      <c r="AW415" s="130" t="str">
        <f t="shared" si="244"/>
        <v>100</v>
      </c>
      <c r="AX415" s="130" t="str">
        <f t="shared" si="244"/>
        <v xml:space="preserve"> </v>
      </c>
      <c r="AY415" s="130" t="str">
        <f t="shared" si="244"/>
        <v xml:space="preserve"> </v>
      </c>
      <c r="AZ415" s="130" t="str">
        <f t="shared" si="244"/>
        <v xml:space="preserve"> </v>
      </c>
      <c r="BA415" s="121">
        <f t="shared" si="227"/>
        <v>122542.25074865809</v>
      </c>
      <c r="BB415" s="121">
        <f t="shared" si="228"/>
        <v>0</v>
      </c>
      <c r="BC415" s="121">
        <f t="shared" si="229"/>
        <v>0</v>
      </c>
      <c r="BD415" s="121">
        <f t="shared" si="230"/>
        <v>0</v>
      </c>
      <c r="BE415" s="121">
        <f t="shared" si="231"/>
        <v>0</v>
      </c>
      <c r="BF415" s="121">
        <f t="shared" si="232"/>
        <v>0</v>
      </c>
      <c r="BG415" s="121">
        <f t="shared" si="233"/>
        <v>0</v>
      </c>
      <c r="BH415" s="121">
        <f t="shared" si="234"/>
        <v>0</v>
      </c>
      <c r="BI415" s="121">
        <f t="shared" si="235"/>
        <v>122542.25074865809</v>
      </c>
      <c r="BJ415" s="121">
        <f t="shared" si="236"/>
        <v>122542.25074865809</v>
      </c>
      <c r="BK415" s="121">
        <f t="shared" si="237"/>
        <v>122542.25074865809</v>
      </c>
      <c r="BL415" s="121">
        <f t="shared" si="238"/>
        <v>122542.25074865809</v>
      </c>
      <c r="BM415" s="121">
        <f t="shared" si="239"/>
        <v>0</v>
      </c>
      <c r="BN415" s="121">
        <f t="shared" si="240"/>
        <v>0</v>
      </c>
      <c r="BO415" s="121">
        <f t="shared" si="241"/>
        <v>0</v>
      </c>
      <c r="BP415" s="121">
        <f t="shared" si="242"/>
        <v>0</v>
      </c>
      <c r="BQ415" s="199">
        <f>INDEX('GDP deflators'!$C$6:$M$36,MATCH('Bottom-up tagging'!$D415,'GDP deflators'!$B$6:$B$36,),MATCH('Bottom-up tagging'!$E415,'GDP deflators'!$C$5:$L$5,))/100</f>
        <v>1.2877354466392321</v>
      </c>
      <c r="BR415" s="24">
        <v>157802</v>
      </c>
    </row>
    <row r="416" spans="2:70" ht="26.15" hidden="1" customHeight="1">
      <c r="B416" s="110" t="s">
        <v>991</v>
      </c>
      <c r="C416" s="110" t="s">
        <v>994</v>
      </c>
      <c r="D416" s="110" t="s">
        <v>3994</v>
      </c>
      <c r="E416" s="103">
        <v>2019</v>
      </c>
      <c r="F416" s="108" t="s">
        <v>7704</v>
      </c>
      <c r="G416" s="111" t="s">
        <v>289</v>
      </c>
      <c r="H416" s="110" t="s">
        <v>10451</v>
      </c>
      <c r="I416" s="112">
        <f>IF(Dashboard!$B$16="Current USD",'Bottom-up tagging'!BR416,'Bottom-up tagging'!BR416/'Bottom-up tagging'!BQ416)</f>
        <v>104292.28886921851</v>
      </c>
      <c r="J416" s="105" t="s">
        <v>10474</v>
      </c>
      <c r="K416" s="112"/>
      <c r="L416" s="135">
        <v>1</v>
      </c>
      <c r="M416" s="135">
        <v>1</v>
      </c>
      <c r="N416" s="112"/>
      <c r="O416" s="112"/>
      <c r="P416" s="112" t="str">
        <f>VLOOKUP(B416, 'Companies covered restructured'!$B$7:$K$470, 9, FALSE)</f>
        <v>Supply chain technologies</v>
      </c>
      <c r="Q416" s="112" t="str">
        <f>VLOOKUP(B416, 'Companies covered restructured'!$B$7:$K$470, 6, FALSE)</f>
        <v>#Crops(100)</v>
      </c>
      <c r="R416" s="112" t="str">
        <f t="shared" si="214"/>
        <v>N/A</v>
      </c>
      <c r="S416" s="112" t="s">
        <v>11003</v>
      </c>
      <c r="T416" s="112" t="s">
        <v>10464</v>
      </c>
      <c r="U416" s="103" t="s">
        <v>10970</v>
      </c>
      <c r="V416" s="112" t="str">
        <f>VLOOKUP(P416, 'Bottom-up Tagging Assumptions'!$B$12:$F$39, 5, FALSE)</f>
        <v>#Process Innovation(100)</v>
      </c>
      <c r="W416" s="112" t="str">
        <f>VLOOKUP(B416, 'Companies covered restructured'!$B$7:$K$470, 7, FALSE)</f>
        <v>#Field/Animal Herd(100)</v>
      </c>
      <c r="X416" s="112" t="s">
        <v>10558</v>
      </c>
      <c r="Y416" s="212" t="str">
        <f>VLOOKUP(P416, 'Bottom-up Tagging Assumptions'!$B$12:$C$56, 2, FALSE)</f>
        <v>#Other Economic(P); Social(S)</v>
      </c>
      <c r="Z416" s="112" t="str">
        <f>VLOOKUP(P416, 'Bottom-up Tagging Assumptions'!$B$12:$F$56, 3, FALSE)</f>
        <v>#Improve price realization(P)</v>
      </c>
      <c r="AA416" s="112" t="str">
        <f>VLOOKUP(P416, 'Bottom-up Tagging Assumptions'!$B$12:$F$56, 4, FALSE)</f>
        <v>#Level 3(100)</v>
      </c>
      <c r="AB416" s="110"/>
      <c r="AC416" s="110" t="s">
        <v>993</v>
      </c>
      <c r="AD416" s="110"/>
      <c r="AE416" s="110" t="s">
        <v>10558</v>
      </c>
      <c r="AF416" s="112">
        <v>9059375</v>
      </c>
      <c r="AG416" s="110" t="s">
        <v>884</v>
      </c>
      <c r="AH416" s="121">
        <f t="shared" si="215"/>
        <v>0</v>
      </c>
      <c r="AI416" s="121">
        <f t="shared" si="216"/>
        <v>0</v>
      </c>
      <c r="AJ416" s="121">
        <f t="shared" si="217"/>
        <v>1</v>
      </c>
      <c r="AK416" s="121">
        <f t="shared" si="218"/>
        <v>1</v>
      </c>
      <c r="AL416" s="121">
        <f t="shared" si="219"/>
        <v>0</v>
      </c>
      <c r="AM416" s="121">
        <f t="shared" si="220"/>
        <v>0</v>
      </c>
      <c r="AN416" s="121">
        <f t="shared" si="221"/>
        <v>1</v>
      </c>
      <c r="AO416" s="121">
        <f t="shared" si="222"/>
        <v>0</v>
      </c>
      <c r="AP416" s="22">
        <f t="shared" si="223"/>
        <v>0</v>
      </c>
      <c r="AQ416" s="22">
        <f t="shared" si="224"/>
        <v>104292.28886921851</v>
      </c>
      <c r="AR416" s="22">
        <f t="shared" si="225"/>
        <v>0</v>
      </c>
      <c r="AS416" s="121" t="str">
        <f t="shared" si="226"/>
        <v>Crops</v>
      </c>
      <c r="AT416" s="121" t="str">
        <f t="shared" si="243"/>
        <v xml:space="preserve"> </v>
      </c>
      <c r="AU416" s="121" t="str">
        <f t="shared" si="243"/>
        <v xml:space="preserve"> </v>
      </c>
      <c r="AV416" s="121" t="str">
        <f t="shared" si="243"/>
        <v xml:space="preserve"> </v>
      </c>
      <c r="AW416" s="130" t="str">
        <f t="shared" si="244"/>
        <v>100</v>
      </c>
      <c r="AX416" s="130" t="str">
        <f t="shared" si="244"/>
        <v xml:space="preserve"> </v>
      </c>
      <c r="AY416" s="130" t="str">
        <f t="shared" si="244"/>
        <v xml:space="preserve"> </v>
      </c>
      <c r="AZ416" s="130" t="str">
        <f t="shared" si="244"/>
        <v xml:space="preserve"> </v>
      </c>
      <c r="BA416" s="121">
        <f t="shared" si="227"/>
        <v>104292.28886921851</v>
      </c>
      <c r="BB416" s="121">
        <f t="shared" si="228"/>
        <v>0</v>
      </c>
      <c r="BC416" s="121">
        <f t="shared" si="229"/>
        <v>0</v>
      </c>
      <c r="BD416" s="121">
        <f t="shared" si="230"/>
        <v>0</v>
      </c>
      <c r="BE416" s="121">
        <f t="shared" si="231"/>
        <v>0</v>
      </c>
      <c r="BF416" s="121">
        <f t="shared" si="232"/>
        <v>0</v>
      </c>
      <c r="BG416" s="121">
        <f t="shared" si="233"/>
        <v>0</v>
      </c>
      <c r="BH416" s="121">
        <f t="shared" si="234"/>
        <v>0</v>
      </c>
      <c r="BI416" s="121">
        <f t="shared" si="235"/>
        <v>104292.28886921851</v>
      </c>
      <c r="BJ416" s="121">
        <f t="shared" si="236"/>
        <v>104292.28886921851</v>
      </c>
      <c r="BK416" s="121">
        <f t="shared" si="237"/>
        <v>104292.28886921851</v>
      </c>
      <c r="BL416" s="121">
        <f t="shared" si="238"/>
        <v>104292.28886921851</v>
      </c>
      <c r="BM416" s="121">
        <f t="shared" si="239"/>
        <v>0</v>
      </c>
      <c r="BN416" s="121">
        <f t="shared" si="240"/>
        <v>0</v>
      </c>
      <c r="BO416" s="121">
        <f t="shared" si="241"/>
        <v>0</v>
      </c>
      <c r="BP416" s="121">
        <f t="shared" si="242"/>
        <v>0</v>
      </c>
      <c r="BQ416" s="199">
        <f>INDEX('GDP deflators'!$C$6:$M$36,MATCH('Bottom-up tagging'!$D416,'GDP deflators'!$B$6:$B$36,),MATCH('Bottom-up tagging'!$E416,'GDP deflators'!$C$5:$L$5,))/100</f>
        <v>1.5094883975306472</v>
      </c>
      <c r="BR416" s="24">
        <v>157428</v>
      </c>
    </row>
    <row r="417" spans="2:70" ht="26.15" hidden="1" customHeight="1">
      <c r="B417" s="110" t="s">
        <v>1685</v>
      </c>
      <c r="C417" s="110" t="s">
        <v>1690</v>
      </c>
      <c r="D417" s="110" t="s">
        <v>3994</v>
      </c>
      <c r="E417" s="103">
        <v>2018</v>
      </c>
      <c r="F417" s="108" t="s">
        <v>8549</v>
      </c>
      <c r="G417" s="111" t="s">
        <v>34</v>
      </c>
      <c r="H417" s="110" t="s">
        <v>10451</v>
      </c>
      <c r="I417" s="112">
        <f>IF(Dashboard!$B$16="Current USD",'Bottom-up tagging'!BR417,'Bottom-up tagging'!BR417/'Bottom-up tagging'!BQ417)</f>
        <v>106591.89980214412</v>
      </c>
      <c r="J417" s="118" t="s">
        <v>10474</v>
      </c>
      <c r="K417" s="112"/>
      <c r="L417" s="135">
        <v>1</v>
      </c>
      <c r="M417" s="135">
        <v>1</v>
      </c>
      <c r="N417" s="112"/>
      <c r="O417" s="112"/>
      <c r="P417" s="112" t="str">
        <f>VLOOKUP(B417, 'Companies covered restructured'!$B$7:$K$470, 9, FALSE)</f>
        <v>Agri marketplaces</v>
      </c>
      <c r="Q417" s="112" t="str">
        <f>VLOOKUP(B417, 'Companies covered restructured'!$B$7:$K$470, 6, FALSE)</f>
        <v>#Crops(100)</v>
      </c>
      <c r="R417" s="112" t="str">
        <f t="shared" si="214"/>
        <v>#Angel Investor(100)</v>
      </c>
      <c r="S417" s="112" t="s">
        <v>11003</v>
      </c>
      <c r="T417" s="112" t="s">
        <v>10466</v>
      </c>
      <c r="U417" s="116" t="s">
        <v>10970</v>
      </c>
      <c r="V417" s="112" t="str">
        <f>VLOOKUP(P417, 'Bottom-up Tagging Assumptions'!$B$12:$F$39, 5, FALSE)</f>
        <v>#Process Innovation(100)</v>
      </c>
      <c r="W417" s="112" t="str">
        <f>VLOOKUP(B417, 'Companies covered restructured'!$B$7:$K$470, 7, FALSE)</f>
        <v>#Landscape(100)</v>
      </c>
      <c r="X417" s="112" t="str">
        <f>VLOOKUP(B417, 'Companies covered restructured'!$B$7:$K$470, 8, FALSE)</f>
        <v>N/A</v>
      </c>
      <c r="Y417" s="212" t="str">
        <f>VLOOKUP(P417, 'Bottom-up Tagging Assumptions'!$B$12:$C$56, 2, FALSE)</f>
        <v>#Other Economic(P); Social(S)</v>
      </c>
      <c r="Z417" s="112" t="str">
        <f>VLOOKUP(P417, 'Bottom-up Tagging Assumptions'!$B$12:$F$56, 3, FALSE)</f>
        <v>#Improve price realization(P)</v>
      </c>
      <c r="AA417" s="112" t="str">
        <f>VLOOKUP(P417, 'Bottom-up Tagging Assumptions'!$B$12:$F$56, 4, FALSE)</f>
        <v>#Level 4(100)</v>
      </c>
      <c r="AB417" s="110" t="s">
        <v>1827</v>
      </c>
      <c r="AC417" s="110" t="s">
        <v>1828</v>
      </c>
      <c r="AD417" s="110" t="s">
        <v>1829</v>
      </c>
      <c r="AE417" s="110" t="s">
        <v>3127</v>
      </c>
      <c r="AF417" s="112">
        <v>781000</v>
      </c>
      <c r="AG417" s="110" t="s">
        <v>2506</v>
      </c>
      <c r="AH417" s="121">
        <f t="shared" si="215"/>
        <v>0</v>
      </c>
      <c r="AI417" s="121">
        <f t="shared" si="216"/>
        <v>0</v>
      </c>
      <c r="AJ417" s="121">
        <f t="shared" si="217"/>
        <v>1</v>
      </c>
      <c r="AK417" s="121">
        <f t="shared" si="218"/>
        <v>1</v>
      </c>
      <c r="AL417" s="121">
        <f t="shared" si="219"/>
        <v>0</v>
      </c>
      <c r="AM417" s="121">
        <f t="shared" si="220"/>
        <v>0</v>
      </c>
      <c r="AN417" s="121">
        <f t="shared" si="221"/>
        <v>1</v>
      </c>
      <c r="AO417" s="121">
        <f t="shared" si="222"/>
        <v>0</v>
      </c>
      <c r="AP417" s="22">
        <f t="shared" si="223"/>
        <v>0</v>
      </c>
      <c r="AQ417" s="22">
        <f t="shared" si="224"/>
        <v>106591.89980214412</v>
      </c>
      <c r="AR417" s="22">
        <f t="shared" si="225"/>
        <v>0</v>
      </c>
      <c r="AS417" s="121" t="str">
        <f t="shared" si="226"/>
        <v>Crops</v>
      </c>
      <c r="AT417" s="121" t="str">
        <f t="shared" si="243"/>
        <v xml:space="preserve"> </v>
      </c>
      <c r="AU417" s="121" t="str">
        <f t="shared" si="243"/>
        <v xml:space="preserve"> </v>
      </c>
      <c r="AV417" s="121" t="str">
        <f t="shared" si="243"/>
        <v xml:space="preserve"> </v>
      </c>
      <c r="AW417" s="130" t="str">
        <f t="shared" si="244"/>
        <v>100</v>
      </c>
      <c r="AX417" s="130" t="str">
        <f t="shared" si="244"/>
        <v xml:space="preserve"> </v>
      </c>
      <c r="AY417" s="130" t="str">
        <f t="shared" si="244"/>
        <v xml:space="preserve"> </v>
      </c>
      <c r="AZ417" s="130" t="str">
        <f t="shared" si="244"/>
        <v xml:space="preserve"> </v>
      </c>
      <c r="BA417" s="121">
        <f t="shared" si="227"/>
        <v>106591.89980214411</v>
      </c>
      <c r="BB417" s="121">
        <f t="shared" si="228"/>
        <v>0</v>
      </c>
      <c r="BC417" s="121">
        <f t="shared" si="229"/>
        <v>0</v>
      </c>
      <c r="BD417" s="121">
        <f t="shared" si="230"/>
        <v>0</v>
      </c>
      <c r="BE417" s="121">
        <f t="shared" si="231"/>
        <v>0</v>
      </c>
      <c r="BF417" s="121">
        <f t="shared" si="232"/>
        <v>0</v>
      </c>
      <c r="BG417" s="121">
        <f t="shared" si="233"/>
        <v>0</v>
      </c>
      <c r="BH417" s="121">
        <f t="shared" si="234"/>
        <v>0</v>
      </c>
      <c r="BI417" s="121">
        <f t="shared" si="235"/>
        <v>106591.89980214411</v>
      </c>
      <c r="BJ417" s="121">
        <f t="shared" si="236"/>
        <v>106591.89980214412</v>
      </c>
      <c r="BK417" s="121">
        <f t="shared" si="237"/>
        <v>106591.89980214412</v>
      </c>
      <c r="BL417" s="121">
        <f t="shared" si="238"/>
        <v>106591.89980214412</v>
      </c>
      <c r="BM417" s="121">
        <f t="shared" si="239"/>
        <v>0</v>
      </c>
      <c r="BN417" s="121">
        <f t="shared" si="240"/>
        <v>0</v>
      </c>
      <c r="BO417" s="121">
        <f t="shared" si="241"/>
        <v>0</v>
      </c>
      <c r="BP417" s="121">
        <f t="shared" si="242"/>
        <v>0</v>
      </c>
      <c r="BQ417" s="199">
        <f>INDEX('GDP deflators'!$C$6:$M$36,MATCH('Bottom-up tagging'!$D417,'GDP deflators'!$B$6:$B$36,),MATCH('Bottom-up tagging'!$E417,'GDP deflators'!$C$5:$L$5,))/100</f>
        <v>1.4753935363936217</v>
      </c>
      <c r="BR417" s="24">
        <v>157265</v>
      </c>
    </row>
    <row r="418" spans="2:70" ht="26.15" hidden="1" customHeight="1">
      <c r="B418" s="110" t="s">
        <v>1999</v>
      </c>
      <c r="C418" s="110" t="s">
        <v>2003</v>
      </c>
      <c r="D418" s="110" t="s">
        <v>3994</v>
      </c>
      <c r="E418" s="103">
        <v>2017</v>
      </c>
      <c r="F418" s="108" t="s">
        <v>5952</v>
      </c>
      <c r="G418" s="111" t="s">
        <v>124</v>
      </c>
      <c r="H418" s="110" t="s">
        <v>10451</v>
      </c>
      <c r="I418" s="112">
        <f>IF(Dashboard!$B$16="Current USD",'Bottom-up tagging'!BR418,'Bottom-up tagging'!BR418/'Bottom-up tagging'!BQ418)</f>
        <v>110564.74814025103</v>
      </c>
      <c r="J418" s="105" t="s">
        <v>10474</v>
      </c>
      <c r="K418" s="112"/>
      <c r="L418" s="135">
        <v>1</v>
      </c>
      <c r="M418" s="135">
        <v>1</v>
      </c>
      <c r="N418" s="112"/>
      <c r="O418" s="112"/>
      <c r="P418" s="112" t="str">
        <f>VLOOKUP(B418, 'Companies covered restructured'!$B$7:$K$470, 9, FALSE)</f>
        <v>AI/analytics based advisory algorithms (incl. weather)</v>
      </c>
      <c r="Q418" s="112" t="str">
        <f>VLOOKUP(B418, 'Companies covered restructured'!$B$7:$K$470, 6, FALSE)</f>
        <v>#Crops(100)</v>
      </c>
      <c r="R418" s="112" t="str">
        <f t="shared" si="214"/>
        <v>#Angel Investor(100)</v>
      </c>
      <c r="S418" s="112" t="s">
        <v>11003</v>
      </c>
      <c r="T418" s="112" t="s">
        <v>10466</v>
      </c>
      <c r="U418" s="103" t="s">
        <v>10970</v>
      </c>
      <c r="V418" s="112" t="str">
        <f>VLOOKUP(P418, 'Bottom-up Tagging Assumptions'!$B$12:$F$39, 5, FALSE)</f>
        <v>#Science &amp; tech(100)</v>
      </c>
      <c r="W418" s="112" t="str">
        <f>VLOOKUP(B418, 'Companies covered restructured'!$B$7:$K$470, 7, FALSE)</f>
        <v>#Field/Animal Herd(100)</v>
      </c>
      <c r="X418" s="112" t="s">
        <v>10558</v>
      </c>
      <c r="Y418" s="212" t="str">
        <f>VLOOKUP(P418, 'Bottom-up Tagging Assumptions'!$B$12:$C$56, 2, FALSE)</f>
        <v>#Other Economic(P); #Productivity(S)</v>
      </c>
      <c r="Z418" s="112" t="str">
        <f>VLOOKUP(P418, 'Bottom-up Tagging Assumptions'!$B$12:$F$56, 3, FALSE)</f>
        <v>#Increasing output per unit input(P); #Increasing crop or animal yield(S)</v>
      </c>
      <c r="AA418" s="112" t="str">
        <f>VLOOKUP(P418, 'Bottom-up Tagging Assumptions'!$B$12:$F$56, 4, FALSE)</f>
        <v>#Level 1(100)</v>
      </c>
      <c r="AB418" s="110"/>
      <c r="AC418" s="110" t="s">
        <v>2001</v>
      </c>
      <c r="AD418" s="110" t="s">
        <v>2002</v>
      </c>
      <c r="AE418" s="110" t="str">
        <f>VLOOKUP(AD418,  '1.2'!$B$7:$C$2033, 2, FALSE)</f>
        <v>ANGEL</v>
      </c>
      <c r="AF418" s="112">
        <v>10000000</v>
      </c>
      <c r="AG418" s="110" t="s">
        <v>2616</v>
      </c>
      <c r="AH418" s="121">
        <f t="shared" si="215"/>
        <v>0</v>
      </c>
      <c r="AI418" s="121">
        <f t="shared" si="216"/>
        <v>1</v>
      </c>
      <c r="AJ418" s="121">
        <f t="shared" si="217"/>
        <v>1</v>
      </c>
      <c r="AK418" s="121">
        <f t="shared" si="218"/>
        <v>0</v>
      </c>
      <c r="AL418" s="121">
        <f t="shared" si="219"/>
        <v>0</v>
      </c>
      <c r="AM418" s="121">
        <f t="shared" si="220"/>
        <v>0</v>
      </c>
      <c r="AN418" s="121">
        <f t="shared" si="221"/>
        <v>0</v>
      </c>
      <c r="AO418" s="121">
        <f t="shared" si="222"/>
        <v>0</v>
      </c>
      <c r="AP418" s="22">
        <f t="shared" si="223"/>
        <v>0</v>
      </c>
      <c r="AQ418" s="22">
        <f t="shared" si="224"/>
        <v>0</v>
      </c>
      <c r="AR418" s="22">
        <f t="shared" si="225"/>
        <v>0</v>
      </c>
      <c r="AS418" s="121" t="str">
        <f t="shared" si="226"/>
        <v>Crops</v>
      </c>
      <c r="AT418" s="121" t="str">
        <f t="shared" si="243"/>
        <v xml:space="preserve"> </v>
      </c>
      <c r="AU418" s="121" t="str">
        <f t="shared" si="243"/>
        <v xml:space="preserve"> </v>
      </c>
      <c r="AV418" s="121" t="str">
        <f t="shared" si="243"/>
        <v xml:space="preserve"> </v>
      </c>
      <c r="AW418" s="130" t="str">
        <f t="shared" si="244"/>
        <v>100</v>
      </c>
      <c r="AX418" s="130" t="str">
        <f t="shared" si="244"/>
        <v xml:space="preserve"> </v>
      </c>
      <c r="AY418" s="130" t="str">
        <f t="shared" si="244"/>
        <v xml:space="preserve"> </v>
      </c>
      <c r="AZ418" s="130" t="str">
        <f t="shared" si="244"/>
        <v xml:space="preserve"> </v>
      </c>
      <c r="BA418" s="121">
        <f t="shared" si="227"/>
        <v>110564.74814025105</v>
      </c>
      <c r="BB418" s="121">
        <f t="shared" si="228"/>
        <v>0</v>
      </c>
      <c r="BC418" s="121">
        <f t="shared" si="229"/>
        <v>0</v>
      </c>
      <c r="BD418" s="121">
        <f t="shared" si="230"/>
        <v>0</v>
      </c>
      <c r="BE418" s="121">
        <f t="shared" si="231"/>
        <v>0</v>
      </c>
      <c r="BF418" s="121">
        <f t="shared" si="232"/>
        <v>0</v>
      </c>
      <c r="BG418" s="121">
        <f t="shared" si="233"/>
        <v>0</v>
      </c>
      <c r="BH418" s="121">
        <f t="shared" si="234"/>
        <v>0</v>
      </c>
      <c r="BI418" s="121">
        <f t="shared" si="235"/>
        <v>0</v>
      </c>
      <c r="BJ418" s="121">
        <f t="shared" si="236"/>
        <v>0</v>
      </c>
      <c r="BK418" s="121">
        <f t="shared" si="237"/>
        <v>0</v>
      </c>
      <c r="BL418" s="121">
        <f t="shared" si="238"/>
        <v>0</v>
      </c>
      <c r="BM418" s="121">
        <f t="shared" si="239"/>
        <v>0</v>
      </c>
      <c r="BN418" s="121">
        <f t="shared" si="240"/>
        <v>0</v>
      </c>
      <c r="BO418" s="121">
        <f t="shared" si="241"/>
        <v>0</v>
      </c>
      <c r="BP418" s="121">
        <f t="shared" si="242"/>
        <v>0</v>
      </c>
      <c r="BQ418" s="199">
        <f>INDEX('GDP deflators'!$C$6:$M$36,MATCH('Bottom-up tagging'!$D418,'GDP deflators'!$B$6:$B$36,),MATCH('Bottom-up tagging'!$E418,'GDP deflators'!$C$5:$L$5,))/100</f>
        <v>1.4111098032990623</v>
      </c>
      <c r="BR418" s="24">
        <v>156019</v>
      </c>
    </row>
    <row r="419" spans="2:70" ht="26.15" hidden="1" customHeight="1">
      <c r="B419" s="110" t="s">
        <v>641</v>
      </c>
      <c r="C419" s="110" t="s">
        <v>645</v>
      </c>
      <c r="D419" s="110" t="s">
        <v>3994</v>
      </c>
      <c r="E419" s="103">
        <v>2018</v>
      </c>
      <c r="F419" s="108" t="s">
        <v>8736</v>
      </c>
      <c r="G419" s="111" t="s">
        <v>109</v>
      </c>
      <c r="H419" s="110" t="s">
        <v>10451</v>
      </c>
      <c r="I419" s="112">
        <f>IF(Dashboard!$B$16="Current USD",'Bottom-up tagging'!BR419,'Bottom-up tagging'!BR419/'Bottom-up tagging'!BQ419)</f>
        <v>104125.43922045079</v>
      </c>
      <c r="J419" s="105" t="s">
        <v>10474</v>
      </c>
      <c r="K419" s="112"/>
      <c r="L419" s="135">
        <v>1</v>
      </c>
      <c r="M419" s="135">
        <v>1</v>
      </c>
      <c r="N419" s="112"/>
      <c r="O419" s="112"/>
      <c r="P419" s="112" t="str">
        <f>VLOOKUP(B419, 'Companies covered restructured'!$B$7:$K$470, 9, FALSE)</f>
        <v>Irrigation systems</v>
      </c>
      <c r="Q419" s="112" t="str">
        <f>VLOOKUP(B419, 'Companies covered restructured'!$B$7:$K$470, 6, FALSE)</f>
        <v>#Crops(100)</v>
      </c>
      <c r="R419" s="112" t="str">
        <f t="shared" si="214"/>
        <v>#Corporate(100)</v>
      </c>
      <c r="S419" s="112" t="s">
        <v>11003</v>
      </c>
      <c r="T419" s="112" t="s">
        <v>10466</v>
      </c>
      <c r="U419" s="103" t="s">
        <v>10970</v>
      </c>
      <c r="V419" s="212" t="s">
        <v>10977</v>
      </c>
      <c r="W419" s="112" t="str">
        <f>VLOOKUP(B419, 'Companies covered restructured'!$B$7:$K$470, 7, FALSE)</f>
        <v>#Farm/Household(100)</v>
      </c>
      <c r="X419" s="112" t="s">
        <v>10558</v>
      </c>
      <c r="Y419" s="212" t="str">
        <f>VLOOKUP(P419, 'Bottom-up Tagging Assumptions'!$B$12:$C$56, 2, FALSE)</f>
        <v>#Other Economic(P); Environmental(S)</v>
      </c>
      <c r="Z419" s="112" t="str">
        <f>VLOOKUP(P419, 'Bottom-up Tagging Assumptions'!$B$12:$F$56, 3, FALSE)</f>
        <v>#Waste reduction(P)</v>
      </c>
      <c r="AA419" s="112" t="str">
        <f>VLOOKUP(P419, 'Bottom-up Tagging Assumptions'!$B$12:$F$56, 4, FALSE)</f>
        <v>#Level 1(100)</v>
      </c>
      <c r="AB419" s="110" t="s">
        <v>1769</v>
      </c>
      <c r="AC419" s="110"/>
      <c r="AD419" s="110" t="s">
        <v>1770</v>
      </c>
      <c r="AE419" s="110" t="str">
        <f>VLOOKUP(AD419,  '1.2'!$B$7:$C$2033, 2, FALSE)</f>
        <v>CORPORATE_INVESTOR</v>
      </c>
      <c r="AF419" s="112">
        <v>94500000</v>
      </c>
      <c r="AG419" s="110" t="s">
        <v>633</v>
      </c>
      <c r="AH419" s="121">
        <f t="shared" si="215"/>
        <v>1</v>
      </c>
      <c r="AI419" s="121">
        <f t="shared" si="216"/>
        <v>0</v>
      </c>
      <c r="AJ419" s="121">
        <f t="shared" si="217"/>
        <v>1</v>
      </c>
      <c r="AK419" s="121">
        <f t="shared" si="218"/>
        <v>0</v>
      </c>
      <c r="AL419" s="121">
        <f t="shared" si="219"/>
        <v>0</v>
      </c>
      <c r="AM419" s="121">
        <f t="shared" si="220"/>
        <v>0</v>
      </c>
      <c r="AN419" s="121">
        <f t="shared" si="221"/>
        <v>1</v>
      </c>
      <c r="AO419" s="121">
        <f t="shared" si="222"/>
        <v>0</v>
      </c>
      <c r="AP419" s="22">
        <f t="shared" si="223"/>
        <v>0</v>
      </c>
      <c r="AQ419" s="22">
        <f t="shared" si="224"/>
        <v>104125.43922045079</v>
      </c>
      <c r="AR419" s="22">
        <f t="shared" si="225"/>
        <v>0</v>
      </c>
      <c r="AS419" s="121" t="str">
        <f t="shared" si="226"/>
        <v>Crops</v>
      </c>
      <c r="AT419" s="121" t="str">
        <f t="shared" si="243"/>
        <v xml:space="preserve"> </v>
      </c>
      <c r="AU419" s="121" t="str">
        <f t="shared" si="243"/>
        <v xml:space="preserve"> </v>
      </c>
      <c r="AV419" s="121" t="str">
        <f t="shared" si="243"/>
        <v xml:space="preserve"> </v>
      </c>
      <c r="AW419" s="130" t="str">
        <f t="shared" si="244"/>
        <v>100</v>
      </c>
      <c r="AX419" s="130" t="str">
        <f t="shared" si="244"/>
        <v xml:space="preserve"> </v>
      </c>
      <c r="AY419" s="130" t="str">
        <f t="shared" si="244"/>
        <v xml:space="preserve"> </v>
      </c>
      <c r="AZ419" s="130" t="str">
        <f t="shared" si="244"/>
        <v xml:space="preserve"> </v>
      </c>
      <c r="BA419" s="121">
        <f t="shared" si="227"/>
        <v>104125.43922045077</v>
      </c>
      <c r="BB419" s="121">
        <f t="shared" si="228"/>
        <v>0</v>
      </c>
      <c r="BC419" s="121">
        <f t="shared" si="229"/>
        <v>0</v>
      </c>
      <c r="BD419" s="121">
        <f t="shared" si="230"/>
        <v>0</v>
      </c>
      <c r="BE419" s="121">
        <f t="shared" si="231"/>
        <v>0</v>
      </c>
      <c r="BF419" s="121">
        <f t="shared" si="232"/>
        <v>0</v>
      </c>
      <c r="BG419" s="121">
        <f t="shared" si="233"/>
        <v>0</v>
      </c>
      <c r="BH419" s="121">
        <f t="shared" si="234"/>
        <v>0</v>
      </c>
      <c r="BI419" s="121">
        <f t="shared" si="235"/>
        <v>104125.43922045077</v>
      </c>
      <c r="BJ419" s="121">
        <f t="shared" si="236"/>
        <v>104125.43922045079</v>
      </c>
      <c r="BK419" s="121">
        <f t="shared" si="237"/>
        <v>104125.43922045079</v>
      </c>
      <c r="BL419" s="121">
        <f t="shared" si="238"/>
        <v>104125.43922045079</v>
      </c>
      <c r="BM419" s="121">
        <f t="shared" si="239"/>
        <v>0</v>
      </c>
      <c r="BN419" s="121">
        <f t="shared" si="240"/>
        <v>0</v>
      </c>
      <c r="BO419" s="121">
        <f t="shared" si="241"/>
        <v>0</v>
      </c>
      <c r="BP419" s="121">
        <f t="shared" si="242"/>
        <v>0</v>
      </c>
      <c r="BQ419" s="199">
        <f>INDEX('GDP deflators'!$C$6:$M$36,MATCH('Bottom-up tagging'!$D419,'GDP deflators'!$B$6:$B$36,),MATCH('Bottom-up tagging'!$E419,'GDP deflators'!$C$5:$L$5,))/100</f>
        <v>1.4753935363936217</v>
      </c>
      <c r="BR419" s="24">
        <v>153626</v>
      </c>
    </row>
    <row r="420" spans="2:70" ht="26.15" hidden="1" customHeight="1">
      <c r="B420" s="110" t="s">
        <v>2516</v>
      </c>
      <c r="C420" s="110" t="s">
        <v>2518</v>
      </c>
      <c r="D420" s="110" t="s">
        <v>2057</v>
      </c>
      <c r="E420" s="103">
        <v>2016</v>
      </c>
      <c r="F420" s="108" t="s">
        <v>9275</v>
      </c>
      <c r="G420" s="111" t="s">
        <v>34</v>
      </c>
      <c r="H420" s="110" t="s">
        <v>10451</v>
      </c>
      <c r="I420" s="112">
        <f>IF(Dashboard!$B$16="Current USD",'Bottom-up tagging'!BR420,'Bottom-up tagging'!BR420/'Bottom-up tagging'!BQ420)</f>
        <v>131308.06830799606</v>
      </c>
      <c r="J420" s="118" t="s">
        <v>10474</v>
      </c>
      <c r="K420" s="112"/>
      <c r="L420" s="135">
        <v>1</v>
      </c>
      <c r="M420" s="135">
        <v>1</v>
      </c>
      <c r="N420" s="112"/>
      <c r="O420" s="112"/>
      <c r="P420" s="112" t="str">
        <f>VLOOKUP(B420, 'Companies covered restructured'!$B$7:$K$470, 9, FALSE)</f>
        <v>Agri marketplaces</v>
      </c>
      <c r="Q420" s="112" t="str">
        <f>VLOOKUP(B420, 'Companies covered restructured'!$B$7:$K$470, 6, FALSE)</f>
        <v>#Fisheries and Aquaculture(100)</v>
      </c>
      <c r="R420" s="112" t="str">
        <f t="shared" si="214"/>
        <v>N/A</v>
      </c>
      <c r="S420" s="112" t="s">
        <v>11003</v>
      </c>
      <c r="T420" s="112" t="s">
        <v>10466</v>
      </c>
      <c r="U420" s="103" t="s">
        <v>10970</v>
      </c>
      <c r="V420" s="112" t="str">
        <f>VLOOKUP(P420, 'Bottom-up Tagging Assumptions'!$B$12:$F$39, 5, FALSE)</f>
        <v>#Process Innovation(100)</v>
      </c>
      <c r="W420" s="112" t="str">
        <f>VLOOKUP(B420, 'Companies covered restructured'!$B$7:$K$470, 7, FALSE)</f>
        <v>#Field/Animal Herd(100)</v>
      </c>
      <c r="X420" s="112" t="str">
        <f>VLOOKUP(B420, 'Companies covered restructured'!$B$7:$K$470, 8, FALSE)</f>
        <v>N/A</v>
      </c>
      <c r="Y420" s="212" t="str">
        <f>VLOOKUP(P420, 'Bottom-up Tagging Assumptions'!$B$12:$C$56, 2, FALSE)</f>
        <v>#Other Economic(P); Social(S)</v>
      </c>
      <c r="Z420" s="112" t="str">
        <f>VLOOKUP(P420, 'Bottom-up Tagging Assumptions'!$B$12:$F$56, 3, FALSE)</f>
        <v>#Improve price realization(P)</v>
      </c>
      <c r="AA420" s="112" t="str">
        <f>VLOOKUP(P420, 'Bottom-up Tagging Assumptions'!$B$12:$F$56, 4, FALSE)</f>
        <v>#Level 4(100)</v>
      </c>
      <c r="AB420" s="110"/>
      <c r="AC420" s="110"/>
      <c r="AD420" s="110"/>
      <c r="AE420" s="110" t="s">
        <v>10558</v>
      </c>
      <c r="AF420" s="112">
        <v>1800000</v>
      </c>
      <c r="AG420" s="110" t="s">
        <v>2241</v>
      </c>
      <c r="AH420" s="121">
        <f t="shared" si="215"/>
        <v>0</v>
      </c>
      <c r="AI420" s="121">
        <f t="shared" si="216"/>
        <v>0</v>
      </c>
      <c r="AJ420" s="121">
        <f t="shared" si="217"/>
        <v>1</v>
      </c>
      <c r="AK420" s="121">
        <f t="shared" si="218"/>
        <v>1</v>
      </c>
      <c r="AL420" s="121">
        <f t="shared" si="219"/>
        <v>0</v>
      </c>
      <c r="AM420" s="121">
        <f t="shared" si="220"/>
        <v>0</v>
      </c>
      <c r="AN420" s="121">
        <f t="shared" si="221"/>
        <v>1</v>
      </c>
      <c r="AO420" s="121">
        <f t="shared" si="222"/>
        <v>0</v>
      </c>
      <c r="AP420" s="22">
        <f t="shared" si="223"/>
        <v>0</v>
      </c>
      <c r="AQ420" s="22">
        <f t="shared" si="224"/>
        <v>131308.06830799606</v>
      </c>
      <c r="AR420" s="22">
        <f t="shared" si="225"/>
        <v>0</v>
      </c>
      <c r="AS420" s="121" t="str">
        <f t="shared" si="226"/>
        <v>Fisheries and Aquaculture</v>
      </c>
      <c r="AT420" s="121" t="str">
        <f t="shared" si="243"/>
        <v xml:space="preserve"> </v>
      </c>
      <c r="AU420" s="121" t="str">
        <f t="shared" si="243"/>
        <v xml:space="preserve"> </v>
      </c>
      <c r="AV420" s="121" t="str">
        <f t="shared" si="243"/>
        <v xml:space="preserve"> </v>
      </c>
      <c r="AW420" s="130" t="str">
        <f t="shared" si="244"/>
        <v>100</v>
      </c>
      <c r="AX420" s="130" t="str">
        <f t="shared" si="244"/>
        <v xml:space="preserve"> </v>
      </c>
      <c r="AY420" s="130" t="str">
        <f t="shared" si="244"/>
        <v xml:space="preserve"> </v>
      </c>
      <c r="AZ420" s="130" t="str">
        <f t="shared" si="244"/>
        <v xml:space="preserve"> </v>
      </c>
      <c r="BA420" s="121">
        <f t="shared" si="227"/>
        <v>131308.06830799606</v>
      </c>
      <c r="BB420" s="121">
        <f t="shared" si="228"/>
        <v>0</v>
      </c>
      <c r="BC420" s="121">
        <f t="shared" si="229"/>
        <v>0</v>
      </c>
      <c r="BD420" s="121">
        <f t="shared" si="230"/>
        <v>0</v>
      </c>
      <c r="BE420" s="121">
        <f t="shared" si="231"/>
        <v>0</v>
      </c>
      <c r="BF420" s="121">
        <f t="shared" si="232"/>
        <v>0</v>
      </c>
      <c r="BG420" s="121">
        <f t="shared" si="233"/>
        <v>0</v>
      </c>
      <c r="BH420" s="121">
        <f t="shared" si="234"/>
        <v>0</v>
      </c>
      <c r="BI420" s="121">
        <f t="shared" si="235"/>
        <v>131308.06830799606</v>
      </c>
      <c r="BJ420" s="121">
        <f t="shared" si="236"/>
        <v>131308.06830799606</v>
      </c>
      <c r="BK420" s="121">
        <f t="shared" si="237"/>
        <v>131308.06830799606</v>
      </c>
      <c r="BL420" s="121">
        <f t="shared" si="238"/>
        <v>131308.06830799606</v>
      </c>
      <c r="BM420" s="121">
        <f t="shared" si="239"/>
        <v>0</v>
      </c>
      <c r="BN420" s="121">
        <f t="shared" si="240"/>
        <v>0</v>
      </c>
      <c r="BO420" s="121">
        <f t="shared" si="241"/>
        <v>0</v>
      </c>
      <c r="BP420" s="121">
        <f t="shared" si="242"/>
        <v>0</v>
      </c>
      <c r="BQ420" s="199">
        <f>INDEX('GDP deflators'!$C$6:$M$36,MATCH('Bottom-up tagging'!$D420,'GDP deflators'!$B$6:$B$36,),MATCH('Bottom-up tagging'!$E420,'GDP deflators'!$C$5:$L$5,))/100</f>
        <v>1.1575830941589131</v>
      </c>
      <c r="BR420" s="24">
        <v>152000</v>
      </c>
    </row>
    <row r="421" spans="2:70" ht="26.15" hidden="1" customHeight="1">
      <c r="B421" s="110" t="s">
        <v>477</v>
      </c>
      <c r="C421" s="110" t="s">
        <v>481</v>
      </c>
      <c r="D421" s="110" t="s">
        <v>3994</v>
      </c>
      <c r="E421" s="103">
        <v>2020</v>
      </c>
      <c r="F421" s="108" t="s">
        <v>5109</v>
      </c>
      <c r="G421" s="111" t="s">
        <v>34</v>
      </c>
      <c r="H421" s="110" t="s">
        <v>10451</v>
      </c>
      <c r="I421" s="212">
        <v>0</v>
      </c>
      <c r="J421" s="105" t="s">
        <v>10474</v>
      </c>
      <c r="K421" s="112"/>
      <c r="L421" s="135">
        <v>1</v>
      </c>
      <c r="M421" s="135">
        <v>1</v>
      </c>
      <c r="N421" s="112"/>
      <c r="O421" s="112"/>
      <c r="P421" s="112" t="str">
        <f>VLOOKUP(B421, 'Companies covered restructured'!$B$7:$K$470, 9, FALSE)</f>
        <v>Agri marketplaces</v>
      </c>
      <c r="Q421" s="112" t="str">
        <f>VLOOKUP(B421, 'Companies covered restructured'!$B$7:$K$470, 6, FALSE)</f>
        <v>#Crops(100)</v>
      </c>
      <c r="R421" s="112" t="str">
        <f t="shared" si="214"/>
        <v>#Investment Fund(100)</v>
      </c>
      <c r="S421" s="112" t="s">
        <v>11003</v>
      </c>
      <c r="T421" s="112" t="s">
        <v>10466</v>
      </c>
      <c r="U421" s="103" t="s">
        <v>10970</v>
      </c>
      <c r="V421" s="112" t="str">
        <f>VLOOKUP(P421, 'Bottom-up Tagging Assumptions'!$B$12:$F$39, 5, FALSE)</f>
        <v>#Process Innovation(100)</v>
      </c>
      <c r="W421" s="112" t="str">
        <f>VLOOKUP(B421, 'Companies covered restructured'!$B$7:$K$470, 7, FALSE)</f>
        <v>#Farm/Household(100)</v>
      </c>
      <c r="X421" s="112" t="s">
        <v>10558</v>
      </c>
      <c r="Y421" s="112" t="str">
        <f>VLOOKUP(P421, '[2]Bottom-up Tagging Assumptions'!$B$12:$F$56, 2, FALSE)</f>
        <v>#Other Economic(P); Social(S)</v>
      </c>
      <c r="Z421" s="112" t="str">
        <f>VLOOKUP(P421, 'Bottom-up Tagging Assumptions'!$B$12:$F$56, 3, FALSE)</f>
        <v>#Improve price realization(P)</v>
      </c>
      <c r="AA421" s="112" t="str">
        <f>VLOOKUP(P421, 'Bottom-up Tagging Assumptions'!$B$12:$F$56, 4, FALSE)</f>
        <v>#Level 4(100)</v>
      </c>
      <c r="AB421" s="110" t="s">
        <v>479</v>
      </c>
      <c r="AC421" s="110"/>
      <c r="AD421" s="110" t="s">
        <v>480</v>
      </c>
      <c r="AE421" s="110" t="str">
        <f>VLOOKUP(AD421,  '1.2'!$B$7:$C$2033, 2, FALSE)</f>
        <v>FUND</v>
      </c>
      <c r="AF421" s="112"/>
      <c r="AG421" s="110" t="s">
        <v>2624</v>
      </c>
      <c r="AH421" s="121">
        <f t="shared" si="215"/>
        <v>0</v>
      </c>
      <c r="AI421" s="121">
        <f t="shared" si="216"/>
        <v>0</v>
      </c>
      <c r="AJ421" s="121">
        <f t="shared" si="217"/>
        <v>1</v>
      </c>
      <c r="AK421" s="121">
        <f t="shared" si="218"/>
        <v>1</v>
      </c>
      <c r="AL421" s="121">
        <f t="shared" si="219"/>
        <v>0</v>
      </c>
      <c r="AM421" s="121">
        <f t="shared" si="220"/>
        <v>0</v>
      </c>
      <c r="AN421" s="121">
        <f t="shared" si="221"/>
        <v>1</v>
      </c>
      <c r="AO421" s="121">
        <f t="shared" si="222"/>
        <v>0</v>
      </c>
      <c r="AP421" s="22">
        <f t="shared" si="223"/>
        <v>0</v>
      </c>
      <c r="AQ421" s="22">
        <f t="shared" si="224"/>
        <v>0</v>
      </c>
      <c r="AR421" s="22">
        <f t="shared" si="225"/>
        <v>0</v>
      </c>
      <c r="AS421" s="121" t="str">
        <f t="shared" si="226"/>
        <v>Crops</v>
      </c>
      <c r="AT421" s="121" t="str">
        <f t="shared" si="243"/>
        <v xml:space="preserve"> </v>
      </c>
      <c r="AU421" s="121" t="str">
        <f t="shared" si="243"/>
        <v xml:space="preserve"> </v>
      </c>
      <c r="AV421" s="121" t="str">
        <f t="shared" si="243"/>
        <v xml:space="preserve"> </v>
      </c>
      <c r="AW421" s="130" t="str">
        <f t="shared" si="244"/>
        <v>100</v>
      </c>
      <c r="AX421" s="130" t="str">
        <f t="shared" si="244"/>
        <v xml:space="preserve"> </v>
      </c>
      <c r="AY421" s="130" t="str">
        <f t="shared" si="244"/>
        <v xml:space="preserve"> </v>
      </c>
      <c r="AZ421" s="130" t="str">
        <f t="shared" si="244"/>
        <v xml:space="preserve"> </v>
      </c>
      <c r="BA421" s="121">
        <f t="shared" si="227"/>
        <v>0</v>
      </c>
      <c r="BB421" s="121">
        <f t="shared" si="228"/>
        <v>0</v>
      </c>
      <c r="BC421" s="121">
        <f t="shared" si="229"/>
        <v>0</v>
      </c>
      <c r="BD421" s="121">
        <f t="shared" si="230"/>
        <v>0</v>
      </c>
      <c r="BE421" s="121">
        <f t="shared" si="231"/>
        <v>0</v>
      </c>
      <c r="BF421" s="121">
        <f t="shared" si="232"/>
        <v>0</v>
      </c>
      <c r="BG421" s="121">
        <f t="shared" si="233"/>
        <v>0</v>
      </c>
      <c r="BH421" s="121">
        <f t="shared" si="234"/>
        <v>0</v>
      </c>
      <c r="BI421" s="121">
        <f t="shared" si="235"/>
        <v>0</v>
      </c>
      <c r="BJ421" s="121">
        <f t="shared" si="236"/>
        <v>0</v>
      </c>
      <c r="BK421" s="121">
        <f t="shared" si="237"/>
        <v>0</v>
      </c>
      <c r="BL421" s="121">
        <f t="shared" si="238"/>
        <v>0</v>
      </c>
      <c r="BM421" s="121">
        <f t="shared" si="239"/>
        <v>0</v>
      </c>
      <c r="BN421" s="121">
        <f t="shared" si="240"/>
        <v>0</v>
      </c>
      <c r="BO421" s="121">
        <f t="shared" si="241"/>
        <v>0</v>
      </c>
      <c r="BP421" s="121">
        <f t="shared" si="242"/>
        <v>0</v>
      </c>
      <c r="BQ421" s="199" t="e">
        <f>INDEX('GDP deflators'!$C$6:$M$36,MATCH('Bottom-up tagging'!$D421,'GDP deflators'!$B$6:$B$36,),MATCH('Bottom-up tagging'!$E421,'GDP deflators'!$C$5:$L$5,))/100</f>
        <v>#N/A</v>
      </c>
      <c r="BR421" s="24">
        <v>150000</v>
      </c>
    </row>
    <row r="422" spans="2:70" ht="26.15" hidden="1" customHeight="1">
      <c r="B422" s="110" t="s">
        <v>59</v>
      </c>
      <c r="C422" s="110" t="s">
        <v>64</v>
      </c>
      <c r="D422" s="110" t="s">
        <v>3994</v>
      </c>
      <c r="E422" s="103">
        <v>2019</v>
      </c>
      <c r="F422" s="108" t="s">
        <v>6968</v>
      </c>
      <c r="G422" s="111" t="s">
        <v>34</v>
      </c>
      <c r="H422" s="110" t="s">
        <v>10451</v>
      </c>
      <c r="I422" s="112">
        <f>IF(Dashboard!$B$16="Current USD",'Bottom-up tagging'!BR422,'Bottom-up tagging'!BR422/'Bottom-up tagging'!BQ422)</f>
        <v>99371.41633243626</v>
      </c>
      <c r="J422" s="117" t="s">
        <v>10474</v>
      </c>
      <c r="K422" s="112"/>
      <c r="L422" s="135">
        <v>1</v>
      </c>
      <c r="M422" s="135">
        <v>1</v>
      </c>
      <c r="N422" s="112"/>
      <c r="O422" s="112"/>
      <c r="P422" s="112" t="str">
        <f>VLOOKUP(B422, 'Companies covered restructured'!$B$7:$K$470, 9, FALSE)</f>
        <v>Agri marketplaces</v>
      </c>
      <c r="Q422" s="112" t="str">
        <f>VLOOKUP(B422, 'Companies covered restructured'!$B$7:$K$470, 6, FALSE)</f>
        <v>#Crops(100)</v>
      </c>
      <c r="R422" s="112" t="str">
        <f t="shared" si="214"/>
        <v>#Corporate(100)</v>
      </c>
      <c r="S422" s="112" t="s">
        <v>11003</v>
      </c>
      <c r="T422" s="112" t="s">
        <v>10466</v>
      </c>
      <c r="U422" s="103" t="s">
        <v>10970</v>
      </c>
      <c r="V422" s="112" t="str">
        <f>VLOOKUP(P422, 'Bottom-up Tagging Assumptions'!$B$12:$F$39, 5, FALSE)</f>
        <v>#Process Innovation(100)</v>
      </c>
      <c r="W422" s="112" t="str">
        <f>VLOOKUP(B422, 'Companies covered restructured'!$B$7:$K$470, 7, FALSE)</f>
        <v>#Farm/Household(100)</v>
      </c>
      <c r="X422" s="112" t="s">
        <v>10558</v>
      </c>
      <c r="Y422" s="212" t="str">
        <f>VLOOKUP(P422, 'Bottom-up Tagging Assumptions'!$B$12:$C$56, 2, FALSE)</f>
        <v>#Other Economic(P); Social(S)</v>
      </c>
      <c r="Z422" s="112" t="str">
        <f>VLOOKUP(P422, 'Bottom-up Tagging Assumptions'!$B$12:$F$56, 3, FALSE)</f>
        <v>#Improve price realization(P)</v>
      </c>
      <c r="AA422" s="112" t="str">
        <f>VLOOKUP(P422, 'Bottom-up Tagging Assumptions'!$B$12:$F$56, 4, FALSE)</f>
        <v>#Level 4(100)</v>
      </c>
      <c r="AB422" s="110" t="s">
        <v>662</v>
      </c>
      <c r="AC422" s="110"/>
      <c r="AD422" s="110" t="s">
        <v>663</v>
      </c>
      <c r="AE422" s="110" t="str">
        <f>VLOOKUP(AD422,  '1.2'!$B$7:$C$2033, 2, FALSE)</f>
        <v>CORPORATE_INVESTOR</v>
      </c>
      <c r="AF422" s="112">
        <v>7200000</v>
      </c>
      <c r="AG422" s="110" t="s">
        <v>2629</v>
      </c>
      <c r="AH422" s="121">
        <f t="shared" si="215"/>
        <v>0</v>
      </c>
      <c r="AI422" s="121">
        <f t="shared" si="216"/>
        <v>0</v>
      </c>
      <c r="AJ422" s="121">
        <f t="shared" si="217"/>
        <v>1</v>
      </c>
      <c r="AK422" s="121">
        <f t="shared" si="218"/>
        <v>1</v>
      </c>
      <c r="AL422" s="121">
        <f t="shared" si="219"/>
        <v>0</v>
      </c>
      <c r="AM422" s="121">
        <f t="shared" si="220"/>
        <v>0</v>
      </c>
      <c r="AN422" s="121">
        <f t="shared" si="221"/>
        <v>1</v>
      </c>
      <c r="AO422" s="121">
        <f t="shared" si="222"/>
        <v>0</v>
      </c>
      <c r="AP422" s="22">
        <f t="shared" si="223"/>
        <v>0</v>
      </c>
      <c r="AQ422" s="22">
        <f t="shared" si="224"/>
        <v>99371.41633243626</v>
      </c>
      <c r="AR422" s="22">
        <f t="shared" si="225"/>
        <v>0</v>
      </c>
      <c r="AS422" s="121" t="str">
        <f t="shared" si="226"/>
        <v>Crops</v>
      </c>
      <c r="AT422" s="121" t="str">
        <f t="shared" si="243"/>
        <v xml:space="preserve"> </v>
      </c>
      <c r="AU422" s="121" t="str">
        <f t="shared" si="243"/>
        <v xml:space="preserve"> </v>
      </c>
      <c r="AV422" s="121" t="str">
        <f t="shared" si="243"/>
        <v xml:space="preserve"> </v>
      </c>
      <c r="AW422" s="130" t="str">
        <f t="shared" si="244"/>
        <v>100</v>
      </c>
      <c r="AX422" s="130" t="str">
        <f t="shared" si="244"/>
        <v xml:space="preserve"> </v>
      </c>
      <c r="AY422" s="130" t="str">
        <f t="shared" si="244"/>
        <v xml:space="preserve"> </v>
      </c>
      <c r="AZ422" s="130" t="str">
        <f t="shared" si="244"/>
        <v xml:space="preserve"> </v>
      </c>
      <c r="BA422" s="121">
        <f t="shared" si="227"/>
        <v>99371.41633243626</v>
      </c>
      <c r="BB422" s="121">
        <f t="shared" si="228"/>
        <v>0</v>
      </c>
      <c r="BC422" s="121">
        <f t="shared" si="229"/>
        <v>0</v>
      </c>
      <c r="BD422" s="121">
        <f t="shared" si="230"/>
        <v>0</v>
      </c>
      <c r="BE422" s="121">
        <f t="shared" si="231"/>
        <v>0</v>
      </c>
      <c r="BF422" s="121">
        <f t="shared" si="232"/>
        <v>0</v>
      </c>
      <c r="BG422" s="121">
        <f t="shared" si="233"/>
        <v>0</v>
      </c>
      <c r="BH422" s="121">
        <f t="shared" si="234"/>
        <v>0</v>
      </c>
      <c r="BI422" s="121">
        <f t="shared" si="235"/>
        <v>99371.41633243626</v>
      </c>
      <c r="BJ422" s="121">
        <f t="shared" si="236"/>
        <v>99371.41633243626</v>
      </c>
      <c r="BK422" s="121">
        <f t="shared" si="237"/>
        <v>99371.41633243626</v>
      </c>
      <c r="BL422" s="121">
        <f t="shared" si="238"/>
        <v>99371.41633243626</v>
      </c>
      <c r="BM422" s="121">
        <f t="shared" si="239"/>
        <v>0</v>
      </c>
      <c r="BN422" s="121">
        <f t="shared" si="240"/>
        <v>0</v>
      </c>
      <c r="BO422" s="121">
        <f t="shared" si="241"/>
        <v>0</v>
      </c>
      <c r="BP422" s="121">
        <f t="shared" si="242"/>
        <v>0</v>
      </c>
      <c r="BQ422" s="199">
        <f>INDEX('GDP deflators'!$C$6:$M$36,MATCH('Bottom-up tagging'!$D422,'GDP deflators'!$B$6:$B$36,),MATCH('Bottom-up tagging'!$E422,'GDP deflators'!$C$5:$L$5,))/100</f>
        <v>1.5094883975306472</v>
      </c>
      <c r="BR422" s="24">
        <v>150000</v>
      </c>
    </row>
    <row r="423" spans="2:70" ht="26.15" hidden="1" customHeight="1">
      <c r="B423" s="110" t="s">
        <v>790</v>
      </c>
      <c r="C423" s="110" t="s">
        <v>793</v>
      </c>
      <c r="D423" s="110" t="s">
        <v>6213</v>
      </c>
      <c r="E423" s="103">
        <v>2019</v>
      </c>
      <c r="F423" s="108" t="s">
        <v>6948</v>
      </c>
      <c r="G423" s="111" t="s">
        <v>34</v>
      </c>
      <c r="H423" s="110" t="s">
        <v>10451</v>
      </c>
      <c r="I423" s="112">
        <f>IF(Dashboard!$B$16="Current USD",'Bottom-up tagging'!BR423,'Bottom-up tagging'!BR423/'Bottom-up tagging'!BQ423)</f>
        <v>74252.801447870152</v>
      </c>
      <c r="J423" s="118" t="s">
        <v>10474</v>
      </c>
      <c r="K423" s="112"/>
      <c r="L423" s="135">
        <v>1</v>
      </c>
      <c r="M423" s="135">
        <v>1</v>
      </c>
      <c r="N423" s="112"/>
      <c r="O423" s="112"/>
      <c r="P423" s="112" t="str">
        <f>VLOOKUP(B423, 'Companies covered restructured'!$B$7:$K$470, 9, FALSE)</f>
        <v xml:space="preserve">Agriculture financing systems </v>
      </c>
      <c r="Q423" s="112" t="str">
        <f>VLOOKUP(B423, 'Companies covered restructured'!$B$7:$K$470, 6, FALSE)</f>
        <v>#Cross-cutting(100)</v>
      </c>
      <c r="R423" s="112" t="str">
        <f t="shared" si="214"/>
        <v>N/A</v>
      </c>
      <c r="S423" s="112" t="s">
        <v>11003</v>
      </c>
      <c r="T423" s="112" t="s">
        <v>10466</v>
      </c>
      <c r="U423" s="103" t="s">
        <v>10970</v>
      </c>
      <c r="V423" s="112" t="str">
        <f>VLOOKUP(P423, 'Bottom-up Tagging Assumptions'!$B$12:$F$39, 5, FALSE)</f>
        <v>#Process Innovation(100)</v>
      </c>
      <c r="W423" s="112" t="str">
        <f>VLOOKUP(B423, 'Companies covered restructured'!$B$7:$K$470, 7, FALSE)</f>
        <v>#Landscape(100)</v>
      </c>
      <c r="X423" s="112" t="s">
        <v>10558</v>
      </c>
      <c r="Y423" s="212" t="str">
        <f>VLOOKUP(P423, 'Bottom-up Tagging Assumptions'!$B$12:$C$56, 2, FALSE)</f>
        <v>#Other Economic(P); Social(S)</v>
      </c>
      <c r="Z423" s="112" t="str">
        <f>VLOOKUP(P423, 'Bottom-up Tagging Assumptions'!$B$12:$F$56, 3, FALSE)</f>
        <v>NA</v>
      </c>
      <c r="AA423" s="112" t="str">
        <f>VLOOKUP(P423, 'Bottom-up Tagging Assumptions'!$B$12:$F$56, 4, FALSE)</f>
        <v>#Level 1(100)</v>
      </c>
      <c r="AB423" s="110" t="s">
        <v>479</v>
      </c>
      <c r="AC423" s="110"/>
      <c r="AD423" s="110"/>
      <c r="AE423" s="110" t="s">
        <v>10558</v>
      </c>
      <c r="AF423" s="112"/>
      <c r="AG423" s="110" t="s">
        <v>2647</v>
      </c>
      <c r="AH423" s="121">
        <f t="shared" si="215"/>
        <v>0</v>
      </c>
      <c r="AI423" s="121">
        <f t="shared" si="216"/>
        <v>0</v>
      </c>
      <c r="AJ423" s="121">
        <f t="shared" si="217"/>
        <v>1</v>
      </c>
      <c r="AK423" s="121">
        <f t="shared" si="218"/>
        <v>1</v>
      </c>
      <c r="AL423" s="121">
        <f t="shared" si="219"/>
        <v>0</v>
      </c>
      <c r="AM423" s="121">
        <f t="shared" si="220"/>
        <v>0</v>
      </c>
      <c r="AN423" s="121">
        <f t="shared" si="221"/>
        <v>1</v>
      </c>
      <c r="AO423" s="121">
        <f t="shared" si="222"/>
        <v>0</v>
      </c>
      <c r="AP423" s="22">
        <f t="shared" si="223"/>
        <v>0</v>
      </c>
      <c r="AQ423" s="22">
        <f t="shared" si="224"/>
        <v>74252.801447870152</v>
      </c>
      <c r="AR423" s="22">
        <f t="shared" si="225"/>
        <v>0</v>
      </c>
      <c r="AS423" s="121" t="str">
        <f t="shared" si="226"/>
        <v>Cross-cutting</v>
      </c>
      <c r="AT423" s="121" t="str">
        <f t="shared" si="243"/>
        <v xml:space="preserve"> </v>
      </c>
      <c r="AU423" s="121" t="str">
        <f t="shared" si="243"/>
        <v xml:space="preserve"> </v>
      </c>
      <c r="AV423" s="121" t="str">
        <f t="shared" si="243"/>
        <v xml:space="preserve"> </v>
      </c>
      <c r="AW423" s="130" t="str">
        <f t="shared" si="244"/>
        <v>100</v>
      </c>
      <c r="AX423" s="130" t="str">
        <f t="shared" si="244"/>
        <v xml:space="preserve"> </v>
      </c>
      <c r="AY423" s="130" t="str">
        <f t="shared" si="244"/>
        <v xml:space="preserve"> </v>
      </c>
      <c r="AZ423" s="130" t="str">
        <f t="shared" si="244"/>
        <v xml:space="preserve"> </v>
      </c>
      <c r="BA423" s="121">
        <f t="shared" si="227"/>
        <v>74252.801447870152</v>
      </c>
      <c r="BB423" s="121">
        <f t="shared" si="228"/>
        <v>0</v>
      </c>
      <c r="BC423" s="121">
        <f t="shared" si="229"/>
        <v>0</v>
      </c>
      <c r="BD423" s="121">
        <f t="shared" si="230"/>
        <v>0</v>
      </c>
      <c r="BE423" s="121">
        <f t="shared" si="231"/>
        <v>0</v>
      </c>
      <c r="BF423" s="121">
        <f t="shared" si="232"/>
        <v>0</v>
      </c>
      <c r="BG423" s="121">
        <f t="shared" si="233"/>
        <v>0</v>
      </c>
      <c r="BH423" s="121">
        <f t="shared" si="234"/>
        <v>0</v>
      </c>
      <c r="BI423" s="121">
        <f t="shared" si="235"/>
        <v>74252.801447870152</v>
      </c>
      <c r="BJ423" s="121">
        <f t="shared" si="236"/>
        <v>74252.801447870152</v>
      </c>
      <c r="BK423" s="121">
        <f t="shared" si="237"/>
        <v>74252.801447870152</v>
      </c>
      <c r="BL423" s="121">
        <f t="shared" si="238"/>
        <v>74252.801447870152</v>
      </c>
      <c r="BM423" s="121">
        <f t="shared" si="239"/>
        <v>0</v>
      </c>
      <c r="BN423" s="121">
        <f t="shared" si="240"/>
        <v>0</v>
      </c>
      <c r="BO423" s="121">
        <f t="shared" si="241"/>
        <v>0</v>
      </c>
      <c r="BP423" s="121">
        <f t="shared" si="242"/>
        <v>0</v>
      </c>
      <c r="BQ423" s="199">
        <f>INDEX('GDP deflators'!$C$6:$M$36,MATCH('Bottom-up tagging'!$D423,'GDP deflators'!$B$6:$B$36,),MATCH('Bottom-up tagging'!$E423,'GDP deflators'!$C$5:$L$5,))/100</f>
        <v>2.0201258009815137</v>
      </c>
      <c r="BR423" s="24">
        <v>150000</v>
      </c>
    </row>
    <row r="424" spans="2:70" ht="26.15" hidden="1" customHeight="1">
      <c r="B424" s="110" t="s">
        <v>177</v>
      </c>
      <c r="C424" s="110" t="s">
        <v>182</v>
      </c>
      <c r="D424" s="110" t="s">
        <v>3994</v>
      </c>
      <c r="E424" s="103">
        <v>2017</v>
      </c>
      <c r="F424" s="108" t="s">
        <v>7851</v>
      </c>
      <c r="G424" s="111" t="s">
        <v>184</v>
      </c>
      <c r="H424" s="110" t="s">
        <v>10451</v>
      </c>
      <c r="I424" s="112">
        <f>IF(Dashboard!$B$16="Current USD",'Bottom-up tagging'!BR424,'Bottom-up tagging'!BR424/'Bottom-up tagging'!BQ424)</f>
        <v>106299.31111619517</v>
      </c>
      <c r="J424" s="118" t="s">
        <v>10474</v>
      </c>
      <c r="K424" s="112"/>
      <c r="L424" s="135">
        <v>1</v>
      </c>
      <c r="M424" s="135">
        <v>1</v>
      </c>
      <c r="N424" s="112"/>
      <c r="O424" s="112"/>
      <c r="P424" s="112" t="str">
        <f>VLOOKUP(B424, 'Companies covered restructured'!$B$7:$K$470, 9, FALSE)</f>
        <v>Farmer engagement platforms (including marketplaces and information platforms)</v>
      </c>
      <c r="Q424" s="112" t="str">
        <f>VLOOKUP(B424, 'Companies covered restructured'!$B$7:$K$470, 6, FALSE)</f>
        <v>#Crops(100)</v>
      </c>
      <c r="R424" s="112" t="str">
        <f t="shared" si="214"/>
        <v>N/A</v>
      </c>
      <c r="S424" s="112" t="s">
        <v>11003</v>
      </c>
      <c r="T424" s="112" t="s">
        <v>10465</v>
      </c>
      <c r="U424" s="103" t="s">
        <v>10970</v>
      </c>
      <c r="V424" s="112" t="str">
        <f>VLOOKUP(P424, 'Bottom-up Tagging Assumptions'!$B$12:$F$39, 5, FALSE)</f>
        <v>#Process Innovation(100)</v>
      </c>
      <c r="W424" s="112" t="str">
        <f>VLOOKUP(B424, 'Companies covered restructured'!$B$7:$K$470, 7, FALSE)</f>
        <v>#Field/Animal Herd(100)</v>
      </c>
      <c r="X424" s="112" t="str">
        <f>VLOOKUP(B424, 'Companies covered restructured'!$B$7:$K$470, 8, FALSE)</f>
        <v>#Small(100)</v>
      </c>
      <c r="Y424" s="212" t="str">
        <f>VLOOKUP(P424, 'Bottom-up Tagging Assumptions'!$B$12:$C$56, 2, FALSE)</f>
        <v>#Other Economic(P); #Productivity(S)</v>
      </c>
      <c r="Z424" s="112" t="str">
        <f>VLOOKUP(P424, 'Bottom-up Tagging Assumptions'!$B$12:$F$56, 3, FALSE)</f>
        <v>#Improve price realization(P); #Increasing crop or animal yield(S)</v>
      </c>
      <c r="AA424" s="112" t="str">
        <f>VLOOKUP(P424, 'Bottom-up Tagging Assumptions'!$B$12:$F$56, 4, FALSE)</f>
        <v>#Level 4(100)</v>
      </c>
      <c r="AB424" s="110" t="s">
        <v>703</v>
      </c>
      <c r="AC424" s="110"/>
      <c r="AD424" s="110"/>
      <c r="AE424" s="110" t="s">
        <v>10558</v>
      </c>
      <c r="AF424" s="112">
        <v>15568800</v>
      </c>
      <c r="AG424" s="110" t="s">
        <v>1335</v>
      </c>
      <c r="AH424" s="121">
        <f t="shared" si="215"/>
        <v>0</v>
      </c>
      <c r="AI424" s="121">
        <f t="shared" si="216"/>
        <v>1</v>
      </c>
      <c r="AJ424" s="121">
        <f t="shared" si="217"/>
        <v>1</v>
      </c>
      <c r="AK424" s="121">
        <f t="shared" si="218"/>
        <v>0</v>
      </c>
      <c r="AL424" s="121">
        <f t="shared" si="219"/>
        <v>0</v>
      </c>
      <c r="AM424" s="121">
        <f t="shared" si="220"/>
        <v>0</v>
      </c>
      <c r="AN424" s="121">
        <f t="shared" si="221"/>
        <v>0</v>
      </c>
      <c r="AO424" s="121">
        <f t="shared" si="222"/>
        <v>0</v>
      </c>
      <c r="AP424" s="22">
        <f t="shared" si="223"/>
        <v>0</v>
      </c>
      <c r="AQ424" s="22">
        <f t="shared" si="224"/>
        <v>0</v>
      </c>
      <c r="AR424" s="22">
        <f t="shared" si="225"/>
        <v>0</v>
      </c>
      <c r="AS424" s="121" t="str">
        <f t="shared" si="226"/>
        <v>Crops</v>
      </c>
      <c r="AT424" s="121" t="str">
        <f t="shared" si="243"/>
        <v xml:space="preserve"> </v>
      </c>
      <c r="AU424" s="121" t="str">
        <f t="shared" si="243"/>
        <v xml:space="preserve"> </v>
      </c>
      <c r="AV424" s="121" t="str">
        <f t="shared" si="243"/>
        <v xml:space="preserve"> </v>
      </c>
      <c r="AW424" s="130" t="str">
        <f t="shared" si="244"/>
        <v>100</v>
      </c>
      <c r="AX424" s="130" t="str">
        <f t="shared" si="244"/>
        <v xml:space="preserve"> </v>
      </c>
      <c r="AY424" s="130" t="str">
        <f t="shared" si="244"/>
        <v xml:space="preserve"> </v>
      </c>
      <c r="AZ424" s="130" t="str">
        <f t="shared" si="244"/>
        <v xml:space="preserve"> </v>
      </c>
      <c r="BA424" s="121">
        <f t="shared" si="227"/>
        <v>106299.31111619517</v>
      </c>
      <c r="BB424" s="121">
        <f t="shared" si="228"/>
        <v>0</v>
      </c>
      <c r="BC424" s="121">
        <f t="shared" si="229"/>
        <v>0</v>
      </c>
      <c r="BD424" s="121">
        <f t="shared" si="230"/>
        <v>0</v>
      </c>
      <c r="BE424" s="121">
        <f t="shared" si="231"/>
        <v>0</v>
      </c>
      <c r="BF424" s="121">
        <f t="shared" si="232"/>
        <v>0</v>
      </c>
      <c r="BG424" s="121">
        <f t="shared" si="233"/>
        <v>0</v>
      </c>
      <c r="BH424" s="121">
        <f t="shared" si="234"/>
        <v>0</v>
      </c>
      <c r="BI424" s="121">
        <f t="shared" si="235"/>
        <v>0</v>
      </c>
      <c r="BJ424" s="121">
        <f t="shared" si="236"/>
        <v>0</v>
      </c>
      <c r="BK424" s="121">
        <f t="shared" si="237"/>
        <v>0</v>
      </c>
      <c r="BL424" s="121">
        <f t="shared" si="238"/>
        <v>0</v>
      </c>
      <c r="BM424" s="121">
        <f t="shared" si="239"/>
        <v>0</v>
      </c>
      <c r="BN424" s="121">
        <f t="shared" si="240"/>
        <v>0</v>
      </c>
      <c r="BO424" s="121">
        <f t="shared" si="241"/>
        <v>0</v>
      </c>
      <c r="BP424" s="121">
        <f t="shared" si="242"/>
        <v>0</v>
      </c>
      <c r="BQ424" s="199">
        <f>INDEX('GDP deflators'!$C$6:$M$36,MATCH('Bottom-up tagging'!$D424,'GDP deflators'!$B$6:$B$36,),MATCH('Bottom-up tagging'!$E424,'GDP deflators'!$C$5:$L$5,))/100</f>
        <v>1.4111098032990623</v>
      </c>
      <c r="BR424" s="24">
        <v>150000</v>
      </c>
    </row>
    <row r="425" spans="2:70" ht="26.15" customHeight="1">
      <c r="B425" s="110" t="s">
        <v>1539</v>
      </c>
      <c r="C425" s="110" t="s">
        <v>1542</v>
      </c>
      <c r="D425" s="110" t="s">
        <v>5391</v>
      </c>
      <c r="E425" s="103">
        <v>2017</v>
      </c>
      <c r="F425" s="108" t="s">
        <v>8593</v>
      </c>
      <c r="G425" s="111" t="s">
        <v>109</v>
      </c>
      <c r="H425" s="110" t="s">
        <v>10451</v>
      </c>
      <c r="I425" s="112">
        <f>IF(Dashboard!$B$16="Current USD",'Bottom-up tagging'!BR425,'Bottom-up tagging'!BR425/'Bottom-up tagging'!BQ425)</f>
        <v>84528.760723875588</v>
      </c>
      <c r="J425" s="117" t="s">
        <v>10474</v>
      </c>
      <c r="K425" s="112"/>
      <c r="L425" s="135">
        <v>1</v>
      </c>
      <c r="M425" s="135">
        <v>1</v>
      </c>
      <c r="N425" s="112"/>
      <c r="O425" s="112"/>
      <c r="P425" s="112" t="str">
        <f>VLOOKUP(B425, 'Companies covered restructured'!$B$7:$K$470, 9, FALSE)</f>
        <v>irrigation systems</v>
      </c>
      <c r="Q425" s="112" t="str">
        <f>VLOOKUP(B425, 'Companies covered restructured'!$B$7:$K$470, 6, FALSE)</f>
        <v>#Crops(100)</v>
      </c>
      <c r="R425" s="112" t="str">
        <f t="shared" si="214"/>
        <v>N/A</v>
      </c>
      <c r="S425" s="112" t="s">
        <v>11003</v>
      </c>
      <c r="T425" s="112" t="s">
        <v>10466</v>
      </c>
      <c r="U425" s="116" t="s">
        <v>10970</v>
      </c>
      <c r="V425" s="212" t="s">
        <v>10977</v>
      </c>
      <c r="W425" s="112" t="str">
        <f>VLOOKUP(B425, 'Companies covered restructured'!$B$7:$K$470, 7, FALSE)</f>
        <v>#Farm/Household(100)</v>
      </c>
      <c r="X425" s="112" t="str">
        <f>VLOOKUP(B425, 'Companies covered restructured'!$B$7:$K$470, 8, FALSE)</f>
        <v>N/A</v>
      </c>
      <c r="Y425" s="212" t="str">
        <f>VLOOKUP(P425, 'Bottom-up Tagging Assumptions'!$B$12:$C$56, 2, FALSE)</f>
        <v>#Other Economic(P); Environmental(S)</v>
      </c>
      <c r="Z425" s="112" t="str">
        <f>VLOOKUP(P425, 'Bottom-up Tagging Assumptions'!$B$12:$F$56, 3, FALSE)</f>
        <v>#Waste reduction(P)</v>
      </c>
      <c r="AA425" s="112" t="str">
        <f>VLOOKUP(P425, 'Bottom-up Tagging Assumptions'!$B$12:$F$56, 4, FALSE)</f>
        <v>#Level 1(100)</v>
      </c>
      <c r="AB425" s="110" t="s">
        <v>2116</v>
      </c>
      <c r="AC425" s="110"/>
      <c r="AD425" s="110"/>
      <c r="AE425" s="110" t="s">
        <v>10558</v>
      </c>
      <c r="AF425" s="112">
        <v>8883505</v>
      </c>
      <c r="AG425" s="110" t="s">
        <v>2657</v>
      </c>
      <c r="AH425" s="121">
        <f t="shared" si="215"/>
        <v>1</v>
      </c>
      <c r="AI425" s="121">
        <f t="shared" si="216"/>
        <v>0</v>
      </c>
      <c r="AJ425" s="121">
        <f t="shared" si="217"/>
        <v>1</v>
      </c>
      <c r="AK425" s="121">
        <f t="shared" si="218"/>
        <v>0</v>
      </c>
      <c r="AL425" s="121">
        <f t="shared" si="219"/>
        <v>0</v>
      </c>
      <c r="AM425" s="121">
        <f t="shared" si="220"/>
        <v>0</v>
      </c>
      <c r="AN425" s="121">
        <f t="shared" si="221"/>
        <v>1</v>
      </c>
      <c r="AO425" s="121">
        <f t="shared" si="222"/>
        <v>0</v>
      </c>
      <c r="AP425" s="22">
        <f t="shared" si="223"/>
        <v>0</v>
      </c>
      <c r="AQ425" s="22">
        <f t="shared" si="224"/>
        <v>84528.760723875588</v>
      </c>
      <c r="AR425" s="22">
        <f t="shared" si="225"/>
        <v>0</v>
      </c>
      <c r="AS425" s="121" t="str">
        <f t="shared" si="226"/>
        <v>Crops</v>
      </c>
      <c r="AT425" s="121" t="str">
        <f t="shared" si="243"/>
        <v xml:space="preserve"> </v>
      </c>
      <c r="AU425" s="121" t="str">
        <f t="shared" si="243"/>
        <v xml:space="preserve"> </v>
      </c>
      <c r="AV425" s="121" t="str">
        <f t="shared" si="243"/>
        <v xml:space="preserve"> </v>
      </c>
      <c r="AW425" s="130" t="str">
        <f t="shared" si="244"/>
        <v>100</v>
      </c>
      <c r="AX425" s="130" t="str">
        <f t="shared" si="244"/>
        <v xml:space="preserve"> </v>
      </c>
      <c r="AY425" s="130" t="str">
        <f t="shared" si="244"/>
        <v xml:space="preserve"> </v>
      </c>
      <c r="AZ425" s="130" t="str">
        <f t="shared" si="244"/>
        <v xml:space="preserve"> </v>
      </c>
      <c r="BA425" s="121">
        <f t="shared" si="227"/>
        <v>84528.760723875588</v>
      </c>
      <c r="BB425" s="121">
        <f t="shared" si="228"/>
        <v>0</v>
      </c>
      <c r="BC425" s="121">
        <f t="shared" si="229"/>
        <v>0</v>
      </c>
      <c r="BD425" s="121">
        <f t="shared" si="230"/>
        <v>0</v>
      </c>
      <c r="BE425" s="121">
        <f t="shared" si="231"/>
        <v>0</v>
      </c>
      <c r="BF425" s="121">
        <f t="shared" si="232"/>
        <v>0</v>
      </c>
      <c r="BG425" s="121">
        <f t="shared" si="233"/>
        <v>0</v>
      </c>
      <c r="BH425" s="121">
        <f t="shared" si="234"/>
        <v>0</v>
      </c>
      <c r="BI425" s="121">
        <f t="shared" si="235"/>
        <v>84528.760723875588</v>
      </c>
      <c r="BJ425" s="121">
        <f t="shared" si="236"/>
        <v>84528.760723875588</v>
      </c>
      <c r="BK425" s="121">
        <f t="shared" si="237"/>
        <v>84528.760723875588</v>
      </c>
      <c r="BL425" s="121">
        <f t="shared" si="238"/>
        <v>84528.760723875588</v>
      </c>
      <c r="BM425" s="121">
        <f t="shared" si="239"/>
        <v>0</v>
      </c>
      <c r="BN425" s="121">
        <f t="shared" si="240"/>
        <v>0</v>
      </c>
      <c r="BO425" s="121">
        <f t="shared" si="241"/>
        <v>0</v>
      </c>
      <c r="BP425" s="121">
        <f t="shared" si="242"/>
        <v>0</v>
      </c>
      <c r="BQ425" s="199">
        <f>INDEX('GDP deflators'!$C$6:$M$36,MATCH('Bottom-up tagging'!$D425,'GDP deflators'!$B$6:$B$36,),MATCH('Bottom-up tagging'!$E425,'GDP deflators'!$C$5:$L$5,))/100</f>
        <v>1.7745439388375148</v>
      </c>
      <c r="BR425" s="24">
        <v>150000</v>
      </c>
    </row>
    <row r="426" spans="2:70" ht="26.15" customHeight="1">
      <c r="B426" s="110" t="s">
        <v>473</v>
      </c>
      <c r="C426" s="110" t="s">
        <v>475</v>
      </c>
      <c r="D426" s="110" t="s">
        <v>5391</v>
      </c>
      <c r="E426" s="103">
        <v>2015</v>
      </c>
      <c r="F426" s="108" t="s">
        <v>5547</v>
      </c>
      <c r="G426" s="111" t="s">
        <v>34</v>
      </c>
      <c r="H426" s="110" t="s">
        <v>10451</v>
      </c>
      <c r="I426" s="112">
        <f>IF(Dashboard!$B$16="Current USD",'Bottom-up tagging'!BR426,'Bottom-up tagging'!BR426/'Bottom-up tagging'!BQ426)</f>
        <v>98983.320531263336</v>
      </c>
      <c r="J426" s="117" t="s">
        <v>10474</v>
      </c>
      <c r="K426" s="112"/>
      <c r="L426" s="135">
        <v>1</v>
      </c>
      <c r="M426" s="135">
        <v>1</v>
      </c>
      <c r="N426" s="112"/>
      <c r="O426" s="112"/>
      <c r="P426" s="112" t="str">
        <f>VLOOKUP(B426, 'Companies covered restructured'!$B$7:$K$470, 9, FALSE)</f>
        <v>Agri marketplaces</v>
      </c>
      <c r="Q426" s="112" t="str">
        <f>VLOOKUP(B426, 'Companies covered restructured'!$B$7:$K$470, 6, FALSE)</f>
        <v>#Crops(100)</v>
      </c>
      <c r="R426" s="112" t="str">
        <f t="shared" si="214"/>
        <v>#Investment Fund(100)</v>
      </c>
      <c r="S426" s="112" t="s">
        <v>11003</v>
      </c>
      <c r="T426" s="112" t="s">
        <v>10466</v>
      </c>
      <c r="U426" s="103" t="s">
        <v>10970</v>
      </c>
      <c r="V426" s="112" t="str">
        <f>VLOOKUP(P426, 'Bottom-up Tagging Assumptions'!$B$12:$F$39, 5, FALSE)</f>
        <v>#Process Innovation(100)</v>
      </c>
      <c r="W426" s="112" t="str">
        <f>VLOOKUP(B426, 'Companies covered restructured'!$B$7:$K$470, 7, FALSE)</f>
        <v>#Farm/Household(100)</v>
      </c>
      <c r="X426" s="112" t="s">
        <v>10558</v>
      </c>
      <c r="Y426" s="212" t="str">
        <f>VLOOKUP(P426, 'Bottom-up Tagging Assumptions'!$B$12:$C$56, 2, FALSE)</f>
        <v>#Other Economic(P); Social(S)</v>
      </c>
      <c r="Z426" s="112" t="str">
        <f>VLOOKUP(P426, 'Bottom-up Tagging Assumptions'!$B$12:$F$56, 3, FALSE)</f>
        <v>#Improve price realization(P)</v>
      </c>
      <c r="AA426" s="112" t="str">
        <f>VLOOKUP(P426, 'Bottom-up Tagging Assumptions'!$B$12:$F$56, 4, FALSE)</f>
        <v>#Level 4(100)</v>
      </c>
      <c r="AB426" s="110" t="s">
        <v>2730</v>
      </c>
      <c r="AC426" s="110"/>
      <c r="AD426" s="110" t="s">
        <v>2731</v>
      </c>
      <c r="AE426" s="110" t="str">
        <f>VLOOKUP(AD426,  '1.2'!$B$7:$C$2033, 2, FALSE)</f>
        <v>FUND</v>
      </c>
      <c r="AF426" s="112">
        <v>5000000</v>
      </c>
      <c r="AG426" s="110" t="s">
        <v>2381</v>
      </c>
      <c r="AH426" s="121">
        <f t="shared" si="215"/>
        <v>0</v>
      </c>
      <c r="AI426" s="121">
        <f t="shared" si="216"/>
        <v>0</v>
      </c>
      <c r="AJ426" s="121">
        <f t="shared" si="217"/>
        <v>1</v>
      </c>
      <c r="AK426" s="121">
        <f t="shared" si="218"/>
        <v>1</v>
      </c>
      <c r="AL426" s="121">
        <f t="shared" si="219"/>
        <v>0</v>
      </c>
      <c r="AM426" s="121">
        <f t="shared" si="220"/>
        <v>0</v>
      </c>
      <c r="AN426" s="121">
        <f t="shared" si="221"/>
        <v>1</v>
      </c>
      <c r="AO426" s="121">
        <f t="shared" si="222"/>
        <v>0</v>
      </c>
      <c r="AP426" s="22">
        <f t="shared" si="223"/>
        <v>0</v>
      </c>
      <c r="AQ426" s="22">
        <f t="shared" si="224"/>
        <v>98983.320531263336</v>
      </c>
      <c r="AR426" s="22">
        <f t="shared" si="225"/>
        <v>0</v>
      </c>
      <c r="AS426" s="121" t="str">
        <f t="shared" si="226"/>
        <v>Crops</v>
      </c>
      <c r="AT426" s="121" t="str">
        <f t="shared" si="243"/>
        <v xml:space="preserve"> </v>
      </c>
      <c r="AU426" s="121" t="str">
        <f t="shared" si="243"/>
        <v xml:space="preserve"> </v>
      </c>
      <c r="AV426" s="121" t="str">
        <f t="shared" si="243"/>
        <v xml:space="preserve"> </v>
      </c>
      <c r="AW426" s="130" t="str">
        <f t="shared" si="244"/>
        <v>100</v>
      </c>
      <c r="AX426" s="130" t="str">
        <f t="shared" si="244"/>
        <v xml:space="preserve"> </v>
      </c>
      <c r="AY426" s="130" t="str">
        <f t="shared" si="244"/>
        <v xml:space="preserve"> </v>
      </c>
      <c r="AZ426" s="130" t="str">
        <f t="shared" si="244"/>
        <v xml:space="preserve"> </v>
      </c>
      <c r="BA426" s="121">
        <f t="shared" si="227"/>
        <v>98983.320531263336</v>
      </c>
      <c r="BB426" s="121">
        <f t="shared" si="228"/>
        <v>0</v>
      </c>
      <c r="BC426" s="121">
        <f t="shared" si="229"/>
        <v>0</v>
      </c>
      <c r="BD426" s="121">
        <f t="shared" si="230"/>
        <v>0</v>
      </c>
      <c r="BE426" s="121">
        <f t="shared" si="231"/>
        <v>0</v>
      </c>
      <c r="BF426" s="121">
        <f t="shared" si="232"/>
        <v>0</v>
      </c>
      <c r="BG426" s="121">
        <f t="shared" si="233"/>
        <v>0</v>
      </c>
      <c r="BH426" s="121">
        <f t="shared" si="234"/>
        <v>0</v>
      </c>
      <c r="BI426" s="121">
        <f t="shared" si="235"/>
        <v>98983.320531263336</v>
      </c>
      <c r="BJ426" s="121">
        <f t="shared" si="236"/>
        <v>98983.320531263336</v>
      </c>
      <c r="BK426" s="121">
        <f t="shared" si="237"/>
        <v>98983.320531263336</v>
      </c>
      <c r="BL426" s="121">
        <f t="shared" si="238"/>
        <v>98983.320531263336</v>
      </c>
      <c r="BM426" s="121">
        <f t="shared" si="239"/>
        <v>0</v>
      </c>
      <c r="BN426" s="121">
        <f t="shared" si="240"/>
        <v>0</v>
      </c>
      <c r="BO426" s="121">
        <f t="shared" si="241"/>
        <v>0</v>
      </c>
      <c r="BP426" s="121">
        <f t="shared" si="242"/>
        <v>0</v>
      </c>
      <c r="BQ426" s="199">
        <f>INDEX('GDP deflators'!$C$6:$M$36,MATCH('Bottom-up tagging'!$D426,'GDP deflators'!$B$6:$B$36,),MATCH('Bottom-up tagging'!$E426,'GDP deflators'!$C$5:$L$5,))/100</f>
        <v>1.5154068301095569</v>
      </c>
      <c r="BR426" s="24">
        <v>150000</v>
      </c>
    </row>
    <row r="427" spans="2:70" ht="26.15" hidden="1" customHeight="1">
      <c r="B427" s="110" t="s">
        <v>2767</v>
      </c>
      <c r="C427" s="110" t="s">
        <v>2770</v>
      </c>
      <c r="D427" s="110" t="s">
        <v>9288</v>
      </c>
      <c r="E427" s="103">
        <v>2015</v>
      </c>
      <c r="F427" s="108" t="s">
        <v>9289</v>
      </c>
      <c r="G427" s="111" t="s">
        <v>34</v>
      </c>
      <c r="H427" s="110" t="s">
        <v>10451</v>
      </c>
      <c r="I427" s="112">
        <f>IF(Dashboard!$B$16="Current USD",'Bottom-up tagging'!BR427,'Bottom-up tagging'!BR427/'Bottom-up tagging'!BQ427)</f>
        <v>135530.68100692623</v>
      </c>
      <c r="J427" s="118" t="s">
        <v>10474</v>
      </c>
      <c r="K427" s="112"/>
      <c r="L427" s="135">
        <v>1</v>
      </c>
      <c r="M427" s="135">
        <v>1</v>
      </c>
      <c r="N427" s="112"/>
      <c r="O427" s="112"/>
      <c r="P427" s="112" t="str">
        <f>VLOOKUP(B427, 'Companies covered restructured'!$B$7:$K$470, 9, FALSE)</f>
        <v>AI/analytics based advisory algorithms (incl. weather)</v>
      </c>
      <c r="Q427" s="112" t="str">
        <f>VLOOKUP(B427, 'Companies covered restructured'!$B$7:$K$470, 6, FALSE)</f>
        <v>#Crops(100)</v>
      </c>
      <c r="R427" s="112" t="str">
        <f t="shared" si="214"/>
        <v>N/A</v>
      </c>
      <c r="S427" s="112" t="s">
        <v>11003</v>
      </c>
      <c r="T427" s="112" t="s">
        <v>10466</v>
      </c>
      <c r="U427" s="103" t="s">
        <v>10970</v>
      </c>
      <c r="V427" s="112" t="str">
        <f>VLOOKUP(P427, 'Bottom-up Tagging Assumptions'!$B$12:$F$39, 5, FALSE)</f>
        <v>#Science &amp; tech(100)</v>
      </c>
      <c r="W427" s="112" t="str">
        <f>VLOOKUP(B427, 'Companies covered restructured'!$B$7:$K$470, 7, FALSE)</f>
        <v>#Farm/Household(100)</v>
      </c>
      <c r="X427" s="112" t="str">
        <f>VLOOKUP(B427, 'Companies covered restructured'!$B$7:$K$470, 8, FALSE)</f>
        <v>N/A</v>
      </c>
      <c r="Y427" s="212" t="str">
        <f>VLOOKUP(P427, 'Bottom-up Tagging Assumptions'!$B$12:$C$56, 2, FALSE)</f>
        <v>#Other Economic(P); #Productivity(S)</v>
      </c>
      <c r="Z427" s="112" t="str">
        <f>VLOOKUP(P427, 'Bottom-up Tagging Assumptions'!$B$12:$F$56, 3, FALSE)</f>
        <v>#Increasing output per unit input(P); #Increasing crop or animal yield(S)</v>
      </c>
      <c r="AA427" s="112" t="str">
        <f>VLOOKUP(P427, 'Bottom-up Tagging Assumptions'!$B$12:$F$56, 4, FALSE)</f>
        <v>#Level 1(100)</v>
      </c>
      <c r="AB427" s="110"/>
      <c r="AC427" s="110"/>
      <c r="AD427" s="110"/>
      <c r="AE427" s="110" t="s">
        <v>10558</v>
      </c>
      <c r="AF427" s="112">
        <v>47182672</v>
      </c>
      <c r="AG427" s="110" t="s">
        <v>1176</v>
      </c>
      <c r="AH427" s="121">
        <f t="shared" si="215"/>
        <v>0</v>
      </c>
      <c r="AI427" s="121">
        <f t="shared" si="216"/>
        <v>1</v>
      </c>
      <c r="AJ427" s="121">
        <f t="shared" si="217"/>
        <v>1</v>
      </c>
      <c r="AK427" s="121">
        <f t="shared" si="218"/>
        <v>0</v>
      </c>
      <c r="AL427" s="121">
        <f t="shared" si="219"/>
        <v>0</v>
      </c>
      <c r="AM427" s="121">
        <f t="shared" si="220"/>
        <v>0</v>
      </c>
      <c r="AN427" s="121">
        <f t="shared" si="221"/>
        <v>0</v>
      </c>
      <c r="AO427" s="121">
        <f t="shared" si="222"/>
        <v>0</v>
      </c>
      <c r="AP427" s="22">
        <f t="shared" si="223"/>
        <v>0</v>
      </c>
      <c r="AQ427" s="22">
        <f t="shared" si="224"/>
        <v>0</v>
      </c>
      <c r="AR427" s="22">
        <f t="shared" si="225"/>
        <v>0</v>
      </c>
      <c r="AS427" s="121" t="str">
        <f t="shared" si="226"/>
        <v>Crops</v>
      </c>
      <c r="AT427" s="121" t="str">
        <f t="shared" si="243"/>
        <v xml:space="preserve"> </v>
      </c>
      <c r="AU427" s="121" t="str">
        <f t="shared" si="243"/>
        <v xml:space="preserve"> </v>
      </c>
      <c r="AV427" s="121" t="str">
        <f t="shared" si="243"/>
        <v xml:space="preserve"> </v>
      </c>
      <c r="AW427" s="130" t="str">
        <f t="shared" si="244"/>
        <v>100</v>
      </c>
      <c r="AX427" s="130" t="str">
        <f t="shared" si="244"/>
        <v xml:space="preserve"> </v>
      </c>
      <c r="AY427" s="130" t="str">
        <f t="shared" si="244"/>
        <v xml:space="preserve"> </v>
      </c>
      <c r="AZ427" s="130" t="str">
        <f t="shared" si="244"/>
        <v xml:space="preserve"> </v>
      </c>
      <c r="BA427" s="121">
        <f t="shared" si="227"/>
        <v>135530.68100692623</v>
      </c>
      <c r="BB427" s="121">
        <f t="shared" si="228"/>
        <v>0</v>
      </c>
      <c r="BC427" s="121">
        <f t="shared" si="229"/>
        <v>0</v>
      </c>
      <c r="BD427" s="121">
        <f t="shared" si="230"/>
        <v>0</v>
      </c>
      <c r="BE427" s="121">
        <f t="shared" si="231"/>
        <v>0</v>
      </c>
      <c r="BF427" s="121">
        <f t="shared" si="232"/>
        <v>0</v>
      </c>
      <c r="BG427" s="121">
        <f t="shared" si="233"/>
        <v>0</v>
      </c>
      <c r="BH427" s="121">
        <f t="shared" si="234"/>
        <v>0</v>
      </c>
      <c r="BI427" s="121">
        <f t="shared" si="235"/>
        <v>0</v>
      </c>
      <c r="BJ427" s="121">
        <f t="shared" si="236"/>
        <v>0</v>
      </c>
      <c r="BK427" s="121">
        <f t="shared" si="237"/>
        <v>0</v>
      </c>
      <c r="BL427" s="121">
        <f t="shared" si="238"/>
        <v>0</v>
      </c>
      <c r="BM427" s="121">
        <f t="shared" si="239"/>
        <v>0</v>
      </c>
      <c r="BN427" s="121">
        <f t="shared" si="240"/>
        <v>0</v>
      </c>
      <c r="BO427" s="121">
        <f t="shared" si="241"/>
        <v>0</v>
      </c>
      <c r="BP427" s="121">
        <f t="shared" si="242"/>
        <v>0</v>
      </c>
      <c r="BQ427" s="199">
        <f>INDEX('GDP deflators'!$C$6:$M$36,MATCH('Bottom-up tagging'!$D427,'GDP deflators'!$B$6:$B$36,),MATCH('Bottom-up tagging'!$E427,'GDP deflators'!$C$5:$L$5,))/100</f>
        <v>1.1067604684457708</v>
      </c>
      <c r="BR427" s="24">
        <v>150000</v>
      </c>
    </row>
    <row r="428" spans="2:70" ht="26.15" hidden="1" customHeight="1">
      <c r="B428" s="110" t="s">
        <v>2931</v>
      </c>
      <c r="C428" s="110" t="s">
        <v>2934</v>
      </c>
      <c r="D428" s="110" t="s">
        <v>5277</v>
      </c>
      <c r="E428" s="103">
        <v>2013</v>
      </c>
      <c r="F428" s="108" t="s">
        <v>10357</v>
      </c>
      <c r="G428" s="111" t="s">
        <v>34</v>
      </c>
      <c r="H428" s="110" t="s">
        <v>10451</v>
      </c>
      <c r="I428" s="112">
        <f>IF(Dashboard!$B$16="Current USD",'Bottom-up tagging'!BR428,'Bottom-up tagging'!BR428/'Bottom-up tagging'!BQ428)</f>
        <v>128164.41399209356</v>
      </c>
      <c r="J428" s="118" t="s">
        <v>10474</v>
      </c>
      <c r="K428" s="112"/>
      <c r="L428" s="135">
        <v>1</v>
      </c>
      <c r="M428" s="135">
        <v>1</v>
      </c>
      <c r="N428" s="112"/>
      <c r="O428" s="112"/>
      <c r="P428" s="112" t="str">
        <f>VLOOKUP(B428, 'Companies covered restructured'!$B$7:$K$470, 9, FALSE)</f>
        <v>Farmer engagement platforms (including marketplaces and information platforms)</v>
      </c>
      <c r="Q428" s="112" t="str">
        <f>VLOOKUP(B428, 'Companies covered restructured'!$B$7:$K$470, 6, FALSE)</f>
        <v>#Crops(100)</v>
      </c>
      <c r="R428" s="112" t="str">
        <f t="shared" si="214"/>
        <v>N/A</v>
      </c>
      <c r="S428" s="112" t="s">
        <v>11003</v>
      </c>
      <c r="T428" s="112" t="s">
        <v>10466</v>
      </c>
      <c r="U428" s="103" t="s">
        <v>10970</v>
      </c>
      <c r="V428" s="112" t="str">
        <f>VLOOKUP(P428, 'Bottom-up Tagging Assumptions'!$B$12:$F$39, 5, FALSE)</f>
        <v>#Process Innovation(100)</v>
      </c>
      <c r="W428" s="112" t="str">
        <f>VLOOKUP(B428, 'Companies covered restructured'!$B$7:$K$470, 7, FALSE)</f>
        <v>#Farm/Household(100)</v>
      </c>
      <c r="X428" s="112" t="str">
        <f>VLOOKUP(B428, 'Companies covered restructured'!$B$7:$K$470, 8, FALSE)</f>
        <v>N/A</v>
      </c>
      <c r="Y428" s="212" t="str">
        <f>VLOOKUP(P428, 'Bottom-up Tagging Assumptions'!$B$12:$C$56, 2, FALSE)</f>
        <v>#Other Economic(P); #Productivity(S)</v>
      </c>
      <c r="Z428" s="112" t="str">
        <f>VLOOKUP(P428, 'Bottom-up Tagging Assumptions'!$B$12:$F$56, 3, FALSE)</f>
        <v>#Improve price realization(P); #Increasing crop or animal yield(S)</v>
      </c>
      <c r="AA428" s="112" t="str">
        <f>VLOOKUP(P428, 'Bottom-up Tagging Assumptions'!$B$12:$F$56, 4, FALSE)</f>
        <v>#Level 4(100)</v>
      </c>
      <c r="AB428" s="110"/>
      <c r="AC428" s="110"/>
      <c r="AD428" s="110"/>
      <c r="AE428" s="110" t="s">
        <v>10558</v>
      </c>
      <c r="AF428" s="112">
        <v>1303000000</v>
      </c>
      <c r="AG428" s="110" t="s">
        <v>1416</v>
      </c>
      <c r="AH428" s="121">
        <f t="shared" si="215"/>
        <v>0</v>
      </c>
      <c r="AI428" s="121">
        <f t="shared" si="216"/>
        <v>1</v>
      </c>
      <c r="AJ428" s="121">
        <f t="shared" si="217"/>
        <v>1</v>
      </c>
      <c r="AK428" s="121">
        <f t="shared" si="218"/>
        <v>0</v>
      </c>
      <c r="AL428" s="121">
        <f t="shared" si="219"/>
        <v>0</v>
      </c>
      <c r="AM428" s="121">
        <f t="shared" si="220"/>
        <v>0</v>
      </c>
      <c r="AN428" s="121">
        <f t="shared" si="221"/>
        <v>0</v>
      </c>
      <c r="AO428" s="121">
        <f t="shared" si="222"/>
        <v>0</v>
      </c>
      <c r="AP428" s="22">
        <f t="shared" si="223"/>
        <v>0</v>
      </c>
      <c r="AQ428" s="22">
        <f t="shared" si="224"/>
        <v>0</v>
      </c>
      <c r="AR428" s="22">
        <f t="shared" si="225"/>
        <v>0</v>
      </c>
      <c r="AS428" s="121" t="str">
        <f t="shared" si="226"/>
        <v>Crops</v>
      </c>
      <c r="AT428" s="121" t="str">
        <f t="shared" si="243"/>
        <v xml:space="preserve"> </v>
      </c>
      <c r="AU428" s="121" t="str">
        <f t="shared" si="243"/>
        <v xml:space="preserve"> </v>
      </c>
      <c r="AV428" s="121" t="str">
        <f t="shared" si="243"/>
        <v xml:space="preserve"> </v>
      </c>
      <c r="AW428" s="130" t="str">
        <f t="shared" si="244"/>
        <v>100</v>
      </c>
      <c r="AX428" s="130" t="str">
        <f t="shared" si="244"/>
        <v xml:space="preserve"> </v>
      </c>
      <c r="AY428" s="130" t="str">
        <f t="shared" si="244"/>
        <v xml:space="preserve"> </v>
      </c>
      <c r="AZ428" s="130" t="str">
        <f t="shared" si="244"/>
        <v xml:space="preserve"> </v>
      </c>
      <c r="BA428" s="121">
        <f t="shared" si="227"/>
        <v>128164.41399209356</v>
      </c>
      <c r="BB428" s="121">
        <f t="shared" si="228"/>
        <v>0</v>
      </c>
      <c r="BC428" s="121">
        <f t="shared" si="229"/>
        <v>0</v>
      </c>
      <c r="BD428" s="121">
        <f t="shared" si="230"/>
        <v>0</v>
      </c>
      <c r="BE428" s="121">
        <f t="shared" si="231"/>
        <v>0</v>
      </c>
      <c r="BF428" s="121">
        <f t="shared" si="232"/>
        <v>0</v>
      </c>
      <c r="BG428" s="121">
        <f t="shared" si="233"/>
        <v>0</v>
      </c>
      <c r="BH428" s="121">
        <f t="shared" si="234"/>
        <v>0</v>
      </c>
      <c r="BI428" s="121">
        <f t="shared" si="235"/>
        <v>0</v>
      </c>
      <c r="BJ428" s="121">
        <f t="shared" si="236"/>
        <v>0</v>
      </c>
      <c r="BK428" s="121">
        <f t="shared" si="237"/>
        <v>0</v>
      </c>
      <c r="BL428" s="121">
        <f t="shared" si="238"/>
        <v>0</v>
      </c>
      <c r="BM428" s="121">
        <f t="shared" si="239"/>
        <v>0</v>
      </c>
      <c r="BN428" s="121">
        <f t="shared" si="240"/>
        <v>0</v>
      </c>
      <c r="BO428" s="121">
        <f t="shared" si="241"/>
        <v>0</v>
      </c>
      <c r="BP428" s="121">
        <f t="shared" si="242"/>
        <v>0</v>
      </c>
      <c r="BQ428" s="199">
        <f>INDEX('GDP deflators'!$C$6:$M$36,MATCH('Bottom-up tagging'!$D428,'GDP deflators'!$B$6:$B$36,),MATCH('Bottom-up tagging'!$E428,'GDP deflators'!$C$5:$L$5,))/100</f>
        <v>1.1703716759416032</v>
      </c>
      <c r="BR428" s="24">
        <v>150000</v>
      </c>
    </row>
    <row r="429" spans="2:70" ht="26.15" hidden="1" customHeight="1">
      <c r="B429" s="110" t="s">
        <v>878</v>
      </c>
      <c r="C429" s="110" t="s">
        <v>883</v>
      </c>
      <c r="D429" s="110" t="s">
        <v>3994</v>
      </c>
      <c r="E429" s="103">
        <v>2016</v>
      </c>
      <c r="F429" s="108" t="s">
        <v>8198</v>
      </c>
      <c r="G429" s="111" t="s">
        <v>34</v>
      </c>
      <c r="H429" s="110" t="s">
        <v>10451</v>
      </c>
      <c r="I429" s="112">
        <f>IF(Dashboard!$B$16="Current USD",'Bottom-up tagging'!BR429,'Bottom-up tagging'!BR429/'Bottom-up tagging'!BQ429)</f>
        <v>109697.63817893065</v>
      </c>
      <c r="J429" s="117" t="s">
        <v>10474</v>
      </c>
      <c r="K429" s="112"/>
      <c r="L429" s="135">
        <v>1</v>
      </c>
      <c r="M429" s="135">
        <v>1</v>
      </c>
      <c r="N429" s="112"/>
      <c r="O429" s="112"/>
      <c r="P429" s="112" t="str">
        <f>VLOOKUP(B429, 'Companies covered restructured'!$B$7:$K$470, 9, FALSE)</f>
        <v>Agri marketplaces</v>
      </c>
      <c r="Q429" s="112" t="str">
        <f>VLOOKUP(B429, 'Companies covered restructured'!$B$7:$K$470, 6, FALSE)</f>
        <v>#Livestock(100)</v>
      </c>
      <c r="R429" s="112" t="str">
        <f t="shared" si="214"/>
        <v>N/A</v>
      </c>
      <c r="S429" s="112" t="s">
        <v>11003</v>
      </c>
      <c r="T429" s="112" t="s">
        <v>10466</v>
      </c>
      <c r="U429" s="103" t="s">
        <v>10970</v>
      </c>
      <c r="V429" s="112" t="str">
        <f>VLOOKUP(P429, 'Bottom-up Tagging Assumptions'!$B$12:$F$39, 5, FALSE)</f>
        <v>#Process Innovation(100)</v>
      </c>
      <c r="W429" s="112" t="str">
        <f>VLOOKUP(B429, 'Companies covered restructured'!$B$7:$K$470, 7, FALSE)</f>
        <v>#Farm/Household(100)</v>
      </c>
      <c r="X429" s="112" t="str">
        <f>VLOOKUP(B429, 'Companies covered restructured'!$B$7:$K$470, 8, FALSE)</f>
        <v>N/A</v>
      </c>
      <c r="Y429" s="212" t="str">
        <f>VLOOKUP(P429, 'Bottom-up Tagging Assumptions'!$B$12:$C$56, 2, FALSE)</f>
        <v>#Other Economic(P); Social(S)</v>
      </c>
      <c r="Z429" s="112" t="str">
        <f>VLOOKUP(P429, 'Bottom-up Tagging Assumptions'!$B$12:$F$56, 3, FALSE)</f>
        <v>#Improve price realization(P)</v>
      </c>
      <c r="AA429" s="112" t="str">
        <f>VLOOKUP(P429, 'Bottom-up Tagging Assumptions'!$B$12:$F$56, 4, FALSE)</f>
        <v>#Level 4(100)</v>
      </c>
      <c r="AB429" s="110"/>
      <c r="AC429" s="110"/>
      <c r="AD429" s="110"/>
      <c r="AE429" s="110" t="s">
        <v>10558</v>
      </c>
      <c r="AF429" s="112"/>
      <c r="AG429" s="110" t="s">
        <v>2664</v>
      </c>
      <c r="AH429" s="121">
        <f t="shared" si="215"/>
        <v>0</v>
      </c>
      <c r="AI429" s="121">
        <f t="shared" si="216"/>
        <v>0</v>
      </c>
      <c r="AJ429" s="121">
        <f t="shared" si="217"/>
        <v>1</v>
      </c>
      <c r="AK429" s="121">
        <f t="shared" si="218"/>
        <v>1</v>
      </c>
      <c r="AL429" s="121">
        <f t="shared" si="219"/>
        <v>0</v>
      </c>
      <c r="AM429" s="121">
        <f t="shared" si="220"/>
        <v>0</v>
      </c>
      <c r="AN429" s="121">
        <f t="shared" si="221"/>
        <v>1</v>
      </c>
      <c r="AO429" s="121">
        <f t="shared" si="222"/>
        <v>0</v>
      </c>
      <c r="AP429" s="22">
        <f t="shared" si="223"/>
        <v>0</v>
      </c>
      <c r="AQ429" s="22">
        <f t="shared" si="224"/>
        <v>109697.63817893065</v>
      </c>
      <c r="AR429" s="22">
        <f t="shared" si="225"/>
        <v>0</v>
      </c>
      <c r="AS429" s="121" t="str">
        <f t="shared" si="226"/>
        <v>Livestock</v>
      </c>
      <c r="AT429" s="121" t="str">
        <f t="shared" si="243"/>
        <v xml:space="preserve"> </v>
      </c>
      <c r="AU429" s="121" t="str">
        <f t="shared" si="243"/>
        <v xml:space="preserve"> </v>
      </c>
      <c r="AV429" s="121" t="str">
        <f t="shared" si="243"/>
        <v xml:space="preserve"> </v>
      </c>
      <c r="AW429" s="130" t="str">
        <f t="shared" si="244"/>
        <v>100</v>
      </c>
      <c r="AX429" s="130" t="str">
        <f t="shared" si="244"/>
        <v xml:space="preserve"> </v>
      </c>
      <c r="AY429" s="130" t="str">
        <f t="shared" si="244"/>
        <v xml:space="preserve"> </v>
      </c>
      <c r="AZ429" s="130" t="str">
        <f t="shared" si="244"/>
        <v xml:space="preserve"> </v>
      </c>
      <c r="BA429" s="121">
        <f t="shared" si="227"/>
        <v>109697.63817893066</v>
      </c>
      <c r="BB429" s="121">
        <f t="shared" si="228"/>
        <v>0</v>
      </c>
      <c r="BC429" s="121">
        <f t="shared" si="229"/>
        <v>0</v>
      </c>
      <c r="BD429" s="121">
        <f t="shared" si="230"/>
        <v>0</v>
      </c>
      <c r="BE429" s="121">
        <f t="shared" si="231"/>
        <v>0</v>
      </c>
      <c r="BF429" s="121">
        <f t="shared" si="232"/>
        <v>0</v>
      </c>
      <c r="BG429" s="121">
        <f t="shared" si="233"/>
        <v>0</v>
      </c>
      <c r="BH429" s="121">
        <f t="shared" si="234"/>
        <v>0</v>
      </c>
      <c r="BI429" s="121">
        <f t="shared" si="235"/>
        <v>109697.63817893066</v>
      </c>
      <c r="BJ429" s="121">
        <f t="shared" si="236"/>
        <v>109697.63817893065</v>
      </c>
      <c r="BK429" s="121">
        <f t="shared" si="237"/>
        <v>109697.63817893065</v>
      </c>
      <c r="BL429" s="121">
        <f t="shared" si="238"/>
        <v>109697.63817893065</v>
      </c>
      <c r="BM429" s="121">
        <f t="shared" si="239"/>
        <v>0</v>
      </c>
      <c r="BN429" s="121">
        <f t="shared" si="240"/>
        <v>0</v>
      </c>
      <c r="BO429" s="121">
        <f t="shared" si="241"/>
        <v>0</v>
      </c>
      <c r="BP429" s="121">
        <f t="shared" si="242"/>
        <v>0</v>
      </c>
      <c r="BQ429" s="199">
        <f>INDEX('GDP deflators'!$C$6:$M$36,MATCH('Bottom-up tagging'!$D429,'GDP deflators'!$B$6:$B$36,),MATCH('Bottom-up tagging'!$E429,'GDP deflators'!$C$5:$L$5,))/100</f>
        <v>1.3597375702538033</v>
      </c>
      <c r="BR429" s="24">
        <v>149160</v>
      </c>
    </row>
    <row r="430" spans="2:70" ht="26.15" hidden="1" customHeight="1">
      <c r="B430" s="110" t="s">
        <v>2369</v>
      </c>
      <c r="C430" s="110" t="s">
        <v>2372</v>
      </c>
      <c r="D430" s="110" t="s">
        <v>3994</v>
      </c>
      <c r="E430" s="103">
        <v>2016</v>
      </c>
      <c r="F430" s="108" t="s">
        <v>9663</v>
      </c>
      <c r="G430" s="111" t="s">
        <v>34</v>
      </c>
      <c r="H430" s="110" t="s">
        <v>10451</v>
      </c>
      <c r="I430" s="112">
        <f>IF(Dashboard!$B$16="Current USD",'Bottom-up tagging'!BR430,'Bottom-up tagging'!BR430/'Bottom-up tagging'!BQ430)</f>
        <v>109313.74057146617</v>
      </c>
      <c r="J430" s="105" t="s">
        <v>10474</v>
      </c>
      <c r="K430" s="112"/>
      <c r="L430" s="135">
        <v>1</v>
      </c>
      <c r="M430" s="135">
        <v>1</v>
      </c>
      <c r="N430" s="112"/>
      <c r="O430" s="112"/>
      <c r="P430" s="112" t="str">
        <f>VLOOKUP(B430, 'Companies covered restructured'!$B$7:$K$470, 9, FALSE)</f>
        <v>Irrigation systems</v>
      </c>
      <c r="Q430" s="112" t="str">
        <f>VLOOKUP(B430, 'Companies covered restructured'!$B$7:$K$470, 6, FALSE)</f>
        <v>#Crops(100)</v>
      </c>
      <c r="R430" s="112" t="str">
        <f t="shared" si="214"/>
        <v>#Investment Fund(100)</v>
      </c>
      <c r="S430" s="112" t="s">
        <v>11003</v>
      </c>
      <c r="T430" s="112" t="s">
        <v>10466</v>
      </c>
      <c r="U430" s="103" t="s">
        <v>10970</v>
      </c>
      <c r="V430" s="212" t="s">
        <v>10977</v>
      </c>
      <c r="W430" s="112" t="str">
        <f>VLOOKUP(B430, 'Companies covered restructured'!$B$7:$K$470, 7, FALSE)</f>
        <v>#Farm/Household(100)</v>
      </c>
      <c r="X430" s="112" t="str">
        <f>VLOOKUP(B430, 'Companies covered restructured'!$B$7:$K$470, 8, FALSE)</f>
        <v>#Small(100)</v>
      </c>
      <c r="Y430" s="212" t="str">
        <f>VLOOKUP(P430, 'Bottom-up Tagging Assumptions'!$B$12:$C$56, 2, FALSE)</f>
        <v>#Other Economic(P); Environmental(S)</v>
      </c>
      <c r="Z430" s="112" t="str">
        <f>VLOOKUP(P430, 'Bottom-up Tagging Assumptions'!$B$12:$F$56, 3, FALSE)</f>
        <v>#Waste reduction(P)</v>
      </c>
      <c r="AA430" s="112" t="str">
        <f>VLOOKUP(P430, 'Bottom-up Tagging Assumptions'!$B$12:$F$56, 4, FALSE)</f>
        <v>#Level 1(100)</v>
      </c>
      <c r="AB430" s="110" t="s">
        <v>2371</v>
      </c>
      <c r="AC430" s="110"/>
      <c r="AD430" s="110" t="s">
        <v>653</v>
      </c>
      <c r="AE430" s="110" t="str">
        <f>VLOOKUP(AD430,  '1.2'!$B$7:$C$2033, 2, FALSE)</f>
        <v>FUND</v>
      </c>
      <c r="AF430" s="112">
        <v>5345286</v>
      </c>
      <c r="AG430" s="110" t="s">
        <v>265</v>
      </c>
      <c r="AH430" s="121">
        <f t="shared" si="215"/>
        <v>1</v>
      </c>
      <c r="AI430" s="121">
        <f t="shared" si="216"/>
        <v>0</v>
      </c>
      <c r="AJ430" s="121">
        <f t="shared" si="217"/>
        <v>1</v>
      </c>
      <c r="AK430" s="121">
        <f t="shared" si="218"/>
        <v>0</v>
      </c>
      <c r="AL430" s="121">
        <f t="shared" si="219"/>
        <v>0</v>
      </c>
      <c r="AM430" s="121">
        <f t="shared" si="220"/>
        <v>0</v>
      </c>
      <c r="AN430" s="121">
        <f t="shared" si="221"/>
        <v>1</v>
      </c>
      <c r="AO430" s="121">
        <f t="shared" si="222"/>
        <v>0</v>
      </c>
      <c r="AP430" s="22">
        <f t="shared" si="223"/>
        <v>0</v>
      </c>
      <c r="AQ430" s="22">
        <f t="shared" si="224"/>
        <v>109313.74057146617</v>
      </c>
      <c r="AR430" s="22">
        <f t="shared" si="225"/>
        <v>0</v>
      </c>
      <c r="AS430" s="121" t="str">
        <f t="shared" si="226"/>
        <v>Crops</v>
      </c>
      <c r="AT430" s="121" t="str">
        <f t="shared" si="243"/>
        <v xml:space="preserve"> </v>
      </c>
      <c r="AU430" s="121" t="str">
        <f t="shared" si="243"/>
        <v xml:space="preserve"> </v>
      </c>
      <c r="AV430" s="121" t="str">
        <f t="shared" si="243"/>
        <v xml:space="preserve"> </v>
      </c>
      <c r="AW430" s="130" t="str">
        <f t="shared" si="244"/>
        <v>100</v>
      </c>
      <c r="AX430" s="130" t="str">
        <f t="shared" si="244"/>
        <v xml:space="preserve"> </v>
      </c>
      <c r="AY430" s="130" t="str">
        <f t="shared" si="244"/>
        <v xml:space="preserve"> </v>
      </c>
      <c r="AZ430" s="130" t="str">
        <f t="shared" si="244"/>
        <v xml:space="preserve"> </v>
      </c>
      <c r="BA430" s="121">
        <f t="shared" si="227"/>
        <v>109313.74057146619</v>
      </c>
      <c r="BB430" s="121">
        <f t="shared" si="228"/>
        <v>0</v>
      </c>
      <c r="BC430" s="121">
        <f t="shared" si="229"/>
        <v>0</v>
      </c>
      <c r="BD430" s="121">
        <f t="shared" si="230"/>
        <v>0</v>
      </c>
      <c r="BE430" s="121">
        <f t="shared" si="231"/>
        <v>0</v>
      </c>
      <c r="BF430" s="121">
        <f t="shared" si="232"/>
        <v>0</v>
      </c>
      <c r="BG430" s="121">
        <f t="shared" si="233"/>
        <v>0</v>
      </c>
      <c r="BH430" s="121">
        <f t="shared" si="234"/>
        <v>0</v>
      </c>
      <c r="BI430" s="121">
        <f t="shared" si="235"/>
        <v>109313.74057146619</v>
      </c>
      <c r="BJ430" s="121">
        <f t="shared" si="236"/>
        <v>109313.74057146617</v>
      </c>
      <c r="BK430" s="121">
        <f t="shared" si="237"/>
        <v>109313.74057146617</v>
      </c>
      <c r="BL430" s="121">
        <f t="shared" si="238"/>
        <v>109313.74057146617</v>
      </c>
      <c r="BM430" s="121">
        <f t="shared" si="239"/>
        <v>0</v>
      </c>
      <c r="BN430" s="121">
        <f t="shared" si="240"/>
        <v>0</v>
      </c>
      <c r="BO430" s="121">
        <f t="shared" si="241"/>
        <v>0</v>
      </c>
      <c r="BP430" s="121">
        <f t="shared" si="242"/>
        <v>0</v>
      </c>
      <c r="BQ430" s="199">
        <f>INDEX('GDP deflators'!$C$6:$M$36,MATCH('Bottom-up tagging'!$D430,'GDP deflators'!$B$6:$B$36,),MATCH('Bottom-up tagging'!$E430,'GDP deflators'!$C$5:$L$5,))/100</f>
        <v>1.3597375702538033</v>
      </c>
      <c r="BR430" s="24">
        <v>148638</v>
      </c>
    </row>
    <row r="431" spans="2:70" ht="26.15" hidden="1" customHeight="1">
      <c r="B431" s="110" t="s">
        <v>404</v>
      </c>
      <c r="C431" s="110" t="s">
        <v>408</v>
      </c>
      <c r="D431" s="110" t="s">
        <v>3994</v>
      </c>
      <c r="E431" s="103">
        <v>2016</v>
      </c>
      <c r="F431" s="108" t="s">
        <v>7119</v>
      </c>
      <c r="G431" s="111" t="s">
        <v>124</v>
      </c>
      <c r="H431" s="110" t="s">
        <v>10451</v>
      </c>
      <c r="I431" s="112">
        <f>IF(Dashboard!$B$16="Current USD",'Bottom-up tagging'!BR431,'Bottom-up tagging'!BR431/'Bottom-up tagging'!BQ431)</f>
        <v>106894.89147002809</v>
      </c>
      <c r="J431" s="117" t="s">
        <v>10474</v>
      </c>
      <c r="K431" s="112"/>
      <c r="L431" s="135">
        <v>1</v>
      </c>
      <c r="M431" s="135">
        <v>1</v>
      </c>
      <c r="N431" s="112"/>
      <c r="O431" s="112"/>
      <c r="P431" s="112" t="str">
        <f>VLOOKUP(B431, 'Companies covered restructured'!$B$7:$K$470, 9, FALSE)</f>
        <v>AI/analytics based advisory algorithms (incl. weather)</v>
      </c>
      <c r="Q431" s="112" t="str">
        <f>VLOOKUP(B431, 'Companies covered restructured'!$B$7:$K$470, 6, FALSE)</f>
        <v>#Crops(100)</v>
      </c>
      <c r="R431" s="112" t="str">
        <f t="shared" si="214"/>
        <v>#Angel Investor(100)</v>
      </c>
      <c r="S431" s="112" t="s">
        <v>11003</v>
      </c>
      <c r="T431" s="112" t="s">
        <v>10466</v>
      </c>
      <c r="U431" s="103" t="s">
        <v>10970</v>
      </c>
      <c r="V431" s="112" t="str">
        <f>VLOOKUP(P431, 'Bottom-up Tagging Assumptions'!$B$12:$F$39, 5, FALSE)</f>
        <v>#Science &amp; tech(100)</v>
      </c>
      <c r="W431" s="112" t="str">
        <f>VLOOKUP(B431, 'Companies covered restructured'!$B$7:$K$470, 7, FALSE)</f>
        <v>#Field/Animal Herd(100)</v>
      </c>
      <c r="X431" s="112" t="s">
        <v>10558</v>
      </c>
      <c r="Y431" s="212" t="str">
        <f>VLOOKUP(P431, 'Bottom-up Tagging Assumptions'!$B$12:$C$56, 2, FALSE)</f>
        <v>#Other Economic(P); #Productivity(S)</v>
      </c>
      <c r="Z431" s="112" t="str">
        <f>VLOOKUP(P431, 'Bottom-up Tagging Assumptions'!$B$12:$F$56, 3, FALSE)</f>
        <v>#Increasing output per unit input(P); #Increasing crop or animal yield(S)</v>
      </c>
      <c r="AA431" s="112" t="str">
        <f>VLOOKUP(P431, 'Bottom-up Tagging Assumptions'!$B$12:$F$56, 4, FALSE)</f>
        <v>#Level 1(100)</v>
      </c>
      <c r="AB431" s="110"/>
      <c r="AC431" s="110" t="s">
        <v>2242</v>
      </c>
      <c r="AD431" s="110" t="s">
        <v>2243</v>
      </c>
      <c r="AE431" s="110" t="str">
        <f>VLOOKUP(AD431,  '1.2'!$B$7:$C$2033, 2, FALSE)</f>
        <v>ANGEL</v>
      </c>
      <c r="AF431" s="112">
        <v>26000000</v>
      </c>
      <c r="AG431" s="110" t="s">
        <v>2671</v>
      </c>
      <c r="AH431" s="121">
        <f t="shared" si="215"/>
        <v>0</v>
      </c>
      <c r="AI431" s="121">
        <f t="shared" si="216"/>
        <v>1</v>
      </c>
      <c r="AJ431" s="121">
        <f t="shared" si="217"/>
        <v>1</v>
      </c>
      <c r="AK431" s="121">
        <f t="shared" si="218"/>
        <v>0</v>
      </c>
      <c r="AL431" s="121">
        <f t="shared" si="219"/>
        <v>0</v>
      </c>
      <c r="AM431" s="121">
        <f t="shared" si="220"/>
        <v>0</v>
      </c>
      <c r="AN431" s="121">
        <f t="shared" si="221"/>
        <v>0</v>
      </c>
      <c r="AO431" s="121">
        <f t="shared" si="222"/>
        <v>0</v>
      </c>
      <c r="AP431" s="22">
        <f t="shared" si="223"/>
        <v>0</v>
      </c>
      <c r="AQ431" s="22">
        <f t="shared" si="224"/>
        <v>0</v>
      </c>
      <c r="AR431" s="22">
        <f t="shared" si="225"/>
        <v>0</v>
      </c>
      <c r="AS431" s="121" t="str">
        <f t="shared" si="226"/>
        <v>Crops</v>
      </c>
      <c r="AT431" s="121" t="str">
        <f t="shared" si="243"/>
        <v xml:space="preserve"> </v>
      </c>
      <c r="AU431" s="121" t="str">
        <f t="shared" si="243"/>
        <v xml:space="preserve"> </v>
      </c>
      <c r="AV431" s="121" t="str">
        <f t="shared" si="243"/>
        <v xml:space="preserve"> </v>
      </c>
      <c r="AW431" s="130" t="str">
        <f t="shared" si="244"/>
        <v>100</v>
      </c>
      <c r="AX431" s="130" t="str">
        <f t="shared" si="244"/>
        <v xml:space="preserve"> </v>
      </c>
      <c r="AY431" s="130" t="str">
        <f t="shared" si="244"/>
        <v xml:space="preserve"> </v>
      </c>
      <c r="AZ431" s="130" t="str">
        <f t="shared" si="244"/>
        <v xml:space="preserve"> </v>
      </c>
      <c r="BA431" s="121">
        <f t="shared" si="227"/>
        <v>106894.89147002809</v>
      </c>
      <c r="BB431" s="121">
        <f t="shared" si="228"/>
        <v>0</v>
      </c>
      <c r="BC431" s="121">
        <f t="shared" si="229"/>
        <v>0</v>
      </c>
      <c r="BD431" s="121">
        <f t="shared" si="230"/>
        <v>0</v>
      </c>
      <c r="BE431" s="121">
        <f t="shared" si="231"/>
        <v>0</v>
      </c>
      <c r="BF431" s="121">
        <f t="shared" si="232"/>
        <v>0</v>
      </c>
      <c r="BG431" s="121">
        <f t="shared" si="233"/>
        <v>0</v>
      </c>
      <c r="BH431" s="121">
        <f t="shared" si="234"/>
        <v>0</v>
      </c>
      <c r="BI431" s="121">
        <f t="shared" si="235"/>
        <v>0</v>
      </c>
      <c r="BJ431" s="121">
        <f t="shared" si="236"/>
        <v>0</v>
      </c>
      <c r="BK431" s="121">
        <f t="shared" si="237"/>
        <v>0</v>
      </c>
      <c r="BL431" s="121">
        <f t="shared" si="238"/>
        <v>0</v>
      </c>
      <c r="BM431" s="121">
        <f t="shared" si="239"/>
        <v>0</v>
      </c>
      <c r="BN431" s="121">
        <f t="shared" si="240"/>
        <v>0</v>
      </c>
      <c r="BO431" s="121">
        <f t="shared" si="241"/>
        <v>0</v>
      </c>
      <c r="BP431" s="121">
        <f t="shared" si="242"/>
        <v>0</v>
      </c>
      <c r="BQ431" s="199">
        <f>INDEX('GDP deflators'!$C$6:$M$36,MATCH('Bottom-up tagging'!$D431,'GDP deflators'!$B$6:$B$36,),MATCH('Bottom-up tagging'!$E431,'GDP deflators'!$C$5:$L$5,))/100</f>
        <v>1.3597375702538033</v>
      </c>
      <c r="BR431" s="24">
        <v>145349</v>
      </c>
    </row>
    <row r="432" spans="2:70" ht="26.15" hidden="1" customHeight="1">
      <c r="B432" s="110" t="s">
        <v>217</v>
      </c>
      <c r="C432" s="110" t="s">
        <v>221</v>
      </c>
      <c r="D432" s="110" t="s">
        <v>3994</v>
      </c>
      <c r="E432" s="103">
        <v>2017</v>
      </c>
      <c r="F432" s="108" t="s">
        <v>8133</v>
      </c>
      <c r="G432" s="111" t="s">
        <v>34</v>
      </c>
      <c r="H432" s="110" t="s">
        <v>10451</v>
      </c>
      <c r="I432" s="112">
        <f>IF(Dashboard!$B$16="Current USD",'Bottom-up tagging'!BR432,'Bottom-up tagging'!BR432/'Bottom-up tagging'!BQ432)</f>
        <v>98242.531995661688</v>
      </c>
      <c r="J432" s="117" t="s">
        <v>10474</v>
      </c>
      <c r="K432" s="112"/>
      <c r="L432" s="135">
        <v>1</v>
      </c>
      <c r="M432" s="135">
        <v>1</v>
      </c>
      <c r="N432" s="112"/>
      <c r="O432" s="112"/>
      <c r="P432" s="112" t="str">
        <f>VLOOKUP(B432, 'Companies covered restructured'!$B$7:$K$470, 9, FALSE)</f>
        <v>Agri input e-commerce platforms</v>
      </c>
      <c r="Q432" s="112" t="str">
        <f>VLOOKUP(B432, 'Companies covered restructured'!$B$7:$K$470, 6, FALSE)</f>
        <v>#Crops(100)</v>
      </c>
      <c r="R432" s="112" t="str">
        <f t="shared" si="214"/>
        <v>#Investment Fund(100)</v>
      </c>
      <c r="S432" s="112" t="s">
        <v>11003</v>
      </c>
      <c r="T432" s="112" t="s">
        <v>10466</v>
      </c>
      <c r="U432" s="103" t="s">
        <v>10970</v>
      </c>
      <c r="V432" s="112" t="str">
        <f>VLOOKUP(P432, 'Bottom-up Tagging Assumptions'!$B$12:$F$39, 5, FALSE)</f>
        <v>#Process Innovation(100)</v>
      </c>
      <c r="W432" s="112" t="str">
        <f>VLOOKUP(B432, 'Companies covered restructured'!$B$7:$K$470, 7, FALSE)</f>
        <v>#Landscape(100)</v>
      </c>
      <c r="X432" s="112" t="str">
        <f>VLOOKUP(B432, 'Companies covered restructured'!$B$7:$K$470, 8, FALSE)</f>
        <v>N/A</v>
      </c>
      <c r="Y432" s="212" t="str">
        <f>VLOOKUP(P432, 'Bottom-up Tagging Assumptions'!$B$12:$C$56, 2, FALSE)</f>
        <v>#Other Economic(P); Productivity(S)</v>
      </c>
      <c r="Z432" s="112" t="str">
        <f>VLOOKUP(P432, 'Bottom-up Tagging Assumptions'!$B$12:$F$56, 3, FALSE)</f>
        <v>#Reduce cost of inputs(P)</v>
      </c>
      <c r="AA432" s="112" t="str">
        <f>VLOOKUP(P432, 'Bottom-up Tagging Assumptions'!$B$12:$F$56, 4, FALSE)</f>
        <v>#Level 1(100)</v>
      </c>
      <c r="AB432" s="110" t="s">
        <v>1466</v>
      </c>
      <c r="AC432" s="110"/>
      <c r="AD432" s="110" t="s">
        <v>1467</v>
      </c>
      <c r="AE432" s="110" t="str">
        <f>VLOOKUP(AD432,  '1.2'!$B$7:$C$2033, 2, FALSE)</f>
        <v>FUND</v>
      </c>
      <c r="AF432" s="112"/>
      <c r="AG432" s="110" t="s">
        <v>2678</v>
      </c>
      <c r="AH432" s="121">
        <f t="shared" si="215"/>
        <v>0</v>
      </c>
      <c r="AI432" s="121">
        <f t="shared" si="216"/>
        <v>1</v>
      </c>
      <c r="AJ432" s="121">
        <f t="shared" si="217"/>
        <v>1</v>
      </c>
      <c r="AK432" s="121">
        <f t="shared" si="218"/>
        <v>0</v>
      </c>
      <c r="AL432" s="121">
        <f t="shared" si="219"/>
        <v>0</v>
      </c>
      <c r="AM432" s="121">
        <f t="shared" si="220"/>
        <v>0</v>
      </c>
      <c r="AN432" s="121">
        <f t="shared" si="221"/>
        <v>0</v>
      </c>
      <c r="AO432" s="121">
        <f t="shared" si="222"/>
        <v>0</v>
      </c>
      <c r="AP432" s="22">
        <f t="shared" si="223"/>
        <v>0</v>
      </c>
      <c r="AQ432" s="22">
        <f t="shared" si="224"/>
        <v>0</v>
      </c>
      <c r="AR432" s="22">
        <f t="shared" si="225"/>
        <v>0</v>
      </c>
      <c r="AS432" s="121" t="str">
        <f t="shared" si="226"/>
        <v>Crops</v>
      </c>
      <c r="AT432" s="121" t="str">
        <f t="shared" ref="AT432:AV451" si="245">IFERROR(IFERROR(MID($Q432,FIND("~",SUBSTITUTE($Q432,";","~",AT$10-1))+3,(FIND("~",SUBSTITUTE($Q432,";","~",AT$10))+0-(FIND("~",SUBSTITUTE($Q432,";","~",AT$10-1))+2))-6),MID($Q432,FIND("~",SUBSTITUTE($Q432,";","~",AT$10-1))+3,(LEN($Q432)-6-FIND("~",SUBSTITUTE($Q432,";","~",AT$10-1))-1)))," ")</f>
        <v xml:space="preserve"> </v>
      </c>
      <c r="AU432" s="121" t="str">
        <f t="shared" si="245"/>
        <v xml:space="preserve"> </v>
      </c>
      <c r="AV432" s="121" t="str">
        <f t="shared" si="245"/>
        <v xml:space="preserve"> </v>
      </c>
      <c r="AW432" s="130" t="str">
        <f t="shared" ref="AW432:AZ451" si="246">IFERROR(MID($Q432,FIND("~",SUBSTITUTE($Q432,"(","~",AW$10))+1,3)," ")</f>
        <v>100</v>
      </c>
      <c r="AX432" s="130" t="str">
        <f t="shared" si="246"/>
        <v xml:space="preserve"> </v>
      </c>
      <c r="AY432" s="130" t="str">
        <f t="shared" si="246"/>
        <v xml:space="preserve"> </v>
      </c>
      <c r="AZ432" s="130" t="str">
        <f t="shared" si="246"/>
        <v xml:space="preserve"> </v>
      </c>
      <c r="BA432" s="121">
        <f t="shared" si="227"/>
        <v>98242.531995661688</v>
      </c>
      <c r="BB432" s="121">
        <f t="shared" si="228"/>
        <v>0</v>
      </c>
      <c r="BC432" s="121">
        <f t="shared" si="229"/>
        <v>0</v>
      </c>
      <c r="BD432" s="121">
        <f t="shared" si="230"/>
        <v>0</v>
      </c>
      <c r="BE432" s="121">
        <f t="shared" si="231"/>
        <v>0</v>
      </c>
      <c r="BF432" s="121">
        <f t="shared" si="232"/>
        <v>0</v>
      </c>
      <c r="BG432" s="121">
        <f t="shared" si="233"/>
        <v>0</v>
      </c>
      <c r="BH432" s="121">
        <f t="shared" si="234"/>
        <v>0</v>
      </c>
      <c r="BI432" s="121">
        <f t="shared" si="235"/>
        <v>0</v>
      </c>
      <c r="BJ432" s="121">
        <f t="shared" si="236"/>
        <v>0</v>
      </c>
      <c r="BK432" s="121">
        <f t="shared" si="237"/>
        <v>0</v>
      </c>
      <c r="BL432" s="121">
        <f t="shared" si="238"/>
        <v>0</v>
      </c>
      <c r="BM432" s="121">
        <f t="shared" si="239"/>
        <v>0</v>
      </c>
      <c r="BN432" s="121">
        <f t="shared" si="240"/>
        <v>0</v>
      </c>
      <c r="BO432" s="121">
        <f t="shared" si="241"/>
        <v>0</v>
      </c>
      <c r="BP432" s="121">
        <f t="shared" si="242"/>
        <v>0</v>
      </c>
      <c r="BQ432" s="199">
        <f>INDEX('GDP deflators'!$C$6:$M$36,MATCH('Bottom-up tagging'!$D432,'GDP deflators'!$B$6:$B$36,),MATCH('Bottom-up tagging'!$E432,'GDP deflators'!$C$5:$L$5,))/100</f>
        <v>1.4111098032990623</v>
      </c>
      <c r="BR432" s="24">
        <v>138631</v>
      </c>
    </row>
    <row r="433" spans="2:70" ht="26.15" hidden="1" customHeight="1">
      <c r="B433" s="110" t="s">
        <v>96</v>
      </c>
      <c r="C433" s="110" t="s">
        <v>100</v>
      </c>
      <c r="D433" s="110" t="s">
        <v>3994</v>
      </c>
      <c r="E433" s="103">
        <v>2018</v>
      </c>
      <c r="F433" s="108" t="s">
        <v>8260</v>
      </c>
      <c r="G433" s="111" t="s">
        <v>25</v>
      </c>
      <c r="H433" s="110" t="s">
        <v>10451</v>
      </c>
      <c r="I433" s="112">
        <f>IF(Dashboard!$B$16="Current USD",'Bottom-up tagging'!BR433,'Bottom-up tagging'!BR433/'Bottom-up tagging'!BQ433)</f>
        <v>93518.099813058448</v>
      </c>
      <c r="J433" s="105" t="s">
        <v>10474</v>
      </c>
      <c r="K433" s="112"/>
      <c r="L433" s="135">
        <v>1</v>
      </c>
      <c r="M433" s="135">
        <v>1</v>
      </c>
      <c r="N433" s="112"/>
      <c r="O433" s="112"/>
      <c r="P433" s="112" t="str">
        <f>VLOOKUP(B433, 'Companies covered restructured'!$B$7:$K$470, 9, FALSE)</f>
        <v>Agri marketplaces</v>
      </c>
      <c r="Q433" s="112" t="str">
        <f>VLOOKUP(B433, 'Companies covered restructured'!$B$7:$K$470, 6, FALSE)</f>
        <v>#Crops(100)</v>
      </c>
      <c r="R433" s="112" t="str">
        <f t="shared" si="214"/>
        <v>#Investment Fund(100)</v>
      </c>
      <c r="S433" s="112" t="s">
        <v>11003</v>
      </c>
      <c r="T433" s="112" t="s">
        <v>10466</v>
      </c>
      <c r="U433" s="103" t="s">
        <v>10970</v>
      </c>
      <c r="V433" s="112" t="str">
        <f>VLOOKUP(P433, 'Bottom-up Tagging Assumptions'!$B$12:$F$39, 5, FALSE)</f>
        <v>#Process Innovation(100)</v>
      </c>
      <c r="W433" s="112" t="str">
        <f>VLOOKUP(B433, 'Companies covered restructured'!$B$7:$K$470, 7, FALSE)</f>
        <v>#Farm/Household(100)</v>
      </c>
      <c r="X433" s="112" t="s">
        <v>10558</v>
      </c>
      <c r="Y433" s="212" t="str">
        <f>VLOOKUP(P433, 'Bottom-up Tagging Assumptions'!$B$12:$C$56, 2, FALSE)</f>
        <v>#Other Economic(P); Social(S)</v>
      </c>
      <c r="Z433" s="112" t="str">
        <f>VLOOKUP(P433, 'Bottom-up Tagging Assumptions'!$B$12:$F$56, 3, FALSE)</f>
        <v>#Improve price realization(P)</v>
      </c>
      <c r="AA433" s="112" t="str">
        <f>VLOOKUP(P433, 'Bottom-up Tagging Assumptions'!$B$12:$F$56, 4, FALSE)</f>
        <v>#Level 4(100)</v>
      </c>
      <c r="AB433" s="110" t="s">
        <v>723</v>
      </c>
      <c r="AC433" s="110"/>
      <c r="AD433" s="110" t="s">
        <v>1831</v>
      </c>
      <c r="AE433" s="110" t="s">
        <v>3114</v>
      </c>
      <c r="AF433" s="112">
        <v>16507907</v>
      </c>
      <c r="AG433" s="110" t="s">
        <v>464</v>
      </c>
      <c r="AH433" s="121">
        <f t="shared" si="215"/>
        <v>0</v>
      </c>
      <c r="AI433" s="121">
        <f t="shared" si="216"/>
        <v>0</v>
      </c>
      <c r="AJ433" s="121">
        <f t="shared" si="217"/>
        <v>1</v>
      </c>
      <c r="AK433" s="121">
        <f t="shared" si="218"/>
        <v>1</v>
      </c>
      <c r="AL433" s="121">
        <f t="shared" si="219"/>
        <v>0</v>
      </c>
      <c r="AM433" s="121">
        <f t="shared" si="220"/>
        <v>0</v>
      </c>
      <c r="AN433" s="121">
        <f t="shared" si="221"/>
        <v>1</v>
      </c>
      <c r="AO433" s="121">
        <f t="shared" si="222"/>
        <v>0</v>
      </c>
      <c r="AP433" s="22">
        <f t="shared" si="223"/>
        <v>0</v>
      </c>
      <c r="AQ433" s="22">
        <f t="shared" si="224"/>
        <v>93518.099813058448</v>
      </c>
      <c r="AR433" s="22">
        <f t="shared" si="225"/>
        <v>0</v>
      </c>
      <c r="AS433" s="121" t="str">
        <f t="shared" si="226"/>
        <v>Crops</v>
      </c>
      <c r="AT433" s="121" t="str">
        <f t="shared" si="245"/>
        <v xml:space="preserve"> </v>
      </c>
      <c r="AU433" s="121" t="str">
        <f t="shared" si="245"/>
        <v xml:space="preserve"> </v>
      </c>
      <c r="AV433" s="121" t="str">
        <f t="shared" si="245"/>
        <v xml:space="preserve"> </v>
      </c>
      <c r="AW433" s="130" t="str">
        <f t="shared" si="246"/>
        <v>100</v>
      </c>
      <c r="AX433" s="130" t="str">
        <f t="shared" si="246"/>
        <v xml:space="preserve"> </v>
      </c>
      <c r="AY433" s="130" t="str">
        <f t="shared" si="246"/>
        <v xml:space="preserve"> </v>
      </c>
      <c r="AZ433" s="130" t="str">
        <f t="shared" si="246"/>
        <v xml:space="preserve"> </v>
      </c>
      <c r="BA433" s="121">
        <f t="shared" si="227"/>
        <v>93518.099813058448</v>
      </c>
      <c r="BB433" s="121">
        <f t="shared" si="228"/>
        <v>0</v>
      </c>
      <c r="BC433" s="121">
        <f t="shared" si="229"/>
        <v>0</v>
      </c>
      <c r="BD433" s="121">
        <f t="shared" si="230"/>
        <v>0</v>
      </c>
      <c r="BE433" s="121">
        <f t="shared" si="231"/>
        <v>0</v>
      </c>
      <c r="BF433" s="121">
        <f t="shared" si="232"/>
        <v>0</v>
      </c>
      <c r="BG433" s="121">
        <f t="shared" si="233"/>
        <v>0</v>
      </c>
      <c r="BH433" s="121">
        <f t="shared" si="234"/>
        <v>0</v>
      </c>
      <c r="BI433" s="121">
        <f t="shared" si="235"/>
        <v>93518.099813058448</v>
      </c>
      <c r="BJ433" s="121">
        <f t="shared" si="236"/>
        <v>93518.099813058448</v>
      </c>
      <c r="BK433" s="121">
        <f t="shared" si="237"/>
        <v>93518.099813058448</v>
      </c>
      <c r="BL433" s="121">
        <f t="shared" si="238"/>
        <v>93518.099813058448</v>
      </c>
      <c r="BM433" s="121">
        <f t="shared" si="239"/>
        <v>0</v>
      </c>
      <c r="BN433" s="121">
        <f t="shared" si="240"/>
        <v>0</v>
      </c>
      <c r="BO433" s="121">
        <f t="shared" si="241"/>
        <v>0</v>
      </c>
      <c r="BP433" s="121">
        <f t="shared" si="242"/>
        <v>0</v>
      </c>
      <c r="BQ433" s="199">
        <f>INDEX('GDP deflators'!$C$6:$M$36,MATCH('Bottom-up tagging'!$D433,'GDP deflators'!$B$6:$B$36,),MATCH('Bottom-up tagging'!$E433,'GDP deflators'!$C$5:$L$5,))/100</f>
        <v>1.4753935363936217</v>
      </c>
      <c r="BR433" s="24">
        <v>137976</v>
      </c>
    </row>
    <row r="434" spans="2:70" ht="26.15" hidden="1" customHeight="1">
      <c r="B434" s="110" t="s">
        <v>985</v>
      </c>
      <c r="C434" s="110" t="s">
        <v>989</v>
      </c>
      <c r="D434" s="110" t="s">
        <v>3994</v>
      </c>
      <c r="E434" s="103">
        <v>2019</v>
      </c>
      <c r="F434" s="108" t="s">
        <v>5730</v>
      </c>
      <c r="G434" s="111" t="s">
        <v>124</v>
      </c>
      <c r="H434" s="110" t="s">
        <v>10451</v>
      </c>
      <c r="I434" s="112">
        <f>IF(Dashboard!$B$16="Current USD",'Bottom-up tagging'!BR434,'Bottom-up tagging'!BR434/'Bottom-up tagging'!BQ434)</f>
        <v>90355.116490539876</v>
      </c>
      <c r="J434" s="118" t="s">
        <v>10474</v>
      </c>
      <c r="K434" s="112"/>
      <c r="L434" s="135">
        <v>1</v>
      </c>
      <c r="M434" s="135">
        <v>1</v>
      </c>
      <c r="N434" s="112"/>
      <c r="O434" s="112"/>
      <c r="P434" s="112" t="str">
        <f>VLOOKUP(B434, 'Companies covered restructured'!$B$7:$K$470, 9, FALSE)</f>
        <v>Agri marketplaces</v>
      </c>
      <c r="Q434" s="112" t="str">
        <f>VLOOKUP(B434, 'Companies covered restructured'!$B$7:$K$470, 6, FALSE)</f>
        <v>#Crops(100)</v>
      </c>
      <c r="R434" s="112" t="str">
        <f t="shared" si="214"/>
        <v>#Angel Investor(100)</v>
      </c>
      <c r="S434" s="112" t="s">
        <v>11003</v>
      </c>
      <c r="T434" s="112" t="s">
        <v>10466</v>
      </c>
      <c r="U434" s="103" t="s">
        <v>10970</v>
      </c>
      <c r="V434" s="112" t="str">
        <f>VLOOKUP(P434, 'Bottom-up Tagging Assumptions'!$B$12:$F$39, 5, FALSE)</f>
        <v>#Process Innovation(100)</v>
      </c>
      <c r="W434" s="112" t="str">
        <f>VLOOKUP(B434, 'Companies covered restructured'!$B$7:$K$470, 7, FALSE)</f>
        <v>#Farm/Household(100)</v>
      </c>
      <c r="X434" s="112" t="s">
        <v>10558</v>
      </c>
      <c r="Y434" s="212" t="str">
        <f>VLOOKUP(P434, 'Bottom-up Tagging Assumptions'!$B$12:$C$56, 2, FALSE)</f>
        <v>#Other Economic(P); Social(S)</v>
      </c>
      <c r="Z434" s="112" t="str">
        <f>VLOOKUP(P434, 'Bottom-up Tagging Assumptions'!$B$12:$F$56, 3, FALSE)</f>
        <v>#Improve price realization(P)</v>
      </c>
      <c r="AA434" s="112" t="str">
        <f>VLOOKUP(P434, 'Bottom-up Tagging Assumptions'!$B$12:$F$56, 4, FALSE)</f>
        <v>#Level 4(100)</v>
      </c>
      <c r="AB434" s="110"/>
      <c r="AC434" s="110" t="s">
        <v>987</v>
      </c>
      <c r="AD434" s="110" t="s">
        <v>988</v>
      </c>
      <c r="AE434" s="110" t="str">
        <f>VLOOKUP(AD434,  '1.2'!$B$7:$C$2033, 2, FALSE)</f>
        <v>ANGEL</v>
      </c>
      <c r="AF434" s="112">
        <v>6141730</v>
      </c>
      <c r="AG434" s="110" t="s">
        <v>1481</v>
      </c>
      <c r="AH434" s="121">
        <f t="shared" si="215"/>
        <v>0</v>
      </c>
      <c r="AI434" s="121">
        <f t="shared" si="216"/>
        <v>0</v>
      </c>
      <c r="AJ434" s="121">
        <f t="shared" si="217"/>
        <v>1</v>
      </c>
      <c r="AK434" s="121">
        <f t="shared" si="218"/>
        <v>1</v>
      </c>
      <c r="AL434" s="121">
        <f t="shared" si="219"/>
        <v>0</v>
      </c>
      <c r="AM434" s="121">
        <f t="shared" si="220"/>
        <v>0</v>
      </c>
      <c r="AN434" s="121">
        <f t="shared" si="221"/>
        <v>1</v>
      </c>
      <c r="AO434" s="121">
        <f t="shared" si="222"/>
        <v>0</v>
      </c>
      <c r="AP434" s="22">
        <f t="shared" si="223"/>
        <v>0</v>
      </c>
      <c r="AQ434" s="22">
        <f t="shared" si="224"/>
        <v>90355.116490539876</v>
      </c>
      <c r="AR434" s="22">
        <f t="shared" si="225"/>
        <v>0</v>
      </c>
      <c r="AS434" s="121" t="str">
        <f t="shared" si="226"/>
        <v>Crops</v>
      </c>
      <c r="AT434" s="121" t="str">
        <f t="shared" si="245"/>
        <v xml:space="preserve"> </v>
      </c>
      <c r="AU434" s="121" t="str">
        <f t="shared" si="245"/>
        <v xml:space="preserve"> </v>
      </c>
      <c r="AV434" s="121" t="str">
        <f t="shared" si="245"/>
        <v xml:space="preserve"> </v>
      </c>
      <c r="AW434" s="130" t="str">
        <f t="shared" si="246"/>
        <v>100</v>
      </c>
      <c r="AX434" s="130" t="str">
        <f t="shared" si="246"/>
        <v xml:space="preserve"> </v>
      </c>
      <c r="AY434" s="130" t="str">
        <f t="shared" si="246"/>
        <v xml:space="preserve"> </v>
      </c>
      <c r="AZ434" s="130" t="str">
        <f t="shared" si="246"/>
        <v xml:space="preserve"> </v>
      </c>
      <c r="BA434" s="121">
        <f t="shared" si="227"/>
        <v>90355.116490539876</v>
      </c>
      <c r="BB434" s="121">
        <f t="shared" si="228"/>
        <v>0</v>
      </c>
      <c r="BC434" s="121">
        <f t="shared" si="229"/>
        <v>0</v>
      </c>
      <c r="BD434" s="121">
        <f t="shared" si="230"/>
        <v>0</v>
      </c>
      <c r="BE434" s="121">
        <f t="shared" si="231"/>
        <v>0</v>
      </c>
      <c r="BF434" s="121">
        <f t="shared" si="232"/>
        <v>0</v>
      </c>
      <c r="BG434" s="121">
        <f t="shared" si="233"/>
        <v>0</v>
      </c>
      <c r="BH434" s="121">
        <f t="shared" si="234"/>
        <v>0</v>
      </c>
      <c r="BI434" s="121">
        <f t="shared" si="235"/>
        <v>90355.116490539876</v>
      </c>
      <c r="BJ434" s="121">
        <f t="shared" si="236"/>
        <v>90355.116490539876</v>
      </c>
      <c r="BK434" s="121">
        <f t="shared" si="237"/>
        <v>90355.116490539876</v>
      </c>
      <c r="BL434" s="121">
        <f t="shared" si="238"/>
        <v>90355.116490539876</v>
      </c>
      <c r="BM434" s="121">
        <f t="shared" si="239"/>
        <v>0</v>
      </c>
      <c r="BN434" s="121">
        <f t="shared" si="240"/>
        <v>0</v>
      </c>
      <c r="BO434" s="121">
        <f t="shared" si="241"/>
        <v>0</v>
      </c>
      <c r="BP434" s="121">
        <f t="shared" si="242"/>
        <v>0</v>
      </c>
      <c r="BQ434" s="199">
        <f>INDEX('GDP deflators'!$C$6:$M$36,MATCH('Bottom-up tagging'!$D434,'GDP deflators'!$B$6:$B$36,),MATCH('Bottom-up tagging'!$E434,'GDP deflators'!$C$5:$L$5,))/100</f>
        <v>1.5094883975306472</v>
      </c>
      <c r="BR434" s="24">
        <v>136390</v>
      </c>
    </row>
    <row r="435" spans="2:70" ht="26.15" hidden="1" customHeight="1">
      <c r="B435" s="110" t="s">
        <v>863</v>
      </c>
      <c r="C435" s="110" t="s">
        <v>867</v>
      </c>
      <c r="D435" s="110" t="s">
        <v>6297</v>
      </c>
      <c r="E435" s="103">
        <v>2019</v>
      </c>
      <c r="F435" s="108" t="s">
        <v>7558</v>
      </c>
      <c r="G435" s="111" t="s">
        <v>289</v>
      </c>
      <c r="H435" s="110" t="s">
        <v>10451</v>
      </c>
      <c r="I435" s="112">
        <f>IF(Dashboard!$B$16="Current USD",'Bottom-up tagging'!BR435,'Bottom-up tagging'!BR435/'Bottom-up tagging'!BQ435)</f>
        <v>81719.497833687376</v>
      </c>
      <c r="J435" s="117" t="s">
        <v>10474</v>
      </c>
      <c r="K435" s="112"/>
      <c r="L435" s="135">
        <v>1</v>
      </c>
      <c r="M435" s="135">
        <v>1</v>
      </c>
      <c r="N435" s="112"/>
      <c r="O435" s="112"/>
      <c r="P435" s="112" t="str">
        <f>VLOOKUP(B435, 'Companies covered restructured'!$B$7:$K$470, 9, FALSE)</f>
        <v xml:space="preserve">Agriculture financing systems </v>
      </c>
      <c r="Q435" s="112" t="str">
        <f>VLOOKUP(B435, 'Companies covered restructured'!$B$7:$K$470, 6, FALSE)</f>
        <v>#Livestock(100)</v>
      </c>
      <c r="R435" s="112" t="str">
        <f t="shared" si="214"/>
        <v>N/A</v>
      </c>
      <c r="S435" s="112" t="s">
        <v>11003</v>
      </c>
      <c r="T435" s="112" t="s">
        <v>10464</v>
      </c>
      <c r="U435" s="213" t="s">
        <v>10970</v>
      </c>
      <c r="V435" s="112" t="str">
        <f>VLOOKUP(P435, 'Bottom-up Tagging Assumptions'!$B$12:$F$39, 5, FALSE)</f>
        <v>#Process Innovation(100)</v>
      </c>
      <c r="W435" s="112" t="str">
        <f>VLOOKUP(B435, 'Companies covered restructured'!$B$7:$K$470, 7, FALSE)</f>
        <v>#Landscape(100)</v>
      </c>
      <c r="X435" s="112" t="s">
        <v>10558</v>
      </c>
      <c r="Y435" s="212" t="str">
        <f>VLOOKUP(P435, 'Bottom-up Tagging Assumptions'!$B$12:$C$56, 2, FALSE)</f>
        <v>#Other Economic(P); Social(S)</v>
      </c>
      <c r="Z435" s="112" t="str">
        <f>VLOOKUP(P435, 'Bottom-up Tagging Assumptions'!$B$12:$F$56, 3, FALSE)</f>
        <v>NA</v>
      </c>
      <c r="AA435" s="112" t="str">
        <f>VLOOKUP(P435, 'Bottom-up Tagging Assumptions'!$B$12:$F$56, 4, FALSE)</f>
        <v>#Level 1(100)</v>
      </c>
      <c r="AB435" s="110" t="s">
        <v>865</v>
      </c>
      <c r="AC435" s="110"/>
      <c r="AD435" s="110"/>
      <c r="AE435" s="110" t="s">
        <v>10558</v>
      </c>
      <c r="AF435" s="112"/>
      <c r="AG435" s="110" t="s">
        <v>868</v>
      </c>
      <c r="AH435" s="121">
        <f t="shared" si="215"/>
        <v>0</v>
      </c>
      <c r="AI435" s="121">
        <f t="shared" si="216"/>
        <v>0</v>
      </c>
      <c r="AJ435" s="121">
        <f t="shared" si="217"/>
        <v>1</v>
      </c>
      <c r="AK435" s="121">
        <f t="shared" si="218"/>
        <v>1</v>
      </c>
      <c r="AL435" s="121">
        <f t="shared" si="219"/>
        <v>0</v>
      </c>
      <c r="AM435" s="121">
        <f t="shared" si="220"/>
        <v>0</v>
      </c>
      <c r="AN435" s="121">
        <f t="shared" si="221"/>
        <v>1</v>
      </c>
      <c r="AO435" s="121">
        <f t="shared" si="222"/>
        <v>0</v>
      </c>
      <c r="AP435" s="22">
        <f t="shared" si="223"/>
        <v>0</v>
      </c>
      <c r="AQ435" s="22">
        <f t="shared" si="224"/>
        <v>81719.497833687376</v>
      </c>
      <c r="AR435" s="22">
        <f t="shared" si="225"/>
        <v>0</v>
      </c>
      <c r="AS435" s="121" t="str">
        <f t="shared" si="226"/>
        <v>Livestock</v>
      </c>
      <c r="AT435" s="121" t="str">
        <f t="shared" si="245"/>
        <v xml:space="preserve"> </v>
      </c>
      <c r="AU435" s="121" t="str">
        <f t="shared" si="245"/>
        <v xml:space="preserve"> </v>
      </c>
      <c r="AV435" s="121" t="str">
        <f t="shared" si="245"/>
        <v xml:space="preserve"> </v>
      </c>
      <c r="AW435" s="130" t="str">
        <f t="shared" si="246"/>
        <v>100</v>
      </c>
      <c r="AX435" s="130" t="str">
        <f t="shared" si="246"/>
        <v xml:space="preserve"> </v>
      </c>
      <c r="AY435" s="130" t="str">
        <f t="shared" si="246"/>
        <v xml:space="preserve"> </v>
      </c>
      <c r="AZ435" s="130" t="str">
        <f t="shared" si="246"/>
        <v xml:space="preserve"> </v>
      </c>
      <c r="BA435" s="121">
        <f t="shared" si="227"/>
        <v>81719.497833687376</v>
      </c>
      <c r="BB435" s="121">
        <f t="shared" si="228"/>
        <v>0</v>
      </c>
      <c r="BC435" s="121">
        <f t="shared" si="229"/>
        <v>0</v>
      </c>
      <c r="BD435" s="121">
        <f t="shared" si="230"/>
        <v>0</v>
      </c>
      <c r="BE435" s="121">
        <f t="shared" si="231"/>
        <v>0</v>
      </c>
      <c r="BF435" s="121">
        <f t="shared" si="232"/>
        <v>0</v>
      </c>
      <c r="BG435" s="121">
        <f t="shared" si="233"/>
        <v>0</v>
      </c>
      <c r="BH435" s="121">
        <f t="shared" si="234"/>
        <v>0</v>
      </c>
      <c r="BI435" s="121">
        <f t="shared" si="235"/>
        <v>81719.497833687376</v>
      </c>
      <c r="BJ435" s="121">
        <f t="shared" si="236"/>
        <v>81719.497833687376</v>
      </c>
      <c r="BK435" s="121">
        <f t="shared" si="237"/>
        <v>81719.497833687376</v>
      </c>
      <c r="BL435" s="121">
        <f t="shared" si="238"/>
        <v>81719.497833687376</v>
      </c>
      <c r="BM435" s="121">
        <f t="shared" si="239"/>
        <v>0</v>
      </c>
      <c r="BN435" s="121">
        <f t="shared" si="240"/>
        <v>0</v>
      </c>
      <c r="BO435" s="121">
        <f t="shared" si="241"/>
        <v>0</v>
      </c>
      <c r="BP435" s="121">
        <f t="shared" si="242"/>
        <v>0</v>
      </c>
      <c r="BQ435" s="199">
        <f>INDEX('GDP deflators'!$C$6:$M$36,MATCH('Bottom-up tagging'!$D435,'GDP deflators'!$B$6:$B$36,),MATCH('Bottom-up tagging'!$E435,'GDP deflators'!$C$5:$L$5,))/100</f>
        <v>1.6122835246509113</v>
      </c>
      <c r="BR435" s="24">
        <v>131755</v>
      </c>
    </row>
    <row r="436" spans="2:70" ht="26.15" hidden="1" customHeight="1">
      <c r="B436" s="110" t="s">
        <v>2363</v>
      </c>
      <c r="C436" s="110" t="s">
        <v>2367</v>
      </c>
      <c r="D436" s="110" t="s">
        <v>5277</v>
      </c>
      <c r="E436" s="103">
        <v>2016</v>
      </c>
      <c r="F436" s="108" t="s">
        <v>9263</v>
      </c>
      <c r="G436" s="111" t="s">
        <v>34</v>
      </c>
      <c r="H436" s="110" t="s">
        <v>10451</v>
      </c>
      <c r="I436" s="112">
        <f>IF(Dashboard!$B$16="Current USD",'Bottom-up tagging'!BR436,'Bottom-up tagging'!BR436/'Bottom-up tagging'!BQ436)</f>
        <v>95093.734312922606</v>
      </c>
      <c r="J436" s="105" t="s">
        <v>10474</v>
      </c>
      <c r="K436" s="112"/>
      <c r="L436" s="135">
        <v>1</v>
      </c>
      <c r="M436" s="135">
        <v>1</v>
      </c>
      <c r="N436" s="112"/>
      <c r="O436" s="112"/>
      <c r="P436" s="112" t="str">
        <f>VLOOKUP(B436, 'Companies covered restructured'!$B$7:$K$470, 9, FALSE)</f>
        <v>Agri marketplaces</v>
      </c>
      <c r="Q436" s="112" t="str">
        <f>VLOOKUP(B436, 'Companies covered restructured'!$B$7:$K$470, 6, FALSE)</f>
        <v>#Crops(100)</v>
      </c>
      <c r="R436" s="112" t="str">
        <f t="shared" si="214"/>
        <v>#Investment Fund(100)</v>
      </c>
      <c r="S436" s="112" t="s">
        <v>11003</v>
      </c>
      <c r="T436" s="112" t="s">
        <v>10466</v>
      </c>
      <c r="U436" s="103" t="s">
        <v>10970</v>
      </c>
      <c r="V436" s="112" t="str">
        <f>VLOOKUP(P436, 'Bottom-up Tagging Assumptions'!$B$12:$F$39, 5, FALSE)</f>
        <v>#Process Innovation(100)</v>
      </c>
      <c r="W436" s="112" t="str">
        <f>VLOOKUP(B436, 'Companies covered restructured'!$B$7:$K$470, 7, FALSE)</f>
        <v>#Farm/Household(100)</v>
      </c>
      <c r="X436" s="112" t="str">
        <f>VLOOKUP(B436, 'Companies covered restructured'!$B$7:$K$470, 8, FALSE)</f>
        <v>N/A</v>
      </c>
      <c r="Y436" s="212" t="str">
        <f>VLOOKUP(P436, 'Bottom-up Tagging Assumptions'!$B$12:$C$56, 2, FALSE)</f>
        <v>#Other Economic(P); Social(S)</v>
      </c>
      <c r="Z436" s="112" t="str">
        <f>VLOOKUP(P436, 'Bottom-up Tagging Assumptions'!$B$12:$F$56, 3, FALSE)</f>
        <v>#Improve price realization(P)</v>
      </c>
      <c r="AA436" s="112" t="str">
        <f>VLOOKUP(P436, 'Bottom-up Tagging Assumptions'!$B$12:$F$56, 4, FALSE)</f>
        <v>#Level 4(100)</v>
      </c>
      <c r="AB436" s="110" t="s">
        <v>2536</v>
      </c>
      <c r="AC436" s="110"/>
      <c r="AD436" s="110" t="s">
        <v>2537</v>
      </c>
      <c r="AE436" s="110" t="str">
        <f>VLOOKUP(AD436,  '1.2'!$B$7:$C$2033, 2, FALSE)</f>
        <v>FUND</v>
      </c>
      <c r="AF436" s="112">
        <v>2500000</v>
      </c>
      <c r="AG436" s="110" t="s">
        <v>2351</v>
      </c>
      <c r="AH436" s="121">
        <f t="shared" si="215"/>
        <v>0</v>
      </c>
      <c r="AI436" s="121">
        <f t="shared" si="216"/>
        <v>0</v>
      </c>
      <c r="AJ436" s="121">
        <f t="shared" si="217"/>
        <v>1</v>
      </c>
      <c r="AK436" s="121">
        <f t="shared" si="218"/>
        <v>1</v>
      </c>
      <c r="AL436" s="121">
        <f t="shared" si="219"/>
        <v>0</v>
      </c>
      <c r="AM436" s="121">
        <f t="shared" si="220"/>
        <v>0</v>
      </c>
      <c r="AN436" s="121">
        <f t="shared" si="221"/>
        <v>1</v>
      </c>
      <c r="AO436" s="121">
        <f t="shared" si="222"/>
        <v>0</v>
      </c>
      <c r="AP436" s="22">
        <f t="shared" si="223"/>
        <v>0</v>
      </c>
      <c r="AQ436" s="22">
        <f t="shared" si="224"/>
        <v>95093.734312922606</v>
      </c>
      <c r="AR436" s="22">
        <f t="shared" si="225"/>
        <v>0</v>
      </c>
      <c r="AS436" s="121" t="str">
        <f t="shared" si="226"/>
        <v>Crops</v>
      </c>
      <c r="AT436" s="121" t="str">
        <f t="shared" si="245"/>
        <v xml:space="preserve"> </v>
      </c>
      <c r="AU436" s="121" t="str">
        <f t="shared" si="245"/>
        <v xml:space="preserve"> </v>
      </c>
      <c r="AV436" s="121" t="str">
        <f t="shared" si="245"/>
        <v xml:space="preserve"> </v>
      </c>
      <c r="AW436" s="130" t="str">
        <f t="shared" si="246"/>
        <v>100</v>
      </c>
      <c r="AX436" s="130" t="str">
        <f t="shared" si="246"/>
        <v xml:space="preserve"> </v>
      </c>
      <c r="AY436" s="130" t="str">
        <f t="shared" si="246"/>
        <v xml:space="preserve"> </v>
      </c>
      <c r="AZ436" s="130" t="str">
        <f t="shared" si="246"/>
        <v xml:space="preserve"> </v>
      </c>
      <c r="BA436" s="121">
        <f t="shared" si="227"/>
        <v>95093.734312922606</v>
      </c>
      <c r="BB436" s="121">
        <f t="shared" si="228"/>
        <v>0</v>
      </c>
      <c r="BC436" s="121">
        <f t="shared" si="229"/>
        <v>0</v>
      </c>
      <c r="BD436" s="121">
        <f t="shared" si="230"/>
        <v>0</v>
      </c>
      <c r="BE436" s="121">
        <f t="shared" si="231"/>
        <v>0</v>
      </c>
      <c r="BF436" s="121">
        <f t="shared" si="232"/>
        <v>0</v>
      </c>
      <c r="BG436" s="121">
        <f t="shared" si="233"/>
        <v>0</v>
      </c>
      <c r="BH436" s="121">
        <f t="shared" si="234"/>
        <v>0</v>
      </c>
      <c r="BI436" s="121">
        <f t="shared" si="235"/>
        <v>95093.734312922606</v>
      </c>
      <c r="BJ436" s="121">
        <f t="shared" si="236"/>
        <v>95093.734312922606</v>
      </c>
      <c r="BK436" s="121">
        <f t="shared" si="237"/>
        <v>95093.734312922606</v>
      </c>
      <c r="BL436" s="121">
        <f t="shared" si="238"/>
        <v>95093.734312922606</v>
      </c>
      <c r="BM436" s="121">
        <f t="shared" si="239"/>
        <v>0</v>
      </c>
      <c r="BN436" s="121">
        <f t="shared" si="240"/>
        <v>0</v>
      </c>
      <c r="BO436" s="121">
        <f t="shared" si="241"/>
        <v>0</v>
      </c>
      <c r="BP436" s="121">
        <f t="shared" si="242"/>
        <v>0</v>
      </c>
      <c r="BQ436" s="199">
        <f>INDEX('GDP deflators'!$C$6:$M$36,MATCH('Bottom-up tagging'!$D436,'GDP deflators'!$B$6:$B$36,),MATCH('Bottom-up tagging'!$E436,'GDP deflators'!$C$5:$L$5,))/100</f>
        <v>1.3144924942022529</v>
      </c>
      <c r="BR436" s="24">
        <v>125000</v>
      </c>
    </row>
    <row r="437" spans="2:70" ht="26.15" hidden="1" customHeight="1">
      <c r="B437" s="110" t="s">
        <v>1685</v>
      </c>
      <c r="C437" s="110" t="s">
        <v>1690</v>
      </c>
      <c r="D437" s="110" t="s">
        <v>3994</v>
      </c>
      <c r="E437" s="103">
        <v>2014</v>
      </c>
      <c r="F437" s="108" t="s">
        <v>8549</v>
      </c>
      <c r="G437" s="111" t="s">
        <v>124</v>
      </c>
      <c r="H437" s="110" t="s">
        <v>10451</v>
      </c>
      <c r="I437" s="112">
        <f>IF(Dashboard!$B$16="Current USD",'Bottom-up tagging'!BR437,'Bottom-up tagging'!BR437/'Bottom-up tagging'!BQ437)</f>
        <v>96275.209573176413</v>
      </c>
      <c r="J437" s="118" t="s">
        <v>10474</v>
      </c>
      <c r="K437" s="112"/>
      <c r="L437" s="135">
        <v>1</v>
      </c>
      <c r="M437" s="135">
        <v>1</v>
      </c>
      <c r="N437" s="112"/>
      <c r="O437" s="112"/>
      <c r="P437" s="112" t="str">
        <f>VLOOKUP(B437, 'Companies covered restructured'!$B$7:$K$470, 9, FALSE)</f>
        <v>Agri marketplaces</v>
      </c>
      <c r="Q437" s="112" t="str">
        <f>VLOOKUP(B437, 'Companies covered restructured'!$B$7:$K$470, 6, FALSE)</f>
        <v>#Crops(100)</v>
      </c>
      <c r="R437" s="112" t="str">
        <f t="shared" si="214"/>
        <v>#Angel Investor(100)</v>
      </c>
      <c r="S437" s="112" t="s">
        <v>11003</v>
      </c>
      <c r="T437" s="112" t="s">
        <v>10466</v>
      </c>
      <c r="U437" s="103" t="s">
        <v>10970</v>
      </c>
      <c r="V437" s="112" t="str">
        <f>VLOOKUP(P437, 'Bottom-up Tagging Assumptions'!$B$12:$F$39, 5, FALSE)</f>
        <v>#Process Innovation(100)</v>
      </c>
      <c r="W437" s="112" t="str">
        <f>VLOOKUP(B437, 'Companies covered restructured'!$B$7:$K$470, 7, FALSE)</f>
        <v>#Landscape(100)</v>
      </c>
      <c r="X437" s="112" t="str">
        <f>VLOOKUP(B437, 'Companies covered restructured'!$B$7:$K$470, 8, FALSE)</f>
        <v>N/A</v>
      </c>
      <c r="Y437" s="212" t="str">
        <f>VLOOKUP(P437, 'Bottom-up Tagging Assumptions'!$B$12:$C$56, 2, FALSE)</f>
        <v>#Other Economic(P); Social(S)</v>
      </c>
      <c r="Z437" s="112" t="str">
        <f>VLOOKUP(P437, 'Bottom-up Tagging Assumptions'!$B$12:$F$56, 3, FALSE)</f>
        <v>#Improve price realization(P)</v>
      </c>
      <c r="AA437" s="112" t="str">
        <f>VLOOKUP(P437, 'Bottom-up Tagging Assumptions'!$B$12:$F$56, 4, FALSE)</f>
        <v>#Level 4(100)</v>
      </c>
      <c r="AB437" s="110"/>
      <c r="AC437" s="110" t="s">
        <v>2894</v>
      </c>
      <c r="AD437" s="110" t="s">
        <v>2895</v>
      </c>
      <c r="AE437" s="110" t="s">
        <v>3127</v>
      </c>
      <c r="AF437" s="112"/>
      <c r="AG437" s="110" t="s">
        <v>2685</v>
      </c>
      <c r="AH437" s="121">
        <f t="shared" si="215"/>
        <v>0</v>
      </c>
      <c r="AI437" s="121">
        <f t="shared" si="216"/>
        <v>0</v>
      </c>
      <c r="AJ437" s="121">
        <f t="shared" si="217"/>
        <v>1</v>
      </c>
      <c r="AK437" s="121">
        <f t="shared" si="218"/>
        <v>1</v>
      </c>
      <c r="AL437" s="121">
        <f t="shared" si="219"/>
        <v>0</v>
      </c>
      <c r="AM437" s="121">
        <f t="shared" si="220"/>
        <v>0</v>
      </c>
      <c r="AN437" s="121">
        <f t="shared" si="221"/>
        <v>1</v>
      </c>
      <c r="AO437" s="121">
        <f t="shared" si="222"/>
        <v>0</v>
      </c>
      <c r="AP437" s="22">
        <f t="shared" si="223"/>
        <v>0</v>
      </c>
      <c r="AQ437" s="22">
        <f t="shared" si="224"/>
        <v>96275.209573176413</v>
      </c>
      <c r="AR437" s="22">
        <f t="shared" si="225"/>
        <v>0</v>
      </c>
      <c r="AS437" s="121" t="str">
        <f t="shared" si="226"/>
        <v>Crops</v>
      </c>
      <c r="AT437" s="121" t="str">
        <f t="shared" si="245"/>
        <v xml:space="preserve"> </v>
      </c>
      <c r="AU437" s="121" t="str">
        <f t="shared" si="245"/>
        <v xml:space="preserve"> </v>
      </c>
      <c r="AV437" s="121" t="str">
        <f t="shared" si="245"/>
        <v xml:space="preserve"> </v>
      </c>
      <c r="AW437" s="130" t="str">
        <f t="shared" si="246"/>
        <v>100</v>
      </c>
      <c r="AX437" s="130" t="str">
        <f t="shared" si="246"/>
        <v xml:space="preserve"> </v>
      </c>
      <c r="AY437" s="130" t="str">
        <f t="shared" si="246"/>
        <v xml:space="preserve"> </v>
      </c>
      <c r="AZ437" s="130" t="str">
        <f t="shared" si="246"/>
        <v xml:space="preserve"> </v>
      </c>
      <c r="BA437" s="121">
        <f t="shared" si="227"/>
        <v>96275.209573176413</v>
      </c>
      <c r="BB437" s="121">
        <f t="shared" si="228"/>
        <v>0</v>
      </c>
      <c r="BC437" s="121">
        <f t="shared" si="229"/>
        <v>0</v>
      </c>
      <c r="BD437" s="121">
        <f t="shared" si="230"/>
        <v>0</v>
      </c>
      <c r="BE437" s="121">
        <f t="shared" si="231"/>
        <v>0</v>
      </c>
      <c r="BF437" s="121">
        <f t="shared" si="232"/>
        <v>0</v>
      </c>
      <c r="BG437" s="121">
        <f t="shared" si="233"/>
        <v>0</v>
      </c>
      <c r="BH437" s="121">
        <f t="shared" si="234"/>
        <v>0</v>
      </c>
      <c r="BI437" s="121">
        <f t="shared" si="235"/>
        <v>96275.209573176413</v>
      </c>
      <c r="BJ437" s="121">
        <f t="shared" si="236"/>
        <v>96275.209573176413</v>
      </c>
      <c r="BK437" s="121">
        <f t="shared" si="237"/>
        <v>96275.209573176413</v>
      </c>
      <c r="BL437" s="121">
        <f t="shared" si="238"/>
        <v>96275.209573176413</v>
      </c>
      <c r="BM437" s="121">
        <f t="shared" si="239"/>
        <v>0</v>
      </c>
      <c r="BN437" s="121">
        <f t="shared" si="240"/>
        <v>0</v>
      </c>
      <c r="BO437" s="121">
        <f t="shared" si="241"/>
        <v>0</v>
      </c>
      <c r="BP437" s="121">
        <f t="shared" si="242"/>
        <v>0</v>
      </c>
      <c r="BQ437" s="199">
        <f>INDEX('GDP deflators'!$C$6:$M$36,MATCH('Bottom-up tagging'!$D437,'GDP deflators'!$B$6:$B$36,),MATCH('Bottom-up tagging'!$E437,'GDP deflators'!$C$5:$L$5,))/100</f>
        <v>1.2877354466392321</v>
      </c>
      <c r="BR437" s="24">
        <v>123977</v>
      </c>
    </row>
    <row r="438" spans="2:70" ht="26.15" hidden="1" customHeight="1">
      <c r="B438" s="110" t="s">
        <v>1082</v>
      </c>
      <c r="C438" s="110" t="s">
        <v>1087</v>
      </c>
      <c r="D438" s="110" t="s">
        <v>7148</v>
      </c>
      <c r="E438" s="103">
        <v>2019</v>
      </c>
      <c r="F438" s="108" t="s">
        <v>7154</v>
      </c>
      <c r="G438" s="111" t="s">
        <v>34</v>
      </c>
      <c r="H438" s="110" t="s">
        <v>10451</v>
      </c>
      <c r="I438" s="112">
        <f>IF(Dashboard!$B$16="Current USD",'Bottom-up tagging'!BR438,'Bottom-up tagging'!BR438/'Bottom-up tagging'!BQ438)</f>
        <v>91005.396812606239</v>
      </c>
      <c r="J438" s="105" t="s">
        <v>10474</v>
      </c>
      <c r="K438" s="112"/>
      <c r="L438" s="135">
        <v>1</v>
      </c>
      <c r="M438" s="135">
        <v>1</v>
      </c>
      <c r="N438" s="112"/>
      <c r="O438" s="112"/>
      <c r="P438" s="112" t="str">
        <f>VLOOKUP(B438, 'Companies covered restructured'!$B$7:$K$470, 9, FALSE)</f>
        <v>AI/analytics based advisory algorithms (incl. weather)</v>
      </c>
      <c r="Q438" s="112" t="str">
        <f>VLOOKUP(B438, 'Companies covered restructured'!$B$7:$K$470, 6, FALSE)</f>
        <v>#Crops(100)</v>
      </c>
      <c r="R438" s="112" t="str">
        <f t="shared" si="214"/>
        <v>#Investment Fund(100)</v>
      </c>
      <c r="S438" s="112" t="s">
        <v>11003</v>
      </c>
      <c r="T438" s="112" t="s">
        <v>10466</v>
      </c>
      <c r="U438" s="103" t="s">
        <v>10970</v>
      </c>
      <c r="V438" s="112" t="str">
        <f>VLOOKUP(P438, 'Bottom-up Tagging Assumptions'!$B$12:$F$39, 5, FALSE)</f>
        <v>#Science &amp; tech(100)</v>
      </c>
      <c r="W438" s="112" t="str">
        <f>VLOOKUP(B438, 'Companies covered restructured'!$B$7:$K$470, 7, FALSE)</f>
        <v>#Field/Animal Herd(100)</v>
      </c>
      <c r="X438" s="112" t="s">
        <v>10558</v>
      </c>
      <c r="Y438" s="212" t="str">
        <f>VLOOKUP(P438, 'Bottom-up Tagging Assumptions'!$B$12:$C$56, 2, FALSE)</f>
        <v>#Other Economic(P); #Productivity(S)</v>
      </c>
      <c r="Z438" s="112" t="str">
        <f>VLOOKUP(P438, 'Bottom-up Tagging Assumptions'!$B$12:$F$56, 3, FALSE)</f>
        <v>#Increasing output per unit input(P); #Increasing crop or animal yield(S)</v>
      </c>
      <c r="AA438" s="112" t="str">
        <f>VLOOKUP(P438, 'Bottom-up Tagging Assumptions'!$B$12:$F$56, 4, FALSE)</f>
        <v>#Level 1(100)</v>
      </c>
      <c r="AB438" s="110" t="s">
        <v>1084</v>
      </c>
      <c r="AC438" s="110"/>
      <c r="AD438" s="110" t="s">
        <v>1085</v>
      </c>
      <c r="AE438" s="110" t="s">
        <v>3114</v>
      </c>
      <c r="AF438" s="112">
        <v>10000000</v>
      </c>
      <c r="AG438" s="110" t="s">
        <v>2689</v>
      </c>
      <c r="AH438" s="121">
        <f t="shared" si="215"/>
        <v>0</v>
      </c>
      <c r="AI438" s="121">
        <f t="shared" si="216"/>
        <v>1</v>
      </c>
      <c r="AJ438" s="121">
        <f t="shared" si="217"/>
        <v>1</v>
      </c>
      <c r="AK438" s="121">
        <f t="shared" si="218"/>
        <v>0</v>
      </c>
      <c r="AL438" s="121">
        <f t="shared" si="219"/>
        <v>0</v>
      </c>
      <c r="AM438" s="121">
        <f t="shared" si="220"/>
        <v>0</v>
      </c>
      <c r="AN438" s="121">
        <f t="shared" si="221"/>
        <v>0</v>
      </c>
      <c r="AO438" s="121">
        <f t="shared" si="222"/>
        <v>0</v>
      </c>
      <c r="AP438" s="22">
        <f t="shared" si="223"/>
        <v>0</v>
      </c>
      <c r="AQ438" s="22">
        <f t="shared" si="224"/>
        <v>0</v>
      </c>
      <c r="AR438" s="22">
        <f t="shared" si="225"/>
        <v>0</v>
      </c>
      <c r="AS438" s="121" t="str">
        <f t="shared" si="226"/>
        <v>Crops</v>
      </c>
      <c r="AT438" s="121" t="str">
        <f t="shared" si="245"/>
        <v xml:space="preserve"> </v>
      </c>
      <c r="AU438" s="121" t="str">
        <f t="shared" si="245"/>
        <v xml:space="preserve"> </v>
      </c>
      <c r="AV438" s="121" t="str">
        <f t="shared" si="245"/>
        <v xml:space="preserve"> </v>
      </c>
      <c r="AW438" s="130" t="str">
        <f t="shared" si="246"/>
        <v>100</v>
      </c>
      <c r="AX438" s="130" t="str">
        <f t="shared" si="246"/>
        <v xml:space="preserve"> </v>
      </c>
      <c r="AY438" s="130" t="str">
        <f t="shared" si="246"/>
        <v xml:space="preserve"> </v>
      </c>
      <c r="AZ438" s="130" t="str">
        <f t="shared" si="246"/>
        <v xml:space="preserve"> </v>
      </c>
      <c r="BA438" s="121">
        <f t="shared" si="227"/>
        <v>91005.396812606225</v>
      </c>
      <c r="BB438" s="121">
        <f t="shared" si="228"/>
        <v>0</v>
      </c>
      <c r="BC438" s="121">
        <f t="shared" si="229"/>
        <v>0</v>
      </c>
      <c r="BD438" s="121">
        <f t="shared" si="230"/>
        <v>0</v>
      </c>
      <c r="BE438" s="121">
        <f t="shared" si="231"/>
        <v>0</v>
      </c>
      <c r="BF438" s="121">
        <f t="shared" si="232"/>
        <v>0</v>
      </c>
      <c r="BG438" s="121">
        <f t="shared" si="233"/>
        <v>0</v>
      </c>
      <c r="BH438" s="121">
        <f t="shared" si="234"/>
        <v>0</v>
      </c>
      <c r="BI438" s="121">
        <f t="shared" si="235"/>
        <v>0</v>
      </c>
      <c r="BJ438" s="121">
        <f t="shared" si="236"/>
        <v>0</v>
      </c>
      <c r="BK438" s="121">
        <f t="shared" si="237"/>
        <v>0</v>
      </c>
      <c r="BL438" s="121">
        <f t="shared" si="238"/>
        <v>0</v>
      </c>
      <c r="BM438" s="121">
        <f t="shared" si="239"/>
        <v>0</v>
      </c>
      <c r="BN438" s="121">
        <f t="shared" si="240"/>
        <v>0</v>
      </c>
      <c r="BO438" s="121">
        <f t="shared" si="241"/>
        <v>0</v>
      </c>
      <c r="BP438" s="121">
        <f t="shared" si="242"/>
        <v>0</v>
      </c>
      <c r="BQ438" s="199">
        <f>INDEX('GDP deflators'!$C$6:$M$36,MATCH('Bottom-up tagging'!$D438,'GDP deflators'!$B$6:$B$36,),MATCH('Bottom-up tagging'!$E438,'GDP deflators'!$C$5:$L$5,))/100</f>
        <v>1.3186031180886777</v>
      </c>
      <c r="BR438" s="24">
        <v>120000</v>
      </c>
    </row>
    <row r="439" spans="2:70" ht="26.15" hidden="1" customHeight="1">
      <c r="B439" s="110" t="s">
        <v>712</v>
      </c>
      <c r="C439" s="110" t="s">
        <v>710</v>
      </c>
      <c r="D439" s="110" t="s">
        <v>3994</v>
      </c>
      <c r="E439" s="103">
        <v>2018</v>
      </c>
      <c r="F439" s="108" t="s">
        <v>5869</v>
      </c>
      <c r="G439" s="111" t="s">
        <v>34</v>
      </c>
      <c r="H439" s="110" t="s">
        <v>10451</v>
      </c>
      <c r="I439" s="112">
        <f>IF(Dashboard!$B$16="Current USD",'Bottom-up tagging'!BR439,'Bottom-up tagging'!BR439/'Bottom-up tagging'!BQ439)</f>
        <v>81334.231877768703</v>
      </c>
      <c r="J439" s="117" t="s">
        <v>10474</v>
      </c>
      <c r="K439" s="112"/>
      <c r="L439" s="135">
        <v>1</v>
      </c>
      <c r="M439" s="135">
        <v>1</v>
      </c>
      <c r="N439" s="112"/>
      <c r="O439" s="112"/>
      <c r="P439" s="112" t="str">
        <f>VLOOKUP(B439, 'Companies covered restructured'!$B$7:$K$470, 9, FALSE)</f>
        <v>Precision agriculture</v>
      </c>
      <c r="Q439" s="112" t="str">
        <f>VLOOKUP(B439, 'Companies covered restructured'!$B$7:$K$470, 6, FALSE)</f>
        <v>#Crops(100)</v>
      </c>
      <c r="R439" s="112" t="str">
        <f t="shared" si="214"/>
        <v>#Investment Fund(100)</v>
      </c>
      <c r="S439" s="112" t="s">
        <v>11003</v>
      </c>
      <c r="T439" s="112" t="s">
        <v>10466</v>
      </c>
      <c r="U439" s="213" t="s">
        <v>10970</v>
      </c>
      <c r="V439" s="112" t="str">
        <f>VLOOKUP(P439, 'Bottom-up Tagging Assumptions'!$B$12:$F$39, 5, FALSE)</f>
        <v>#Science &amp; tech(100)</v>
      </c>
      <c r="W439" s="112" t="str">
        <f>VLOOKUP(B439, 'Companies covered restructured'!$B$7:$K$470, 7, FALSE)</f>
        <v>#Field/Animal Herd(100)</v>
      </c>
      <c r="X439" s="112" t="s">
        <v>10558</v>
      </c>
      <c r="Y439" s="212" t="str">
        <f>VLOOKUP(P439, 'Bottom-up Tagging Assumptions'!$B$12:$C$56, 2, FALSE)</f>
        <v>#Other Economic(P); #Productivity(S)</v>
      </c>
      <c r="Z439" s="112" t="str">
        <f>VLOOKUP(P439, 'Bottom-up Tagging Assumptions'!$B$12:$F$56, 3, FALSE)</f>
        <v>#Increasing output per unit input(P); #Increasing crop or animal yield(S)</v>
      </c>
      <c r="AA439" s="112" t="str">
        <f>VLOOKUP(P439, 'Bottom-up Tagging Assumptions'!$B$12:$F$56, 4, FALSE)</f>
        <v>#Level 1(100)</v>
      </c>
      <c r="AB439" s="110" t="s">
        <v>1735</v>
      </c>
      <c r="AC439" s="110"/>
      <c r="AD439" s="110" t="s">
        <v>1736</v>
      </c>
      <c r="AE439" s="110" t="str">
        <f>VLOOKUP(AD439,  '1.2'!$B$7:$C$2033, 2, FALSE)</f>
        <v>FUND</v>
      </c>
      <c r="AF439" s="112">
        <v>17022002</v>
      </c>
      <c r="AG439" s="110" t="s">
        <v>748</v>
      </c>
      <c r="AH439" s="121">
        <f t="shared" si="215"/>
        <v>0</v>
      </c>
      <c r="AI439" s="121">
        <f t="shared" si="216"/>
        <v>1</v>
      </c>
      <c r="AJ439" s="121">
        <f t="shared" si="217"/>
        <v>1</v>
      </c>
      <c r="AK439" s="121">
        <f t="shared" si="218"/>
        <v>0</v>
      </c>
      <c r="AL439" s="121">
        <f t="shared" si="219"/>
        <v>0</v>
      </c>
      <c r="AM439" s="121">
        <f t="shared" si="220"/>
        <v>0</v>
      </c>
      <c r="AN439" s="121">
        <f t="shared" si="221"/>
        <v>0</v>
      </c>
      <c r="AO439" s="121">
        <f t="shared" si="222"/>
        <v>0</v>
      </c>
      <c r="AP439" s="22">
        <f t="shared" si="223"/>
        <v>0</v>
      </c>
      <c r="AQ439" s="22">
        <f t="shared" si="224"/>
        <v>0</v>
      </c>
      <c r="AR439" s="22">
        <f t="shared" si="225"/>
        <v>0</v>
      </c>
      <c r="AS439" s="121" t="str">
        <f t="shared" si="226"/>
        <v>Crops</v>
      </c>
      <c r="AT439" s="121" t="str">
        <f t="shared" si="245"/>
        <v xml:space="preserve"> </v>
      </c>
      <c r="AU439" s="121" t="str">
        <f t="shared" si="245"/>
        <v xml:space="preserve"> </v>
      </c>
      <c r="AV439" s="121" t="str">
        <f t="shared" si="245"/>
        <v xml:space="preserve"> </v>
      </c>
      <c r="AW439" s="130" t="str">
        <f t="shared" si="246"/>
        <v>100</v>
      </c>
      <c r="AX439" s="130" t="str">
        <f t="shared" si="246"/>
        <v xml:space="preserve"> </v>
      </c>
      <c r="AY439" s="130" t="str">
        <f t="shared" si="246"/>
        <v xml:space="preserve"> </v>
      </c>
      <c r="AZ439" s="130" t="str">
        <f t="shared" si="246"/>
        <v xml:space="preserve"> </v>
      </c>
      <c r="BA439" s="121">
        <f t="shared" si="227"/>
        <v>81334.231877768703</v>
      </c>
      <c r="BB439" s="121">
        <f t="shared" si="228"/>
        <v>0</v>
      </c>
      <c r="BC439" s="121">
        <f t="shared" si="229"/>
        <v>0</v>
      </c>
      <c r="BD439" s="121">
        <f t="shared" si="230"/>
        <v>0</v>
      </c>
      <c r="BE439" s="121">
        <f t="shared" si="231"/>
        <v>0</v>
      </c>
      <c r="BF439" s="121">
        <f t="shared" si="232"/>
        <v>0</v>
      </c>
      <c r="BG439" s="121">
        <f t="shared" si="233"/>
        <v>0</v>
      </c>
      <c r="BH439" s="121">
        <f t="shared" si="234"/>
        <v>0</v>
      </c>
      <c r="BI439" s="121">
        <f t="shared" si="235"/>
        <v>0</v>
      </c>
      <c r="BJ439" s="121">
        <f t="shared" si="236"/>
        <v>0</v>
      </c>
      <c r="BK439" s="121">
        <f t="shared" si="237"/>
        <v>0</v>
      </c>
      <c r="BL439" s="121">
        <f t="shared" si="238"/>
        <v>0</v>
      </c>
      <c r="BM439" s="121">
        <f t="shared" si="239"/>
        <v>0</v>
      </c>
      <c r="BN439" s="121">
        <f t="shared" si="240"/>
        <v>0</v>
      </c>
      <c r="BO439" s="121">
        <f t="shared" si="241"/>
        <v>0</v>
      </c>
      <c r="BP439" s="121">
        <f t="shared" si="242"/>
        <v>0</v>
      </c>
      <c r="BQ439" s="199">
        <f>INDEX('GDP deflators'!$C$6:$M$36,MATCH('Bottom-up tagging'!$D439,'GDP deflators'!$B$6:$B$36,),MATCH('Bottom-up tagging'!$E439,'GDP deflators'!$C$5:$L$5,))/100</f>
        <v>1.4753935363936217</v>
      </c>
      <c r="BR439" s="24">
        <v>120000</v>
      </c>
    </row>
    <row r="440" spans="2:70" ht="26.15" hidden="1" customHeight="1">
      <c r="B440" s="110" t="s">
        <v>2073</v>
      </c>
      <c r="C440" s="110" t="s">
        <v>2076</v>
      </c>
      <c r="D440" s="110" t="s">
        <v>3468</v>
      </c>
      <c r="E440" s="103">
        <v>2017</v>
      </c>
      <c r="F440" s="108" t="s">
        <v>7384</v>
      </c>
      <c r="G440" s="111" t="s">
        <v>34</v>
      </c>
      <c r="H440" s="110" t="s">
        <v>10451</v>
      </c>
      <c r="I440" s="112">
        <f>IF(Dashboard!$B$16="Current USD",'Bottom-up tagging'!BR440,'Bottom-up tagging'!BR440/'Bottom-up tagging'!BQ440)</f>
        <v>75769.937728185629</v>
      </c>
      <c r="J440" s="118" t="s">
        <v>10474</v>
      </c>
      <c r="K440" s="112"/>
      <c r="L440" s="135">
        <v>1</v>
      </c>
      <c r="M440" s="135">
        <v>1</v>
      </c>
      <c r="N440" s="112"/>
      <c r="O440" s="112"/>
      <c r="P440" s="112" t="str">
        <f>VLOOKUP(B440, 'Companies covered restructured'!$B$7:$K$470, 9, FALSE)</f>
        <v>Animal health</v>
      </c>
      <c r="Q440" s="112" t="str">
        <f>VLOOKUP(B440, 'Companies covered restructured'!$B$7:$K$470, 6, FALSE)</f>
        <v>#Livestock(100)</v>
      </c>
      <c r="R440" s="112" t="str">
        <f t="shared" si="214"/>
        <v>N/A</v>
      </c>
      <c r="S440" s="112" t="s">
        <v>11003</v>
      </c>
      <c r="T440" s="112" t="s">
        <v>10466</v>
      </c>
      <c r="U440" s="103" t="s">
        <v>10970</v>
      </c>
      <c r="V440" s="112" t="str">
        <f>VLOOKUP(P440, 'Bottom-up Tagging Assumptions'!$B$12:$F$39, 5, FALSE)</f>
        <v>#Product Development(100)</v>
      </c>
      <c r="W440" s="112" t="str">
        <f>VLOOKUP(B440, 'Companies covered restructured'!$B$7:$K$470, 7, FALSE)</f>
        <v>#Field/Animal Herd(100)</v>
      </c>
      <c r="X440" s="112" t="s">
        <v>10558</v>
      </c>
      <c r="Y440" s="212" t="str">
        <f>VLOOKUP(P440, 'Bottom-up Tagging Assumptions'!$B$12:$C$56, 2, FALSE)</f>
        <v>#Productivity(P); Other economic(S)</v>
      </c>
      <c r="Z440" s="112" t="str">
        <f>VLOOKUP(P440, 'Bottom-up Tagging Assumptions'!$B$12:$F$56, 3, FALSE)</f>
        <v>#Increasing crop or animal yield(P)</v>
      </c>
      <c r="AA440" s="112" t="str">
        <f>VLOOKUP(P440, 'Bottom-up Tagging Assumptions'!$B$12:$F$56, 4, FALSE)</f>
        <v>#Level 2(100)</v>
      </c>
      <c r="AB440" s="110" t="s">
        <v>479</v>
      </c>
      <c r="AC440" s="110"/>
      <c r="AD440" s="110"/>
      <c r="AE440" s="110" t="s">
        <v>10558</v>
      </c>
      <c r="AF440" s="112"/>
      <c r="AG440" s="110" t="s">
        <v>2695</v>
      </c>
      <c r="AH440" s="121">
        <f t="shared" si="215"/>
        <v>0</v>
      </c>
      <c r="AI440" s="121">
        <f t="shared" si="216"/>
        <v>1</v>
      </c>
      <c r="AJ440" s="121">
        <f t="shared" si="217"/>
        <v>1</v>
      </c>
      <c r="AK440" s="121">
        <f t="shared" si="218"/>
        <v>0</v>
      </c>
      <c r="AL440" s="121">
        <f t="shared" si="219"/>
        <v>0</v>
      </c>
      <c r="AM440" s="121">
        <f t="shared" si="220"/>
        <v>0</v>
      </c>
      <c r="AN440" s="121">
        <f t="shared" si="221"/>
        <v>0</v>
      </c>
      <c r="AO440" s="121">
        <f t="shared" si="222"/>
        <v>0</v>
      </c>
      <c r="AP440" s="22">
        <f t="shared" si="223"/>
        <v>0</v>
      </c>
      <c r="AQ440" s="22">
        <f t="shared" si="224"/>
        <v>0</v>
      </c>
      <c r="AR440" s="22">
        <f t="shared" si="225"/>
        <v>0</v>
      </c>
      <c r="AS440" s="121" t="str">
        <f t="shared" si="226"/>
        <v>Livestock</v>
      </c>
      <c r="AT440" s="121" t="str">
        <f t="shared" si="245"/>
        <v xml:space="preserve"> </v>
      </c>
      <c r="AU440" s="121" t="str">
        <f t="shared" si="245"/>
        <v xml:space="preserve"> </v>
      </c>
      <c r="AV440" s="121" t="str">
        <f t="shared" si="245"/>
        <v xml:space="preserve"> </v>
      </c>
      <c r="AW440" s="130" t="str">
        <f t="shared" si="246"/>
        <v>100</v>
      </c>
      <c r="AX440" s="130" t="str">
        <f t="shared" si="246"/>
        <v xml:space="preserve"> </v>
      </c>
      <c r="AY440" s="130" t="str">
        <f t="shared" si="246"/>
        <v xml:space="preserve"> </v>
      </c>
      <c r="AZ440" s="130" t="str">
        <f t="shared" si="246"/>
        <v xml:space="preserve"> </v>
      </c>
      <c r="BA440" s="121">
        <f t="shared" si="227"/>
        <v>75769.937728185629</v>
      </c>
      <c r="BB440" s="121">
        <f t="shared" si="228"/>
        <v>0</v>
      </c>
      <c r="BC440" s="121">
        <f t="shared" si="229"/>
        <v>0</v>
      </c>
      <c r="BD440" s="121">
        <f t="shared" si="230"/>
        <v>0</v>
      </c>
      <c r="BE440" s="121">
        <f t="shared" si="231"/>
        <v>0</v>
      </c>
      <c r="BF440" s="121">
        <f t="shared" si="232"/>
        <v>0</v>
      </c>
      <c r="BG440" s="121">
        <f t="shared" si="233"/>
        <v>0</v>
      </c>
      <c r="BH440" s="121">
        <f t="shared" si="234"/>
        <v>0</v>
      </c>
      <c r="BI440" s="121">
        <f t="shared" si="235"/>
        <v>0</v>
      </c>
      <c r="BJ440" s="121">
        <f t="shared" si="236"/>
        <v>0</v>
      </c>
      <c r="BK440" s="121">
        <f t="shared" si="237"/>
        <v>0</v>
      </c>
      <c r="BL440" s="121">
        <f t="shared" si="238"/>
        <v>0</v>
      </c>
      <c r="BM440" s="121">
        <f t="shared" si="239"/>
        <v>0</v>
      </c>
      <c r="BN440" s="121">
        <f t="shared" si="240"/>
        <v>0</v>
      </c>
      <c r="BO440" s="121">
        <f t="shared" si="241"/>
        <v>0</v>
      </c>
      <c r="BP440" s="121">
        <f t="shared" si="242"/>
        <v>0</v>
      </c>
      <c r="BQ440" s="199">
        <f>INDEX('GDP deflators'!$C$6:$M$36,MATCH('Bottom-up tagging'!$D440,'GDP deflators'!$B$6:$B$36,),MATCH('Bottom-up tagging'!$E440,'GDP deflators'!$C$5:$L$5,))/100</f>
        <v>1.5837415681992997</v>
      </c>
      <c r="BR440" s="24">
        <v>120000</v>
      </c>
    </row>
    <row r="441" spans="2:70" ht="26.15" hidden="1" customHeight="1">
      <c r="B441" s="110" t="s">
        <v>2092</v>
      </c>
      <c r="C441" s="110" t="s">
        <v>2094</v>
      </c>
      <c r="D441" s="110" t="s">
        <v>5524</v>
      </c>
      <c r="E441" s="103">
        <v>2017</v>
      </c>
      <c r="F441" s="108" t="s">
        <v>8996</v>
      </c>
      <c r="G441" s="111" t="s">
        <v>34</v>
      </c>
      <c r="H441" s="110" t="s">
        <v>10451</v>
      </c>
      <c r="I441" s="112">
        <f>IF(Dashboard!$B$16="Current USD",'Bottom-up tagging'!BR441,'Bottom-up tagging'!BR441/'Bottom-up tagging'!BQ441)</f>
        <v>33866.434209123363</v>
      </c>
      <c r="J441" s="118" t="s">
        <v>10474</v>
      </c>
      <c r="K441" s="112"/>
      <c r="L441" s="135">
        <v>1</v>
      </c>
      <c r="M441" s="135">
        <v>1</v>
      </c>
      <c r="N441" s="112"/>
      <c r="O441" s="112"/>
      <c r="P441" s="112" t="str">
        <f>VLOOKUP(B441, 'Companies covered restructured'!$B$7:$K$470, 9, FALSE)</f>
        <v>Agri marketplaces</v>
      </c>
      <c r="Q441" s="112" t="str">
        <f>VLOOKUP(B441, 'Companies covered restructured'!$B$7:$K$470, 6, FALSE)</f>
        <v>#Crops(100)</v>
      </c>
      <c r="R441" s="112" t="str">
        <f t="shared" si="214"/>
        <v>N/A</v>
      </c>
      <c r="S441" s="112" t="s">
        <v>11003</v>
      </c>
      <c r="T441" s="112" t="s">
        <v>10466</v>
      </c>
      <c r="U441" s="213" t="s">
        <v>10970</v>
      </c>
      <c r="V441" s="112" t="str">
        <f>VLOOKUP(P441, 'Bottom-up Tagging Assumptions'!$B$12:$F$39, 5, FALSE)</f>
        <v>#Process Innovation(100)</v>
      </c>
      <c r="W441" s="112" t="str">
        <f>VLOOKUP(B441, 'Companies covered restructured'!$B$7:$K$470, 7, FALSE)</f>
        <v>#Farm/Household(100)</v>
      </c>
      <c r="X441" s="112" t="str">
        <f>VLOOKUP(B441, 'Companies covered restructured'!$B$7:$K$470, 8, FALSE)</f>
        <v>#Small(100)</v>
      </c>
      <c r="Y441" s="212" t="str">
        <f>VLOOKUP(P441, 'Bottom-up Tagging Assumptions'!$B$12:$C$56, 2, FALSE)</f>
        <v>#Other Economic(P); Social(S)</v>
      </c>
      <c r="Z441" s="112" t="str">
        <f>VLOOKUP(P441, 'Bottom-up Tagging Assumptions'!$B$12:$F$56, 3, FALSE)</f>
        <v>#Improve price realization(P)</v>
      </c>
      <c r="AA441" s="112" t="str">
        <f>VLOOKUP(P441, 'Bottom-up Tagging Assumptions'!$B$12:$F$56, 4, FALSE)</f>
        <v>#Level 4(100)</v>
      </c>
      <c r="AB441" s="110" t="s">
        <v>479</v>
      </c>
      <c r="AC441" s="110"/>
      <c r="AD441" s="110"/>
      <c r="AE441" s="110" t="s">
        <v>10558</v>
      </c>
      <c r="AF441" s="112"/>
      <c r="AG441" s="110" t="s">
        <v>2695</v>
      </c>
      <c r="AH441" s="121">
        <f t="shared" si="215"/>
        <v>0</v>
      </c>
      <c r="AI441" s="121">
        <f t="shared" si="216"/>
        <v>0</v>
      </c>
      <c r="AJ441" s="121">
        <f t="shared" si="217"/>
        <v>1</v>
      </c>
      <c r="AK441" s="121">
        <f t="shared" si="218"/>
        <v>1</v>
      </c>
      <c r="AL441" s="121">
        <f t="shared" si="219"/>
        <v>0</v>
      </c>
      <c r="AM441" s="121">
        <f t="shared" si="220"/>
        <v>0</v>
      </c>
      <c r="AN441" s="121">
        <f t="shared" si="221"/>
        <v>1</v>
      </c>
      <c r="AO441" s="121">
        <f t="shared" si="222"/>
        <v>0</v>
      </c>
      <c r="AP441" s="22">
        <f t="shared" si="223"/>
        <v>0</v>
      </c>
      <c r="AQ441" s="22">
        <f t="shared" si="224"/>
        <v>33866.434209123363</v>
      </c>
      <c r="AR441" s="22">
        <f t="shared" si="225"/>
        <v>0</v>
      </c>
      <c r="AS441" s="121" t="str">
        <f t="shared" si="226"/>
        <v>Crops</v>
      </c>
      <c r="AT441" s="121" t="str">
        <f t="shared" si="245"/>
        <v xml:space="preserve"> </v>
      </c>
      <c r="AU441" s="121" t="str">
        <f t="shared" si="245"/>
        <v xml:space="preserve"> </v>
      </c>
      <c r="AV441" s="121" t="str">
        <f t="shared" si="245"/>
        <v xml:space="preserve"> </v>
      </c>
      <c r="AW441" s="130" t="str">
        <f t="shared" si="246"/>
        <v>100</v>
      </c>
      <c r="AX441" s="130" t="str">
        <f t="shared" si="246"/>
        <v xml:space="preserve"> </v>
      </c>
      <c r="AY441" s="130" t="str">
        <f t="shared" si="246"/>
        <v xml:space="preserve"> </v>
      </c>
      <c r="AZ441" s="130" t="str">
        <f t="shared" si="246"/>
        <v xml:space="preserve"> </v>
      </c>
      <c r="BA441" s="121">
        <f t="shared" si="227"/>
        <v>33866.434209123363</v>
      </c>
      <c r="BB441" s="121">
        <f t="shared" si="228"/>
        <v>0</v>
      </c>
      <c r="BC441" s="121">
        <f t="shared" si="229"/>
        <v>0</v>
      </c>
      <c r="BD441" s="121">
        <f t="shared" si="230"/>
        <v>0</v>
      </c>
      <c r="BE441" s="121">
        <f t="shared" si="231"/>
        <v>0</v>
      </c>
      <c r="BF441" s="121">
        <f t="shared" si="232"/>
        <v>0</v>
      </c>
      <c r="BG441" s="121">
        <f t="shared" si="233"/>
        <v>0</v>
      </c>
      <c r="BH441" s="121">
        <f t="shared" si="234"/>
        <v>0</v>
      </c>
      <c r="BI441" s="121">
        <f t="shared" si="235"/>
        <v>33866.434209123363</v>
      </c>
      <c r="BJ441" s="121">
        <f t="shared" si="236"/>
        <v>33866.434209123363</v>
      </c>
      <c r="BK441" s="121">
        <f t="shared" si="237"/>
        <v>33866.434209123363</v>
      </c>
      <c r="BL441" s="121">
        <f t="shared" si="238"/>
        <v>33866.434209123363</v>
      </c>
      <c r="BM441" s="121">
        <f t="shared" si="239"/>
        <v>0</v>
      </c>
      <c r="BN441" s="121">
        <f t="shared" si="240"/>
        <v>0</v>
      </c>
      <c r="BO441" s="121">
        <f t="shared" si="241"/>
        <v>0</v>
      </c>
      <c r="BP441" s="121">
        <f t="shared" si="242"/>
        <v>0</v>
      </c>
      <c r="BQ441" s="199">
        <f>INDEX('GDP deflators'!$C$6:$M$36,MATCH('Bottom-up tagging'!$D441,'GDP deflators'!$B$6:$B$36,),MATCH('Bottom-up tagging'!$E441,'GDP deflators'!$C$5:$L$5,))/100</f>
        <v>3.5433314077002209</v>
      </c>
      <c r="BR441" s="24">
        <v>120000</v>
      </c>
    </row>
    <row r="442" spans="2:70" ht="26.15" hidden="1" customHeight="1">
      <c r="B442" s="110" t="s">
        <v>500</v>
      </c>
      <c r="C442" s="110" t="s">
        <v>505</v>
      </c>
      <c r="D442" s="110" t="s">
        <v>3994</v>
      </c>
      <c r="E442" s="103">
        <v>2016</v>
      </c>
      <c r="F442" s="108" t="s">
        <v>7687</v>
      </c>
      <c r="G442" s="111" t="s">
        <v>34</v>
      </c>
      <c r="H442" s="110" t="s">
        <v>10451</v>
      </c>
      <c r="I442" s="112">
        <f>IF(Dashboard!$B$16="Current USD",'Bottom-up tagging'!BR442,'Bottom-up tagging'!BR442/'Bottom-up tagging'!BQ442)</f>
        <v>88252.323555052819</v>
      </c>
      <c r="J442" s="117" t="s">
        <v>10474</v>
      </c>
      <c r="K442" s="112"/>
      <c r="L442" s="135">
        <v>1</v>
      </c>
      <c r="M442" s="135">
        <v>1</v>
      </c>
      <c r="N442" s="112"/>
      <c r="O442" s="112"/>
      <c r="P442" s="112" t="str">
        <f>VLOOKUP(B442, 'Companies covered restructured'!$B$7:$K$470, 9, FALSE)</f>
        <v>Agri marketplaces</v>
      </c>
      <c r="Q442" s="112" t="str">
        <f>VLOOKUP(B442, 'Companies covered restructured'!$B$7:$K$470, 6, FALSE)</f>
        <v>#Crops(100)</v>
      </c>
      <c r="R442" s="112" t="str">
        <f t="shared" si="214"/>
        <v>#Investment Fund(100)</v>
      </c>
      <c r="S442" s="112" t="s">
        <v>11003</v>
      </c>
      <c r="T442" s="112" t="s">
        <v>10466</v>
      </c>
      <c r="U442" s="116" t="s">
        <v>10970</v>
      </c>
      <c r="V442" s="112" t="str">
        <f>VLOOKUP(P442, 'Bottom-up Tagging Assumptions'!$B$12:$F$39, 5, FALSE)</f>
        <v>#Process Innovation(100)</v>
      </c>
      <c r="W442" s="112" t="str">
        <f>VLOOKUP(B442, 'Companies covered restructured'!$B$7:$K$470, 7, FALSE)</f>
        <v>#Farm/Household(100)</v>
      </c>
      <c r="X442" s="112" t="s">
        <v>10558</v>
      </c>
      <c r="Y442" s="212" t="str">
        <f>VLOOKUP(P442, 'Bottom-up Tagging Assumptions'!$B$12:$C$56, 2, FALSE)</f>
        <v>#Other Economic(P); Social(S)</v>
      </c>
      <c r="Z442" s="112" t="str">
        <f>VLOOKUP(P442, 'Bottom-up Tagging Assumptions'!$B$12:$F$56, 3, FALSE)</f>
        <v>#Improve price realization(P)</v>
      </c>
      <c r="AA442" s="112" t="str">
        <f>VLOOKUP(P442, 'Bottom-up Tagging Assumptions'!$B$12:$F$56, 4, FALSE)</f>
        <v>#Level 4(100)</v>
      </c>
      <c r="AB442" s="110" t="s">
        <v>479</v>
      </c>
      <c r="AC442" s="110"/>
      <c r="AD442" s="110" t="s">
        <v>480</v>
      </c>
      <c r="AE442" s="110" t="str">
        <f>VLOOKUP(AD442,  '1.2'!$B$7:$C$2033, 2, FALSE)</f>
        <v>FUND</v>
      </c>
      <c r="AF442" s="112"/>
      <c r="AG442" s="110" t="s">
        <v>2716</v>
      </c>
      <c r="AH442" s="121">
        <f t="shared" si="215"/>
        <v>0</v>
      </c>
      <c r="AI442" s="121">
        <f t="shared" si="216"/>
        <v>0</v>
      </c>
      <c r="AJ442" s="121">
        <f t="shared" si="217"/>
        <v>1</v>
      </c>
      <c r="AK442" s="121">
        <f t="shared" si="218"/>
        <v>1</v>
      </c>
      <c r="AL442" s="121">
        <f t="shared" si="219"/>
        <v>0</v>
      </c>
      <c r="AM442" s="121">
        <f t="shared" si="220"/>
        <v>0</v>
      </c>
      <c r="AN442" s="121">
        <f t="shared" si="221"/>
        <v>1</v>
      </c>
      <c r="AO442" s="121">
        <f t="shared" si="222"/>
        <v>0</v>
      </c>
      <c r="AP442" s="22">
        <f t="shared" si="223"/>
        <v>0</v>
      </c>
      <c r="AQ442" s="22">
        <f t="shared" si="224"/>
        <v>88252.323555052819</v>
      </c>
      <c r="AR442" s="22">
        <f t="shared" si="225"/>
        <v>0</v>
      </c>
      <c r="AS442" s="121" t="str">
        <f t="shared" si="226"/>
        <v>Crops</v>
      </c>
      <c r="AT442" s="121" t="str">
        <f t="shared" si="245"/>
        <v xml:space="preserve"> </v>
      </c>
      <c r="AU442" s="121" t="str">
        <f t="shared" si="245"/>
        <v xml:space="preserve"> </v>
      </c>
      <c r="AV442" s="121" t="str">
        <f t="shared" si="245"/>
        <v xml:space="preserve"> </v>
      </c>
      <c r="AW442" s="130" t="str">
        <f t="shared" si="246"/>
        <v>100</v>
      </c>
      <c r="AX442" s="130" t="str">
        <f t="shared" si="246"/>
        <v xml:space="preserve"> </v>
      </c>
      <c r="AY442" s="130" t="str">
        <f t="shared" si="246"/>
        <v xml:space="preserve"> </v>
      </c>
      <c r="AZ442" s="130" t="str">
        <f t="shared" si="246"/>
        <v xml:space="preserve"> </v>
      </c>
      <c r="BA442" s="121">
        <f t="shared" si="227"/>
        <v>88252.323555052819</v>
      </c>
      <c r="BB442" s="121">
        <f t="shared" si="228"/>
        <v>0</v>
      </c>
      <c r="BC442" s="121">
        <f t="shared" si="229"/>
        <v>0</v>
      </c>
      <c r="BD442" s="121">
        <f t="shared" si="230"/>
        <v>0</v>
      </c>
      <c r="BE442" s="121">
        <f t="shared" si="231"/>
        <v>0</v>
      </c>
      <c r="BF442" s="121">
        <f t="shared" si="232"/>
        <v>0</v>
      </c>
      <c r="BG442" s="121">
        <f t="shared" si="233"/>
        <v>0</v>
      </c>
      <c r="BH442" s="121">
        <f t="shared" si="234"/>
        <v>0</v>
      </c>
      <c r="BI442" s="121">
        <f t="shared" si="235"/>
        <v>88252.323555052819</v>
      </c>
      <c r="BJ442" s="121">
        <f t="shared" si="236"/>
        <v>88252.323555052819</v>
      </c>
      <c r="BK442" s="121">
        <f t="shared" si="237"/>
        <v>88252.323555052819</v>
      </c>
      <c r="BL442" s="121">
        <f t="shared" si="238"/>
        <v>88252.323555052819</v>
      </c>
      <c r="BM442" s="121">
        <f t="shared" si="239"/>
        <v>0</v>
      </c>
      <c r="BN442" s="121">
        <f t="shared" si="240"/>
        <v>0</v>
      </c>
      <c r="BO442" s="121">
        <f t="shared" si="241"/>
        <v>0</v>
      </c>
      <c r="BP442" s="121">
        <f t="shared" si="242"/>
        <v>0</v>
      </c>
      <c r="BQ442" s="199">
        <f>INDEX('GDP deflators'!$C$6:$M$36,MATCH('Bottom-up tagging'!$D442,'GDP deflators'!$B$6:$B$36,),MATCH('Bottom-up tagging'!$E442,'GDP deflators'!$C$5:$L$5,))/100</f>
        <v>1.3597375702538033</v>
      </c>
      <c r="BR442" s="24">
        <v>120000</v>
      </c>
    </row>
    <row r="443" spans="2:70" ht="26.15" hidden="1" customHeight="1">
      <c r="B443" s="110" t="s">
        <v>2112</v>
      </c>
      <c r="C443" s="110" t="s">
        <v>2114</v>
      </c>
      <c r="D443" s="110" t="s">
        <v>3994</v>
      </c>
      <c r="E443" s="103">
        <v>2014</v>
      </c>
      <c r="F443" s="108" t="s">
        <v>9947</v>
      </c>
      <c r="G443" s="111" t="s">
        <v>124</v>
      </c>
      <c r="H443" s="110" t="s">
        <v>10451</v>
      </c>
      <c r="I443" s="112">
        <f>IF(Dashboard!$B$16="Current USD",'Bottom-up tagging'!BR443,'Bottom-up tagging'!BR443/'Bottom-up tagging'!BQ443)</f>
        <v>92522.886056253206</v>
      </c>
      <c r="J443" s="117" t="s">
        <v>10474</v>
      </c>
      <c r="K443" s="112"/>
      <c r="L443" s="135">
        <v>1</v>
      </c>
      <c r="M443" s="135">
        <v>1</v>
      </c>
      <c r="N443" s="112"/>
      <c r="O443" s="112"/>
      <c r="P443" s="112" t="str">
        <f>VLOOKUP(B443, 'Companies covered restructured'!$B$7:$K$470, 9, FALSE)</f>
        <v>Breeding &amp; genetics</v>
      </c>
      <c r="Q443" s="112" t="str">
        <f>VLOOKUP(B443, 'Companies covered restructured'!$B$7:$K$470, 6, FALSE)</f>
        <v>#Crops(100)</v>
      </c>
      <c r="R443" s="112" t="str">
        <f t="shared" si="214"/>
        <v>#Angel Investor(100)</v>
      </c>
      <c r="S443" s="112" t="s">
        <v>11003</v>
      </c>
      <c r="T443" s="112" t="s">
        <v>10466</v>
      </c>
      <c r="U443" s="103" t="s">
        <v>10970</v>
      </c>
      <c r="V443" s="212" t="s">
        <v>10977</v>
      </c>
      <c r="W443" s="112" t="str">
        <f>VLOOKUP(B443, 'Companies covered restructured'!$B$7:$K$470, 7, FALSE)</f>
        <v>#Landscape(100)</v>
      </c>
      <c r="X443" s="112" t="str">
        <f>VLOOKUP(B443, 'Companies covered restructured'!$B$7:$K$470, 8, FALSE)</f>
        <v>N/A</v>
      </c>
      <c r="Y443" s="212" t="str">
        <f>VLOOKUP(P443, 'Bottom-up Tagging Assumptions'!$B$12:$C$56, 2, FALSE)</f>
        <v>#Productivity(P); #Other Economic(S)</v>
      </c>
      <c r="Z443" s="112" t="str">
        <f>VLOOKUP(P443, 'Bottom-up Tagging Assumptions'!$B$12:$F$56, 3, FALSE)</f>
        <v>#Increasing crop or animal yield(P)</v>
      </c>
      <c r="AA443" s="112" t="str">
        <f>VLOOKUP(P443, 'Bottom-up Tagging Assumptions'!$B$12:$F$56, 4, FALSE)</f>
        <v>#Level 2(100)</v>
      </c>
      <c r="AB443" s="110"/>
      <c r="AC443" s="110" t="s">
        <v>2905</v>
      </c>
      <c r="AD443" s="110" t="s">
        <v>2906</v>
      </c>
      <c r="AE443" s="110" t="str">
        <f>VLOOKUP(AD443,  '1.2'!$B$7:$C$2033, 2, FALSE)</f>
        <v>ANGEL</v>
      </c>
      <c r="AF443" s="112">
        <v>204990000</v>
      </c>
      <c r="AG443" s="110" t="s">
        <v>2313</v>
      </c>
      <c r="AH443" s="121">
        <f t="shared" si="215"/>
        <v>0</v>
      </c>
      <c r="AI443" s="121">
        <f t="shared" si="216"/>
        <v>1</v>
      </c>
      <c r="AJ443" s="121">
        <f t="shared" si="217"/>
        <v>1</v>
      </c>
      <c r="AK443" s="121">
        <f t="shared" si="218"/>
        <v>0</v>
      </c>
      <c r="AL443" s="121">
        <f t="shared" si="219"/>
        <v>0</v>
      </c>
      <c r="AM443" s="121">
        <f t="shared" si="220"/>
        <v>0</v>
      </c>
      <c r="AN443" s="121">
        <f t="shared" si="221"/>
        <v>0</v>
      </c>
      <c r="AO443" s="121">
        <f t="shared" si="222"/>
        <v>0</v>
      </c>
      <c r="AP443" s="22">
        <f t="shared" si="223"/>
        <v>0</v>
      </c>
      <c r="AQ443" s="22">
        <f t="shared" si="224"/>
        <v>0</v>
      </c>
      <c r="AR443" s="22">
        <f t="shared" si="225"/>
        <v>0</v>
      </c>
      <c r="AS443" s="121" t="str">
        <f t="shared" si="226"/>
        <v>Crops</v>
      </c>
      <c r="AT443" s="121" t="str">
        <f t="shared" si="245"/>
        <v xml:space="preserve"> </v>
      </c>
      <c r="AU443" s="121" t="str">
        <f t="shared" si="245"/>
        <v xml:space="preserve"> </v>
      </c>
      <c r="AV443" s="121" t="str">
        <f t="shared" si="245"/>
        <v xml:space="preserve"> </v>
      </c>
      <c r="AW443" s="130" t="str">
        <f t="shared" si="246"/>
        <v>100</v>
      </c>
      <c r="AX443" s="130" t="str">
        <f t="shared" si="246"/>
        <v xml:space="preserve"> </v>
      </c>
      <c r="AY443" s="130" t="str">
        <f t="shared" si="246"/>
        <v xml:space="preserve"> </v>
      </c>
      <c r="AZ443" s="130" t="str">
        <f t="shared" si="246"/>
        <v xml:space="preserve"> </v>
      </c>
      <c r="BA443" s="121">
        <f t="shared" si="227"/>
        <v>92522.886056253206</v>
      </c>
      <c r="BB443" s="121">
        <f t="shared" si="228"/>
        <v>0</v>
      </c>
      <c r="BC443" s="121">
        <f t="shared" si="229"/>
        <v>0</v>
      </c>
      <c r="BD443" s="121">
        <f t="shared" si="230"/>
        <v>0</v>
      </c>
      <c r="BE443" s="121">
        <f t="shared" si="231"/>
        <v>0</v>
      </c>
      <c r="BF443" s="121">
        <f t="shared" si="232"/>
        <v>0</v>
      </c>
      <c r="BG443" s="121">
        <f t="shared" si="233"/>
        <v>0</v>
      </c>
      <c r="BH443" s="121">
        <f t="shared" si="234"/>
        <v>0</v>
      </c>
      <c r="BI443" s="121">
        <f t="shared" si="235"/>
        <v>0</v>
      </c>
      <c r="BJ443" s="121">
        <f t="shared" si="236"/>
        <v>0</v>
      </c>
      <c r="BK443" s="121">
        <f t="shared" si="237"/>
        <v>0</v>
      </c>
      <c r="BL443" s="121">
        <f t="shared" si="238"/>
        <v>0</v>
      </c>
      <c r="BM443" s="121">
        <f t="shared" si="239"/>
        <v>0</v>
      </c>
      <c r="BN443" s="121">
        <f t="shared" si="240"/>
        <v>0</v>
      </c>
      <c r="BO443" s="121">
        <f t="shared" si="241"/>
        <v>0</v>
      </c>
      <c r="BP443" s="121">
        <f t="shared" si="242"/>
        <v>0</v>
      </c>
      <c r="BQ443" s="199">
        <f>INDEX('GDP deflators'!$C$6:$M$36,MATCH('Bottom-up tagging'!$D443,'GDP deflators'!$B$6:$B$36,),MATCH('Bottom-up tagging'!$E443,'GDP deflators'!$C$5:$L$5,))/100</f>
        <v>1.2877354466392321</v>
      </c>
      <c r="BR443" s="24">
        <v>119145</v>
      </c>
    </row>
    <row r="444" spans="2:70" ht="26.15" hidden="1" customHeight="1">
      <c r="B444" s="110" t="s">
        <v>185</v>
      </c>
      <c r="C444" s="110" t="s">
        <v>189</v>
      </c>
      <c r="D444" s="110" t="s">
        <v>3994</v>
      </c>
      <c r="E444" s="103">
        <v>2020</v>
      </c>
      <c r="F444" s="108" t="s">
        <v>6465</v>
      </c>
      <c r="G444" s="111" t="s">
        <v>184</v>
      </c>
      <c r="H444" s="110" t="s">
        <v>10451</v>
      </c>
      <c r="I444" s="212">
        <v>0</v>
      </c>
      <c r="J444" s="117" t="s">
        <v>10474</v>
      </c>
      <c r="K444" s="112"/>
      <c r="L444" s="135">
        <v>1</v>
      </c>
      <c r="M444" s="135">
        <v>1</v>
      </c>
      <c r="N444" s="112"/>
      <c r="O444" s="112"/>
      <c r="P444" s="112" t="str">
        <f>VLOOKUP(B444, 'Companies covered restructured'!$B$7:$K$470, 9, FALSE)</f>
        <v>Agri marketplaces</v>
      </c>
      <c r="Q444" s="112" t="str">
        <f>VLOOKUP(B444, 'Companies covered restructured'!$B$7:$K$470, 6, FALSE)</f>
        <v>#Crops(100)</v>
      </c>
      <c r="R444" s="112" t="str">
        <f t="shared" si="214"/>
        <v>N/A</v>
      </c>
      <c r="S444" s="112" t="s">
        <v>11003</v>
      </c>
      <c r="T444" s="112" t="s">
        <v>10465</v>
      </c>
      <c r="U444" s="103" t="s">
        <v>10970</v>
      </c>
      <c r="V444" s="112" t="str">
        <f>VLOOKUP(P444, 'Bottom-up Tagging Assumptions'!$B$12:$F$39, 5, FALSE)</f>
        <v>#Process Innovation(100)</v>
      </c>
      <c r="W444" s="112" t="str">
        <f>VLOOKUP(B444, 'Companies covered restructured'!$B$7:$K$470, 7, FALSE)</f>
        <v>#Field/Animal Herd(100)</v>
      </c>
      <c r="X444" s="112" t="s">
        <v>10558</v>
      </c>
      <c r="Y444" s="112" t="str">
        <f>VLOOKUP(P444, '[2]Bottom-up Tagging Assumptions'!$B$12:$F$56, 2, FALSE)</f>
        <v>#Other Economic(P); Social(S)</v>
      </c>
      <c r="Z444" s="112" t="str">
        <f>VLOOKUP(P444, 'Bottom-up Tagging Assumptions'!$B$12:$F$56, 3, FALSE)</f>
        <v>#Improve price realization(P)</v>
      </c>
      <c r="AA444" s="112" t="str">
        <f>VLOOKUP(P444, 'Bottom-up Tagging Assumptions'!$B$12:$F$56, 4, FALSE)</f>
        <v>#Level 4(100)</v>
      </c>
      <c r="AB444" s="110" t="s">
        <v>187</v>
      </c>
      <c r="AC444" s="110"/>
      <c r="AD444" s="110"/>
      <c r="AE444" s="110" t="s">
        <v>10558</v>
      </c>
      <c r="AF444" s="112">
        <v>7014810</v>
      </c>
      <c r="AG444" s="110" t="s">
        <v>2729</v>
      </c>
      <c r="AH444" s="121">
        <f t="shared" si="215"/>
        <v>0</v>
      </c>
      <c r="AI444" s="121">
        <f t="shared" si="216"/>
        <v>0</v>
      </c>
      <c r="AJ444" s="121">
        <f t="shared" si="217"/>
        <v>1</v>
      </c>
      <c r="AK444" s="121">
        <f t="shared" si="218"/>
        <v>1</v>
      </c>
      <c r="AL444" s="121">
        <f t="shared" si="219"/>
        <v>0</v>
      </c>
      <c r="AM444" s="121">
        <f t="shared" si="220"/>
        <v>0</v>
      </c>
      <c r="AN444" s="121">
        <f t="shared" si="221"/>
        <v>1</v>
      </c>
      <c r="AO444" s="121">
        <f t="shared" si="222"/>
        <v>0</v>
      </c>
      <c r="AP444" s="22">
        <f t="shared" si="223"/>
        <v>0</v>
      </c>
      <c r="AQ444" s="22">
        <f t="shared" si="224"/>
        <v>0</v>
      </c>
      <c r="AR444" s="22">
        <f t="shared" si="225"/>
        <v>0</v>
      </c>
      <c r="AS444" s="121" t="str">
        <f t="shared" si="226"/>
        <v>Crops</v>
      </c>
      <c r="AT444" s="121" t="str">
        <f t="shared" si="245"/>
        <v xml:space="preserve"> </v>
      </c>
      <c r="AU444" s="121" t="str">
        <f t="shared" si="245"/>
        <v xml:space="preserve"> </v>
      </c>
      <c r="AV444" s="121" t="str">
        <f t="shared" si="245"/>
        <v xml:space="preserve"> </v>
      </c>
      <c r="AW444" s="130" t="str">
        <f t="shared" si="246"/>
        <v>100</v>
      </c>
      <c r="AX444" s="130" t="str">
        <f t="shared" si="246"/>
        <v xml:space="preserve"> </v>
      </c>
      <c r="AY444" s="130" t="str">
        <f t="shared" si="246"/>
        <v xml:space="preserve"> </v>
      </c>
      <c r="AZ444" s="130" t="str">
        <f t="shared" si="246"/>
        <v xml:space="preserve"> </v>
      </c>
      <c r="BA444" s="121">
        <f t="shared" si="227"/>
        <v>0</v>
      </c>
      <c r="BB444" s="121">
        <f t="shared" si="228"/>
        <v>0</v>
      </c>
      <c r="BC444" s="121">
        <f t="shared" si="229"/>
        <v>0</v>
      </c>
      <c r="BD444" s="121">
        <f t="shared" si="230"/>
        <v>0</v>
      </c>
      <c r="BE444" s="121">
        <f t="shared" si="231"/>
        <v>0</v>
      </c>
      <c r="BF444" s="121">
        <f t="shared" si="232"/>
        <v>0</v>
      </c>
      <c r="BG444" s="121">
        <f t="shared" si="233"/>
        <v>0</v>
      </c>
      <c r="BH444" s="121">
        <f t="shared" si="234"/>
        <v>0</v>
      </c>
      <c r="BI444" s="121">
        <f t="shared" si="235"/>
        <v>0</v>
      </c>
      <c r="BJ444" s="121">
        <f t="shared" si="236"/>
        <v>0</v>
      </c>
      <c r="BK444" s="121">
        <f t="shared" si="237"/>
        <v>0</v>
      </c>
      <c r="BL444" s="121">
        <f t="shared" si="238"/>
        <v>0</v>
      </c>
      <c r="BM444" s="121">
        <f t="shared" si="239"/>
        <v>0</v>
      </c>
      <c r="BN444" s="121">
        <f t="shared" si="240"/>
        <v>0</v>
      </c>
      <c r="BO444" s="121">
        <f t="shared" si="241"/>
        <v>0</v>
      </c>
      <c r="BP444" s="121">
        <f t="shared" si="242"/>
        <v>0</v>
      </c>
      <c r="BQ444" s="199" t="e">
        <f>INDEX('GDP deflators'!$C$6:$M$36,MATCH('Bottom-up tagging'!$D444,'GDP deflators'!$B$6:$B$36,),MATCH('Bottom-up tagging'!$E444,'GDP deflators'!$C$5:$L$5,))/100</f>
        <v>#N/A</v>
      </c>
      <c r="BR444" s="24">
        <v>114000</v>
      </c>
    </row>
    <row r="445" spans="2:70" ht="26.15" hidden="1" customHeight="1">
      <c r="B445" s="110" t="s">
        <v>2157</v>
      </c>
      <c r="C445" s="110" t="s">
        <v>2161</v>
      </c>
      <c r="D445" s="110" t="s">
        <v>3994</v>
      </c>
      <c r="E445" s="103">
        <v>2017</v>
      </c>
      <c r="F445" s="108" t="s">
        <v>9545</v>
      </c>
      <c r="G445" s="111" t="s">
        <v>124</v>
      </c>
      <c r="H445" s="110" t="s">
        <v>10451</v>
      </c>
      <c r="I445" s="112">
        <f>IF(Dashboard!$B$16="Current USD",'Bottom-up tagging'!BR445,'Bottom-up tagging'!BR445/'Bottom-up tagging'!BQ445)</f>
        <v>80361.570541769441</v>
      </c>
      <c r="J445" s="117" t="s">
        <v>10474</v>
      </c>
      <c r="K445" s="112"/>
      <c r="L445" s="135">
        <v>1</v>
      </c>
      <c r="M445" s="135">
        <v>1</v>
      </c>
      <c r="N445" s="112"/>
      <c r="O445" s="112"/>
      <c r="P445" s="112" t="str">
        <f>VLOOKUP(B445, 'Companies covered restructured'!$B$7:$K$470, 9, FALSE)</f>
        <v>AI/analytics based advisory algorithms (incl. weather)</v>
      </c>
      <c r="Q445" s="112" t="str">
        <f>VLOOKUP(B445, 'Companies covered restructured'!$B$7:$K$470, 6, FALSE)</f>
        <v>#Crops(100)</v>
      </c>
      <c r="R445" s="112" t="str">
        <f t="shared" si="214"/>
        <v>#Angel Investor(100)</v>
      </c>
      <c r="S445" s="112" t="s">
        <v>11003</v>
      </c>
      <c r="T445" s="112" t="s">
        <v>10466</v>
      </c>
      <c r="U445" s="116" t="s">
        <v>10970</v>
      </c>
      <c r="V445" s="112" t="str">
        <f>VLOOKUP(P445, 'Bottom-up Tagging Assumptions'!$B$12:$F$39, 5, FALSE)</f>
        <v>#Science &amp; tech(100)</v>
      </c>
      <c r="W445" s="112" t="str">
        <f>VLOOKUP(B445, 'Companies covered restructured'!$B$7:$K$470, 7, FALSE)</f>
        <v>N/A</v>
      </c>
      <c r="X445" s="112" t="str">
        <f>VLOOKUP(B445, 'Companies covered restructured'!$B$7:$K$470, 8, FALSE)</f>
        <v>#Small(100)</v>
      </c>
      <c r="Y445" s="212" t="str">
        <f>VLOOKUP(P445, 'Bottom-up Tagging Assumptions'!$B$12:$C$56, 2, FALSE)</f>
        <v>#Other Economic(P); #Productivity(S)</v>
      </c>
      <c r="Z445" s="112" t="str">
        <f>VLOOKUP(P445, 'Bottom-up Tagging Assumptions'!$B$12:$F$56, 3, FALSE)</f>
        <v>#Increasing output per unit input(P); #Increasing crop or animal yield(S)</v>
      </c>
      <c r="AA445" s="112" t="str">
        <f>VLOOKUP(P445, 'Bottom-up Tagging Assumptions'!$B$12:$F$56, 4, FALSE)</f>
        <v>#Level 1(100)</v>
      </c>
      <c r="AB445" s="110"/>
      <c r="AC445" s="110" t="s">
        <v>2159</v>
      </c>
      <c r="AD445" s="110" t="s">
        <v>2160</v>
      </c>
      <c r="AE445" s="110" t="str">
        <f>VLOOKUP(AD445,  '1.2'!$B$7:$C$2033, 2, FALSE)</f>
        <v>ANGEL</v>
      </c>
      <c r="AF445" s="112">
        <v>46450000</v>
      </c>
      <c r="AG445" s="110" t="s">
        <v>476</v>
      </c>
      <c r="AH445" s="121">
        <f t="shared" si="215"/>
        <v>0</v>
      </c>
      <c r="AI445" s="121">
        <f t="shared" si="216"/>
        <v>1</v>
      </c>
      <c r="AJ445" s="121">
        <f t="shared" si="217"/>
        <v>1</v>
      </c>
      <c r="AK445" s="121">
        <f t="shared" si="218"/>
        <v>0</v>
      </c>
      <c r="AL445" s="121">
        <f t="shared" si="219"/>
        <v>0</v>
      </c>
      <c r="AM445" s="121">
        <f t="shared" si="220"/>
        <v>0</v>
      </c>
      <c r="AN445" s="121">
        <f t="shared" si="221"/>
        <v>0</v>
      </c>
      <c r="AO445" s="121">
        <f t="shared" si="222"/>
        <v>0</v>
      </c>
      <c r="AP445" s="22">
        <f t="shared" si="223"/>
        <v>0</v>
      </c>
      <c r="AQ445" s="22">
        <f t="shared" si="224"/>
        <v>0</v>
      </c>
      <c r="AR445" s="22">
        <f t="shared" si="225"/>
        <v>0</v>
      </c>
      <c r="AS445" s="121" t="str">
        <f t="shared" si="226"/>
        <v>Crops</v>
      </c>
      <c r="AT445" s="121" t="str">
        <f t="shared" si="245"/>
        <v xml:space="preserve"> </v>
      </c>
      <c r="AU445" s="121" t="str">
        <f t="shared" si="245"/>
        <v xml:space="preserve"> </v>
      </c>
      <c r="AV445" s="121" t="str">
        <f t="shared" si="245"/>
        <v xml:space="preserve"> </v>
      </c>
      <c r="AW445" s="130" t="str">
        <f t="shared" si="246"/>
        <v>100</v>
      </c>
      <c r="AX445" s="130" t="str">
        <f t="shared" si="246"/>
        <v xml:space="preserve"> </v>
      </c>
      <c r="AY445" s="130" t="str">
        <f t="shared" si="246"/>
        <v xml:space="preserve"> </v>
      </c>
      <c r="AZ445" s="130" t="str">
        <f t="shared" si="246"/>
        <v xml:space="preserve"> </v>
      </c>
      <c r="BA445" s="121">
        <f t="shared" si="227"/>
        <v>80361.570541769441</v>
      </c>
      <c r="BB445" s="121">
        <f t="shared" si="228"/>
        <v>0</v>
      </c>
      <c r="BC445" s="121">
        <f t="shared" si="229"/>
        <v>0</v>
      </c>
      <c r="BD445" s="121">
        <f t="shared" si="230"/>
        <v>0</v>
      </c>
      <c r="BE445" s="121">
        <f t="shared" si="231"/>
        <v>0</v>
      </c>
      <c r="BF445" s="121">
        <f t="shared" si="232"/>
        <v>0</v>
      </c>
      <c r="BG445" s="121">
        <f t="shared" si="233"/>
        <v>0</v>
      </c>
      <c r="BH445" s="121">
        <f t="shared" si="234"/>
        <v>0</v>
      </c>
      <c r="BI445" s="121">
        <f t="shared" si="235"/>
        <v>0</v>
      </c>
      <c r="BJ445" s="121">
        <f t="shared" si="236"/>
        <v>0</v>
      </c>
      <c r="BK445" s="121">
        <f t="shared" si="237"/>
        <v>0</v>
      </c>
      <c r="BL445" s="121">
        <f t="shared" si="238"/>
        <v>0</v>
      </c>
      <c r="BM445" s="121">
        <f t="shared" si="239"/>
        <v>0</v>
      </c>
      <c r="BN445" s="121">
        <f t="shared" si="240"/>
        <v>0</v>
      </c>
      <c r="BO445" s="121">
        <f t="shared" si="241"/>
        <v>0</v>
      </c>
      <c r="BP445" s="121">
        <f t="shared" si="242"/>
        <v>0</v>
      </c>
      <c r="BQ445" s="199">
        <f>INDEX('GDP deflators'!$C$6:$M$36,MATCH('Bottom-up tagging'!$D445,'GDP deflators'!$B$6:$B$36,),MATCH('Bottom-up tagging'!$E445,'GDP deflators'!$C$5:$L$5,))/100</f>
        <v>1.4111098032990623</v>
      </c>
      <c r="BR445" s="24">
        <v>113399</v>
      </c>
    </row>
    <row r="446" spans="2:70" ht="26.15" hidden="1" customHeight="1">
      <c r="B446" s="110" t="s">
        <v>398</v>
      </c>
      <c r="C446" s="110" t="s">
        <v>402</v>
      </c>
      <c r="D446" s="110" t="s">
        <v>3994</v>
      </c>
      <c r="E446" s="103">
        <v>2020</v>
      </c>
      <c r="F446" s="108" t="s">
        <v>5095</v>
      </c>
      <c r="G446" s="111" t="s">
        <v>109</v>
      </c>
      <c r="H446" s="110" t="s">
        <v>10451</v>
      </c>
      <c r="I446" s="212">
        <v>0</v>
      </c>
      <c r="J446" s="105" t="s">
        <v>10474</v>
      </c>
      <c r="K446" s="112"/>
      <c r="L446" s="135">
        <v>1</v>
      </c>
      <c r="M446" s="135">
        <v>1</v>
      </c>
      <c r="N446" s="112"/>
      <c r="O446" s="112"/>
      <c r="P446" s="112" t="str">
        <f>VLOOKUP(B446, 'Companies covered restructured'!$B$7:$K$470, 9, FALSE)</f>
        <v>Supply chain technologies</v>
      </c>
      <c r="Q446" s="112" t="str">
        <f>VLOOKUP(B446, 'Companies covered restructured'!$B$7:$K$470, 6, FALSE)</f>
        <v>#Crops(100)</v>
      </c>
      <c r="R446" s="112" t="str">
        <f t="shared" si="214"/>
        <v>#Investment Fund(100)</v>
      </c>
      <c r="S446" s="112" t="s">
        <v>11003</v>
      </c>
      <c r="T446" s="112" t="s">
        <v>10466</v>
      </c>
      <c r="U446" s="116" t="s">
        <v>10970</v>
      </c>
      <c r="V446" s="112" t="str">
        <f>VLOOKUP(P446, 'Bottom-up Tagging Assumptions'!$B$12:$F$39, 5, FALSE)</f>
        <v>#Process Innovation(100)</v>
      </c>
      <c r="W446" s="112" t="str">
        <f>VLOOKUP(B446, 'Companies covered restructured'!$B$7:$K$470, 7, FALSE)</f>
        <v>#Farm/Household(100)</v>
      </c>
      <c r="X446" s="112" t="s">
        <v>10558</v>
      </c>
      <c r="Y446" s="112" t="str">
        <f>VLOOKUP(P446, '[2]Bottom-up Tagging Assumptions'!$B$12:$F$56, 2, FALSE)</f>
        <v>#Other Economic(P); Social(S)</v>
      </c>
      <c r="Z446" s="112" t="str">
        <f>VLOOKUP(P446, 'Bottom-up Tagging Assumptions'!$B$12:$F$56, 3, FALSE)</f>
        <v>#Improve price realization(P)</v>
      </c>
      <c r="AA446" s="112" t="str">
        <f>VLOOKUP(P446, 'Bottom-up Tagging Assumptions'!$B$12:$F$56, 4, FALSE)</f>
        <v>#Level 3(100)</v>
      </c>
      <c r="AB446" s="110" t="s">
        <v>400</v>
      </c>
      <c r="AC446" s="110"/>
      <c r="AD446" s="110" t="s">
        <v>401</v>
      </c>
      <c r="AE446" s="110" t="s">
        <v>3114</v>
      </c>
      <c r="AF446" s="112">
        <v>1500000</v>
      </c>
      <c r="AG446" s="110" t="s">
        <v>2735</v>
      </c>
      <c r="AH446" s="121">
        <f t="shared" si="215"/>
        <v>0</v>
      </c>
      <c r="AI446" s="121">
        <f t="shared" si="216"/>
        <v>0</v>
      </c>
      <c r="AJ446" s="121">
        <f t="shared" si="217"/>
        <v>1</v>
      </c>
      <c r="AK446" s="121">
        <f t="shared" si="218"/>
        <v>1</v>
      </c>
      <c r="AL446" s="121">
        <f t="shared" si="219"/>
        <v>0</v>
      </c>
      <c r="AM446" s="121">
        <f t="shared" si="220"/>
        <v>0</v>
      </c>
      <c r="AN446" s="121">
        <f t="shared" si="221"/>
        <v>1</v>
      </c>
      <c r="AO446" s="121">
        <f t="shared" si="222"/>
        <v>0</v>
      </c>
      <c r="AP446" s="22">
        <f t="shared" si="223"/>
        <v>0</v>
      </c>
      <c r="AQ446" s="22">
        <f t="shared" si="224"/>
        <v>0</v>
      </c>
      <c r="AR446" s="22">
        <f t="shared" si="225"/>
        <v>0</v>
      </c>
      <c r="AS446" s="121" t="str">
        <f t="shared" si="226"/>
        <v>Crops</v>
      </c>
      <c r="AT446" s="121" t="str">
        <f t="shared" si="245"/>
        <v xml:space="preserve"> </v>
      </c>
      <c r="AU446" s="121" t="str">
        <f t="shared" si="245"/>
        <v xml:space="preserve"> </v>
      </c>
      <c r="AV446" s="121" t="str">
        <f t="shared" si="245"/>
        <v xml:space="preserve"> </v>
      </c>
      <c r="AW446" s="130" t="str">
        <f t="shared" si="246"/>
        <v>100</v>
      </c>
      <c r="AX446" s="130" t="str">
        <f t="shared" si="246"/>
        <v xml:space="preserve"> </v>
      </c>
      <c r="AY446" s="130" t="str">
        <f t="shared" si="246"/>
        <v xml:space="preserve"> </v>
      </c>
      <c r="AZ446" s="130" t="str">
        <f t="shared" si="246"/>
        <v xml:space="preserve"> </v>
      </c>
      <c r="BA446" s="121">
        <f t="shared" si="227"/>
        <v>0</v>
      </c>
      <c r="BB446" s="121">
        <f t="shared" si="228"/>
        <v>0</v>
      </c>
      <c r="BC446" s="121">
        <f t="shared" si="229"/>
        <v>0</v>
      </c>
      <c r="BD446" s="121">
        <f t="shared" si="230"/>
        <v>0</v>
      </c>
      <c r="BE446" s="121">
        <f t="shared" si="231"/>
        <v>0</v>
      </c>
      <c r="BF446" s="121">
        <f t="shared" si="232"/>
        <v>0</v>
      </c>
      <c r="BG446" s="121">
        <f t="shared" si="233"/>
        <v>0</v>
      </c>
      <c r="BH446" s="121">
        <f t="shared" si="234"/>
        <v>0</v>
      </c>
      <c r="BI446" s="121">
        <f t="shared" si="235"/>
        <v>0</v>
      </c>
      <c r="BJ446" s="121">
        <f t="shared" si="236"/>
        <v>0</v>
      </c>
      <c r="BK446" s="121">
        <f t="shared" si="237"/>
        <v>0</v>
      </c>
      <c r="BL446" s="121">
        <f t="shared" si="238"/>
        <v>0</v>
      </c>
      <c r="BM446" s="121">
        <f t="shared" si="239"/>
        <v>0</v>
      </c>
      <c r="BN446" s="121">
        <f t="shared" si="240"/>
        <v>0</v>
      </c>
      <c r="BO446" s="121">
        <f t="shared" si="241"/>
        <v>0</v>
      </c>
      <c r="BP446" s="121">
        <f t="shared" si="242"/>
        <v>0</v>
      </c>
      <c r="BQ446" s="199" t="e">
        <f>INDEX('GDP deflators'!$C$6:$M$36,MATCH('Bottom-up tagging'!$D446,'GDP deflators'!$B$6:$B$36,),MATCH('Bottom-up tagging'!$E446,'GDP deflators'!$C$5:$L$5,))/100</f>
        <v>#N/A</v>
      </c>
      <c r="BR446" s="24">
        <v>112096</v>
      </c>
    </row>
    <row r="447" spans="2:70" ht="26.15" hidden="1" customHeight="1">
      <c r="B447" s="110" t="s">
        <v>1154</v>
      </c>
      <c r="C447" s="110" t="s">
        <v>1159</v>
      </c>
      <c r="D447" s="110" t="s">
        <v>3994</v>
      </c>
      <c r="E447" s="103">
        <v>2019</v>
      </c>
      <c r="F447" s="108" t="s">
        <v>5911</v>
      </c>
      <c r="G447" s="111" t="s">
        <v>34</v>
      </c>
      <c r="H447" s="110" t="s">
        <v>10451</v>
      </c>
      <c r="I447" s="112">
        <f>IF(Dashboard!$B$16="Current USD",'Bottom-up tagging'!BR447,'Bottom-up tagging'!BR447/'Bottom-up tagging'!BQ447)</f>
        <v>72101.249786380227</v>
      </c>
      <c r="J447" s="105" t="s">
        <v>10474</v>
      </c>
      <c r="K447" s="112"/>
      <c r="L447" s="135">
        <v>1</v>
      </c>
      <c r="M447" s="135">
        <v>1</v>
      </c>
      <c r="N447" s="112"/>
      <c r="O447" s="112"/>
      <c r="P447" s="112" t="str">
        <f>VLOOKUP(B447, 'Companies covered restructured'!$B$7:$K$470, 9, FALSE)</f>
        <v>Farmer financing services</v>
      </c>
      <c r="Q447" s="112" t="str">
        <f>VLOOKUP(B447, 'Companies covered restructured'!$B$7:$K$470, 6, FALSE)</f>
        <v>#Crops(100)</v>
      </c>
      <c r="R447" s="112" t="str">
        <f t="shared" si="214"/>
        <v>#Angel Investor(100)</v>
      </c>
      <c r="S447" s="112" t="s">
        <v>11003</v>
      </c>
      <c r="T447" s="112" t="s">
        <v>10466</v>
      </c>
      <c r="U447" s="103" t="s">
        <v>10970</v>
      </c>
      <c r="V447" s="112" t="str">
        <f>VLOOKUP(P447, 'Bottom-up Tagging Assumptions'!$B$12:$F$39, 5, FALSE)</f>
        <v>#Process Innovation(100)</v>
      </c>
      <c r="W447" s="112" t="str">
        <f>VLOOKUP(B447, 'Companies covered restructured'!$B$7:$K$470, 7, FALSE)</f>
        <v>#Field/Animal Herd(100)</v>
      </c>
      <c r="X447" s="112" t="s">
        <v>10558</v>
      </c>
      <c r="Y447" s="212" t="str">
        <f>VLOOKUP(P447, 'Bottom-up Tagging Assumptions'!$B$12:$C$56, 2, FALSE)</f>
        <v>#Other Economic(P); Social(S)</v>
      </c>
      <c r="Z447" s="112" t="str">
        <f>VLOOKUP(P447, 'Bottom-up Tagging Assumptions'!$B$12:$F$56, 3, FALSE)</f>
        <v>NA</v>
      </c>
      <c r="AA447" s="112" t="str">
        <f>VLOOKUP(P447, 'Bottom-up Tagging Assumptions'!$B$12:$F$56, 4, FALSE)</f>
        <v>#Level 1(100)</v>
      </c>
      <c r="AB447" s="110" t="s">
        <v>1156</v>
      </c>
      <c r="AC447" s="110" t="s">
        <v>1157</v>
      </c>
      <c r="AD447" s="110" t="s">
        <v>1158</v>
      </c>
      <c r="AE447" s="110" t="str">
        <f>VLOOKUP(AD447,  '1.2'!$B$7:$C$2033, 2, FALSE)</f>
        <v>ANGEL</v>
      </c>
      <c r="AF447" s="112">
        <v>10590520</v>
      </c>
      <c r="AG447" s="110" t="s">
        <v>646</v>
      </c>
      <c r="AH447" s="121">
        <f t="shared" si="215"/>
        <v>0</v>
      </c>
      <c r="AI447" s="121">
        <f t="shared" si="216"/>
        <v>0</v>
      </c>
      <c r="AJ447" s="121">
        <f t="shared" si="217"/>
        <v>1</v>
      </c>
      <c r="AK447" s="121">
        <f t="shared" si="218"/>
        <v>1</v>
      </c>
      <c r="AL447" s="121">
        <f t="shared" si="219"/>
        <v>0</v>
      </c>
      <c r="AM447" s="121">
        <f t="shared" si="220"/>
        <v>0</v>
      </c>
      <c r="AN447" s="121">
        <f t="shared" si="221"/>
        <v>1</v>
      </c>
      <c r="AO447" s="121">
        <f t="shared" si="222"/>
        <v>0</v>
      </c>
      <c r="AP447" s="22">
        <f t="shared" si="223"/>
        <v>0</v>
      </c>
      <c r="AQ447" s="22">
        <f t="shared" si="224"/>
        <v>72101.249786380227</v>
      </c>
      <c r="AR447" s="22">
        <f t="shared" si="225"/>
        <v>0</v>
      </c>
      <c r="AS447" s="121" t="str">
        <f t="shared" si="226"/>
        <v>Crops</v>
      </c>
      <c r="AT447" s="121" t="str">
        <f t="shared" si="245"/>
        <v xml:space="preserve"> </v>
      </c>
      <c r="AU447" s="121" t="str">
        <f t="shared" si="245"/>
        <v xml:space="preserve"> </v>
      </c>
      <c r="AV447" s="121" t="str">
        <f t="shared" si="245"/>
        <v xml:space="preserve"> </v>
      </c>
      <c r="AW447" s="130" t="str">
        <f t="shared" si="246"/>
        <v>100</v>
      </c>
      <c r="AX447" s="130" t="str">
        <f t="shared" si="246"/>
        <v xml:space="preserve"> </v>
      </c>
      <c r="AY447" s="130" t="str">
        <f t="shared" si="246"/>
        <v xml:space="preserve"> </v>
      </c>
      <c r="AZ447" s="130" t="str">
        <f t="shared" si="246"/>
        <v xml:space="preserve"> </v>
      </c>
      <c r="BA447" s="121">
        <f t="shared" si="227"/>
        <v>72101.249786380227</v>
      </c>
      <c r="BB447" s="121">
        <f t="shared" si="228"/>
        <v>0</v>
      </c>
      <c r="BC447" s="121">
        <f t="shared" si="229"/>
        <v>0</v>
      </c>
      <c r="BD447" s="121">
        <f t="shared" si="230"/>
        <v>0</v>
      </c>
      <c r="BE447" s="121">
        <f t="shared" si="231"/>
        <v>0</v>
      </c>
      <c r="BF447" s="121">
        <f t="shared" si="232"/>
        <v>0</v>
      </c>
      <c r="BG447" s="121">
        <f t="shared" si="233"/>
        <v>0</v>
      </c>
      <c r="BH447" s="121">
        <f t="shared" si="234"/>
        <v>0</v>
      </c>
      <c r="BI447" s="121">
        <f t="shared" si="235"/>
        <v>72101.249786380227</v>
      </c>
      <c r="BJ447" s="121">
        <f t="shared" si="236"/>
        <v>72101.249786380227</v>
      </c>
      <c r="BK447" s="121">
        <f t="shared" si="237"/>
        <v>72101.249786380227</v>
      </c>
      <c r="BL447" s="121">
        <f t="shared" si="238"/>
        <v>72101.249786380227</v>
      </c>
      <c r="BM447" s="121">
        <f t="shared" si="239"/>
        <v>0</v>
      </c>
      <c r="BN447" s="121">
        <f t="shared" si="240"/>
        <v>0</v>
      </c>
      <c r="BO447" s="121">
        <f t="shared" si="241"/>
        <v>0</v>
      </c>
      <c r="BP447" s="121">
        <f t="shared" si="242"/>
        <v>0</v>
      </c>
      <c r="BQ447" s="199">
        <f>INDEX('GDP deflators'!$C$6:$M$36,MATCH('Bottom-up tagging'!$D447,'GDP deflators'!$B$6:$B$36,),MATCH('Bottom-up tagging'!$E447,'GDP deflators'!$C$5:$L$5,))/100</f>
        <v>1.5094883975306472</v>
      </c>
      <c r="BR447" s="24">
        <v>108836</v>
      </c>
    </row>
    <row r="448" spans="2:70" ht="26.15" hidden="1" customHeight="1">
      <c r="B448" s="110" t="s">
        <v>217</v>
      </c>
      <c r="C448" s="110" t="s">
        <v>221</v>
      </c>
      <c r="D448" s="110" t="s">
        <v>3994</v>
      </c>
      <c r="E448" s="103">
        <v>2018</v>
      </c>
      <c r="F448" s="108" t="s">
        <v>8133</v>
      </c>
      <c r="G448" s="111" t="s">
        <v>34</v>
      </c>
      <c r="H448" s="110" t="s">
        <v>10451</v>
      </c>
      <c r="I448" s="112">
        <f>IF(Dashboard!$B$16="Current USD",'Bottom-up tagging'!BR448,'Bottom-up tagging'!BR448/'Bottom-up tagging'!BQ448)</f>
        <v>72893.094179387612</v>
      </c>
      <c r="J448" s="118" t="s">
        <v>10474</v>
      </c>
      <c r="K448" s="112"/>
      <c r="L448" s="135">
        <v>1</v>
      </c>
      <c r="M448" s="135">
        <v>1</v>
      </c>
      <c r="N448" s="112"/>
      <c r="O448" s="112"/>
      <c r="P448" s="112" t="str">
        <f>VLOOKUP(B448, 'Companies covered restructured'!$B$7:$K$470, 9, FALSE)</f>
        <v>Agri input e-commerce platforms</v>
      </c>
      <c r="Q448" s="112" t="str">
        <f>VLOOKUP(B448, 'Companies covered restructured'!$B$7:$K$470, 6, FALSE)</f>
        <v>#Crops(100)</v>
      </c>
      <c r="R448" s="112" t="str">
        <f t="shared" si="214"/>
        <v>#Investment Fund(100)</v>
      </c>
      <c r="S448" s="112" t="s">
        <v>11003</v>
      </c>
      <c r="T448" s="112" t="s">
        <v>10466</v>
      </c>
      <c r="U448" s="116" t="s">
        <v>10970</v>
      </c>
      <c r="V448" s="112" t="str">
        <f>VLOOKUP(P448, 'Bottom-up Tagging Assumptions'!$B$12:$F$39, 5, FALSE)</f>
        <v>#Process Innovation(100)</v>
      </c>
      <c r="W448" s="112" t="str">
        <f>VLOOKUP(B448, 'Companies covered restructured'!$B$7:$K$470, 7, FALSE)</f>
        <v>#Landscape(100)</v>
      </c>
      <c r="X448" s="112" t="str">
        <f>VLOOKUP(B448, 'Companies covered restructured'!$B$7:$K$470, 8, FALSE)</f>
        <v>N/A</v>
      </c>
      <c r="Y448" s="212" t="str">
        <f>VLOOKUP(P448, 'Bottom-up Tagging Assumptions'!$B$12:$C$56, 2, FALSE)</f>
        <v>#Other Economic(P); Productivity(S)</v>
      </c>
      <c r="Z448" s="112" t="str">
        <f>VLOOKUP(P448, 'Bottom-up Tagging Assumptions'!$B$12:$F$56, 3, FALSE)</f>
        <v>#Reduce cost of inputs(P)</v>
      </c>
      <c r="AA448" s="112" t="str">
        <f>VLOOKUP(P448, 'Bottom-up Tagging Assumptions'!$B$12:$F$56, 4, FALSE)</f>
        <v>#Level 1(100)</v>
      </c>
      <c r="AB448" s="110" t="s">
        <v>1466</v>
      </c>
      <c r="AC448" s="110"/>
      <c r="AD448" s="110" t="s">
        <v>1467</v>
      </c>
      <c r="AE448" s="110" t="str">
        <f>VLOOKUP(AD448,  '1.2'!$B$7:$C$2033, 2, FALSE)</f>
        <v>FUND</v>
      </c>
      <c r="AF448" s="112">
        <v>3100000</v>
      </c>
      <c r="AG448" s="110" t="s">
        <v>2143</v>
      </c>
      <c r="AH448" s="121">
        <f t="shared" si="215"/>
        <v>0</v>
      </c>
      <c r="AI448" s="121">
        <f t="shared" si="216"/>
        <v>1</v>
      </c>
      <c r="AJ448" s="121">
        <f t="shared" si="217"/>
        <v>1</v>
      </c>
      <c r="AK448" s="121">
        <f t="shared" si="218"/>
        <v>0</v>
      </c>
      <c r="AL448" s="121">
        <f t="shared" si="219"/>
        <v>0</v>
      </c>
      <c r="AM448" s="121">
        <f t="shared" si="220"/>
        <v>0</v>
      </c>
      <c r="AN448" s="121">
        <f t="shared" si="221"/>
        <v>0</v>
      </c>
      <c r="AO448" s="121">
        <f t="shared" si="222"/>
        <v>0</v>
      </c>
      <c r="AP448" s="22">
        <f t="shared" si="223"/>
        <v>0</v>
      </c>
      <c r="AQ448" s="22">
        <f t="shared" si="224"/>
        <v>0</v>
      </c>
      <c r="AR448" s="22">
        <f t="shared" si="225"/>
        <v>0</v>
      </c>
      <c r="AS448" s="121" t="str">
        <f t="shared" si="226"/>
        <v>Crops</v>
      </c>
      <c r="AT448" s="121" t="str">
        <f t="shared" si="245"/>
        <v xml:space="preserve"> </v>
      </c>
      <c r="AU448" s="121" t="str">
        <f t="shared" si="245"/>
        <v xml:space="preserve"> </v>
      </c>
      <c r="AV448" s="121" t="str">
        <f t="shared" si="245"/>
        <v xml:space="preserve"> </v>
      </c>
      <c r="AW448" s="130" t="str">
        <f t="shared" si="246"/>
        <v>100</v>
      </c>
      <c r="AX448" s="130" t="str">
        <f t="shared" si="246"/>
        <v xml:space="preserve"> </v>
      </c>
      <c r="AY448" s="130" t="str">
        <f t="shared" si="246"/>
        <v xml:space="preserve"> </v>
      </c>
      <c r="AZ448" s="130" t="str">
        <f t="shared" si="246"/>
        <v xml:space="preserve"> </v>
      </c>
      <c r="BA448" s="121">
        <f t="shared" si="227"/>
        <v>72893.094179387612</v>
      </c>
      <c r="BB448" s="121">
        <f t="shared" si="228"/>
        <v>0</v>
      </c>
      <c r="BC448" s="121">
        <f t="shared" si="229"/>
        <v>0</v>
      </c>
      <c r="BD448" s="121">
        <f t="shared" si="230"/>
        <v>0</v>
      </c>
      <c r="BE448" s="121">
        <f t="shared" si="231"/>
        <v>0</v>
      </c>
      <c r="BF448" s="121">
        <f t="shared" si="232"/>
        <v>0</v>
      </c>
      <c r="BG448" s="121">
        <f t="shared" si="233"/>
        <v>0</v>
      </c>
      <c r="BH448" s="121">
        <f t="shared" si="234"/>
        <v>0</v>
      </c>
      <c r="BI448" s="121">
        <f t="shared" si="235"/>
        <v>0</v>
      </c>
      <c r="BJ448" s="121">
        <f t="shared" si="236"/>
        <v>0</v>
      </c>
      <c r="BK448" s="121">
        <f t="shared" si="237"/>
        <v>0</v>
      </c>
      <c r="BL448" s="121">
        <f t="shared" si="238"/>
        <v>0</v>
      </c>
      <c r="BM448" s="121">
        <f t="shared" si="239"/>
        <v>0</v>
      </c>
      <c r="BN448" s="121">
        <f t="shared" si="240"/>
        <v>0</v>
      </c>
      <c r="BO448" s="121">
        <f t="shared" si="241"/>
        <v>0</v>
      </c>
      <c r="BP448" s="121">
        <f t="shared" si="242"/>
        <v>0</v>
      </c>
      <c r="BQ448" s="199">
        <f>INDEX('GDP deflators'!$C$6:$M$36,MATCH('Bottom-up tagging'!$D448,'GDP deflators'!$B$6:$B$36,),MATCH('Bottom-up tagging'!$E448,'GDP deflators'!$C$5:$L$5,))/100</f>
        <v>1.4753935363936217</v>
      </c>
      <c r="BR448" s="24">
        <v>107546</v>
      </c>
    </row>
    <row r="449" spans="2:70" ht="26.15" hidden="1" customHeight="1">
      <c r="B449" s="110" t="s">
        <v>1846</v>
      </c>
      <c r="C449" s="110" t="s">
        <v>1850</v>
      </c>
      <c r="D449" s="110" t="s">
        <v>3994</v>
      </c>
      <c r="E449" s="103">
        <v>2017</v>
      </c>
      <c r="F449" s="108" t="s">
        <v>7956</v>
      </c>
      <c r="G449" s="111" t="s">
        <v>124</v>
      </c>
      <c r="H449" s="110" t="s">
        <v>10451</v>
      </c>
      <c r="I449" s="112">
        <f>IF(Dashboard!$B$16="Current USD",'Bottom-up tagging'!BR449,'Bottom-up tagging'!BR449/'Bottom-up tagging'!BQ449)</f>
        <v>72303.374097087741</v>
      </c>
      <c r="J449" s="118" t="s">
        <v>10474</v>
      </c>
      <c r="K449" s="112"/>
      <c r="L449" s="135">
        <v>1</v>
      </c>
      <c r="M449" s="135">
        <v>1</v>
      </c>
      <c r="N449" s="112"/>
      <c r="O449" s="112"/>
      <c r="P449" s="112" t="str">
        <f>VLOOKUP(B449, 'Companies covered restructured'!$B$7:$K$470, 9, FALSE)</f>
        <v>Agri marketplaces</v>
      </c>
      <c r="Q449" s="112" t="str">
        <f>VLOOKUP(B449, 'Companies covered restructured'!$B$7:$K$470, 6, FALSE)</f>
        <v>#Livestock(100)</v>
      </c>
      <c r="R449" s="112" t="str">
        <f t="shared" si="214"/>
        <v>#Angel Investor(100)</v>
      </c>
      <c r="S449" s="112" t="s">
        <v>11003</v>
      </c>
      <c r="T449" s="112" t="s">
        <v>10466</v>
      </c>
      <c r="U449" s="103" t="s">
        <v>10970</v>
      </c>
      <c r="V449" s="112" t="str">
        <f>VLOOKUP(P449, 'Bottom-up Tagging Assumptions'!$B$12:$F$39, 5, FALSE)</f>
        <v>#Process Innovation(100)</v>
      </c>
      <c r="W449" s="112" t="str">
        <f>VLOOKUP(B449, 'Companies covered restructured'!$B$7:$K$470, 7, FALSE)</f>
        <v>#Landscape(100)</v>
      </c>
      <c r="X449" s="112" t="str">
        <f>VLOOKUP(B449, 'Companies covered restructured'!$B$7:$K$470, 8, FALSE)</f>
        <v>N/A</v>
      </c>
      <c r="Y449" s="212" t="str">
        <f>VLOOKUP(P449, 'Bottom-up Tagging Assumptions'!$B$12:$C$56, 2, FALSE)</f>
        <v>#Other Economic(P); Social(S)</v>
      </c>
      <c r="Z449" s="112" t="str">
        <f>VLOOKUP(P449, 'Bottom-up Tagging Assumptions'!$B$12:$F$56, 3, FALSE)</f>
        <v>#Improve price realization(P)</v>
      </c>
      <c r="AA449" s="112" t="str">
        <f>VLOOKUP(P449, 'Bottom-up Tagging Assumptions'!$B$12:$F$56, 4, FALSE)</f>
        <v>#Level 4(100)</v>
      </c>
      <c r="AB449" s="110"/>
      <c r="AC449" s="110" t="s">
        <v>2019</v>
      </c>
      <c r="AD449" s="110" t="s">
        <v>2020</v>
      </c>
      <c r="AE449" s="110" t="str">
        <f>VLOOKUP(AD449,  '1.2'!$B$7:$C$2033, 2, FALSE)</f>
        <v>ANGEL</v>
      </c>
      <c r="AF449" s="112"/>
      <c r="AG449" s="110" t="s">
        <v>2741</v>
      </c>
      <c r="AH449" s="121">
        <f t="shared" si="215"/>
        <v>0</v>
      </c>
      <c r="AI449" s="121">
        <f t="shared" si="216"/>
        <v>0</v>
      </c>
      <c r="AJ449" s="121">
        <f t="shared" si="217"/>
        <v>1</v>
      </c>
      <c r="AK449" s="121">
        <f t="shared" si="218"/>
        <v>1</v>
      </c>
      <c r="AL449" s="121">
        <f t="shared" si="219"/>
        <v>0</v>
      </c>
      <c r="AM449" s="121">
        <f t="shared" si="220"/>
        <v>0</v>
      </c>
      <c r="AN449" s="121">
        <f t="shared" si="221"/>
        <v>1</v>
      </c>
      <c r="AO449" s="121">
        <f t="shared" si="222"/>
        <v>0</v>
      </c>
      <c r="AP449" s="22">
        <f t="shared" si="223"/>
        <v>0</v>
      </c>
      <c r="AQ449" s="22">
        <f t="shared" si="224"/>
        <v>72303.374097087741</v>
      </c>
      <c r="AR449" s="22">
        <f t="shared" si="225"/>
        <v>0</v>
      </c>
      <c r="AS449" s="121" t="str">
        <f t="shared" si="226"/>
        <v>Livestock</v>
      </c>
      <c r="AT449" s="121" t="str">
        <f t="shared" si="245"/>
        <v xml:space="preserve"> </v>
      </c>
      <c r="AU449" s="121" t="str">
        <f t="shared" si="245"/>
        <v xml:space="preserve"> </v>
      </c>
      <c r="AV449" s="121" t="str">
        <f t="shared" si="245"/>
        <v xml:space="preserve"> </v>
      </c>
      <c r="AW449" s="130" t="str">
        <f t="shared" si="246"/>
        <v>100</v>
      </c>
      <c r="AX449" s="130" t="str">
        <f t="shared" si="246"/>
        <v xml:space="preserve"> </v>
      </c>
      <c r="AY449" s="130" t="str">
        <f t="shared" si="246"/>
        <v xml:space="preserve"> </v>
      </c>
      <c r="AZ449" s="130" t="str">
        <f t="shared" si="246"/>
        <v xml:space="preserve"> </v>
      </c>
      <c r="BA449" s="121">
        <f t="shared" si="227"/>
        <v>72303.374097087741</v>
      </c>
      <c r="BB449" s="121">
        <f t="shared" si="228"/>
        <v>0</v>
      </c>
      <c r="BC449" s="121">
        <f t="shared" si="229"/>
        <v>0</v>
      </c>
      <c r="BD449" s="121">
        <f t="shared" si="230"/>
        <v>0</v>
      </c>
      <c r="BE449" s="121">
        <f t="shared" si="231"/>
        <v>0</v>
      </c>
      <c r="BF449" s="121">
        <f t="shared" si="232"/>
        <v>0</v>
      </c>
      <c r="BG449" s="121">
        <f t="shared" si="233"/>
        <v>0</v>
      </c>
      <c r="BH449" s="121">
        <f t="shared" si="234"/>
        <v>0</v>
      </c>
      <c r="BI449" s="121">
        <f t="shared" si="235"/>
        <v>72303.374097087741</v>
      </c>
      <c r="BJ449" s="121">
        <f t="shared" si="236"/>
        <v>72303.374097087741</v>
      </c>
      <c r="BK449" s="121">
        <f t="shared" si="237"/>
        <v>72303.374097087741</v>
      </c>
      <c r="BL449" s="121">
        <f t="shared" si="238"/>
        <v>72303.374097087741</v>
      </c>
      <c r="BM449" s="121">
        <f t="shared" si="239"/>
        <v>0</v>
      </c>
      <c r="BN449" s="121">
        <f t="shared" si="240"/>
        <v>0</v>
      </c>
      <c r="BO449" s="121">
        <f t="shared" si="241"/>
        <v>0</v>
      </c>
      <c r="BP449" s="121">
        <f t="shared" si="242"/>
        <v>0</v>
      </c>
      <c r="BQ449" s="199">
        <f>INDEX('GDP deflators'!$C$6:$M$36,MATCH('Bottom-up tagging'!$D449,'GDP deflators'!$B$6:$B$36,),MATCH('Bottom-up tagging'!$E449,'GDP deflators'!$C$5:$L$5,))/100</f>
        <v>1.4111098032990623</v>
      </c>
      <c r="BR449" s="24">
        <v>102028</v>
      </c>
    </row>
    <row r="450" spans="2:70" ht="26.15" hidden="1" customHeight="1">
      <c r="B450" s="110" t="s">
        <v>596</v>
      </c>
      <c r="C450" s="110" t="s">
        <v>600</v>
      </c>
      <c r="D450" s="110" t="s">
        <v>3994</v>
      </c>
      <c r="E450" s="103">
        <v>2020</v>
      </c>
      <c r="F450" s="108" t="s">
        <v>5257</v>
      </c>
      <c r="G450" s="111" t="s">
        <v>124</v>
      </c>
      <c r="H450" s="110" t="s">
        <v>10451</v>
      </c>
      <c r="I450" s="212">
        <v>0</v>
      </c>
      <c r="J450" s="118" t="s">
        <v>10474</v>
      </c>
      <c r="K450" s="112"/>
      <c r="L450" s="135">
        <v>1</v>
      </c>
      <c r="M450" s="135">
        <v>1</v>
      </c>
      <c r="N450" s="112"/>
      <c r="O450" s="112"/>
      <c r="P450" s="112" t="str">
        <f>VLOOKUP(B450, 'Companies covered restructured'!$B$7:$K$470, 9, FALSE)</f>
        <v>Drone technologies/robotics</v>
      </c>
      <c r="Q450" s="112" t="str">
        <f>VLOOKUP(B450, 'Companies covered restructured'!$B$7:$K$470, 6, FALSE)</f>
        <v>#Crops(100)</v>
      </c>
      <c r="R450" s="112" t="str">
        <f t="shared" si="214"/>
        <v>#Angel Investor(100)</v>
      </c>
      <c r="S450" s="112" t="s">
        <v>11003</v>
      </c>
      <c r="T450" s="112" t="s">
        <v>10466</v>
      </c>
      <c r="U450" s="103" t="s">
        <v>10970</v>
      </c>
      <c r="V450" s="112" t="str">
        <f>VLOOKUP(P450, 'Bottom-up Tagging Assumptions'!$B$12:$F$39, 5, FALSE)</f>
        <v>#Process Innovation(100)</v>
      </c>
      <c r="W450" s="112" t="str">
        <f>VLOOKUP(B450, 'Companies covered restructured'!$B$7:$K$470, 7, FALSE)</f>
        <v>#Field/Animal Herd(100)</v>
      </c>
      <c r="X450" s="112" t="s">
        <v>10558</v>
      </c>
      <c r="Y450" s="112" t="str">
        <f>VLOOKUP(P450, '[2]Bottom-up Tagging Assumptions'!$B$12:$F$56, 2, FALSE)</f>
        <v>#Productivity(P); #Other Economic(P)</v>
      </c>
      <c r="Z450" s="112" t="str">
        <f>VLOOKUP(P450, 'Bottom-up Tagging Assumptions'!$B$12:$F$56, 3, FALSE)</f>
        <v>#Reducing human effort(P)</v>
      </c>
      <c r="AA450" s="112" t="str">
        <f>VLOOKUP(P450, 'Bottom-up Tagging Assumptions'!$B$12:$F$56, 4, FALSE)</f>
        <v>#Level 1(100)</v>
      </c>
      <c r="AB450" s="110"/>
      <c r="AC450" s="110" t="s">
        <v>598</v>
      </c>
      <c r="AD450" s="110" t="s">
        <v>598</v>
      </c>
      <c r="AE450" s="110" t="s">
        <v>3127</v>
      </c>
      <c r="AF450" s="112">
        <v>19009146</v>
      </c>
      <c r="AG450" s="110" t="s">
        <v>307</v>
      </c>
      <c r="AH450" s="121">
        <f t="shared" si="215"/>
        <v>0</v>
      </c>
      <c r="AI450" s="121">
        <f t="shared" si="216"/>
        <v>1</v>
      </c>
      <c r="AJ450" s="121">
        <f t="shared" si="217"/>
        <v>1</v>
      </c>
      <c r="AK450" s="121">
        <f t="shared" si="218"/>
        <v>0</v>
      </c>
      <c r="AL450" s="121">
        <f t="shared" si="219"/>
        <v>0</v>
      </c>
      <c r="AM450" s="121">
        <f t="shared" si="220"/>
        <v>0</v>
      </c>
      <c r="AN450" s="121">
        <f t="shared" si="221"/>
        <v>0</v>
      </c>
      <c r="AO450" s="121">
        <f t="shared" si="222"/>
        <v>0</v>
      </c>
      <c r="AP450" s="22">
        <f t="shared" si="223"/>
        <v>0</v>
      </c>
      <c r="AQ450" s="22">
        <f t="shared" si="224"/>
        <v>0</v>
      </c>
      <c r="AR450" s="22">
        <f t="shared" si="225"/>
        <v>0</v>
      </c>
      <c r="AS450" s="121" t="str">
        <f t="shared" si="226"/>
        <v>Crops</v>
      </c>
      <c r="AT450" s="121" t="str">
        <f t="shared" si="245"/>
        <v xml:space="preserve"> </v>
      </c>
      <c r="AU450" s="121" t="str">
        <f t="shared" si="245"/>
        <v xml:space="preserve"> </v>
      </c>
      <c r="AV450" s="121" t="str">
        <f t="shared" si="245"/>
        <v xml:space="preserve"> </v>
      </c>
      <c r="AW450" s="130" t="str">
        <f t="shared" si="246"/>
        <v>100</v>
      </c>
      <c r="AX450" s="130" t="str">
        <f t="shared" si="246"/>
        <v xml:space="preserve"> </v>
      </c>
      <c r="AY450" s="130" t="str">
        <f t="shared" si="246"/>
        <v xml:space="preserve"> </v>
      </c>
      <c r="AZ450" s="130" t="str">
        <f t="shared" si="246"/>
        <v xml:space="preserve"> </v>
      </c>
      <c r="BA450" s="121">
        <f t="shared" si="227"/>
        <v>0</v>
      </c>
      <c r="BB450" s="121">
        <f t="shared" si="228"/>
        <v>0</v>
      </c>
      <c r="BC450" s="121">
        <f t="shared" si="229"/>
        <v>0</v>
      </c>
      <c r="BD450" s="121">
        <f t="shared" si="230"/>
        <v>0</v>
      </c>
      <c r="BE450" s="121">
        <f t="shared" si="231"/>
        <v>0</v>
      </c>
      <c r="BF450" s="121">
        <f t="shared" si="232"/>
        <v>0</v>
      </c>
      <c r="BG450" s="121">
        <f t="shared" si="233"/>
        <v>0</v>
      </c>
      <c r="BH450" s="121">
        <f t="shared" si="234"/>
        <v>0</v>
      </c>
      <c r="BI450" s="121">
        <f t="shared" si="235"/>
        <v>0</v>
      </c>
      <c r="BJ450" s="121">
        <f t="shared" si="236"/>
        <v>0</v>
      </c>
      <c r="BK450" s="121">
        <f t="shared" si="237"/>
        <v>0</v>
      </c>
      <c r="BL450" s="121">
        <f t="shared" si="238"/>
        <v>0</v>
      </c>
      <c r="BM450" s="121">
        <f t="shared" si="239"/>
        <v>0</v>
      </c>
      <c r="BN450" s="121">
        <f t="shared" si="240"/>
        <v>0</v>
      </c>
      <c r="BO450" s="121">
        <f t="shared" si="241"/>
        <v>0</v>
      </c>
      <c r="BP450" s="121">
        <f t="shared" si="242"/>
        <v>0</v>
      </c>
      <c r="BQ450" s="199" t="e">
        <f>INDEX('GDP deflators'!$C$6:$M$36,MATCH('Bottom-up tagging'!$D450,'GDP deflators'!$B$6:$B$36,),MATCH('Bottom-up tagging'!$E450,'GDP deflators'!$C$5:$L$5,))/100</f>
        <v>#N/A</v>
      </c>
      <c r="BR450" s="24">
        <v>100085</v>
      </c>
    </row>
    <row r="451" spans="2:70" ht="26.15" hidden="1" customHeight="1">
      <c r="B451" s="110" t="s">
        <v>2194</v>
      </c>
      <c r="C451" s="110" t="s">
        <v>2196</v>
      </c>
      <c r="D451" s="110" t="s">
        <v>3994</v>
      </c>
      <c r="E451" s="103">
        <v>2017</v>
      </c>
      <c r="F451" s="108" t="s">
        <v>9067</v>
      </c>
      <c r="G451" s="111" t="s">
        <v>124</v>
      </c>
      <c r="H451" s="110" t="s">
        <v>10451</v>
      </c>
      <c r="I451" s="112">
        <f>IF(Dashboard!$B$16="Current USD",'Bottom-up tagging'!BR451,'Bottom-up tagging'!BR451/'Bottom-up tagging'!BQ451)</f>
        <v>70866.207410796778</v>
      </c>
      <c r="J451" s="105" t="s">
        <v>10474</v>
      </c>
      <c r="K451" s="112"/>
      <c r="L451" s="135">
        <v>1</v>
      </c>
      <c r="M451" s="135">
        <v>1</v>
      </c>
      <c r="N451" s="112"/>
      <c r="O451" s="112"/>
      <c r="P451" s="112" t="str">
        <f>VLOOKUP(B451, 'Companies covered restructured'!$B$7:$K$470, 9, FALSE)</f>
        <v>Farmer engagement platforms (including marketplaces and information platforms)</v>
      </c>
      <c r="Q451" s="112" t="str">
        <f>VLOOKUP(B451, 'Companies covered restructured'!$B$7:$K$470, 6, FALSE)</f>
        <v>#Fisheries and Aquaculture(100)</v>
      </c>
      <c r="R451" s="112" t="str">
        <f t="shared" si="214"/>
        <v>N/A</v>
      </c>
      <c r="S451" s="112" t="s">
        <v>11003</v>
      </c>
      <c r="T451" s="112" t="s">
        <v>10466</v>
      </c>
      <c r="U451" s="103" t="s">
        <v>10970</v>
      </c>
      <c r="V451" s="112" t="str">
        <f>VLOOKUP(P451, 'Bottom-up Tagging Assumptions'!$B$12:$F$39, 5, FALSE)</f>
        <v>#Process Innovation(100)</v>
      </c>
      <c r="W451" s="112" t="str">
        <f>VLOOKUP(B451, 'Companies covered restructured'!$B$7:$K$470, 7, FALSE)</f>
        <v>N/A</v>
      </c>
      <c r="X451" s="112" t="str">
        <f>VLOOKUP(B451, 'Companies covered restructured'!$B$7:$K$470, 8, FALSE)</f>
        <v>N/A</v>
      </c>
      <c r="Y451" s="212" t="str">
        <f>VLOOKUP(P451, 'Bottom-up Tagging Assumptions'!$B$12:$C$56, 2, FALSE)</f>
        <v>#Other Economic(P); #Productivity(S)</v>
      </c>
      <c r="Z451" s="112" t="str">
        <f>VLOOKUP(P451, 'Bottom-up Tagging Assumptions'!$B$12:$F$56, 3, FALSE)</f>
        <v>#Improve price realization(P); #Increasing crop or animal yield(S)</v>
      </c>
      <c r="AA451" s="112" t="str">
        <f>VLOOKUP(P451, 'Bottom-up Tagging Assumptions'!$B$12:$F$56, 4, FALSE)</f>
        <v>#Level 4(100)</v>
      </c>
      <c r="AB451" s="110"/>
      <c r="AC451" s="110"/>
      <c r="AD451" s="110"/>
      <c r="AE451" s="110" t="s">
        <v>10558</v>
      </c>
      <c r="AF451" s="112">
        <v>100000</v>
      </c>
      <c r="AG451" s="110" t="s">
        <v>2197</v>
      </c>
      <c r="AH451" s="121">
        <f t="shared" si="215"/>
        <v>0</v>
      </c>
      <c r="AI451" s="121">
        <f t="shared" si="216"/>
        <v>1</v>
      </c>
      <c r="AJ451" s="121">
        <f t="shared" si="217"/>
        <v>1</v>
      </c>
      <c r="AK451" s="121">
        <f t="shared" si="218"/>
        <v>0</v>
      </c>
      <c r="AL451" s="121">
        <f t="shared" si="219"/>
        <v>0</v>
      </c>
      <c r="AM451" s="121">
        <f t="shared" si="220"/>
        <v>0</v>
      </c>
      <c r="AN451" s="121">
        <f t="shared" si="221"/>
        <v>0</v>
      </c>
      <c r="AO451" s="121">
        <f t="shared" si="222"/>
        <v>0</v>
      </c>
      <c r="AP451" s="22">
        <f t="shared" si="223"/>
        <v>0</v>
      </c>
      <c r="AQ451" s="22">
        <f t="shared" si="224"/>
        <v>0</v>
      </c>
      <c r="AR451" s="22">
        <f t="shared" si="225"/>
        <v>0</v>
      </c>
      <c r="AS451" s="121" t="str">
        <f t="shared" si="226"/>
        <v>Fisheries and Aquaculture</v>
      </c>
      <c r="AT451" s="121" t="str">
        <f t="shared" si="245"/>
        <v xml:space="preserve"> </v>
      </c>
      <c r="AU451" s="121" t="str">
        <f t="shared" si="245"/>
        <v xml:space="preserve"> </v>
      </c>
      <c r="AV451" s="121" t="str">
        <f t="shared" si="245"/>
        <v xml:space="preserve"> </v>
      </c>
      <c r="AW451" s="130" t="str">
        <f t="shared" si="246"/>
        <v>100</v>
      </c>
      <c r="AX451" s="130" t="str">
        <f t="shared" si="246"/>
        <v xml:space="preserve"> </v>
      </c>
      <c r="AY451" s="130" t="str">
        <f t="shared" si="246"/>
        <v xml:space="preserve"> </v>
      </c>
      <c r="AZ451" s="130" t="str">
        <f t="shared" si="246"/>
        <v xml:space="preserve"> </v>
      </c>
      <c r="BA451" s="121">
        <f t="shared" si="227"/>
        <v>70866.207410796778</v>
      </c>
      <c r="BB451" s="121">
        <f t="shared" si="228"/>
        <v>0</v>
      </c>
      <c r="BC451" s="121">
        <f t="shared" si="229"/>
        <v>0</v>
      </c>
      <c r="BD451" s="121">
        <f t="shared" si="230"/>
        <v>0</v>
      </c>
      <c r="BE451" s="121">
        <f t="shared" si="231"/>
        <v>0</v>
      </c>
      <c r="BF451" s="121">
        <f t="shared" si="232"/>
        <v>0</v>
      </c>
      <c r="BG451" s="121">
        <f t="shared" si="233"/>
        <v>0</v>
      </c>
      <c r="BH451" s="121">
        <f t="shared" si="234"/>
        <v>0</v>
      </c>
      <c r="BI451" s="121">
        <f t="shared" si="235"/>
        <v>0</v>
      </c>
      <c r="BJ451" s="121">
        <f t="shared" si="236"/>
        <v>0</v>
      </c>
      <c r="BK451" s="121">
        <f t="shared" si="237"/>
        <v>0</v>
      </c>
      <c r="BL451" s="121">
        <f t="shared" si="238"/>
        <v>0</v>
      </c>
      <c r="BM451" s="121">
        <f t="shared" si="239"/>
        <v>0</v>
      </c>
      <c r="BN451" s="121">
        <f t="shared" si="240"/>
        <v>0</v>
      </c>
      <c r="BO451" s="121">
        <f t="shared" si="241"/>
        <v>0</v>
      </c>
      <c r="BP451" s="121">
        <f t="shared" si="242"/>
        <v>0</v>
      </c>
      <c r="BQ451" s="199">
        <f>INDEX('GDP deflators'!$C$6:$M$36,MATCH('Bottom-up tagging'!$D451,'GDP deflators'!$B$6:$B$36,),MATCH('Bottom-up tagging'!$E451,'GDP deflators'!$C$5:$L$5,))/100</f>
        <v>1.4111098032990623</v>
      </c>
      <c r="BR451" s="24">
        <v>100000</v>
      </c>
    </row>
    <row r="452" spans="2:70" ht="26.15" hidden="1" customHeight="1">
      <c r="B452" s="110" t="s">
        <v>512</v>
      </c>
      <c r="C452" s="110" t="s">
        <v>517</v>
      </c>
      <c r="D452" s="110" t="s">
        <v>1258</v>
      </c>
      <c r="E452" s="103">
        <v>2020</v>
      </c>
      <c r="F452" s="108" t="s">
        <v>7970</v>
      </c>
      <c r="G452" s="111" t="s">
        <v>34</v>
      </c>
      <c r="H452" s="110" t="s">
        <v>10451</v>
      </c>
      <c r="I452" s="212">
        <v>0</v>
      </c>
      <c r="J452" s="105" t="s">
        <v>10474</v>
      </c>
      <c r="K452" s="112"/>
      <c r="L452" s="135">
        <v>1</v>
      </c>
      <c r="M452" s="135">
        <v>1</v>
      </c>
      <c r="N452" s="112"/>
      <c r="O452" s="112"/>
      <c r="P452" s="112" t="str">
        <f>VLOOKUP(B452, 'Companies covered restructured'!$B$7:$K$470, 9, FALSE)</f>
        <v>AI/analytics based advisory algorithms (incl. weather)</v>
      </c>
      <c r="Q452" s="112" t="str">
        <f>VLOOKUP(B452, 'Companies covered restructured'!$B$7:$K$470, 6, FALSE)</f>
        <v>#Crops(100)</v>
      </c>
      <c r="R452" s="112" t="str">
        <f t="shared" si="214"/>
        <v>#Investment Fund(100)</v>
      </c>
      <c r="S452" s="112" t="s">
        <v>11003</v>
      </c>
      <c r="T452" s="112" t="s">
        <v>10466</v>
      </c>
      <c r="U452" s="103" t="s">
        <v>10970</v>
      </c>
      <c r="V452" s="112" t="str">
        <f>VLOOKUP(P452, 'Bottom-up Tagging Assumptions'!$B$12:$F$39, 5, FALSE)</f>
        <v>#Science &amp; tech(100)</v>
      </c>
      <c r="W452" s="112" t="str">
        <f>VLOOKUP(B452, 'Companies covered restructured'!$B$7:$K$470, 7, FALSE)</f>
        <v>#Farm/Household(100)</v>
      </c>
      <c r="X452" s="112" t="str">
        <f>VLOOKUP(B452, 'Companies covered restructured'!$B$7:$K$470, 8, FALSE)</f>
        <v>N/A</v>
      </c>
      <c r="Y452" s="112" t="str">
        <f>VLOOKUP(P452, '[2]Bottom-up Tagging Assumptions'!$B$12:$F$56, 2, FALSE)</f>
        <v>#Other Economic(P); #Productivity(S)</v>
      </c>
      <c r="Z452" s="112" t="str">
        <f>VLOOKUP(P452, 'Bottom-up Tagging Assumptions'!$B$12:$F$56, 3, FALSE)</f>
        <v>#Increasing output per unit input(P); #Increasing crop or animal yield(S)</v>
      </c>
      <c r="AA452" s="112" t="str">
        <f>VLOOKUP(P452, 'Bottom-up Tagging Assumptions'!$B$12:$F$56, 4, FALSE)</f>
        <v>#Level 1(100)</v>
      </c>
      <c r="AB452" s="110" t="s">
        <v>514</v>
      </c>
      <c r="AC452" s="110"/>
      <c r="AD452" s="110" t="s">
        <v>515</v>
      </c>
      <c r="AE452" s="110" t="str">
        <f>VLOOKUP(AD452,  '1.2'!$B$7:$C$2033, 2, FALSE)</f>
        <v>FUND</v>
      </c>
      <c r="AF452" s="112">
        <v>14634837</v>
      </c>
      <c r="AG452" s="110" t="s">
        <v>1119</v>
      </c>
      <c r="AH452" s="121">
        <f t="shared" si="215"/>
        <v>0</v>
      </c>
      <c r="AI452" s="121">
        <f t="shared" si="216"/>
        <v>1</v>
      </c>
      <c r="AJ452" s="121">
        <f t="shared" si="217"/>
        <v>1</v>
      </c>
      <c r="AK452" s="121">
        <f t="shared" si="218"/>
        <v>0</v>
      </c>
      <c r="AL452" s="121">
        <f t="shared" si="219"/>
        <v>0</v>
      </c>
      <c r="AM452" s="121">
        <f t="shared" si="220"/>
        <v>0</v>
      </c>
      <c r="AN452" s="121">
        <f t="shared" si="221"/>
        <v>0</v>
      </c>
      <c r="AO452" s="121">
        <f t="shared" si="222"/>
        <v>0</v>
      </c>
      <c r="AP452" s="22">
        <f t="shared" si="223"/>
        <v>0</v>
      </c>
      <c r="AQ452" s="22">
        <f t="shared" si="224"/>
        <v>0</v>
      </c>
      <c r="AR452" s="22">
        <f t="shared" si="225"/>
        <v>0</v>
      </c>
      <c r="AS452" s="121" t="str">
        <f t="shared" si="226"/>
        <v>Crops</v>
      </c>
      <c r="AT452" s="121" t="str">
        <f t="shared" ref="AT452:AV471" si="247">IFERROR(IFERROR(MID($Q452,FIND("~",SUBSTITUTE($Q452,";","~",AT$10-1))+3,(FIND("~",SUBSTITUTE($Q452,";","~",AT$10))+0-(FIND("~",SUBSTITUTE($Q452,";","~",AT$10-1))+2))-6),MID($Q452,FIND("~",SUBSTITUTE($Q452,";","~",AT$10-1))+3,(LEN($Q452)-6-FIND("~",SUBSTITUTE($Q452,";","~",AT$10-1))-1)))," ")</f>
        <v xml:space="preserve"> </v>
      </c>
      <c r="AU452" s="121" t="str">
        <f t="shared" si="247"/>
        <v xml:space="preserve"> </v>
      </c>
      <c r="AV452" s="121" t="str">
        <f t="shared" si="247"/>
        <v xml:space="preserve"> </v>
      </c>
      <c r="AW452" s="130" t="str">
        <f t="shared" ref="AW452:AZ471" si="248">IFERROR(MID($Q452,FIND("~",SUBSTITUTE($Q452,"(","~",AW$10))+1,3)," ")</f>
        <v>100</v>
      </c>
      <c r="AX452" s="130" t="str">
        <f t="shared" si="248"/>
        <v xml:space="preserve"> </v>
      </c>
      <c r="AY452" s="130" t="str">
        <f t="shared" si="248"/>
        <v xml:space="preserve"> </v>
      </c>
      <c r="AZ452" s="130" t="str">
        <f t="shared" si="248"/>
        <v xml:space="preserve"> </v>
      </c>
      <c r="BA452" s="121">
        <f t="shared" si="227"/>
        <v>0</v>
      </c>
      <c r="BB452" s="121">
        <f t="shared" si="228"/>
        <v>0</v>
      </c>
      <c r="BC452" s="121">
        <f t="shared" si="229"/>
        <v>0</v>
      </c>
      <c r="BD452" s="121">
        <f t="shared" si="230"/>
        <v>0</v>
      </c>
      <c r="BE452" s="121">
        <f t="shared" si="231"/>
        <v>0</v>
      </c>
      <c r="BF452" s="121">
        <f t="shared" si="232"/>
        <v>0</v>
      </c>
      <c r="BG452" s="121">
        <f t="shared" si="233"/>
        <v>0</v>
      </c>
      <c r="BH452" s="121">
        <f t="shared" si="234"/>
        <v>0</v>
      </c>
      <c r="BI452" s="121">
        <f t="shared" si="235"/>
        <v>0</v>
      </c>
      <c r="BJ452" s="121">
        <f t="shared" si="236"/>
        <v>0</v>
      </c>
      <c r="BK452" s="121">
        <f t="shared" si="237"/>
        <v>0</v>
      </c>
      <c r="BL452" s="121">
        <f t="shared" si="238"/>
        <v>0</v>
      </c>
      <c r="BM452" s="121">
        <f t="shared" si="239"/>
        <v>0</v>
      </c>
      <c r="BN452" s="121">
        <f t="shared" si="240"/>
        <v>0</v>
      </c>
      <c r="BO452" s="121">
        <f t="shared" si="241"/>
        <v>0</v>
      </c>
      <c r="BP452" s="121">
        <f t="shared" si="242"/>
        <v>0</v>
      </c>
      <c r="BQ452" s="199" t="e">
        <f>INDEX('GDP deflators'!$C$6:$M$36,MATCH('Bottom-up tagging'!$D452,'GDP deflators'!$B$6:$B$36,),MATCH('Bottom-up tagging'!$E452,'GDP deflators'!$C$5:$L$5,))/100</f>
        <v>#N/A</v>
      </c>
      <c r="BR452" s="24">
        <v>100000</v>
      </c>
    </row>
    <row r="453" spans="2:70" ht="26.15" hidden="1" customHeight="1">
      <c r="B453" s="110" t="s">
        <v>1011</v>
      </c>
      <c r="C453" s="110" t="s">
        <v>1016</v>
      </c>
      <c r="D453" s="110" t="s">
        <v>1028</v>
      </c>
      <c r="E453" s="103">
        <v>2019</v>
      </c>
      <c r="F453" s="108" t="s">
        <v>5795</v>
      </c>
      <c r="G453" s="111" t="s">
        <v>34</v>
      </c>
      <c r="H453" s="110" t="s">
        <v>10451</v>
      </c>
      <c r="I453" s="112">
        <f>IF(Dashboard!$B$16="Current USD",'Bottom-up tagging'!BR453,'Bottom-up tagging'!BR453/'Bottom-up tagging'!BQ453)</f>
        <v>88774.169158665143</v>
      </c>
      <c r="J453" s="105" t="s">
        <v>10474</v>
      </c>
      <c r="K453" s="112"/>
      <c r="L453" s="135">
        <v>1</v>
      </c>
      <c r="M453" s="135">
        <v>1</v>
      </c>
      <c r="N453" s="112"/>
      <c r="O453" s="112"/>
      <c r="P453" s="112" t="str">
        <f>VLOOKUP(B453, 'Companies covered restructured'!$B$7:$K$470, 9, FALSE)</f>
        <v xml:space="preserve">Hydroponics </v>
      </c>
      <c r="Q453" s="112" t="str">
        <f>VLOOKUP(B453, 'Companies covered restructured'!$B$7:$K$470, 6, FALSE)</f>
        <v>#Crops(100)</v>
      </c>
      <c r="R453" s="112" t="str">
        <f t="shared" si="214"/>
        <v>#Investment Fund(100)</v>
      </c>
      <c r="S453" s="112" t="s">
        <v>11003</v>
      </c>
      <c r="T453" s="112" t="s">
        <v>10466</v>
      </c>
      <c r="U453" s="103" t="s">
        <v>10970</v>
      </c>
      <c r="V453" s="112" t="str">
        <f>VLOOKUP(P453, 'Bottom-up Tagging Assumptions'!$B$12:$F$39, 5, FALSE)</f>
        <v>#Science &amp; tech(100)</v>
      </c>
      <c r="W453" s="112" t="str">
        <f>VLOOKUP(B453, 'Companies covered restructured'!$B$7:$K$470, 7, FALSE)</f>
        <v>#Field/Animal Herd(100)</v>
      </c>
      <c r="X453" s="112" t="s">
        <v>10558</v>
      </c>
      <c r="Y453" s="212" t="str">
        <f>VLOOKUP(P453, 'Bottom-up Tagging Assumptions'!$B$12:$C$56, 2, FALSE)</f>
        <v>#Human Condition(P); #Environmental(S); #Productivity(S)</v>
      </c>
      <c r="Z453" s="112" t="str">
        <f>VLOOKUP(P453, 'Bottom-up Tagging Assumptions'!$B$12:$F$56, 3, FALSE)</f>
        <v>#Food security(P); #Reducing production variability(S)</v>
      </c>
      <c r="AA453" s="112" t="str">
        <f>VLOOKUP(P453, 'Bottom-up Tagging Assumptions'!$B$12:$F$56, 4, FALSE)</f>
        <v>#Level 2(100)</v>
      </c>
      <c r="AB453" s="110" t="s">
        <v>1013</v>
      </c>
      <c r="AC453" s="110"/>
      <c r="AD453" s="110" t="s">
        <v>1014</v>
      </c>
      <c r="AE453" s="110" t="str">
        <f>VLOOKUP(AD453,  '1.2'!$B$7:$C$2033, 2, FALSE)</f>
        <v>FUND</v>
      </c>
      <c r="AF453" s="112">
        <v>133229</v>
      </c>
      <c r="AG453" s="110" t="s">
        <v>1890</v>
      </c>
      <c r="AH453" s="121">
        <f t="shared" si="215"/>
        <v>1</v>
      </c>
      <c r="AI453" s="121">
        <f t="shared" si="216"/>
        <v>1</v>
      </c>
      <c r="AJ453" s="121">
        <f t="shared" si="217"/>
        <v>0</v>
      </c>
      <c r="AK453" s="121">
        <f t="shared" si="218"/>
        <v>0</v>
      </c>
      <c r="AL453" s="121">
        <f t="shared" si="219"/>
        <v>1</v>
      </c>
      <c r="AM453" s="121">
        <f t="shared" si="220"/>
        <v>1</v>
      </c>
      <c r="AN453" s="121">
        <f t="shared" si="221"/>
        <v>1</v>
      </c>
      <c r="AO453" s="121">
        <f t="shared" si="222"/>
        <v>1</v>
      </c>
      <c r="AP453" s="22">
        <f t="shared" si="223"/>
        <v>88774.169158665143</v>
      </c>
      <c r="AQ453" s="22">
        <f t="shared" si="224"/>
        <v>88774.169158665143</v>
      </c>
      <c r="AR453" s="22">
        <f t="shared" si="225"/>
        <v>88774.169158665143</v>
      </c>
      <c r="AS453" s="121" t="str">
        <f t="shared" si="226"/>
        <v>Crops</v>
      </c>
      <c r="AT453" s="121" t="str">
        <f t="shared" si="247"/>
        <v xml:space="preserve"> </v>
      </c>
      <c r="AU453" s="121" t="str">
        <f t="shared" si="247"/>
        <v xml:space="preserve"> </v>
      </c>
      <c r="AV453" s="121" t="str">
        <f t="shared" si="247"/>
        <v xml:space="preserve"> </v>
      </c>
      <c r="AW453" s="130" t="str">
        <f t="shared" si="248"/>
        <v>100</v>
      </c>
      <c r="AX453" s="130" t="str">
        <f t="shared" si="248"/>
        <v xml:space="preserve"> </v>
      </c>
      <c r="AY453" s="130" t="str">
        <f t="shared" si="248"/>
        <v xml:space="preserve"> </v>
      </c>
      <c r="AZ453" s="130" t="str">
        <f t="shared" si="248"/>
        <v xml:space="preserve"> </v>
      </c>
      <c r="BA453" s="121">
        <f t="shared" si="227"/>
        <v>88774.169158665143</v>
      </c>
      <c r="BB453" s="121">
        <f t="shared" si="228"/>
        <v>0</v>
      </c>
      <c r="BC453" s="121">
        <f t="shared" si="229"/>
        <v>0</v>
      </c>
      <c r="BD453" s="121">
        <f t="shared" si="230"/>
        <v>0</v>
      </c>
      <c r="BE453" s="121">
        <f t="shared" si="231"/>
        <v>88774.169158665143</v>
      </c>
      <c r="BF453" s="121">
        <f t="shared" si="232"/>
        <v>88774.169158665143</v>
      </c>
      <c r="BG453" s="121">
        <f t="shared" si="233"/>
        <v>88774.169158665143</v>
      </c>
      <c r="BH453" s="121">
        <f t="shared" si="234"/>
        <v>88774.169158665143</v>
      </c>
      <c r="BI453" s="121">
        <f t="shared" si="235"/>
        <v>88774.169158665143</v>
      </c>
      <c r="BJ453" s="121">
        <f t="shared" si="236"/>
        <v>88774.169158665143</v>
      </c>
      <c r="BK453" s="121">
        <f t="shared" si="237"/>
        <v>88774.169158665143</v>
      </c>
      <c r="BL453" s="121">
        <f t="shared" si="238"/>
        <v>88774.169158665143</v>
      </c>
      <c r="BM453" s="121">
        <f t="shared" si="239"/>
        <v>88774.169158665143</v>
      </c>
      <c r="BN453" s="121">
        <f t="shared" si="240"/>
        <v>88774.169158665143</v>
      </c>
      <c r="BO453" s="121">
        <f t="shared" si="241"/>
        <v>88774.169158665143</v>
      </c>
      <c r="BP453" s="121">
        <f t="shared" si="242"/>
        <v>88774.169158665143</v>
      </c>
      <c r="BQ453" s="199">
        <f>INDEX('GDP deflators'!$C$6:$M$36,MATCH('Bottom-up tagging'!$D453,'GDP deflators'!$B$6:$B$36,),MATCH('Bottom-up tagging'!$E453,'GDP deflators'!$C$5:$L$5,))/100</f>
        <v>1.1264537978527407</v>
      </c>
      <c r="BR453" s="24">
        <v>100000</v>
      </c>
    </row>
    <row r="454" spans="2:70" ht="26.15" hidden="1" customHeight="1">
      <c r="B454" s="110" t="s">
        <v>1052</v>
      </c>
      <c r="C454" s="110" t="s">
        <v>1056</v>
      </c>
      <c r="D454" s="110" t="s">
        <v>1258</v>
      </c>
      <c r="E454" s="103">
        <v>2019</v>
      </c>
      <c r="F454" s="108" t="s">
        <v>5378</v>
      </c>
      <c r="G454" s="111" t="s">
        <v>34</v>
      </c>
      <c r="H454" s="110" t="s">
        <v>10451</v>
      </c>
      <c r="I454" s="112">
        <f>IF(Dashboard!$B$16="Current USD",'Bottom-up tagging'!BR454,'Bottom-up tagging'!BR454/'Bottom-up tagging'!BQ454)</f>
        <v>73542.513594092074</v>
      </c>
      <c r="J454" s="118" t="s">
        <v>10474</v>
      </c>
      <c r="K454" s="112"/>
      <c r="L454" s="135">
        <v>1</v>
      </c>
      <c r="M454" s="135">
        <v>1</v>
      </c>
      <c r="N454" s="112"/>
      <c r="O454" s="112"/>
      <c r="P454" s="112" t="str">
        <f>VLOOKUP(B454, 'Companies covered restructured'!$B$7:$K$470, 9, FALSE)</f>
        <v>Equipment automation</v>
      </c>
      <c r="Q454" s="112" t="str">
        <f>VLOOKUP(B454, 'Companies covered restructured'!$B$7:$K$470, 6, FALSE)</f>
        <v>#Fisheries and Aquaculture(100)</v>
      </c>
      <c r="R454" s="112" t="str">
        <f t="shared" si="214"/>
        <v>#Corporate(100)</v>
      </c>
      <c r="S454" s="112" t="s">
        <v>11003</v>
      </c>
      <c r="T454" s="112" t="s">
        <v>10466</v>
      </c>
      <c r="U454" s="103" t="s">
        <v>10970</v>
      </c>
      <c r="V454" s="112" t="str">
        <f>VLOOKUP(P454, 'Bottom-up Tagging Assumptions'!$B$12:$F$39, 5, FALSE)</f>
        <v>#Science &amp; tech(100)</v>
      </c>
      <c r="W454" s="112" t="str">
        <f>VLOOKUP(B454, 'Companies covered restructured'!$B$7:$K$470, 7, FALSE)</f>
        <v>#Farm/Household(100)</v>
      </c>
      <c r="X454" s="112" t="s">
        <v>10558</v>
      </c>
      <c r="Y454" s="212" t="str">
        <f>VLOOKUP(P454, 'Bottom-up Tagging Assumptions'!$B$12:$C$56, 2, FALSE)</f>
        <v>#Productivity(P); #Other Economic(S)</v>
      </c>
      <c r="Z454" s="112" t="str">
        <f>VLOOKUP(P454, 'Bottom-up Tagging Assumptions'!$B$12:$F$56, 3, FALSE)</f>
        <v>#Reducing human effort(P); #Increasing output per unit input(S)</v>
      </c>
      <c r="AA454" s="112" t="str">
        <f>VLOOKUP(P454, 'Bottom-up Tagging Assumptions'!$B$12:$F$56, 4, FALSE)</f>
        <v>#Level 1(100)</v>
      </c>
      <c r="AB454" s="110" t="s">
        <v>1054</v>
      </c>
      <c r="AC454" s="110"/>
      <c r="AD454" s="110" t="s">
        <v>1055</v>
      </c>
      <c r="AE454" s="110" t="str">
        <f>VLOOKUP(AD454,  '1.2'!$B$7:$C$2033, 2, FALSE)</f>
        <v>CORPORATE_INVESTOR</v>
      </c>
      <c r="AF454" s="112"/>
      <c r="AG454" s="110" t="s">
        <v>2664</v>
      </c>
      <c r="AH454" s="121">
        <f t="shared" si="215"/>
        <v>0</v>
      </c>
      <c r="AI454" s="121">
        <f t="shared" si="216"/>
        <v>1</v>
      </c>
      <c r="AJ454" s="121">
        <f t="shared" si="217"/>
        <v>1</v>
      </c>
      <c r="AK454" s="121">
        <f t="shared" si="218"/>
        <v>0</v>
      </c>
      <c r="AL454" s="121">
        <f t="shared" si="219"/>
        <v>0</v>
      </c>
      <c r="AM454" s="121">
        <f t="shared" si="220"/>
        <v>0</v>
      </c>
      <c r="AN454" s="121">
        <f t="shared" si="221"/>
        <v>0</v>
      </c>
      <c r="AO454" s="121">
        <f t="shared" si="222"/>
        <v>0</v>
      </c>
      <c r="AP454" s="22">
        <f t="shared" si="223"/>
        <v>0</v>
      </c>
      <c r="AQ454" s="22">
        <f t="shared" si="224"/>
        <v>0</v>
      </c>
      <c r="AR454" s="22">
        <f t="shared" si="225"/>
        <v>0</v>
      </c>
      <c r="AS454" s="121" t="str">
        <f t="shared" si="226"/>
        <v>Fisheries and Aquaculture</v>
      </c>
      <c r="AT454" s="121" t="str">
        <f t="shared" si="247"/>
        <v xml:space="preserve"> </v>
      </c>
      <c r="AU454" s="121" t="str">
        <f t="shared" si="247"/>
        <v xml:space="preserve"> </v>
      </c>
      <c r="AV454" s="121" t="str">
        <f t="shared" si="247"/>
        <v xml:space="preserve"> </v>
      </c>
      <c r="AW454" s="130" t="str">
        <f t="shared" si="248"/>
        <v>100</v>
      </c>
      <c r="AX454" s="130" t="str">
        <f t="shared" si="248"/>
        <v xml:space="preserve"> </v>
      </c>
      <c r="AY454" s="130" t="str">
        <f t="shared" si="248"/>
        <v xml:space="preserve"> </v>
      </c>
      <c r="AZ454" s="130" t="str">
        <f t="shared" si="248"/>
        <v xml:space="preserve"> </v>
      </c>
      <c r="BA454" s="121">
        <f t="shared" si="227"/>
        <v>73542.513594092074</v>
      </c>
      <c r="BB454" s="121">
        <f t="shared" si="228"/>
        <v>0</v>
      </c>
      <c r="BC454" s="121">
        <f t="shared" si="229"/>
        <v>0</v>
      </c>
      <c r="BD454" s="121">
        <f t="shared" si="230"/>
        <v>0</v>
      </c>
      <c r="BE454" s="121">
        <f t="shared" si="231"/>
        <v>0</v>
      </c>
      <c r="BF454" s="121">
        <f t="shared" si="232"/>
        <v>0</v>
      </c>
      <c r="BG454" s="121">
        <f t="shared" si="233"/>
        <v>0</v>
      </c>
      <c r="BH454" s="121">
        <f t="shared" si="234"/>
        <v>0</v>
      </c>
      <c r="BI454" s="121">
        <f t="shared" si="235"/>
        <v>0</v>
      </c>
      <c r="BJ454" s="121">
        <f t="shared" si="236"/>
        <v>0</v>
      </c>
      <c r="BK454" s="121">
        <f t="shared" si="237"/>
        <v>0</v>
      </c>
      <c r="BL454" s="121">
        <f t="shared" si="238"/>
        <v>0</v>
      </c>
      <c r="BM454" s="121">
        <f t="shared" si="239"/>
        <v>0</v>
      </c>
      <c r="BN454" s="121">
        <f t="shared" si="240"/>
        <v>0</v>
      </c>
      <c r="BO454" s="121">
        <f t="shared" si="241"/>
        <v>0</v>
      </c>
      <c r="BP454" s="121">
        <f t="shared" si="242"/>
        <v>0</v>
      </c>
      <c r="BQ454" s="199">
        <f>INDEX('GDP deflators'!$C$6:$M$36,MATCH('Bottom-up tagging'!$D454,'GDP deflators'!$B$6:$B$36,),MATCH('Bottom-up tagging'!$E454,'GDP deflators'!$C$5:$L$5,))/100</f>
        <v>1.3597577117357782</v>
      </c>
      <c r="BR454" s="24">
        <v>100000</v>
      </c>
    </row>
    <row r="455" spans="2:70" ht="26.15" hidden="1" customHeight="1">
      <c r="B455" s="110" t="s">
        <v>1094</v>
      </c>
      <c r="C455" s="110" t="s">
        <v>1096</v>
      </c>
      <c r="D455" s="110" t="s">
        <v>2057</v>
      </c>
      <c r="E455" s="103">
        <v>2019</v>
      </c>
      <c r="F455" s="108" t="s">
        <v>8409</v>
      </c>
      <c r="G455" s="111" t="s">
        <v>34</v>
      </c>
      <c r="H455" s="110" t="s">
        <v>10451</v>
      </c>
      <c r="I455" s="112">
        <f>IF(Dashboard!$B$16="Current USD",'Bottom-up tagging'!BR455,'Bottom-up tagging'!BR455/'Bottom-up tagging'!BQ455)</f>
        <v>78830.141325049306</v>
      </c>
      <c r="J455" s="117" t="s">
        <v>10474</v>
      </c>
      <c r="K455" s="112"/>
      <c r="L455" s="135">
        <v>1</v>
      </c>
      <c r="M455" s="135">
        <v>1</v>
      </c>
      <c r="N455" s="112"/>
      <c r="O455" s="112"/>
      <c r="P455" s="112" t="str">
        <f>VLOOKUP(B455, 'Companies covered restructured'!$B$7:$K$470, 9, FALSE)</f>
        <v xml:space="preserve">Hydroponics </v>
      </c>
      <c r="Q455" s="112" t="str">
        <f>VLOOKUP(B455, 'Companies covered restructured'!$B$7:$K$470, 6, FALSE)</f>
        <v>#Crops(100)</v>
      </c>
      <c r="R455" s="112" t="str">
        <f t="shared" si="214"/>
        <v>#Investment Fund(100)</v>
      </c>
      <c r="S455" s="112" t="s">
        <v>11003</v>
      </c>
      <c r="T455" s="112" t="s">
        <v>10466</v>
      </c>
      <c r="U455" s="213" t="s">
        <v>10970</v>
      </c>
      <c r="V455" s="112" t="str">
        <f>VLOOKUP(P455, 'Bottom-up Tagging Assumptions'!$B$12:$F$39, 5, FALSE)</f>
        <v>#Science &amp; tech(100)</v>
      </c>
      <c r="W455" s="112" t="str">
        <f>VLOOKUP(B455, 'Companies covered restructured'!$B$7:$K$470, 7, FALSE)</f>
        <v>#Farm/Household(100)</v>
      </c>
      <c r="X455" s="112" t="str">
        <f>VLOOKUP(B455, 'Companies covered restructured'!$B$7:$K$470, 8, FALSE)</f>
        <v>#Small(100)</v>
      </c>
      <c r="Y455" s="212" t="str">
        <f>VLOOKUP(P455, 'Bottom-up Tagging Assumptions'!$B$12:$C$56, 2, FALSE)</f>
        <v>#Human Condition(P); #Environmental(S); #Productivity(S)</v>
      </c>
      <c r="Z455" s="112" t="str">
        <f>VLOOKUP(P455, 'Bottom-up Tagging Assumptions'!$B$12:$F$56, 3, FALSE)</f>
        <v>#Food security(P); #Reducing production variability(S)</v>
      </c>
      <c r="AA455" s="112" t="str">
        <f>VLOOKUP(P455, 'Bottom-up Tagging Assumptions'!$B$12:$F$56, 4, FALSE)</f>
        <v>#Level 2(100)</v>
      </c>
      <c r="AB455" s="110" t="s">
        <v>514</v>
      </c>
      <c r="AC455" s="110"/>
      <c r="AD455" s="110" t="s">
        <v>515</v>
      </c>
      <c r="AE455" s="110" t="str">
        <f>VLOOKUP(AD455,  '1.2'!$B$7:$C$2033, 2, FALSE)</f>
        <v>FUND</v>
      </c>
      <c r="AF455" s="112"/>
      <c r="AG455" s="110" t="s">
        <v>2749</v>
      </c>
      <c r="AH455" s="121">
        <f t="shared" si="215"/>
        <v>1</v>
      </c>
      <c r="AI455" s="121">
        <f t="shared" si="216"/>
        <v>1</v>
      </c>
      <c r="AJ455" s="121">
        <f t="shared" si="217"/>
        <v>0</v>
      </c>
      <c r="AK455" s="121">
        <f t="shared" si="218"/>
        <v>0</v>
      </c>
      <c r="AL455" s="121">
        <f t="shared" si="219"/>
        <v>1</v>
      </c>
      <c r="AM455" s="121">
        <f t="shared" si="220"/>
        <v>1</v>
      </c>
      <c r="AN455" s="121">
        <f t="shared" si="221"/>
        <v>1</v>
      </c>
      <c r="AO455" s="121">
        <f t="shared" si="222"/>
        <v>1</v>
      </c>
      <c r="AP455" s="22">
        <f t="shared" si="223"/>
        <v>78830.141325049306</v>
      </c>
      <c r="AQ455" s="22">
        <f t="shared" si="224"/>
        <v>78830.141325049306</v>
      </c>
      <c r="AR455" s="22">
        <f t="shared" si="225"/>
        <v>78830.141325049306</v>
      </c>
      <c r="AS455" s="121" t="str">
        <f t="shared" si="226"/>
        <v>Crops</v>
      </c>
      <c r="AT455" s="121" t="str">
        <f t="shared" si="247"/>
        <v xml:space="preserve"> </v>
      </c>
      <c r="AU455" s="121" t="str">
        <f t="shared" si="247"/>
        <v xml:space="preserve"> </v>
      </c>
      <c r="AV455" s="121" t="str">
        <f t="shared" si="247"/>
        <v xml:space="preserve"> </v>
      </c>
      <c r="AW455" s="130" t="str">
        <f t="shared" si="248"/>
        <v>100</v>
      </c>
      <c r="AX455" s="130" t="str">
        <f t="shared" si="248"/>
        <v xml:space="preserve"> </v>
      </c>
      <c r="AY455" s="130" t="str">
        <f t="shared" si="248"/>
        <v xml:space="preserve"> </v>
      </c>
      <c r="AZ455" s="130" t="str">
        <f t="shared" si="248"/>
        <v xml:space="preserve"> </v>
      </c>
      <c r="BA455" s="121">
        <f t="shared" si="227"/>
        <v>78830.141325049306</v>
      </c>
      <c r="BB455" s="121">
        <f t="shared" si="228"/>
        <v>0</v>
      </c>
      <c r="BC455" s="121">
        <f t="shared" si="229"/>
        <v>0</v>
      </c>
      <c r="BD455" s="121">
        <f t="shared" si="230"/>
        <v>0</v>
      </c>
      <c r="BE455" s="121">
        <f t="shared" si="231"/>
        <v>78830.141325049306</v>
      </c>
      <c r="BF455" s="121">
        <f t="shared" si="232"/>
        <v>78830.141325049306</v>
      </c>
      <c r="BG455" s="121">
        <f t="shared" si="233"/>
        <v>78830.141325049306</v>
      </c>
      <c r="BH455" s="121">
        <f t="shared" si="234"/>
        <v>78830.141325049306</v>
      </c>
      <c r="BI455" s="121">
        <f t="shared" si="235"/>
        <v>78830.141325049306</v>
      </c>
      <c r="BJ455" s="121">
        <f t="shared" si="236"/>
        <v>78830.141325049306</v>
      </c>
      <c r="BK455" s="121">
        <f t="shared" si="237"/>
        <v>78830.141325049306</v>
      </c>
      <c r="BL455" s="121">
        <f t="shared" si="238"/>
        <v>78830.141325049306</v>
      </c>
      <c r="BM455" s="121">
        <f t="shared" si="239"/>
        <v>78830.141325049306</v>
      </c>
      <c r="BN455" s="121">
        <f t="shared" si="240"/>
        <v>78830.141325049306</v>
      </c>
      <c r="BO455" s="121">
        <f t="shared" si="241"/>
        <v>78830.141325049306</v>
      </c>
      <c r="BP455" s="121">
        <f t="shared" si="242"/>
        <v>78830.141325049306</v>
      </c>
      <c r="BQ455" s="199">
        <f>INDEX('GDP deflators'!$C$6:$M$36,MATCH('Bottom-up tagging'!$D455,'GDP deflators'!$B$6:$B$36,),MATCH('Bottom-up tagging'!$E455,'GDP deflators'!$C$5:$L$5,))/100</f>
        <v>1.2685503072696345</v>
      </c>
      <c r="BR455" s="24">
        <v>100000</v>
      </c>
    </row>
    <row r="456" spans="2:70" ht="26.15" hidden="1" customHeight="1">
      <c r="B456" s="110" t="s">
        <v>1361</v>
      </c>
      <c r="C456" s="110" t="s">
        <v>1365</v>
      </c>
      <c r="D456" s="110" t="s">
        <v>5524</v>
      </c>
      <c r="E456" s="103">
        <v>2018</v>
      </c>
      <c r="F456" s="108" t="s">
        <v>5525</v>
      </c>
      <c r="G456" s="111" t="s">
        <v>34</v>
      </c>
      <c r="H456" s="110" t="s">
        <v>10451</v>
      </c>
      <c r="I456" s="112">
        <f>IF(Dashboard!$B$16="Current USD",'Bottom-up tagging'!BR456,'Bottom-up tagging'!BR456/'Bottom-up tagging'!BQ456)</f>
        <v>25607.455353890567</v>
      </c>
      <c r="J456" s="105" t="s">
        <v>10474</v>
      </c>
      <c r="K456" s="112"/>
      <c r="L456" s="135">
        <v>1</v>
      </c>
      <c r="M456" s="135">
        <v>1</v>
      </c>
      <c r="N456" s="112"/>
      <c r="O456" s="112"/>
      <c r="P456" s="112" t="str">
        <f>VLOOKUP(B456, 'Companies covered restructured'!$B$7:$K$470, 9, FALSE)</f>
        <v xml:space="preserve">Agriculture financing systems </v>
      </c>
      <c r="Q456" s="112" t="str">
        <f>VLOOKUP(B456, 'Companies covered restructured'!$B$7:$K$470, 6, FALSE)</f>
        <v>#Cross-cutting(100)</v>
      </c>
      <c r="R456" s="112" t="str">
        <f t="shared" si="214"/>
        <v>#Investment Fund(100)</v>
      </c>
      <c r="S456" s="112" t="s">
        <v>11003</v>
      </c>
      <c r="T456" s="112" t="s">
        <v>10466</v>
      </c>
      <c r="U456" s="103" t="s">
        <v>10970</v>
      </c>
      <c r="V456" s="112" t="str">
        <f>VLOOKUP(P456, 'Bottom-up Tagging Assumptions'!$B$12:$F$39, 5, FALSE)</f>
        <v>#Process Innovation(100)</v>
      </c>
      <c r="W456" s="112" t="s">
        <v>10558</v>
      </c>
      <c r="X456" s="112" t="s">
        <v>10558</v>
      </c>
      <c r="Y456" s="212" t="str">
        <f>VLOOKUP(P456, 'Bottom-up Tagging Assumptions'!$B$12:$C$56, 2, FALSE)</f>
        <v>#Other Economic(P); Social(S)</v>
      </c>
      <c r="Z456" s="112" t="str">
        <f>VLOOKUP(P456, 'Bottom-up Tagging Assumptions'!$B$12:$F$56, 3, FALSE)</f>
        <v>NA</v>
      </c>
      <c r="AA456" s="112" t="str">
        <f>VLOOKUP(P456, 'Bottom-up Tagging Assumptions'!$B$12:$F$56, 4, FALSE)</f>
        <v>#Level 1(100)</v>
      </c>
      <c r="AB456" s="110" t="s">
        <v>1363</v>
      </c>
      <c r="AC456" s="110"/>
      <c r="AD456" s="110" t="s">
        <v>1364</v>
      </c>
      <c r="AE456" s="110" t="str">
        <f>VLOOKUP(AD456,  '1.2'!$B$7:$C$2033, 2, FALSE)</f>
        <v>FUND</v>
      </c>
      <c r="AF456" s="112">
        <v>26000000</v>
      </c>
      <c r="AG456" s="110" t="s">
        <v>2671</v>
      </c>
      <c r="AH456" s="121">
        <f t="shared" si="215"/>
        <v>0</v>
      </c>
      <c r="AI456" s="121">
        <f t="shared" si="216"/>
        <v>0</v>
      </c>
      <c r="AJ456" s="121">
        <f t="shared" si="217"/>
        <v>1</v>
      </c>
      <c r="AK456" s="121">
        <f t="shared" si="218"/>
        <v>1</v>
      </c>
      <c r="AL456" s="121">
        <f t="shared" si="219"/>
        <v>0</v>
      </c>
      <c r="AM456" s="121">
        <f t="shared" si="220"/>
        <v>0</v>
      </c>
      <c r="AN456" s="121">
        <f t="shared" si="221"/>
        <v>1</v>
      </c>
      <c r="AO456" s="121">
        <f t="shared" si="222"/>
        <v>0</v>
      </c>
      <c r="AP456" s="22">
        <f t="shared" si="223"/>
        <v>0</v>
      </c>
      <c r="AQ456" s="22">
        <f t="shared" si="224"/>
        <v>25607.455353890567</v>
      </c>
      <c r="AR456" s="22">
        <f t="shared" si="225"/>
        <v>0</v>
      </c>
      <c r="AS456" s="121" t="str">
        <f t="shared" si="226"/>
        <v>Cross-cutting</v>
      </c>
      <c r="AT456" s="121" t="str">
        <f t="shared" si="247"/>
        <v xml:space="preserve"> </v>
      </c>
      <c r="AU456" s="121" t="str">
        <f t="shared" si="247"/>
        <v xml:space="preserve"> </v>
      </c>
      <c r="AV456" s="121" t="str">
        <f t="shared" si="247"/>
        <v xml:space="preserve"> </v>
      </c>
      <c r="AW456" s="130" t="str">
        <f t="shared" si="248"/>
        <v>100</v>
      </c>
      <c r="AX456" s="130" t="str">
        <f t="shared" si="248"/>
        <v xml:space="preserve"> </v>
      </c>
      <c r="AY456" s="130" t="str">
        <f t="shared" si="248"/>
        <v xml:space="preserve"> </v>
      </c>
      <c r="AZ456" s="130" t="str">
        <f t="shared" si="248"/>
        <v xml:space="preserve"> </v>
      </c>
      <c r="BA456" s="121">
        <f t="shared" si="227"/>
        <v>25607.455353890567</v>
      </c>
      <c r="BB456" s="121">
        <f t="shared" si="228"/>
        <v>0</v>
      </c>
      <c r="BC456" s="121">
        <f t="shared" si="229"/>
        <v>0</v>
      </c>
      <c r="BD456" s="121">
        <f t="shared" si="230"/>
        <v>0</v>
      </c>
      <c r="BE456" s="121">
        <f t="shared" si="231"/>
        <v>0</v>
      </c>
      <c r="BF456" s="121">
        <f t="shared" si="232"/>
        <v>0</v>
      </c>
      <c r="BG456" s="121">
        <f t="shared" si="233"/>
        <v>0</v>
      </c>
      <c r="BH456" s="121">
        <f t="shared" si="234"/>
        <v>0</v>
      </c>
      <c r="BI456" s="121">
        <f t="shared" si="235"/>
        <v>25607.455353890567</v>
      </c>
      <c r="BJ456" s="121">
        <f t="shared" si="236"/>
        <v>25607.455353890567</v>
      </c>
      <c r="BK456" s="121">
        <f t="shared" si="237"/>
        <v>25607.455353890567</v>
      </c>
      <c r="BL456" s="121">
        <f t="shared" si="238"/>
        <v>25607.455353890567</v>
      </c>
      <c r="BM456" s="121">
        <f t="shared" si="239"/>
        <v>0</v>
      </c>
      <c r="BN456" s="121">
        <f t="shared" si="240"/>
        <v>0</v>
      </c>
      <c r="BO456" s="121">
        <f t="shared" si="241"/>
        <v>0</v>
      </c>
      <c r="BP456" s="121">
        <f t="shared" si="242"/>
        <v>0</v>
      </c>
      <c r="BQ456" s="199">
        <f>INDEX('GDP deflators'!$C$6:$M$36,MATCH('Bottom-up tagging'!$D456,'GDP deflators'!$B$6:$B$36,),MATCH('Bottom-up tagging'!$E456,'GDP deflators'!$C$5:$L$5,))/100</f>
        <v>3.9051127344758561</v>
      </c>
      <c r="BR456" s="24">
        <v>100000</v>
      </c>
    </row>
    <row r="457" spans="2:70" ht="26.15" hidden="1" customHeight="1">
      <c r="B457" s="110" t="s">
        <v>1367</v>
      </c>
      <c r="C457" s="110" t="s">
        <v>1371</v>
      </c>
      <c r="D457" s="110" t="s">
        <v>5524</v>
      </c>
      <c r="E457" s="103">
        <v>2018</v>
      </c>
      <c r="F457" s="108" t="s">
        <v>5709</v>
      </c>
      <c r="G457" s="111" t="s">
        <v>34</v>
      </c>
      <c r="H457" s="110" t="s">
        <v>10451</v>
      </c>
      <c r="I457" s="112">
        <f>IF(Dashboard!$B$16="Current USD",'Bottom-up tagging'!BR457,'Bottom-up tagging'!BR457/'Bottom-up tagging'!BQ457)</f>
        <v>25607.455353890567</v>
      </c>
      <c r="J457" s="118" t="s">
        <v>10474</v>
      </c>
      <c r="K457" s="112"/>
      <c r="L457" s="135">
        <v>1</v>
      </c>
      <c r="M457" s="135">
        <v>1</v>
      </c>
      <c r="N457" s="112"/>
      <c r="O457" s="112"/>
      <c r="P457" s="112" t="str">
        <f>VLOOKUP(B457, 'Companies covered restructured'!$B$7:$K$470, 9, FALSE)</f>
        <v>Farmer engagement platforms (including marketplaces and information platforms)</v>
      </c>
      <c r="Q457" s="112" t="str">
        <f>VLOOKUP(B457, 'Companies covered restructured'!$B$7:$K$470, 6, FALSE)</f>
        <v>#Crops(100)</v>
      </c>
      <c r="R457" s="112" t="str">
        <f t="shared" si="214"/>
        <v>#Investment Fund(100)</v>
      </c>
      <c r="S457" s="112" t="s">
        <v>11003</v>
      </c>
      <c r="T457" s="112" t="s">
        <v>10466</v>
      </c>
      <c r="U457" s="103" t="s">
        <v>10970</v>
      </c>
      <c r="V457" s="112" t="str">
        <f>VLOOKUP(P457, 'Bottom-up Tagging Assumptions'!$B$12:$F$39, 5, FALSE)</f>
        <v>#Process Innovation(100)</v>
      </c>
      <c r="W457" s="112" t="str">
        <f>VLOOKUP(B457, 'Companies covered restructured'!$B$7:$K$470, 7, FALSE)</f>
        <v>#Field/Animal Herd(100)</v>
      </c>
      <c r="X457" s="112" t="s">
        <v>10558</v>
      </c>
      <c r="Y457" s="212" t="str">
        <f>VLOOKUP(P457, 'Bottom-up Tagging Assumptions'!$B$12:$C$56, 2, FALSE)</f>
        <v>#Other Economic(P); #Productivity(S)</v>
      </c>
      <c r="Z457" s="112" t="str">
        <f>VLOOKUP(P457, 'Bottom-up Tagging Assumptions'!$B$12:$F$56, 3, FALSE)</f>
        <v>#Improve price realization(P); #Increasing crop or animal yield(S)</v>
      </c>
      <c r="AA457" s="112" t="str">
        <f>VLOOKUP(P457, 'Bottom-up Tagging Assumptions'!$B$12:$F$56, 4, FALSE)</f>
        <v>#Level 4(100)</v>
      </c>
      <c r="AB457" s="110" t="s">
        <v>1369</v>
      </c>
      <c r="AC457" s="110"/>
      <c r="AD457" s="110" t="s">
        <v>1370</v>
      </c>
      <c r="AE457" s="110" t="str">
        <f>VLOOKUP(AD457,  '1.2'!$B$7:$C$2033, 2, FALSE)</f>
        <v>FUND</v>
      </c>
      <c r="AF457" s="112">
        <v>5971680</v>
      </c>
      <c r="AG457" s="110" t="s">
        <v>2346</v>
      </c>
      <c r="AH457" s="121">
        <f t="shared" si="215"/>
        <v>0</v>
      </c>
      <c r="AI457" s="121">
        <f t="shared" si="216"/>
        <v>1</v>
      </c>
      <c r="AJ457" s="121">
        <f t="shared" si="217"/>
        <v>1</v>
      </c>
      <c r="AK457" s="121">
        <f t="shared" si="218"/>
        <v>0</v>
      </c>
      <c r="AL457" s="121">
        <f t="shared" si="219"/>
        <v>0</v>
      </c>
      <c r="AM457" s="121">
        <f t="shared" si="220"/>
        <v>0</v>
      </c>
      <c r="AN457" s="121">
        <f t="shared" si="221"/>
        <v>0</v>
      </c>
      <c r="AO457" s="121">
        <f t="shared" si="222"/>
        <v>0</v>
      </c>
      <c r="AP457" s="22">
        <f t="shared" si="223"/>
        <v>0</v>
      </c>
      <c r="AQ457" s="22">
        <f t="shared" si="224"/>
        <v>0</v>
      </c>
      <c r="AR457" s="22">
        <f t="shared" si="225"/>
        <v>0</v>
      </c>
      <c r="AS457" s="121" t="str">
        <f t="shared" si="226"/>
        <v>Crops</v>
      </c>
      <c r="AT457" s="121" t="str">
        <f t="shared" si="247"/>
        <v xml:space="preserve"> </v>
      </c>
      <c r="AU457" s="121" t="str">
        <f t="shared" si="247"/>
        <v xml:space="preserve"> </v>
      </c>
      <c r="AV457" s="121" t="str">
        <f t="shared" si="247"/>
        <v xml:space="preserve"> </v>
      </c>
      <c r="AW457" s="130" t="str">
        <f t="shared" si="248"/>
        <v>100</v>
      </c>
      <c r="AX457" s="130" t="str">
        <f t="shared" si="248"/>
        <v xml:space="preserve"> </v>
      </c>
      <c r="AY457" s="130" t="str">
        <f t="shared" si="248"/>
        <v xml:space="preserve"> </v>
      </c>
      <c r="AZ457" s="130" t="str">
        <f t="shared" si="248"/>
        <v xml:space="preserve"> </v>
      </c>
      <c r="BA457" s="121">
        <f t="shared" si="227"/>
        <v>25607.455353890567</v>
      </c>
      <c r="BB457" s="121">
        <f t="shared" si="228"/>
        <v>0</v>
      </c>
      <c r="BC457" s="121">
        <f t="shared" si="229"/>
        <v>0</v>
      </c>
      <c r="BD457" s="121">
        <f t="shared" si="230"/>
        <v>0</v>
      </c>
      <c r="BE457" s="121">
        <f t="shared" si="231"/>
        <v>0</v>
      </c>
      <c r="BF457" s="121">
        <f t="shared" si="232"/>
        <v>0</v>
      </c>
      <c r="BG457" s="121">
        <f t="shared" si="233"/>
        <v>0</v>
      </c>
      <c r="BH457" s="121">
        <f t="shared" si="234"/>
        <v>0</v>
      </c>
      <c r="BI457" s="121">
        <f t="shared" si="235"/>
        <v>0</v>
      </c>
      <c r="BJ457" s="121">
        <f t="shared" si="236"/>
        <v>0</v>
      </c>
      <c r="BK457" s="121">
        <f t="shared" si="237"/>
        <v>0</v>
      </c>
      <c r="BL457" s="121">
        <f t="shared" si="238"/>
        <v>0</v>
      </c>
      <c r="BM457" s="121">
        <f t="shared" si="239"/>
        <v>0</v>
      </c>
      <c r="BN457" s="121">
        <f t="shared" si="240"/>
        <v>0</v>
      </c>
      <c r="BO457" s="121">
        <f t="shared" si="241"/>
        <v>0</v>
      </c>
      <c r="BP457" s="121">
        <f t="shared" si="242"/>
        <v>0</v>
      </c>
      <c r="BQ457" s="199">
        <f>INDEX('GDP deflators'!$C$6:$M$36,MATCH('Bottom-up tagging'!$D457,'GDP deflators'!$B$6:$B$36,),MATCH('Bottom-up tagging'!$E457,'GDP deflators'!$C$5:$L$5,))/100</f>
        <v>3.9051127344758561</v>
      </c>
      <c r="BR457" s="24">
        <v>100000</v>
      </c>
    </row>
    <row r="458" spans="2:70" ht="26.15" hidden="1" customHeight="1">
      <c r="B458" s="110" t="s">
        <v>1373</v>
      </c>
      <c r="C458" s="110" t="s">
        <v>1365</v>
      </c>
      <c r="D458" s="110" t="s">
        <v>6393</v>
      </c>
      <c r="E458" s="103">
        <v>2018</v>
      </c>
      <c r="F458" s="108" t="s">
        <v>6397</v>
      </c>
      <c r="G458" s="111" t="s">
        <v>34</v>
      </c>
      <c r="H458" s="110" t="s">
        <v>10451</v>
      </c>
      <c r="I458" s="112">
        <f>IF(Dashboard!$B$16="Current USD",'Bottom-up tagging'!BR458,'Bottom-up tagging'!BR458/'Bottom-up tagging'!BQ458)</f>
        <v>94034.357441961765</v>
      </c>
      <c r="J458" s="118" t="s">
        <v>10474</v>
      </c>
      <c r="K458" s="112"/>
      <c r="L458" s="135">
        <v>1</v>
      </c>
      <c r="M458" s="135">
        <v>1</v>
      </c>
      <c r="N458" s="112"/>
      <c r="O458" s="112"/>
      <c r="P458" s="112" t="str">
        <f>VLOOKUP(B458, 'Companies covered restructured'!$B$7:$K$470, 9, FALSE)</f>
        <v xml:space="preserve">Agriculture financing systems </v>
      </c>
      <c r="Q458" s="112" t="str">
        <f>VLOOKUP(B458, 'Companies covered restructured'!$B$7:$K$470, 6, FALSE)</f>
        <v>#Cross-cutting(100)</v>
      </c>
      <c r="R458" s="112" t="str">
        <f t="shared" si="214"/>
        <v>N/A</v>
      </c>
      <c r="S458" s="112" t="s">
        <v>11003</v>
      </c>
      <c r="T458" s="112" t="s">
        <v>10466</v>
      </c>
      <c r="U458" s="103" t="s">
        <v>10970</v>
      </c>
      <c r="V458" s="112" t="str">
        <f>VLOOKUP(P458, 'Bottom-up Tagging Assumptions'!$B$12:$F$39, 5, FALSE)</f>
        <v>#Process Innovation(100)</v>
      </c>
      <c r="W458" s="112" t="str">
        <f>VLOOKUP(B458, 'Companies covered restructured'!$B$7:$K$470, 7, FALSE)</f>
        <v>#Landscape(100)</v>
      </c>
      <c r="X458" s="112" t="s">
        <v>10558</v>
      </c>
      <c r="Y458" s="212" t="str">
        <f>VLOOKUP(P458, 'Bottom-up Tagging Assumptions'!$B$12:$C$56, 2, FALSE)</f>
        <v>#Other Economic(P); Social(S)</v>
      </c>
      <c r="Z458" s="112" t="str">
        <f>VLOOKUP(P458, 'Bottom-up Tagging Assumptions'!$B$12:$F$56, 3, FALSE)</f>
        <v>NA</v>
      </c>
      <c r="AA458" s="112" t="str">
        <f>VLOOKUP(P458, 'Bottom-up Tagging Assumptions'!$B$12:$F$56, 4, FALSE)</f>
        <v>#Level 1(100)</v>
      </c>
      <c r="AB458" s="110" t="s">
        <v>1375</v>
      </c>
      <c r="AC458" s="110"/>
      <c r="AD458" s="110"/>
      <c r="AE458" s="110" t="s">
        <v>10558</v>
      </c>
      <c r="AF458" s="112">
        <v>10726419</v>
      </c>
      <c r="AG458" s="110" t="s">
        <v>115</v>
      </c>
      <c r="AH458" s="121">
        <f t="shared" si="215"/>
        <v>0</v>
      </c>
      <c r="AI458" s="121">
        <f t="shared" si="216"/>
        <v>0</v>
      </c>
      <c r="AJ458" s="121">
        <f t="shared" si="217"/>
        <v>1</v>
      </c>
      <c r="AK458" s="121">
        <f t="shared" si="218"/>
        <v>1</v>
      </c>
      <c r="AL458" s="121">
        <f t="shared" si="219"/>
        <v>0</v>
      </c>
      <c r="AM458" s="121">
        <f t="shared" si="220"/>
        <v>0</v>
      </c>
      <c r="AN458" s="121">
        <f t="shared" si="221"/>
        <v>1</v>
      </c>
      <c r="AO458" s="121">
        <f t="shared" si="222"/>
        <v>0</v>
      </c>
      <c r="AP458" s="22">
        <f t="shared" si="223"/>
        <v>0</v>
      </c>
      <c r="AQ458" s="22">
        <f t="shared" si="224"/>
        <v>94034.357441961765</v>
      </c>
      <c r="AR458" s="22">
        <f t="shared" si="225"/>
        <v>0</v>
      </c>
      <c r="AS458" s="121" t="str">
        <f t="shared" si="226"/>
        <v>Cross-cutting</v>
      </c>
      <c r="AT458" s="121" t="str">
        <f t="shared" si="247"/>
        <v xml:space="preserve"> </v>
      </c>
      <c r="AU458" s="121" t="str">
        <f t="shared" si="247"/>
        <v xml:space="preserve"> </v>
      </c>
      <c r="AV458" s="121" t="str">
        <f t="shared" si="247"/>
        <v xml:space="preserve"> </v>
      </c>
      <c r="AW458" s="130" t="str">
        <f t="shared" si="248"/>
        <v>100</v>
      </c>
      <c r="AX458" s="130" t="str">
        <f t="shared" si="248"/>
        <v xml:space="preserve"> </v>
      </c>
      <c r="AY458" s="130" t="str">
        <f t="shared" si="248"/>
        <v xml:space="preserve"> </v>
      </c>
      <c r="AZ458" s="130" t="str">
        <f t="shared" si="248"/>
        <v xml:space="preserve"> </v>
      </c>
      <c r="BA458" s="121">
        <f t="shared" si="227"/>
        <v>94034.357441961765</v>
      </c>
      <c r="BB458" s="121">
        <f t="shared" si="228"/>
        <v>0</v>
      </c>
      <c r="BC458" s="121">
        <f t="shared" si="229"/>
        <v>0</v>
      </c>
      <c r="BD458" s="121">
        <f t="shared" si="230"/>
        <v>0</v>
      </c>
      <c r="BE458" s="121">
        <f t="shared" si="231"/>
        <v>0</v>
      </c>
      <c r="BF458" s="121">
        <f t="shared" si="232"/>
        <v>0</v>
      </c>
      <c r="BG458" s="121">
        <f t="shared" si="233"/>
        <v>0</v>
      </c>
      <c r="BH458" s="121">
        <f t="shared" si="234"/>
        <v>0</v>
      </c>
      <c r="BI458" s="121">
        <f t="shared" si="235"/>
        <v>94034.357441961765</v>
      </c>
      <c r="BJ458" s="121">
        <f t="shared" si="236"/>
        <v>94034.357441961765</v>
      </c>
      <c r="BK458" s="121">
        <f t="shared" si="237"/>
        <v>94034.357441961765</v>
      </c>
      <c r="BL458" s="121">
        <f t="shared" si="238"/>
        <v>94034.357441961765</v>
      </c>
      <c r="BM458" s="121">
        <f t="shared" si="239"/>
        <v>0</v>
      </c>
      <c r="BN458" s="121">
        <f t="shared" si="240"/>
        <v>0</v>
      </c>
      <c r="BO458" s="121">
        <f t="shared" si="241"/>
        <v>0</v>
      </c>
      <c r="BP458" s="121">
        <f t="shared" si="242"/>
        <v>0</v>
      </c>
      <c r="BQ458" s="199">
        <f>INDEX('GDP deflators'!$C$6:$M$36,MATCH('Bottom-up tagging'!$D458,'GDP deflators'!$B$6:$B$36,),MATCH('Bottom-up tagging'!$E458,'GDP deflators'!$C$5:$L$5,))/100</f>
        <v>1.0634410945139945</v>
      </c>
      <c r="BR458" s="24">
        <v>100000</v>
      </c>
    </row>
    <row r="459" spans="2:70" ht="26.15" hidden="1" customHeight="1">
      <c r="B459" s="110" t="s">
        <v>1011</v>
      </c>
      <c r="C459" s="110" t="s">
        <v>1016</v>
      </c>
      <c r="D459" s="110" t="s">
        <v>1028</v>
      </c>
      <c r="E459" s="103">
        <v>2018</v>
      </c>
      <c r="F459" s="108" t="s">
        <v>5795</v>
      </c>
      <c r="G459" s="111" t="s">
        <v>184</v>
      </c>
      <c r="H459" s="110" t="s">
        <v>10451</v>
      </c>
      <c r="I459" s="112">
        <f>IF(Dashboard!$B$16="Current USD",'Bottom-up tagging'!BR459,'Bottom-up tagging'!BR459/'Bottom-up tagging'!BQ459)</f>
        <v>89205.95214966801</v>
      </c>
      <c r="J459" s="117" t="s">
        <v>10474</v>
      </c>
      <c r="K459" s="112"/>
      <c r="L459" s="135">
        <v>1</v>
      </c>
      <c r="M459" s="135">
        <v>1</v>
      </c>
      <c r="N459" s="112"/>
      <c r="O459" s="112"/>
      <c r="P459" s="112" t="str">
        <f>VLOOKUP(B459, 'Companies covered restructured'!$B$7:$K$470, 9, FALSE)</f>
        <v xml:space="preserve">Hydroponics </v>
      </c>
      <c r="Q459" s="112" t="str">
        <f>VLOOKUP(B459, 'Companies covered restructured'!$B$7:$K$470, 6, FALSE)</f>
        <v>#Crops(100)</v>
      </c>
      <c r="R459" s="112" t="str">
        <f t="shared" si="214"/>
        <v>N/A</v>
      </c>
      <c r="S459" s="112" t="s">
        <v>11003</v>
      </c>
      <c r="T459" s="112" t="s">
        <v>10465</v>
      </c>
      <c r="U459" s="103" t="s">
        <v>10970</v>
      </c>
      <c r="V459" s="112" t="str">
        <f>VLOOKUP(P459, 'Bottom-up Tagging Assumptions'!$B$12:$F$39, 5, FALSE)</f>
        <v>#Science &amp; tech(100)</v>
      </c>
      <c r="W459" s="112" t="str">
        <f>VLOOKUP(B459, 'Companies covered restructured'!$B$7:$K$470, 7, FALSE)</f>
        <v>#Field/Animal Herd(100)</v>
      </c>
      <c r="X459" s="112" t="s">
        <v>10558</v>
      </c>
      <c r="Y459" s="212" t="str">
        <f>VLOOKUP(P459, 'Bottom-up Tagging Assumptions'!$B$12:$C$56, 2, FALSE)</f>
        <v>#Human Condition(P); #Environmental(S); #Productivity(S)</v>
      </c>
      <c r="Z459" s="112" t="str">
        <f>VLOOKUP(P459, 'Bottom-up Tagging Assumptions'!$B$12:$F$56, 3, FALSE)</f>
        <v>#Food security(P); #Reducing production variability(S)</v>
      </c>
      <c r="AA459" s="112" t="str">
        <f>VLOOKUP(P459, 'Bottom-up Tagging Assumptions'!$B$12:$F$56, 4, FALSE)</f>
        <v>#Level 2(100)</v>
      </c>
      <c r="AB459" s="110" t="s">
        <v>1439</v>
      </c>
      <c r="AC459" s="110"/>
      <c r="AD459" s="110"/>
      <c r="AE459" s="110" t="s">
        <v>10558</v>
      </c>
      <c r="AF459" s="112">
        <v>3574388</v>
      </c>
      <c r="AG459" s="110" t="s">
        <v>626</v>
      </c>
      <c r="AH459" s="121">
        <f t="shared" si="215"/>
        <v>1</v>
      </c>
      <c r="AI459" s="121">
        <f t="shared" si="216"/>
        <v>1</v>
      </c>
      <c r="AJ459" s="121">
        <f t="shared" si="217"/>
        <v>0</v>
      </c>
      <c r="AK459" s="121">
        <f t="shared" si="218"/>
        <v>0</v>
      </c>
      <c r="AL459" s="121">
        <f t="shared" si="219"/>
        <v>1</v>
      </c>
      <c r="AM459" s="121">
        <f t="shared" si="220"/>
        <v>1</v>
      </c>
      <c r="AN459" s="121">
        <f t="shared" si="221"/>
        <v>1</v>
      </c>
      <c r="AO459" s="121">
        <f t="shared" si="222"/>
        <v>1</v>
      </c>
      <c r="AP459" s="22">
        <f t="shared" si="223"/>
        <v>89205.95214966801</v>
      </c>
      <c r="AQ459" s="22">
        <f t="shared" si="224"/>
        <v>89205.95214966801</v>
      </c>
      <c r="AR459" s="22">
        <f t="shared" si="225"/>
        <v>89205.95214966801</v>
      </c>
      <c r="AS459" s="121" t="str">
        <f t="shared" si="226"/>
        <v>Crops</v>
      </c>
      <c r="AT459" s="121" t="str">
        <f t="shared" si="247"/>
        <v xml:space="preserve"> </v>
      </c>
      <c r="AU459" s="121" t="str">
        <f t="shared" si="247"/>
        <v xml:space="preserve"> </v>
      </c>
      <c r="AV459" s="121" t="str">
        <f t="shared" si="247"/>
        <v xml:space="preserve"> </v>
      </c>
      <c r="AW459" s="130" t="str">
        <f t="shared" si="248"/>
        <v>100</v>
      </c>
      <c r="AX459" s="130" t="str">
        <f t="shared" si="248"/>
        <v xml:space="preserve"> </v>
      </c>
      <c r="AY459" s="130" t="str">
        <f t="shared" si="248"/>
        <v xml:space="preserve"> </v>
      </c>
      <c r="AZ459" s="130" t="str">
        <f t="shared" si="248"/>
        <v xml:space="preserve"> </v>
      </c>
      <c r="BA459" s="121">
        <f t="shared" si="227"/>
        <v>89205.952149667995</v>
      </c>
      <c r="BB459" s="121">
        <f t="shared" si="228"/>
        <v>0</v>
      </c>
      <c r="BC459" s="121">
        <f t="shared" si="229"/>
        <v>0</v>
      </c>
      <c r="BD459" s="121">
        <f t="shared" si="230"/>
        <v>0</v>
      </c>
      <c r="BE459" s="121">
        <f t="shared" si="231"/>
        <v>89205.952149667995</v>
      </c>
      <c r="BF459" s="121">
        <f t="shared" si="232"/>
        <v>89205.95214966801</v>
      </c>
      <c r="BG459" s="121">
        <f t="shared" si="233"/>
        <v>89205.95214966801</v>
      </c>
      <c r="BH459" s="121">
        <f t="shared" si="234"/>
        <v>89205.95214966801</v>
      </c>
      <c r="BI459" s="121">
        <f t="shared" si="235"/>
        <v>89205.952149667995</v>
      </c>
      <c r="BJ459" s="121">
        <f t="shared" si="236"/>
        <v>89205.95214966801</v>
      </c>
      <c r="BK459" s="121">
        <f t="shared" si="237"/>
        <v>89205.95214966801</v>
      </c>
      <c r="BL459" s="121">
        <f t="shared" si="238"/>
        <v>89205.95214966801</v>
      </c>
      <c r="BM459" s="121">
        <f t="shared" si="239"/>
        <v>89205.952149667995</v>
      </c>
      <c r="BN459" s="121">
        <f t="shared" si="240"/>
        <v>89205.95214966801</v>
      </c>
      <c r="BO459" s="121">
        <f t="shared" si="241"/>
        <v>89205.95214966801</v>
      </c>
      <c r="BP459" s="121">
        <f t="shared" si="242"/>
        <v>89205.95214966801</v>
      </c>
      <c r="BQ459" s="199">
        <f>INDEX('GDP deflators'!$C$6:$M$36,MATCH('Bottom-up tagging'!$D459,'GDP deflators'!$B$6:$B$36,),MATCH('Bottom-up tagging'!$E459,'GDP deflators'!$C$5:$L$5,))/100</f>
        <v>1.1210014308487168</v>
      </c>
      <c r="BR459" s="24">
        <v>100000</v>
      </c>
    </row>
    <row r="460" spans="2:70" ht="26.15" hidden="1" customHeight="1">
      <c r="B460" s="110" t="s">
        <v>1581</v>
      </c>
      <c r="C460" s="110" t="s">
        <v>1584</v>
      </c>
      <c r="D460" s="110" t="s">
        <v>5333</v>
      </c>
      <c r="E460" s="103">
        <v>2018</v>
      </c>
      <c r="F460" s="108" t="s">
        <v>8315</v>
      </c>
      <c r="G460" s="111" t="s">
        <v>34</v>
      </c>
      <c r="H460" s="110" t="s">
        <v>10451</v>
      </c>
      <c r="I460" s="112">
        <f>IF(Dashboard!$B$16="Current USD",'Bottom-up tagging'!BR460,'Bottom-up tagging'!BR460/'Bottom-up tagging'!BQ460)</f>
        <v>12001.644697108126</v>
      </c>
      <c r="J460" s="117" t="s">
        <v>10474</v>
      </c>
      <c r="K460" s="112"/>
      <c r="L460" s="135">
        <v>1</v>
      </c>
      <c r="M460" s="135">
        <v>1</v>
      </c>
      <c r="N460" s="112"/>
      <c r="O460" s="112"/>
      <c r="P460" s="112" t="str">
        <f>VLOOKUP(B460, 'Companies covered restructured'!$B$7:$K$470, 9, FALSE)</f>
        <v>Irrigation systems</v>
      </c>
      <c r="Q460" s="112" t="str">
        <f>VLOOKUP(B460, 'Companies covered restructured'!$B$7:$K$470, 6, FALSE)</f>
        <v>#Crops(100)</v>
      </c>
      <c r="R460" s="112" t="str">
        <f t="shared" ref="R460:R523" si="249">IF(AE460="FUND", "#Investment Fund(100)", IF(AE460="CORPORATE_INVESTOR", "#Corporate(100)", IF(AE460="ANGEL", "#Angel Investor(100)", "N/A")))</f>
        <v>N/A</v>
      </c>
      <c r="S460" s="112" t="s">
        <v>11003</v>
      </c>
      <c r="T460" s="112" t="s">
        <v>10466</v>
      </c>
      <c r="U460" s="103" t="s">
        <v>10970</v>
      </c>
      <c r="V460" s="212" t="s">
        <v>10977</v>
      </c>
      <c r="W460" s="112" t="str">
        <f>VLOOKUP(B460, 'Companies covered restructured'!$B$7:$K$470, 7, FALSE)</f>
        <v>#Farm/Household(100)</v>
      </c>
      <c r="X460" s="112" t="str">
        <f>VLOOKUP(B460, 'Companies covered restructured'!$B$7:$K$470, 8, FALSE)</f>
        <v>#Small(100)</v>
      </c>
      <c r="Y460" s="212" t="str">
        <f>VLOOKUP(P460, 'Bottom-up Tagging Assumptions'!$B$12:$C$56, 2, FALSE)</f>
        <v>#Other Economic(P); Environmental(S)</v>
      </c>
      <c r="Z460" s="112" t="str">
        <f>VLOOKUP(P460, 'Bottom-up Tagging Assumptions'!$B$12:$F$56, 3, FALSE)</f>
        <v>#Waste reduction(P)</v>
      </c>
      <c r="AA460" s="112" t="str">
        <f>VLOOKUP(P460, 'Bottom-up Tagging Assumptions'!$B$12:$F$56, 4, FALSE)</f>
        <v>#Level 1(100)</v>
      </c>
      <c r="AB460" s="110" t="s">
        <v>785</v>
      </c>
      <c r="AC460" s="110"/>
      <c r="AD460" s="110"/>
      <c r="AE460" s="110" t="s">
        <v>10558</v>
      </c>
      <c r="AF460" s="112">
        <v>1730000</v>
      </c>
      <c r="AG460" s="110" t="s">
        <v>2563</v>
      </c>
      <c r="AH460" s="121">
        <f t="shared" ref="AH460:AH523" si="250">IF(ISNUMBER(SEARCH("Environmental",$Y460))=TRUE,1,0)</f>
        <v>1</v>
      </c>
      <c r="AI460" s="121">
        <f t="shared" ref="AI460:AI523" si="251">IF(ISNUMBER(SEARCH("Productivity",$Y460))=TRUE,1,0)</f>
        <v>0</v>
      </c>
      <c r="AJ460" s="121">
        <f t="shared" ref="AJ460:AJ523" si="252">IF(ISNUMBER(SEARCH("Other Economic",$Y460))=TRUE,1,0)</f>
        <v>1</v>
      </c>
      <c r="AK460" s="121">
        <f t="shared" ref="AK460:AK523" si="253">IF(ISNUMBER(SEARCH("Social",$Y460))=TRUE,1,0)</f>
        <v>0</v>
      </c>
      <c r="AL460" s="121">
        <f t="shared" ref="AL460:AL523" si="254">IF(ISNUMBER(SEARCH("Human Condition",$Y460))=TRUE,1,0)</f>
        <v>0</v>
      </c>
      <c r="AM460" s="121">
        <f t="shared" ref="AM460:AM523" si="255">IF((AI460+AH460+AK460)=3,1,IF((AI460+AH460+AL460)=3,1,0))</f>
        <v>0</v>
      </c>
      <c r="AN460" s="121">
        <f t="shared" ref="AN460:AN523" si="256">IF(AND(SUM(AI460:AJ460)&gt;0,SUM(AK460:AL460,AH460)&gt;0),1,0)</f>
        <v>1</v>
      </c>
      <c r="AO460" s="121">
        <f t="shared" ref="AO460:AO523" si="257">IF(AI460+AH460=2, 1, 0)</f>
        <v>0</v>
      </c>
      <c r="AP460" s="22">
        <f t="shared" ref="AP460:AP523" si="258">IF(AM460=1, I460, 0)</f>
        <v>0</v>
      </c>
      <c r="AQ460" s="22">
        <f t="shared" ref="AQ460:AQ523" si="259">IF(AN460=1, I460, 0)</f>
        <v>12001.644697108126</v>
      </c>
      <c r="AR460" s="22">
        <f t="shared" ref="AR460:AR523" si="260">IF(AO460=1, I460, 0)</f>
        <v>0</v>
      </c>
      <c r="AS460" s="121" t="str">
        <f t="shared" ref="AS460:AS523" si="261">IFERROR(MID($Q460,2,(FIND("~",SUBSTITUTE($Q460,")","~",AS$10))-6)),$Q460)</f>
        <v>Crops</v>
      </c>
      <c r="AT460" s="121" t="str">
        <f t="shared" si="247"/>
        <v xml:space="preserve"> </v>
      </c>
      <c r="AU460" s="121" t="str">
        <f t="shared" si="247"/>
        <v xml:space="preserve"> </v>
      </c>
      <c r="AV460" s="121" t="str">
        <f t="shared" si="247"/>
        <v xml:space="preserve"> </v>
      </c>
      <c r="AW460" s="130" t="str">
        <f t="shared" si="248"/>
        <v>100</v>
      </c>
      <c r="AX460" s="130" t="str">
        <f t="shared" si="248"/>
        <v xml:space="preserve"> </v>
      </c>
      <c r="AY460" s="130" t="str">
        <f t="shared" si="248"/>
        <v xml:space="preserve"> </v>
      </c>
      <c r="AZ460" s="130" t="str">
        <f t="shared" si="248"/>
        <v xml:space="preserve"> </v>
      </c>
      <c r="BA460" s="121">
        <f t="shared" ref="BA460:BA523" si="262">IFERROR($I460*AW460/100,$I460)</f>
        <v>12001.644697108126</v>
      </c>
      <c r="BB460" s="121">
        <f t="shared" ref="BB460:BB523" si="263">IFERROR($I460*AX460/100,0)</f>
        <v>0</v>
      </c>
      <c r="BC460" s="121">
        <f t="shared" ref="BC460:BC523" si="264">IFERROR($I460*AY460/100,0)</f>
        <v>0</v>
      </c>
      <c r="BD460" s="121">
        <f t="shared" ref="BD460:BD523" si="265">IFERROR($I460*AZ460/100,0)</f>
        <v>0</v>
      </c>
      <c r="BE460" s="121">
        <f t="shared" ref="BE460:BE523" si="266">IFERROR($AP460*AW460/100,$AP460)</f>
        <v>0</v>
      </c>
      <c r="BF460" s="121">
        <f t="shared" ref="BF460:BF523" si="267">IFERROR($AP460*AX460/100,$AP460)</f>
        <v>0</v>
      </c>
      <c r="BG460" s="121">
        <f t="shared" ref="BG460:BG523" si="268">IFERROR($AP460*AY460/100,$AP460)</f>
        <v>0</v>
      </c>
      <c r="BH460" s="121">
        <f t="shared" ref="BH460:BH523" si="269">IFERROR($AP460*AZ460/100,$AP460)</f>
        <v>0</v>
      </c>
      <c r="BI460" s="121">
        <f t="shared" ref="BI460:BI523" si="270">IFERROR($AQ460*AW460/100,$AQ460)</f>
        <v>12001.644697108126</v>
      </c>
      <c r="BJ460" s="121">
        <f t="shared" ref="BJ460:BJ523" si="271">IFERROR($AQ460*AX460/100,$AQ460)</f>
        <v>12001.644697108126</v>
      </c>
      <c r="BK460" s="121">
        <f t="shared" ref="BK460:BK523" si="272">IFERROR($AQ460*AY460/100,$AQ460)</f>
        <v>12001.644697108126</v>
      </c>
      <c r="BL460" s="121">
        <f t="shared" ref="BL460:BL523" si="273">IFERROR($AQ460*AZ460/100,$AQ460)</f>
        <v>12001.644697108126</v>
      </c>
      <c r="BM460" s="121">
        <f t="shared" ref="BM460:BM523" si="274">IFERROR($AR460*AW460/100,$AR460)</f>
        <v>0</v>
      </c>
      <c r="BN460" s="121">
        <f t="shared" ref="BN460:BN523" si="275">IFERROR($AR460*AX460/100,$AR460)</f>
        <v>0</v>
      </c>
      <c r="BO460" s="121">
        <f t="shared" ref="BO460:BO523" si="276">IFERROR($AR460*AY460/100,$AR460)</f>
        <v>0</v>
      </c>
      <c r="BP460" s="121">
        <f t="shared" ref="BP460:BP523" si="277">IFERROR($AR460*AZ460/100,$AR460)</f>
        <v>0</v>
      </c>
      <c r="BQ460" s="199">
        <f>INDEX('GDP deflators'!$C$6:$M$36,MATCH('Bottom-up tagging'!$D460,'GDP deflators'!$B$6:$B$36,),MATCH('Bottom-up tagging'!$E460,'GDP deflators'!$C$5:$L$5,))/100</f>
        <v>8.3321913390833551</v>
      </c>
      <c r="BR460" s="24">
        <v>100000</v>
      </c>
    </row>
    <row r="461" spans="2:70" ht="26.15" hidden="1" customHeight="1">
      <c r="B461" s="110" t="s">
        <v>1586</v>
      </c>
      <c r="C461" s="110" t="s">
        <v>1589</v>
      </c>
      <c r="D461" s="110" t="s">
        <v>5333</v>
      </c>
      <c r="E461" s="103">
        <v>2018</v>
      </c>
      <c r="F461" s="108" t="s">
        <v>7011</v>
      </c>
      <c r="G461" s="111" t="s">
        <v>34</v>
      </c>
      <c r="H461" s="110" t="s">
        <v>10451</v>
      </c>
      <c r="I461" s="112">
        <f>IF(Dashboard!$B$16="Current USD",'Bottom-up tagging'!BR461,'Bottom-up tagging'!BR461/'Bottom-up tagging'!BQ461)</f>
        <v>12001.644697108126</v>
      </c>
      <c r="J461" s="118" t="s">
        <v>10474</v>
      </c>
      <c r="K461" s="112"/>
      <c r="L461" s="135">
        <v>1</v>
      </c>
      <c r="M461" s="135">
        <v>1</v>
      </c>
      <c r="N461" s="112"/>
      <c r="O461" s="112"/>
      <c r="P461" s="112" t="str">
        <f>VLOOKUP(B461, 'Companies covered restructured'!$B$7:$K$470, 9, FALSE)</f>
        <v>AI/analytics based advisory algorithms (incl. weather)</v>
      </c>
      <c r="Q461" s="112" t="str">
        <f>VLOOKUP(B461, 'Companies covered restructured'!$B$7:$K$470, 6, FALSE)</f>
        <v>#Crops(100)</v>
      </c>
      <c r="R461" s="112" t="str">
        <f t="shared" si="249"/>
        <v>#Investment Fund(100)</v>
      </c>
      <c r="S461" s="112" t="s">
        <v>11003</v>
      </c>
      <c r="T461" s="112" t="s">
        <v>10466</v>
      </c>
      <c r="U461" s="103" t="s">
        <v>10970</v>
      </c>
      <c r="V461" s="112" t="str">
        <f>VLOOKUP(P461, 'Bottom-up Tagging Assumptions'!$B$12:$F$39, 5, FALSE)</f>
        <v>#Science &amp; tech(100)</v>
      </c>
      <c r="W461" s="112" t="str">
        <f>VLOOKUP(B461, 'Companies covered restructured'!$B$7:$K$470, 7, FALSE)</f>
        <v>#Field/Animal Herd(100)</v>
      </c>
      <c r="X461" s="112" t="s">
        <v>10558</v>
      </c>
      <c r="Y461" s="212" t="str">
        <f>VLOOKUP(P461, 'Bottom-up Tagging Assumptions'!$B$12:$C$56, 2, FALSE)</f>
        <v>#Other Economic(P); #Productivity(S)</v>
      </c>
      <c r="Z461" s="112" t="str">
        <f>VLOOKUP(P461, 'Bottom-up Tagging Assumptions'!$B$12:$F$56, 3, FALSE)</f>
        <v>#Increasing output per unit input(P); #Increasing crop or animal yield(S)</v>
      </c>
      <c r="AA461" s="112" t="str">
        <f>VLOOKUP(P461, 'Bottom-up Tagging Assumptions'!$B$12:$F$56, 4, FALSE)</f>
        <v>#Level 1(100)</v>
      </c>
      <c r="AB461" s="110" t="s">
        <v>785</v>
      </c>
      <c r="AC461" s="110"/>
      <c r="AD461" s="110" t="s">
        <v>786</v>
      </c>
      <c r="AE461" s="110" t="str">
        <f>VLOOKUP(AD461,  '1.2'!$B$7:$C$2033, 2, FALSE)</f>
        <v>FUND</v>
      </c>
      <c r="AF461" s="112"/>
      <c r="AG461" s="110" t="s">
        <v>968</v>
      </c>
      <c r="AH461" s="121">
        <f t="shared" si="250"/>
        <v>0</v>
      </c>
      <c r="AI461" s="121">
        <f t="shared" si="251"/>
        <v>1</v>
      </c>
      <c r="AJ461" s="121">
        <f t="shared" si="252"/>
        <v>1</v>
      </c>
      <c r="AK461" s="121">
        <f t="shared" si="253"/>
        <v>0</v>
      </c>
      <c r="AL461" s="121">
        <f t="shared" si="254"/>
        <v>0</v>
      </c>
      <c r="AM461" s="121">
        <f t="shared" si="255"/>
        <v>0</v>
      </c>
      <c r="AN461" s="121">
        <f t="shared" si="256"/>
        <v>0</v>
      </c>
      <c r="AO461" s="121">
        <f t="shared" si="257"/>
        <v>0</v>
      </c>
      <c r="AP461" s="22">
        <f t="shared" si="258"/>
        <v>0</v>
      </c>
      <c r="AQ461" s="22">
        <f t="shared" si="259"/>
        <v>0</v>
      </c>
      <c r="AR461" s="22">
        <f t="shared" si="260"/>
        <v>0</v>
      </c>
      <c r="AS461" s="121" t="str">
        <f t="shared" si="261"/>
        <v>Crops</v>
      </c>
      <c r="AT461" s="121" t="str">
        <f t="shared" si="247"/>
        <v xml:space="preserve"> </v>
      </c>
      <c r="AU461" s="121" t="str">
        <f t="shared" si="247"/>
        <v xml:space="preserve"> </v>
      </c>
      <c r="AV461" s="121" t="str">
        <f t="shared" si="247"/>
        <v xml:space="preserve"> </v>
      </c>
      <c r="AW461" s="130" t="str">
        <f t="shared" si="248"/>
        <v>100</v>
      </c>
      <c r="AX461" s="130" t="str">
        <f t="shared" si="248"/>
        <v xml:space="preserve"> </v>
      </c>
      <c r="AY461" s="130" t="str">
        <f t="shared" si="248"/>
        <v xml:space="preserve"> </v>
      </c>
      <c r="AZ461" s="130" t="str">
        <f t="shared" si="248"/>
        <v xml:space="preserve"> </v>
      </c>
      <c r="BA461" s="121">
        <f t="shared" si="262"/>
        <v>12001.644697108126</v>
      </c>
      <c r="BB461" s="121">
        <f t="shared" si="263"/>
        <v>0</v>
      </c>
      <c r="BC461" s="121">
        <f t="shared" si="264"/>
        <v>0</v>
      </c>
      <c r="BD461" s="121">
        <f t="shared" si="265"/>
        <v>0</v>
      </c>
      <c r="BE461" s="121">
        <f t="shared" si="266"/>
        <v>0</v>
      </c>
      <c r="BF461" s="121">
        <f t="shared" si="267"/>
        <v>0</v>
      </c>
      <c r="BG461" s="121">
        <f t="shared" si="268"/>
        <v>0</v>
      </c>
      <c r="BH461" s="121">
        <f t="shared" si="269"/>
        <v>0</v>
      </c>
      <c r="BI461" s="121">
        <f t="shared" si="270"/>
        <v>0</v>
      </c>
      <c r="BJ461" s="121">
        <f t="shared" si="271"/>
        <v>0</v>
      </c>
      <c r="BK461" s="121">
        <f t="shared" si="272"/>
        <v>0</v>
      </c>
      <c r="BL461" s="121">
        <f t="shared" si="273"/>
        <v>0</v>
      </c>
      <c r="BM461" s="121">
        <f t="shared" si="274"/>
        <v>0</v>
      </c>
      <c r="BN461" s="121">
        <f t="shared" si="275"/>
        <v>0</v>
      </c>
      <c r="BO461" s="121">
        <f t="shared" si="276"/>
        <v>0</v>
      </c>
      <c r="BP461" s="121">
        <f t="shared" si="277"/>
        <v>0</v>
      </c>
      <c r="BQ461" s="199">
        <f>INDEX('GDP deflators'!$C$6:$M$36,MATCH('Bottom-up tagging'!$D461,'GDP deflators'!$B$6:$B$36,),MATCH('Bottom-up tagging'!$E461,'GDP deflators'!$C$5:$L$5,))/100</f>
        <v>8.3321913390833551</v>
      </c>
      <c r="BR461" s="24">
        <v>100000</v>
      </c>
    </row>
    <row r="462" spans="2:70" ht="26.15" hidden="1" customHeight="1">
      <c r="B462" s="110" t="s">
        <v>1591</v>
      </c>
      <c r="C462" s="110" t="s">
        <v>1593</v>
      </c>
      <c r="D462" s="110" t="s">
        <v>5333</v>
      </c>
      <c r="E462" s="103">
        <v>2018</v>
      </c>
      <c r="F462" s="108" t="s">
        <v>6765</v>
      </c>
      <c r="G462" s="111" t="s">
        <v>34</v>
      </c>
      <c r="H462" s="110" t="s">
        <v>10451</v>
      </c>
      <c r="I462" s="112">
        <f>IF(Dashboard!$B$16="Current USD",'Bottom-up tagging'!BR462,'Bottom-up tagging'!BR462/'Bottom-up tagging'!BQ462)</f>
        <v>12001.644697108126</v>
      </c>
      <c r="J462" s="117" t="s">
        <v>10474</v>
      </c>
      <c r="K462" s="112"/>
      <c r="L462" s="135">
        <v>1</v>
      </c>
      <c r="M462" s="135">
        <v>1</v>
      </c>
      <c r="N462" s="112"/>
      <c r="O462" s="112"/>
      <c r="P462" s="112" t="str">
        <f>VLOOKUP(B462, 'Companies covered restructured'!$B$7:$K$470, 9, FALSE)</f>
        <v>Agri marketplaces</v>
      </c>
      <c r="Q462" s="112" t="str">
        <f>VLOOKUP(B462, 'Companies covered restructured'!$B$7:$K$470, 6, FALSE)</f>
        <v>#Crops(100)</v>
      </c>
      <c r="R462" s="112" t="str">
        <f t="shared" si="249"/>
        <v>N/A</v>
      </c>
      <c r="S462" s="112" t="s">
        <v>11003</v>
      </c>
      <c r="T462" s="112" t="s">
        <v>10466</v>
      </c>
      <c r="U462" s="103" t="s">
        <v>10970</v>
      </c>
      <c r="V462" s="112" t="str">
        <f>VLOOKUP(P462, 'Bottom-up Tagging Assumptions'!$B$12:$F$39, 5, FALSE)</f>
        <v>#Process Innovation(100)</v>
      </c>
      <c r="W462" s="112" t="str">
        <f>VLOOKUP(B462, 'Companies covered restructured'!$B$7:$K$470, 7, FALSE)</f>
        <v>#Farm/Household(100)</v>
      </c>
      <c r="X462" s="112" t="s">
        <v>10558</v>
      </c>
      <c r="Y462" s="212" t="str">
        <f>VLOOKUP(P462, 'Bottom-up Tagging Assumptions'!$B$12:$C$56, 2, FALSE)</f>
        <v>#Other Economic(P); Social(S)</v>
      </c>
      <c r="Z462" s="112" t="str">
        <f>VLOOKUP(P462, 'Bottom-up Tagging Assumptions'!$B$12:$F$56, 3, FALSE)</f>
        <v>#Improve price realization(P)</v>
      </c>
      <c r="AA462" s="112" t="str">
        <f>VLOOKUP(P462, 'Bottom-up Tagging Assumptions'!$B$12:$F$56, 4, FALSE)</f>
        <v>#Level 4(100)</v>
      </c>
      <c r="AB462" s="110" t="s">
        <v>785</v>
      </c>
      <c r="AC462" s="110"/>
      <c r="AD462" s="110"/>
      <c r="AE462" s="110" t="s">
        <v>10558</v>
      </c>
      <c r="AF462" s="112">
        <v>15000000</v>
      </c>
      <c r="AG462" s="110" t="s">
        <v>2761</v>
      </c>
      <c r="AH462" s="121">
        <f t="shared" si="250"/>
        <v>0</v>
      </c>
      <c r="AI462" s="121">
        <f t="shared" si="251"/>
        <v>0</v>
      </c>
      <c r="AJ462" s="121">
        <f t="shared" si="252"/>
        <v>1</v>
      </c>
      <c r="AK462" s="121">
        <f t="shared" si="253"/>
        <v>1</v>
      </c>
      <c r="AL462" s="121">
        <f t="shared" si="254"/>
        <v>0</v>
      </c>
      <c r="AM462" s="121">
        <f t="shared" si="255"/>
        <v>0</v>
      </c>
      <c r="AN462" s="121">
        <f t="shared" si="256"/>
        <v>1</v>
      </c>
      <c r="AO462" s="121">
        <f t="shared" si="257"/>
        <v>0</v>
      </c>
      <c r="AP462" s="22">
        <f t="shared" si="258"/>
        <v>0</v>
      </c>
      <c r="AQ462" s="22">
        <f t="shared" si="259"/>
        <v>12001.644697108126</v>
      </c>
      <c r="AR462" s="22">
        <f t="shared" si="260"/>
        <v>0</v>
      </c>
      <c r="AS462" s="121" t="str">
        <f t="shared" si="261"/>
        <v>Crops</v>
      </c>
      <c r="AT462" s="121" t="str">
        <f t="shared" si="247"/>
        <v xml:space="preserve"> </v>
      </c>
      <c r="AU462" s="121" t="str">
        <f t="shared" si="247"/>
        <v xml:space="preserve"> </v>
      </c>
      <c r="AV462" s="121" t="str">
        <f t="shared" si="247"/>
        <v xml:space="preserve"> </v>
      </c>
      <c r="AW462" s="130" t="str">
        <f t="shared" si="248"/>
        <v>100</v>
      </c>
      <c r="AX462" s="130" t="str">
        <f t="shared" si="248"/>
        <v xml:space="preserve"> </v>
      </c>
      <c r="AY462" s="130" t="str">
        <f t="shared" si="248"/>
        <v xml:space="preserve"> </v>
      </c>
      <c r="AZ462" s="130" t="str">
        <f t="shared" si="248"/>
        <v xml:space="preserve"> </v>
      </c>
      <c r="BA462" s="121">
        <f t="shared" si="262"/>
        <v>12001.644697108126</v>
      </c>
      <c r="BB462" s="121">
        <f t="shared" si="263"/>
        <v>0</v>
      </c>
      <c r="BC462" s="121">
        <f t="shared" si="264"/>
        <v>0</v>
      </c>
      <c r="BD462" s="121">
        <f t="shared" si="265"/>
        <v>0</v>
      </c>
      <c r="BE462" s="121">
        <f t="shared" si="266"/>
        <v>0</v>
      </c>
      <c r="BF462" s="121">
        <f t="shared" si="267"/>
        <v>0</v>
      </c>
      <c r="BG462" s="121">
        <f t="shared" si="268"/>
        <v>0</v>
      </c>
      <c r="BH462" s="121">
        <f t="shared" si="269"/>
        <v>0</v>
      </c>
      <c r="BI462" s="121">
        <f t="shared" si="270"/>
        <v>12001.644697108126</v>
      </c>
      <c r="BJ462" s="121">
        <f t="shared" si="271"/>
        <v>12001.644697108126</v>
      </c>
      <c r="BK462" s="121">
        <f t="shared" si="272"/>
        <v>12001.644697108126</v>
      </c>
      <c r="BL462" s="121">
        <f t="shared" si="273"/>
        <v>12001.644697108126</v>
      </c>
      <c r="BM462" s="121">
        <f t="shared" si="274"/>
        <v>0</v>
      </c>
      <c r="BN462" s="121">
        <f t="shared" si="275"/>
        <v>0</v>
      </c>
      <c r="BO462" s="121">
        <f t="shared" si="276"/>
        <v>0</v>
      </c>
      <c r="BP462" s="121">
        <f t="shared" si="277"/>
        <v>0</v>
      </c>
      <c r="BQ462" s="199">
        <f>INDEX('GDP deflators'!$C$6:$M$36,MATCH('Bottom-up tagging'!$D462,'GDP deflators'!$B$6:$B$36,),MATCH('Bottom-up tagging'!$E462,'GDP deflators'!$C$5:$L$5,))/100</f>
        <v>8.3321913390833551</v>
      </c>
      <c r="BR462" s="24">
        <v>100000</v>
      </c>
    </row>
    <row r="463" spans="2:70" ht="26.15" hidden="1" customHeight="1">
      <c r="B463" s="110" t="s">
        <v>1724</v>
      </c>
      <c r="C463" s="110" t="s">
        <v>1726</v>
      </c>
      <c r="D463" s="110" t="s">
        <v>5208</v>
      </c>
      <c r="E463" s="103">
        <v>2018</v>
      </c>
      <c r="F463" s="108" t="s">
        <v>7543</v>
      </c>
      <c r="G463" s="111" t="s">
        <v>34</v>
      </c>
      <c r="H463" s="110" t="s">
        <v>10451</v>
      </c>
      <c r="I463" s="112">
        <f>IF(Dashboard!$B$16="Current USD",'Bottom-up tagging'!BR463,'Bottom-up tagging'!BR463/'Bottom-up tagging'!BQ463)</f>
        <v>59264.791594156319</v>
      </c>
      <c r="J463" s="105" t="s">
        <v>10474</v>
      </c>
      <c r="K463" s="112"/>
      <c r="L463" s="135">
        <v>1</v>
      </c>
      <c r="M463" s="135">
        <v>1</v>
      </c>
      <c r="N463" s="112"/>
      <c r="O463" s="112"/>
      <c r="P463" s="112" t="str">
        <f>VLOOKUP(B463, 'Companies covered restructured'!$B$7:$K$470, 9, FALSE)</f>
        <v>AI/analytics based advisory algorithms (incl. weather)</v>
      </c>
      <c r="Q463" s="112" t="str">
        <f>VLOOKUP(B463, 'Companies covered restructured'!$B$7:$K$470, 6, FALSE)</f>
        <v>#Crops(100)</v>
      </c>
      <c r="R463" s="112" t="str">
        <f t="shared" si="249"/>
        <v>#Investment Fund(100)</v>
      </c>
      <c r="S463" s="112" t="s">
        <v>11003</v>
      </c>
      <c r="T463" s="112" t="s">
        <v>10466</v>
      </c>
      <c r="U463" s="103" t="s">
        <v>10970</v>
      </c>
      <c r="V463" s="112" t="str">
        <f>VLOOKUP(P463, 'Bottom-up Tagging Assumptions'!$B$12:$F$39, 5, FALSE)</f>
        <v>#Science &amp; tech(100)</v>
      </c>
      <c r="W463" s="112" t="str">
        <f>VLOOKUP(B463, 'Companies covered restructured'!$B$7:$K$470, 7, FALSE)</f>
        <v>#Field/Animal Herd(100)</v>
      </c>
      <c r="X463" s="112" t="s">
        <v>10558</v>
      </c>
      <c r="Y463" s="212" t="str">
        <f>VLOOKUP(P463, 'Bottom-up Tagging Assumptions'!$B$12:$C$56, 2, FALSE)</f>
        <v>#Other Economic(P); #Productivity(S)</v>
      </c>
      <c r="Z463" s="112" t="str">
        <f>VLOOKUP(P463, 'Bottom-up Tagging Assumptions'!$B$12:$F$56, 3, FALSE)</f>
        <v>#Increasing output per unit input(P); #Increasing crop or animal yield(S)</v>
      </c>
      <c r="AA463" s="112" t="str">
        <f>VLOOKUP(P463, 'Bottom-up Tagging Assumptions'!$B$12:$F$56, 4, FALSE)</f>
        <v>#Level 1(100)</v>
      </c>
      <c r="AB463" s="110" t="s">
        <v>514</v>
      </c>
      <c r="AC463" s="110"/>
      <c r="AD463" s="110" t="s">
        <v>515</v>
      </c>
      <c r="AE463" s="110" t="str">
        <f>VLOOKUP(AD463,  '1.2'!$B$7:$C$2033, 2, FALSE)</f>
        <v>FUND</v>
      </c>
      <c r="AF463" s="112">
        <v>500000</v>
      </c>
      <c r="AG463" s="110" t="s">
        <v>2766</v>
      </c>
      <c r="AH463" s="121">
        <f t="shared" si="250"/>
        <v>0</v>
      </c>
      <c r="AI463" s="121">
        <f t="shared" si="251"/>
        <v>1</v>
      </c>
      <c r="AJ463" s="121">
        <f t="shared" si="252"/>
        <v>1</v>
      </c>
      <c r="AK463" s="121">
        <f t="shared" si="253"/>
        <v>0</v>
      </c>
      <c r="AL463" s="121">
        <f t="shared" si="254"/>
        <v>0</v>
      </c>
      <c r="AM463" s="121">
        <f t="shared" si="255"/>
        <v>0</v>
      </c>
      <c r="AN463" s="121">
        <f t="shared" si="256"/>
        <v>0</v>
      </c>
      <c r="AO463" s="121">
        <f t="shared" si="257"/>
        <v>0</v>
      </c>
      <c r="AP463" s="22">
        <f t="shared" si="258"/>
        <v>0</v>
      </c>
      <c r="AQ463" s="22">
        <f t="shared" si="259"/>
        <v>0</v>
      </c>
      <c r="AR463" s="22">
        <f t="shared" si="260"/>
        <v>0</v>
      </c>
      <c r="AS463" s="121" t="str">
        <f t="shared" si="261"/>
        <v>Crops</v>
      </c>
      <c r="AT463" s="121" t="str">
        <f t="shared" si="247"/>
        <v xml:space="preserve"> </v>
      </c>
      <c r="AU463" s="121" t="str">
        <f t="shared" si="247"/>
        <v xml:space="preserve"> </v>
      </c>
      <c r="AV463" s="121" t="str">
        <f t="shared" si="247"/>
        <v xml:space="preserve"> </v>
      </c>
      <c r="AW463" s="130" t="str">
        <f t="shared" si="248"/>
        <v>100</v>
      </c>
      <c r="AX463" s="130" t="str">
        <f t="shared" si="248"/>
        <v xml:space="preserve"> </v>
      </c>
      <c r="AY463" s="130" t="str">
        <f t="shared" si="248"/>
        <v xml:space="preserve"> </v>
      </c>
      <c r="AZ463" s="130" t="str">
        <f t="shared" si="248"/>
        <v xml:space="preserve"> </v>
      </c>
      <c r="BA463" s="121">
        <f t="shared" si="262"/>
        <v>59264.791594156319</v>
      </c>
      <c r="BB463" s="121">
        <f t="shared" si="263"/>
        <v>0</v>
      </c>
      <c r="BC463" s="121">
        <f t="shared" si="264"/>
        <v>0</v>
      </c>
      <c r="BD463" s="121">
        <f t="shared" si="265"/>
        <v>0</v>
      </c>
      <c r="BE463" s="121">
        <f t="shared" si="266"/>
        <v>0</v>
      </c>
      <c r="BF463" s="121">
        <f t="shared" si="267"/>
        <v>0</v>
      </c>
      <c r="BG463" s="121">
        <f t="shared" si="268"/>
        <v>0</v>
      </c>
      <c r="BH463" s="121">
        <f t="shared" si="269"/>
        <v>0</v>
      </c>
      <c r="BI463" s="121">
        <f t="shared" si="270"/>
        <v>0</v>
      </c>
      <c r="BJ463" s="121">
        <f t="shared" si="271"/>
        <v>0</v>
      </c>
      <c r="BK463" s="121">
        <f t="shared" si="272"/>
        <v>0</v>
      </c>
      <c r="BL463" s="121">
        <f t="shared" si="273"/>
        <v>0</v>
      </c>
      <c r="BM463" s="121">
        <f t="shared" si="274"/>
        <v>0</v>
      </c>
      <c r="BN463" s="121">
        <f t="shared" si="275"/>
        <v>0</v>
      </c>
      <c r="BO463" s="121">
        <f t="shared" si="276"/>
        <v>0</v>
      </c>
      <c r="BP463" s="121">
        <f t="shared" si="277"/>
        <v>0</v>
      </c>
      <c r="BQ463" s="199">
        <f>INDEX('GDP deflators'!$C$6:$M$36,MATCH('Bottom-up tagging'!$D463,'GDP deflators'!$B$6:$B$36,),MATCH('Bottom-up tagging'!$E463,'GDP deflators'!$C$5:$L$5,))/100</f>
        <v>1.6873424728259787</v>
      </c>
      <c r="BR463" s="24">
        <v>100000</v>
      </c>
    </row>
    <row r="464" spans="2:70" ht="26.15" hidden="1" customHeight="1">
      <c r="B464" s="110" t="s">
        <v>856</v>
      </c>
      <c r="C464" s="110" t="s">
        <v>861</v>
      </c>
      <c r="D464" s="110" t="s">
        <v>5208</v>
      </c>
      <c r="E464" s="103">
        <v>2017</v>
      </c>
      <c r="F464" s="108" t="s">
        <v>8359</v>
      </c>
      <c r="G464" s="111" t="s">
        <v>34</v>
      </c>
      <c r="H464" s="110" t="s">
        <v>10451</v>
      </c>
      <c r="I464" s="112">
        <f>IF(Dashboard!$B$16="Current USD",'Bottom-up tagging'!BR464,'Bottom-up tagging'!BR464/'Bottom-up tagging'!BQ464)</f>
        <v>61211.900702366082</v>
      </c>
      <c r="J464" s="105" t="s">
        <v>10474</v>
      </c>
      <c r="K464" s="112"/>
      <c r="L464" s="135">
        <v>1</v>
      </c>
      <c r="M464" s="135">
        <v>1</v>
      </c>
      <c r="N464" s="112"/>
      <c r="O464" s="112"/>
      <c r="P464" s="112" t="str">
        <f>VLOOKUP(B464, 'Companies covered restructured'!$B$7:$K$470, 9, FALSE)</f>
        <v>AI/analytics based advisory algorithms (incl. weather)</v>
      </c>
      <c r="Q464" s="112" t="str">
        <f>VLOOKUP(B464, 'Companies covered restructured'!$B$7:$K$470, 6, FALSE)</f>
        <v>#Crops(100)</v>
      </c>
      <c r="R464" s="112" t="str">
        <f t="shared" si="249"/>
        <v>#Investment Fund(100)</v>
      </c>
      <c r="S464" s="112" t="s">
        <v>11003</v>
      </c>
      <c r="T464" s="112" t="s">
        <v>10466</v>
      </c>
      <c r="U464" s="103" t="s">
        <v>10970</v>
      </c>
      <c r="V464" s="112" t="str">
        <f>VLOOKUP(P464, 'Bottom-up Tagging Assumptions'!$B$12:$F$39, 5, FALSE)</f>
        <v>#Science &amp; tech(100)</v>
      </c>
      <c r="W464" s="112" t="str">
        <f>VLOOKUP(B464, 'Companies covered restructured'!$B$7:$K$470, 7, FALSE)</f>
        <v>#Field/Animal Herd(100)</v>
      </c>
      <c r="X464" s="112" t="s">
        <v>10558</v>
      </c>
      <c r="Y464" s="212" t="str">
        <f>VLOOKUP(P464, 'Bottom-up Tagging Assumptions'!$B$12:$C$56, 2, FALSE)</f>
        <v>#Other Economic(P); #Productivity(S)</v>
      </c>
      <c r="Z464" s="112" t="str">
        <f>VLOOKUP(P464, 'Bottom-up Tagging Assumptions'!$B$12:$F$56, 3, FALSE)</f>
        <v>#Increasing output per unit input(P); #Increasing crop or animal yield(S)</v>
      </c>
      <c r="AA464" s="112" t="str">
        <f>VLOOKUP(P464, 'Bottom-up Tagging Assumptions'!$B$12:$F$56, 4, FALSE)</f>
        <v>#Level 1(100)</v>
      </c>
      <c r="AB464" s="110" t="s">
        <v>514</v>
      </c>
      <c r="AC464" s="110"/>
      <c r="AD464" s="110" t="s">
        <v>515</v>
      </c>
      <c r="AE464" s="110" t="str">
        <f>VLOOKUP(AD464,  '1.2'!$B$7:$C$2033, 2, FALSE)</f>
        <v>FUND</v>
      </c>
      <c r="AF464" s="112">
        <v>150000</v>
      </c>
      <c r="AG464" s="110" t="s">
        <v>2771</v>
      </c>
      <c r="AH464" s="121">
        <f t="shared" si="250"/>
        <v>0</v>
      </c>
      <c r="AI464" s="121">
        <f t="shared" si="251"/>
        <v>1</v>
      </c>
      <c r="AJ464" s="121">
        <f t="shared" si="252"/>
        <v>1</v>
      </c>
      <c r="AK464" s="121">
        <f t="shared" si="253"/>
        <v>0</v>
      </c>
      <c r="AL464" s="121">
        <f t="shared" si="254"/>
        <v>0</v>
      </c>
      <c r="AM464" s="121">
        <f t="shared" si="255"/>
        <v>0</v>
      </c>
      <c r="AN464" s="121">
        <f t="shared" si="256"/>
        <v>0</v>
      </c>
      <c r="AO464" s="121">
        <f t="shared" si="257"/>
        <v>0</v>
      </c>
      <c r="AP464" s="22">
        <f t="shared" si="258"/>
        <v>0</v>
      </c>
      <c r="AQ464" s="22">
        <f t="shared" si="259"/>
        <v>0</v>
      </c>
      <c r="AR464" s="22">
        <f t="shared" si="260"/>
        <v>0</v>
      </c>
      <c r="AS464" s="121" t="str">
        <f t="shared" si="261"/>
        <v>Crops</v>
      </c>
      <c r="AT464" s="121" t="str">
        <f t="shared" si="247"/>
        <v xml:space="preserve"> </v>
      </c>
      <c r="AU464" s="121" t="str">
        <f t="shared" si="247"/>
        <v xml:space="preserve"> </v>
      </c>
      <c r="AV464" s="121" t="str">
        <f t="shared" si="247"/>
        <v xml:space="preserve"> </v>
      </c>
      <c r="AW464" s="130" t="str">
        <f t="shared" si="248"/>
        <v>100</v>
      </c>
      <c r="AX464" s="130" t="str">
        <f t="shared" si="248"/>
        <v xml:space="preserve"> </v>
      </c>
      <c r="AY464" s="130" t="str">
        <f t="shared" si="248"/>
        <v xml:space="preserve"> </v>
      </c>
      <c r="AZ464" s="130" t="str">
        <f t="shared" si="248"/>
        <v xml:space="preserve"> </v>
      </c>
      <c r="BA464" s="121">
        <f t="shared" si="262"/>
        <v>61211.900702366082</v>
      </c>
      <c r="BB464" s="121">
        <f t="shared" si="263"/>
        <v>0</v>
      </c>
      <c r="BC464" s="121">
        <f t="shared" si="264"/>
        <v>0</v>
      </c>
      <c r="BD464" s="121">
        <f t="shared" si="265"/>
        <v>0</v>
      </c>
      <c r="BE464" s="121">
        <f t="shared" si="266"/>
        <v>0</v>
      </c>
      <c r="BF464" s="121">
        <f t="shared" si="267"/>
        <v>0</v>
      </c>
      <c r="BG464" s="121">
        <f t="shared" si="268"/>
        <v>0</v>
      </c>
      <c r="BH464" s="121">
        <f t="shared" si="269"/>
        <v>0</v>
      </c>
      <c r="BI464" s="121">
        <f t="shared" si="270"/>
        <v>0</v>
      </c>
      <c r="BJ464" s="121">
        <f t="shared" si="271"/>
        <v>0</v>
      </c>
      <c r="BK464" s="121">
        <f t="shared" si="272"/>
        <v>0</v>
      </c>
      <c r="BL464" s="121">
        <f t="shared" si="273"/>
        <v>0</v>
      </c>
      <c r="BM464" s="121">
        <f t="shared" si="274"/>
        <v>0</v>
      </c>
      <c r="BN464" s="121">
        <f t="shared" si="275"/>
        <v>0</v>
      </c>
      <c r="BO464" s="121">
        <f t="shared" si="276"/>
        <v>0</v>
      </c>
      <c r="BP464" s="121">
        <f t="shared" si="277"/>
        <v>0</v>
      </c>
      <c r="BQ464" s="199">
        <f>INDEX('GDP deflators'!$C$6:$M$36,MATCH('Bottom-up tagging'!$D464,'GDP deflators'!$B$6:$B$36,),MATCH('Bottom-up tagging'!$E464,'GDP deflators'!$C$5:$L$5,))/100</f>
        <v>1.6336692514456523</v>
      </c>
      <c r="BR464" s="24">
        <v>100000</v>
      </c>
    </row>
    <row r="465" spans="2:70" ht="26.15" hidden="1" customHeight="1">
      <c r="B465" s="110" t="s">
        <v>2621</v>
      </c>
      <c r="C465" s="110" t="s">
        <v>2623</v>
      </c>
      <c r="D465" s="110" t="s">
        <v>5333</v>
      </c>
      <c r="E465" s="103">
        <v>2015</v>
      </c>
      <c r="F465" s="108" t="s">
        <v>9972</v>
      </c>
      <c r="G465" s="111" t="s">
        <v>184</v>
      </c>
      <c r="H465" s="110" t="s">
        <v>10451</v>
      </c>
      <c r="I465" s="112">
        <f>IF(Dashboard!$B$16="Current USD",'Bottom-up tagging'!BR465,'Bottom-up tagging'!BR465/'Bottom-up tagging'!BQ465)</f>
        <v>30028.004595307415</v>
      </c>
      <c r="J465" s="105" t="s">
        <v>10474</v>
      </c>
      <c r="K465" s="112"/>
      <c r="L465" s="135">
        <v>1</v>
      </c>
      <c r="M465" s="135">
        <v>1</v>
      </c>
      <c r="N465" s="112"/>
      <c r="O465" s="112"/>
      <c r="P465" s="112" t="str">
        <f>VLOOKUP(B465, 'Companies covered restructured'!$B$7:$K$470, 9, FALSE)</f>
        <v>AI/analytics based advisory algorithms (incl. weather)</v>
      </c>
      <c r="Q465" s="112" t="str">
        <f>VLOOKUP(B465, 'Companies covered restructured'!$B$7:$K$470, 6, FALSE)</f>
        <v>#Crops(100)</v>
      </c>
      <c r="R465" s="112" t="str">
        <f t="shared" si="249"/>
        <v>N/A</v>
      </c>
      <c r="S465" s="112" t="s">
        <v>11003</v>
      </c>
      <c r="T465" s="112" t="s">
        <v>10465</v>
      </c>
      <c r="U465" s="103" t="s">
        <v>10970</v>
      </c>
      <c r="V465" s="112" t="str">
        <f>VLOOKUP(P465, 'Bottom-up Tagging Assumptions'!$B$12:$F$39, 5, FALSE)</f>
        <v>#Science &amp; tech(100)</v>
      </c>
      <c r="W465" s="112" t="str">
        <f>VLOOKUP(B465, 'Companies covered restructured'!$B$7:$K$470, 7, FALSE)</f>
        <v>#Farm/Household(100)</v>
      </c>
      <c r="X465" s="112" t="str">
        <f>VLOOKUP(B465, 'Companies covered restructured'!$B$7:$K$470, 8, FALSE)</f>
        <v>N/A</v>
      </c>
      <c r="Y465" s="212" t="str">
        <f>VLOOKUP(P465, 'Bottom-up Tagging Assumptions'!$B$12:$C$56, 2, FALSE)</f>
        <v>#Other Economic(P); #Productivity(S)</v>
      </c>
      <c r="Z465" s="112" t="str">
        <f>VLOOKUP(P465, 'Bottom-up Tagging Assumptions'!$B$12:$F$56, 3, FALSE)</f>
        <v>#Increasing output per unit input(P); #Increasing crop or animal yield(S)</v>
      </c>
      <c r="AA465" s="112" t="str">
        <f>VLOOKUP(P465, 'Bottom-up Tagging Assumptions'!$B$12:$F$56, 4, FALSE)</f>
        <v>#Level 1(100)</v>
      </c>
      <c r="AB465" s="110" t="s">
        <v>1020</v>
      </c>
      <c r="AC465" s="110"/>
      <c r="AD465" s="110"/>
      <c r="AE465" s="110" t="s">
        <v>10558</v>
      </c>
      <c r="AF465" s="112">
        <v>2257449</v>
      </c>
      <c r="AG465" s="110" t="s">
        <v>1691</v>
      </c>
      <c r="AH465" s="121">
        <f t="shared" si="250"/>
        <v>0</v>
      </c>
      <c r="AI465" s="121">
        <f t="shared" si="251"/>
        <v>1</v>
      </c>
      <c r="AJ465" s="121">
        <f t="shared" si="252"/>
        <v>1</v>
      </c>
      <c r="AK465" s="121">
        <f t="shared" si="253"/>
        <v>0</v>
      </c>
      <c r="AL465" s="121">
        <f t="shared" si="254"/>
        <v>0</v>
      </c>
      <c r="AM465" s="121">
        <f t="shared" si="255"/>
        <v>0</v>
      </c>
      <c r="AN465" s="121">
        <f t="shared" si="256"/>
        <v>0</v>
      </c>
      <c r="AO465" s="121">
        <f t="shared" si="257"/>
        <v>0</v>
      </c>
      <c r="AP465" s="22">
        <f t="shared" si="258"/>
        <v>0</v>
      </c>
      <c r="AQ465" s="22">
        <f t="shared" si="259"/>
        <v>0</v>
      </c>
      <c r="AR465" s="22">
        <f t="shared" si="260"/>
        <v>0</v>
      </c>
      <c r="AS465" s="121" t="str">
        <f t="shared" si="261"/>
        <v>Crops</v>
      </c>
      <c r="AT465" s="121" t="str">
        <f t="shared" si="247"/>
        <v xml:space="preserve"> </v>
      </c>
      <c r="AU465" s="121" t="str">
        <f t="shared" si="247"/>
        <v xml:space="preserve"> </v>
      </c>
      <c r="AV465" s="121" t="str">
        <f t="shared" si="247"/>
        <v xml:space="preserve"> </v>
      </c>
      <c r="AW465" s="130" t="str">
        <f t="shared" si="248"/>
        <v>100</v>
      </c>
      <c r="AX465" s="130" t="str">
        <f t="shared" si="248"/>
        <v xml:space="preserve"> </v>
      </c>
      <c r="AY465" s="130" t="str">
        <f t="shared" si="248"/>
        <v xml:space="preserve"> </v>
      </c>
      <c r="AZ465" s="130" t="str">
        <f t="shared" si="248"/>
        <v xml:space="preserve"> </v>
      </c>
      <c r="BA465" s="121">
        <f t="shared" si="262"/>
        <v>30028.004595307415</v>
      </c>
      <c r="BB465" s="121">
        <f t="shared" si="263"/>
        <v>0</v>
      </c>
      <c r="BC465" s="121">
        <f t="shared" si="264"/>
        <v>0</v>
      </c>
      <c r="BD465" s="121">
        <f t="shared" si="265"/>
        <v>0</v>
      </c>
      <c r="BE465" s="121">
        <f t="shared" si="266"/>
        <v>0</v>
      </c>
      <c r="BF465" s="121">
        <f t="shared" si="267"/>
        <v>0</v>
      </c>
      <c r="BG465" s="121">
        <f t="shared" si="268"/>
        <v>0</v>
      </c>
      <c r="BH465" s="121">
        <f t="shared" si="269"/>
        <v>0</v>
      </c>
      <c r="BI465" s="121">
        <f t="shared" si="270"/>
        <v>0</v>
      </c>
      <c r="BJ465" s="121">
        <f t="shared" si="271"/>
        <v>0</v>
      </c>
      <c r="BK465" s="121">
        <f t="shared" si="272"/>
        <v>0</v>
      </c>
      <c r="BL465" s="121">
        <f t="shared" si="273"/>
        <v>0</v>
      </c>
      <c r="BM465" s="121">
        <f t="shared" si="274"/>
        <v>0</v>
      </c>
      <c r="BN465" s="121">
        <f t="shared" si="275"/>
        <v>0</v>
      </c>
      <c r="BO465" s="121">
        <f t="shared" si="276"/>
        <v>0</v>
      </c>
      <c r="BP465" s="121">
        <f t="shared" si="277"/>
        <v>0</v>
      </c>
      <c r="BQ465" s="199">
        <f>INDEX('GDP deflators'!$C$6:$M$36,MATCH('Bottom-up tagging'!$D465,'GDP deflators'!$B$6:$B$36,),MATCH('Bottom-up tagging'!$E465,'GDP deflators'!$C$5:$L$5,))/100</f>
        <v>3.3302246135804627</v>
      </c>
      <c r="BR465" s="24">
        <v>100000</v>
      </c>
    </row>
    <row r="466" spans="2:70" ht="26.15" hidden="1" customHeight="1">
      <c r="B466" s="110" t="s">
        <v>2347</v>
      </c>
      <c r="C466" s="110" t="s">
        <v>2350</v>
      </c>
      <c r="D466" s="110" t="s">
        <v>5333</v>
      </c>
      <c r="E466" s="103">
        <v>2015</v>
      </c>
      <c r="F466" s="108" t="s">
        <v>9430</v>
      </c>
      <c r="G466" s="111" t="s">
        <v>34</v>
      </c>
      <c r="H466" s="110" t="s">
        <v>10451</v>
      </c>
      <c r="I466" s="112">
        <f>IF(Dashboard!$B$16="Current USD",'Bottom-up tagging'!BR466,'Bottom-up tagging'!BR466/'Bottom-up tagging'!BQ466)</f>
        <v>30028.004595307415</v>
      </c>
      <c r="J466" s="118" t="s">
        <v>10474</v>
      </c>
      <c r="K466" s="112"/>
      <c r="L466" s="135">
        <v>1</v>
      </c>
      <c r="M466" s="135">
        <v>1</v>
      </c>
      <c r="N466" s="112"/>
      <c r="O466" s="112"/>
      <c r="P466" s="112" t="str">
        <f>VLOOKUP(B466, 'Companies covered restructured'!$B$7:$K$470, 9, FALSE)</f>
        <v>AI/analytics based advisory algorithms (incl. weather)</v>
      </c>
      <c r="Q466" s="112" t="str">
        <f>VLOOKUP(B466, 'Companies covered restructured'!$B$7:$K$470, 6, FALSE)</f>
        <v>#Crops(100)</v>
      </c>
      <c r="R466" s="112" t="str">
        <f t="shared" si="249"/>
        <v>N/A</v>
      </c>
      <c r="S466" s="112" t="s">
        <v>11003</v>
      </c>
      <c r="T466" s="112" t="s">
        <v>10466</v>
      </c>
      <c r="U466" s="103" t="s">
        <v>10970</v>
      </c>
      <c r="V466" s="112" t="str">
        <f>VLOOKUP(P466, 'Bottom-up Tagging Assumptions'!$B$12:$F$39, 5, FALSE)</f>
        <v>#Science &amp; tech(100)</v>
      </c>
      <c r="W466" s="112" t="str">
        <f>VLOOKUP(B466, 'Companies covered restructured'!$B$7:$K$470, 7, FALSE)</f>
        <v>N/A</v>
      </c>
      <c r="X466" s="112" t="str">
        <f>VLOOKUP(B466, 'Companies covered restructured'!$B$7:$K$470, 8, FALSE)</f>
        <v>N/A</v>
      </c>
      <c r="Y466" s="212" t="str">
        <f>VLOOKUP(P466, 'Bottom-up Tagging Assumptions'!$B$12:$C$56, 2, FALSE)</f>
        <v>#Other Economic(P); #Productivity(S)</v>
      </c>
      <c r="Z466" s="112" t="str">
        <f>VLOOKUP(P466, 'Bottom-up Tagging Assumptions'!$B$12:$F$56, 3, FALSE)</f>
        <v>#Increasing output per unit input(P); #Increasing crop or animal yield(S)</v>
      </c>
      <c r="AA466" s="112" t="str">
        <f>VLOOKUP(P466, 'Bottom-up Tagging Assumptions'!$B$12:$F$56, 4, FALSE)</f>
        <v>#Level 1(100)</v>
      </c>
      <c r="AB466" s="110" t="s">
        <v>785</v>
      </c>
      <c r="AC466" s="110"/>
      <c r="AD466" s="110"/>
      <c r="AE466" s="110" t="s">
        <v>10558</v>
      </c>
      <c r="AF466" s="112">
        <v>62610600</v>
      </c>
      <c r="AG466" s="110" t="s">
        <v>1416</v>
      </c>
      <c r="AH466" s="121">
        <f t="shared" si="250"/>
        <v>0</v>
      </c>
      <c r="AI466" s="121">
        <f t="shared" si="251"/>
        <v>1</v>
      </c>
      <c r="AJ466" s="121">
        <f t="shared" si="252"/>
        <v>1</v>
      </c>
      <c r="AK466" s="121">
        <f t="shared" si="253"/>
        <v>0</v>
      </c>
      <c r="AL466" s="121">
        <f t="shared" si="254"/>
        <v>0</v>
      </c>
      <c r="AM466" s="121">
        <f t="shared" si="255"/>
        <v>0</v>
      </c>
      <c r="AN466" s="121">
        <f t="shared" si="256"/>
        <v>0</v>
      </c>
      <c r="AO466" s="121">
        <f t="shared" si="257"/>
        <v>0</v>
      </c>
      <c r="AP466" s="22">
        <f t="shared" si="258"/>
        <v>0</v>
      </c>
      <c r="AQ466" s="22">
        <f t="shared" si="259"/>
        <v>0</v>
      </c>
      <c r="AR466" s="22">
        <f t="shared" si="260"/>
        <v>0</v>
      </c>
      <c r="AS466" s="121" t="str">
        <f t="shared" si="261"/>
        <v>Crops</v>
      </c>
      <c r="AT466" s="121" t="str">
        <f t="shared" si="247"/>
        <v xml:space="preserve"> </v>
      </c>
      <c r="AU466" s="121" t="str">
        <f t="shared" si="247"/>
        <v xml:space="preserve"> </v>
      </c>
      <c r="AV466" s="121" t="str">
        <f t="shared" si="247"/>
        <v xml:space="preserve"> </v>
      </c>
      <c r="AW466" s="130" t="str">
        <f t="shared" si="248"/>
        <v>100</v>
      </c>
      <c r="AX466" s="130" t="str">
        <f t="shared" si="248"/>
        <v xml:space="preserve"> </v>
      </c>
      <c r="AY466" s="130" t="str">
        <f t="shared" si="248"/>
        <v xml:space="preserve"> </v>
      </c>
      <c r="AZ466" s="130" t="str">
        <f t="shared" si="248"/>
        <v xml:space="preserve"> </v>
      </c>
      <c r="BA466" s="121">
        <f t="shared" si="262"/>
        <v>30028.004595307415</v>
      </c>
      <c r="BB466" s="121">
        <f t="shared" si="263"/>
        <v>0</v>
      </c>
      <c r="BC466" s="121">
        <f t="shared" si="264"/>
        <v>0</v>
      </c>
      <c r="BD466" s="121">
        <f t="shared" si="265"/>
        <v>0</v>
      </c>
      <c r="BE466" s="121">
        <f t="shared" si="266"/>
        <v>0</v>
      </c>
      <c r="BF466" s="121">
        <f t="shared" si="267"/>
        <v>0</v>
      </c>
      <c r="BG466" s="121">
        <f t="shared" si="268"/>
        <v>0</v>
      </c>
      <c r="BH466" s="121">
        <f t="shared" si="269"/>
        <v>0</v>
      </c>
      <c r="BI466" s="121">
        <f t="shared" si="270"/>
        <v>0</v>
      </c>
      <c r="BJ466" s="121">
        <f t="shared" si="271"/>
        <v>0</v>
      </c>
      <c r="BK466" s="121">
        <f t="shared" si="272"/>
        <v>0</v>
      </c>
      <c r="BL466" s="121">
        <f t="shared" si="273"/>
        <v>0</v>
      </c>
      <c r="BM466" s="121">
        <f t="shared" si="274"/>
        <v>0</v>
      </c>
      <c r="BN466" s="121">
        <f t="shared" si="275"/>
        <v>0</v>
      </c>
      <c r="BO466" s="121">
        <f t="shared" si="276"/>
        <v>0</v>
      </c>
      <c r="BP466" s="121">
        <f t="shared" si="277"/>
        <v>0</v>
      </c>
      <c r="BQ466" s="199">
        <f>INDEX('GDP deflators'!$C$6:$M$36,MATCH('Bottom-up tagging'!$D466,'GDP deflators'!$B$6:$B$36,),MATCH('Bottom-up tagging'!$E466,'GDP deflators'!$C$5:$L$5,))/100</f>
        <v>3.3302246135804627</v>
      </c>
      <c r="BR466" s="24">
        <v>100000</v>
      </c>
    </row>
    <row r="467" spans="2:70" ht="26.15" hidden="1" customHeight="1">
      <c r="B467" s="110" t="s">
        <v>2754</v>
      </c>
      <c r="C467" s="110" t="s">
        <v>2757</v>
      </c>
      <c r="D467" s="110" t="s">
        <v>9462</v>
      </c>
      <c r="E467" s="103">
        <v>2015</v>
      </c>
      <c r="F467" s="108" t="s">
        <v>9463</v>
      </c>
      <c r="G467" s="111" t="s">
        <v>184</v>
      </c>
      <c r="H467" s="110" t="s">
        <v>10451</v>
      </c>
      <c r="I467" s="112">
        <f>IF(Dashboard!$B$16="Current USD",'Bottom-up tagging'!BR467,'Bottom-up tagging'!BR467/'Bottom-up tagging'!BQ467)</f>
        <v>81897.627609053467</v>
      </c>
      <c r="J467" s="118" t="s">
        <v>10474</v>
      </c>
      <c r="K467" s="112"/>
      <c r="L467" s="135">
        <v>1</v>
      </c>
      <c r="M467" s="135">
        <v>1</v>
      </c>
      <c r="N467" s="112"/>
      <c r="O467" s="112"/>
      <c r="P467" s="112" t="str">
        <f>VLOOKUP(B467, 'Companies covered restructured'!$B$7:$K$470, 9, FALSE)</f>
        <v>Farmer engagement platforms (including marketplaces and information platforms)</v>
      </c>
      <c r="Q467" s="112" t="str">
        <f>VLOOKUP(B467, 'Companies covered restructured'!$B$7:$K$470, 6, FALSE)</f>
        <v>#Crops(100)</v>
      </c>
      <c r="R467" s="112" t="str">
        <f t="shared" si="249"/>
        <v>N/A</v>
      </c>
      <c r="S467" s="112" t="s">
        <v>11003</v>
      </c>
      <c r="T467" s="112" t="s">
        <v>10465</v>
      </c>
      <c r="U467" s="103" t="s">
        <v>10970</v>
      </c>
      <c r="V467" s="112" t="str">
        <f>VLOOKUP(P467, 'Bottom-up Tagging Assumptions'!$B$12:$F$39, 5, FALSE)</f>
        <v>#Process Innovation(100)</v>
      </c>
      <c r="W467" s="112" t="str">
        <f>VLOOKUP(B467, 'Companies covered restructured'!$B$7:$K$470, 7, FALSE)</f>
        <v>#Farm/Household(100)</v>
      </c>
      <c r="X467" s="112" t="str">
        <f>VLOOKUP(B467, 'Companies covered restructured'!$B$7:$K$470, 8, FALSE)</f>
        <v>#Small(100)</v>
      </c>
      <c r="Y467" s="212" t="str">
        <f>VLOOKUP(P467, 'Bottom-up Tagging Assumptions'!$B$12:$C$56, 2, FALSE)</f>
        <v>#Other Economic(P); #Productivity(S)</v>
      </c>
      <c r="Z467" s="112" t="str">
        <f>VLOOKUP(P467, 'Bottom-up Tagging Assumptions'!$B$12:$F$56, 3, FALSE)</f>
        <v>#Improve price realization(P); #Increasing crop or animal yield(S)</v>
      </c>
      <c r="AA467" s="112" t="str">
        <f>VLOOKUP(P467, 'Bottom-up Tagging Assumptions'!$B$12:$F$56, 4, FALSE)</f>
        <v>#Level 4(100)</v>
      </c>
      <c r="AB467" s="110" t="s">
        <v>155</v>
      </c>
      <c r="AC467" s="110"/>
      <c r="AD467" s="110"/>
      <c r="AE467" s="110" t="s">
        <v>10558</v>
      </c>
      <c r="AF467" s="112">
        <v>1303000000</v>
      </c>
      <c r="AG467" s="110" t="s">
        <v>1416</v>
      </c>
      <c r="AH467" s="121">
        <f t="shared" si="250"/>
        <v>0</v>
      </c>
      <c r="AI467" s="121">
        <f t="shared" si="251"/>
        <v>1</v>
      </c>
      <c r="AJ467" s="121">
        <f t="shared" si="252"/>
        <v>1</v>
      </c>
      <c r="AK467" s="121">
        <f t="shared" si="253"/>
        <v>0</v>
      </c>
      <c r="AL467" s="121">
        <f t="shared" si="254"/>
        <v>0</v>
      </c>
      <c r="AM467" s="121">
        <f t="shared" si="255"/>
        <v>0</v>
      </c>
      <c r="AN467" s="121">
        <f t="shared" si="256"/>
        <v>0</v>
      </c>
      <c r="AO467" s="121">
        <f t="shared" si="257"/>
        <v>0</v>
      </c>
      <c r="AP467" s="22">
        <f t="shared" si="258"/>
        <v>0</v>
      </c>
      <c r="AQ467" s="22">
        <f t="shared" si="259"/>
        <v>0</v>
      </c>
      <c r="AR467" s="22">
        <f t="shared" si="260"/>
        <v>0</v>
      </c>
      <c r="AS467" s="121" t="str">
        <f t="shared" si="261"/>
        <v>Crops</v>
      </c>
      <c r="AT467" s="121" t="str">
        <f t="shared" si="247"/>
        <v xml:space="preserve"> </v>
      </c>
      <c r="AU467" s="121" t="str">
        <f t="shared" si="247"/>
        <v xml:space="preserve"> </v>
      </c>
      <c r="AV467" s="121" t="str">
        <f t="shared" si="247"/>
        <v xml:space="preserve"> </v>
      </c>
      <c r="AW467" s="130" t="str">
        <f t="shared" si="248"/>
        <v>100</v>
      </c>
      <c r="AX467" s="130" t="str">
        <f t="shared" si="248"/>
        <v xml:space="preserve"> </v>
      </c>
      <c r="AY467" s="130" t="str">
        <f t="shared" si="248"/>
        <v xml:space="preserve"> </v>
      </c>
      <c r="AZ467" s="130" t="str">
        <f t="shared" si="248"/>
        <v xml:space="preserve"> </v>
      </c>
      <c r="BA467" s="121">
        <f t="shared" si="262"/>
        <v>81897.627609053467</v>
      </c>
      <c r="BB467" s="121">
        <f t="shared" si="263"/>
        <v>0</v>
      </c>
      <c r="BC467" s="121">
        <f t="shared" si="264"/>
        <v>0</v>
      </c>
      <c r="BD467" s="121">
        <f t="shared" si="265"/>
        <v>0</v>
      </c>
      <c r="BE467" s="121">
        <f t="shared" si="266"/>
        <v>0</v>
      </c>
      <c r="BF467" s="121">
        <f t="shared" si="267"/>
        <v>0</v>
      </c>
      <c r="BG467" s="121">
        <f t="shared" si="268"/>
        <v>0</v>
      </c>
      <c r="BH467" s="121">
        <f t="shared" si="269"/>
        <v>0</v>
      </c>
      <c r="BI467" s="121">
        <f t="shared" si="270"/>
        <v>0</v>
      </c>
      <c r="BJ467" s="121">
        <f t="shared" si="271"/>
        <v>0</v>
      </c>
      <c r="BK467" s="121">
        <f t="shared" si="272"/>
        <v>0</v>
      </c>
      <c r="BL467" s="121">
        <f t="shared" si="273"/>
        <v>0</v>
      </c>
      <c r="BM467" s="121">
        <f t="shared" si="274"/>
        <v>0</v>
      </c>
      <c r="BN467" s="121">
        <f t="shared" si="275"/>
        <v>0</v>
      </c>
      <c r="BO467" s="121">
        <f t="shared" si="276"/>
        <v>0</v>
      </c>
      <c r="BP467" s="121">
        <f t="shared" si="277"/>
        <v>0</v>
      </c>
      <c r="BQ467" s="199">
        <f>INDEX('GDP deflators'!$C$6:$M$36,MATCH('Bottom-up tagging'!$D467,'GDP deflators'!$B$6:$B$36,),MATCH('Bottom-up tagging'!$E467,'GDP deflators'!$C$5:$L$5,))/100</f>
        <v>1.22103659067342</v>
      </c>
      <c r="BR467" s="24">
        <v>100000</v>
      </c>
    </row>
    <row r="468" spans="2:70" ht="26.15" hidden="1" customHeight="1">
      <c r="B468" s="110" t="s">
        <v>856</v>
      </c>
      <c r="C468" s="110" t="s">
        <v>861</v>
      </c>
      <c r="D468" s="110" t="s">
        <v>5208</v>
      </c>
      <c r="E468" s="103">
        <v>2014</v>
      </c>
      <c r="F468" s="108" t="s">
        <v>8359</v>
      </c>
      <c r="G468" s="111" t="s">
        <v>34</v>
      </c>
      <c r="H468" s="110" t="s">
        <v>10451</v>
      </c>
      <c r="I468" s="112">
        <f>IF(Dashboard!$B$16="Current USD",'Bottom-up tagging'!BR468,'Bottom-up tagging'!BR468/'Bottom-up tagging'!BQ468)</f>
        <v>73768.03142541564</v>
      </c>
      <c r="J468" s="105" t="s">
        <v>10474</v>
      </c>
      <c r="K468" s="112"/>
      <c r="L468" s="135">
        <v>1</v>
      </c>
      <c r="M468" s="135">
        <v>1</v>
      </c>
      <c r="N468" s="112"/>
      <c r="O468" s="112"/>
      <c r="P468" s="112" t="str">
        <f>VLOOKUP(B468, 'Companies covered restructured'!$B$7:$K$470, 9, FALSE)</f>
        <v>AI/analytics based advisory algorithms (incl. weather)</v>
      </c>
      <c r="Q468" s="112" t="str">
        <f>VLOOKUP(B468, 'Companies covered restructured'!$B$7:$K$470, 6, FALSE)</f>
        <v>#Crops(100)</v>
      </c>
      <c r="R468" s="112" t="str">
        <f t="shared" si="249"/>
        <v>#Investment Fund(100)</v>
      </c>
      <c r="S468" s="112" t="s">
        <v>11003</v>
      </c>
      <c r="T468" s="112" t="s">
        <v>10466</v>
      </c>
      <c r="U468" s="116" t="s">
        <v>10970</v>
      </c>
      <c r="V468" s="112" t="str">
        <f>VLOOKUP(P468, 'Bottom-up Tagging Assumptions'!$B$12:$F$39, 5, FALSE)</f>
        <v>#Science &amp; tech(100)</v>
      </c>
      <c r="W468" s="112" t="str">
        <f>VLOOKUP(B468, 'Companies covered restructured'!$B$7:$K$470, 7, FALSE)</f>
        <v>#Field/Animal Herd(100)</v>
      </c>
      <c r="X468" s="112" t="s">
        <v>10558</v>
      </c>
      <c r="Y468" s="212" t="str">
        <f>VLOOKUP(P468, 'Bottom-up Tagging Assumptions'!$B$12:$C$56, 2, FALSE)</f>
        <v>#Other Economic(P); #Productivity(S)</v>
      </c>
      <c r="Z468" s="112" t="str">
        <f>VLOOKUP(P468, 'Bottom-up Tagging Assumptions'!$B$12:$F$56, 3, FALSE)</f>
        <v>#Increasing output per unit input(P); #Increasing crop or animal yield(S)</v>
      </c>
      <c r="AA468" s="112" t="str">
        <f>VLOOKUP(P468, 'Bottom-up Tagging Assumptions'!$B$12:$F$56, 4, FALSE)</f>
        <v>#Level 1(100)</v>
      </c>
      <c r="AB468" s="110" t="s">
        <v>2802</v>
      </c>
      <c r="AC468" s="110"/>
      <c r="AD468" s="110" t="s">
        <v>2803</v>
      </c>
      <c r="AE468" s="110" t="s">
        <v>3114</v>
      </c>
      <c r="AF468" s="112">
        <v>1740510</v>
      </c>
      <c r="AG468" s="110" t="s">
        <v>2789</v>
      </c>
      <c r="AH468" s="121">
        <f t="shared" si="250"/>
        <v>0</v>
      </c>
      <c r="AI468" s="121">
        <f t="shared" si="251"/>
        <v>1</v>
      </c>
      <c r="AJ468" s="121">
        <f t="shared" si="252"/>
        <v>1</v>
      </c>
      <c r="AK468" s="121">
        <f t="shared" si="253"/>
        <v>0</v>
      </c>
      <c r="AL468" s="121">
        <f t="shared" si="254"/>
        <v>0</v>
      </c>
      <c r="AM468" s="121">
        <f t="shared" si="255"/>
        <v>0</v>
      </c>
      <c r="AN468" s="121">
        <f t="shared" si="256"/>
        <v>0</v>
      </c>
      <c r="AO468" s="121">
        <f t="shared" si="257"/>
        <v>0</v>
      </c>
      <c r="AP468" s="22">
        <f t="shared" si="258"/>
        <v>0</v>
      </c>
      <c r="AQ468" s="22">
        <f t="shared" si="259"/>
        <v>0</v>
      </c>
      <c r="AR468" s="22">
        <f t="shared" si="260"/>
        <v>0</v>
      </c>
      <c r="AS468" s="121" t="str">
        <f t="shared" si="261"/>
        <v>Crops</v>
      </c>
      <c r="AT468" s="121" t="str">
        <f t="shared" si="247"/>
        <v xml:space="preserve"> </v>
      </c>
      <c r="AU468" s="121" t="str">
        <f t="shared" si="247"/>
        <v xml:space="preserve"> </v>
      </c>
      <c r="AV468" s="121" t="str">
        <f t="shared" si="247"/>
        <v xml:space="preserve"> </v>
      </c>
      <c r="AW468" s="130" t="str">
        <f t="shared" si="248"/>
        <v>100</v>
      </c>
      <c r="AX468" s="130" t="str">
        <f t="shared" si="248"/>
        <v xml:space="preserve"> </v>
      </c>
      <c r="AY468" s="130" t="str">
        <f t="shared" si="248"/>
        <v xml:space="preserve"> </v>
      </c>
      <c r="AZ468" s="130" t="str">
        <f t="shared" si="248"/>
        <v xml:space="preserve"> </v>
      </c>
      <c r="BA468" s="121">
        <f t="shared" si="262"/>
        <v>73768.03142541564</v>
      </c>
      <c r="BB468" s="121">
        <f t="shared" si="263"/>
        <v>0</v>
      </c>
      <c r="BC468" s="121">
        <f t="shared" si="264"/>
        <v>0</v>
      </c>
      <c r="BD468" s="121">
        <f t="shared" si="265"/>
        <v>0</v>
      </c>
      <c r="BE468" s="121">
        <f t="shared" si="266"/>
        <v>0</v>
      </c>
      <c r="BF468" s="121">
        <f t="shared" si="267"/>
        <v>0</v>
      </c>
      <c r="BG468" s="121">
        <f t="shared" si="268"/>
        <v>0</v>
      </c>
      <c r="BH468" s="121">
        <f t="shared" si="269"/>
        <v>0</v>
      </c>
      <c r="BI468" s="121">
        <f t="shared" si="270"/>
        <v>0</v>
      </c>
      <c r="BJ468" s="121">
        <f t="shared" si="271"/>
        <v>0</v>
      </c>
      <c r="BK468" s="121">
        <f t="shared" si="272"/>
        <v>0</v>
      </c>
      <c r="BL468" s="121">
        <f t="shared" si="273"/>
        <v>0</v>
      </c>
      <c r="BM468" s="121">
        <f t="shared" si="274"/>
        <v>0</v>
      </c>
      <c r="BN468" s="121">
        <f t="shared" si="275"/>
        <v>0</v>
      </c>
      <c r="BO468" s="121">
        <f t="shared" si="276"/>
        <v>0</v>
      </c>
      <c r="BP468" s="121">
        <f t="shared" si="277"/>
        <v>0</v>
      </c>
      <c r="BQ468" s="199">
        <f>INDEX('GDP deflators'!$C$6:$M$36,MATCH('Bottom-up tagging'!$D468,'GDP deflators'!$B$6:$B$36,),MATCH('Bottom-up tagging'!$E468,'GDP deflators'!$C$5:$L$5,))/100</f>
        <v>1.3556007672660564</v>
      </c>
      <c r="BR468" s="24">
        <v>100000</v>
      </c>
    </row>
    <row r="469" spans="2:70" ht="26.15" customHeight="1">
      <c r="B469" s="110" t="s">
        <v>2914</v>
      </c>
      <c r="C469" s="110" t="s">
        <v>2917</v>
      </c>
      <c r="D469" s="110" t="s">
        <v>5391</v>
      </c>
      <c r="E469" s="103">
        <v>2014</v>
      </c>
      <c r="F469" s="108" t="s">
        <v>8866</v>
      </c>
      <c r="G469" s="111" t="s">
        <v>184</v>
      </c>
      <c r="H469" s="110" t="s">
        <v>10451</v>
      </c>
      <c r="I469" s="112">
        <f>IF(Dashboard!$B$16="Current USD",'Bottom-up tagging'!BR469,'Bottom-up tagging'!BR469/'Bottom-up tagging'!BQ469)</f>
        <v>66069.870512712238</v>
      </c>
      <c r="J469" s="118" t="s">
        <v>10474</v>
      </c>
      <c r="K469" s="112"/>
      <c r="L469" s="135">
        <v>1</v>
      </c>
      <c r="M469" s="135">
        <v>1</v>
      </c>
      <c r="N469" s="112"/>
      <c r="O469" s="112"/>
      <c r="P469" s="112" t="str">
        <f>VLOOKUP(B469, 'Companies covered restructured'!$B$7:$K$470, 9, FALSE)</f>
        <v xml:space="preserve">Fertilizers/manure </v>
      </c>
      <c r="Q469" s="112" t="str">
        <f>VLOOKUP(B469, 'Companies covered restructured'!$B$7:$K$470, 6, FALSE)</f>
        <v>#Crops(100)</v>
      </c>
      <c r="R469" s="112" t="str">
        <f t="shared" si="249"/>
        <v>N/A</v>
      </c>
      <c r="S469" s="112" t="s">
        <v>11003</v>
      </c>
      <c r="T469" s="112" t="s">
        <v>10465</v>
      </c>
      <c r="U469" s="103" t="s">
        <v>10970</v>
      </c>
      <c r="V469" s="212" t="s">
        <v>10977</v>
      </c>
      <c r="W469" s="112" t="str">
        <f>VLOOKUP(B469, 'Companies covered restructured'!$B$7:$K$470, 7, FALSE)</f>
        <v>#Farm/Household(100)</v>
      </c>
      <c r="X469" s="112" t="str">
        <f>VLOOKUP(B469, 'Companies covered restructured'!$B$7:$K$470, 8, FALSE)</f>
        <v>#Small(100)</v>
      </c>
      <c r="Y469" s="212" t="str">
        <f>VLOOKUP(P469, 'Bottom-up Tagging Assumptions'!$B$12:$C$56, 2, FALSE)</f>
        <v>#Other Economic(P); #Environmental(S)</v>
      </c>
      <c r="Z469" s="112" t="str">
        <f>VLOOKUP(P469, 'Bottom-up Tagging Assumptions'!$B$12:$F$56, 3, FALSE)</f>
        <v>#Waste reduction(P); #Improved biodiversity(S)</v>
      </c>
      <c r="AA469" s="112" t="str">
        <f>VLOOKUP(P469, 'Bottom-up Tagging Assumptions'!$B$12:$F$56, 4, FALSE)</f>
        <v>#Level 2(100)</v>
      </c>
      <c r="AB469" s="110" t="s">
        <v>2916</v>
      </c>
      <c r="AC469" s="110"/>
      <c r="AD469" s="110"/>
      <c r="AE469" s="110" t="s">
        <v>10558</v>
      </c>
      <c r="AF469" s="112"/>
      <c r="AG469" s="110" t="s">
        <v>2794</v>
      </c>
      <c r="AH469" s="121">
        <f t="shared" si="250"/>
        <v>1</v>
      </c>
      <c r="AI469" s="121">
        <f t="shared" si="251"/>
        <v>0</v>
      </c>
      <c r="AJ469" s="121">
        <f t="shared" si="252"/>
        <v>1</v>
      </c>
      <c r="AK469" s="121">
        <f t="shared" si="253"/>
        <v>0</v>
      </c>
      <c r="AL469" s="121">
        <f t="shared" si="254"/>
        <v>0</v>
      </c>
      <c r="AM469" s="121">
        <f t="shared" si="255"/>
        <v>0</v>
      </c>
      <c r="AN469" s="121">
        <f t="shared" si="256"/>
        <v>1</v>
      </c>
      <c r="AO469" s="121">
        <f t="shared" si="257"/>
        <v>0</v>
      </c>
      <c r="AP469" s="22">
        <f t="shared" si="258"/>
        <v>0</v>
      </c>
      <c r="AQ469" s="22">
        <f t="shared" si="259"/>
        <v>66069.870512712238</v>
      </c>
      <c r="AR469" s="22">
        <f t="shared" si="260"/>
        <v>0</v>
      </c>
      <c r="AS469" s="121" t="str">
        <f t="shared" si="261"/>
        <v>Crops</v>
      </c>
      <c r="AT469" s="121" t="str">
        <f t="shared" si="247"/>
        <v xml:space="preserve"> </v>
      </c>
      <c r="AU469" s="121" t="str">
        <f t="shared" si="247"/>
        <v xml:space="preserve"> </v>
      </c>
      <c r="AV469" s="121" t="str">
        <f t="shared" si="247"/>
        <v xml:space="preserve"> </v>
      </c>
      <c r="AW469" s="130" t="str">
        <f t="shared" si="248"/>
        <v>100</v>
      </c>
      <c r="AX469" s="130" t="str">
        <f t="shared" si="248"/>
        <v xml:space="preserve"> </v>
      </c>
      <c r="AY469" s="130" t="str">
        <f t="shared" si="248"/>
        <v xml:space="preserve"> </v>
      </c>
      <c r="AZ469" s="130" t="str">
        <f t="shared" si="248"/>
        <v xml:space="preserve"> </v>
      </c>
      <c r="BA469" s="121">
        <f t="shared" si="262"/>
        <v>66069.870512712238</v>
      </c>
      <c r="BB469" s="121">
        <f t="shared" si="263"/>
        <v>0</v>
      </c>
      <c r="BC469" s="121">
        <f t="shared" si="264"/>
        <v>0</v>
      </c>
      <c r="BD469" s="121">
        <f t="shared" si="265"/>
        <v>0</v>
      </c>
      <c r="BE469" s="121">
        <f t="shared" si="266"/>
        <v>0</v>
      </c>
      <c r="BF469" s="121">
        <f t="shared" si="267"/>
        <v>0</v>
      </c>
      <c r="BG469" s="121">
        <f t="shared" si="268"/>
        <v>0</v>
      </c>
      <c r="BH469" s="121">
        <f t="shared" si="269"/>
        <v>0</v>
      </c>
      <c r="BI469" s="121">
        <f t="shared" si="270"/>
        <v>66069.870512712238</v>
      </c>
      <c r="BJ469" s="121">
        <f t="shared" si="271"/>
        <v>66069.870512712238</v>
      </c>
      <c r="BK469" s="121">
        <f t="shared" si="272"/>
        <v>66069.870512712238</v>
      </c>
      <c r="BL469" s="121">
        <f t="shared" si="273"/>
        <v>66069.870512712238</v>
      </c>
      <c r="BM469" s="121">
        <f t="shared" si="274"/>
        <v>0</v>
      </c>
      <c r="BN469" s="121">
        <f t="shared" si="275"/>
        <v>0</v>
      </c>
      <c r="BO469" s="121">
        <f t="shared" si="276"/>
        <v>0</v>
      </c>
      <c r="BP469" s="121">
        <f t="shared" si="277"/>
        <v>0</v>
      </c>
      <c r="BQ469" s="199">
        <f>INDEX('GDP deflators'!$C$6:$M$36,MATCH('Bottom-up tagging'!$D469,'GDP deflators'!$B$6:$B$36,),MATCH('Bottom-up tagging'!$E469,'GDP deflators'!$C$5:$L$5,))/100</f>
        <v>1.3773297767019395</v>
      </c>
      <c r="BR469" s="24">
        <v>91000</v>
      </c>
    </row>
    <row r="470" spans="2:70" ht="26.15" hidden="1" customHeight="1">
      <c r="B470" s="110" t="s">
        <v>2329</v>
      </c>
      <c r="C470" s="110" t="s">
        <v>2333</v>
      </c>
      <c r="D470" s="110" t="s">
        <v>3994</v>
      </c>
      <c r="E470" s="103">
        <v>2015</v>
      </c>
      <c r="F470" s="108" t="s">
        <v>9697</v>
      </c>
      <c r="G470" s="111" t="s">
        <v>34</v>
      </c>
      <c r="H470" s="110" t="s">
        <v>10451</v>
      </c>
      <c r="I470" s="112">
        <f>IF(Dashboard!$B$16="Current USD",'Bottom-up tagging'!BR470,'Bottom-up tagging'!BR470/'Bottom-up tagging'!BQ470)</f>
        <v>68296.74866172146</v>
      </c>
      <c r="J470" s="118" t="s">
        <v>10474</v>
      </c>
      <c r="K470" s="112"/>
      <c r="L470" s="135">
        <v>1</v>
      </c>
      <c r="M470" s="135">
        <v>1</v>
      </c>
      <c r="N470" s="112"/>
      <c r="O470" s="112"/>
      <c r="P470" s="112" t="str">
        <f>VLOOKUP(B470, 'Companies covered restructured'!$B$7:$K$470, 9, FALSE)</f>
        <v>Precision agriculture</v>
      </c>
      <c r="Q470" s="112" t="str">
        <f>VLOOKUP(B470, 'Companies covered restructured'!$B$7:$K$470, 6, FALSE)</f>
        <v>#Crops(100)</v>
      </c>
      <c r="R470" s="112" t="str">
        <f t="shared" si="249"/>
        <v>N/A</v>
      </c>
      <c r="S470" s="112" t="s">
        <v>11003</v>
      </c>
      <c r="T470" s="112" t="s">
        <v>10466</v>
      </c>
      <c r="U470" s="103" t="s">
        <v>10970</v>
      </c>
      <c r="V470" s="112" t="str">
        <f>VLOOKUP(P470, 'Bottom-up Tagging Assumptions'!$B$12:$F$39, 5, FALSE)</f>
        <v>#Science &amp; tech(100)</v>
      </c>
      <c r="W470" s="112" t="str">
        <f>VLOOKUP(B470, 'Companies covered restructured'!$B$7:$K$470, 7, FALSE)</f>
        <v>#Field/Animal Herd(100)</v>
      </c>
      <c r="X470" s="112" t="str">
        <f>VLOOKUP(B470, 'Companies covered restructured'!$B$7:$K$470, 8, FALSE)</f>
        <v>N/A</v>
      </c>
      <c r="Y470" s="212" t="str">
        <f>VLOOKUP(P470, 'Bottom-up Tagging Assumptions'!$B$12:$C$56, 2, FALSE)</f>
        <v>#Other Economic(P); #Productivity(S)</v>
      </c>
      <c r="Z470" s="112" t="str">
        <f>VLOOKUP(P470, 'Bottom-up Tagging Assumptions'!$B$12:$F$56, 3, FALSE)</f>
        <v>#Increasing output per unit input(P); #Increasing crop or animal yield(S)</v>
      </c>
      <c r="AA470" s="112" t="str">
        <f>VLOOKUP(P470, 'Bottom-up Tagging Assumptions'!$B$12:$F$56, 4, FALSE)</f>
        <v>#Level 1(100)</v>
      </c>
      <c r="AB470" s="110"/>
      <c r="AC470" s="110"/>
      <c r="AD470" s="110"/>
      <c r="AE470" s="110" t="s">
        <v>10558</v>
      </c>
      <c r="AF470" s="112">
        <v>158000</v>
      </c>
      <c r="AG470" s="110" t="s">
        <v>2799</v>
      </c>
      <c r="AH470" s="121">
        <f t="shared" si="250"/>
        <v>0</v>
      </c>
      <c r="AI470" s="121">
        <f t="shared" si="251"/>
        <v>1</v>
      </c>
      <c r="AJ470" s="121">
        <f t="shared" si="252"/>
        <v>1</v>
      </c>
      <c r="AK470" s="121">
        <f t="shared" si="253"/>
        <v>0</v>
      </c>
      <c r="AL470" s="121">
        <f t="shared" si="254"/>
        <v>0</v>
      </c>
      <c r="AM470" s="121">
        <f t="shared" si="255"/>
        <v>0</v>
      </c>
      <c r="AN470" s="121">
        <f t="shared" si="256"/>
        <v>0</v>
      </c>
      <c r="AO470" s="121">
        <f t="shared" si="257"/>
        <v>0</v>
      </c>
      <c r="AP470" s="22">
        <f t="shared" si="258"/>
        <v>0</v>
      </c>
      <c r="AQ470" s="22">
        <f t="shared" si="259"/>
        <v>0</v>
      </c>
      <c r="AR470" s="22">
        <f t="shared" si="260"/>
        <v>0</v>
      </c>
      <c r="AS470" s="121" t="str">
        <f t="shared" si="261"/>
        <v>Crops</v>
      </c>
      <c r="AT470" s="121" t="str">
        <f t="shared" si="247"/>
        <v xml:space="preserve"> </v>
      </c>
      <c r="AU470" s="121" t="str">
        <f t="shared" si="247"/>
        <v xml:space="preserve"> </v>
      </c>
      <c r="AV470" s="121" t="str">
        <f t="shared" si="247"/>
        <v xml:space="preserve"> </v>
      </c>
      <c r="AW470" s="130" t="str">
        <f t="shared" si="248"/>
        <v>100</v>
      </c>
      <c r="AX470" s="130" t="str">
        <f t="shared" si="248"/>
        <v xml:space="preserve"> </v>
      </c>
      <c r="AY470" s="130" t="str">
        <f t="shared" si="248"/>
        <v xml:space="preserve"> </v>
      </c>
      <c r="AZ470" s="130" t="str">
        <f t="shared" si="248"/>
        <v xml:space="preserve"> </v>
      </c>
      <c r="BA470" s="121">
        <f t="shared" si="262"/>
        <v>68296.74866172146</v>
      </c>
      <c r="BB470" s="121">
        <f t="shared" si="263"/>
        <v>0</v>
      </c>
      <c r="BC470" s="121">
        <f t="shared" si="264"/>
        <v>0</v>
      </c>
      <c r="BD470" s="121">
        <f t="shared" si="265"/>
        <v>0</v>
      </c>
      <c r="BE470" s="121">
        <f t="shared" si="266"/>
        <v>0</v>
      </c>
      <c r="BF470" s="121">
        <f t="shared" si="267"/>
        <v>0</v>
      </c>
      <c r="BG470" s="121">
        <f t="shared" si="268"/>
        <v>0</v>
      </c>
      <c r="BH470" s="121">
        <f t="shared" si="269"/>
        <v>0</v>
      </c>
      <c r="BI470" s="121">
        <f t="shared" si="270"/>
        <v>0</v>
      </c>
      <c r="BJ470" s="121">
        <f t="shared" si="271"/>
        <v>0</v>
      </c>
      <c r="BK470" s="121">
        <f t="shared" si="272"/>
        <v>0</v>
      </c>
      <c r="BL470" s="121">
        <f t="shared" si="273"/>
        <v>0</v>
      </c>
      <c r="BM470" s="121">
        <f t="shared" si="274"/>
        <v>0</v>
      </c>
      <c r="BN470" s="121">
        <f t="shared" si="275"/>
        <v>0</v>
      </c>
      <c r="BO470" s="121">
        <f t="shared" si="276"/>
        <v>0</v>
      </c>
      <c r="BP470" s="121">
        <f t="shared" si="277"/>
        <v>0</v>
      </c>
      <c r="BQ470" s="199">
        <f>INDEX('GDP deflators'!$C$6:$M$36,MATCH('Bottom-up tagging'!$D470,'GDP deflators'!$B$6:$B$36,),MATCH('Bottom-up tagging'!$E470,'GDP deflators'!$C$5:$L$5,))/100</f>
        <v>1.3170905169372478</v>
      </c>
      <c r="BR470" s="24">
        <v>89953</v>
      </c>
    </row>
    <row r="471" spans="2:70" ht="26.15" hidden="1" customHeight="1">
      <c r="B471" s="110" t="s">
        <v>1239</v>
      </c>
      <c r="C471" s="110" t="s">
        <v>1244</v>
      </c>
      <c r="D471" s="110" t="s">
        <v>3994</v>
      </c>
      <c r="E471" s="103">
        <v>2016</v>
      </c>
      <c r="F471" s="108" t="s">
        <v>6843</v>
      </c>
      <c r="G471" s="111" t="s">
        <v>184</v>
      </c>
      <c r="H471" s="110" t="s">
        <v>10451</v>
      </c>
      <c r="I471" s="112">
        <f>IF(Dashboard!$B$16="Current USD",'Bottom-up tagging'!BR471,'Bottom-up tagging'!BR471/'Bottom-up tagging'!BQ471)</f>
        <v>66058.335053016286</v>
      </c>
      <c r="J471" s="118" t="s">
        <v>10474</v>
      </c>
      <c r="K471" s="112"/>
      <c r="L471" s="135">
        <v>1</v>
      </c>
      <c r="M471" s="135">
        <v>1</v>
      </c>
      <c r="N471" s="112"/>
      <c r="O471" s="112"/>
      <c r="P471" s="112" t="str">
        <f>VLOOKUP(B471, 'Companies covered restructured'!$B$7:$K$470, 9, FALSE)</f>
        <v>Quality testing technologies</v>
      </c>
      <c r="Q471" s="112" t="str">
        <f>VLOOKUP(B471, 'Companies covered restructured'!$B$7:$K$470, 6, FALSE)</f>
        <v>#Crops(100)</v>
      </c>
      <c r="R471" s="112" t="str">
        <f t="shared" si="249"/>
        <v>N/A</v>
      </c>
      <c r="S471" s="112" t="s">
        <v>11003</v>
      </c>
      <c r="T471" s="112" t="s">
        <v>10465</v>
      </c>
      <c r="U471" s="103" t="s">
        <v>10970</v>
      </c>
      <c r="V471" s="112" t="str">
        <f>VLOOKUP(P471, 'Bottom-up Tagging Assumptions'!$B$12:$F$39, 5, FALSE)</f>
        <v>#Science &amp; tech(100)</v>
      </c>
      <c r="W471" s="112" t="str">
        <f>VLOOKUP(B471, 'Companies covered restructured'!$B$7:$K$470, 7, FALSE)</f>
        <v>#Farm/Household(100)</v>
      </c>
      <c r="X471" s="112" t="s">
        <v>10558</v>
      </c>
      <c r="Y471" s="212" t="str">
        <f>VLOOKUP(P471, 'Bottom-up Tagging Assumptions'!$B$12:$C$56, 2, FALSE)</f>
        <v>#Human Condition(P); #Other Economic(S)</v>
      </c>
      <c r="Z471" s="112" t="str">
        <f>VLOOKUP(P471, 'Bottom-up Tagging Assumptions'!$B$12:$F$56, 3, FALSE)</f>
        <v>#Health(P); #Reducing variability of profits(S)</v>
      </c>
      <c r="AA471" s="112" t="str">
        <f>VLOOKUP(P471, 'Bottom-up Tagging Assumptions'!$B$12:$F$56, 4, FALSE)</f>
        <v>#Level 1(100)</v>
      </c>
      <c r="AB471" s="110" t="s">
        <v>907</v>
      </c>
      <c r="AC471" s="110"/>
      <c r="AD471" s="110"/>
      <c r="AE471" s="110" t="s">
        <v>10558</v>
      </c>
      <c r="AF471" s="112">
        <v>234941</v>
      </c>
      <c r="AG471" s="110" t="s">
        <v>1559</v>
      </c>
      <c r="AH471" s="121">
        <f t="shared" si="250"/>
        <v>0</v>
      </c>
      <c r="AI471" s="121">
        <f t="shared" si="251"/>
        <v>0</v>
      </c>
      <c r="AJ471" s="121">
        <f t="shared" si="252"/>
        <v>1</v>
      </c>
      <c r="AK471" s="121">
        <f t="shared" si="253"/>
        <v>0</v>
      </c>
      <c r="AL471" s="121">
        <f t="shared" si="254"/>
        <v>1</v>
      </c>
      <c r="AM471" s="121">
        <f t="shared" si="255"/>
        <v>0</v>
      </c>
      <c r="AN471" s="121">
        <f t="shared" si="256"/>
        <v>1</v>
      </c>
      <c r="AO471" s="121">
        <f t="shared" si="257"/>
        <v>0</v>
      </c>
      <c r="AP471" s="22">
        <f t="shared" si="258"/>
        <v>0</v>
      </c>
      <c r="AQ471" s="22">
        <f t="shared" si="259"/>
        <v>66058.335053016286</v>
      </c>
      <c r="AR471" s="22">
        <f t="shared" si="260"/>
        <v>0</v>
      </c>
      <c r="AS471" s="121" t="str">
        <f t="shared" si="261"/>
        <v>Crops</v>
      </c>
      <c r="AT471" s="121" t="str">
        <f t="shared" si="247"/>
        <v xml:space="preserve"> </v>
      </c>
      <c r="AU471" s="121" t="str">
        <f t="shared" si="247"/>
        <v xml:space="preserve"> </v>
      </c>
      <c r="AV471" s="121" t="str">
        <f t="shared" si="247"/>
        <v xml:space="preserve"> </v>
      </c>
      <c r="AW471" s="130" t="str">
        <f t="shared" si="248"/>
        <v>100</v>
      </c>
      <c r="AX471" s="130" t="str">
        <f t="shared" si="248"/>
        <v xml:space="preserve"> </v>
      </c>
      <c r="AY471" s="130" t="str">
        <f t="shared" si="248"/>
        <v xml:space="preserve"> </v>
      </c>
      <c r="AZ471" s="130" t="str">
        <f t="shared" si="248"/>
        <v xml:space="preserve"> </v>
      </c>
      <c r="BA471" s="121">
        <f t="shared" si="262"/>
        <v>66058.335053016286</v>
      </c>
      <c r="BB471" s="121">
        <f t="shared" si="263"/>
        <v>0</v>
      </c>
      <c r="BC471" s="121">
        <f t="shared" si="264"/>
        <v>0</v>
      </c>
      <c r="BD471" s="121">
        <f t="shared" si="265"/>
        <v>0</v>
      </c>
      <c r="BE471" s="121">
        <f t="shared" si="266"/>
        <v>0</v>
      </c>
      <c r="BF471" s="121">
        <f t="shared" si="267"/>
        <v>0</v>
      </c>
      <c r="BG471" s="121">
        <f t="shared" si="268"/>
        <v>0</v>
      </c>
      <c r="BH471" s="121">
        <f t="shared" si="269"/>
        <v>0</v>
      </c>
      <c r="BI471" s="121">
        <f t="shared" si="270"/>
        <v>66058.335053016286</v>
      </c>
      <c r="BJ471" s="121">
        <f t="shared" si="271"/>
        <v>66058.335053016286</v>
      </c>
      <c r="BK471" s="121">
        <f t="shared" si="272"/>
        <v>66058.335053016286</v>
      </c>
      <c r="BL471" s="121">
        <f t="shared" si="273"/>
        <v>66058.335053016286</v>
      </c>
      <c r="BM471" s="121">
        <f t="shared" si="274"/>
        <v>0</v>
      </c>
      <c r="BN471" s="121">
        <f t="shared" si="275"/>
        <v>0</v>
      </c>
      <c r="BO471" s="121">
        <f t="shared" si="276"/>
        <v>0</v>
      </c>
      <c r="BP471" s="121">
        <f t="shared" si="277"/>
        <v>0</v>
      </c>
      <c r="BQ471" s="199">
        <f>INDEX('GDP deflators'!$C$6:$M$36,MATCH('Bottom-up tagging'!$D471,'GDP deflators'!$B$6:$B$36,),MATCH('Bottom-up tagging'!$E471,'GDP deflators'!$C$5:$L$5,))/100</f>
        <v>1.3597375702538033</v>
      </c>
      <c r="BR471" s="24">
        <v>89822</v>
      </c>
    </row>
    <row r="472" spans="2:70" ht="26.15" hidden="1" customHeight="1">
      <c r="B472" s="110" t="s">
        <v>42</v>
      </c>
      <c r="C472" s="110" t="s">
        <v>48</v>
      </c>
      <c r="D472" s="110" t="s">
        <v>3994</v>
      </c>
      <c r="E472" s="103">
        <v>2018</v>
      </c>
      <c r="F472" s="108" t="s">
        <v>6695</v>
      </c>
      <c r="G472" s="111" t="s">
        <v>34</v>
      </c>
      <c r="H472" s="110" t="s">
        <v>10451</v>
      </c>
      <c r="I472" s="112">
        <f>IF(Dashboard!$B$16="Current USD",'Bottom-up tagging'!BR472,'Bottom-up tagging'!BR472/'Bottom-up tagging'!BQ472)</f>
        <v>60757.34899795887</v>
      </c>
      <c r="J472" s="117" t="s">
        <v>10474</v>
      </c>
      <c r="K472" s="112"/>
      <c r="L472" s="135">
        <v>1</v>
      </c>
      <c r="M472" s="135">
        <v>1</v>
      </c>
      <c r="N472" s="112"/>
      <c r="O472" s="112"/>
      <c r="P472" s="112" t="str">
        <f>VLOOKUP(B472, 'Companies covered restructured'!$B$7:$K$470, 9, FALSE)</f>
        <v>AI/analytics based advisory algorithms (incl. weather)</v>
      </c>
      <c r="Q472" s="112" t="str">
        <f>VLOOKUP(B472, 'Companies covered restructured'!$B$7:$K$470, 6, FALSE)</f>
        <v>#Crops(100)</v>
      </c>
      <c r="R472" s="112" t="str">
        <f t="shared" si="249"/>
        <v>#Corporate(100)</v>
      </c>
      <c r="S472" s="112" t="s">
        <v>11003</v>
      </c>
      <c r="T472" s="112" t="s">
        <v>10466</v>
      </c>
      <c r="U472" s="103" t="s">
        <v>10970</v>
      </c>
      <c r="V472" s="112" t="str">
        <f>VLOOKUP(P472, 'Bottom-up Tagging Assumptions'!$B$12:$F$39, 5, FALSE)</f>
        <v>#Science &amp; tech(100)</v>
      </c>
      <c r="W472" s="112" t="str">
        <f>VLOOKUP(B472, 'Companies covered restructured'!$B$7:$K$470, 7, FALSE)</f>
        <v>#Field/Animal Herd(100)</v>
      </c>
      <c r="X472" s="112" t="s">
        <v>10558</v>
      </c>
      <c r="Y472" s="212" t="str">
        <f>VLOOKUP(P472, 'Bottom-up Tagging Assumptions'!$B$12:$C$56, 2, FALSE)</f>
        <v>#Other Economic(P); #Productivity(S)</v>
      </c>
      <c r="Z472" s="112" t="str">
        <f>VLOOKUP(P472, 'Bottom-up Tagging Assumptions'!$B$12:$F$56, 3, FALSE)</f>
        <v>#Increasing output per unit input(P); #Increasing crop or animal yield(S)</v>
      </c>
      <c r="AA472" s="112" t="str">
        <f>VLOOKUP(P472, 'Bottom-up Tagging Assumptions'!$B$12:$F$56, 4, FALSE)</f>
        <v>#Level 1(100)</v>
      </c>
      <c r="AB472" s="110" t="s">
        <v>1825</v>
      </c>
      <c r="AC472" s="110" t="s">
        <v>1272</v>
      </c>
      <c r="AD472" s="110" t="s">
        <v>1826</v>
      </c>
      <c r="AE472" s="110" t="str">
        <f>VLOOKUP(AD472,  '1.2'!$B$7:$C$2033, 2, FALSE)</f>
        <v>CORPORATE_INVESTOR</v>
      </c>
      <c r="AF472" s="112">
        <v>7000000</v>
      </c>
      <c r="AG472" s="110" t="s">
        <v>862</v>
      </c>
      <c r="AH472" s="121">
        <f t="shared" si="250"/>
        <v>0</v>
      </c>
      <c r="AI472" s="121">
        <f t="shared" si="251"/>
        <v>1</v>
      </c>
      <c r="AJ472" s="121">
        <f t="shared" si="252"/>
        <v>1</v>
      </c>
      <c r="AK472" s="121">
        <f t="shared" si="253"/>
        <v>0</v>
      </c>
      <c r="AL472" s="121">
        <f t="shared" si="254"/>
        <v>0</v>
      </c>
      <c r="AM472" s="121">
        <f t="shared" si="255"/>
        <v>0</v>
      </c>
      <c r="AN472" s="121">
        <f t="shared" si="256"/>
        <v>0</v>
      </c>
      <c r="AO472" s="121">
        <f t="shared" si="257"/>
        <v>0</v>
      </c>
      <c r="AP472" s="22">
        <f t="shared" si="258"/>
        <v>0</v>
      </c>
      <c r="AQ472" s="22">
        <f t="shared" si="259"/>
        <v>0</v>
      </c>
      <c r="AR472" s="22">
        <f t="shared" si="260"/>
        <v>0</v>
      </c>
      <c r="AS472" s="121" t="str">
        <f t="shared" si="261"/>
        <v>Crops</v>
      </c>
      <c r="AT472" s="121" t="str">
        <f t="shared" ref="AT472:AV491" si="278">IFERROR(IFERROR(MID($Q472,FIND("~",SUBSTITUTE($Q472,";","~",AT$10-1))+3,(FIND("~",SUBSTITUTE($Q472,";","~",AT$10))+0-(FIND("~",SUBSTITUTE($Q472,";","~",AT$10-1))+2))-6),MID($Q472,FIND("~",SUBSTITUTE($Q472,";","~",AT$10-1))+3,(LEN($Q472)-6-FIND("~",SUBSTITUTE($Q472,";","~",AT$10-1))-1)))," ")</f>
        <v xml:space="preserve"> </v>
      </c>
      <c r="AU472" s="121" t="str">
        <f t="shared" si="278"/>
        <v xml:space="preserve"> </v>
      </c>
      <c r="AV472" s="121" t="str">
        <f t="shared" si="278"/>
        <v xml:space="preserve"> </v>
      </c>
      <c r="AW472" s="130" t="str">
        <f t="shared" ref="AW472:AZ491" si="279">IFERROR(MID($Q472,FIND("~",SUBSTITUTE($Q472,"(","~",AW$10))+1,3)," ")</f>
        <v>100</v>
      </c>
      <c r="AX472" s="130" t="str">
        <f t="shared" si="279"/>
        <v xml:space="preserve"> </v>
      </c>
      <c r="AY472" s="130" t="str">
        <f t="shared" si="279"/>
        <v xml:space="preserve"> </v>
      </c>
      <c r="AZ472" s="130" t="str">
        <f t="shared" si="279"/>
        <v xml:space="preserve"> </v>
      </c>
      <c r="BA472" s="121">
        <f t="shared" si="262"/>
        <v>60757.34899795887</v>
      </c>
      <c r="BB472" s="121">
        <f t="shared" si="263"/>
        <v>0</v>
      </c>
      <c r="BC472" s="121">
        <f t="shared" si="264"/>
        <v>0</v>
      </c>
      <c r="BD472" s="121">
        <f t="shared" si="265"/>
        <v>0</v>
      </c>
      <c r="BE472" s="121">
        <f t="shared" si="266"/>
        <v>0</v>
      </c>
      <c r="BF472" s="121">
        <f t="shared" si="267"/>
        <v>0</v>
      </c>
      <c r="BG472" s="121">
        <f t="shared" si="268"/>
        <v>0</v>
      </c>
      <c r="BH472" s="121">
        <f t="shared" si="269"/>
        <v>0</v>
      </c>
      <c r="BI472" s="121">
        <f t="shared" si="270"/>
        <v>0</v>
      </c>
      <c r="BJ472" s="121">
        <f t="shared" si="271"/>
        <v>0</v>
      </c>
      <c r="BK472" s="121">
        <f t="shared" si="272"/>
        <v>0</v>
      </c>
      <c r="BL472" s="121">
        <f t="shared" si="273"/>
        <v>0</v>
      </c>
      <c r="BM472" s="121">
        <f t="shared" si="274"/>
        <v>0</v>
      </c>
      <c r="BN472" s="121">
        <f t="shared" si="275"/>
        <v>0</v>
      </c>
      <c r="BO472" s="121">
        <f t="shared" si="276"/>
        <v>0</v>
      </c>
      <c r="BP472" s="121">
        <f t="shared" si="277"/>
        <v>0</v>
      </c>
      <c r="BQ472" s="199">
        <f>INDEX('GDP deflators'!$C$6:$M$36,MATCH('Bottom-up tagging'!$D472,'GDP deflators'!$B$6:$B$36,),MATCH('Bottom-up tagging'!$E472,'GDP deflators'!$C$5:$L$5,))/100</f>
        <v>1.4753935363936217</v>
      </c>
      <c r="BR472" s="24">
        <v>89641</v>
      </c>
    </row>
    <row r="473" spans="2:70" ht="26.15" hidden="1" customHeight="1">
      <c r="B473" s="110" t="s">
        <v>2315</v>
      </c>
      <c r="C473" s="110" t="s">
        <v>2317</v>
      </c>
      <c r="D473" s="110" t="s">
        <v>3994</v>
      </c>
      <c r="E473" s="103">
        <v>2016</v>
      </c>
      <c r="F473" s="108" t="s">
        <v>9788</v>
      </c>
      <c r="G473" s="111" t="s">
        <v>34</v>
      </c>
      <c r="H473" s="110" t="s">
        <v>10451</v>
      </c>
      <c r="I473" s="112">
        <f>IF(Dashboard!$B$16="Current USD",'Bottom-up tagging'!BR473,'Bottom-up tagging'!BR473/'Bottom-up tagging'!BQ473)</f>
        <v>65518.525007271208</v>
      </c>
      <c r="J473" s="118" t="s">
        <v>10474</v>
      </c>
      <c r="K473" s="112"/>
      <c r="L473" s="135">
        <v>1</v>
      </c>
      <c r="M473" s="135">
        <v>1</v>
      </c>
      <c r="N473" s="112"/>
      <c r="O473" s="112"/>
      <c r="P473" s="112" t="str">
        <f>VLOOKUP(B473, 'Companies covered restructured'!$B$7:$K$470, 9, FALSE)</f>
        <v>Soil regeneration and remediation</v>
      </c>
      <c r="Q473" s="112" t="str">
        <f>VLOOKUP(B473, 'Companies covered restructured'!$B$7:$K$470, 6, FALSE)</f>
        <v>#Crops(100)</v>
      </c>
      <c r="R473" s="112" t="str">
        <f t="shared" si="249"/>
        <v>#Investment Fund(100)</v>
      </c>
      <c r="S473" s="112" t="s">
        <v>11003</v>
      </c>
      <c r="T473" s="112" t="s">
        <v>10466</v>
      </c>
      <c r="U473" s="103" t="s">
        <v>10970</v>
      </c>
      <c r="V473" s="212" t="s">
        <v>10977</v>
      </c>
      <c r="W473" s="112" t="str">
        <f>VLOOKUP(B473, 'Companies covered restructured'!$B$7:$K$470, 7, FALSE)</f>
        <v>#Field/Animal Herd(100)</v>
      </c>
      <c r="X473" s="112" t="str">
        <f>VLOOKUP(B473, 'Companies covered restructured'!$B$7:$K$470, 8, FALSE)</f>
        <v>N/A</v>
      </c>
      <c r="Y473" s="212" t="str">
        <f>VLOOKUP(P473, 'Bottom-up Tagging Assumptions'!$B$12:$C$56, 2, FALSE)</f>
        <v>#Environmental(P); Productivity(S)</v>
      </c>
      <c r="Z473" s="112" t="str">
        <f>VLOOKUP(P473, 'Bottom-up Tagging Assumptions'!$B$12:$F$56, 3, FALSE)</f>
        <v>#Improved soil quality(P)</v>
      </c>
      <c r="AA473" s="112" t="str">
        <f>VLOOKUP(P473, 'Bottom-up Tagging Assumptions'!$B$12:$F$56, 4, FALSE)</f>
        <v>#Level 2(100)</v>
      </c>
      <c r="AB473" s="110" t="s">
        <v>1466</v>
      </c>
      <c r="AC473" s="110"/>
      <c r="AD473" s="110" t="s">
        <v>1467</v>
      </c>
      <c r="AE473" s="110" t="str">
        <f>VLOOKUP(AD473,  '1.2'!$B$7:$C$2033, 2, FALSE)</f>
        <v>FUND</v>
      </c>
      <c r="AF473" s="112">
        <v>10726419</v>
      </c>
      <c r="AG473" s="110" t="s">
        <v>115</v>
      </c>
      <c r="AH473" s="121">
        <f t="shared" si="250"/>
        <v>1</v>
      </c>
      <c r="AI473" s="121">
        <f t="shared" si="251"/>
        <v>1</v>
      </c>
      <c r="AJ473" s="121">
        <f t="shared" si="252"/>
        <v>0</v>
      </c>
      <c r="AK473" s="121">
        <f t="shared" si="253"/>
        <v>0</v>
      </c>
      <c r="AL473" s="121">
        <f t="shared" si="254"/>
        <v>0</v>
      </c>
      <c r="AM473" s="121">
        <f t="shared" si="255"/>
        <v>0</v>
      </c>
      <c r="AN473" s="121">
        <f t="shared" si="256"/>
        <v>1</v>
      </c>
      <c r="AO473" s="121">
        <f t="shared" si="257"/>
        <v>1</v>
      </c>
      <c r="AP473" s="22">
        <f t="shared" si="258"/>
        <v>0</v>
      </c>
      <c r="AQ473" s="22">
        <f t="shared" si="259"/>
        <v>65518.525007271208</v>
      </c>
      <c r="AR473" s="22">
        <f t="shared" si="260"/>
        <v>65518.525007271208</v>
      </c>
      <c r="AS473" s="121" t="str">
        <f t="shared" si="261"/>
        <v>Crops</v>
      </c>
      <c r="AT473" s="121" t="str">
        <f t="shared" si="278"/>
        <v xml:space="preserve"> </v>
      </c>
      <c r="AU473" s="121" t="str">
        <f t="shared" si="278"/>
        <v xml:space="preserve"> </v>
      </c>
      <c r="AV473" s="121" t="str">
        <f t="shared" si="278"/>
        <v xml:space="preserve"> </v>
      </c>
      <c r="AW473" s="130" t="str">
        <f t="shared" si="279"/>
        <v>100</v>
      </c>
      <c r="AX473" s="130" t="str">
        <f t="shared" si="279"/>
        <v xml:space="preserve"> </v>
      </c>
      <c r="AY473" s="130" t="str">
        <f t="shared" si="279"/>
        <v xml:space="preserve"> </v>
      </c>
      <c r="AZ473" s="130" t="str">
        <f t="shared" si="279"/>
        <v xml:space="preserve"> </v>
      </c>
      <c r="BA473" s="121">
        <f t="shared" si="262"/>
        <v>65518.525007271208</v>
      </c>
      <c r="BB473" s="121">
        <f t="shared" si="263"/>
        <v>0</v>
      </c>
      <c r="BC473" s="121">
        <f t="shared" si="264"/>
        <v>0</v>
      </c>
      <c r="BD473" s="121">
        <f t="shared" si="265"/>
        <v>0</v>
      </c>
      <c r="BE473" s="121">
        <f t="shared" si="266"/>
        <v>0</v>
      </c>
      <c r="BF473" s="121">
        <f t="shared" si="267"/>
        <v>0</v>
      </c>
      <c r="BG473" s="121">
        <f t="shared" si="268"/>
        <v>0</v>
      </c>
      <c r="BH473" s="121">
        <f t="shared" si="269"/>
        <v>0</v>
      </c>
      <c r="BI473" s="121">
        <f t="shared" si="270"/>
        <v>65518.525007271208</v>
      </c>
      <c r="BJ473" s="121">
        <f t="shared" si="271"/>
        <v>65518.525007271208</v>
      </c>
      <c r="BK473" s="121">
        <f t="shared" si="272"/>
        <v>65518.525007271208</v>
      </c>
      <c r="BL473" s="121">
        <f t="shared" si="273"/>
        <v>65518.525007271208</v>
      </c>
      <c r="BM473" s="121">
        <f t="shared" si="274"/>
        <v>65518.525007271208</v>
      </c>
      <c r="BN473" s="121">
        <f t="shared" si="275"/>
        <v>65518.525007271208</v>
      </c>
      <c r="BO473" s="121">
        <f t="shared" si="276"/>
        <v>65518.525007271208</v>
      </c>
      <c r="BP473" s="121">
        <f t="shared" si="277"/>
        <v>65518.525007271208</v>
      </c>
      <c r="BQ473" s="199">
        <f>INDEX('GDP deflators'!$C$6:$M$36,MATCH('Bottom-up tagging'!$D473,'GDP deflators'!$B$6:$B$36,),MATCH('Bottom-up tagging'!$E473,'GDP deflators'!$C$5:$L$5,))/100</f>
        <v>1.3597375702538033</v>
      </c>
      <c r="BR473" s="24">
        <v>89088</v>
      </c>
    </row>
    <row r="474" spans="2:70" ht="26.15" hidden="1" customHeight="1">
      <c r="B474" s="110" t="s">
        <v>42</v>
      </c>
      <c r="C474" s="110" t="s">
        <v>48</v>
      </c>
      <c r="D474" s="110" t="s">
        <v>3994</v>
      </c>
      <c r="E474" s="103">
        <v>2019</v>
      </c>
      <c r="F474" s="108" t="s">
        <v>6695</v>
      </c>
      <c r="G474" s="111" t="s">
        <v>34</v>
      </c>
      <c r="H474" s="110" t="s">
        <v>10451</v>
      </c>
      <c r="I474" s="112">
        <f>IF(Dashboard!$B$16="Current USD",'Bottom-up tagging'!BR474,'Bottom-up tagging'!BR474/'Bottom-up tagging'!BQ474)</f>
        <v>57369.768553150985</v>
      </c>
      <c r="J474" s="105" t="s">
        <v>10474</v>
      </c>
      <c r="K474" s="112"/>
      <c r="L474" s="135">
        <v>1</v>
      </c>
      <c r="M474" s="135">
        <v>1</v>
      </c>
      <c r="N474" s="112"/>
      <c r="O474" s="112"/>
      <c r="P474" s="112" t="str">
        <f>VLOOKUP(B474, 'Companies covered restructured'!$B$7:$K$470, 9, FALSE)</f>
        <v>AI/analytics based advisory algorithms (incl. weather)</v>
      </c>
      <c r="Q474" s="112" t="str">
        <f>VLOOKUP(B474, 'Companies covered restructured'!$B$7:$K$470, 6, FALSE)</f>
        <v>#Crops(100)</v>
      </c>
      <c r="R474" s="112" t="str">
        <f t="shared" si="249"/>
        <v>#Corporate(100)</v>
      </c>
      <c r="S474" s="112" t="s">
        <v>11003</v>
      </c>
      <c r="T474" s="112" t="s">
        <v>10466</v>
      </c>
      <c r="U474" s="103" t="s">
        <v>10970</v>
      </c>
      <c r="V474" s="112" t="str">
        <f>VLOOKUP(P474, 'Bottom-up Tagging Assumptions'!$B$12:$F$39, 5, FALSE)</f>
        <v>#Science &amp; tech(100)</v>
      </c>
      <c r="W474" s="112" t="str">
        <f>VLOOKUP(B474, 'Companies covered restructured'!$B$7:$K$470, 7, FALSE)</f>
        <v>#Field/Animal Herd(100)</v>
      </c>
      <c r="X474" s="112" t="s">
        <v>10558</v>
      </c>
      <c r="Y474" s="212" t="str">
        <f>VLOOKUP(P474, 'Bottom-up Tagging Assumptions'!$B$12:$C$56, 2, FALSE)</f>
        <v>#Other Economic(P); #Productivity(S)</v>
      </c>
      <c r="Z474" s="112" t="str">
        <f>VLOOKUP(P474, 'Bottom-up Tagging Assumptions'!$B$12:$F$56, 3, FALSE)</f>
        <v>#Increasing output per unit input(P); #Increasing crop or animal yield(S)</v>
      </c>
      <c r="AA474" s="112" t="str">
        <f>VLOOKUP(P474, 'Bottom-up Tagging Assumptions'!$B$12:$F$56, 4, FALSE)</f>
        <v>#Level 1(100)</v>
      </c>
      <c r="AB474" s="110" t="s">
        <v>1089</v>
      </c>
      <c r="AC474" s="110" t="s">
        <v>1090</v>
      </c>
      <c r="AD474" s="110" t="s">
        <v>1091</v>
      </c>
      <c r="AE474" s="110" t="str">
        <f>VLOOKUP(AD474,  '1.2'!$B$7:$C$2033, 2, FALSE)</f>
        <v>CORPORATE_INVESTOR</v>
      </c>
      <c r="AF474" s="112">
        <v>47182672</v>
      </c>
      <c r="AG474" s="110" t="s">
        <v>1176</v>
      </c>
      <c r="AH474" s="121">
        <f t="shared" si="250"/>
        <v>0</v>
      </c>
      <c r="AI474" s="121">
        <f t="shared" si="251"/>
        <v>1</v>
      </c>
      <c r="AJ474" s="121">
        <f t="shared" si="252"/>
        <v>1</v>
      </c>
      <c r="AK474" s="121">
        <f t="shared" si="253"/>
        <v>0</v>
      </c>
      <c r="AL474" s="121">
        <f t="shared" si="254"/>
        <v>0</v>
      </c>
      <c r="AM474" s="121">
        <f t="shared" si="255"/>
        <v>0</v>
      </c>
      <c r="AN474" s="121">
        <f t="shared" si="256"/>
        <v>0</v>
      </c>
      <c r="AO474" s="121">
        <f t="shared" si="257"/>
        <v>0</v>
      </c>
      <c r="AP474" s="22">
        <f t="shared" si="258"/>
        <v>0</v>
      </c>
      <c r="AQ474" s="22">
        <f t="shared" si="259"/>
        <v>0</v>
      </c>
      <c r="AR474" s="22">
        <f t="shared" si="260"/>
        <v>0</v>
      </c>
      <c r="AS474" s="121" t="str">
        <f t="shared" si="261"/>
        <v>Crops</v>
      </c>
      <c r="AT474" s="121" t="str">
        <f t="shared" si="278"/>
        <v xml:space="preserve"> </v>
      </c>
      <c r="AU474" s="121" t="str">
        <f t="shared" si="278"/>
        <v xml:space="preserve"> </v>
      </c>
      <c r="AV474" s="121" t="str">
        <f t="shared" si="278"/>
        <v xml:space="preserve"> </v>
      </c>
      <c r="AW474" s="130" t="str">
        <f t="shared" si="279"/>
        <v>100</v>
      </c>
      <c r="AX474" s="130" t="str">
        <f t="shared" si="279"/>
        <v xml:space="preserve"> </v>
      </c>
      <c r="AY474" s="130" t="str">
        <f t="shared" si="279"/>
        <v xml:space="preserve"> </v>
      </c>
      <c r="AZ474" s="130" t="str">
        <f t="shared" si="279"/>
        <v xml:space="preserve"> </v>
      </c>
      <c r="BA474" s="121">
        <f t="shared" si="262"/>
        <v>57369.768553150985</v>
      </c>
      <c r="BB474" s="121">
        <f t="shared" si="263"/>
        <v>0</v>
      </c>
      <c r="BC474" s="121">
        <f t="shared" si="264"/>
        <v>0</v>
      </c>
      <c r="BD474" s="121">
        <f t="shared" si="265"/>
        <v>0</v>
      </c>
      <c r="BE474" s="121">
        <f t="shared" si="266"/>
        <v>0</v>
      </c>
      <c r="BF474" s="121">
        <f t="shared" si="267"/>
        <v>0</v>
      </c>
      <c r="BG474" s="121">
        <f t="shared" si="268"/>
        <v>0</v>
      </c>
      <c r="BH474" s="121">
        <f t="shared" si="269"/>
        <v>0</v>
      </c>
      <c r="BI474" s="121">
        <f t="shared" si="270"/>
        <v>0</v>
      </c>
      <c r="BJ474" s="121">
        <f t="shared" si="271"/>
        <v>0</v>
      </c>
      <c r="BK474" s="121">
        <f t="shared" si="272"/>
        <v>0</v>
      </c>
      <c r="BL474" s="121">
        <f t="shared" si="273"/>
        <v>0</v>
      </c>
      <c r="BM474" s="121">
        <f t="shared" si="274"/>
        <v>0</v>
      </c>
      <c r="BN474" s="121">
        <f t="shared" si="275"/>
        <v>0</v>
      </c>
      <c r="BO474" s="121">
        <f t="shared" si="276"/>
        <v>0</v>
      </c>
      <c r="BP474" s="121">
        <f t="shared" si="277"/>
        <v>0</v>
      </c>
      <c r="BQ474" s="199">
        <f>INDEX('GDP deflators'!$C$6:$M$36,MATCH('Bottom-up tagging'!$D474,'GDP deflators'!$B$6:$B$36,),MATCH('Bottom-up tagging'!$E474,'GDP deflators'!$C$5:$L$5,))/100</f>
        <v>1.5094883975306472</v>
      </c>
      <c r="BR474" s="24">
        <v>86599</v>
      </c>
    </row>
    <row r="475" spans="2:70" ht="26.15" hidden="1" customHeight="1">
      <c r="B475" s="110" t="s">
        <v>2078</v>
      </c>
      <c r="C475" s="110" t="s">
        <v>2080</v>
      </c>
      <c r="D475" s="110" t="s">
        <v>6632</v>
      </c>
      <c r="E475" s="103">
        <v>2017</v>
      </c>
      <c r="F475" s="108" t="s">
        <v>6635</v>
      </c>
      <c r="G475" s="111" t="s">
        <v>184</v>
      </c>
      <c r="H475" s="110" t="s">
        <v>10451</v>
      </c>
      <c r="I475" s="112">
        <f>IF(Dashboard!$B$16="Current USD",'Bottom-up tagging'!BR475,'Bottom-up tagging'!BR475/'Bottom-up tagging'!BQ475)</f>
        <v>66512.189835282537</v>
      </c>
      <c r="J475" s="117" t="s">
        <v>10474</v>
      </c>
      <c r="K475" s="112"/>
      <c r="L475" s="135">
        <v>1</v>
      </c>
      <c r="M475" s="135">
        <v>1</v>
      </c>
      <c r="N475" s="112"/>
      <c r="O475" s="112"/>
      <c r="P475" s="112" t="str">
        <f>VLOOKUP(B475, 'Companies covered restructured'!$B$7:$K$470, 9, FALSE)</f>
        <v>Waste management</v>
      </c>
      <c r="Q475" s="112" t="str">
        <f>VLOOKUP(B475, 'Companies covered restructured'!$B$7:$K$470, 6, FALSE)</f>
        <v>#Crops(100)</v>
      </c>
      <c r="R475" s="112" t="str">
        <f t="shared" si="249"/>
        <v>N/A</v>
      </c>
      <c r="S475" s="112" t="s">
        <v>11003</v>
      </c>
      <c r="T475" s="112" t="s">
        <v>10465</v>
      </c>
      <c r="U475" s="103" t="s">
        <v>10970</v>
      </c>
      <c r="V475" s="112" t="str">
        <f>VLOOKUP(P475, 'Bottom-up Tagging Assumptions'!$B$12:$F$39, 5, FALSE)</f>
        <v>#Product Development(100)</v>
      </c>
      <c r="W475" s="112" t="str">
        <f>VLOOKUP(B475, 'Companies covered restructured'!$B$7:$K$470, 7, FALSE)</f>
        <v>#Field/Animal Herd(100)</v>
      </c>
      <c r="X475" s="112" t="s">
        <v>10558</v>
      </c>
      <c r="Y475" s="212" t="str">
        <f>VLOOKUP(P475, 'Bottom-up Tagging Assumptions'!$B$12:$C$56, 2, FALSE)</f>
        <v>#Environmental(P); #Other economic(S)</v>
      </c>
      <c r="Z475" s="112" t="str">
        <f>VLOOKUP(P475, 'Bottom-up Tagging Assumptions'!$B$12:$F$56, 3, FALSE)</f>
        <v>#Waste reduction(P)</v>
      </c>
      <c r="AA475" s="112" t="str">
        <f>VLOOKUP(P475, 'Bottom-up Tagging Assumptions'!$B$12:$F$56, 4, FALSE)</f>
        <v>#Level 2(100)</v>
      </c>
      <c r="AB475" s="110" t="s">
        <v>803</v>
      </c>
      <c r="AC475" s="110"/>
      <c r="AD475" s="110"/>
      <c r="AE475" s="110" t="s">
        <v>10558</v>
      </c>
      <c r="AF475" s="112">
        <v>1800000</v>
      </c>
      <c r="AG475" s="110" t="s">
        <v>2241</v>
      </c>
      <c r="AH475" s="121">
        <f t="shared" si="250"/>
        <v>1</v>
      </c>
      <c r="AI475" s="121">
        <f t="shared" si="251"/>
        <v>0</v>
      </c>
      <c r="AJ475" s="121">
        <f t="shared" si="252"/>
        <v>1</v>
      </c>
      <c r="AK475" s="121">
        <f t="shared" si="253"/>
        <v>0</v>
      </c>
      <c r="AL475" s="121">
        <f t="shared" si="254"/>
        <v>0</v>
      </c>
      <c r="AM475" s="121">
        <f t="shared" si="255"/>
        <v>0</v>
      </c>
      <c r="AN475" s="121">
        <f t="shared" si="256"/>
        <v>1</v>
      </c>
      <c r="AO475" s="121">
        <f t="shared" si="257"/>
        <v>0</v>
      </c>
      <c r="AP475" s="22">
        <f t="shared" si="258"/>
        <v>0</v>
      </c>
      <c r="AQ475" s="22">
        <f t="shared" si="259"/>
        <v>66512.189835282537</v>
      </c>
      <c r="AR475" s="22">
        <f t="shared" si="260"/>
        <v>0</v>
      </c>
      <c r="AS475" s="121" t="str">
        <f t="shared" si="261"/>
        <v>Crops</v>
      </c>
      <c r="AT475" s="121" t="str">
        <f t="shared" si="278"/>
        <v xml:space="preserve"> </v>
      </c>
      <c r="AU475" s="121" t="str">
        <f t="shared" si="278"/>
        <v xml:space="preserve"> </v>
      </c>
      <c r="AV475" s="121" t="str">
        <f t="shared" si="278"/>
        <v xml:space="preserve"> </v>
      </c>
      <c r="AW475" s="130" t="str">
        <f t="shared" si="279"/>
        <v>100</v>
      </c>
      <c r="AX475" s="130" t="str">
        <f t="shared" si="279"/>
        <v xml:space="preserve"> </v>
      </c>
      <c r="AY475" s="130" t="str">
        <f t="shared" si="279"/>
        <v xml:space="preserve"> </v>
      </c>
      <c r="AZ475" s="130" t="str">
        <f t="shared" si="279"/>
        <v xml:space="preserve"> </v>
      </c>
      <c r="BA475" s="121">
        <f t="shared" si="262"/>
        <v>66512.189835282537</v>
      </c>
      <c r="BB475" s="121">
        <f t="shared" si="263"/>
        <v>0</v>
      </c>
      <c r="BC475" s="121">
        <f t="shared" si="264"/>
        <v>0</v>
      </c>
      <c r="BD475" s="121">
        <f t="shared" si="265"/>
        <v>0</v>
      </c>
      <c r="BE475" s="121">
        <f t="shared" si="266"/>
        <v>0</v>
      </c>
      <c r="BF475" s="121">
        <f t="shared" si="267"/>
        <v>0</v>
      </c>
      <c r="BG475" s="121">
        <f t="shared" si="268"/>
        <v>0</v>
      </c>
      <c r="BH475" s="121">
        <f t="shared" si="269"/>
        <v>0</v>
      </c>
      <c r="BI475" s="121">
        <f t="shared" si="270"/>
        <v>66512.189835282537</v>
      </c>
      <c r="BJ475" s="121">
        <f t="shared" si="271"/>
        <v>66512.189835282537</v>
      </c>
      <c r="BK475" s="121">
        <f t="shared" si="272"/>
        <v>66512.189835282537</v>
      </c>
      <c r="BL475" s="121">
        <f t="shared" si="273"/>
        <v>66512.189835282537</v>
      </c>
      <c r="BM475" s="121">
        <f t="shared" si="274"/>
        <v>0</v>
      </c>
      <c r="BN475" s="121">
        <f t="shared" si="275"/>
        <v>0</v>
      </c>
      <c r="BO475" s="121">
        <f t="shared" si="276"/>
        <v>0</v>
      </c>
      <c r="BP475" s="121">
        <f t="shared" si="277"/>
        <v>0</v>
      </c>
      <c r="BQ475" s="199">
        <f>INDEX('GDP deflators'!$C$6:$M$36,MATCH('Bottom-up tagging'!$D475,'GDP deflators'!$B$6:$B$36,),MATCH('Bottom-up tagging'!$E475,'GDP deflators'!$C$5:$L$5,))/100</f>
        <v>1.3007089409362325</v>
      </c>
      <c r="BR475" s="24">
        <v>86513</v>
      </c>
    </row>
    <row r="476" spans="2:70" ht="26.15" hidden="1" customHeight="1">
      <c r="B476" s="110" t="s">
        <v>878</v>
      </c>
      <c r="C476" s="110" t="s">
        <v>883</v>
      </c>
      <c r="D476" s="110" t="s">
        <v>3994</v>
      </c>
      <c r="E476" s="103">
        <v>2016</v>
      </c>
      <c r="F476" s="108" t="s">
        <v>8198</v>
      </c>
      <c r="G476" s="111" t="s">
        <v>124</v>
      </c>
      <c r="H476" s="110" t="s">
        <v>10451</v>
      </c>
      <c r="I476" s="112">
        <f>IF(Dashboard!$B$16="Current USD",'Bottom-up tagging'!BR476,'Bottom-up tagging'!BR476/'Bottom-up tagging'!BQ476)</f>
        <v>60520.501749936717</v>
      </c>
      <c r="J476" s="118" t="s">
        <v>10474</v>
      </c>
      <c r="K476" s="112"/>
      <c r="L476" s="135">
        <v>1</v>
      </c>
      <c r="M476" s="135">
        <v>1</v>
      </c>
      <c r="N476" s="112"/>
      <c r="O476" s="112"/>
      <c r="P476" s="112" t="str">
        <f>VLOOKUP(B476, 'Companies covered restructured'!$B$7:$K$470, 9, FALSE)</f>
        <v>Agri marketplaces</v>
      </c>
      <c r="Q476" s="112" t="str">
        <f>VLOOKUP(B476, 'Companies covered restructured'!$B$7:$K$470, 6, FALSE)</f>
        <v>#Livestock(100)</v>
      </c>
      <c r="R476" s="112" t="str">
        <f t="shared" si="249"/>
        <v>#Angel Investor(100)</v>
      </c>
      <c r="S476" s="112" t="s">
        <v>11003</v>
      </c>
      <c r="T476" s="112" t="s">
        <v>10466</v>
      </c>
      <c r="U476" s="103" t="s">
        <v>10970</v>
      </c>
      <c r="V476" s="112" t="str">
        <f>VLOOKUP(P476, 'Bottom-up Tagging Assumptions'!$B$12:$F$39, 5, FALSE)</f>
        <v>#Process Innovation(100)</v>
      </c>
      <c r="W476" s="112" t="str">
        <f>VLOOKUP(B476, 'Companies covered restructured'!$B$7:$K$470, 7, FALSE)</f>
        <v>#Farm/Household(100)</v>
      </c>
      <c r="X476" s="112" t="str">
        <f>VLOOKUP(B476, 'Companies covered restructured'!$B$7:$K$470, 8, FALSE)</f>
        <v>N/A</v>
      </c>
      <c r="Y476" s="212" t="str">
        <f>VLOOKUP(P476, 'Bottom-up Tagging Assumptions'!$B$12:$C$56, 2, FALSE)</f>
        <v>#Other Economic(P); Social(S)</v>
      </c>
      <c r="Z476" s="112" t="str">
        <f>VLOOKUP(P476, 'Bottom-up Tagging Assumptions'!$B$12:$F$56, 3, FALSE)</f>
        <v>#Improve price realization(P)</v>
      </c>
      <c r="AA476" s="112" t="str">
        <f>VLOOKUP(P476, 'Bottom-up Tagging Assumptions'!$B$12:$F$56, 4, FALSE)</f>
        <v>#Level 4(100)</v>
      </c>
      <c r="AB476" s="110"/>
      <c r="AC476" s="110" t="s">
        <v>2278</v>
      </c>
      <c r="AD476" s="110" t="s">
        <v>2278</v>
      </c>
      <c r="AE476" s="110" t="str">
        <f>VLOOKUP(AD476,  '1.2'!$B$7:$C$2033, 2, FALSE)</f>
        <v>ANGEL</v>
      </c>
      <c r="AF476" s="112"/>
      <c r="AG476" s="110" t="s">
        <v>2813</v>
      </c>
      <c r="AH476" s="121">
        <f t="shared" si="250"/>
        <v>0</v>
      </c>
      <c r="AI476" s="121">
        <f t="shared" si="251"/>
        <v>0</v>
      </c>
      <c r="AJ476" s="121">
        <f t="shared" si="252"/>
        <v>1</v>
      </c>
      <c r="AK476" s="121">
        <f t="shared" si="253"/>
        <v>1</v>
      </c>
      <c r="AL476" s="121">
        <f t="shared" si="254"/>
        <v>0</v>
      </c>
      <c r="AM476" s="121">
        <f t="shared" si="255"/>
        <v>0</v>
      </c>
      <c r="AN476" s="121">
        <f t="shared" si="256"/>
        <v>1</v>
      </c>
      <c r="AO476" s="121">
        <f t="shared" si="257"/>
        <v>0</v>
      </c>
      <c r="AP476" s="22">
        <f t="shared" si="258"/>
        <v>0</v>
      </c>
      <c r="AQ476" s="22">
        <f t="shared" si="259"/>
        <v>60520.501749936717</v>
      </c>
      <c r="AR476" s="22">
        <f t="shared" si="260"/>
        <v>0</v>
      </c>
      <c r="AS476" s="121" t="str">
        <f t="shared" si="261"/>
        <v>Livestock</v>
      </c>
      <c r="AT476" s="121" t="str">
        <f t="shared" si="278"/>
        <v xml:space="preserve"> </v>
      </c>
      <c r="AU476" s="121" t="str">
        <f t="shared" si="278"/>
        <v xml:space="preserve"> </v>
      </c>
      <c r="AV476" s="121" t="str">
        <f t="shared" si="278"/>
        <v xml:space="preserve"> </v>
      </c>
      <c r="AW476" s="130" t="str">
        <f t="shared" si="279"/>
        <v>100</v>
      </c>
      <c r="AX476" s="130" t="str">
        <f t="shared" si="279"/>
        <v xml:space="preserve"> </v>
      </c>
      <c r="AY476" s="130" t="str">
        <f t="shared" si="279"/>
        <v xml:space="preserve"> </v>
      </c>
      <c r="AZ476" s="130" t="str">
        <f t="shared" si="279"/>
        <v xml:space="preserve"> </v>
      </c>
      <c r="BA476" s="121">
        <f t="shared" si="262"/>
        <v>60520.501749936717</v>
      </c>
      <c r="BB476" s="121">
        <f t="shared" si="263"/>
        <v>0</v>
      </c>
      <c r="BC476" s="121">
        <f t="shared" si="264"/>
        <v>0</v>
      </c>
      <c r="BD476" s="121">
        <f t="shared" si="265"/>
        <v>0</v>
      </c>
      <c r="BE476" s="121">
        <f t="shared" si="266"/>
        <v>0</v>
      </c>
      <c r="BF476" s="121">
        <f t="shared" si="267"/>
        <v>0</v>
      </c>
      <c r="BG476" s="121">
        <f t="shared" si="268"/>
        <v>0</v>
      </c>
      <c r="BH476" s="121">
        <f t="shared" si="269"/>
        <v>0</v>
      </c>
      <c r="BI476" s="121">
        <f t="shared" si="270"/>
        <v>60520.501749936717</v>
      </c>
      <c r="BJ476" s="121">
        <f t="shared" si="271"/>
        <v>60520.501749936717</v>
      </c>
      <c r="BK476" s="121">
        <f t="shared" si="272"/>
        <v>60520.501749936717</v>
      </c>
      <c r="BL476" s="121">
        <f t="shared" si="273"/>
        <v>60520.501749936717</v>
      </c>
      <c r="BM476" s="121">
        <f t="shared" si="274"/>
        <v>0</v>
      </c>
      <c r="BN476" s="121">
        <f t="shared" si="275"/>
        <v>0</v>
      </c>
      <c r="BO476" s="121">
        <f t="shared" si="276"/>
        <v>0</v>
      </c>
      <c r="BP476" s="121">
        <f t="shared" si="277"/>
        <v>0</v>
      </c>
      <c r="BQ476" s="199">
        <f>INDEX('GDP deflators'!$C$6:$M$36,MATCH('Bottom-up tagging'!$D476,'GDP deflators'!$B$6:$B$36,),MATCH('Bottom-up tagging'!$E476,'GDP deflators'!$C$5:$L$5,))/100</f>
        <v>1.3597375702538033</v>
      </c>
      <c r="BR476" s="24">
        <v>82292</v>
      </c>
    </row>
    <row r="477" spans="2:70" ht="26.15" hidden="1" customHeight="1">
      <c r="B477" s="110" t="s">
        <v>1256</v>
      </c>
      <c r="C477" s="110" t="s">
        <v>1259</v>
      </c>
      <c r="D477" s="110" t="s">
        <v>1258</v>
      </c>
      <c r="E477" s="103">
        <v>2019</v>
      </c>
      <c r="F477" s="108" t="s">
        <v>6261</v>
      </c>
      <c r="G477" s="111" t="s">
        <v>184</v>
      </c>
      <c r="H477" s="110" t="s">
        <v>10451</v>
      </c>
      <c r="I477" s="112">
        <f>IF(Dashboard!$B$16="Current USD",'Bottom-up tagging'!BR477,'Bottom-up tagging'!BR477/'Bottom-up tagging'!BQ477)</f>
        <v>58834.010875273656</v>
      </c>
      <c r="J477" s="118" t="s">
        <v>10474</v>
      </c>
      <c r="K477" s="112"/>
      <c r="L477" s="135">
        <v>1</v>
      </c>
      <c r="M477" s="135">
        <v>1</v>
      </c>
      <c r="N477" s="112"/>
      <c r="O477" s="112"/>
      <c r="P477" s="213" t="s">
        <v>10966</v>
      </c>
      <c r="Q477" s="112" t="str">
        <f>VLOOKUP(B477, 'Companies covered restructured'!$B$7:$K$470, 6, FALSE)</f>
        <v>#Crops(100)</v>
      </c>
      <c r="R477" s="112" t="str">
        <f t="shared" si="249"/>
        <v>N/A</v>
      </c>
      <c r="S477" s="112" t="s">
        <v>11003</v>
      </c>
      <c r="T477" s="112" t="s">
        <v>10465</v>
      </c>
      <c r="U477" s="103" t="s">
        <v>10970</v>
      </c>
      <c r="V477" s="112" t="str">
        <f>VLOOKUP(P477, 'Bottom-up Tagging Assumptions'!$B$12:$F$39, 5, FALSE)</f>
        <v>#Product Development(100)</v>
      </c>
      <c r="W477" s="112" t="str">
        <f>VLOOKUP(B477, 'Companies covered restructured'!$B$7:$K$470, 7, FALSE)</f>
        <v>#Farm/Household(100)</v>
      </c>
      <c r="X477" s="112" t="s">
        <v>10558</v>
      </c>
      <c r="Y477" s="212" t="str">
        <f>VLOOKUP(P477, 'Bottom-up Tagging Assumptions'!$B$12:$C$56, 2, FALSE)</f>
        <v>#Other Economic(P); Environmental(S)</v>
      </c>
      <c r="Z477" s="112" t="str">
        <f>VLOOKUP(P477, 'Bottom-up Tagging Assumptions'!$B$12:$F$56, 3, FALSE)</f>
        <v>#Increase output per unit input(P)</v>
      </c>
      <c r="AA477" s="112" t="str">
        <f>VLOOKUP(P477, 'Bottom-up Tagging Assumptions'!$B$12:$F$56, 4, FALSE)</f>
        <v>#Level 1(100)</v>
      </c>
      <c r="AB477" s="110" t="s">
        <v>1020</v>
      </c>
      <c r="AC477" s="110"/>
      <c r="AD477" s="110"/>
      <c r="AE477" s="110" t="s">
        <v>10558</v>
      </c>
      <c r="AF477" s="112"/>
      <c r="AG477" s="110" t="s">
        <v>2817</v>
      </c>
      <c r="AH477" s="121">
        <f t="shared" si="250"/>
        <v>1</v>
      </c>
      <c r="AI477" s="121">
        <f t="shared" si="251"/>
        <v>0</v>
      </c>
      <c r="AJ477" s="121">
        <f t="shared" si="252"/>
        <v>1</v>
      </c>
      <c r="AK477" s="121">
        <f t="shared" si="253"/>
        <v>0</v>
      </c>
      <c r="AL477" s="121">
        <f t="shared" si="254"/>
        <v>0</v>
      </c>
      <c r="AM477" s="121">
        <f t="shared" si="255"/>
        <v>0</v>
      </c>
      <c r="AN477" s="121">
        <f t="shared" si="256"/>
        <v>1</v>
      </c>
      <c r="AO477" s="121">
        <f t="shared" si="257"/>
        <v>0</v>
      </c>
      <c r="AP477" s="22">
        <f t="shared" si="258"/>
        <v>0</v>
      </c>
      <c r="AQ477" s="22">
        <f t="shared" si="259"/>
        <v>58834.010875273656</v>
      </c>
      <c r="AR477" s="22">
        <f t="shared" si="260"/>
        <v>0</v>
      </c>
      <c r="AS477" s="121" t="str">
        <f t="shared" si="261"/>
        <v>Crops</v>
      </c>
      <c r="AT477" s="121" t="str">
        <f t="shared" si="278"/>
        <v xml:space="preserve"> </v>
      </c>
      <c r="AU477" s="121" t="str">
        <f t="shared" si="278"/>
        <v xml:space="preserve"> </v>
      </c>
      <c r="AV477" s="121" t="str">
        <f t="shared" si="278"/>
        <v xml:space="preserve"> </v>
      </c>
      <c r="AW477" s="130" t="str">
        <f t="shared" si="279"/>
        <v>100</v>
      </c>
      <c r="AX477" s="130" t="str">
        <f t="shared" si="279"/>
        <v xml:space="preserve"> </v>
      </c>
      <c r="AY477" s="130" t="str">
        <f t="shared" si="279"/>
        <v xml:space="preserve"> </v>
      </c>
      <c r="AZ477" s="130" t="str">
        <f t="shared" si="279"/>
        <v xml:space="preserve"> </v>
      </c>
      <c r="BA477" s="121">
        <f t="shared" si="262"/>
        <v>58834.010875273656</v>
      </c>
      <c r="BB477" s="121">
        <f t="shared" si="263"/>
        <v>0</v>
      </c>
      <c r="BC477" s="121">
        <f t="shared" si="264"/>
        <v>0</v>
      </c>
      <c r="BD477" s="121">
        <f t="shared" si="265"/>
        <v>0</v>
      </c>
      <c r="BE477" s="121">
        <f t="shared" si="266"/>
        <v>0</v>
      </c>
      <c r="BF477" s="121">
        <f t="shared" si="267"/>
        <v>0</v>
      </c>
      <c r="BG477" s="121">
        <f t="shared" si="268"/>
        <v>0</v>
      </c>
      <c r="BH477" s="121">
        <f t="shared" si="269"/>
        <v>0</v>
      </c>
      <c r="BI477" s="121">
        <f t="shared" si="270"/>
        <v>58834.010875273656</v>
      </c>
      <c r="BJ477" s="121">
        <f t="shared" si="271"/>
        <v>58834.010875273656</v>
      </c>
      <c r="BK477" s="121">
        <f t="shared" si="272"/>
        <v>58834.010875273656</v>
      </c>
      <c r="BL477" s="121">
        <f t="shared" si="273"/>
        <v>58834.010875273656</v>
      </c>
      <c r="BM477" s="121">
        <f t="shared" si="274"/>
        <v>0</v>
      </c>
      <c r="BN477" s="121">
        <f t="shared" si="275"/>
        <v>0</v>
      </c>
      <c r="BO477" s="121">
        <f t="shared" si="276"/>
        <v>0</v>
      </c>
      <c r="BP477" s="121">
        <f t="shared" si="277"/>
        <v>0</v>
      </c>
      <c r="BQ477" s="199">
        <f>INDEX('GDP deflators'!$C$6:$M$36,MATCH('Bottom-up tagging'!$D477,'GDP deflators'!$B$6:$B$36,),MATCH('Bottom-up tagging'!$E477,'GDP deflators'!$C$5:$L$5,))/100</f>
        <v>1.3597577117357782</v>
      </c>
      <c r="BR477" s="24">
        <v>80000</v>
      </c>
    </row>
    <row r="478" spans="2:70" ht="26.15" hidden="1" customHeight="1">
      <c r="B478" s="110" t="s">
        <v>458</v>
      </c>
      <c r="C478" s="110" t="s">
        <v>463</v>
      </c>
      <c r="D478" s="110" t="s">
        <v>3994</v>
      </c>
      <c r="E478" s="103">
        <v>2015</v>
      </c>
      <c r="F478" s="108" t="s">
        <v>8465</v>
      </c>
      <c r="G478" s="111" t="s">
        <v>34</v>
      </c>
      <c r="H478" s="110" t="s">
        <v>10451</v>
      </c>
      <c r="I478" s="112">
        <f>IF(Dashboard!$B$16="Current USD",'Bottom-up tagging'!BR478,'Bottom-up tagging'!BR478/'Bottom-up tagging'!BQ478)</f>
        <v>59869.081878566831</v>
      </c>
      <c r="J478" s="118" t="s">
        <v>10474</v>
      </c>
      <c r="K478" s="112"/>
      <c r="L478" s="135">
        <v>1</v>
      </c>
      <c r="M478" s="135">
        <v>1</v>
      </c>
      <c r="N478" s="112"/>
      <c r="O478" s="112"/>
      <c r="P478" s="112" t="str">
        <f>VLOOKUP(B478, 'Companies covered restructured'!$B$7:$K$470, 9, FALSE)</f>
        <v>Farmer engagement platforms (including marketplaces and information platforms)</v>
      </c>
      <c r="Q478" s="112" t="str">
        <f>VLOOKUP(B478, 'Companies covered restructured'!$B$7:$K$470, 6, FALSE)</f>
        <v>#Crops(100)</v>
      </c>
      <c r="R478" s="112" t="str">
        <f t="shared" si="249"/>
        <v>N/A</v>
      </c>
      <c r="S478" s="112" t="s">
        <v>11003</v>
      </c>
      <c r="T478" s="112" t="s">
        <v>10466</v>
      </c>
      <c r="U478" s="103" t="s">
        <v>10970</v>
      </c>
      <c r="V478" s="112" t="str">
        <f>VLOOKUP(P478, 'Bottom-up Tagging Assumptions'!$B$12:$F$39, 5, FALSE)</f>
        <v>#Process Innovation(100)</v>
      </c>
      <c r="W478" s="112" t="str">
        <f>VLOOKUP(B478, 'Companies covered restructured'!$B$7:$K$470, 7, FALSE)</f>
        <v>#Field/Animal Herd(100)</v>
      </c>
      <c r="X478" s="112" t="s">
        <v>10558</v>
      </c>
      <c r="Y478" s="212" t="str">
        <f>VLOOKUP(P478, 'Bottom-up Tagging Assumptions'!$B$12:$C$56, 2, FALSE)</f>
        <v>#Other Economic(P); #Productivity(S)</v>
      </c>
      <c r="Z478" s="112" t="str">
        <f>VLOOKUP(P478, 'Bottom-up Tagging Assumptions'!$B$12:$F$56, 3, FALSE)</f>
        <v>#Improve price realization(P); #Increasing crop or animal yield(S)</v>
      </c>
      <c r="AA478" s="112" t="str">
        <f>VLOOKUP(P478, 'Bottom-up Tagging Assumptions'!$B$12:$F$56, 4, FALSE)</f>
        <v>#Level 4(100)</v>
      </c>
      <c r="AB478" s="110"/>
      <c r="AC478" s="110"/>
      <c r="AD478" s="110"/>
      <c r="AE478" s="110" t="s">
        <v>10558</v>
      </c>
      <c r="AF478" s="112">
        <v>5080000</v>
      </c>
      <c r="AG478" s="110" t="s">
        <v>2437</v>
      </c>
      <c r="AH478" s="121">
        <f t="shared" si="250"/>
        <v>0</v>
      </c>
      <c r="AI478" s="121">
        <f t="shared" si="251"/>
        <v>1</v>
      </c>
      <c r="AJ478" s="121">
        <f t="shared" si="252"/>
        <v>1</v>
      </c>
      <c r="AK478" s="121">
        <f t="shared" si="253"/>
        <v>0</v>
      </c>
      <c r="AL478" s="121">
        <f t="shared" si="254"/>
        <v>0</v>
      </c>
      <c r="AM478" s="121">
        <f t="shared" si="255"/>
        <v>0</v>
      </c>
      <c r="AN478" s="121">
        <f t="shared" si="256"/>
        <v>0</v>
      </c>
      <c r="AO478" s="121">
        <f t="shared" si="257"/>
        <v>0</v>
      </c>
      <c r="AP478" s="22">
        <f t="shared" si="258"/>
        <v>0</v>
      </c>
      <c r="AQ478" s="22">
        <f t="shared" si="259"/>
        <v>0</v>
      </c>
      <c r="AR478" s="22">
        <f t="shared" si="260"/>
        <v>0</v>
      </c>
      <c r="AS478" s="121" t="str">
        <f t="shared" si="261"/>
        <v>Crops</v>
      </c>
      <c r="AT478" s="121" t="str">
        <f t="shared" si="278"/>
        <v xml:space="preserve"> </v>
      </c>
      <c r="AU478" s="121" t="str">
        <f t="shared" si="278"/>
        <v xml:space="preserve"> </v>
      </c>
      <c r="AV478" s="121" t="str">
        <f t="shared" si="278"/>
        <v xml:space="preserve"> </v>
      </c>
      <c r="AW478" s="130" t="str">
        <f t="shared" si="279"/>
        <v>100</v>
      </c>
      <c r="AX478" s="130" t="str">
        <f t="shared" si="279"/>
        <v xml:space="preserve"> </v>
      </c>
      <c r="AY478" s="130" t="str">
        <f t="shared" si="279"/>
        <v xml:space="preserve"> </v>
      </c>
      <c r="AZ478" s="130" t="str">
        <f t="shared" si="279"/>
        <v xml:space="preserve"> </v>
      </c>
      <c r="BA478" s="121">
        <f t="shared" si="262"/>
        <v>59869.081878566838</v>
      </c>
      <c r="BB478" s="121">
        <f t="shared" si="263"/>
        <v>0</v>
      </c>
      <c r="BC478" s="121">
        <f t="shared" si="264"/>
        <v>0</v>
      </c>
      <c r="BD478" s="121">
        <f t="shared" si="265"/>
        <v>0</v>
      </c>
      <c r="BE478" s="121">
        <f t="shared" si="266"/>
        <v>0</v>
      </c>
      <c r="BF478" s="121">
        <f t="shared" si="267"/>
        <v>0</v>
      </c>
      <c r="BG478" s="121">
        <f t="shared" si="268"/>
        <v>0</v>
      </c>
      <c r="BH478" s="121">
        <f t="shared" si="269"/>
        <v>0</v>
      </c>
      <c r="BI478" s="121">
        <f t="shared" si="270"/>
        <v>0</v>
      </c>
      <c r="BJ478" s="121">
        <f t="shared" si="271"/>
        <v>0</v>
      </c>
      <c r="BK478" s="121">
        <f t="shared" si="272"/>
        <v>0</v>
      </c>
      <c r="BL478" s="121">
        <f t="shared" si="273"/>
        <v>0</v>
      </c>
      <c r="BM478" s="121">
        <f t="shared" si="274"/>
        <v>0</v>
      </c>
      <c r="BN478" s="121">
        <f t="shared" si="275"/>
        <v>0</v>
      </c>
      <c r="BO478" s="121">
        <f t="shared" si="276"/>
        <v>0</v>
      </c>
      <c r="BP478" s="121">
        <f t="shared" si="277"/>
        <v>0</v>
      </c>
      <c r="BQ478" s="199">
        <f>INDEX('GDP deflators'!$C$6:$M$36,MATCH('Bottom-up tagging'!$D478,'GDP deflators'!$B$6:$B$36,),MATCH('Bottom-up tagging'!$E478,'GDP deflators'!$C$5:$L$5,))/100</f>
        <v>1.3170905169372478</v>
      </c>
      <c r="BR478" s="24">
        <v>78853</v>
      </c>
    </row>
    <row r="479" spans="2:70" ht="26.15" hidden="1" customHeight="1">
      <c r="B479" s="110" t="s">
        <v>217</v>
      </c>
      <c r="C479" s="110" t="s">
        <v>221</v>
      </c>
      <c r="D479" s="110" t="s">
        <v>3994</v>
      </c>
      <c r="E479" s="103">
        <v>2017</v>
      </c>
      <c r="F479" s="108" t="s">
        <v>8133</v>
      </c>
      <c r="G479" s="111" t="s">
        <v>302</v>
      </c>
      <c r="H479" s="110" t="s">
        <v>10451</v>
      </c>
      <c r="I479" s="112">
        <f>IF(Dashboard!$B$16="Current USD",'Bottom-up tagging'!BR479,'Bottom-up tagging'!BR479/'Bottom-up tagging'!BQ479)</f>
        <v>55000.680895667596</v>
      </c>
      <c r="J479" s="117" t="s">
        <v>10474</v>
      </c>
      <c r="K479" s="112"/>
      <c r="L479" s="135">
        <v>1</v>
      </c>
      <c r="M479" s="135">
        <v>1</v>
      </c>
      <c r="N479" s="112"/>
      <c r="O479" s="112"/>
      <c r="P479" s="112" t="str">
        <f>VLOOKUP(B479, 'Companies covered restructured'!$B$7:$K$470, 9, FALSE)</f>
        <v>Agri input e-commerce platforms</v>
      </c>
      <c r="Q479" s="112" t="str">
        <f>VLOOKUP(B479, 'Companies covered restructured'!$B$7:$K$470, 6, FALSE)</f>
        <v>#Crops(100)</v>
      </c>
      <c r="R479" s="112" t="str">
        <f t="shared" si="249"/>
        <v>N/A</v>
      </c>
      <c r="S479" s="112" t="s">
        <v>11003</v>
      </c>
      <c r="T479" s="112" t="s">
        <v>10464</v>
      </c>
      <c r="U479" s="103" t="s">
        <v>10970</v>
      </c>
      <c r="V479" s="112" t="str">
        <f>VLOOKUP(P479, 'Bottom-up Tagging Assumptions'!$B$12:$F$39, 5, FALSE)</f>
        <v>#Process Innovation(100)</v>
      </c>
      <c r="W479" s="112" t="str">
        <f>VLOOKUP(B479, 'Companies covered restructured'!$B$7:$K$470, 7, FALSE)</f>
        <v>#Landscape(100)</v>
      </c>
      <c r="X479" s="112" t="str">
        <f>VLOOKUP(B479, 'Companies covered restructured'!$B$7:$K$470, 8, FALSE)</f>
        <v>N/A</v>
      </c>
      <c r="Y479" s="212" t="str">
        <f>VLOOKUP(P479, 'Bottom-up Tagging Assumptions'!$B$12:$C$56, 2, FALSE)</f>
        <v>#Other Economic(P); Productivity(S)</v>
      </c>
      <c r="Z479" s="112" t="str">
        <f>VLOOKUP(P479, 'Bottom-up Tagging Assumptions'!$B$12:$F$56, 3, FALSE)</f>
        <v>#Reduce cost of inputs(P)</v>
      </c>
      <c r="AA479" s="112" t="str">
        <f>VLOOKUP(P479, 'Bottom-up Tagging Assumptions'!$B$12:$F$56, 4, FALSE)</f>
        <v>#Level 1(100)</v>
      </c>
      <c r="AB479" s="110" t="s">
        <v>1466</v>
      </c>
      <c r="AC479" s="110"/>
      <c r="AD479" s="110"/>
      <c r="AE479" s="110" t="s">
        <v>10558</v>
      </c>
      <c r="AF479" s="112">
        <v>212000</v>
      </c>
      <c r="AG479" s="110" t="s">
        <v>2115</v>
      </c>
      <c r="AH479" s="121">
        <f t="shared" si="250"/>
        <v>0</v>
      </c>
      <c r="AI479" s="121">
        <f t="shared" si="251"/>
        <v>1</v>
      </c>
      <c r="AJ479" s="121">
        <f t="shared" si="252"/>
        <v>1</v>
      </c>
      <c r="AK479" s="121">
        <f t="shared" si="253"/>
        <v>0</v>
      </c>
      <c r="AL479" s="121">
        <f t="shared" si="254"/>
        <v>0</v>
      </c>
      <c r="AM479" s="121">
        <f t="shared" si="255"/>
        <v>0</v>
      </c>
      <c r="AN479" s="121">
        <f t="shared" si="256"/>
        <v>0</v>
      </c>
      <c r="AO479" s="121">
        <f t="shared" si="257"/>
        <v>0</v>
      </c>
      <c r="AP479" s="22">
        <f t="shared" si="258"/>
        <v>0</v>
      </c>
      <c r="AQ479" s="22">
        <f t="shared" si="259"/>
        <v>0</v>
      </c>
      <c r="AR479" s="22">
        <f t="shared" si="260"/>
        <v>0</v>
      </c>
      <c r="AS479" s="121" t="str">
        <f t="shared" si="261"/>
        <v>Crops</v>
      </c>
      <c r="AT479" s="121" t="str">
        <f t="shared" si="278"/>
        <v xml:space="preserve"> </v>
      </c>
      <c r="AU479" s="121" t="str">
        <f t="shared" si="278"/>
        <v xml:space="preserve"> </v>
      </c>
      <c r="AV479" s="121" t="str">
        <f t="shared" si="278"/>
        <v xml:space="preserve"> </v>
      </c>
      <c r="AW479" s="130" t="str">
        <f t="shared" si="279"/>
        <v>100</v>
      </c>
      <c r="AX479" s="130" t="str">
        <f t="shared" si="279"/>
        <v xml:space="preserve"> </v>
      </c>
      <c r="AY479" s="130" t="str">
        <f t="shared" si="279"/>
        <v xml:space="preserve"> </v>
      </c>
      <c r="AZ479" s="130" t="str">
        <f t="shared" si="279"/>
        <v xml:space="preserve"> </v>
      </c>
      <c r="BA479" s="121">
        <f t="shared" si="262"/>
        <v>55000.680895667596</v>
      </c>
      <c r="BB479" s="121">
        <f t="shared" si="263"/>
        <v>0</v>
      </c>
      <c r="BC479" s="121">
        <f t="shared" si="264"/>
        <v>0</v>
      </c>
      <c r="BD479" s="121">
        <f t="shared" si="265"/>
        <v>0</v>
      </c>
      <c r="BE479" s="121">
        <f t="shared" si="266"/>
        <v>0</v>
      </c>
      <c r="BF479" s="121">
        <f t="shared" si="267"/>
        <v>0</v>
      </c>
      <c r="BG479" s="121">
        <f t="shared" si="268"/>
        <v>0</v>
      </c>
      <c r="BH479" s="121">
        <f t="shared" si="269"/>
        <v>0</v>
      </c>
      <c r="BI479" s="121">
        <f t="shared" si="270"/>
        <v>0</v>
      </c>
      <c r="BJ479" s="121">
        <f t="shared" si="271"/>
        <v>0</v>
      </c>
      <c r="BK479" s="121">
        <f t="shared" si="272"/>
        <v>0</v>
      </c>
      <c r="BL479" s="121">
        <f t="shared" si="273"/>
        <v>0</v>
      </c>
      <c r="BM479" s="121">
        <f t="shared" si="274"/>
        <v>0</v>
      </c>
      <c r="BN479" s="121">
        <f t="shared" si="275"/>
        <v>0</v>
      </c>
      <c r="BO479" s="121">
        <f t="shared" si="276"/>
        <v>0</v>
      </c>
      <c r="BP479" s="121">
        <f t="shared" si="277"/>
        <v>0</v>
      </c>
      <c r="BQ479" s="199">
        <f>INDEX('GDP deflators'!$C$6:$M$36,MATCH('Bottom-up tagging'!$D479,'GDP deflators'!$B$6:$B$36,),MATCH('Bottom-up tagging'!$E479,'GDP deflators'!$C$5:$L$5,))/100</f>
        <v>1.4111098032990623</v>
      </c>
      <c r="BR479" s="24">
        <v>77612</v>
      </c>
    </row>
    <row r="480" spans="2:70" ht="26.15" hidden="1" customHeight="1">
      <c r="B480" s="110" t="s">
        <v>1448</v>
      </c>
      <c r="C480" s="110" t="s">
        <v>1451</v>
      </c>
      <c r="D480" s="110" t="s">
        <v>3994</v>
      </c>
      <c r="E480" s="103">
        <v>2017</v>
      </c>
      <c r="F480" s="108" t="s">
        <v>7316</v>
      </c>
      <c r="G480" s="111" t="s">
        <v>124</v>
      </c>
      <c r="H480" s="110" t="s">
        <v>10451</v>
      </c>
      <c r="I480" s="112">
        <f>IF(Dashboard!$B$16="Current USD",'Bottom-up tagging'!BR480,'Bottom-up tagging'!BR480/'Bottom-up tagging'!BQ480)</f>
        <v>54783.830300990558</v>
      </c>
      <c r="J480" s="105" t="s">
        <v>10474</v>
      </c>
      <c r="K480" s="112"/>
      <c r="L480" s="135">
        <v>1</v>
      </c>
      <c r="M480" s="135">
        <v>1</v>
      </c>
      <c r="N480" s="112"/>
      <c r="O480" s="112"/>
      <c r="P480" s="112" t="str">
        <f>VLOOKUP(B480, 'Companies covered restructured'!$B$7:$K$470, 9, FALSE)</f>
        <v>Agri marketplaces</v>
      </c>
      <c r="Q480" s="112" t="str">
        <f>VLOOKUP(B480, 'Companies covered restructured'!$B$7:$K$470, 6, FALSE)</f>
        <v>#Crops(100)</v>
      </c>
      <c r="R480" s="112" t="str">
        <f t="shared" si="249"/>
        <v>#Angel Investor(100)</v>
      </c>
      <c r="S480" s="112" t="s">
        <v>11003</v>
      </c>
      <c r="T480" s="112" t="s">
        <v>10466</v>
      </c>
      <c r="U480" s="103" t="s">
        <v>10970</v>
      </c>
      <c r="V480" s="112" t="str">
        <f>VLOOKUP(P480, 'Bottom-up Tagging Assumptions'!$B$12:$F$39, 5, FALSE)</f>
        <v>#Process Innovation(100)</v>
      </c>
      <c r="W480" s="112" t="str">
        <f>VLOOKUP(B480, 'Companies covered restructured'!$B$7:$K$470, 7, FALSE)</f>
        <v>#Farm/Household(100)</v>
      </c>
      <c r="X480" s="112" t="s">
        <v>10558</v>
      </c>
      <c r="Y480" s="212" t="str">
        <f>VLOOKUP(P480, 'Bottom-up Tagging Assumptions'!$B$12:$C$56, 2, FALSE)</f>
        <v>#Other Economic(P); Social(S)</v>
      </c>
      <c r="Z480" s="112" t="str">
        <f>VLOOKUP(P480, 'Bottom-up Tagging Assumptions'!$B$12:$F$56, 3, FALSE)</f>
        <v>#Improve price realization(P)</v>
      </c>
      <c r="AA480" s="112" t="str">
        <f>VLOOKUP(P480, 'Bottom-up Tagging Assumptions'!$B$12:$F$56, 4, FALSE)</f>
        <v>#Level 4(100)</v>
      </c>
      <c r="AB480" s="110"/>
      <c r="AC480" s="110" t="s">
        <v>1925</v>
      </c>
      <c r="AD480" s="110" t="s">
        <v>1925</v>
      </c>
      <c r="AE480" s="110" t="str">
        <f>VLOOKUP(AD480,  '1.2'!$B$7:$C$2033, 2, FALSE)</f>
        <v>ANGEL</v>
      </c>
      <c r="AF480" s="112">
        <v>1731230</v>
      </c>
      <c r="AG480" s="110" t="s">
        <v>2826</v>
      </c>
      <c r="AH480" s="121">
        <f t="shared" si="250"/>
        <v>0</v>
      </c>
      <c r="AI480" s="121">
        <f t="shared" si="251"/>
        <v>0</v>
      </c>
      <c r="AJ480" s="121">
        <f t="shared" si="252"/>
        <v>1</v>
      </c>
      <c r="AK480" s="121">
        <f t="shared" si="253"/>
        <v>1</v>
      </c>
      <c r="AL480" s="121">
        <f t="shared" si="254"/>
        <v>0</v>
      </c>
      <c r="AM480" s="121">
        <f t="shared" si="255"/>
        <v>0</v>
      </c>
      <c r="AN480" s="121">
        <f t="shared" si="256"/>
        <v>1</v>
      </c>
      <c r="AO480" s="121">
        <f t="shared" si="257"/>
        <v>0</v>
      </c>
      <c r="AP480" s="22">
        <f t="shared" si="258"/>
        <v>0</v>
      </c>
      <c r="AQ480" s="22">
        <f t="shared" si="259"/>
        <v>54783.830300990558</v>
      </c>
      <c r="AR480" s="22">
        <f t="shared" si="260"/>
        <v>0</v>
      </c>
      <c r="AS480" s="121" t="str">
        <f t="shared" si="261"/>
        <v>Crops</v>
      </c>
      <c r="AT480" s="121" t="str">
        <f t="shared" si="278"/>
        <v xml:space="preserve"> </v>
      </c>
      <c r="AU480" s="121" t="str">
        <f t="shared" si="278"/>
        <v xml:space="preserve"> </v>
      </c>
      <c r="AV480" s="121" t="str">
        <f t="shared" si="278"/>
        <v xml:space="preserve"> </v>
      </c>
      <c r="AW480" s="130" t="str">
        <f t="shared" si="279"/>
        <v>100</v>
      </c>
      <c r="AX480" s="130" t="str">
        <f t="shared" si="279"/>
        <v xml:space="preserve"> </v>
      </c>
      <c r="AY480" s="130" t="str">
        <f t="shared" si="279"/>
        <v xml:space="preserve"> </v>
      </c>
      <c r="AZ480" s="130" t="str">
        <f t="shared" si="279"/>
        <v xml:space="preserve"> </v>
      </c>
      <c r="BA480" s="121">
        <f t="shared" si="262"/>
        <v>54783.830300990558</v>
      </c>
      <c r="BB480" s="121">
        <f t="shared" si="263"/>
        <v>0</v>
      </c>
      <c r="BC480" s="121">
        <f t="shared" si="264"/>
        <v>0</v>
      </c>
      <c r="BD480" s="121">
        <f t="shared" si="265"/>
        <v>0</v>
      </c>
      <c r="BE480" s="121">
        <f t="shared" si="266"/>
        <v>0</v>
      </c>
      <c r="BF480" s="121">
        <f t="shared" si="267"/>
        <v>0</v>
      </c>
      <c r="BG480" s="121">
        <f t="shared" si="268"/>
        <v>0</v>
      </c>
      <c r="BH480" s="121">
        <f t="shared" si="269"/>
        <v>0</v>
      </c>
      <c r="BI480" s="121">
        <f t="shared" si="270"/>
        <v>54783.830300990558</v>
      </c>
      <c r="BJ480" s="121">
        <f t="shared" si="271"/>
        <v>54783.830300990558</v>
      </c>
      <c r="BK480" s="121">
        <f t="shared" si="272"/>
        <v>54783.830300990558</v>
      </c>
      <c r="BL480" s="121">
        <f t="shared" si="273"/>
        <v>54783.830300990558</v>
      </c>
      <c r="BM480" s="121">
        <f t="shared" si="274"/>
        <v>0</v>
      </c>
      <c r="BN480" s="121">
        <f t="shared" si="275"/>
        <v>0</v>
      </c>
      <c r="BO480" s="121">
        <f t="shared" si="276"/>
        <v>0</v>
      </c>
      <c r="BP480" s="121">
        <f t="shared" si="277"/>
        <v>0</v>
      </c>
      <c r="BQ480" s="199">
        <f>INDEX('GDP deflators'!$C$6:$M$36,MATCH('Bottom-up tagging'!$D480,'GDP deflators'!$B$6:$B$36,),MATCH('Bottom-up tagging'!$E480,'GDP deflators'!$C$5:$L$5,))/100</f>
        <v>1.4111098032990623</v>
      </c>
      <c r="BR480" s="24">
        <v>77306</v>
      </c>
    </row>
    <row r="481" spans="2:70" ht="26.15" hidden="1" customHeight="1">
      <c r="B481" s="110" t="s">
        <v>1392</v>
      </c>
      <c r="C481" s="110" t="s">
        <v>1397</v>
      </c>
      <c r="D481" s="110" t="s">
        <v>5333</v>
      </c>
      <c r="E481" s="103">
        <v>2018</v>
      </c>
      <c r="F481" s="108" t="s">
        <v>6890</v>
      </c>
      <c r="G481" s="111" t="s">
        <v>34</v>
      </c>
      <c r="H481" s="110" t="s">
        <v>10451</v>
      </c>
      <c r="I481" s="112">
        <f>IF(Dashboard!$B$16="Current USD",'Bottom-up tagging'!BR481,'Bottom-up tagging'!BR481/'Bottom-up tagging'!BQ481)</f>
        <v>9001.2335228310949</v>
      </c>
      <c r="J481" s="117" t="s">
        <v>10474</v>
      </c>
      <c r="K481" s="112"/>
      <c r="L481" s="135">
        <v>1</v>
      </c>
      <c r="M481" s="135">
        <v>1</v>
      </c>
      <c r="N481" s="112"/>
      <c r="O481" s="112"/>
      <c r="P481" s="112" t="str">
        <f>VLOOKUP(B481, 'Companies covered restructured'!$B$7:$K$470, 9, FALSE)</f>
        <v>Farmer financing services</v>
      </c>
      <c r="Q481" s="112" t="str">
        <f>VLOOKUP(B481, 'Companies covered restructured'!$B$7:$K$470, 6, FALSE)</f>
        <v>#Cross-cutting(100)</v>
      </c>
      <c r="R481" s="112" t="str">
        <f t="shared" si="249"/>
        <v>#Investment Fund(100)</v>
      </c>
      <c r="S481" s="112" t="s">
        <v>11003</v>
      </c>
      <c r="T481" s="112" t="s">
        <v>10466</v>
      </c>
      <c r="U481" s="103" t="s">
        <v>10970</v>
      </c>
      <c r="V481" s="112" t="str">
        <f>VLOOKUP(P481, 'Bottom-up Tagging Assumptions'!$B$12:$F$39, 5, FALSE)</f>
        <v>#Process Innovation(100)</v>
      </c>
      <c r="W481" s="112" t="str">
        <f>VLOOKUP(B481, 'Companies covered restructured'!$B$7:$K$470, 7, FALSE)</f>
        <v>#Field/Animal Herd(100)</v>
      </c>
      <c r="X481" s="112" t="s">
        <v>10558</v>
      </c>
      <c r="Y481" s="212" t="str">
        <f>VLOOKUP(P481, 'Bottom-up Tagging Assumptions'!$B$12:$C$56, 2, FALSE)</f>
        <v>#Other Economic(P); Social(S)</v>
      </c>
      <c r="Z481" s="112" t="str">
        <f>VLOOKUP(P481, 'Bottom-up Tagging Assumptions'!$B$12:$F$56, 3, FALSE)</f>
        <v>NA</v>
      </c>
      <c r="AA481" s="112" t="str">
        <f>VLOOKUP(P481, 'Bottom-up Tagging Assumptions'!$B$12:$F$56, 4, FALSE)</f>
        <v>#Level 1(100)</v>
      </c>
      <c r="AB481" s="110" t="s">
        <v>1394</v>
      </c>
      <c r="AC481" s="110"/>
      <c r="AD481" s="110" t="s">
        <v>1395</v>
      </c>
      <c r="AE481" s="110" t="str">
        <f>VLOOKUP(AD481,  '1.2'!$B$7:$C$2033, 2, FALSE)</f>
        <v>FUND</v>
      </c>
      <c r="AF481" s="112"/>
      <c r="AG481" s="110" t="s">
        <v>2831</v>
      </c>
      <c r="AH481" s="121">
        <f t="shared" si="250"/>
        <v>0</v>
      </c>
      <c r="AI481" s="121">
        <f t="shared" si="251"/>
        <v>0</v>
      </c>
      <c r="AJ481" s="121">
        <f t="shared" si="252"/>
        <v>1</v>
      </c>
      <c r="AK481" s="121">
        <f t="shared" si="253"/>
        <v>1</v>
      </c>
      <c r="AL481" s="121">
        <f t="shared" si="254"/>
        <v>0</v>
      </c>
      <c r="AM481" s="121">
        <f t="shared" si="255"/>
        <v>0</v>
      </c>
      <c r="AN481" s="121">
        <f t="shared" si="256"/>
        <v>1</v>
      </c>
      <c r="AO481" s="121">
        <f t="shared" si="257"/>
        <v>0</v>
      </c>
      <c r="AP481" s="22">
        <f t="shared" si="258"/>
        <v>0</v>
      </c>
      <c r="AQ481" s="22">
        <f t="shared" si="259"/>
        <v>9001.2335228310949</v>
      </c>
      <c r="AR481" s="22">
        <f t="shared" si="260"/>
        <v>0</v>
      </c>
      <c r="AS481" s="121" t="str">
        <f t="shared" si="261"/>
        <v>Cross-cutting</v>
      </c>
      <c r="AT481" s="121" t="str">
        <f t="shared" si="278"/>
        <v xml:space="preserve"> </v>
      </c>
      <c r="AU481" s="121" t="str">
        <f t="shared" si="278"/>
        <v xml:space="preserve"> </v>
      </c>
      <c r="AV481" s="121" t="str">
        <f t="shared" si="278"/>
        <v xml:space="preserve"> </v>
      </c>
      <c r="AW481" s="130" t="str">
        <f t="shared" si="279"/>
        <v>100</v>
      </c>
      <c r="AX481" s="130" t="str">
        <f t="shared" si="279"/>
        <v xml:space="preserve"> </v>
      </c>
      <c r="AY481" s="130" t="str">
        <f t="shared" si="279"/>
        <v xml:space="preserve"> </v>
      </c>
      <c r="AZ481" s="130" t="str">
        <f t="shared" si="279"/>
        <v xml:space="preserve"> </v>
      </c>
      <c r="BA481" s="121">
        <f t="shared" si="262"/>
        <v>9001.2335228310949</v>
      </c>
      <c r="BB481" s="121">
        <f t="shared" si="263"/>
        <v>0</v>
      </c>
      <c r="BC481" s="121">
        <f t="shared" si="264"/>
        <v>0</v>
      </c>
      <c r="BD481" s="121">
        <f t="shared" si="265"/>
        <v>0</v>
      </c>
      <c r="BE481" s="121">
        <f t="shared" si="266"/>
        <v>0</v>
      </c>
      <c r="BF481" s="121">
        <f t="shared" si="267"/>
        <v>0</v>
      </c>
      <c r="BG481" s="121">
        <f t="shared" si="268"/>
        <v>0</v>
      </c>
      <c r="BH481" s="121">
        <f t="shared" si="269"/>
        <v>0</v>
      </c>
      <c r="BI481" s="121">
        <f t="shared" si="270"/>
        <v>9001.2335228310949</v>
      </c>
      <c r="BJ481" s="121">
        <f t="shared" si="271"/>
        <v>9001.2335228310949</v>
      </c>
      <c r="BK481" s="121">
        <f t="shared" si="272"/>
        <v>9001.2335228310949</v>
      </c>
      <c r="BL481" s="121">
        <f t="shared" si="273"/>
        <v>9001.2335228310949</v>
      </c>
      <c r="BM481" s="121">
        <f t="shared" si="274"/>
        <v>0</v>
      </c>
      <c r="BN481" s="121">
        <f t="shared" si="275"/>
        <v>0</v>
      </c>
      <c r="BO481" s="121">
        <f t="shared" si="276"/>
        <v>0</v>
      </c>
      <c r="BP481" s="121">
        <f t="shared" si="277"/>
        <v>0</v>
      </c>
      <c r="BQ481" s="199">
        <f>INDEX('GDP deflators'!$C$6:$M$36,MATCH('Bottom-up tagging'!$D481,'GDP deflators'!$B$6:$B$36,),MATCH('Bottom-up tagging'!$E481,'GDP deflators'!$C$5:$L$5,))/100</f>
        <v>8.3321913390833551</v>
      </c>
      <c r="BR481" s="24">
        <v>75000</v>
      </c>
    </row>
    <row r="482" spans="2:70" ht="26.15" hidden="1" customHeight="1">
      <c r="B482" s="110" t="s">
        <v>2491</v>
      </c>
      <c r="C482" s="110" t="s">
        <v>2494</v>
      </c>
      <c r="D482" s="110" t="s">
        <v>1258</v>
      </c>
      <c r="E482" s="103">
        <v>2016</v>
      </c>
      <c r="F482" s="108" t="s">
        <v>9158</v>
      </c>
      <c r="G482" s="111" t="s">
        <v>34</v>
      </c>
      <c r="H482" s="110" t="s">
        <v>10451</v>
      </c>
      <c r="I482" s="112">
        <f>IF(Dashboard!$B$16="Current USD",'Bottom-up tagging'!BR482,'Bottom-up tagging'!BR482/'Bottom-up tagging'!BQ482)</f>
        <v>60737.438776225434</v>
      </c>
      <c r="J482" s="117" t="s">
        <v>10474</v>
      </c>
      <c r="K482" s="112"/>
      <c r="L482" s="135">
        <v>1</v>
      </c>
      <c r="M482" s="135">
        <v>1</v>
      </c>
      <c r="N482" s="112"/>
      <c r="O482" s="112"/>
      <c r="P482" s="112" t="str">
        <f>VLOOKUP(B482, 'Companies covered restructured'!$B$7:$K$470, 9, FALSE)</f>
        <v>AI/analytics based advisory algorithms (incl. weather)</v>
      </c>
      <c r="Q482" s="112" t="str">
        <f>VLOOKUP(B482, 'Companies covered restructured'!$B$7:$K$470, 6, FALSE)</f>
        <v>#Livestock(100)</v>
      </c>
      <c r="R482" s="112" t="str">
        <f t="shared" si="249"/>
        <v>N/A</v>
      </c>
      <c r="S482" s="112" t="s">
        <v>11003</v>
      </c>
      <c r="T482" s="112" t="s">
        <v>10466</v>
      </c>
      <c r="U482" s="213" t="s">
        <v>10970</v>
      </c>
      <c r="V482" s="112" t="str">
        <f>VLOOKUP(P482, 'Bottom-up Tagging Assumptions'!$B$12:$F$39, 5, FALSE)</f>
        <v>#Science &amp; tech(100)</v>
      </c>
      <c r="W482" s="112" t="str">
        <f>VLOOKUP(B482, 'Companies covered restructured'!$B$7:$K$470, 7, FALSE)</f>
        <v>#Field/Animal Herd(100)</v>
      </c>
      <c r="X482" s="112" t="str">
        <f>VLOOKUP(B482, 'Companies covered restructured'!$B$7:$K$470, 8, FALSE)</f>
        <v>N/A</v>
      </c>
      <c r="Y482" s="212" t="str">
        <f>VLOOKUP(P482, 'Bottom-up Tagging Assumptions'!$B$12:$C$56, 2, FALSE)</f>
        <v>#Other Economic(P); #Productivity(S)</v>
      </c>
      <c r="Z482" s="112" t="str">
        <f>VLOOKUP(P482, 'Bottom-up Tagging Assumptions'!$B$12:$F$56, 3, FALSE)</f>
        <v>#Increasing output per unit input(P); #Increasing crop or animal yield(S)</v>
      </c>
      <c r="AA482" s="112" t="str">
        <f>VLOOKUP(P482, 'Bottom-up Tagging Assumptions'!$B$12:$F$56, 4, FALSE)</f>
        <v>#Level 1(100)</v>
      </c>
      <c r="AB482" s="110" t="s">
        <v>2493</v>
      </c>
      <c r="AC482" s="110"/>
      <c r="AD482" s="110"/>
      <c r="AE482" s="110" t="s">
        <v>10558</v>
      </c>
      <c r="AF482" s="112">
        <v>11768115</v>
      </c>
      <c r="AG482" s="110" t="s">
        <v>1871</v>
      </c>
      <c r="AH482" s="121">
        <f t="shared" si="250"/>
        <v>0</v>
      </c>
      <c r="AI482" s="121">
        <f t="shared" si="251"/>
        <v>1</v>
      </c>
      <c r="AJ482" s="121">
        <f t="shared" si="252"/>
        <v>1</v>
      </c>
      <c r="AK482" s="121">
        <f t="shared" si="253"/>
        <v>0</v>
      </c>
      <c r="AL482" s="121">
        <f t="shared" si="254"/>
        <v>0</v>
      </c>
      <c r="AM482" s="121">
        <f t="shared" si="255"/>
        <v>0</v>
      </c>
      <c r="AN482" s="121">
        <f t="shared" si="256"/>
        <v>0</v>
      </c>
      <c r="AO482" s="121">
        <f t="shared" si="257"/>
        <v>0</v>
      </c>
      <c r="AP482" s="22">
        <f t="shared" si="258"/>
        <v>0</v>
      </c>
      <c r="AQ482" s="22">
        <f t="shared" si="259"/>
        <v>0</v>
      </c>
      <c r="AR482" s="22">
        <f t="shared" si="260"/>
        <v>0</v>
      </c>
      <c r="AS482" s="121" t="str">
        <f t="shared" si="261"/>
        <v>Livestock</v>
      </c>
      <c r="AT482" s="121" t="str">
        <f t="shared" si="278"/>
        <v xml:space="preserve"> </v>
      </c>
      <c r="AU482" s="121" t="str">
        <f t="shared" si="278"/>
        <v xml:space="preserve"> </v>
      </c>
      <c r="AV482" s="121" t="str">
        <f t="shared" si="278"/>
        <v xml:space="preserve"> </v>
      </c>
      <c r="AW482" s="130" t="str">
        <f t="shared" si="279"/>
        <v>100</v>
      </c>
      <c r="AX482" s="130" t="str">
        <f t="shared" si="279"/>
        <v xml:space="preserve"> </v>
      </c>
      <c r="AY482" s="130" t="str">
        <f t="shared" si="279"/>
        <v xml:space="preserve"> </v>
      </c>
      <c r="AZ482" s="130" t="str">
        <f t="shared" si="279"/>
        <v xml:space="preserve"> </v>
      </c>
      <c r="BA482" s="121">
        <f t="shared" si="262"/>
        <v>60737.438776225426</v>
      </c>
      <c r="BB482" s="121">
        <f t="shared" si="263"/>
        <v>0</v>
      </c>
      <c r="BC482" s="121">
        <f t="shared" si="264"/>
        <v>0</v>
      </c>
      <c r="BD482" s="121">
        <f t="shared" si="265"/>
        <v>0</v>
      </c>
      <c r="BE482" s="121">
        <f t="shared" si="266"/>
        <v>0</v>
      </c>
      <c r="BF482" s="121">
        <f t="shared" si="267"/>
        <v>0</v>
      </c>
      <c r="BG482" s="121">
        <f t="shared" si="268"/>
        <v>0</v>
      </c>
      <c r="BH482" s="121">
        <f t="shared" si="269"/>
        <v>0</v>
      </c>
      <c r="BI482" s="121">
        <f t="shared" si="270"/>
        <v>0</v>
      </c>
      <c r="BJ482" s="121">
        <f t="shared" si="271"/>
        <v>0</v>
      </c>
      <c r="BK482" s="121">
        <f t="shared" si="272"/>
        <v>0</v>
      </c>
      <c r="BL482" s="121">
        <f t="shared" si="273"/>
        <v>0</v>
      </c>
      <c r="BM482" s="121">
        <f t="shared" si="274"/>
        <v>0</v>
      </c>
      <c r="BN482" s="121">
        <f t="shared" si="275"/>
        <v>0</v>
      </c>
      <c r="BO482" s="121">
        <f t="shared" si="276"/>
        <v>0</v>
      </c>
      <c r="BP482" s="121">
        <f t="shared" si="277"/>
        <v>0</v>
      </c>
      <c r="BQ482" s="199">
        <f>INDEX('GDP deflators'!$C$6:$M$36,MATCH('Bottom-up tagging'!$D482,'GDP deflators'!$B$6:$B$36,),MATCH('Bottom-up tagging'!$E482,'GDP deflators'!$C$5:$L$5,))/100</f>
        <v>1.2348232245406665</v>
      </c>
      <c r="BR482" s="24">
        <v>75000</v>
      </c>
    </row>
    <row r="483" spans="2:70" ht="26.15" hidden="1" customHeight="1">
      <c r="B483" s="110" t="s">
        <v>458</v>
      </c>
      <c r="C483" s="110" t="s">
        <v>463</v>
      </c>
      <c r="D483" s="110" t="s">
        <v>3994</v>
      </c>
      <c r="E483" s="103">
        <v>2018</v>
      </c>
      <c r="F483" s="108" t="s">
        <v>8465</v>
      </c>
      <c r="G483" s="111" t="s">
        <v>34</v>
      </c>
      <c r="H483" s="110" t="s">
        <v>10451</v>
      </c>
      <c r="I483" s="112">
        <f>IF(Dashboard!$B$16="Current USD",'Bottom-up tagging'!BR483,'Bottom-up tagging'!BR483/'Bottom-up tagging'!BQ483)</f>
        <v>50720.026998976558</v>
      </c>
      <c r="J483" s="117" t="s">
        <v>10474</v>
      </c>
      <c r="K483" s="112"/>
      <c r="L483" s="135">
        <v>1</v>
      </c>
      <c r="M483" s="135">
        <v>1</v>
      </c>
      <c r="N483" s="112"/>
      <c r="O483" s="112"/>
      <c r="P483" s="112" t="str">
        <f>VLOOKUP(B483, 'Companies covered restructured'!$B$7:$K$470, 9, FALSE)</f>
        <v>Farmer engagement platforms (including marketplaces and information platforms)</v>
      </c>
      <c r="Q483" s="112" t="str">
        <f>VLOOKUP(B483, 'Companies covered restructured'!$B$7:$K$470, 6, FALSE)</f>
        <v>#Crops(100)</v>
      </c>
      <c r="R483" s="112" t="str">
        <f t="shared" si="249"/>
        <v>#Investment Fund(100)</v>
      </c>
      <c r="S483" s="112" t="s">
        <v>11003</v>
      </c>
      <c r="T483" s="112" t="s">
        <v>10466</v>
      </c>
      <c r="U483" s="103" t="s">
        <v>10970</v>
      </c>
      <c r="V483" s="112" t="str">
        <f>VLOOKUP(P483, 'Bottom-up Tagging Assumptions'!$B$12:$F$39, 5, FALSE)</f>
        <v>#Process Innovation(100)</v>
      </c>
      <c r="W483" s="112" t="str">
        <f>VLOOKUP(B483, 'Companies covered restructured'!$B$7:$K$470, 7, FALSE)</f>
        <v>#Field/Animal Herd(100)</v>
      </c>
      <c r="X483" s="112" t="s">
        <v>10558</v>
      </c>
      <c r="Y483" s="212" t="str">
        <f>VLOOKUP(P483, 'Bottom-up Tagging Assumptions'!$B$12:$C$56, 2, FALSE)</f>
        <v>#Other Economic(P); #Productivity(S)</v>
      </c>
      <c r="Z483" s="112" t="str">
        <f>VLOOKUP(P483, 'Bottom-up Tagging Assumptions'!$B$12:$F$56, 3, FALSE)</f>
        <v>#Improve price realization(P); #Increasing crop or animal yield(S)</v>
      </c>
      <c r="AA483" s="112" t="str">
        <f>VLOOKUP(P483, 'Bottom-up Tagging Assumptions'!$B$12:$F$56, 4, FALSE)</f>
        <v>#Level 4(100)</v>
      </c>
      <c r="AB483" s="110" t="s">
        <v>1695</v>
      </c>
      <c r="AC483" s="110"/>
      <c r="AD483" s="110" t="s">
        <v>1696</v>
      </c>
      <c r="AE483" s="110" t="str">
        <f>VLOOKUP(AD483,  '1.2'!$B$7:$C$2033, 2, FALSE)</f>
        <v>FUND</v>
      </c>
      <c r="AF483" s="112">
        <v>1303000000</v>
      </c>
      <c r="AG483" s="110" t="s">
        <v>1416</v>
      </c>
      <c r="AH483" s="121">
        <f t="shared" si="250"/>
        <v>0</v>
      </c>
      <c r="AI483" s="121">
        <f t="shared" si="251"/>
        <v>1</v>
      </c>
      <c r="AJ483" s="121">
        <f t="shared" si="252"/>
        <v>1</v>
      </c>
      <c r="AK483" s="121">
        <f t="shared" si="253"/>
        <v>0</v>
      </c>
      <c r="AL483" s="121">
        <f t="shared" si="254"/>
        <v>0</v>
      </c>
      <c r="AM483" s="121">
        <f t="shared" si="255"/>
        <v>0</v>
      </c>
      <c r="AN483" s="121">
        <f t="shared" si="256"/>
        <v>0</v>
      </c>
      <c r="AO483" s="121">
        <f t="shared" si="257"/>
        <v>0</v>
      </c>
      <c r="AP483" s="22">
        <f t="shared" si="258"/>
        <v>0</v>
      </c>
      <c r="AQ483" s="22">
        <f t="shared" si="259"/>
        <v>0</v>
      </c>
      <c r="AR483" s="22">
        <f t="shared" si="260"/>
        <v>0</v>
      </c>
      <c r="AS483" s="121" t="str">
        <f t="shared" si="261"/>
        <v>Crops</v>
      </c>
      <c r="AT483" s="121" t="str">
        <f t="shared" si="278"/>
        <v xml:space="preserve"> </v>
      </c>
      <c r="AU483" s="121" t="str">
        <f t="shared" si="278"/>
        <v xml:space="preserve"> </v>
      </c>
      <c r="AV483" s="121" t="str">
        <f t="shared" si="278"/>
        <v xml:space="preserve"> </v>
      </c>
      <c r="AW483" s="130" t="str">
        <f t="shared" si="279"/>
        <v>100</v>
      </c>
      <c r="AX483" s="130" t="str">
        <f t="shared" si="279"/>
        <v xml:space="preserve"> </v>
      </c>
      <c r="AY483" s="130" t="str">
        <f t="shared" si="279"/>
        <v xml:space="preserve"> </v>
      </c>
      <c r="AZ483" s="130" t="str">
        <f t="shared" si="279"/>
        <v xml:space="preserve"> </v>
      </c>
      <c r="BA483" s="121">
        <f t="shared" si="262"/>
        <v>50720.026998976566</v>
      </c>
      <c r="BB483" s="121">
        <f t="shared" si="263"/>
        <v>0</v>
      </c>
      <c r="BC483" s="121">
        <f t="shared" si="264"/>
        <v>0</v>
      </c>
      <c r="BD483" s="121">
        <f t="shared" si="265"/>
        <v>0</v>
      </c>
      <c r="BE483" s="121">
        <f t="shared" si="266"/>
        <v>0</v>
      </c>
      <c r="BF483" s="121">
        <f t="shared" si="267"/>
        <v>0</v>
      </c>
      <c r="BG483" s="121">
        <f t="shared" si="268"/>
        <v>0</v>
      </c>
      <c r="BH483" s="121">
        <f t="shared" si="269"/>
        <v>0</v>
      </c>
      <c r="BI483" s="121">
        <f t="shared" si="270"/>
        <v>0</v>
      </c>
      <c r="BJ483" s="121">
        <f t="shared" si="271"/>
        <v>0</v>
      </c>
      <c r="BK483" s="121">
        <f t="shared" si="272"/>
        <v>0</v>
      </c>
      <c r="BL483" s="121">
        <f t="shared" si="273"/>
        <v>0</v>
      </c>
      <c r="BM483" s="121">
        <f t="shared" si="274"/>
        <v>0</v>
      </c>
      <c r="BN483" s="121">
        <f t="shared" si="275"/>
        <v>0</v>
      </c>
      <c r="BO483" s="121">
        <f t="shared" si="276"/>
        <v>0</v>
      </c>
      <c r="BP483" s="121">
        <f t="shared" si="277"/>
        <v>0</v>
      </c>
      <c r="BQ483" s="199">
        <f>INDEX('GDP deflators'!$C$6:$M$36,MATCH('Bottom-up tagging'!$D483,'GDP deflators'!$B$6:$B$36,),MATCH('Bottom-up tagging'!$E483,'GDP deflators'!$C$5:$L$5,))/100</f>
        <v>1.4753935363936217</v>
      </c>
      <c r="BR483" s="24">
        <v>74832</v>
      </c>
    </row>
    <row r="484" spans="2:70" ht="26.15" hidden="1" customHeight="1">
      <c r="B484" s="110" t="s">
        <v>2369</v>
      </c>
      <c r="C484" s="110" t="s">
        <v>2372</v>
      </c>
      <c r="D484" s="110" t="s">
        <v>3994</v>
      </c>
      <c r="E484" s="103">
        <v>2015</v>
      </c>
      <c r="F484" s="108" t="s">
        <v>9663</v>
      </c>
      <c r="G484" s="111" t="s">
        <v>34</v>
      </c>
      <c r="H484" s="110" t="s">
        <v>10451</v>
      </c>
      <c r="I484" s="112">
        <f>IF(Dashboard!$B$16="Current USD",'Bottom-up tagging'!BR484,'Bottom-up tagging'!BR484/'Bottom-up tagging'!BQ484)</f>
        <v>56709.845708773464</v>
      </c>
      <c r="J484" s="117" t="s">
        <v>10474</v>
      </c>
      <c r="K484" s="112"/>
      <c r="L484" s="135">
        <v>1</v>
      </c>
      <c r="M484" s="135">
        <v>1</v>
      </c>
      <c r="N484" s="112"/>
      <c r="O484" s="112"/>
      <c r="P484" s="112" t="str">
        <f>VLOOKUP(B484, 'Companies covered restructured'!$B$7:$K$470, 9, FALSE)</f>
        <v>Irrigation systems</v>
      </c>
      <c r="Q484" s="112" t="str">
        <f>VLOOKUP(B484, 'Companies covered restructured'!$B$7:$K$470, 6, FALSE)</f>
        <v>#Crops(100)</v>
      </c>
      <c r="R484" s="112" t="str">
        <f t="shared" si="249"/>
        <v>#Corporate(100)</v>
      </c>
      <c r="S484" s="112" t="s">
        <v>11003</v>
      </c>
      <c r="T484" s="112" t="s">
        <v>10466</v>
      </c>
      <c r="U484" s="103" t="s">
        <v>10970</v>
      </c>
      <c r="V484" s="212" t="s">
        <v>10977</v>
      </c>
      <c r="W484" s="112" t="str">
        <f>VLOOKUP(B484, 'Companies covered restructured'!$B$7:$K$470, 7, FALSE)</f>
        <v>#Farm/Household(100)</v>
      </c>
      <c r="X484" s="112" t="str">
        <f>VLOOKUP(B484, 'Companies covered restructured'!$B$7:$K$470, 8, FALSE)</f>
        <v>#Small(100)</v>
      </c>
      <c r="Y484" s="212" t="str">
        <f>VLOOKUP(P484, 'Bottom-up Tagging Assumptions'!$B$12:$C$56, 2, FALSE)</f>
        <v>#Other Economic(P); Environmental(S)</v>
      </c>
      <c r="Z484" s="112" t="str">
        <f>VLOOKUP(P484, 'Bottom-up Tagging Assumptions'!$B$12:$F$56, 3, FALSE)</f>
        <v>#Waste reduction(P)</v>
      </c>
      <c r="AA484" s="112" t="str">
        <f>VLOOKUP(P484, 'Bottom-up Tagging Assumptions'!$B$12:$F$56, 4, FALSE)</f>
        <v>#Level 1(100)</v>
      </c>
      <c r="AB484" s="110" t="s">
        <v>2557</v>
      </c>
      <c r="AC484" s="110"/>
      <c r="AD484" s="110" t="s">
        <v>2558</v>
      </c>
      <c r="AE484" s="110" t="str">
        <f>VLOOKUP(AD484,  '1.2'!$B$7:$C$2033, 2, FALSE)</f>
        <v>CORPORATE_INVESTOR</v>
      </c>
      <c r="AF484" s="112">
        <v>10000000</v>
      </c>
      <c r="AG484" s="110" t="s">
        <v>2616</v>
      </c>
      <c r="AH484" s="121">
        <f t="shared" si="250"/>
        <v>1</v>
      </c>
      <c r="AI484" s="121">
        <f t="shared" si="251"/>
        <v>0</v>
      </c>
      <c r="AJ484" s="121">
        <f t="shared" si="252"/>
        <v>1</v>
      </c>
      <c r="AK484" s="121">
        <f t="shared" si="253"/>
        <v>0</v>
      </c>
      <c r="AL484" s="121">
        <f t="shared" si="254"/>
        <v>0</v>
      </c>
      <c r="AM484" s="121">
        <f t="shared" si="255"/>
        <v>0</v>
      </c>
      <c r="AN484" s="121">
        <f t="shared" si="256"/>
        <v>1</v>
      </c>
      <c r="AO484" s="121">
        <f t="shared" si="257"/>
        <v>0</v>
      </c>
      <c r="AP484" s="22">
        <f t="shared" si="258"/>
        <v>0</v>
      </c>
      <c r="AQ484" s="22">
        <f t="shared" si="259"/>
        <v>56709.845708773464</v>
      </c>
      <c r="AR484" s="22">
        <f t="shared" si="260"/>
        <v>0</v>
      </c>
      <c r="AS484" s="121" t="str">
        <f t="shared" si="261"/>
        <v>Crops</v>
      </c>
      <c r="AT484" s="121" t="str">
        <f t="shared" si="278"/>
        <v xml:space="preserve"> </v>
      </c>
      <c r="AU484" s="121" t="str">
        <f t="shared" si="278"/>
        <v xml:space="preserve"> </v>
      </c>
      <c r="AV484" s="121" t="str">
        <f t="shared" si="278"/>
        <v xml:space="preserve"> </v>
      </c>
      <c r="AW484" s="130" t="str">
        <f t="shared" si="279"/>
        <v>100</v>
      </c>
      <c r="AX484" s="130" t="str">
        <f t="shared" si="279"/>
        <v xml:space="preserve"> </v>
      </c>
      <c r="AY484" s="130" t="str">
        <f t="shared" si="279"/>
        <v xml:space="preserve"> </v>
      </c>
      <c r="AZ484" s="130" t="str">
        <f t="shared" si="279"/>
        <v xml:space="preserve"> </v>
      </c>
      <c r="BA484" s="121">
        <f t="shared" si="262"/>
        <v>56709.845708773464</v>
      </c>
      <c r="BB484" s="121">
        <f t="shared" si="263"/>
        <v>0</v>
      </c>
      <c r="BC484" s="121">
        <f t="shared" si="264"/>
        <v>0</v>
      </c>
      <c r="BD484" s="121">
        <f t="shared" si="265"/>
        <v>0</v>
      </c>
      <c r="BE484" s="121">
        <f t="shared" si="266"/>
        <v>0</v>
      </c>
      <c r="BF484" s="121">
        <f t="shared" si="267"/>
        <v>0</v>
      </c>
      <c r="BG484" s="121">
        <f t="shared" si="268"/>
        <v>0</v>
      </c>
      <c r="BH484" s="121">
        <f t="shared" si="269"/>
        <v>0</v>
      </c>
      <c r="BI484" s="121">
        <f t="shared" si="270"/>
        <v>56709.845708773464</v>
      </c>
      <c r="BJ484" s="121">
        <f t="shared" si="271"/>
        <v>56709.845708773464</v>
      </c>
      <c r="BK484" s="121">
        <f t="shared" si="272"/>
        <v>56709.845708773464</v>
      </c>
      <c r="BL484" s="121">
        <f t="shared" si="273"/>
        <v>56709.845708773464</v>
      </c>
      <c r="BM484" s="121">
        <f t="shared" si="274"/>
        <v>0</v>
      </c>
      <c r="BN484" s="121">
        <f t="shared" si="275"/>
        <v>0</v>
      </c>
      <c r="BO484" s="121">
        <f t="shared" si="276"/>
        <v>0</v>
      </c>
      <c r="BP484" s="121">
        <f t="shared" si="277"/>
        <v>0</v>
      </c>
      <c r="BQ484" s="199">
        <f>INDEX('GDP deflators'!$C$6:$M$36,MATCH('Bottom-up tagging'!$D484,'GDP deflators'!$B$6:$B$36,),MATCH('Bottom-up tagging'!$E484,'GDP deflators'!$C$5:$L$5,))/100</f>
        <v>1.3170905169372478</v>
      </c>
      <c r="BR484" s="24">
        <v>74692</v>
      </c>
    </row>
    <row r="485" spans="2:70" ht="26.15" hidden="1" customHeight="1">
      <c r="B485" s="110" t="s">
        <v>2112</v>
      </c>
      <c r="C485" s="110" t="s">
        <v>2114</v>
      </c>
      <c r="D485" s="110" t="s">
        <v>3994</v>
      </c>
      <c r="E485" s="103">
        <v>2017</v>
      </c>
      <c r="F485" s="108" t="s">
        <v>9947</v>
      </c>
      <c r="G485" s="111" t="s">
        <v>184</v>
      </c>
      <c r="H485" s="110" t="s">
        <v>10451</v>
      </c>
      <c r="I485" s="112">
        <f>IF(Dashboard!$B$16="Current USD",'Bottom-up tagging'!BR485,'Bottom-up tagging'!BR485/'Bottom-up tagging'!BQ485)</f>
        <v>52724.458313632807</v>
      </c>
      <c r="J485" s="105" t="s">
        <v>10474</v>
      </c>
      <c r="K485" s="112"/>
      <c r="L485" s="135">
        <v>1</v>
      </c>
      <c r="M485" s="135">
        <v>1</v>
      </c>
      <c r="N485" s="112"/>
      <c r="O485" s="112"/>
      <c r="P485" s="112" t="str">
        <f>VLOOKUP(B485, 'Companies covered restructured'!$B$7:$K$470, 9, FALSE)</f>
        <v>Breeding &amp; genetics</v>
      </c>
      <c r="Q485" s="112" t="str">
        <f>VLOOKUP(B485, 'Companies covered restructured'!$B$7:$K$470, 6, FALSE)</f>
        <v>#Crops(100)</v>
      </c>
      <c r="R485" s="112" t="str">
        <f t="shared" si="249"/>
        <v>N/A</v>
      </c>
      <c r="S485" s="112" t="s">
        <v>11003</v>
      </c>
      <c r="T485" s="112" t="s">
        <v>10465</v>
      </c>
      <c r="U485" s="103" t="s">
        <v>10970</v>
      </c>
      <c r="V485" s="212" t="s">
        <v>10977</v>
      </c>
      <c r="W485" s="112" t="str">
        <f>VLOOKUP(B485, 'Companies covered restructured'!$B$7:$K$470, 7, FALSE)</f>
        <v>#Landscape(100)</v>
      </c>
      <c r="X485" s="112" t="str">
        <f>VLOOKUP(B485, 'Companies covered restructured'!$B$7:$K$470, 8, FALSE)</f>
        <v>N/A</v>
      </c>
      <c r="Y485" s="212" t="str">
        <f>VLOOKUP(P485, 'Bottom-up Tagging Assumptions'!$B$12:$C$56, 2, FALSE)</f>
        <v>#Productivity(P); #Other Economic(S)</v>
      </c>
      <c r="Z485" s="112" t="str">
        <f>VLOOKUP(P485, 'Bottom-up Tagging Assumptions'!$B$12:$F$56, 3, FALSE)</f>
        <v>#Increasing crop or animal yield(P)</v>
      </c>
      <c r="AA485" s="112" t="str">
        <f>VLOOKUP(P485, 'Bottom-up Tagging Assumptions'!$B$12:$F$56, 4, FALSE)</f>
        <v>#Level 2(100)</v>
      </c>
      <c r="AB485" s="110" t="s">
        <v>907</v>
      </c>
      <c r="AC485" s="110"/>
      <c r="AD485" s="110"/>
      <c r="AE485" s="110" t="s">
        <v>10558</v>
      </c>
      <c r="AF485" s="112">
        <v>500000</v>
      </c>
      <c r="AG485" s="110" t="s">
        <v>2848</v>
      </c>
      <c r="AH485" s="121">
        <f t="shared" si="250"/>
        <v>0</v>
      </c>
      <c r="AI485" s="121">
        <f t="shared" si="251"/>
        <v>1</v>
      </c>
      <c r="AJ485" s="121">
        <f t="shared" si="252"/>
        <v>1</v>
      </c>
      <c r="AK485" s="121">
        <f t="shared" si="253"/>
        <v>0</v>
      </c>
      <c r="AL485" s="121">
        <f t="shared" si="254"/>
        <v>0</v>
      </c>
      <c r="AM485" s="121">
        <f t="shared" si="255"/>
        <v>0</v>
      </c>
      <c r="AN485" s="121">
        <f t="shared" si="256"/>
        <v>0</v>
      </c>
      <c r="AO485" s="121">
        <f t="shared" si="257"/>
        <v>0</v>
      </c>
      <c r="AP485" s="22">
        <f t="shared" si="258"/>
        <v>0</v>
      </c>
      <c r="AQ485" s="22">
        <f t="shared" si="259"/>
        <v>0</v>
      </c>
      <c r="AR485" s="22">
        <f t="shared" si="260"/>
        <v>0</v>
      </c>
      <c r="AS485" s="121" t="str">
        <f t="shared" si="261"/>
        <v>Crops</v>
      </c>
      <c r="AT485" s="121" t="str">
        <f t="shared" si="278"/>
        <v xml:space="preserve"> </v>
      </c>
      <c r="AU485" s="121" t="str">
        <f t="shared" si="278"/>
        <v xml:space="preserve"> </v>
      </c>
      <c r="AV485" s="121" t="str">
        <f t="shared" si="278"/>
        <v xml:space="preserve"> </v>
      </c>
      <c r="AW485" s="130" t="str">
        <f t="shared" si="279"/>
        <v>100</v>
      </c>
      <c r="AX485" s="130" t="str">
        <f t="shared" si="279"/>
        <v xml:space="preserve"> </v>
      </c>
      <c r="AY485" s="130" t="str">
        <f t="shared" si="279"/>
        <v xml:space="preserve"> </v>
      </c>
      <c r="AZ485" s="130" t="str">
        <f t="shared" si="279"/>
        <v xml:space="preserve"> </v>
      </c>
      <c r="BA485" s="121">
        <f t="shared" si="262"/>
        <v>52724.4583136328</v>
      </c>
      <c r="BB485" s="121">
        <f t="shared" si="263"/>
        <v>0</v>
      </c>
      <c r="BC485" s="121">
        <f t="shared" si="264"/>
        <v>0</v>
      </c>
      <c r="BD485" s="121">
        <f t="shared" si="265"/>
        <v>0</v>
      </c>
      <c r="BE485" s="121">
        <f t="shared" si="266"/>
        <v>0</v>
      </c>
      <c r="BF485" s="121">
        <f t="shared" si="267"/>
        <v>0</v>
      </c>
      <c r="BG485" s="121">
        <f t="shared" si="268"/>
        <v>0</v>
      </c>
      <c r="BH485" s="121">
        <f t="shared" si="269"/>
        <v>0</v>
      </c>
      <c r="BI485" s="121">
        <f t="shared" si="270"/>
        <v>0</v>
      </c>
      <c r="BJ485" s="121">
        <f t="shared" si="271"/>
        <v>0</v>
      </c>
      <c r="BK485" s="121">
        <f t="shared" si="272"/>
        <v>0</v>
      </c>
      <c r="BL485" s="121">
        <f t="shared" si="273"/>
        <v>0</v>
      </c>
      <c r="BM485" s="121">
        <f t="shared" si="274"/>
        <v>0</v>
      </c>
      <c r="BN485" s="121">
        <f t="shared" si="275"/>
        <v>0</v>
      </c>
      <c r="BO485" s="121">
        <f t="shared" si="276"/>
        <v>0</v>
      </c>
      <c r="BP485" s="121">
        <f t="shared" si="277"/>
        <v>0</v>
      </c>
      <c r="BQ485" s="199">
        <f>INDEX('GDP deflators'!$C$6:$M$36,MATCH('Bottom-up tagging'!$D485,'GDP deflators'!$B$6:$B$36,),MATCH('Bottom-up tagging'!$E485,'GDP deflators'!$C$5:$L$5,))/100</f>
        <v>1.4111098032990623</v>
      </c>
      <c r="BR485" s="24">
        <v>74400</v>
      </c>
    </row>
    <row r="486" spans="2:70" ht="26.15" hidden="1" customHeight="1">
      <c r="B486" s="110" t="s">
        <v>1115</v>
      </c>
      <c r="C486" s="110" t="s">
        <v>1118</v>
      </c>
      <c r="D486" s="110" t="s">
        <v>3994</v>
      </c>
      <c r="E486" s="103">
        <v>2010</v>
      </c>
      <c r="F486" s="108" t="s">
        <v>8829</v>
      </c>
      <c r="G486" s="111" t="s">
        <v>34</v>
      </c>
      <c r="H486" s="110" t="s">
        <v>10451</v>
      </c>
      <c r="I486" s="112">
        <f>IF(Dashboard!$B$16="Current USD",'Bottom-up tagging'!BR486,'Bottom-up tagging'!BR486/'Bottom-up tagging'!BQ486)</f>
        <v>74277</v>
      </c>
      <c r="J486" s="118" t="s">
        <v>10474</v>
      </c>
      <c r="K486" s="112"/>
      <c r="L486" s="135">
        <v>1</v>
      </c>
      <c r="M486" s="135">
        <v>1</v>
      </c>
      <c r="N486" s="112"/>
      <c r="O486" s="112"/>
      <c r="P486" s="112" t="str">
        <f>VLOOKUP(B486, 'Companies covered restructured'!$B$7:$K$470, 9, FALSE)</f>
        <v>Farmer engagement platforms (including marketplaces and information platforms)</v>
      </c>
      <c r="Q486" s="112" t="str">
        <f>VLOOKUP(B486, 'Companies covered restructured'!$B$7:$K$470, 6, FALSE)</f>
        <v>#Crops(100)</v>
      </c>
      <c r="R486" s="112" t="str">
        <f t="shared" si="249"/>
        <v>#Angel Investor(100)</v>
      </c>
      <c r="S486" s="112" t="s">
        <v>11003</v>
      </c>
      <c r="T486" s="112" t="s">
        <v>10466</v>
      </c>
      <c r="U486" s="103" t="s">
        <v>10970</v>
      </c>
      <c r="V486" s="112" t="str">
        <f>VLOOKUP(P486, 'Bottom-up Tagging Assumptions'!$B$12:$F$39, 5, FALSE)</f>
        <v>#Process Innovation(100)</v>
      </c>
      <c r="W486" s="112" t="str">
        <f>VLOOKUP(B486, 'Companies covered restructured'!$B$7:$K$470, 7, FALSE)</f>
        <v>#Field/Animal Herd(100)</v>
      </c>
      <c r="X486" s="112" t="s">
        <v>10558</v>
      </c>
      <c r="Y486" s="212" t="str">
        <f>VLOOKUP(P486, 'Bottom-up Tagging Assumptions'!$B$12:$C$56, 2, FALSE)</f>
        <v>#Other Economic(P); #Productivity(S)</v>
      </c>
      <c r="Z486" s="112" t="str">
        <f>VLOOKUP(P486, 'Bottom-up Tagging Assumptions'!$B$12:$F$56, 3, FALSE)</f>
        <v>#Improve price realization(P); #Increasing crop or animal yield(S)</v>
      </c>
      <c r="AA486" s="112" t="str">
        <f>VLOOKUP(P486, 'Bottom-up Tagging Assumptions'!$B$12:$F$56, 4, FALSE)</f>
        <v>#Level 4(100)</v>
      </c>
      <c r="AB486" s="110"/>
      <c r="AC486" s="110" t="s">
        <v>3073</v>
      </c>
      <c r="AD486" s="110" t="s">
        <v>3074</v>
      </c>
      <c r="AE486" s="110" t="str">
        <f>VLOOKUP(AD486,  '1.2'!$B$7:$C$2033, 2, FALSE)</f>
        <v>ANGEL</v>
      </c>
      <c r="AF486" s="112">
        <v>30060731</v>
      </c>
      <c r="AG486" s="110" t="s">
        <v>2853</v>
      </c>
      <c r="AH486" s="121">
        <f t="shared" si="250"/>
        <v>0</v>
      </c>
      <c r="AI486" s="121">
        <f t="shared" si="251"/>
        <v>1</v>
      </c>
      <c r="AJ486" s="121">
        <f t="shared" si="252"/>
        <v>1</v>
      </c>
      <c r="AK486" s="121">
        <f t="shared" si="253"/>
        <v>0</v>
      </c>
      <c r="AL486" s="121">
        <f t="shared" si="254"/>
        <v>0</v>
      </c>
      <c r="AM486" s="121">
        <f t="shared" si="255"/>
        <v>0</v>
      </c>
      <c r="AN486" s="121">
        <f t="shared" si="256"/>
        <v>0</v>
      </c>
      <c r="AO486" s="121">
        <f t="shared" si="257"/>
        <v>0</v>
      </c>
      <c r="AP486" s="22">
        <f t="shared" si="258"/>
        <v>0</v>
      </c>
      <c r="AQ486" s="22">
        <f t="shared" si="259"/>
        <v>0</v>
      </c>
      <c r="AR486" s="22">
        <f t="shared" si="260"/>
        <v>0</v>
      </c>
      <c r="AS486" s="121" t="str">
        <f t="shared" si="261"/>
        <v>Crops</v>
      </c>
      <c r="AT486" s="121" t="str">
        <f t="shared" si="278"/>
        <v xml:space="preserve"> </v>
      </c>
      <c r="AU486" s="121" t="str">
        <f t="shared" si="278"/>
        <v xml:space="preserve"> </v>
      </c>
      <c r="AV486" s="121" t="str">
        <f t="shared" si="278"/>
        <v xml:space="preserve"> </v>
      </c>
      <c r="AW486" s="130" t="str">
        <f t="shared" si="279"/>
        <v>100</v>
      </c>
      <c r="AX486" s="130" t="str">
        <f t="shared" si="279"/>
        <v xml:space="preserve"> </v>
      </c>
      <c r="AY486" s="130" t="str">
        <f t="shared" si="279"/>
        <v xml:space="preserve"> </v>
      </c>
      <c r="AZ486" s="130" t="str">
        <f t="shared" si="279"/>
        <v xml:space="preserve"> </v>
      </c>
      <c r="BA486" s="121">
        <f t="shared" si="262"/>
        <v>74277</v>
      </c>
      <c r="BB486" s="121">
        <f t="shared" si="263"/>
        <v>0</v>
      </c>
      <c r="BC486" s="121">
        <f t="shared" si="264"/>
        <v>0</v>
      </c>
      <c r="BD486" s="121">
        <f t="shared" si="265"/>
        <v>0</v>
      </c>
      <c r="BE486" s="121">
        <f t="shared" si="266"/>
        <v>0</v>
      </c>
      <c r="BF486" s="121">
        <f t="shared" si="267"/>
        <v>0</v>
      </c>
      <c r="BG486" s="121">
        <f t="shared" si="268"/>
        <v>0</v>
      </c>
      <c r="BH486" s="121">
        <f t="shared" si="269"/>
        <v>0</v>
      </c>
      <c r="BI486" s="121">
        <f t="shared" si="270"/>
        <v>0</v>
      </c>
      <c r="BJ486" s="121">
        <f t="shared" si="271"/>
        <v>0</v>
      </c>
      <c r="BK486" s="121">
        <f t="shared" si="272"/>
        <v>0</v>
      </c>
      <c r="BL486" s="121">
        <f t="shared" si="273"/>
        <v>0</v>
      </c>
      <c r="BM486" s="121">
        <f t="shared" si="274"/>
        <v>0</v>
      </c>
      <c r="BN486" s="121">
        <f t="shared" si="275"/>
        <v>0</v>
      </c>
      <c r="BO486" s="121">
        <f t="shared" si="276"/>
        <v>0</v>
      </c>
      <c r="BP486" s="121">
        <f t="shared" si="277"/>
        <v>0</v>
      </c>
      <c r="BQ486" s="199">
        <f>INDEX('GDP deflators'!$C$6:$M$36,MATCH('Bottom-up tagging'!$D486,'GDP deflators'!$B$6:$B$36,),MATCH('Bottom-up tagging'!$E486,'GDP deflators'!$C$5:$L$5,))/100</f>
        <v>1</v>
      </c>
      <c r="BR486" s="24">
        <v>74277</v>
      </c>
    </row>
    <row r="487" spans="2:70" ht="26.15" hidden="1" customHeight="1">
      <c r="B487" s="110" t="s">
        <v>589</v>
      </c>
      <c r="C487" s="110" t="s">
        <v>594</v>
      </c>
      <c r="D487" s="110" t="s">
        <v>6313</v>
      </c>
      <c r="E487" s="103">
        <v>2020</v>
      </c>
      <c r="F487" s="108" t="s">
        <v>6315</v>
      </c>
      <c r="G487" s="111" t="s">
        <v>34</v>
      </c>
      <c r="H487" s="110" t="s">
        <v>10451</v>
      </c>
      <c r="I487" s="212">
        <v>0</v>
      </c>
      <c r="J487" s="117" t="s">
        <v>10474</v>
      </c>
      <c r="K487" s="112"/>
      <c r="L487" s="135">
        <v>1</v>
      </c>
      <c r="M487" s="135">
        <v>1</v>
      </c>
      <c r="N487" s="112"/>
      <c r="O487" s="112"/>
      <c r="P487" s="112" t="str">
        <f>VLOOKUP(B487, 'Companies covered restructured'!$B$7:$K$470, 9, FALSE)</f>
        <v xml:space="preserve">Agriculture financing systems </v>
      </c>
      <c r="Q487" s="112" t="str">
        <f>VLOOKUP(B487, 'Companies covered restructured'!$B$7:$K$470, 6, FALSE)</f>
        <v>#Cross-cutting(100)</v>
      </c>
      <c r="R487" s="112" t="str">
        <f t="shared" si="249"/>
        <v>#Investment Fund(100)</v>
      </c>
      <c r="S487" s="112" t="s">
        <v>11003</v>
      </c>
      <c r="T487" s="112" t="s">
        <v>10466</v>
      </c>
      <c r="U487" s="103" t="s">
        <v>10970</v>
      </c>
      <c r="V487" s="112" t="str">
        <f>VLOOKUP(P487, 'Bottom-up Tagging Assumptions'!$B$12:$F$39, 5, FALSE)</f>
        <v>#Process Innovation(100)</v>
      </c>
      <c r="W487" s="112" t="s">
        <v>10558</v>
      </c>
      <c r="X487" s="112" t="s">
        <v>10558</v>
      </c>
      <c r="Y487" s="112" t="str">
        <f>VLOOKUP(P487, '[2]Bottom-up Tagging Assumptions'!$B$12:$F$56, 2, FALSE)</f>
        <v>#Other Economic(P); Social(S)</v>
      </c>
      <c r="Z487" s="112" t="str">
        <f>VLOOKUP(P487, 'Bottom-up Tagging Assumptions'!$B$12:$F$56, 3, FALSE)</f>
        <v>NA</v>
      </c>
      <c r="AA487" s="112" t="str">
        <f>VLOOKUP(P487, 'Bottom-up Tagging Assumptions'!$B$12:$F$56, 4, FALSE)</f>
        <v>#Level 1(100)</v>
      </c>
      <c r="AB487" s="110" t="s">
        <v>591</v>
      </c>
      <c r="AC487" s="110"/>
      <c r="AD487" s="110" t="s">
        <v>592</v>
      </c>
      <c r="AE487" s="110" t="s">
        <v>3114</v>
      </c>
      <c r="AF487" s="112">
        <v>74190</v>
      </c>
      <c r="AG487" s="110" t="s">
        <v>595</v>
      </c>
      <c r="AH487" s="121">
        <f t="shared" si="250"/>
        <v>0</v>
      </c>
      <c r="AI487" s="121">
        <f t="shared" si="251"/>
        <v>0</v>
      </c>
      <c r="AJ487" s="121">
        <f t="shared" si="252"/>
        <v>1</v>
      </c>
      <c r="AK487" s="121">
        <f t="shared" si="253"/>
        <v>1</v>
      </c>
      <c r="AL487" s="121">
        <f t="shared" si="254"/>
        <v>0</v>
      </c>
      <c r="AM487" s="121">
        <f t="shared" si="255"/>
        <v>0</v>
      </c>
      <c r="AN487" s="121">
        <f t="shared" si="256"/>
        <v>1</v>
      </c>
      <c r="AO487" s="121">
        <f t="shared" si="257"/>
        <v>0</v>
      </c>
      <c r="AP487" s="22">
        <f t="shared" si="258"/>
        <v>0</v>
      </c>
      <c r="AQ487" s="22">
        <f t="shared" si="259"/>
        <v>0</v>
      </c>
      <c r="AR487" s="22">
        <f t="shared" si="260"/>
        <v>0</v>
      </c>
      <c r="AS487" s="121" t="str">
        <f t="shared" si="261"/>
        <v>Cross-cutting</v>
      </c>
      <c r="AT487" s="121" t="str">
        <f t="shared" si="278"/>
        <v xml:space="preserve"> </v>
      </c>
      <c r="AU487" s="121" t="str">
        <f t="shared" si="278"/>
        <v xml:space="preserve"> </v>
      </c>
      <c r="AV487" s="121" t="str">
        <f t="shared" si="278"/>
        <v xml:space="preserve"> </v>
      </c>
      <c r="AW487" s="130" t="str">
        <f t="shared" si="279"/>
        <v>100</v>
      </c>
      <c r="AX487" s="130" t="str">
        <f t="shared" si="279"/>
        <v xml:space="preserve"> </v>
      </c>
      <c r="AY487" s="130" t="str">
        <f t="shared" si="279"/>
        <v xml:space="preserve"> </v>
      </c>
      <c r="AZ487" s="130" t="str">
        <f t="shared" si="279"/>
        <v xml:space="preserve"> </v>
      </c>
      <c r="BA487" s="121">
        <f t="shared" si="262"/>
        <v>0</v>
      </c>
      <c r="BB487" s="121">
        <f t="shared" si="263"/>
        <v>0</v>
      </c>
      <c r="BC487" s="121">
        <f t="shared" si="264"/>
        <v>0</v>
      </c>
      <c r="BD487" s="121">
        <f t="shared" si="265"/>
        <v>0</v>
      </c>
      <c r="BE487" s="121">
        <f t="shared" si="266"/>
        <v>0</v>
      </c>
      <c r="BF487" s="121">
        <f t="shared" si="267"/>
        <v>0</v>
      </c>
      <c r="BG487" s="121">
        <f t="shared" si="268"/>
        <v>0</v>
      </c>
      <c r="BH487" s="121">
        <f t="shared" si="269"/>
        <v>0</v>
      </c>
      <c r="BI487" s="121">
        <f t="shared" si="270"/>
        <v>0</v>
      </c>
      <c r="BJ487" s="121">
        <f t="shared" si="271"/>
        <v>0</v>
      </c>
      <c r="BK487" s="121">
        <f t="shared" si="272"/>
        <v>0</v>
      </c>
      <c r="BL487" s="121">
        <f t="shared" si="273"/>
        <v>0</v>
      </c>
      <c r="BM487" s="121">
        <f t="shared" si="274"/>
        <v>0</v>
      </c>
      <c r="BN487" s="121">
        <f t="shared" si="275"/>
        <v>0</v>
      </c>
      <c r="BO487" s="121">
        <f t="shared" si="276"/>
        <v>0</v>
      </c>
      <c r="BP487" s="121">
        <f t="shared" si="277"/>
        <v>0</v>
      </c>
      <c r="BQ487" s="199" t="e">
        <f>INDEX('GDP deflators'!$C$6:$M$36,MATCH('Bottom-up tagging'!$D487,'GDP deflators'!$B$6:$B$36,),MATCH('Bottom-up tagging'!$E487,'GDP deflators'!$C$5:$L$5,))/100</f>
        <v>#N/A</v>
      </c>
      <c r="BR487" s="24">
        <v>74190</v>
      </c>
    </row>
    <row r="488" spans="2:70" ht="26.15" hidden="1" customHeight="1">
      <c r="B488" s="110" t="s">
        <v>2112</v>
      </c>
      <c r="C488" s="110" t="s">
        <v>2114</v>
      </c>
      <c r="D488" s="110" t="s">
        <v>3994</v>
      </c>
      <c r="E488" s="103">
        <v>2014</v>
      </c>
      <c r="F488" s="108" t="s">
        <v>9947</v>
      </c>
      <c r="G488" s="111" t="s">
        <v>124</v>
      </c>
      <c r="H488" s="110" t="s">
        <v>10451</v>
      </c>
      <c r="I488" s="112">
        <f>IF(Dashboard!$B$16="Current USD",'Bottom-up tagging'!BR488,'Bottom-up tagging'!BR488/'Bottom-up tagging'!BQ488)</f>
        <v>57254.772470867363</v>
      </c>
      <c r="J488" s="117" t="s">
        <v>10474</v>
      </c>
      <c r="K488" s="112"/>
      <c r="L488" s="135">
        <v>1</v>
      </c>
      <c r="M488" s="135">
        <v>1</v>
      </c>
      <c r="N488" s="112"/>
      <c r="O488" s="112"/>
      <c r="P488" s="112" t="str">
        <f>VLOOKUP(B488, 'Companies covered restructured'!$B$7:$K$470, 9, FALSE)</f>
        <v>Breeding &amp; genetics</v>
      </c>
      <c r="Q488" s="112" t="str">
        <f>VLOOKUP(B488, 'Companies covered restructured'!$B$7:$K$470, 6, FALSE)</f>
        <v>#Crops(100)</v>
      </c>
      <c r="R488" s="112" t="str">
        <f t="shared" si="249"/>
        <v>#Angel Investor(100)</v>
      </c>
      <c r="S488" s="112" t="s">
        <v>11003</v>
      </c>
      <c r="T488" s="112" t="s">
        <v>10466</v>
      </c>
      <c r="U488" s="116" t="s">
        <v>10970</v>
      </c>
      <c r="V488" s="212" t="s">
        <v>10977</v>
      </c>
      <c r="W488" s="112" t="str">
        <f>VLOOKUP(B488, 'Companies covered restructured'!$B$7:$K$470, 7, FALSE)</f>
        <v>#Landscape(100)</v>
      </c>
      <c r="X488" s="112" t="str">
        <f>VLOOKUP(B488, 'Companies covered restructured'!$B$7:$K$470, 8, FALSE)</f>
        <v>N/A</v>
      </c>
      <c r="Y488" s="212" t="str">
        <f>VLOOKUP(P488, 'Bottom-up Tagging Assumptions'!$B$12:$C$56, 2, FALSE)</f>
        <v>#Productivity(P); #Other Economic(S)</v>
      </c>
      <c r="Z488" s="112" t="str">
        <f>VLOOKUP(P488, 'Bottom-up Tagging Assumptions'!$B$12:$F$56, 3, FALSE)</f>
        <v>#Increasing crop or animal yield(P)</v>
      </c>
      <c r="AA488" s="112" t="str">
        <f>VLOOKUP(P488, 'Bottom-up Tagging Assumptions'!$B$12:$F$56, 4, FALSE)</f>
        <v>#Level 2(100)</v>
      </c>
      <c r="AB488" s="110"/>
      <c r="AC488" s="110" t="s">
        <v>2820</v>
      </c>
      <c r="AD488" s="110" t="s">
        <v>2821</v>
      </c>
      <c r="AE488" s="110" t="str">
        <f>VLOOKUP(AD488,  '1.2'!$B$7:$C$2033, 2, FALSE)</f>
        <v>ANGEL</v>
      </c>
      <c r="AF488" s="112">
        <v>16507907</v>
      </c>
      <c r="AG488" s="110" t="s">
        <v>464</v>
      </c>
      <c r="AH488" s="121">
        <f t="shared" si="250"/>
        <v>0</v>
      </c>
      <c r="AI488" s="121">
        <f t="shared" si="251"/>
        <v>1</v>
      </c>
      <c r="AJ488" s="121">
        <f t="shared" si="252"/>
        <v>1</v>
      </c>
      <c r="AK488" s="121">
        <f t="shared" si="253"/>
        <v>0</v>
      </c>
      <c r="AL488" s="121">
        <f t="shared" si="254"/>
        <v>0</v>
      </c>
      <c r="AM488" s="121">
        <f t="shared" si="255"/>
        <v>0</v>
      </c>
      <c r="AN488" s="121">
        <f t="shared" si="256"/>
        <v>0</v>
      </c>
      <c r="AO488" s="121">
        <f t="shared" si="257"/>
        <v>0</v>
      </c>
      <c r="AP488" s="22">
        <f t="shared" si="258"/>
        <v>0</v>
      </c>
      <c r="AQ488" s="22">
        <f t="shared" si="259"/>
        <v>0</v>
      </c>
      <c r="AR488" s="22">
        <f t="shared" si="260"/>
        <v>0</v>
      </c>
      <c r="AS488" s="121" t="str">
        <f t="shared" si="261"/>
        <v>Crops</v>
      </c>
      <c r="AT488" s="121" t="str">
        <f t="shared" si="278"/>
        <v xml:space="preserve"> </v>
      </c>
      <c r="AU488" s="121" t="str">
        <f t="shared" si="278"/>
        <v xml:space="preserve"> </v>
      </c>
      <c r="AV488" s="121" t="str">
        <f t="shared" si="278"/>
        <v xml:space="preserve"> </v>
      </c>
      <c r="AW488" s="130" t="str">
        <f t="shared" si="279"/>
        <v>100</v>
      </c>
      <c r="AX488" s="130" t="str">
        <f t="shared" si="279"/>
        <v xml:space="preserve"> </v>
      </c>
      <c r="AY488" s="130" t="str">
        <f t="shared" si="279"/>
        <v xml:space="preserve"> </v>
      </c>
      <c r="AZ488" s="130" t="str">
        <f t="shared" si="279"/>
        <v xml:space="preserve"> </v>
      </c>
      <c r="BA488" s="121">
        <f t="shared" si="262"/>
        <v>57254.772470867363</v>
      </c>
      <c r="BB488" s="121">
        <f t="shared" si="263"/>
        <v>0</v>
      </c>
      <c r="BC488" s="121">
        <f t="shared" si="264"/>
        <v>0</v>
      </c>
      <c r="BD488" s="121">
        <f t="shared" si="265"/>
        <v>0</v>
      </c>
      <c r="BE488" s="121">
        <f t="shared" si="266"/>
        <v>0</v>
      </c>
      <c r="BF488" s="121">
        <f t="shared" si="267"/>
        <v>0</v>
      </c>
      <c r="BG488" s="121">
        <f t="shared" si="268"/>
        <v>0</v>
      </c>
      <c r="BH488" s="121">
        <f t="shared" si="269"/>
        <v>0</v>
      </c>
      <c r="BI488" s="121">
        <f t="shared" si="270"/>
        <v>0</v>
      </c>
      <c r="BJ488" s="121">
        <f t="shared" si="271"/>
        <v>0</v>
      </c>
      <c r="BK488" s="121">
        <f t="shared" si="272"/>
        <v>0</v>
      </c>
      <c r="BL488" s="121">
        <f t="shared" si="273"/>
        <v>0</v>
      </c>
      <c r="BM488" s="121">
        <f t="shared" si="274"/>
        <v>0</v>
      </c>
      <c r="BN488" s="121">
        <f t="shared" si="275"/>
        <v>0</v>
      </c>
      <c r="BO488" s="121">
        <f t="shared" si="276"/>
        <v>0</v>
      </c>
      <c r="BP488" s="121">
        <f t="shared" si="277"/>
        <v>0</v>
      </c>
      <c r="BQ488" s="199">
        <f>INDEX('GDP deflators'!$C$6:$M$36,MATCH('Bottom-up tagging'!$D488,'GDP deflators'!$B$6:$B$36,),MATCH('Bottom-up tagging'!$E488,'GDP deflators'!$C$5:$L$5,))/100</f>
        <v>1.2877354466392321</v>
      </c>
      <c r="BR488" s="24">
        <v>73729</v>
      </c>
    </row>
    <row r="489" spans="2:70" ht="26.15" hidden="1" customHeight="1">
      <c r="B489" s="110" t="s">
        <v>1846</v>
      </c>
      <c r="C489" s="110" t="s">
        <v>1850</v>
      </c>
      <c r="D489" s="110" t="s">
        <v>3994</v>
      </c>
      <c r="E489" s="103">
        <v>2016</v>
      </c>
      <c r="F489" s="108" t="s">
        <v>7956</v>
      </c>
      <c r="G489" s="111" t="s">
        <v>34</v>
      </c>
      <c r="H489" s="110" t="s">
        <v>10451</v>
      </c>
      <c r="I489" s="112">
        <f>IF(Dashboard!$B$16="Current USD",'Bottom-up tagging'!BR489,'Bottom-up tagging'!BR489/'Bottom-up tagging'!BQ489)</f>
        <v>53886.133326685624</v>
      </c>
      <c r="J489" s="105" t="s">
        <v>10474</v>
      </c>
      <c r="K489" s="112"/>
      <c r="L489" s="135">
        <v>1</v>
      </c>
      <c r="M489" s="135">
        <v>1</v>
      </c>
      <c r="N489" s="112"/>
      <c r="O489" s="112"/>
      <c r="P489" s="112" t="str">
        <f>VLOOKUP(B489, 'Companies covered restructured'!$B$7:$K$470, 9, FALSE)</f>
        <v>Agri marketplaces</v>
      </c>
      <c r="Q489" s="112" t="str">
        <f>VLOOKUP(B489, 'Companies covered restructured'!$B$7:$K$470, 6, FALSE)</f>
        <v>#Livestock(100)</v>
      </c>
      <c r="R489" s="112" t="str">
        <f t="shared" si="249"/>
        <v>#Corporate(100)</v>
      </c>
      <c r="S489" s="112" t="s">
        <v>11003</v>
      </c>
      <c r="T489" s="112" t="s">
        <v>10466</v>
      </c>
      <c r="U489" s="103" t="s">
        <v>10970</v>
      </c>
      <c r="V489" s="112" t="str">
        <f>VLOOKUP(P489, 'Bottom-up Tagging Assumptions'!$B$12:$F$39, 5, FALSE)</f>
        <v>#Process Innovation(100)</v>
      </c>
      <c r="W489" s="112" t="str">
        <f>VLOOKUP(B489, 'Companies covered restructured'!$B$7:$K$470, 7, FALSE)</f>
        <v>#Landscape(100)</v>
      </c>
      <c r="X489" s="112" t="str">
        <f>VLOOKUP(B489, 'Companies covered restructured'!$B$7:$K$470, 8, FALSE)</f>
        <v>N/A</v>
      </c>
      <c r="Y489" s="212" t="str">
        <f>VLOOKUP(P489, 'Bottom-up Tagging Assumptions'!$B$12:$C$56, 2, FALSE)</f>
        <v>#Other Economic(P); Social(S)</v>
      </c>
      <c r="Z489" s="112" t="str">
        <f>VLOOKUP(P489, 'Bottom-up Tagging Assumptions'!$B$12:$F$56, 3, FALSE)</f>
        <v>#Improve price realization(P)</v>
      </c>
      <c r="AA489" s="112" t="str">
        <f>VLOOKUP(P489, 'Bottom-up Tagging Assumptions'!$B$12:$F$56, 4, FALSE)</f>
        <v>#Level 4(100)</v>
      </c>
      <c r="AB489" s="110" t="s">
        <v>2512</v>
      </c>
      <c r="AC489" s="110" t="s">
        <v>2513</v>
      </c>
      <c r="AD489" s="110" t="s">
        <v>2514</v>
      </c>
      <c r="AE489" s="110" t="str">
        <f>VLOOKUP(AD489,  '1.2'!$B$7:$C$2033, 2, FALSE)</f>
        <v>CORPORATE_INVESTOR</v>
      </c>
      <c r="AF489" s="112">
        <v>20000000</v>
      </c>
      <c r="AG489" s="110" t="s">
        <v>1269</v>
      </c>
      <c r="AH489" s="121">
        <f t="shared" si="250"/>
        <v>0</v>
      </c>
      <c r="AI489" s="121">
        <f t="shared" si="251"/>
        <v>0</v>
      </c>
      <c r="AJ489" s="121">
        <f t="shared" si="252"/>
        <v>1</v>
      </c>
      <c r="AK489" s="121">
        <f t="shared" si="253"/>
        <v>1</v>
      </c>
      <c r="AL489" s="121">
        <f t="shared" si="254"/>
        <v>0</v>
      </c>
      <c r="AM489" s="121">
        <f t="shared" si="255"/>
        <v>0</v>
      </c>
      <c r="AN489" s="121">
        <f t="shared" si="256"/>
        <v>1</v>
      </c>
      <c r="AO489" s="121">
        <f t="shared" si="257"/>
        <v>0</v>
      </c>
      <c r="AP489" s="22">
        <f t="shared" si="258"/>
        <v>0</v>
      </c>
      <c r="AQ489" s="22">
        <f t="shared" si="259"/>
        <v>53886.133326685624</v>
      </c>
      <c r="AR489" s="22">
        <f t="shared" si="260"/>
        <v>0</v>
      </c>
      <c r="AS489" s="121" t="str">
        <f t="shared" si="261"/>
        <v>Livestock</v>
      </c>
      <c r="AT489" s="121" t="str">
        <f t="shared" si="278"/>
        <v xml:space="preserve"> </v>
      </c>
      <c r="AU489" s="121" t="str">
        <f t="shared" si="278"/>
        <v xml:space="preserve"> </v>
      </c>
      <c r="AV489" s="121" t="str">
        <f t="shared" si="278"/>
        <v xml:space="preserve"> </v>
      </c>
      <c r="AW489" s="130" t="str">
        <f t="shared" si="279"/>
        <v>100</v>
      </c>
      <c r="AX489" s="130" t="str">
        <f t="shared" si="279"/>
        <v xml:space="preserve"> </v>
      </c>
      <c r="AY489" s="130" t="str">
        <f t="shared" si="279"/>
        <v xml:space="preserve"> </v>
      </c>
      <c r="AZ489" s="130" t="str">
        <f t="shared" si="279"/>
        <v xml:space="preserve"> </v>
      </c>
      <c r="BA489" s="121">
        <f t="shared" si="262"/>
        <v>53886.133326685624</v>
      </c>
      <c r="BB489" s="121">
        <f t="shared" si="263"/>
        <v>0</v>
      </c>
      <c r="BC489" s="121">
        <f t="shared" si="264"/>
        <v>0</v>
      </c>
      <c r="BD489" s="121">
        <f t="shared" si="265"/>
        <v>0</v>
      </c>
      <c r="BE489" s="121">
        <f t="shared" si="266"/>
        <v>0</v>
      </c>
      <c r="BF489" s="121">
        <f t="shared" si="267"/>
        <v>0</v>
      </c>
      <c r="BG489" s="121">
        <f t="shared" si="268"/>
        <v>0</v>
      </c>
      <c r="BH489" s="121">
        <f t="shared" si="269"/>
        <v>0</v>
      </c>
      <c r="BI489" s="121">
        <f t="shared" si="270"/>
        <v>53886.133326685624</v>
      </c>
      <c r="BJ489" s="121">
        <f t="shared" si="271"/>
        <v>53886.133326685624</v>
      </c>
      <c r="BK489" s="121">
        <f t="shared" si="272"/>
        <v>53886.133326685624</v>
      </c>
      <c r="BL489" s="121">
        <f t="shared" si="273"/>
        <v>53886.133326685624</v>
      </c>
      <c r="BM489" s="121">
        <f t="shared" si="274"/>
        <v>0</v>
      </c>
      <c r="BN489" s="121">
        <f t="shared" si="275"/>
        <v>0</v>
      </c>
      <c r="BO489" s="121">
        <f t="shared" si="276"/>
        <v>0</v>
      </c>
      <c r="BP489" s="121">
        <f t="shared" si="277"/>
        <v>0</v>
      </c>
      <c r="BQ489" s="199">
        <f>INDEX('GDP deflators'!$C$6:$M$36,MATCH('Bottom-up tagging'!$D489,'GDP deflators'!$B$6:$B$36,),MATCH('Bottom-up tagging'!$E489,'GDP deflators'!$C$5:$L$5,))/100</f>
        <v>1.3597375702538033</v>
      </c>
      <c r="BR489" s="24">
        <v>73271</v>
      </c>
    </row>
    <row r="490" spans="2:70" ht="26.15" hidden="1" customHeight="1">
      <c r="B490" s="110" t="s">
        <v>707</v>
      </c>
      <c r="C490" s="110" t="s">
        <v>710</v>
      </c>
      <c r="D490" s="110" t="s">
        <v>3994</v>
      </c>
      <c r="E490" s="103">
        <v>2019</v>
      </c>
      <c r="F490" s="108" t="s">
        <v>5869</v>
      </c>
      <c r="G490" s="111" t="s">
        <v>34</v>
      </c>
      <c r="H490" s="110" t="s">
        <v>10451</v>
      </c>
      <c r="I490" s="112">
        <f>IF(Dashboard!$B$16="Current USD",'Bottom-up tagging'!BR490,'Bottom-up tagging'!BR490/'Bottom-up tagging'!BQ490)</f>
        <v>48111.664931512343</v>
      </c>
      <c r="J490" s="118" t="s">
        <v>10474</v>
      </c>
      <c r="K490" s="112"/>
      <c r="L490" s="135">
        <v>1</v>
      </c>
      <c r="M490" s="135">
        <v>1</v>
      </c>
      <c r="N490" s="112"/>
      <c r="O490" s="112"/>
      <c r="P490" s="112" t="str">
        <f>VLOOKUP(B490, 'Companies covered restructured'!$B$7:$K$470, 9, FALSE)</f>
        <v>Precision agriculture</v>
      </c>
      <c r="Q490" s="112" t="str">
        <f>VLOOKUP(B490, 'Companies covered restructured'!$B$7:$K$470, 6, FALSE)</f>
        <v>#Crops(100)</v>
      </c>
      <c r="R490" s="112" t="str">
        <f t="shared" si="249"/>
        <v>#Investment Fund(100)</v>
      </c>
      <c r="S490" s="112" t="s">
        <v>11003</v>
      </c>
      <c r="T490" s="112" t="s">
        <v>10466</v>
      </c>
      <c r="U490" s="103" t="s">
        <v>10970</v>
      </c>
      <c r="V490" s="112" t="str">
        <f>VLOOKUP(P490, 'Bottom-up Tagging Assumptions'!$B$12:$F$39, 5, FALSE)</f>
        <v>#Science &amp; tech(100)</v>
      </c>
      <c r="W490" s="112" t="str">
        <f>VLOOKUP(B490, 'Companies covered restructured'!$B$7:$K$470, 7, FALSE)</f>
        <v>#Field/Animal Herd(100)</v>
      </c>
      <c r="X490" s="112" t="s">
        <v>10558</v>
      </c>
      <c r="Y490" s="212" t="str">
        <f>VLOOKUP(P490, 'Bottom-up Tagging Assumptions'!$B$12:$C$56, 2, FALSE)</f>
        <v>#Other Economic(P); #Productivity(S)</v>
      </c>
      <c r="Z490" s="112" t="str">
        <f>VLOOKUP(P490, 'Bottom-up Tagging Assumptions'!$B$12:$F$56, 3, FALSE)</f>
        <v>#Increasing output per unit input(P); #Increasing crop or animal yield(S)</v>
      </c>
      <c r="AA490" s="112" t="str">
        <f>VLOOKUP(P490, 'Bottom-up Tagging Assumptions'!$B$12:$F$56, 4, FALSE)</f>
        <v>#Level 1(100)</v>
      </c>
      <c r="AB490" s="110" t="s">
        <v>1145</v>
      </c>
      <c r="AC490" s="110"/>
      <c r="AD490" s="110" t="s">
        <v>1146</v>
      </c>
      <c r="AE490" s="110" t="str">
        <f>VLOOKUP(AD490,  '1.2'!$B$7:$C$2033, 2, FALSE)</f>
        <v>FUND</v>
      </c>
      <c r="AF490" s="112">
        <v>40000</v>
      </c>
      <c r="AG490" s="110" t="s">
        <v>2862</v>
      </c>
      <c r="AH490" s="121">
        <f t="shared" si="250"/>
        <v>0</v>
      </c>
      <c r="AI490" s="121">
        <f t="shared" si="251"/>
        <v>1</v>
      </c>
      <c r="AJ490" s="121">
        <f t="shared" si="252"/>
        <v>1</v>
      </c>
      <c r="AK490" s="121">
        <f t="shared" si="253"/>
        <v>0</v>
      </c>
      <c r="AL490" s="121">
        <f t="shared" si="254"/>
        <v>0</v>
      </c>
      <c r="AM490" s="121">
        <f t="shared" si="255"/>
        <v>0</v>
      </c>
      <c r="AN490" s="121">
        <f t="shared" si="256"/>
        <v>0</v>
      </c>
      <c r="AO490" s="121">
        <f t="shared" si="257"/>
        <v>0</v>
      </c>
      <c r="AP490" s="22">
        <f t="shared" si="258"/>
        <v>0</v>
      </c>
      <c r="AQ490" s="22">
        <f t="shared" si="259"/>
        <v>0</v>
      </c>
      <c r="AR490" s="22">
        <f t="shared" si="260"/>
        <v>0</v>
      </c>
      <c r="AS490" s="121" t="str">
        <f t="shared" si="261"/>
        <v>Crops</v>
      </c>
      <c r="AT490" s="121" t="str">
        <f t="shared" si="278"/>
        <v xml:space="preserve"> </v>
      </c>
      <c r="AU490" s="121" t="str">
        <f t="shared" si="278"/>
        <v xml:space="preserve"> </v>
      </c>
      <c r="AV490" s="121" t="str">
        <f t="shared" si="278"/>
        <v xml:space="preserve"> </v>
      </c>
      <c r="AW490" s="130" t="str">
        <f t="shared" si="279"/>
        <v>100</v>
      </c>
      <c r="AX490" s="130" t="str">
        <f t="shared" si="279"/>
        <v xml:space="preserve"> </v>
      </c>
      <c r="AY490" s="130" t="str">
        <f t="shared" si="279"/>
        <v xml:space="preserve"> </v>
      </c>
      <c r="AZ490" s="130" t="str">
        <f t="shared" si="279"/>
        <v xml:space="preserve"> </v>
      </c>
      <c r="BA490" s="121">
        <f t="shared" si="262"/>
        <v>48111.664931512343</v>
      </c>
      <c r="BB490" s="121">
        <f t="shared" si="263"/>
        <v>0</v>
      </c>
      <c r="BC490" s="121">
        <f t="shared" si="264"/>
        <v>0</v>
      </c>
      <c r="BD490" s="121">
        <f t="shared" si="265"/>
        <v>0</v>
      </c>
      <c r="BE490" s="121">
        <f t="shared" si="266"/>
        <v>0</v>
      </c>
      <c r="BF490" s="121">
        <f t="shared" si="267"/>
        <v>0</v>
      </c>
      <c r="BG490" s="121">
        <f t="shared" si="268"/>
        <v>0</v>
      </c>
      <c r="BH490" s="121">
        <f t="shared" si="269"/>
        <v>0</v>
      </c>
      <c r="BI490" s="121">
        <f t="shared" si="270"/>
        <v>0</v>
      </c>
      <c r="BJ490" s="121">
        <f t="shared" si="271"/>
        <v>0</v>
      </c>
      <c r="BK490" s="121">
        <f t="shared" si="272"/>
        <v>0</v>
      </c>
      <c r="BL490" s="121">
        <f t="shared" si="273"/>
        <v>0</v>
      </c>
      <c r="BM490" s="121">
        <f t="shared" si="274"/>
        <v>0</v>
      </c>
      <c r="BN490" s="121">
        <f t="shared" si="275"/>
        <v>0</v>
      </c>
      <c r="BO490" s="121">
        <f t="shared" si="276"/>
        <v>0</v>
      </c>
      <c r="BP490" s="121">
        <f t="shared" si="277"/>
        <v>0</v>
      </c>
      <c r="BQ490" s="199">
        <f>INDEX('GDP deflators'!$C$6:$M$36,MATCH('Bottom-up tagging'!$D490,'GDP deflators'!$B$6:$B$36,),MATCH('Bottom-up tagging'!$E490,'GDP deflators'!$C$5:$L$5,))/100</f>
        <v>1.5094883975306472</v>
      </c>
      <c r="BR490" s="24">
        <v>72624</v>
      </c>
    </row>
    <row r="491" spans="2:70" ht="26.15" hidden="1" customHeight="1">
      <c r="B491" s="110" t="s">
        <v>650</v>
      </c>
      <c r="C491" s="110" t="s">
        <v>654</v>
      </c>
      <c r="D491" s="110" t="s">
        <v>3994</v>
      </c>
      <c r="E491" s="103">
        <v>2019</v>
      </c>
      <c r="F491" s="108" t="s">
        <v>6609</v>
      </c>
      <c r="G491" s="111" t="s">
        <v>109</v>
      </c>
      <c r="H491" s="110" t="s">
        <v>10451</v>
      </c>
      <c r="I491" s="112">
        <f>IF(Dashboard!$B$16="Current USD",'Bottom-up tagging'!BR491,'Bottom-up tagging'!BR491/'Bottom-up tagging'!BQ491)</f>
        <v>46405.126475029967</v>
      </c>
      <c r="J491" s="117" t="s">
        <v>10474</v>
      </c>
      <c r="K491" s="112"/>
      <c r="L491" s="135">
        <v>1</v>
      </c>
      <c r="M491" s="135">
        <v>1</v>
      </c>
      <c r="N491" s="112"/>
      <c r="O491" s="112"/>
      <c r="P491" s="112" t="str">
        <f>VLOOKUP(B491, 'Companies covered restructured'!$B$7:$K$470, 9, FALSE)</f>
        <v>Equipment automation</v>
      </c>
      <c r="Q491" s="112" t="str">
        <f>VLOOKUP(B491, 'Companies covered restructured'!$B$7:$K$470, 6, FALSE)</f>
        <v>#Crops(100)</v>
      </c>
      <c r="R491" s="112" t="str">
        <f t="shared" si="249"/>
        <v>#Investment Fund(100)</v>
      </c>
      <c r="S491" s="112" t="s">
        <v>11003</v>
      </c>
      <c r="T491" s="112" t="s">
        <v>10466</v>
      </c>
      <c r="U491" s="213" t="s">
        <v>10970</v>
      </c>
      <c r="V491" s="112" t="str">
        <f>VLOOKUP(P491, 'Bottom-up Tagging Assumptions'!$B$12:$F$39, 5, FALSE)</f>
        <v>#Science &amp; tech(100)</v>
      </c>
      <c r="W491" s="112" t="str">
        <f>VLOOKUP(B491, 'Companies covered restructured'!$B$7:$K$470, 7, FALSE)</f>
        <v>#Field/Animal Herd(100)</v>
      </c>
      <c r="X491" s="112" t="s">
        <v>10558</v>
      </c>
      <c r="Y491" s="212" t="str">
        <f>VLOOKUP(P491, 'Bottom-up Tagging Assumptions'!$B$12:$C$56, 2, FALSE)</f>
        <v>#Productivity(P); #Other Economic(S)</v>
      </c>
      <c r="Z491" s="112" t="str">
        <f>VLOOKUP(P491, 'Bottom-up Tagging Assumptions'!$B$12:$F$56, 3, FALSE)</f>
        <v>#Reducing human effort(P); #Increasing output per unit input(S)</v>
      </c>
      <c r="AA491" s="112" t="str">
        <f>VLOOKUP(P491, 'Bottom-up Tagging Assumptions'!$B$12:$F$56, 4, FALSE)</f>
        <v>#Level 1(100)</v>
      </c>
      <c r="AB491" s="110" t="s">
        <v>652</v>
      </c>
      <c r="AC491" s="110"/>
      <c r="AD491" s="110" t="s">
        <v>653</v>
      </c>
      <c r="AE491" s="110" t="str">
        <f>VLOOKUP(AD491,  '1.2'!$B$7:$C$2033, 2, FALSE)</f>
        <v>FUND</v>
      </c>
      <c r="AF491" s="112"/>
      <c r="AG491" s="110" t="s">
        <v>2868</v>
      </c>
      <c r="AH491" s="121">
        <f t="shared" si="250"/>
        <v>0</v>
      </c>
      <c r="AI491" s="121">
        <f t="shared" si="251"/>
        <v>1</v>
      </c>
      <c r="AJ491" s="121">
        <f t="shared" si="252"/>
        <v>1</v>
      </c>
      <c r="AK491" s="121">
        <f t="shared" si="253"/>
        <v>0</v>
      </c>
      <c r="AL491" s="121">
        <f t="shared" si="254"/>
        <v>0</v>
      </c>
      <c r="AM491" s="121">
        <f t="shared" si="255"/>
        <v>0</v>
      </c>
      <c r="AN491" s="121">
        <f t="shared" si="256"/>
        <v>0</v>
      </c>
      <c r="AO491" s="121">
        <f t="shared" si="257"/>
        <v>0</v>
      </c>
      <c r="AP491" s="22">
        <f t="shared" si="258"/>
        <v>0</v>
      </c>
      <c r="AQ491" s="22">
        <f t="shared" si="259"/>
        <v>0</v>
      </c>
      <c r="AR491" s="22">
        <f t="shared" si="260"/>
        <v>0</v>
      </c>
      <c r="AS491" s="121" t="str">
        <f t="shared" si="261"/>
        <v>Crops</v>
      </c>
      <c r="AT491" s="121" t="str">
        <f t="shared" si="278"/>
        <v xml:space="preserve"> </v>
      </c>
      <c r="AU491" s="121" t="str">
        <f t="shared" si="278"/>
        <v xml:space="preserve"> </v>
      </c>
      <c r="AV491" s="121" t="str">
        <f t="shared" si="278"/>
        <v xml:space="preserve"> </v>
      </c>
      <c r="AW491" s="130" t="str">
        <f t="shared" si="279"/>
        <v>100</v>
      </c>
      <c r="AX491" s="130" t="str">
        <f t="shared" si="279"/>
        <v xml:space="preserve"> </v>
      </c>
      <c r="AY491" s="130" t="str">
        <f t="shared" si="279"/>
        <v xml:space="preserve"> </v>
      </c>
      <c r="AZ491" s="130" t="str">
        <f t="shared" si="279"/>
        <v xml:space="preserve"> </v>
      </c>
      <c r="BA491" s="121">
        <f t="shared" si="262"/>
        <v>46405.126475029967</v>
      </c>
      <c r="BB491" s="121">
        <f t="shared" si="263"/>
        <v>0</v>
      </c>
      <c r="BC491" s="121">
        <f t="shared" si="264"/>
        <v>0</v>
      </c>
      <c r="BD491" s="121">
        <f t="shared" si="265"/>
        <v>0</v>
      </c>
      <c r="BE491" s="121">
        <f t="shared" si="266"/>
        <v>0</v>
      </c>
      <c r="BF491" s="121">
        <f t="shared" si="267"/>
        <v>0</v>
      </c>
      <c r="BG491" s="121">
        <f t="shared" si="268"/>
        <v>0</v>
      </c>
      <c r="BH491" s="121">
        <f t="shared" si="269"/>
        <v>0</v>
      </c>
      <c r="BI491" s="121">
        <f t="shared" si="270"/>
        <v>0</v>
      </c>
      <c r="BJ491" s="121">
        <f t="shared" si="271"/>
        <v>0</v>
      </c>
      <c r="BK491" s="121">
        <f t="shared" si="272"/>
        <v>0</v>
      </c>
      <c r="BL491" s="121">
        <f t="shared" si="273"/>
        <v>0</v>
      </c>
      <c r="BM491" s="121">
        <f t="shared" si="274"/>
        <v>0</v>
      </c>
      <c r="BN491" s="121">
        <f t="shared" si="275"/>
        <v>0</v>
      </c>
      <c r="BO491" s="121">
        <f t="shared" si="276"/>
        <v>0</v>
      </c>
      <c r="BP491" s="121">
        <f t="shared" si="277"/>
        <v>0</v>
      </c>
      <c r="BQ491" s="199">
        <f>INDEX('GDP deflators'!$C$6:$M$36,MATCH('Bottom-up tagging'!$D491,'GDP deflators'!$B$6:$B$36,),MATCH('Bottom-up tagging'!$E491,'GDP deflators'!$C$5:$L$5,))/100</f>
        <v>1.5094883975306472</v>
      </c>
      <c r="BR491" s="24">
        <v>70048</v>
      </c>
    </row>
    <row r="492" spans="2:70" ht="26.15" hidden="1" customHeight="1">
      <c r="B492" s="110" t="s">
        <v>3041</v>
      </c>
      <c r="C492" s="110" t="s">
        <v>3045</v>
      </c>
      <c r="D492" s="110" t="s">
        <v>3994</v>
      </c>
      <c r="E492" s="103">
        <v>2011</v>
      </c>
      <c r="F492" s="108" t="s">
        <v>9960</v>
      </c>
      <c r="G492" s="111" t="s">
        <v>34</v>
      </c>
      <c r="H492" s="110" t="s">
        <v>10451</v>
      </c>
      <c r="I492" s="112">
        <f>IF(Dashboard!$B$16="Current USD",'Bottom-up tagging'!BR492,'Bottom-up tagging'!BR492/'Bottom-up tagging'!BQ492)</f>
        <v>64420.762521266013</v>
      </c>
      <c r="J492" s="105" t="s">
        <v>10474</v>
      </c>
      <c r="K492" s="112"/>
      <c r="L492" s="135">
        <v>1</v>
      </c>
      <c r="M492" s="135">
        <v>1</v>
      </c>
      <c r="N492" s="112"/>
      <c r="O492" s="112"/>
      <c r="P492" s="112" t="str">
        <f>VLOOKUP(B492, 'Companies covered restructured'!$B$7:$K$470, 9, FALSE)</f>
        <v>Supply chain technologies</v>
      </c>
      <c r="Q492" s="112" t="str">
        <f>VLOOKUP(B492, 'Companies covered restructured'!$B$7:$K$470, 6, FALSE)</f>
        <v>#Crops(100)</v>
      </c>
      <c r="R492" s="112" t="str">
        <f t="shared" si="249"/>
        <v>#Angel Investor(100)</v>
      </c>
      <c r="S492" s="112" t="s">
        <v>11003</v>
      </c>
      <c r="T492" s="112" t="s">
        <v>10466</v>
      </c>
      <c r="U492" s="103" t="s">
        <v>10970</v>
      </c>
      <c r="V492" s="112" t="str">
        <f>VLOOKUP(P492, 'Bottom-up Tagging Assumptions'!$B$12:$F$39, 5, FALSE)</f>
        <v>#Process Innovation(100)</v>
      </c>
      <c r="W492" s="112" t="str">
        <f>VLOOKUP(B492, 'Companies covered restructured'!$B$7:$K$470, 7, FALSE)</f>
        <v>#Farm/Household(100)</v>
      </c>
      <c r="X492" s="112" t="str">
        <f>VLOOKUP(B492, 'Companies covered restructured'!$B$7:$K$470, 8, FALSE)</f>
        <v>#Small(100)</v>
      </c>
      <c r="Y492" s="212" t="str">
        <f>VLOOKUP(P492, 'Bottom-up Tagging Assumptions'!$B$12:$C$56, 2, FALSE)</f>
        <v>#Other Economic(P); Social(S)</v>
      </c>
      <c r="Z492" s="112" t="str">
        <f>VLOOKUP(P492, 'Bottom-up Tagging Assumptions'!$B$12:$F$56, 3, FALSE)</f>
        <v>#Improve price realization(P)</v>
      </c>
      <c r="AA492" s="112" t="str">
        <f>VLOOKUP(P492, 'Bottom-up Tagging Assumptions'!$B$12:$F$56, 4, FALSE)</f>
        <v>#Level 3(100)</v>
      </c>
      <c r="AB492" s="110" t="s">
        <v>283</v>
      </c>
      <c r="AC492" s="110" t="s">
        <v>3043</v>
      </c>
      <c r="AD492" s="110" t="s">
        <v>3044</v>
      </c>
      <c r="AE492" s="110" t="str">
        <f>VLOOKUP(AD492,  '1.2'!$B$7:$C$2033, 2, FALSE)</f>
        <v>ANGEL</v>
      </c>
      <c r="AF492" s="112"/>
      <c r="AG492" s="110" t="s">
        <v>2868</v>
      </c>
      <c r="AH492" s="121">
        <f t="shared" si="250"/>
        <v>0</v>
      </c>
      <c r="AI492" s="121">
        <f t="shared" si="251"/>
        <v>0</v>
      </c>
      <c r="AJ492" s="121">
        <f t="shared" si="252"/>
        <v>1</v>
      </c>
      <c r="AK492" s="121">
        <f t="shared" si="253"/>
        <v>1</v>
      </c>
      <c r="AL492" s="121">
        <f t="shared" si="254"/>
        <v>0</v>
      </c>
      <c r="AM492" s="121">
        <f t="shared" si="255"/>
        <v>0</v>
      </c>
      <c r="AN492" s="121">
        <f t="shared" si="256"/>
        <v>1</v>
      </c>
      <c r="AO492" s="121">
        <f t="shared" si="257"/>
        <v>0</v>
      </c>
      <c r="AP492" s="22">
        <f t="shared" si="258"/>
        <v>0</v>
      </c>
      <c r="AQ492" s="22">
        <f t="shared" si="259"/>
        <v>64420.762521266013</v>
      </c>
      <c r="AR492" s="22">
        <f t="shared" si="260"/>
        <v>0</v>
      </c>
      <c r="AS492" s="121" t="str">
        <f t="shared" si="261"/>
        <v>Crops</v>
      </c>
      <c r="AT492" s="121" t="str">
        <f t="shared" ref="AT492:AV511" si="280">IFERROR(IFERROR(MID($Q492,FIND("~",SUBSTITUTE($Q492,";","~",AT$10-1))+3,(FIND("~",SUBSTITUTE($Q492,";","~",AT$10))+0-(FIND("~",SUBSTITUTE($Q492,";","~",AT$10-1))+2))-6),MID($Q492,FIND("~",SUBSTITUTE($Q492,";","~",AT$10-1))+3,(LEN($Q492)-6-FIND("~",SUBSTITUTE($Q492,";","~",AT$10-1))-1)))," ")</f>
        <v xml:space="preserve"> </v>
      </c>
      <c r="AU492" s="121" t="str">
        <f t="shared" si="280"/>
        <v xml:space="preserve"> </v>
      </c>
      <c r="AV492" s="121" t="str">
        <f t="shared" si="280"/>
        <v xml:space="preserve"> </v>
      </c>
      <c r="AW492" s="130" t="str">
        <f t="shared" ref="AW492:AZ511" si="281">IFERROR(MID($Q492,FIND("~",SUBSTITUTE($Q492,"(","~",AW$10))+1,3)," ")</f>
        <v>100</v>
      </c>
      <c r="AX492" s="130" t="str">
        <f t="shared" si="281"/>
        <v xml:space="preserve"> </v>
      </c>
      <c r="AY492" s="130" t="str">
        <f t="shared" si="281"/>
        <v xml:space="preserve"> </v>
      </c>
      <c r="AZ492" s="130" t="str">
        <f t="shared" si="281"/>
        <v xml:space="preserve"> </v>
      </c>
      <c r="BA492" s="121">
        <f t="shared" si="262"/>
        <v>64420.762521266013</v>
      </c>
      <c r="BB492" s="121">
        <f t="shared" si="263"/>
        <v>0</v>
      </c>
      <c r="BC492" s="121">
        <f t="shared" si="264"/>
        <v>0</v>
      </c>
      <c r="BD492" s="121">
        <f t="shared" si="265"/>
        <v>0</v>
      </c>
      <c r="BE492" s="121">
        <f t="shared" si="266"/>
        <v>0</v>
      </c>
      <c r="BF492" s="121">
        <f t="shared" si="267"/>
        <v>0</v>
      </c>
      <c r="BG492" s="121">
        <f t="shared" si="268"/>
        <v>0</v>
      </c>
      <c r="BH492" s="121">
        <f t="shared" si="269"/>
        <v>0</v>
      </c>
      <c r="BI492" s="121">
        <f t="shared" si="270"/>
        <v>64420.762521266013</v>
      </c>
      <c r="BJ492" s="121">
        <f t="shared" si="271"/>
        <v>64420.762521266013</v>
      </c>
      <c r="BK492" s="121">
        <f t="shared" si="272"/>
        <v>64420.762521266013</v>
      </c>
      <c r="BL492" s="121">
        <f t="shared" si="273"/>
        <v>64420.762521266013</v>
      </c>
      <c r="BM492" s="121">
        <f t="shared" si="274"/>
        <v>0</v>
      </c>
      <c r="BN492" s="121">
        <f t="shared" si="275"/>
        <v>0</v>
      </c>
      <c r="BO492" s="121">
        <f t="shared" si="276"/>
        <v>0</v>
      </c>
      <c r="BP492" s="121">
        <f t="shared" si="277"/>
        <v>0</v>
      </c>
      <c r="BQ492" s="199">
        <f>INDEX('GDP deflators'!$C$6:$M$36,MATCH('Bottom-up tagging'!$D492,'GDP deflators'!$B$6:$B$36,),MATCH('Bottom-up tagging'!$E492,'GDP deflators'!$C$5:$L$5,))/100</f>
        <v>1.0873357790025646</v>
      </c>
      <c r="BR492" s="24">
        <v>70047</v>
      </c>
    </row>
    <row r="493" spans="2:70" ht="26.15" hidden="1" customHeight="1">
      <c r="B493" s="110" t="s">
        <v>829</v>
      </c>
      <c r="C493" s="110" t="s">
        <v>833</v>
      </c>
      <c r="D493" s="110" t="s">
        <v>5277</v>
      </c>
      <c r="E493" s="103">
        <v>2016</v>
      </c>
      <c r="F493" s="108" t="s">
        <v>7287</v>
      </c>
      <c r="G493" s="111" t="s">
        <v>34</v>
      </c>
      <c r="H493" s="110" t="s">
        <v>10451</v>
      </c>
      <c r="I493" s="112">
        <f>IF(Dashboard!$B$16="Current USD",'Bottom-up tagging'!BR493,'Bottom-up tagging'!BR493/'Bottom-up tagging'!BQ493)</f>
        <v>53252.49121523666</v>
      </c>
      <c r="J493" s="117" t="s">
        <v>10474</v>
      </c>
      <c r="K493" s="112"/>
      <c r="L493" s="135">
        <v>1</v>
      </c>
      <c r="M493" s="135">
        <v>1</v>
      </c>
      <c r="N493" s="112"/>
      <c r="O493" s="112"/>
      <c r="P493" s="112" t="str">
        <f>VLOOKUP(B493, 'Companies covered restructured'!$B$7:$K$470, 9, FALSE)</f>
        <v xml:space="preserve">Agriculture financing systems </v>
      </c>
      <c r="Q493" s="112" t="str">
        <f>VLOOKUP(B493, 'Companies covered restructured'!$B$7:$K$470, 6, FALSE)</f>
        <v>#Cross-cutting(100)</v>
      </c>
      <c r="R493" s="112" t="str">
        <f t="shared" si="249"/>
        <v>N/A</v>
      </c>
      <c r="S493" s="112" t="s">
        <v>11003</v>
      </c>
      <c r="T493" s="112" t="s">
        <v>10466</v>
      </c>
      <c r="U493" s="103" t="s">
        <v>10970</v>
      </c>
      <c r="V493" s="112" t="str">
        <f>VLOOKUP(P493, 'Bottom-up Tagging Assumptions'!$B$12:$F$39, 5, FALSE)</f>
        <v>#Process Innovation(100)</v>
      </c>
      <c r="W493" s="112" t="str">
        <f>VLOOKUP(B493, 'Companies covered restructured'!$B$7:$K$470, 7, FALSE)</f>
        <v>#Landscape(100)</v>
      </c>
      <c r="X493" s="112" t="s">
        <v>10558</v>
      </c>
      <c r="Y493" s="212" t="str">
        <f>VLOOKUP(P493, 'Bottom-up Tagging Assumptions'!$B$12:$C$56, 2, FALSE)</f>
        <v>#Other Economic(P); Social(S)</v>
      </c>
      <c r="Z493" s="112" t="str">
        <f>VLOOKUP(P493, 'Bottom-up Tagging Assumptions'!$B$12:$F$56, 3, FALSE)</f>
        <v>NA</v>
      </c>
      <c r="AA493" s="112" t="str">
        <f>VLOOKUP(P493, 'Bottom-up Tagging Assumptions'!$B$12:$F$56, 4, FALSE)</f>
        <v>#Level 1(100)</v>
      </c>
      <c r="AB493" s="110"/>
      <c r="AC493" s="110"/>
      <c r="AD493" s="110"/>
      <c r="AE493" s="110" t="s">
        <v>10558</v>
      </c>
      <c r="AF493" s="112">
        <v>400000</v>
      </c>
      <c r="AG493" s="110" t="s">
        <v>2873</v>
      </c>
      <c r="AH493" s="121">
        <f t="shared" si="250"/>
        <v>0</v>
      </c>
      <c r="AI493" s="121">
        <f t="shared" si="251"/>
        <v>0</v>
      </c>
      <c r="AJ493" s="121">
        <f t="shared" si="252"/>
        <v>1</v>
      </c>
      <c r="AK493" s="121">
        <f t="shared" si="253"/>
        <v>1</v>
      </c>
      <c r="AL493" s="121">
        <f t="shared" si="254"/>
        <v>0</v>
      </c>
      <c r="AM493" s="121">
        <f t="shared" si="255"/>
        <v>0</v>
      </c>
      <c r="AN493" s="121">
        <f t="shared" si="256"/>
        <v>1</v>
      </c>
      <c r="AO493" s="121">
        <f t="shared" si="257"/>
        <v>0</v>
      </c>
      <c r="AP493" s="22">
        <f t="shared" si="258"/>
        <v>0</v>
      </c>
      <c r="AQ493" s="22">
        <f t="shared" si="259"/>
        <v>53252.49121523666</v>
      </c>
      <c r="AR493" s="22">
        <f t="shared" si="260"/>
        <v>0</v>
      </c>
      <c r="AS493" s="121" t="str">
        <f t="shared" si="261"/>
        <v>Cross-cutting</v>
      </c>
      <c r="AT493" s="121" t="str">
        <f t="shared" si="280"/>
        <v xml:space="preserve"> </v>
      </c>
      <c r="AU493" s="121" t="str">
        <f t="shared" si="280"/>
        <v xml:space="preserve"> </v>
      </c>
      <c r="AV493" s="121" t="str">
        <f t="shared" si="280"/>
        <v xml:space="preserve"> </v>
      </c>
      <c r="AW493" s="130" t="str">
        <f t="shared" si="281"/>
        <v>100</v>
      </c>
      <c r="AX493" s="130" t="str">
        <f t="shared" si="281"/>
        <v xml:space="preserve"> </v>
      </c>
      <c r="AY493" s="130" t="str">
        <f t="shared" si="281"/>
        <v xml:space="preserve"> </v>
      </c>
      <c r="AZ493" s="130" t="str">
        <f t="shared" si="281"/>
        <v xml:space="preserve"> </v>
      </c>
      <c r="BA493" s="121">
        <f t="shared" si="262"/>
        <v>53252.49121523666</v>
      </c>
      <c r="BB493" s="121">
        <f t="shared" si="263"/>
        <v>0</v>
      </c>
      <c r="BC493" s="121">
        <f t="shared" si="264"/>
        <v>0</v>
      </c>
      <c r="BD493" s="121">
        <f t="shared" si="265"/>
        <v>0</v>
      </c>
      <c r="BE493" s="121">
        <f t="shared" si="266"/>
        <v>0</v>
      </c>
      <c r="BF493" s="121">
        <f t="shared" si="267"/>
        <v>0</v>
      </c>
      <c r="BG493" s="121">
        <f t="shared" si="268"/>
        <v>0</v>
      </c>
      <c r="BH493" s="121">
        <f t="shared" si="269"/>
        <v>0</v>
      </c>
      <c r="BI493" s="121">
        <f t="shared" si="270"/>
        <v>53252.49121523666</v>
      </c>
      <c r="BJ493" s="121">
        <f t="shared" si="271"/>
        <v>53252.49121523666</v>
      </c>
      <c r="BK493" s="121">
        <f t="shared" si="272"/>
        <v>53252.49121523666</v>
      </c>
      <c r="BL493" s="121">
        <f t="shared" si="273"/>
        <v>53252.49121523666</v>
      </c>
      <c r="BM493" s="121">
        <f t="shared" si="274"/>
        <v>0</v>
      </c>
      <c r="BN493" s="121">
        <f t="shared" si="275"/>
        <v>0</v>
      </c>
      <c r="BO493" s="121">
        <f t="shared" si="276"/>
        <v>0</v>
      </c>
      <c r="BP493" s="121">
        <f t="shared" si="277"/>
        <v>0</v>
      </c>
      <c r="BQ493" s="199">
        <f>INDEX('GDP deflators'!$C$6:$M$36,MATCH('Bottom-up tagging'!$D493,'GDP deflators'!$B$6:$B$36,),MATCH('Bottom-up tagging'!$E493,'GDP deflators'!$C$5:$L$5,))/100</f>
        <v>1.3144924942022529</v>
      </c>
      <c r="BR493" s="24">
        <v>70000</v>
      </c>
    </row>
    <row r="494" spans="2:70" ht="26.15" hidden="1" customHeight="1">
      <c r="B494" s="110" t="s">
        <v>878</v>
      </c>
      <c r="C494" s="110" t="s">
        <v>883</v>
      </c>
      <c r="D494" s="110" t="s">
        <v>3994</v>
      </c>
      <c r="E494" s="103">
        <v>2017</v>
      </c>
      <c r="F494" s="108" t="s">
        <v>8198</v>
      </c>
      <c r="G494" s="111" t="s">
        <v>124</v>
      </c>
      <c r="H494" s="110" t="s">
        <v>10451</v>
      </c>
      <c r="I494" s="112">
        <f>IF(Dashboard!$B$16="Current USD",'Bottom-up tagging'!BR494,'Bottom-up tagging'!BR494/'Bottom-up tagging'!BQ494)</f>
        <v>49166.266039536698</v>
      </c>
      <c r="J494" s="118" t="s">
        <v>10474</v>
      </c>
      <c r="K494" s="112"/>
      <c r="L494" s="135">
        <v>1</v>
      </c>
      <c r="M494" s="135">
        <v>1</v>
      </c>
      <c r="N494" s="112"/>
      <c r="O494" s="112"/>
      <c r="P494" s="112" t="str">
        <f>VLOOKUP(B494, 'Companies covered restructured'!$B$7:$K$470, 9, FALSE)</f>
        <v>Agri marketplaces</v>
      </c>
      <c r="Q494" s="112" t="str">
        <f>VLOOKUP(B494, 'Companies covered restructured'!$B$7:$K$470, 6, FALSE)</f>
        <v>#Livestock(100)</v>
      </c>
      <c r="R494" s="112" t="str">
        <f t="shared" si="249"/>
        <v>#Angel Investor(100)</v>
      </c>
      <c r="S494" s="112" t="s">
        <v>11003</v>
      </c>
      <c r="T494" s="112" t="s">
        <v>10466</v>
      </c>
      <c r="U494" s="103" t="s">
        <v>10970</v>
      </c>
      <c r="V494" s="112" t="str">
        <f>VLOOKUP(P494, 'Bottom-up Tagging Assumptions'!$B$12:$F$39, 5, FALSE)</f>
        <v>#Process Innovation(100)</v>
      </c>
      <c r="W494" s="112" t="str">
        <f>VLOOKUP(B494, 'Companies covered restructured'!$B$7:$K$470, 7, FALSE)</f>
        <v>#Farm/Household(100)</v>
      </c>
      <c r="X494" s="112" t="str">
        <f>VLOOKUP(B494, 'Companies covered restructured'!$B$7:$K$470, 8, FALSE)</f>
        <v>N/A</v>
      </c>
      <c r="Y494" s="212" t="str">
        <f>VLOOKUP(P494, 'Bottom-up Tagging Assumptions'!$B$12:$C$56, 2, FALSE)</f>
        <v>#Other Economic(P); Social(S)</v>
      </c>
      <c r="Z494" s="112" t="str">
        <f>VLOOKUP(P494, 'Bottom-up Tagging Assumptions'!$B$12:$F$56, 3, FALSE)</f>
        <v>#Improve price realization(P)</v>
      </c>
      <c r="AA494" s="112" t="str">
        <f>VLOOKUP(P494, 'Bottom-up Tagging Assumptions'!$B$12:$F$56, 4, FALSE)</f>
        <v>#Level 4(100)</v>
      </c>
      <c r="AB494" s="110"/>
      <c r="AC494" s="110" t="s">
        <v>881</v>
      </c>
      <c r="AD494" s="110" t="s">
        <v>881</v>
      </c>
      <c r="AE494" s="110" t="str">
        <f>VLOOKUP(AD494,  '1.2'!$B$7:$C$2033, 2, FALSE)</f>
        <v>ANGEL</v>
      </c>
      <c r="AF494" s="112">
        <v>50000000</v>
      </c>
      <c r="AG494" s="110" t="s">
        <v>2878</v>
      </c>
      <c r="AH494" s="121">
        <f t="shared" si="250"/>
        <v>0</v>
      </c>
      <c r="AI494" s="121">
        <f t="shared" si="251"/>
        <v>0</v>
      </c>
      <c r="AJ494" s="121">
        <f t="shared" si="252"/>
        <v>1</v>
      </c>
      <c r="AK494" s="121">
        <f t="shared" si="253"/>
        <v>1</v>
      </c>
      <c r="AL494" s="121">
        <f t="shared" si="254"/>
        <v>0</v>
      </c>
      <c r="AM494" s="121">
        <f t="shared" si="255"/>
        <v>0</v>
      </c>
      <c r="AN494" s="121">
        <f t="shared" si="256"/>
        <v>1</v>
      </c>
      <c r="AO494" s="121">
        <f t="shared" si="257"/>
        <v>0</v>
      </c>
      <c r="AP494" s="22">
        <f t="shared" si="258"/>
        <v>0</v>
      </c>
      <c r="AQ494" s="22">
        <f t="shared" si="259"/>
        <v>49166.266039536698</v>
      </c>
      <c r="AR494" s="22">
        <f t="shared" si="260"/>
        <v>0</v>
      </c>
      <c r="AS494" s="121" t="str">
        <f t="shared" si="261"/>
        <v>Livestock</v>
      </c>
      <c r="AT494" s="121" t="str">
        <f t="shared" si="280"/>
        <v xml:space="preserve"> </v>
      </c>
      <c r="AU494" s="121" t="str">
        <f t="shared" si="280"/>
        <v xml:space="preserve"> </v>
      </c>
      <c r="AV494" s="121" t="str">
        <f t="shared" si="280"/>
        <v xml:space="preserve"> </v>
      </c>
      <c r="AW494" s="130" t="str">
        <f t="shared" si="281"/>
        <v>100</v>
      </c>
      <c r="AX494" s="130" t="str">
        <f t="shared" si="281"/>
        <v xml:space="preserve"> </v>
      </c>
      <c r="AY494" s="130" t="str">
        <f t="shared" si="281"/>
        <v xml:space="preserve"> </v>
      </c>
      <c r="AZ494" s="130" t="str">
        <f t="shared" si="281"/>
        <v xml:space="preserve"> </v>
      </c>
      <c r="BA494" s="121">
        <f t="shared" si="262"/>
        <v>49166.266039536698</v>
      </c>
      <c r="BB494" s="121">
        <f t="shared" si="263"/>
        <v>0</v>
      </c>
      <c r="BC494" s="121">
        <f t="shared" si="264"/>
        <v>0</v>
      </c>
      <c r="BD494" s="121">
        <f t="shared" si="265"/>
        <v>0</v>
      </c>
      <c r="BE494" s="121">
        <f t="shared" si="266"/>
        <v>0</v>
      </c>
      <c r="BF494" s="121">
        <f t="shared" si="267"/>
        <v>0</v>
      </c>
      <c r="BG494" s="121">
        <f t="shared" si="268"/>
        <v>0</v>
      </c>
      <c r="BH494" s="121">
        <f t="shared" si="269"/>
        <v>0</v>
      </c>
      <c r="BI494" s="121">
        <f t="shared" si="270"/>
        <v>49166.266039536698</v>
      </c>
      <c r="BJ494" s="121">
        <f t="shared" si="271"/>
        <v>49166.266039536698</v>
      </c>
      <c r="BK494" s="121">
        <f t="shared" si="272"/>
        <v>49166.266039536698</v>
      </c>
      <c r="BL494" s="121">
        <f t="shared" si="273"/>
        <v>49166.266039536698</v>
      </c>
      <c r="BM494" s="121">
        <f t="shared" si="274"/>
        <v>0</v>
      </c>
      <c r="BN494" s="121">
        <f t="shared" si="275"/>
        <v>0</v>
      </c>
      <c r="BO494" s="121">
        <f t="shared" si="276"/>
        <v>0</v>
      </c>
      <c r="BP494" s="121">
        <f t="shared" si="277"/>
        <v>0</v>
      </c>
      <c r="BQ494" s="199">
        <f>INDEX('GDP deflators'!$C$6:$M$36,MATCH('Bottom-up tagging'!$D494,'GDP deflators'!$B$6:$B$36,),MATCH('Bottom-up tagging'!$E494,'GDP deflators'!$C$5:$L$5,))/100</f>
        <v>1.4111098032990623</v>
      </c>
      <c r="BR494" s="24">
        <v>69379</v>
      </c>
    </row>
    <row r="495" spans="2:70" ht="26.15" hidden="1" customHeight="1">
      <c r="B495" s="110" t="s">
        <v>1885</v>
      </c>
      <c r="C495" s="110" t="s">
        <v>1889</v>
      </c>
      <c r="D495" s="110" t="s">
        <v>3994</v>
      </c>
      <c r="E495" s="103">
        <v>2017</v>
      </c>
      <c r="F495" s="108" t="s">
        <v>8766</v>
      </c>
      <c r="G495" s="111" t="s">
        <v>124</v>
      </c>
      <c r="H495" s="110" t="s">
        <v>10451</v>
      </c>
      <c r="I495" s="112">
        <f>IF(Dashboard!$B$16="Current USD",'Bottom-up tagging'!BR495,'Bottom-up tagging'!BR495/'Bottom-up tagging'!BQ495)</f>
        <v>48950.12410693377</v>
      </c>
      <c r="J495" s="118" t="s">
        <v>10474</v>
      </c>
      <c r="K495" s="112"/>
      <c r="L495" s="135">
        <v>1</v>
      </c>
      <c r="M495" s="135">
        <v>1</v>
      </c>
      <c r="N495" s="112"/>
      <c r="O495" s="112"/>
      <c r="P495" s="112" t="str">
        <f>VLOOKUP(B495, 'Companies covered restructured'!$B$7:$K$470, 9, FALSE)</f>
        <v>Farm mechanization</v>
      </c>
      <c r="Q495" s="112" t="str">
        <f>VLOOKUP(B495, 'Companies covered restructured'!$B$7:$K$470, 6, FALSE)</f>
        <v>#Crops(100)</v>
      </c>
      <c r="R495" s="112" t="str">
        <f t="shared" si="249"/>
        <v>#Angel Investor(100)</v>
      </c>
      <c r="S495" s="112" t="s">
        <v>11003</v>
      </c>
      <c r="T495" s="112" t="s">
        <v>10466</v>
      </c>
      <c r="U495" s="103" t="s">
        <v>10970</v>
      </c>
      <c r="V495" s="112" t="str">
        <f>VLOOKUP(P495, 'Bottom-up Tagging Assumptions'!$B$12:$F$39, 5, FALSE)</f>
        <v>#Product Development(100)</v>
      </c>
      <c r="W495" s="112" t="str">
        <f>VLOOKUP(B495, 'Companies covered restructured'!$B$7:$K$470, 7, FALSE)</f>
        <v>#Farm/Household(100)</v>
      </c>
      <c r="X495" s="112" t="str">
        <f>VLOOKUP(B495, 'Companies covered restructured'!$B$7:$K$470, 8, FALSE)</f>
        <v>#Large(100)</v>
      </c>
      <c r="Y495" s="212" t="str">
        <f>VLOOKUP(P495, 'Bottom-up Tagging Assumptions'!$B$12:$C$56, 2, FALSE)</f>
        <v>#Productivity(P); #Other economic(S)</v>
      </c>
      <c r="Z495" s="112" t="str">
        <f>VLOOKUP(P495, 'Bottom-up Tagging Assumptions'!$B$12:$F$56, 3, FALSE)</f>
        <v>#Reducing human effort(P)</v>
      </c>
      <c r="AA495" s="112" t="str">
        <f>VLOOKUP(P495, 'Bottom-up Tagging Assumptions'!$B$12:$F$56, 4, FALSE)</f>
        <v>#Level 1(100)</v>
      </c>
      <c r="AB495" s="110"/>
      <c r="AC495" s="110" t="s">
        <v>1887</v>
      </c>
      <c r="AD495" s="110" t="s">
        <v>1888</v>
      </c>
      <c r="AE495" s="110" t="s">
        <v>3127</v>
      </c>
      <c r="AF495" s="112">
        <v>1303000000</v>
      </c>
      <c r="AG495" s="110" t="s">
        <v>1416</v>
      </c>
      <c r="AH495" s="121">
        <f t="shared" si="250"/>
        <v>0</v>
      </c>
      <c r="AI495" s="121">
        <f t="shared" si="251"/>
        <v>1</v>
      </c>
      <c r="AJ495" s="121">
        <f t="shared" si="252"/>
        <v>1</v>
      </c>
      <c r="AK495" s="121">
        <f t="shared" si="253"/>
        <v>0</v>
      </c>
      <c r="AL495" s="121">
        <f t="shared" si="254"/>
        <v>0</v>
      </c>
      <c r="AM495" s="121">
        <f t="shared" si="255"/>
        <v>0</v>
      </c>
      <c r="AN495" s="121">
        <f t="shared" si="256"/>
        <v>0</v>
      </c>
      <c r="AO495" s="121">
        <f t="shared" si="257"/>
        <v>0</v>
      </c>
      <c r="AP495" s="22">
        <f t="shared" si="258"/>
        <v>0</v>
      </c>
      <c r="AQ495" s="22">
        <f t="shared" si="259"/>
        <v>0</v>
      </c>
      <c r="AR495" s="22">
        <f t="shared" si="260"/>
        <v>0</v>
      </c>
      <c r="AS495" s="121" t="str">
        <f t="shared" si="261"/>
        <v>Crops</v>
      </c>
      <c r="AT495" s="121" t="str">
        <f t="shared" si="280"/>
        <v xml:space="preserve"> </v>
      </c>
      <c r="AU495" s="121" t="str">
        <f t="shared" si="280"/>
        <v xml:space="preserve"> </v>
      </c>
      <c r="AV495" s="121" t="str">
        <f t="shared" si="280"/>
        <v xml:space="preserve"> </v>
      </c>
      <c r="AW495" s="130" t="str">
        <f t="shared" si="281"/>
        <v>100</v>
      </c>
      <c r="AX495" s="130" t="str">
        <f t="shared" si="281"/>
        <v xml:space="preserve"> </v>
      </c>
      <c r="AY495" s="130" t="str">
        <f t="shared" si="281"/>
        <v xml:space="preserve"> </v>
      </c>
      <c r="AZ495" s="130" t="str">
        <f t="shared" si="281"/>
        <v xml:space="preserve"> </v>
      </c>
      <c r="BA495" s="121">
        <f t="shared" si="262"/>
        <v>48950.12410693377</v>
      </c>
      <c r="BB495" s="121">
        <f t="shared" si="263"/>
        <v>0</v>
      </c>
      <c r="BC495" s="121">
        <f t="shared" si="264"/>
        <v>0</v>
      </c>
      <c r="BD495" s="121">
        <f t="shared" si="265"/>
        <v>0</v>
      </c>
      <c r="BE495" s="121">
        <f t="shared" si="266"/>
        <v>0</v>
      </c>
      <c r="BF495" s="121">
        <f t="shared" si="267"/>
        <v>0</v>
      </c>
      <c r="BG495" s="121">
        <f t="shared" si="268"/>
        <v>0</v>
      </c>
      <c r="BH495" s="121">
        <f t="shared" si="269"/>
        <v>0</v>
      </c>
      <c r="BI495" s="121">
        <f t="shared" si="270"/>
        <v>0</v>
      </c>
      <c r="BJ495" s="121">
        <f t="shared" si="271"/>
        <v>0</v>
      </c>
      <c r="BK495" s="121">
        <f t="shared" si="272"/>
        <v>0</v>
      </c>
      <c r="BL495" s="121">
        <f t="shared" si="273"/>
        <v>0</v>
      </c>
      <c r="BM495" s="121">
        <f t="shared" si="274"/>
        <v>0</v>
      </c>
      <c r="BN495" s="121">
        <f t="shared" si="275"/>
        <v>0</v>
      </c>
      <c r="BO495" s="121">
        <f t="shared" si="276"/>
        <v>0</v>
      </c>
      <c r="BP495" s="121">
        <f t="shared" si="277"/>
        <v>0</v>
      </c>
      <c r="BQ495" s="199">
        <f>INDEX('GDP deflators'!$C$6:$M$36,MATCH('Bottom-up tagging'!$D495,'GDP deflators'!$B$6:$B$36,),MATCH('Bottom-up tagging'!$E495,'GDP deflators'!$C$5:$L$5,))/100</f>
        <v>1.4111098032990623</v>
      </c>
      <c r="BR495" s="24">
        <v>69074</v>
      </c>
    </row>
    <row r="496" spans="2:70" ht="26.15" hidden="1" customHeight="1">
      <c r="B496" s="110" t="s">
        <v>2157</v>
      </c>
      <c r="C496" s="110" t="s">
        <v>2161</v>
      </c>
      <c r="D496" s="110" t="s">
        <v>3994</v>
      </c>
      <c r="E496" s="103">
        <v>2016</v>
      </c>
      <c r="F496" s="108" t="s">
        <v>9545</v>
      </c>
      <c r="G496" s="111" t="s">
        <v>124</v>
      </c>
      <c r="H496" s="110" t="s">
        <v>10451</v>
      </c>
      <c r="I496" s="112">
        <f>IF(Dashboard!$B$16="Current USD",'Bottom-up tagging'!BR496,'Bottom-up tagging'!BR496/'Bottom-up tagging'!BQ496)</f>
        <v>48876.343092877127</v>
      </c>
      <c r="J496" s="118" t="s">
        <v>10474</v>
      </c>
      <c r="K496" s="112"/>
      <c r="L496" s="135">
        <v>1</v>
      </c>
      <c r="M496" s="135">
        <v>1</v>
      </c>
      <c r="N496" s="112"/>
      <c r="O496" s="112"/>
      <c r="P496" s="112" t="str">
        <f>VLOOKUP(B496, 'Companies covered restructured'!$B$7:$K$470, 9, FALSE)</f>
        <v>AI/analytics based advisory algorithms (incl. weather)</v>
      </c>
      <c r="Q496" s="112" t="str">
        <f>VLOOKUP(B496, 'Companies covered restructured'!$B$7:$K$470, 6, FALSE)</f>
        <v>#Crops(100)</v>
      </c>
      <c r="R496" s="112" t="str">
        <f t="shared" si="249"/>
        <v>#Angel Investor(100)</v>
      </c>
      <c r="S496" s="112" t="s">
        <v>11003</v>
      </c>
      <c r="T496" s="112" t="s">
        <v>10466</v>
      </c>
      <c r="U496" s="103" t="s">
        <v>10970</v>
      </c>
      <c r="V496" s="112" t="str">
        <f>VLOOKUP(P496, 'Bottom-up Tagging Assumptions'!$B$12:$F$39, 5, FALSE)</f>
        <v>#Science &amp; tech(100)</v>
      </c>
      <c r="W496" s="112" t="str">
        <f>VLOOKUP(B496, 'Companies covered restructured'!$B$7:$K$470, 7, FALSE)</f>
        <v>N/A</v>
      </c>
      <c r="X496" s="112" t="str">
        <f>VLOOKUP(B496, 'Companies covered restructured'!$B$7:$K$470, 8, FALSE)</f>
        <v>#Small(100)</v>
      </c>
      <c r="Y496" s="212" t="str">
        <f>VLOOKUP(P496, 'Bottom-up Tagging Assumptions'!$B$12:$C$56, 2, FALSE)</f>
        <v>#Other Economic(P); #Productivity(S)</v>
      </c>
      <c r="Z496" s="112" t="str">
        <f>VLOOKUP(P496, 'Bottom-up Tagging Assumptions'!$B$12:$F$56, 3, FALSE)</f>
        <v>#Increasing output per unit input(P); #Increasing crop or animal yield(S)</v>
      </c>
      <c r="AA496" s="112" t="str">
        <f>VLOOKUP(P496, 'Bottom-up Tagging Assumptions'!$B$12:$F$56, 4, FALSE)</f>
        <v>#Level 1(100)</v>
      </c>
      <c r="AB496" s="110"/>
      <c r="AC496" s="110" t="s">
        <v>2265</v>
      </c>
      <c r="AD496" s="110" t="s">
        <v>2266</v>
      </c>
      <c r="AE496" s="110" t="str">
        <f>VLOOKUP(AD496,  '1.2'!$B$7:$C$2033, 2, FALSE)</f>
        <v>ANGEL</v>
      </c>
      <c r="AF496" s="112">
        <v>235000</v>
      </c>
      <c r="AG496" s="110" t="s">
        <v>2889</v>
      </c>
      <c r="AH496" s="121">
        <f t="shared" si="250"/>
        <v>0</v>
      </c>
      <c r="AI496" s="121">
        <f t="shared" si="251"/>
        <v>1</v>
      </c>
      <c r="AJ496" s="121">
        <f t="shared" si="252"/>
        <v>1</v>
      </c>
      <c r="AK496" s="121">
        <f t="shared" si="253"/>
        <v>0</v>
      </c>
      <c r="AL496" s="121">
        <f t="shared" si="254"/>
        <v>0</v>
      </c>
      <c r="AM496" s="121">
        <f t="shared" si="255"/>
        <v>0</v>
      </c>
      <c r="AN496" s="121">
        <f t="shared" si="256"/>
        <v>0</v>
      </c>
      <c r="AO496" s="121">
        <f t="shared" si="257"/>
        <v>0</v>
      </c>
      <c r="AP496" s="22">
        <f t="shared" si="258"/>
        <v>0</v>
      </c>
      <c r="AQ496" s="22">
        <f t="shared" si="259"/>
        <v>0</v>
      </c>
      <c r="AR496" s="22">
        <f t="shared" si="260"/>
        <v>0</v>
      </c>
      <c r="AS496" s="121" t="str">
        <f t="shared" si="261"/>
        <v>Crops</v>
      </c>
      <c r="AT496" s="121" t="str">
        <f t="shared" si="280"/>
        <v xml:space="preserve"> </v>
      </c>
      <c r="AU496" s="121" t="str">
        <f t="shared" si="280"/>
        <v xml:space="preserve"> </v>
      </c>
      <c r="AV496" s="121" t="str">
        <f t="shared" si="280"/>
        <v xml:space="preserve"> </v>
      </c>
      <c r="AW496" s="130" t="str">
        <f t="shared" si="281"/>
        <v>100</v>
      </c>
      <c r="AX496" s="130" t="str">
        <f t="shared" si="281"/>
        <v xml:space="preserve"> </v>
      </c>
      <c r="AY496" s="130" t="str">
        <f t="shared" si="281"/>
        <v xml:space="preserve"> </v>
      </c>
      <c r="AZ496" s="130" t="str">
        <f t="shared" si="281"/>
        <v xml:space="preserve"> </v>
      </c>
      <c r="BA496" s="121">
        <f t="shared" si="262"/>
        <v>48876.343092877127</v>
      </c>
      <c r="BB496" s="121">
        <f t="shared" si="263"/>
        <v>0</v>
      </c>
      <c r="BC496" s="121">
        <f t="shared" si="264"/>
        <v>0</v>
      </c>
      <c r="BD496" s="121">
        <f t="shared" si="265"/>
        <v>0</v>
      </c>
      <c r="BE496" s="121">
        <f t="shared" si="266"/>
        <v>0</v>
      </c>
      <c r="BF496" s="121">
        <f t="shared" si="267"/>
        <v>0</v>
      </c>
      <c r="BG496" s="121">
        <f t="shared" si="268"/>
        <v>0</v>
      </c>
      <c r="BH496" s="121">
        <f t="shared" si="269"/>
        <v>0</v>
      </c>
      <c r="BI496" s="121">
        <f t="shared" si="270"/>
        <v>0</v>
      </c>
      <c r="BJ496" s="121">
        <f t="shared" si="271"/>
        <v>0</v>
      </c>
      <c r="BK496" s="121">
        <f t="shared" si="272"/>
        <v>0</v>
      </c>
      <c r="BL496" s="121">
        <f t="shared" si="273"/>
        <v>0</v>
      </c>
      <c r="BM496" s="121">
        <f t="shared" si="274"/>
        <v>0</v>
      </c>
      <c r="BN496" s="121">
        <f t="shared" si="275"/>
        <v>0</v>
      </c>
      <c r="BO496" s="121">
        <f t="shared" si="276"/>
        <v>0</v>
      </c>
      <c r="BP496" s="121">
        <f t="shared" si="277"/>
        <v>0</v>
      </c>
      <c r="BQ496" s="199">
        <f>INDEX('GDP deflators'!$C$6:$M$36,MATCH('Bottom-up tagging'!$D496,'GDP deflators'!$B$6:$B$36,),MATCH('Bottom-up tagging'!$E496,'GDP deflators'!$C$5:$L$5,))/100</f>
        <v>1.3597375702538033</v>
      </c>
      <c r="BR496" s="24">
        <v>66459</v>
      </c>
    </row>
    <row r="497" spans="2:70" ht="26.15" hidden="1" customHeight="1">
      <c r="B497" s="110" t="s">
        <v>322</v>
      </c>
      <c r="C497" s="110" t="s">
        <v>327</v>
      </c>
      <c r="D497" s="110" t="s">
        <v>3994</v>
      </c>
      <c r="E497" s="103">
        <v>2020</v>
      </c>
      <c r="F497" s="108" t="s">
        <v>8214</v>
      </c>
      <c r="G497" s="111" t="s">
        <v>34</v>
      </c>
      <c r="H497" s="110" t="s">
        <v>10451</v>
      </c>
      <c r="I497" s="212">
        <v>0</v>
      </c>
      <c r="J497" s="118" t="s">
        <v>10474</v>
      </c>
      <c r="K497" s="112"/>
      <c r="L497" s="135">
        <v>1</v>
      </c>
      <c r="M497" s="135">
        <v>1</v>
      </c>
      <c r="N497" s="112"/>
      <c r="O497" s="112"/>
      <c r="P497" s="112" t="str">
        <f>VLOOKUP(B497, 'Companies covered restructured'!$B$7:$K$470, 9, FALSE)</f>
        <v>Drone technologies/robotics</v>
      </c>
      <c r="Q497" s="112" t="str">
        <f>VLOOKUP(B497, 'Companies covered restructured'!$B$7:$K$470, 6, FALSE)</f>
        <v>#Crops(100)</v>
      </c>
      <c r="R497" s="112" t="str">
        <f t="shared" si="249"/>
        <v>#Investment Fund(100)</v>
      </c>
      <c r="S497" s="112" t="s">
        <v>11003</v>
      </c>
      <c r="T497" s="112" t="s">
        <v>10466</v>
      </c>
      <c r="U497" s="103" t="s">
        <v>10970</v>
      </c>
      <c r="V497" s="112" t="str">
        <f>VLOOKUP(P497, 'Bottom-up Tagging Assumptions'!$B$12:$F$39, 5, FALSE)</f>
        <v>#Process Innovation(100)</v>
      </c>
      <c r="W497" s="112" t="str">
        <f>VLOOKUP(B497, 'Companies covered restructured'!$B$7:$K$470, 7, FALSE)</f>
        <v>N/A</v>
      </c>
      <c r="X497" s="112" t="str">
        <f>VLOOKUP(B497, 'Companies covered restructured'!$B$7:$K$470, 8, FALSE)</f>
        <v>N/A</v>
      </c>
      <c r="Y497" s="112" t="str">
        <f>VLOOKUP(P497, '[2]Bottom-up Tagging Assumptions'!$B$12:$F$56, 2, FALSE)</f>
        <v>#Productivity(P); #Other Economic(P)</v>
      </c>
      <c r="Z497" s="112" t="str">
        <f>VLOOKUP(P497, 'Bottom-up Tagging Assumptions'!$B$12:$F$56, 3, FALSE)</f>
        <v>#Reducing human effort(P)</v>
      </c>
      <c r="AA497" s="112" t="str">
        <f>VLOOKUP(P497, 'Bottom-up Tagging Assumptions'!$B$12:$F$56, 4, FALSE)</f>
        <v>#Level 1(100)</v>
      </c>
      <c r="AB497" s="110" t="s">
        <v>324</v>
      </c>
      <c r="AC497" s="110" t="s">
        <v>325</v>
      </c>
      <c r="AD497" s="110" t="s">
        <v>326</v>
      </c>
      <c r="AE497" s="110" t="str">
        <f>VLOOKUP(AD497,  '1.2'!$B$7:$C$2033, 2, FALSE)</f>
        <v>FUND</v>
      </c>
      <c r="AF497" s="112"/>
      <c r="AG497" s="110" t="s">
        <v>2893</v>
      </c>
      <c r="AH497" s="121">
        <f t="shared" si="250"/>
        <v>0</v>
      </c>
      <c r="AI497" s="121">
        <f t="shared" si="251"/>
        <v>1</v>
      </c>
      <c r="AJ497" s="121">
        <f t="shared" si="252"/>
        <v>1</v>
      </c>
      <c r="AK497" s="121">
        <f t="shared" si="253"/>
        <v>0</v>
      </c>
      <c r="AL497" s="121">
        <f t="shared" si="254"/>
        <v>0</v>
      </c>
      <c r="AM497" s="121">
        <f t="shared" si="255"/>
        <v>0</v>
      </c>
      <c r="AN497" s="121">
        <f t="shared" si="256"/>
        <v>0</v>
      </c>
      <c r="AO497" s="121">
        <f t="shared" si="257"/>
        <v>0</v>
      </c>
      <c r="AP497" s="22">
        <f t="shared" si="258"/>
        <v>0</v>
      </c>
      <c r="AQ497" s="22">
        <f t="shared" si="259"/>
        <v>0</v>
      </c>
      <c r="AR497" s="22">
        <f t="shared" si="260"/>
        <v>0</v>
      </c>
      <c r="AS497" s="121" t="str">
        <f t="shared" si="261"/>
        <v>Crops</v>
      </c>
      <c r="AT497" s="121" t="str">
        <f t="shared" si="280"/>
        <v xml:space="preserve"> </v>
      </c>
      <c r="AU497" s="121" t="str">
        <f t="shared" si="280"/>
        <v xml:space="preserve"> </v>
      </c>
      <c r="AV497" s="121" t="str">
        <f t="shared" si="280"/>
        <v xml:space="preserve"> </v>
      </c>
      <c r="AW497" s="130" t="str">
        <f t="shared" si="281"/>
        <v>100</v>
      </c>
      <c r="AX497" s="130" t="str">
        <f t="shared" si="281"/>
        <v xml:space="preserve"> </v>
      </c>
      <c r="AY497" s="130" t="str">
        <f t="shared" si="281"/>
        <v xml:space="preserve"> </v>
      </c>
      <c r="AZ497" s="130" t="str">
        <f t="shared" si="281"/>
        <v xml:space="preserve"> </v>
      </c>
      <c r="BA497" s="121">
        <f t="shared" si="262"/>
        <v>0</v>
      </c>
      <c r="BB497" s="121">
        <f t="shared" si="263"/>
        <v>0</v>
      </c>
      <c r="BC497" s="121">
        <f t="shared" si="264"/>
        <v>0</v>
      </c>
      <c r="BD497" s="121">
        <f t="shared" si="265"/>
        <v>0</v>
      </c>
      <c r="BE497" s="121">
        <f t="shared" si="266"/>
        <v>0</v>
      </c>
      <c r="BF497" s="121">
        <f t="shared" si="267"/>
        <v>0</v>
      </c>
      <c r="BG497" s="121">
        <f t="shared" si="268"/>
        <v>0</v>
      </c>
      <c r="BH497" s="121">
        <f t="shared" si="269"/>
        <v>0</v>
      </c>
      <c r="BI497" s="121">
        <f t="shared" si="270"/>
        <v>0</v>
      </c>
      <c r="BJ497" s="121">
        <f t="shared" si="271"/>
        <v>0</v>
      </c>
      <c r="BK497" s="121">
        <f t="shared" si="272"/>
        <v>0</v>
      </c>
      <c r="BL497" s="121">
        <f t="shared" si="273"/>
        <v>0</v>
      </c>
      <c r="BM497" s="121">
        <f t="shared" si="274"/>
        <v>0</v>
      </c>
      <c r="BN497" s="121">
        <f t="shared" si="275"/>
        <v>0</v>
      </c>
      <c r="BO497" s="121">
        <f t="shared" si="276"/>
        <v>0</v>
      </c>
      <c r="BP497" s="121">
        <f t="shared" si="277"/>
        <v>0</v>
      </c>
      <c r="BQ497" s="199" t="e">
        <f>INDEX('GDP deflators'!$C$6:$M$36,MATCH('Bottom-up tagging'!$D497,'GDP deflators'!$B$6:$B$36,),MATCH('Bottom-up tagging'!$E497,'GDP deflators'!$C$5:$L$5,))/100</f>
        <v>#N/A</v>
      </c>
      <c r="BR497" s="24">
        <v>66424</v>
      </c>
    </row>
    <row r="498" spans="2:70" ht="26.15" hidden="1" customHeight="1">
      <c r="B498" s="110" t="s">
        <v>1058</v>
      </c>
      <c r="C498" s="110" t="s">
        <v>1061</v>
      </c>
      <c r="D498" s="110" t="s">
        <v>3994</v>
      </c>
      <c r="E498" s="103">
        <v>2019</v>
      </c>
      <c r="F498" s="108" t="s">
        <v>6800</v>
      </c>
      <c r="G498" s="111" t="s">
        <v>124</v>
      </c>
      <c r="H498" s="110" t="s">
        <v>10451</v>
      </c>
      <c r="I498" s="112">
        <f>IF(Dashboard!$B$16="Current USD",'Bottom-up tagging'!BR498,'Bottom-up tagging'!BR498/'Bottom-up tagging'!BQ498)</f>
        <v>42751.570734540728</v>
      </c>
      <c r="J498" s="105" t="s">
        <v>10474</v>
      </c>
      <c r="K498" s="112"/>
      <c r="L498" s="135">
        <v>1</v>
      </c>
      <c r="M498" s="135">
        <v>1</v>
      </c>
      <c r="N498" s="112"/>
      <c r="O498" s="112"/>
      <c r="P498" s="112" t="str">
        <f>VLOOKUP(B498, 'Companies covered restructured'!$B$7:$K$470, 9, FALSE)</f>
        <v xml:space="preserve">Hydroponics </v>
      </c>
      <c r="Q498" s="112" t="str">
        <f>VLOOKUP(B498, 'Companies covered restructured'!$B$7:$K$470, 6, FALSE)</f>
        <v>#Crops(100)</v>
      </c>
      <c r="R498" s="112" t="str">
        <f t="shared" si="249"/>
        <v>#Angel Investor(100)</v>
      </c>
      <c r="S498" s="112" t="s">
        <v>11003</v>
      </c>
      <c r="T498" s="112" t="s">
        <v>10466</v>
      </c>
      <c r="U498" s="103" t="s">
        <v>10970</v>
      </c>
      <c r="V498" s="112" t="str">
        <f>VLOOKUP(P498, 'Bottom-up Tagging Assumptions'!$B$12:$F$39, 5, FALSE)</f>
        <v>#Science &amp; tech(100)</v>
      </c>
      <c r="W498" s="112" t="str">
        <f>VLOOKUP(B498, 'Companies covered restructured'!$B$7:$K$470, 7, FALSE)</f>
        <v>#Field/Animal Herd(100)</v>
      </c>
      <c r="X498" s="112" t="s">
        <v>10558</v>
      </c>
      <c r="Y498" s="212" t="str">
        <f>VLOOKUP(P498, 'Bottom-up Tagging Assumptions'!$B$12:$C$56, 2, FALSE)</f>
        <v>#Human Condition(P); #Environmental(S); #Productivity(S)</v>
      </c>
      <c r="Z498" s="112" t="str">
        <f>VLOOKUP(P498, 'Bottom-up Tagging Assumptions'!$B$12:$F$56, 3, FALSE)</f>
        <v>#Food security(P); #Reducing production variability(S)</v>
      </c>
      <c r="AA498" s="112" t="str">
        <f>VLOOKUP(P498, 'Bottom-up Tagging Assumptions'!$B$12:$F$56, 4, FALSE)</f>
        <v>#Level 2(100)</v>
      </c>
      <c r="AB498" s="110"/>
      <c r="AC498" s="110" t="s">
        <v>1060</v>
      </c>
      <c r="AD498" s="110" t="s">
        <v>1060</v>
      </c>
      <c r="AE498" s="110" t="str">
        <f>VLOOKUP(AD498,  '1.2'!$B$7:$C$2033, 2, FALSE)</f>
        <v>ANGEL</v>
      </c>
      <c r="AF498" s="112">
        <v>2740519</v>
      </c>
      <c r="AG498" s="110" t="s">
        <v>752</v>
      </c>
      <c r="AH498" s="121">
        <f t="shared" si="250"/>
        <v>1</v>
      </c>
      <c r="AI498" s="121">
        <f t="shared" si="251"/>
        <v>1</v>
      </c>
      <c r="AJ498" s="121">
        <f t="shared" si="252"/>
        <v>0</v>
      </c>
      <c r="AK498" s="121">
        <f t="shared" si="253"/>
        <v>0</v>
      </c>
      <c r="AL498" s="121">
        <f t="shared" si="254"/>
        <v>1</v>
      </c>
      <c r="AM498" s="121">
        <f t="shared" si="255"/>
        <v>1</v>
      </c>
      <c r="AN498" s="121">
        <f t="shared" si="256"/>
        <v>1</v>
      </c>
      <c r="AO498" s="121">
        <f t="shared" si="257"/>
        <v>1</v>
      </c>
      <c r="AP498" s="22">
        <f t="shared" si="258"/>
        <v>42751.570734540728</v>
      </c>
      <c r="AQ498" s="22">
        <f t="shared" si="259"/>
        <v>42751.570734540728</v>
      </c>
      <c r="AR498" s="22">
        <f t="shared" si="260"/>
        <v>42751.570734540728</v>
      </c>
      <c r="AS498" s="121" t="str">
        <f t="shared" si="261"/>
        <v>Crops</v>
      </c>
      <c r="AT498" s="121" t="str">
        <f t="shared" si="280"/>
        <v xml:space="preserve"> </v>
      </c>
      <c r="AU498" s="121" t="str">
        <f t="shared" si="280"/>
        <v xml:space="preserve"> </v>
      </c>
      <c r="AV498" s="121" t="str">
        <f t="shared" si="280"/>
        <v xml:space="preserve"> </v>
      </c>
      <c r="AW498" s="130" t="str">
        <f t="shared" si="281"/>
        <v>100</v>
      </c>
      <c r="AX498" s="130" t="str">
        <f t="shared" si="281"/>
        <v xml:space="preserve"> </v>
      </c>
      <c r="AY498" s="130" t="str">
        <f t="shared" si="281"/>
        <v xml:space="preserve"> </v>
      </c>
      <c r="AZ498" s="130" t="str">
        <f t="shared" si="281"/>
        <v xml:space="preserve"> </v>
      </c>
      <c r="BA498" s="121">
        <f t="shared" si="262"/>
        <v>42751.570734540728</v>
      </c>
      <c r="BB498" s="121">
        <f t="shared" si="263"/>
        <v>0</v>
      </c>
      <c r="BC498" s="121">
        <f t="shared" si="264"/>
        <v>0</v>
      </c>
      <c r="BD498" s="121">
        <f t="shared" si="265"/>
        <v>0</v>
      </c>
      <c r="BE498" s="121">
        <f t="shared" si="266"/>
        <v>42751.570734540728</v>
      </c>
      <c r="BF498" s="121">
        <f t="shared" si="267"/>
        <v>42751.570734540728</v>
      </c>
      <c r="BG498" s="121">
        <f t="shared" si="268"/>
        <v>42751.570734540728</v>
      </c>
      <c r="BH498" s="121">
        <f t="shared" si="269"/>
        <v>42751.570734540728</v>
      </c>
      <c r="BI498" s="121">
        <f t="shared" si="270"/>
        <v>42751.570734540728</v>
      </c>
      <c r="BJ498" s="121">
        <f t="shared" si="271"/>
        <v>42751.570734540728</v>
      </c>
      <c r="BK498" s="121">
        <f t="shared" si="272"/>
        <v>42751.570734540728</v>
      </c>
      <c r="BL498" s="121">
        <f t="shared" si="273"/>
        <v>42751.570734540728</v>
      </c>
      <c r="BM498" s="121">
        <f t="shared" si="274"/>
        <v>42751.570734540728</v>
      </c>
      <c r="BN498" s="121">
        <f t="shared" si="275"/>
        <v>42751.570734540728</v>
      </c>
      <c r="BO498" s="121">
        <f t="shared" si="276"/>
        <v>42751.570734540728</v>
      </c>
      <c r="BP498" s="121">
        <f t="shared" si="277"/>
        <v>42751.570734540728</v>
      </c>
      <c r="BQ498" s="199">
        <f>INDEX('GDP deflators'!$C$6:$M$36,MATCH('Bottom-up tagging'!$D498,'GDP deflators'!$B$6:$B$36,),MATCH('Bottom-up tagging'!$E498,'GDP deflators'!$C$5:$L$5,))/100</f>
        <v>1.5094883975306472</v>
      </c>
      <c r="BR498" s="24">
        <v>64533</v>
      </c>
    </row>
    <row r="499" spans="2:70" ht="26.15" hidden="1" customHeight="1">
      <c r="B499" s="110" t="s">
        <v>1885</v>
      </c>
      <c r="C499" s="110" t="s">
        <v>1889</v>
      </c>
      <c r="D499" s="110" t="s">
        <v>3994</v>
      </c>
      <c r="E499" s="103">
        <v>2015</v>
      </c>
      <c r="F499" s="108" t="s">
        <v>8766</v>
      </c>
      <c r="G499" s="111" t="s">
        <v>124</v>
      </c>
      <c r="H499" s="110" t="s">
        <v>10451</v>
      </c>
      <c r="I499" s="112">
        <f>IF(Dashboard!$B$16="Current USD",'Bottom-up tagging'!BR499,'Bottom-up tagging'!BR499/'Bottom-up tagging'!BQ499)</f>
        <v>48710.395508114256</v>
      </c>
      <c r="J499" s="105" t="s">
        <v>10474</v>
      </c>
      <c r="K499" s="112"/>
      <c r="L499" s="135">
        <v>1</v>
      </c>
      <c r="M499" s="135">
        <v>1</v>
      </c>
      <c r="N499" s="112"/>
      <c r="O499" s="112"/>
      <c r="P499" s="112" t="str">
        <f>VLOOKUP(B499, 'Companies covered restructured'!$B$7:$K$470, 9, FALSE)</f>
        <v>Farm mechanization</v>
      </c>
      <c r="Q499" s="112" t="str">
        <f>VLOOKUP(B499, 'Companies covered restructured'!$B$7:$K$470, 6, FALSE)</f>
        <v>#Crops(100)</v>
      </c>
      <c r="R499" s="112" t="str">
        <f t="shared" si="249"/>
        <v>#Angel Investor(100)</v>
      </c>
      <c r="S499" s="112" t="s">
        <v>11003</v>
      </c>
      <c r="T499" s="112" t="s">
        <v>10466</v>
      </c>
      <c r="U499" s="103" t="s">
        <v>10970</v>
      </c>
      <c r="V499" s="112" t="str">
        <f>VLOOKUP(P499, 'Bottom-up Tagging Assumptions'!$B$12:$F$39, 5, FALSE)</f>
        <v>#Product Development(100)</v>
      </c>
      <c r="W499" s="112" t="str">
        <f>VLOOKUP(B499, 'Companies covered restructured'!$B$7:$K$470, 7, FALSE)</f>
        <v>#Farm/Household(100)</v>
      </c>
      <c r="X499" s="112" t="str">
        <f>VLOOKUP(B499, 'Companies covered restructured'!$B$7:$K$470, 8, FALSE)</f>
        <v>#Large(100)</v>
      </c>
      <c r="Y499" s="212" t="str">
        <f>VLOOKUP(P499, 'Bottom-up Tagging Assumptions'!$B$12:$C$56, 2, FALSE)</f>
        <v>#Productivity(P); #Other economic(S)</v>
      </c>
      <c r="Z499" s="112" t="str">
        <f>VLOOKUP(P499, 'Bottom-up Tagging Assumptions'!$B$12:$F$56, 3, FALSE)</f>
        <v>#Reducing human effort(P)</v>
      </c>
      <c r="AA499" s="112" t="str">
        <f>VLOOKUP(P499, 'Bottom-up Tagging Assumptions'!$B$12:$F$56, 4, FALSE)</f>
        <v>#Level 1(100)</v>
      </c>
      <c r="AB499" s="110"/>
      <c r="AC499" s="110" t="s">
        <v>2742</v>
      </c>
      <c r="AD499" s="110" t="s">
        <v>2743</v>
      </c>
      <c r="AE499" s="110" t="str">
        <f>VLOOKUP(AD499,  '1.2'!$B$7:$C$2033, 2, FALSE)</f>
        <v>ANGEL</v>
      </c>
      <c r="AF499" s="112">
        <v>2257449</v>
      </c>
      <c r="AG499" s="110" t="s">
        <v>1691</v>
      </c>
      <c r="AH499" s="121">
        <f t="shared" si="250"/>
        <v>0</v>
      </c>
      <c r="AI499" s="121">
        <f t="shared" si="251"/>
        <v>1</v>
      </c>
      <c r="AJ499" s="121">
        <f t="shared" si="252"/>
        <v>1</v>
      </c>
      <c r="AK499" s="121">
        <f t="shared" si="253"/>
        <v>0</v>
      </c>
      <c r="AL499" s="121">
        <f t="shared" si="254"/>
        <v>0</v>
      </c>
      <c r="AM499" s="121">
        <f t="shared" si="255"/>
        <v>0</v>
      </c>
      <c r="AN499" s="121">
        <f t="shared" si="256"/>
        <v>0</v>
      </c>
      <c r="AO499" s="121">
        <f t="shared" si="257"/>
        <v>0</v>
      </c>
      <c r="AP499" s="22">
        <f t="shared" si="258"/>
        <v>0</v>
      </c>
      <c r="AQ499" s="22">
        <f t="shared" si="259"/>
        <v>0</v>
      </c>
      <c r="AR499" s="22">
        <f t="shared" si="260"/>
        <v>0</v>
      </c>
      <c r="AS499" s="121" t="str">
        <f t="shared" si="261"/>
        <v>Crops</v>
      </c>
      <c r="AT499" s="121" t="str">
        <f t="shared" si="280"/>
        <v xml:space="preserve"> </v>
      </c>
      <c r="AU499" s="121" t="str">
        <f t="shared" si="280"/>
        <v xml:space="preserve"> </v>
      </c>
      <c r="AV499" s="121" t="str">
        <f t="shared" si="280"/>
        <v xml:space="preserve"> </v>
      </c>
      <c r="AW499" s="130" t="str">
        <f t="shared" si="281"/>
        <v>100</v>
      </c>
      <c r="AX499" s="130" t="str">
        <f t="shared" si="281"/>
        <v xml:space="preserve"> </v>
      </c>
      <c r="AY499" s="130" t="str">
        <f t="shared" si="281"/>
        <v xml:space="preserve"> </v>
      </c>
      <c r="AZ499" s="130" t="str">
        <f t="shared" si="281"/>
        <v xml:space="preserve"> </v>
      </c>
      <c r="BA499" s="121">
        <f t="shared" si="262"/>
        <v>48710.395508114256</v>
      </c>
      <c r="BB499" s="121">
        <f t="shared" si="263"/>
        <v>0</v>
      </c>
      <c r="BC499" s="121">
        <f t="shared" si="264"/>
        <v>0</v>
      </c>
      <c r="BD499" s="121">
        <f t="shared" si="265"/>
        <v>0</v>
      </c>
      <c r="BE499" s="121">
        <f t="shared" si="266"/>
        <v>0</v>
      </c>
      <c r="BF499" s="121">
        <f t="shared" si="267"/>
        <v>0</v>
      </c>
      <c r="BG499" s="121">
        <f t="shared" si="268"/>
        <v>0</v>
      </c>
      <c r="BH499" s="121">
        <f t="shared" si="269"/>
        <v>0</v>
      </c>
      <c r="BI499" s="121">
        <f t="shared" si="270"/>
        <v>0</v>
      </c>
      <c r="BJ499" s="121">
        <f t="shared" si="271"/>
        <v>0</v>
      </c>
      <c r="BK499" s="121">
        <f t="shared" si="272"/>
        <v>0</v>
      </c>
      <c r="BL499" s="121">
        <f t="shared" si="273"/>
        <v>0</v>
      </c>
      <c r="BM499" s="121">
        <f t="shared" si="274"/>
        <v>0</v>
      </c>
      <c r="BN499" s="121">
        <f t="shared" si="275"/>
        <v>0</v>
      </c>
      <c r="BO499" s="121">
        <f t="shared" si="276"/>
        <v>0</v>
      </c>
      <c r="BP499" s="121">
        <f t="shared" si="277"/>
        <v>0</v>
      </c>
      <c r="BQ499" s="199">
        <f>INDEX('GDP deflators'!$C$6:$M$36,MATCH('Bottom-up tagging'!$D499,'GDP deflators'!$B$6:$B$36,),MATCH('Bottom-up tagging'!$E499,'GDP deflators'!$C$5:$L$5,))/100</f>
        <v>1.3170905169372478</v>
      </c>
      <c r="BR499" s="24">
        <v>64156</v>
      </c>
    </row>
    <row r="500" spans="2:70" ht="26.15" hidden="1" customHeight="1">
      <c r="B500" s="110" t="s">
        <v>1330</v>
      </c>
      <c r="C500" s="110" t="s">
        <v>1334</v>
      </c>
      <c r="D500" s="110" t="s">
        <v>3994</v>
      </c>
      <c r="E500" s="103">
        <v>2013</v>
      </c>
      <c r="F500" s="108" t="s">
        <v>8242</v>
      </c>
      <c r="G500" s="111" t="s">
        <v>34</v>
      </c>
      <c r="H500" s="110" t="s">
        <v>10451</v>
      </c>
      <c r="I500" s="112">
        <f>IF(Dashboard!$B$16="Current USD",'Bottom-up tagging'!BR500,'Bottom-up tagging'!BR500/'Bottom-up tagging'!BQ500)</f>
        <v>49015.634818431106</v>
      </c>
      <c r="J500" s="117" t="s">
        <v>10474</v>
      </c>
      <c r="K500" s="112"/>
      <c r="L500" s="135">
        <v>1</v>
      </c>
      <c r="M500" s="135">
        <v>1</v>
      </c>
      <c r="N500" s="112"/>
      <c r="O500" s="112"/>
      <c r="P500" s="112" t="str">
        <f>VLOOKUP(B500, 'Companies covered restructured'!$B$7:$K$470, 9, FALSE)</f>
        <v>AI/analytics based advisory algorithms (incl. weather)</v>
      </c>
      <c r="Q500" s="112" t="str">
        <f>VLOOKUP(B500, 'Companies covered restructured'!$B$7:$K$470, 6, FALSE)</f>
        <v>#Crops(100)</v>
      </c>
      <c r="R500" s="112" t="str">
        <f t="shared" si="249"/>
        <v>#Investment Fund(100)</v>
      </c>
      <c r="S500" s="112" t="s">
        <v>11003</v>
      </c>
      <c r="T500" s="112" t="s">
        <v>10466</v>
      </c>
      <c r="U500" s="103" t="s">
        <v>10970</v>
      </c>
      <c r="V500" s="112" t="str">
        <f>VLOOKUP(P500, 'Bottom-up Tagging Assumptions'!$B$12:$F$39, 5, FALSE)</f>
        <v>#Science &amp; tech(100)</v>
      </c>
      <c r="W500" s="112" t="str">
        <f>VLOOKUP(B500, 'Companies covered restructured'!$B$7:$K$470, 7, FALSE)</f>
        <v>#Field/Animal Herd(100)</v>
      </c>
      <c r="X500" s="112" t="s">
        <v>10558</v>
      </c>
      <c r="Y500" s="212" t="str">
        <f>VLOOKUP(P500, 'Bottom-up Tagging Assumptions'!$B$12:$C$56, 2, FALSE)</f>
        <v>#Other Economic(P); #Productivity(S)</v>
      </c>
      <c r="Z500" s="112" t="str">
        <f>VLOOKUP(P500, 'Bottom-up Tagging Assumptions'!$B$12:$F$56, 3, FALSE)</f>
        <v>#Increasing output per unit input(P); #Increasing crop or animal yield(S)</v>
      </c>
      <c r="AA500" s="112" t="str">
        <f>VLOOKUP(P500, 'Bottom-up Tagging Assumptions'!$B$12:$F$56, 4, FALSE)</f>
        <v>#Level 1(100)</v>
      </c>
      <c r="AB500" s="110" t="s">
        <v>1466</v>
      </c>
      <c r="AC500" s="110" t="s">
        <v>2896</v>
      </c>
      <c r="AD500" s="110" t="s">
        <v>1467</v>
      </c>
      <c r="AE500" s="110" t="str">
        <f>VLOOKUP(AD500,  '1.2'!$B$7:$C$2033, 2, FALSE)</f>
        <v>FUND</v>
      </c>
      <c r="AF500" s="112">
        <v>15568800</v>
      </c>
      <c r="AG500" s="110" t="s">
        <v>1335</v>
      </c>
      <c r="AH500" s="121">
        <f t="shared" si="250"/>
        <v>0</v>
      </c>
      <c r="AI500" s="121">
        <f t="shared" si="251"/>
        <v>1</v>
      </c>
      <c r="AJ500" s="121">
        <f t="shared" si="252"/>
        <v>1</v>
      </c>
      <c r="AK500" s="121">
        <f t="shared" si="253"/>
        <v>0</v>
      </c>
      <c r="AL500" s="121">
        <f t="shared" si="254"/>
        <v>0</v>
      </c>
      <c r="AM500" s="121">
        <f t="shared" si="255"/>
        <v>0</v>
      </c>
      <c r="AN500" s="121">
        <f t="shared" si="256"/>
        <v>0</v>
      </c>
      <c r="AO500" s="121">
        <f t="shared" si="257"/>
        <v>0</v>
      </c>
      <c r="AP500" s="22">
        <f t="shared" si="258"/>
        <v>0</v>
      </c>
      <c r="AQ500" s="22">
        <f t="shared" si="259"/>
        <v>0</v>
      </c>
      <c r="AR500" s="22">
        <f t="shared" si="260"/>
        <v>0</v>
      </c>
      <c r="AS500" s="121" t="str">
        <f t="shared" si="261"/>
        <v>Crops</v>
      </c>
      <c r="AT500" s="121" t="str">
        <f t="shared" si="280"/>
        <v xml:space="preserve"> </v>
      </c>
      <c r="AU500" s="121" t="str">
        <f t="shared" si="280"/>
        <v xml:space="preserve"> </v>
      </c>
      <c r="AV500" s="121" t="str">
        <f t="shared" si="280"/>
        <v xml:space="preserve"> </v>
      </c>
      <c r="AW500" s="130" t="str">
        <f t="shared" si="281"/>
        <v>100</v>
      </c>
      <c r="AX500" s="130" t="str">
        <f t="shared" si="281"/>
        <v xml:space="preserve"> </v>
      </c>
      <c r="AY500" s="130" t="str">
        <f t="shared" si="281"/>
        <v xml:space="preserve"> </v>
      </c>
      <c r="AZ500" s="130" t="str">
        <f t="shared" si="281"/>
        <v xml:space="preserve"> </v>
      </c>
      <c r="BA500" s="121">
        <f t="shared" si="262"/>
        <v>49015.634818431099</v>
      </c>
      <c r="BB500" s="121">
        <f t="shared" si="263"/>
        <v>0</v>
      </c>
      <c r="BC500" s="121">
        <f t="shared" si="264"/>
        <v>0</v>
      </c>
      <c r="BD500" s="121">
        <f t="shared" si="265"/>
        <v>0</v>
      </c>
      <c r="BE500" s="121">
        <f t="shared" si="266"/>
        <v>0</v>
      </c>
      <c r="BF500" s="121">
        <f t="shared" si="267"/>
        <v>0</v>
      </c>
      <c r="BG500" s="121">
        <f t="shared" si="268"/>
        <v>0</v>
      </c>
      <c r="BH500" s="121">
        <f t="shared" si="269"/>
        <v>0</v>
      </c>
      <c r="BI500" s="121">
        <f t="shared" si="270"/>
        <v>0</v>
      </c>
      <c r="BJ500" s="121">
        <f t="shared" si="271"/>
        <v>0</v>
      </c>
      <c r="BK500" s="121">
        <f t="shared" si="272"/>
        <v>0</v>
      </c>
      <c r="BL500" s="121">
        <f t="shared" si="273"/>
        <v>0</v>
      </c>
      <c r="BM500" s="121">
        <f t="shared" si="274"/>
        <v>0</v>
      </c>
      <c r="BN500" s="121">
        <f t="shared" si="275"/>
        <v>0</v>
      </c>
      <c r="BO500" s="121">
        <f t="shared" si="276"/>
        <v>0</v>
      </c>
      <c r="BP500" s="121">
        <f t="shared" si="277"/>
        <v>0</v>
      </c>
      <c r="BQ500" s="199">
        <f>INDEX('GDP deflators'!$C$6:$M$36,MATCH('Bottom-up tagging'!$D500,'GDP deflators'!$B$6:$B$36,),MATCH('Bottom-up tagging'!$E500,'GDP deflators'!$C$5:$L$5,))/100</f>
        <v>1.2462146053248888</v>
      </c>
      <c r="BR500" s="24">
        <v>61084</v>
      </c>
    </row>
    <row r="501" spans="2:70" ht="26.15" hidden="1" customHeight="1">
      <c r="B501" s="110" t="s">
        <v>2157</v>
      </c>
      <c r="C501" s="110" t="s">
        <v>2161</v>
      </c>
      <c r="D501" s="110" t="s">
        <v>3994</v>
      </c>
      <c r="E501" s="103">
        <v>2016</v>
      </c>
      <c r="F501" s="108" t="s">
        <v>9545</v>
      </c>
      <c r="G501" s="111" t="s">
        <v>124</v>
      </c>
      <c r="H501" s="110" t="s">
        <v>10451</v>
      </c>
      <c r="I501" s="112">
        <f>IF(Dashboard!$B$16="Current USD",'Bottom-up tagging'!BR501,'Bottom-up tagging'!BR501/'Bottom-up tagging'!BQ501)</f>
        <v>44129.838957674532</v>
      </c>
      <c r="J501" s="105" t="s">
        <v>10474</v>
      </c>
      <c r="K501" s="112"/>
      <c r="L501" s="135">
        <v>1</v>
      </c>
      <c r="M501" s="135">
        <v>1</v>
      </c>
      <c r="N501" s="112"/>
      <c r="O501" s="112"/>
      <c r="P501" s="112" t="str">
        <f>VLOOKUP(B501, 'Companies covered restructured'!$B$7:$K$470, 9, FALSE)</f>
        <v>AI/analytics based advisory algorithms (incl. weather)</v>
      </c>
      <c r="Q501" s="112" t="str">
        <f>VLOOKUP(B501, 'Companies covered restructured'!$B$7:$K$470, 6, FALSE)</f>
        <v>#Crops(100)</v>
      </c>
      <c r="R501" s="112" t="str">
        <f t="shared" si="249"/>
        <v>#Angel Investor(100)</v>
      </c>
      <c r="S501" s="112" t="s">
        <v>11003</v>
      </c>
      <c r="T501" s="112" t="s">
        <v>10466</v>
      </c>
      <c r="U501" s="116" t="s">
        <v>10970</v>
      </c>
      <c r="V501" s="112" t="str">
        <f>VLOOKUP(P501, 'Bottom-up Tagging Assumptions'!$B$12:$F$39, 5, FALSE)</f>
        <v>#Science &amp; tech(100)</v>
      </c>
      <c r="W501" s="112" t="str">
        <f>VLOOKUP(B501, 'Companies covered restructured'!$B$7:$K$470, 7, FALSE)</f>
        <v>N/A</v>
      </c>
      <c r="X501" s="112" t="str">
        <f>VLOOKUP(B501, 'Companies covered restructured'!$B$7:$K$470, 8, FALSE)</f>
        <v>#Small(100)</v>
      </c>
      <c r="Y501" s="212" t="str">
        <f>VLOOKUP(P501, 'Bottom-up Tagging Assumptions'!$B$12:$C$56, 2, FALSE)</f>
        <v>#Other Economic(P); #Productivity(S)</v>
      </c>
      <c r="Z501" s="112" t="str">
        <f>VLOOKUP(P501, 'Bottom-up Tagging Assumptions'!$B$12:$F$56, 3, FALSE)</f>
        <v>#Increasing output per unit input(P); #Increasing crop or animal yield(S)</v>
      </c>
      <c r="AA501" s="112" t="str">
        <f>VLOOKUP(P501, 'Bottom-up Tagging Assumptions'!$B$12:$F$56, 4, FALSE)</f>
        <v>#Level 1(100)</v>
      </c>
      <c r="AB501" s="110"/>
      <c r="AC501" s="110" t="s">
        <v>2453</v>
      </c>
      <c r="AD501" s="110" t="s">
        <v>2266</v>
      </c>
      <c r="AE501" s="110" t="str">
        <f>VLOOKUP(AD501,  '1.2'!$B$7:$C$2033, 2, FALSE)</f>
        <v>ANGEL</v>
      </c>
      <c r="AF501" s="112">
        <v>2750000</v>
      </c>
      <c r="AG501" s="110" t="s">
        <v>2323</v>
      </c>
      <c r="AH501" s="121">
        <f t="shared" si="250"/>
        <v>0</v>
      </c>
      <c r="AI501" s="121">
        <f t="shared" si="251"/>
        <v>1</v>
      </c>
      <c r="AJ501" s="121">
        <f t="shared" si="252"/>
        <v>1</v>
      </c>
      <c r="AK501" s="121">
        <f t="shared" si="253"/>
        <v>0</v>
      </c>
      <c r="AL501" s="121">
        <f t="shared" si="254"/>
        <v>0</v>
      </c>
      <c r="AM501" s="121">
        <f t="shared" si="255"/>
        <v>0</v>
      </c>
      <c r="AN501" s="121">
        <f t="shared" si="256"/>
        <v>0</v>
      </c>
      <c r="AO501" s="121">
        <f t="shared" si="257"/>
        <v>0</v>
      </c>
      <c r="AP501" s="22">
        <f t="shared" si="258"/>
        <v>0</v>
      </c>
      <c r="AQ501" s="22">
        <f t="shared" si="259"/>
        <v>0</v>
      </c>
      <c r="AR501" s="22">
        <f t="shared" si="260"/>
        <v>0</v>
      </c>
      <c r="AS501" s="121" t="str">
        <f t="shared" si="261"/>
        <v>Crops</v>
      </c>
      <c r="AT501" s="121" t="str">
        <f t="shared" si="280"/>
        <v xml:space="preserve"> </v>
      </c>
      <c r="AU501" s="121" t="str">
        <f t="shared" si="280"/>
        <v xml:space="preserve"> </v>
      </c>
      <c r="AV501" s="121" t="str">
        <f t="shared" si="280"/>
        <v xml:space="preserve"> </v>
      </c>
      <c r="AW501" s="130" t="str">
        <f t="shared" si="281"/>
        <v>100</v>
      </c>
      <c r="AX501" s="130" t="str">
        <f t="shared" si="281"/>
        <v xml:space="preserve"> </v>
      </c>
      <c r="AY501" s="130" t="str">
        <f t="shared" si="281"/>
        <v xml:space="preserve"> </v>
      </c>
      <c r="AZ501" s="130" t="str">
        <f t="shared" si="281"/>
        <v xml:space="preserve"> </v>
      </c>
      <c r="BA501" s="121">
        <f t="shared" si="262"/>
        <v>44129.838957674532</v>
      </c>
      <c r="BB501" s="121">
        <f t="shared" si="263"/>
        <v>0</v>
      </c>
      <c r="BC501" s="121">
        <f t="shared" si="264"/>
        <v>0</v>
      </c>
      <c r="BD501" s="121">
        <f t="shared" si="265"/>
        <v>0</v>
      </c>
      <c r="BE501" s="121">
        <f t="shared" si="266"/>
        <v>0</v>
      </c>
      <c r="BF501" s="121">
        <f t="shared" si="267"/>
        <v>0</v>
      </c>
      <c r="BG501" s="121">
        <f t="shared" si="268"/>
        <v>0</v>
      </c>
      <c r="BH501" s="121">
        <f t="shared" si="269"/>
        <v>0</v>
      </c>
      <c r="BI501" s="121">
        <f t="shared" si="270"/>
        <v>0</v>
      </c>
      <c r="BJ501" s="121">
        <f t="shared" si="271"/>
        <v>0</v>
      </c>
      <c r="BK501" s="121">
        <f t="shared" si="272"/>
        <v>0</v>
      </c>
      <c r="BL501" s="121">
        <f t="shared" si="273"/>
        <v>0</v>
      </c>
      <c r="BM501" s="121">
        <f t="shared" si="274"/>
        <v>0</v>
      </c>
      <c r="BN501" s="121">
        <f t="shared" si="275"/>
        <v>0</v>
      </c>
      <c r="BO501" s="121">
        <f t="shared" si="276"/>
        <v>0</v>
      </c>
      <c r="BP501" s="121">
        <f t="shared" si="277"/>
        <v>0</v>
      </c>
      <c r="BQ501" s="199">
        <f>INDEX('GDP deflators'!$C$6:$M$36,MATCH('Bottom-up tagging'!$D501,'GDP deflators'!$B$6:$B$36,),MATCH('Bottom-up tagging'!$E501,'GDP deflators'!$C$5:$L$5,))/100</f>
        <v>1.3597375702538033</v>
      </c>
      <c r="BR501" s="24">
        <v>60005</v>
      </c>
    </row>
    <row r="502" spans="2:70" ht="26.15" hidden="1" customHeight="1">
      <c r="B502" s="110" t="s">
        <v>1905</v>
      </c>
      <c r="C502" s="110" t="s">
        <v>1910</v>
      </c>
      <c r="D502" s="110" t="s">
        <v>3994</v>
      </c>
      <c r="E502" s="103">
        <v>2017</v>
      </c>
      <c r="F502" s="108" t="s">
        <v>6932</v>
      </c>
      <c r="G502" s="111" t="s">
        <v>34</v>
      </c>
      <c r="H502" s="110" t="s">
        <v>10451</v>
      </c>
      <c r="I502" s="112">
        <f>IF(Dashboard!$B$16="Current USD",'Bottom-up tagging'!BR502,'Bottom-up tagging'!BR502/'Bottom-up tagging'!BQ502)</f>
        <v>40508.541480159656</v>
      </c>
      <c r="J502" s="118" t="s">
        <v>10474</v>
      </c>
      <c r="K502" s="112"/>
      <c r="L502" s="135">
        <v>1</v>
      </c>
      <c r="M502" s="135">
        <v>1</v>
      </c>
      <c r="N502" s="112"/>
      <c r="O502" s="112"/>
      <c r="P502" s="112" t="str">
        <f>VLOOKUP(B502, 'Companies covered restructured'!$B$7:$K$470, 9, FALSE)</f>
        <v>Agri marketplaces</v>
      </c>
      <c r="Q502" s="112" t="str">
        <f>VLOOKUP(B502, 'Companies covered restructured'!$B$7:$K$470, 6, FALSE)</f>
        <v>#Crops(100)</v>
      </c>
      <c r="R502" s="112" t="str">
        <f t="shared" si="249"/>
        <v>#Corporate(100)</v>
      </c>
      <c r="S502" s="112" t="s">
        <v>11003</v>
      </c>
      <c r="T502" s="112" t="s">
        <v>10466</v>
      </c>
      <c r="U502" s="116" t="s">
        <v>10970</v>
      </c>
      <c r="V502" s="112" t="str">
        <f>VLOOKUP(P502, 'Bottom-up Tagging Assumptions'!$B$12:$F$39, 5, FALSE)</f>
        <v>#Process Innovation(100)</v>
      </c>
      <c r="W502" s="112" t="str">
        <f>VLOOKUP(B502, 'Companies covered restructured'!$B$7:$K$470, 7, FALSE)</f>
        <v>#Farm/Household(100)</v>
      </c>
      <c r="X502" s="112" t="s">
        <v>10558</v>
      </c>
      <c r="Y502" s="212" t="str">
        <f>VLOOKUP(P502, 'Bottom-up Tagging Assumptions'!$B$12:$C$56, 2, FALSE)</f>
        <v>#Other Economic(P); Social(S)</v>
      </c>
      <c r="Z502" s="112" t="str">
        <f>VLOOKUP(P502, 'Bottom-up Tagging Assumptions'!$B$12:$F$56, 3, FALSE)</f>
        <v>#Improve price realization(P)</v>
      </c>
      <c r="AA502" s="112" t="str">
        <f>VLOOKUP(P502, 'Bottom-up Tagging Assumptions'!$B$12:$F$56, 4, FALSE)</f>
        <v>#Level 4(100)</v>
      </c>
      <c r="AB502" s="110" t="s">
        <v>1907</v>
      </c>
      <c r="AC502" s="110" t="s">
        <v>1908</v>
      </c>
      <c r="AD502" s="110" t="s">
        <v>1909</v>
      </c>
      <c r="AE502" s="110" t="str">
        <f>VLOOKUP(AD502,  '1.2'!$B$7:$C$2033, 2, FALSE)</f>
        <v>CORPORATE_INVESTOR</v>
      </c>
      <c r="AF502" s="112">
        <v>2750000</v>
      </c>
      <c r="AG502" s="110" t="s">
        <v>2323</v>
      </c>
      <c r="AH502" s="121">
        <f t="shared" si="250"/>
        <v>0</v>
      </c>
      <c r="AI502" s="121">
        <f t="shared" si="251"/>
        <v>0</v>
      </c>
      <c r="AJ502" s="121">
        <f t="shared" si="252"/>
        <v>1</v>
      </c>
      <c r="AK502" s="121">
        <f t="shared" si="253"/>
        <v>1</v>
      </c>
      <c r="AL502" s="121">
        <f t="shared" si="254"/>
        <v>0</v>
      </c>
      <c r="AM502" s="121">
        <f t="shared" si="255"/>
        <v>0</v>
      </c>
      <c r="AN502" s="121">
        <f t="shared" si="256"/>
        <v>1</v>
      </c>
      <c r="AO502" s="121">
        <f t="shared" si="257"/>
        <v>0</v>
      </c>
      <c r="AP502" s="22">
        <f t="shared" si="258"/>
        <v>0</v>
      </c>
      <c r="AQ502" s="22">
        <f t="shared" si="259"/>
        <v>40508.541480159656</v>
      </c>
      <c r="AR502" s="22">
        <f t="shared" si="260"/>
        <v>0</v>
      </c>
      <c r="AS502" s="121" t="str">
        <f t="shared" si="261"/>
        <v>Crops</v>
      </c>
      <c r="AT502" s="121" t="str">
        <f t="shared" si="280"/>
        <v xml:space="preserve"> </v>
      </c>
      <c r="AU502" s="121" t="str">
        <f t="shared" si="280"/>
        <v xml:space="preserve"> </v>
      </c>
      <c r="AV502" s="121" t="str">
        <f t="shared" si="280"/>
        <v xml:space="preserve"> </v>
      </c>
      <c r="AW502" s="130" t="str">
        <f t="shared" si="281"/>
        <v>100</v>
      </c>
      <c r="AX502" s="130" t="str">
        <f t="shared" si="281"/>
        <v xml:space="preserve"> </v>
      </c>
      <c r="AY502" s="130" t="str">
        <f t="shared" si="281"/>
        <v xml:space="preserve"> </v>
      </c>
      <c r="AZ502" s="130" t="str">
        <f t="shared" si="281"/>
        <v xml:space="preserve"> </v>
      </c>
      <c r="BA502" s="121">
        <f t="shared" si="262"/>
        <v>40508.541480159656</v>
      </c>
      <c r="BB502" s="121">
        <f t="shared" si="263"/>
        <v>0</v>
      </c>
      <c r="BC502" s="121">
        <f t="shared" si="264"/>
        <v>0</v>
      </c>
      <c r="BD502" s="121">
        <f t="shared" si="265"/>
        <v>0</v>
      </c>
      <c r="BE502" s="121">
        <f t="shared" si="266"/>
        <v>0</v>
      </c>
      <c r="BF502" s="121">
        <f t="shared" si="267"/>
        <v>0</v>
      </c>
      <c r="BG502" s="121">
        <f t="shared" si="268"/>
        <v>0</v>
      </c>
      <c r="BH502" s="121">
        <f t="shared" si="269"/>
        <v>0</v>
      </c>
      <c r="BI502" s="121">
        <f t="shared" si="270"/>
        <v>40508.541480159656</v>
      </c>
      <c r="BJ502" s="121">
        <f t="shared" si="271"/>
        <v>40508.541480159656</v>
      </c>
      <c r="BK502" s="121">
        <f t="shared" si="272"/>
        <v>40508.541480159656</v>
      </c>
      <c r="BL502" s="121">
        <f t="shared" si="273"/>
        <v>40508.541480159656</v>
      </c>
      <c r="BM502" s="121">
        <f t="shared" si="274"/>
        <v>0</v>
      </c>
      <c r="BN502" s="121">
        <f t="shared" si="275"/>
        <v>0</v>
      </c>
      <c r="BO502" s="121">
        <f t="shared" si="276"/>
        <v>0</v>
      </c>
      <c r="BP502" s="121">
        <f t="shared" si="277"/>
        <v>0</v>
      </c>
      <c r="BQ502" s="199">
        <f>INDEX('GDP deflators'!$C$6:$M$36,MATCH('Bottom-up tagging'!$D502,'GDP deflators'!$B$6:$B$36,),MATCH('Bottom-up tagging'!$E502,'GDP deflators'!$C$5:$L$5,))/100</f>
        <v>1.4111098032990623</v>
      </c>
      <c r="BR502" s="24">
        <v>57162</v>
      </c>
    </row>
    <row r="503" spans="2:70" ht="26.15" hidden="1" customHeight="1">
      <c r="B503" s="110" t="s">
        <v>573</v>
      </c>
      <c r="C503" s="110" t="s">
        <v>578</v>
      </c>
      <c r="D503" s="110" t="s">
        <v>3994</v>
      </c>
      <c r="E503" s="103">
        <v>2019</v>
      </c>
      <c r="F503" s="108" t="s">
        <v>5925</v>
      </c>
      <c r="G503" s="111" t="s">
        <v>124</v>
      </c>
      <c r="H503" s="110" t="s">
        <v>10451</v>
      </c>
      <c r="I503" s="112">
        <f>IF(Dashboard!$B$16="Current USD",'Bottom-up tagging'!BR503,'Bottom-up tagging'!BR503/'Bottom-up tagging'!BQ503)</f>
        <v>37557.095564789845</v>
      </c>
      <c r="J503" s="105" t="s">
        <v>10474</v>
      </c>
      <c r="K503" s="112"/>
      <c r="L503" s="135">
        <v>1</v>
      </c>
      <c r="M503" s="135">
        <v>1</v>
      </c>
      <c r="N503" s="112"/>
      <c r="O503" s="112"/>
      <c r="P503" s="112" t="str">
        <f>VLOOKUP(B503, 'Companies covered restructured'!$B$7:$K$470, 9, FALSE)</f>
        <v>Farmer engagement platforms (including marketplaces and information platforms)</v>
      </c>
      <c r="Q503" s="112" t="str">
        <f>VLOOKUP(B503, 'Companies covered restructured'!$B$7:$K$470, 6, FALSE)</f>
        <v>#Crops(100)</v>
      </c>
      <c r="R503" s="112" t="str">
        <f t="shared" si="249"/>
        <v>#Angel Investor(100)</v>
      </c>
      <c r="S503" s="112" t="s">
        <v>11003</v>
      </c>
      <c r="T503" s="112" t="s">
        <v>10466</v>
      </c>
      <c r="U503" s="103" t="s">
        <v>10970</v>
      </c>
      <c r="V503" s="112" t="str">
        <f>VLOOKUP(P503, 'Bottom-up Tagging Assumptions'!$B$12:$F$39, 5, FALSE)</f>
        <v>#Process Innovation(100)</v>
      </c>
      <c r="W503" s="112" t="str">
        <f>VLOOKUP(B503, 'Companies covered restructured'!$B$7:$K$470, 7, FALSE)</f>
        <v>#Field/Animal Herd(100)</v>
      </c>
      <c r="X503" s="112" t="s">
        <v>10558</v>
      </c>
      <c r="Y503" s="212" t="str">
        <f>VLOOKUP(P503, 'Bottom-up Tagging Assumptions'!$B$12:$C$56, 2, FALSE)</f>
        <v>#Other Economic(P); #Productivity(S)</v>
      </c>
      <c r="Z503" s="112" t="str">
        <f>VLOOKUP(P503, 'Bottom-up Tagging Assumptions'!$B$12:$F$56, 3, FALSE)</f>
        <v>#Improve price realization(P); #Increasing crop or animal yield(S)</v>
      </c>
      <c r="AA503" s="112" t="str">
        <f>VLOOKUP(P503, 'Bottom-up Tagging Assumptions'!$B$12:$F$56, 4, FALSE)</f>
        <v>#Level 4(100)</v>
      </c>
      <c r="AB503" s="110"/>
      <c r="AC503" s="110" t="s">
        <v>1023</v>
      </c>
      <c r="AD503" s="110" t="s">
        <v>1023</v>
      </c>
      <c r="AE503" s="110" t="str">
        <f>VLOOKUP(AD503,  '1.2'!$B$7:$C$2033, 2, FALSE)</f>
        <v>ANGEL</v>
      </c>
      <c r="AF503" s="112">
        <v>9099055</v>
      </c>
      <c r="AG503" s="110" t="s">
        <v>1768</v>
      </c>
      <c r="AH503" s="121">
        <f t="shared" si="250"/>
        <v>0</v>
      </c>
      <c r="AI503" s="121">
        <f t="shared" si="251"/>
        <v>1</v>
      </c>
      <c r="AJ503" s="121">
        <f t="shared" si="252"/>
        <v>1</v>
      </c>
      <c r="AK503" s="121">
        <f t="shared" si="253"/>
        <v>0</v>
      </c>
      <c r="AL503" s="121">
        <f t="shared" si="254"/>
        <v>0</v>
      </c>
      <c r="AM503" s="121">
        <f t="shared" si="255"/>
        <v>0</v>
      </c>
      <c r="AN503" s="121">
        <f t="shared" si="256"/>
        <v>0</v>
      </c>
      <c r="AO503" s="121">
        <f t="shared" si="257"/>
        <v>0</v>
      </c>
      <c r="AP503" s="22">
        <f t="shared" si="258"/>
        <v>0</v>
      </c>
      <c r="AQ503" s="22">
        <f t="shared" si="259"/>
        <v>0</v>
      </c>
      <c r="AR503" s="22">
        <f t="shared" si="260"/>
        <v>0</v>
      </c>
      <c r="AS503" s="121" t="str">
        <f t="shared" si="261"/>
        <v>Crops</v>
      </c>
      <c r="AT503" s="121" t="str">
        <f t="shared" si="280"/>
        <v xml:space="preserve"> </v>
      </c>
      <c r="AU503" s="121" t="str">
        <f t="shared" si="280"/>
        <v xml:space="preserve"> </v>
      </c>
      <c r="AV503" s="121" t="str">
        <f t="shared" si="280"/>
        <v xml:space="preserve"> </v>
      </c>
      <c r="AW503" s="130" t="str">
        <f t="shared" si="281"/>
        <v>100</v>
      </c>
      <c r="AX503" s="130" t="str">
        <f t="shared" si="281"/>
        <v xml:space="preserve"> </v>
      </c>
      <c r="AY503" s="130" t="str">
        <f t="shared" si="281"/>
        <v xml:space="preserve"> </v>
      </c>
      <c r="AZ503" s="130" t="str">
        <f t="shared" si="281"/>
        <v xml:space="preserve"> </v>
      </c>
      <c r="BA503" s="121">
        <f t="shared" si="262"/>
        <v>37557.095564789845</v>
      </c>
      <c r="BB503" s="121">
        <f t="shared" si="263"/>
        <v>0</v>
      </c>
      <c r="BC503" s="121">
        <f t="shared" si="264"/>
        <v>0</v>
      </c>
      <c r="BD503" s="121">
        <f t="shared" si="265"/>
        <v>0</v>
      </c>
      <c r="BE503" s="121">
        <f t="shared" si="266"/>
        <v>0</v>
      </c>
      <c r="BF503" s="121">
        <f t="shared" si="267"/>
        <v>0</v>
      </c>
      <c r="BG503" s="121">
        <f t="shared" si="268"/>
        <v>0</v>
      </c>
      <c r="BH503" s="121">
        <f t="shared" si="269"/>
        <v>0</v>
      </c>
      <c r="BI503" s="121">
        <f t="shared" si="270"/>
        <v>0</v>
      </c>
      <c r="BJ503" s="121">
        <f t="shared" si="271"/>
        <v>0</v>
      </c>
      <c r="BK503" s="121">
        <f t="shared" si="272"/>
        <v>0</v>
      </c>
      <c r="BL503" s="121">
        <f t="shared" si="273"/>
        <v>0</v>
      </c>
      <c r="BM503" s="121">
        <f t="shared" si="274"/>
        <v>0</v>
      </c>
      <c r="BN503" s="121">
        <f t="shared" si="275"/>
        <v>0</v>
      </c>
      <c r="BO503" s="121">
        <f t="shared" si="276"/>
        <v>0</v>
      </c>
      <c r="BP503" s="121">
        <f t="shared" si="277"/>
        <v>0</v>
      </c>
      <c r="BQ503" s="199">
        <f>INDEX('GDP deflators'!$C$6:$M$36,MATCH('Bottom-up tagging'!$D503,'GDP deflators'!$B$6:$B$36,),MATCH('Bottom-up tagging'!$E503,'GDP deflators'!$C$5:$L$5,))/100</f>
        <v>1.5094883975306472</v>
      </c>
      <c r="BR503" s="24">
        <v>56692</v>
      </c>
    </row>
    <row r="504" spans="2:70" ht="26.15" hidden="1" customHeight="1">
      <c r="B504" s="110" t="s">
        <v>303</v>
      </c>
      <c r="C504" s="110" t="s">
        <v>306</v>
      </c>
      <c r="D504" s="110" t="s">
        <v>3994</v>
      </c>
      <c r="E504" s="103">
        <v>2018</v>
      </c>
      <c r="F504" s="108" t="s">
        <v>8813</v>
      </c>
      <c r="G504" s="111" t="s">
        <v>109</v>
      </c>
      <c r="H504" s="110" t="s">
        <v>10451</v>
      </c>
      <c r="I504" s="112">
        <f>IF(Dashboard!$B$16="Current USD",'Bottom-up tagging'!BR504,'Bottom-up tagging'!BR504/'Bottom-up tagging'!BQ504)</f>
        <v>34044.476108237031</v>
      </c>
      <c r="J504" s="117" t="s">
        <v>10474</v>
      </c>
      <c r="K504" s="112"/>
      <c r="L504" s="135">
        <v>1</v>
      </c>
      <c r="M504" s="135">
        <v>1</v>
      </c>
      <c r="N504" s="112"/>
      <c r="O504" s="112"/>
      <c r="P504" s="112" t="str">
        <f>VLOOKUP(B504, 'Companies covered restructured'!$B$7:$K$470, 9, FALSE)</f>
        <v>Animal and fish monitoring systems</v>
      </c>
      <c r="Q504" s="112" t="str">
        <f>VLOOKUP(B504, 'Companies covered restructured'!$B$7:$K$470, 6, FALSE)</f>
        <v>#Livestock(100)</v>
      </c>
      <c r="R504" s="112" t="str">
        <f t="shared" si="249"/>
        <v>#Corporate(100)</v>
      </c>
      <c r="S504" s="112" t="s">
        <v>11003</v>
      </c>
      <c r="T504" s="112" t="s">
        <v>10466</v>
      </c>
      <c r="U504" s="103" t="s">
        <v>10970</v>
      </c>
      <c r="V504" s="112" t="str">
        <f>VLOOKUP(P504, 'Bottom-up Tagging Assumptions'!$B$12:$F$39, 5, FALSE)</f>
        <v>#Product Development(100)</v>
      </c>
      <c r="W504" s="112" t="str">
        <f>VLOOKUP(B504, 'Companies covered restructured'!$B$7:$K$470, 7, FALSE)</f>
        <v>#Field/Animal Herd(100)</v>
      </c>
      <c r="X504" s="112" t="s">
        <v>10558</v>
      </c>
      <c r="Y504" s="212" t="str">
        <f>VLOOKUP(P504, 'Bottom-up Tagging Assumptions'!$B$12:$C$56, 2, FALSE)</f>
        <v>#Productivity(P); Other economic(S)</v>
      </c>
      <c r="Z504" s="112" t="str">
        <f>VLOOKUP(P504, 'Bottom-up Tagging Assumptions'!$B$12:$F$56, 3, FALSE)</f>
        <v>#Increasing crop or animal yield(P)</v>
      </c>
      <c r="AA504" s="112" t="str">
        <f>VLOOKUP(P504, 'Bottom-up Tagging Assumptions'!$B$12:$F$56, 4, FALSE)</f>
        <v>#Level 2(100)</v>
      </c>
      <c r="AB504" s="110" t="s">
        <v>1841</v>
      </c>
      <c r="AC504" s="110"/>
      <c r="AD504" s="110" t="s">
        <v>1842</v>
      </c>
      <c r="AE504" s="110" t="str">
        <f>VLOOKUP(AD504,  '1.2'!$B$7:$C$2033, 2, FALSE)</f>
        <v>CORPORATE_INVESTOR</v>
      </c>
      <c r="AF504" s="112">
        <v>1500000</v>
      </c>
      <c r="AG504" s="110" t="s">
        <v>2904</v>
      </c>
      <c r="AH504" s="121">
        <f t="shared" si="250"/>
        <v>0</v>
      </c>
      <c r="AI504" s="121">
        <f t="shared" si="251"/>
        <v>1</v>
      </c>
      <c r="AJ504" s="121">
        <f t="shared" si="252"/>
        <v>1</v>
      </c>
      <c r="AK504" s="121">
        <f t="shared" si="253"/>
        <v>0</v>
      </c>
      <c r="AL504" s="121">
        <f t="shared" si="254"/>
        <v>0</v>
      </c>
      <c r="AM504" s="121">
        <f t="shared" si="255"/>
        <v>0</v>
      </c>
      <c r="AN504" s="121">
        <f t="shared" si="256"/>
        <v>0</v>
      </c>
      <c r="AO504" s="121">
        <f t="shared" si="257"/>
        <v>0</v>
      </c>
      <c r="AP504" s="22">
        <f t="shared" si="258"/>
        <v>0</v>
      </c>
      <c r="AQ504" s="22">
        <f t="shared" si="259"/>
        <v>0</v>
      </c>
      <c r="AR504" s="22">
        <f t="shared" si="260"/>
        <v>0</v>
      </c>
      <c r="AS504" s="121" t="str">
        <f t="shared" si="261"/>
        <v>Livestock</v>
      </c>
      <c r="AT504" s="121" t="str">
        <f t="shared" si="280"/>
        <v xml:space="preserve"> </v>
      </c>
      <c r="AU504" s="121" t="str">
        <f t="shared" si="280"/>
        <v xml:space="preserve"> </v>
      </c>
      <c r="AV504" s="121" t="str">
        <f t="shared" si="280"/>
        <v xml:space="preserve"> </v>
      </c>
      <c r="AW504" s="130" t="str">
        <f t="shared" si="281"/>
        <v>100</v>
      </c>
      <c r="AX504" s="130" t="str">
        <f t="shared" si="281"/>
        <v xml:space="preserve"> </v>
      </c>
      <c r="AY504" s="130" t="str">
        <f t="shared" si="281"/>
        <v xml:space="preserve"> </v>
      </c>
      <c r="AZ504" s="130" t="str">
        <f t="shared" si="281"/>
        <v xml:space="preserve"> </v>
      </c>
      <c r="BA504" s="121">
        <f t="shared" si="262"/>
        <v>34044.476108237031</v>
      </c>
      <c r="BB504" s="121">
        <f t="shared" si="263"/>
        <v>0</v>
      </c>
      <c r="BC504" s="121">
        <f t="shared" si="264"/>
        <v>0</v>
      </c>
      <c r="BD504" s="121">
        <f t="shared" si="265"/>
        <v>0</v>
      </c>
      <c r="BE504" s="121">
        <f t="shared" si="266"/>
        <v>0</v>
      </c>
      <c r="BF504" s="121">
        <f t="shared" si="267"/>
        <v>0</v>
      </c>
      <c r="BG504" s="121">
        <f t="shared" si="268"/>
        <v>0</v>
      </c>
      <c r="BH504" s="121">
        <f t="shared" si="269"/>
        <v>0</v>
      </c>
      <c r="BI504" s="121">
        <f t="shared" si="270"/>
        <v>0</v>
      </c>
      <c r="BJ504" s="121">
        <f t="shared" si="271"/>
        <v>0</v>
      </c>
      <c r="BK504" s="121">
        <f t="shared" si="272"/>
        <v>0</v>
      </c>
      <c r="BL504" s="121">
        <f t="shared" si="273"/>
        <v>0</v>
      </c>
      <c r="BM504" s="121">
        <f t="shared" si="274"/>
        <v>0</v>
      </c>
      <c r="BN504" s="121">
        <f t="shared" si="275"/>
        <v>0</v>
      </c>
      <c r="BO504" s="121">
        <f t="shared" si="276"/>
        <v>0</v>
      </c>
      <c r="BP504" s="121">
        <f t="shared" si="277"/>
        <v>0</v>
      </c>
      <c r="BQ504" s="199">
        <f>INDEX('GDP deflators'!$C$6:$M$36,MATCH('Bottom-up tagging'!$D504,'GDP deflators'!$B$6:$B$36,),MATCH('Bottom-up tagging'!$E504,'GDP deflators'!$C$5:$L$5,))/100</f>
        <v>1.4753935363936217</v>
      </c>
      <c r="BR504" s="24">
        <v>50229</v>
      </c>
    </row>
    <row r="505" spans="2:70" ht="26.15" hidden="1" customHeight="1">
      <c r="B505" s="110" t="s">
        <v>1191</v>
      </c>
      <c r="C505" s="110" t="s">
        <v>1194</v>
      </c>
      <c r="D505" s="110" t="s">
        <v>3994</v>
      </c>
      <c r="E505" s="103">
        <v>2018</v>
      </c>
      <c r="F505" s="108" t="s">
        <v>7021</v>
      </c>
      <c r="G505" s="111" t="s">
        <v>124</v>
      </c>
      <c r="H505" s="110" t="s">
        <v>10451</v>
      </c>
      <c r="I505" s="112">
        <f>IF(Dashboard!$B$16="Current USD",'Bottom-up tagging'!BR505,'Bottom-up tagging'!BR505/'Bottom-up tagging'!BQ505)</f>
        <v>34003.1312070325</v>
      </c>
      <c r="J505" s="117" t="s">
        <v>10474</v>
      </c>
      <c r="K505" s="112"/>
      <c r="L505" s="135">
        <v>1</v>
      </c>
      <c r="M505" s="135">
        <v>1</v>
      </c>
      <c r="N505" s="112"/>
      <c r="O505" s="112"/>
      <c r="P505" s="112" t="str">
        <f>VLOOKUP(B505, 'Companies covered restructured'!$B$7:$K$470, 9, FALSE)</f>
        <v>AI/analytics based advisory algorithms (incl. weather)</v>
      </c>
      <c r="Q505" s="112" t="str">
        <f>VLOOKUP(B505, 'Companies covered restructured'!$B$7:$K$470, 6, FALSE)</f>
        <v>#Crops(100)</v>
      </c>
      <c r="R505" s="112" t="str">
        <f t="shared" si="249"/>
        <v>#Angel Investor(100)</v>
      </c>
      <c r="S505" s="112" t="s">
        <v>11003</v>
      </c>
      <c r="T505" s="112" t="s">
        <v>10466</v>
      </c>
      <c r="U505" s="213" t="s">
        <v>10970</v>
      </c>
      <c r="V505" s="112" t="str">
        <f>VLOOKUP(P505, 'Bottom-up Tagging Assumptions'!$B$12:$F$39, 5, FALSE)</f>
        <v>#Science &amp; tech(100)</v>
      </c>
      <c r="W505" s="112" t="str">
        <f>VLOOKUP(B505, 'Companies covered restructured'!$B$7:$K$470, 7, FALSE)</f>
        <v>#Field/Animal Herd(100)</v>
      </c>
      <c r="X505" s="112" t="s">
        <v>10558</v>
      </c>
      <c r="Y505" s="212" t="str">
        <f>VLOOKUP(P505, 'Bottom-up Tagging Assumptions'!$B$12:$C$56, 2, FALSE)</f>
        <v>#Other Economic(P); #Productivity(S)</v>
      </c>
      <c r="Z505" s="112" t="str">
        <f>VLOOKUP(P505, 'Bottom-up Tagging Assumptions'!$B$12:$F$56, 3, FALSE)</f>
        <v>#Increasing output per unit input(P); #Increasing crop or animal yield(S)</v>
      </c>
      <c r="AA505" s="112" t="str">
        <f>VLOOKUP(P505, 'Bottom-up Tagging Assumptions'!$B$12:$F$56, 4, FALSE)</f>
        <v>#Level 1(100)</v>
      </c>
      <c r="AB505" s="110"/>
      <c r="AC505" s="110" t="s">
        <v>1824</v>
      </c>
      <c r="AD505" s="110" t="s">
        <v>1824</v>
      </c>
      <c r="AE505" s="110" t="str">
        <f>VLOOKUP(AD505,  '1.2'!$B$7:$C$2033, 2, FALSE)</f>
        <v>ANGEL</v>
      </c>
      <c r="AF505" s="112">
        <v>212000</v>
      </c>
      <c r="AG505" s="110" t="s">
        <v>2115</v>
      </c>
      <c r="AH505" s="121">
        <f t="shared" si="250"/>
        <v>0</v>
      </c>
      <c r="AI505" s="121">
        <f t="shared" si="251"/>
        <v>1</v>
      </c>
      <c r="AJ505" s="121">
        <f t="shared" si="252"/>
        <v>1</v>
      </c>
      <c r="AK505" s="121">
        <f t="shared" si="253"/>
        <v>0</v>
      </c>
      <c r="AL505" s="121">
        <f t="shared" si="254"/>
        <v>0</v>
      </c>
      <c r="AM505" s="121">
        <f t="shared" si="255"/>
        <v>0</v>
      </c>
      <c r="AN505" s="121">
        <f t="shared" si="256"/>
        <v>0</v>
      </c>
      <c r="AO505" s="121">
        <f t="shared" si="257"/>
        <v>0</v>
      </c>
      <c r="AP505" s="22">
        <f t="shared" si="258"/>
        <v>0</v>
      </c>
      <c r="AQ505" s="22">
        <f t="shared" si="259"/>
        <v>0</v>
      </c>
      <c r="AR505" s="22">
        <f t="shared" si="260"/>
        <v>0</v>
      </c>
      <c r="AS505" s="121" t="str">
        <f t="shared" si="261"/>
        <v>Crops</v>
      </c>
      <c r="AT505" s="121" t="str">
        <f t="shared" si="280"/>
        <v xml:space="preserve"> </v>
      </c>
      <c r="AU505" s="121" t="str">
        <f t="shared" si="280"/>
        <v xml:space="preserve"> </v>
      </c>
      <c r="AV505" s="121" t="str">
        <f t="shared" si="280"/>
        <v xml:space="preserve"> </v>
      </c>
      <c r="AW505" s="130" t="str">
        <f t="shared" si="281"/>
        <v>100</v>
      </c>
      <c r="AX505" s="130" t="str">
        <f t="shared" si="281"/>
        <v xml:space="preserve"> </v>
      </c>
      <c r="AY505" s="130" t="str">
        <f t="shared" si="281"/>
        <v xml:space="preserve"> </v>
      </c>
      <c r="AZ505" s="130" t="str">
        <f t="shared" si="281"/>
        <v xml:space="preserve"> </v>
      </c>
      <c r="BA505" s="121">
        <f t="shared" si="262"/>
        <v>34003.1312070325</v>
      </c>
      <c r="BB505" s="121">
        <f t="shared" si="263"/>
        <v>0</v>
      </c>
      <c r="BC505" s="121">
        <f t="shared" si="264"/>
        <v>0</v>
      </c>
      <c r="BD505" s="121">
        <f t="shared" si="265"/>
        <v>0</v>
      </c>
      <c r="BE505" s="121">
        <f t="shared" si="266"/>
        <v>0</v>
      </c>
      <c r="BF505" s="121">
        <f t="shared" si="267"/>
        <v>0</v>
      </c>
      <c r="BG505" s="121">
        <f t="shared" si="268"/>
        <v>0</v>
      </c>
      <c r="BH505" s="121">
        <f t="shared" si="269"/>
        <v>0</v>
      </c>
      <c r="BI505" s="121">
        <f t="shared" si="270"/>
        <v>0</v>
      </c>
      <c r="BJ505" s="121">
        <f t="shared" si="271"/>
        <v>0</v>
      </c>
      <c r="BK505" s="121">
        <f t="shared" si="272"/>
        <v>0</v>
      </c>
      <c r="BL505" s="121">
        <f t="shared" si="273"/>
        <v>0</v>
      </c>
      <c r="BM505" s="121">
        <f t="shared" si="274"/>
        <v>0</v>
      </c>
      <c r="BN505" s="121">
        <f t="shared" si="275"/>
        <v>0</v>
      </c>
      <c r="BO505" s="121">
        <f t="shared" si="276"/>
        <v>0</v>
      </c>
      <c r="BP505" s="121">
        <f t="shared" si="277"/>
        <v>0</v>
      </c>
      <c r="BQ505" s="199">
        <f>INDEX('GDP deflators'!$C$6:$M$36,MATCH('Bottom-up tagging'!$D505,'GDP deflators'!$B$6:$B$36,),MATCH('Bottom-up tagging'!$E505,'GDP deflators'!$C$5:$L$5,))/100</f>
        <v>1.4753935363936217</v>
      </c>
      <c r="BR505" s="24">
        <v>50168</v>
      </c>
    </row>
    <row r="506" spans="2:70" ht="26.15" customHeight="1">
      <c r="B506" s="110" t="s">
        <v>2083</v>
      </c>
      <c r="C506" s="110" t="s">
        <v>2087</v>
      </c>
      <c r="D506" s="110" t="s">
        <v>5391</v>
      </c>
      <c r="E506" s="103">
        <v>2017</v>
      </c>
      <c r="F506" s="108" t="s">
        <v>5429</v>
      </c>
      <c r="G506" s="111" t="s">
        <v>34</v>
      </c>
      <c r="H506" s="110" t="s">
        <v>10451</v>
      </c>
      <c r="I506" s="112">
        <f>IF(Dashboard!$B$16="Current USD",'Bottom-up tagging'!BR506,'Bottom-up tagging'!BR506/'Bottom-up tagging'!BQ506)</f>
        <v>28176.253574625196</v>
      </c>
      <c r="J506" s="118" t="s">
        <v>10474</v>
      </c>
      <c r="K506" s="112"/>
      <c r="L506" s="135">
        <v>1</v>
      </c>
      <c r="M506" s="135">
        <v>1</v>
      </c>
      <c r="N506" s="112"/>
      <c r="O506" s="112"/>
      <c r="P506" s="112" t="str">
        <f>VLOOKUP(B506, 'Companies covered restructured'!$B$7:$K$470, 9, FALSE)</f>
        <v xml:space="preserve">Agriculture financing systems </v>
      </c>
      <c r="Q506" s="112" t="str">
        <f>VLOOKUP(B506, 'Companies covered restructured'!$B$7:$K$470, 6, FALSE)</f>
        <v>#Cross-cutting(100)</v>
      </c>
      <c r="R506" s="112" t="str">
        <f t="shared" si="249"/>
        <v>#Investment Fund(100)</v>
      </c>
      <c r="S506" s="112" t="s">
        <v>11003</v>
      </c>
      <c r="T506" s="112" t="s">
        <v>10466</v>
      </c>
      <c r="U506" s="103" t="s">
        <v>10970</v>
      </c>
      <c r="V506" s="112" t="str">
        <f>VLOOKUP(P506, 'Bottom-up Tagging Assumptions'!$B$12:$F$39, 5, FALSE)</f>
        <v>#Process Innovation(100)</v>
      </c>
      <c r="W506" s="112" t="s">
        <v>10558</v>
      </c>
      <c r="X506" s="112" t="s">
        <v>10558</v>
      </c>
      <c r="Y506" s="212" t="str">
        <f>VLOOKUP(P506, 'Bottom-up Tagging Assumptions'!$B$12:$C$56, 2, FALSE)</f>
        <v>#Other Economic(P); Social(S)</v>
      </c>
      <c r="Z506" s="112" t="str">
        <f>VLOOKUP(P506, 'Bottom-up Tagging Assumptions'!$B$12:$F$56, 3, FALSE)</f>
        <v>NA</v>
      </c>
      <c r="AA506" s="112" t="str">
        <f>VLOOKUP(P506, 'Bottom-up Tagging Assumptions'!$B$12:$F$56, 4, FALSE)</f>
        <v>#Level 1(100)</v>
      </c>
      <c r="AB506" s="110" t="s">
        <v>2085</v>
      </c>
      <c r="AC506" s="110"/>
      <c r="AD506" s="110" t="s">
        <v>2086</v>
      </c>
      <c r="AE506" s="110" t="s">
        <v>3114</v>
      </c>
      <c r="AF506" s="112">
        <v>50000</v>
      </c>
      <c r="AG506" s="110" t="s">
        <v>1366</v>
      </c>
      <c r="AH506" s="121">
        <f t="shared" si="250"/>
        <v>0</v>
      </c>
      <c r="AI506" s="121">
        <f t="shared" si="251"/>
        <v>0</v>
      </c>
      <c r="AJ506" s="121">
        <f t="shared" si="252"/>
        <v>1</v>
      </c>
      <c r="AK506" s="121">
        <f t="shared" si="253"/>
        <v>1</v>
      </c>
      <c r="AL506" s="121">
        <f t="shared" si="254"/>
        <v>0</v>
      </c>
      <c r="AM506" s="121">
        <f t="shared" si="255"/>
        <v>0</v>
      </c>
      <c r="AN506" s="121">
        <f t="shared" si="256"/>
        <v>1</v>
      </c>
      <c r="AO506" s="121">
        <f t="shared" si="257"/>
        <v>0</v>
      </c>
      <c r="AP506" s="22">
        <f t="shared" si="258"/>
        <v>0</v>
      </c>
      <c r="AQ506" s="22">
        <f t="shared" si="259"/>
        <v>28176.253574625196</v>
      </c>
      <c r="AR506" s="22">
        <f t="shared" si="260"/>
        <v>0</v>
      </c>
      <c r="AS506" s="121" t="str">
        <f t="shared" si="261"/>
        <v>Cross-cutting</v>
      </c>
      <c r="AT506" s="121" t="str">
        <f t="shared" si="280"/>
        <v xml:space="preserve"> </v>
      </c>
      <c r="AU506" s="121" t="str">
        <f t="shared" si="280"/>
        <v xml:space="preserve"> </v>
      </c>
      <c r="AV506" s="121" t="str">
        <f t="shared" si="280"/>
        <v xml:space="preserve"> </v>
      </c>
      <c r="AW506" s="130" t="str">
        <f t="shared" si="281"/>
        <v>100</v>
      </c>
      <c r="AX506" s="130" t="str">
        <f t="shared" si="281"/>
        <v xml:space="preserve"> </v>
      </c>
      <c r="AY506" s="130" t="str">
        <f t="shared" si="281"/>
        <v xml:space="preserve"> </v>
      </c>
      <c r="AZ506" s="130" t="str">
        <f t="shared" si="281"/>
        <v xml:space="preserve"> </v>
      </c>
      <c r="BA506" s="121">
        <f t="shared" si="262"/>
        <v>28176.253574625196</v>
      </c>
      <c r="BB506" s="121">
        <f t="shared" si="263"/>
        <v>0</v>
      </c>
      <c r="BC506" s="121">
        <f t="shared" si="264"/>
        <v>0</v>
      </c>
      <c r="BD506" s="121">
        <f t="shared" si="265"/>
        <v>0</v>
      </c>
      <c r="BE506" s="121">
        <f t="shared" si="266"/>
        <v>0</v>
      </c>
      <c r="BF506" s="121">
        <f t="shared" si="267"/>
        <v>0</v>
      </c>
      <c r="BG506" s="121">
        <f t="shared" si="268"/>
        <v>0</v>
      </c>
      <c r="BH506" s="121">
        <f t="shared" si="269"/>
        <v>0</v>
      </c>
      <c r="BI506" s="121">
        <f t="shared" si="270"/>
        <v>28176.253574625196</v>
      </c>
      <c r="BJ506" s="121">
        <f t="shared" si="271"/>
        <v>28176.253574625196</v>
      </c>
      <c r="BK506" s="121">
        <f t="shared" si="272"/>
        <v>28176.253574625196</v>
      </c>
      <c r="BL506" s="121">
        <f t="shared" si="273"/>
        <v>28176.253574625196</v>
      </c>
      <c r="BM506" s="121">
        <f t="shared" si="274"/>
        <v>0</v>
      </c>
      <c r="BN506" s="121">
        <f t="shared" si="275"/>
        <v>0</v>
      </c>
      <c r="BO506" s="121">
        <f t="shared" si="276"/>
        <v>0</v>
      </c>
      <c r="BP506" s="121">
        <f t="shared" si="277"/>
        <v>0</v>
      </c>
      <c r="BQ506" s="199">
        <f>INDEX('GDP deflators'!$C$6:$M$36,MATCH('Bottom-up tagging'!$D506,'GDP deflators'!$B$6:$B$36,),MATCH('Bottom-up tagging'!$E506,'GDP deflators'!$C$5:$L$5,))/100</f>
        <v>1.7745439388375148</v>
      </c>
      <c r="BR506" s="24">
        <v>50000</v>
      </c>
    </row>
    <row r="507" spans="2:70" ht="26.15" customHeight="1">
      <c r="B507" s="110" t="s">
        <v>2703</v>
      </c>
      <c r="C507" s="110" t="s">
        <v>2705</v>
      </c>
      <c r="D507" s="110" t="s">
        <v>5391</v>
      </c>
      <c r="E507" s="103">
        <v>2015</v>
      </c>
      <c r="F507" s="108" t="s">
        <v>9438</v>
      </c>
      <c r="G507" s="111" t="s">
        <v>34</v>
      </c>
      <c r="H507" s="110" t="s">
        <v>10451</v>
      </c>
      <c r="I507" s="112">
        <f>IF(Dashboard!$B$16="Current USD",'Bottom-up tagging'!BR507,'Bottom-up tagging'!BR507/'Bottom-up tagging'!BQ507)</f>
        <v>32994.440177087781</v>
      </c>
      <c r="J507" s="118" t="s">
        <v>10474</v>
      </c>
      <c r="K507" s="112"/>
      <c r="L507" s="135">
        <v>1</v>
      </c>
      <c r="M507" s="135">
        <v>1</v>
      </c>
      <c r="N507" s="112"/>
      <c r="O507" s="112"/>
      <c r="P507" s="112" t="str">
        <f>VLOOKUP(B507, 'Companies covered restructured'!$B$7:$K$470, 9, FALSE)</f>
        <v>Farmer engagement platforms (including marketplaces and information platforms)</v>
      </c>
      <c r="Q507" s="112" t="str">
        <f>VLOOKUP(B507, 'Companies covered restructured'!$B$7:$K$470, 6, FALSE)</f>
        <v>#Livestock(100)</v>
      </c>
      <c r="R507" s="112" t="str">
        <f t="shared" si="249"/>
        <v>N/A</v>
      </c>
      <c r="S507" s="112" t="s">
        <v>11003</v>
      </c>
      <c r="T507" s="112" t="s">
        <v>10466</v>
      </c>
      <c r="U507" s="103" t="s">
        <v>10970</v>
      </c>
      <c r="V507" s="112" t="str">
        <f>VLOOKUP(P507, 'Bottom-up Tagging Assumptions'!$B$12:$F$39, 5, FALSE)</f>
        <v>#Process Innovation(100)</v>
      </c>
      <c r="W507" s="112" t="str">
        <f>VLOOKUP(B507, 'Companies covered restructured'!$B$7:$K$470, 7, FALSE)</f>
        <v>#Landscape(100)</v>
      </c>
      <c r="X507" s="112" t="str">
        <f>VLOOKUP(B507, 'Companies covered restructured'!$B$7:$K$470, 8, FALSE)</f>
        <v>#Small(100)</v>
      </c>
      <c r="Y507" s="212" t="str">
        <f>VLOOKUP(P507, 'Bottom-up Tagging Assumptions'!$B$12:$C$56, 2, FALSE)</f>
        <v>#Other Economic(P); #Productivity(S)</v>
      </c>
      <c r="Z507" s="112" t="str">
        <f>VLOOKUP(P507, 'Bottom-up Tagging Assumptions'!$B$12:$F$56, 3, FALSE)</f>
        <v>#Improve price realization(P); #Increasing crop or animal yield(S)</v>
      </c>
      <c r="AA507" s="112" t="str">
        <f>VLOOKUP(P507, 'Bottom-up Tagging Assumptions'!$B$12:$F$56, 4, FALSE)</f>
        <v>#Level 4(100)</v>
      </c>
      <c r="AB507" s="110" t="s">
        <v>1394</v>
      </c>
      <c r="AC507" s="110"/>
      <c r="AD507" s="110"/>
      <c r="AE507" s="110" t="s">
        <v>10558</v>
      </c>
      <c r="AF507" s="112">
        <v>50000</v>
      </c>
      <c r="AG507" s="110" t="s">
        <v>2706</v>
      </c>
      <c r="AH507" s="121">
        <f t="shared" si="250"/>
        <v>0</v>
      </c>
      <c r="AI507" s="121">
        <f t="shared" si="251"/>
        <v>1</v>
      </c>
      <c r="AJ507" s="121">
        <f t="shared" si="252"/>
        <v>1</v>
      </c>
      <c r="AK507" s="121">
        <f t="shared" si="253"/>
        <v>0</v>
      </c>
      <c r="AL507" s="121">
        <f t="shared" si="254"/>
        <v>0</v>
      </c>
      <c r="AM507" s="121">
        <f t="shared" si="255"/>
        <v>0</v>
      </c>
      <c r="AN507" s="121">
        <f t="shared" si="256"/>
        <v>0</v>
      </c>
      <c r="AO507" s="121">
        <f t="shared" si="257"/>
        <v>0</v>
      </c>
      <c r="AP507" s="22">
        <f t="shared" si="258"/>
        <v>0</v>
      </c>
      <c r="AQ507" s="22">
        <f t="shared" si="259"/>
        <v>0</v>
      </c>
      <c r="AR507" s="22">
        <f t="shared" si="260"/>
        <v>0</v>
      </c>
      <c r="AS507" s="121" t="str">
        <f t="shared" si="261"/>
        <v>Livestock</v>
      </c>
      <c r="AT507" s="121" t="str">
        <f t="shared" si="280"/>
        <v xml:space="preserve"> </v>
      </c>
      <c r="AU507" s="121" t="str">
        <f t="shared" si="280"/>
        <v xml:space="preserve"> </v>
      </c>
      <c r="AV507" s="121" t="str">
        <f t="shared" si="280"/>
        <v xml:space="preserve"> </v>
      </c>
      <c r="AW507" s="130" t="str">
        <f t="shared" si="281"/>
        <v>100</v>
      </c>
      <c r="AX507" s="130" t="str">
        <f t="shared" si="281"/>
        <v xml:space="preserve"> </v>
      </c>
      <c r="AY507" s="130" t="str">
        <f t="shared" si="281"/>
        <v xml:space="preserve"> </v>
      </c>
      <c r="AZ507" s="130" t="str">
        <f t="shared" si="281"/>
        <v xml:space="preserve"> </v>
      </c>
      <c r="BA507" s="121">
        <f t="shared" si="262"/>
        <v>32994.440177087781</v>
      </c>
      <c r="BB507" s="121">
        <f t="shared" si="263"/>
        <v>0</v>
      </c>
      <c r="BC507" s="121">
        <f t="shared" si="264"/>
        <v>0</v>
      </c>
      <c r="BD507" s="121">
        <f t="shared" si="265"/>
        <v>0</v>
      </c>
      <c r="BE507" s="121">
        <f t="shared" si="266"/>
        <v>0</v>
      </c>
      <c r="BF507" s="121">
        <f t="shared" si="267"/>
        <v>0</v>
      </c>
      <c r="BG507" s="121">
        <f t="shared" si="268"/>
        <v>0</v>
      </c>
      <c r="BH507" s="121">
        <f t="shared" si="269"/>
        <v>0</v>
      </c>
      <c r="BI507" s="121">
        <f t="shared" si="270"/>
        <v>0</v>
      </c>
      <c r="BJ507" s="121">
        <f t="shared" si="271"/>
        <v>0</v>
      </c>
      <c r="BK507" s="121">
        <f t="shared" si="272"/>
        <v>0</v>
      </c>
      <c r="BL507" s="121">
        <f t="shared" si="273"/>
        <v>0</v>
      </c>
      <c r="BM507" s="121">
        <f t="shared" si="274"/>
        <v>0</v>
      </c>
      <c r="BN507" s="121">
        <f t="shared" si="275"/>
        <v>0</v>
      </c>
      <c r="BO507" s="121">
        <f t="shared" si="276"/>
        <v>0</v>
      </c>
      <c r="BP507" s="121">
        <f t="shared" si="277"/>
        <v>0</v>
      </c>
      <c r="BQ507" s="199">
        <f>INDEX('GDP deflators'!$C$6:$M$36,MATCH('Bottom-up tagging'!$D507,'GDP deflators'!$B$6:$B$36,),MATCH('Bottom-up tagging'!$E507,'GDP deflators'!$C$5:$L$5,))/100</f>
        <v>1.5154068301095569</v>
      </c>
      <c r="BR507" s="24">
        <v>50000</v>
      </c>
    </row>
    <row r="508" spans="2:70" ht="26.15" customHeight="1">
      <c r="B508" s="110" t="s">
        <v>2717</v>
      </c>
      <c r="C508" s="110" t="s">
        <v>2719</v>
      </c>
      <c r="D508" s="110" t="s">
        <v>5391</v>
      </c>
      <c r="E508" s="103">
        <v>2015</v>
      </c>
      <c r="F508" s="108" t="s">
        <v>9741</v>
      </c>
      <c r="G508" s="111" t="s">
        <v>34</v>
      </c>
      <c r="H508" s="110" t="s">
        <v>10451</v>
      </c>
      <c r="I508" s="112">
        <f>IF(Dashboard!$B$16="Current USD",'Bottom-up tagging'!BR508,'Bottom-up tagging'!BR508/'Bottom-up tagging'!BQ508)</f>
        <v>32994.440177087781</v>
      </c>
      <c r="J508" s="118" t="s">
        <v>10474</v>
      </c>
      <c r="K508" s="112"/>
      <c r="L508" s="135">
        <v>1</v>
      </c>
      <c r="M508" s="135">
        <v>1</v>
      </c>
      <c r="N508" s="112"/>
      <c r="O508" s="112"/>
      <c r="P508" s="112" t="str">
        <f>VLOOKUP(B508, 'Companies covered restructured'!$B$7:$K$470, 9, FALSE)</f>
        <v>Agri marketplaces</v>
      </c>
      <c r="Q508" s="112" t="str">
        <f>VLOOKUP(B508, 'Companies covered restructured'!$B$7:$K$470, 6, FALSE)</f>
        <v>#Crops(100)</v>
      </c>
      <c r="R508" s="112" t="str">
        <f t="shared" si="249"/>
        <v>N/A</v>
      </c>
      <c r="S508" s="112" t="s">
        <v>11003</v>
      </c>
      <c r="T508" s="112" t="s">
        <v>10466</v>
      </c>
      <c r="U508" s="103" t="s">
        <v>10970</v>
      </c>
      <c r="V508" s="112" t="str">
        <f>VLOOKUP(P508, 'Bottom-up Tagging Assumptions'!$B$12:$F$39, 5, FALSE)</f>
        <v>#Process Innovation(100)</v>
      </c>
      <c r="W508" s="112" t="str">
        <f>VLOOKUP(B508, 'Companies covered restructured'!$B$7:$K$470, 7, FALSE)</f>
        <v>#Farm/Household(100)</v>
      </c>
      <c r="X508" s="112" t="str">
        <f>VLOOKUP(B508, 'Companies covered restructured'!$B$7:$K$470, 8, FALSE)</f>
        <v>#Small(100)</v>
      </c>
      <c r="Y508" s="212" t="str">
        <f>VLOOKUP(P508, 'Bottom-up Tagging Assumptions'!$B$12:$C$56, 2, FALSE)</f>
        <v>#Other Economic(P); Social(S)</v>
      </c>
      <c r="Z508" s="112" t="str">
        <f>VLOOKUP(P508, 'Bottom-up Tagging Assumptions'!$B$12:$F$56, 3, FALSE)</f>
        <v>#Improve price realization(P)</v>
      </c>
      <c r="AA508" s="112" t="str">
        <f>VLOOKUP(P508, 'Bottom-up Tagging Assumptions'!$B$12:$F$56, 4, FALSE)</f>
        <v>#Level 4(100)</v>
      </c>
      <c r="AB508" s="110" t="s">
        <v>1394</v>
      </c>
      <c r="AC508" s="110"/>
      <c r="AD508" s="110"/>
      <c r="AE508" s="110" t="s">
        <v>10558</v>
      </c>
      <c r="AF508" s="112">
        <v>50000</v>
      </c>
      <c r="AG508" s="110" t="s">
        <v>2720</v>
      </c>
      <c r="AH508" s="121">
        <f t="shared" si="250"/>
        <v>0</v>
      </c>
      <c r="AI508" s="121">
        <f t="shared" si="251"/>
        <v>0</v>
      </c>
      <c r="AJ508" s="121">
        <f t="shared" si="252"/>
        <v>1</v>
      </c>
      <c r="AK508" s="121">
        <f t="shared" si="253"/>
        <v>1</v>
      </c>
      <c r="AL508" s="121">
        <f t="shared" si="254"/>
        <v>0</v>
      </c>
      <c r="AM508" s="121">
        <f t="shared" si="255"/>
        <v>0</v>
      </c>
      <c r="AN508" s="121">
        <f t="shared" si="256"/>
        <v>1</v>
      </c>
      <c r="AO508" s="121">
        <f t="shared" si="257"/>
        <v>0</v>
      </c>
      <c r="AP508" s="22">
        <f t="shared" si="258"/>
        <v>0</v>
      </c>
      <c r="AQ508" s="22">
        <f t="shared" si="259"/>
        <v>32994.440177087781</v>
      </c>
      <c r="AR508" s="22">
        <f t="shared" si="260"/>
        <v>0</v>
      </c>
      <c r="AS508" s="121" t="str">
        <f t="shared" si="261"/>
        <v>Crops</v>
      </c>
      <c r="AT508" s="121" t="str">
        <f t="shared" si="280"/>
        <v xml:space="preserve"> </v>
      </c>
      <c r="AU508" s="121" t="str">
        <f t="shared" si="280"/>
        <v xml:space="preserve"> </v>
      </c>
      <c r="AV508" s="121" t="str">
        <f t="shared" si="280"/>
        <v xml:space="preserve"> </v>
      </c>
      <c r="AW508" s="130" t="str">
        <f t="shared" si="281"/>
        <v>100</v>
      </c>
      <c r="AX508" s="130" t="str">
        <f t="shared" si="281"/>
        <v xml:space="preserve"> </v>
      </c>
      <c r="AY508" s="130" t="str">
        <f t="shared" si="281"/>
        <v xml:space="preserve"> </v>
      </c>
      <c r="AZ508" s="130" t="str">
        <f t="shared" si="281"/>
        <v xml:space="preserve"> </v>
      </c>
      <c r="BA508" s="121">
        <f t="shared" si="262"/>
        <v>32994.440177087781</v>
      </c>
      <c r="BB508" s="121">
        <f t="shared" si="263"/>
        <v>0</v>
      </c>
      <c r="BC508" s="121">
        <f t="shared" si="264"/>
        <v>0</v>
      </c>
      <c r="BD508" s="121">
        <f t="shared" si="265"/>
        <v>0</v>
      </c>
      <c r="BE508" s="121">
        <f t="shared" si="266"/>
        <v>0</v>
      </c>
      <c r="BF508" s="121">
        <f t="shared" si="267"/>
        <v>0</v>
      </c>
      <c r="BG508" s="121">
        <f t="shared" si="268"/>
        <v>0</v>
      </c>
      <c r="BH508" s="121">
        <f t="shared" si="269"/>
        <v>0</v>
      </c>
      <c r="BI508" s="121">
        <f t="shared" si="270"/>
        <v>32994.440177087781</v>
      </c>
      <c r="BJ508" s="121">
        <f t="shared" si="271"/>
        <v>32994.440177087781</v>
      </c>
      <c r="BK508" s="121">
        <f t="shared" si="272"/>
        <v>32994.440177087781</v>
      </c>
      <c r="BL508" s="121">
        <f t="shared" si="273"/>
        <v>32994.440177087781</v>
      </c>
      <c r="BM508" s="121">
        <f t="shared" si="274"/>
        <v>0</v>
      </c>
      <c r="BN508" s="121">
        <f t="shared" si="275"/>
        <v>0</v>
      </c>
      <c r="BO508" s="121">
        <f t="shared" si="276"/>
        <v>0</v>
      </c>
      <c r="BP508" s="121">
        <f t="shared" si="277"/>
        <v>0</v>
      </c>
      <c r="BQ508" s="199">
        <f>INDEX('GDP deflators'!$C$6:$M$36,MATCH('Bottom-up tagging'!$D508,'GDP deflators'!$B$6:$B$36,),MATCH('Bottom-up tagging'!$E508,'GDP deflators'!$C$5:$L$5,))/100</f>
        <v>1.5154068301095569</v>
      </c>
      <c r="BR508" s="24">
        <v>50000</v>
      </c>
    </row>
    <row r="509" spans="2:70" ht="26.15" hidden="1" customHeight="1">
      <c r="B509" s="110" t="s">
        <v>897</v>
      </c>
      <c r="C509" s="110" t="s">
        <v>903</v>
      </c>
      <c r="D509" s="110" t="s">
        <v>3994</v>
      </c>
      <c r="E509" s="103">
        <v>2019</v>
      </c>
      <c r="F509" s="108" t="s">
        <v>8506</v>
      </c>
      <c r="G509" s="111" t="s">
        <v>109</v>
      </c>
      <c r="H509" s="110" t="s">
        <v>10451</v>
      </c>
      <c r="I509" s="112">
        <f>IF(Dashboard!$B$16="Current USD",'Bottom-up tagging'!BR509,'Bottom-up tagging'!BR509/'Bottom-up tagging'!BQ509)</f>
        <v>33123.805444145422</v>
      </c>
      <c r="J509" s="105" t="s">
        <v>10474</v>
      </c>
      <c r="K509" s="112"/>
      <c r="L509" s="135">
        <v>1</v>
      </c>
      <c r="M509" s="135">
        <v>1</v>
      </c>
      <c r="N509" s="112"/>
      <c r="O509" s="112"/>
      <c r="P509" s="112" t="str">
        <f>VLOOKUP(B509, 'Companies covered restructured'!$B$7:$K$470, 9, FALSE)</f>
        <v>AI/analytics based advisory algorithms (incl. weather)</v>
      </c>
      <c r="Q509" s="112" t="str">
        <f>VLOOKUP(B509, 'Companies covered restructured'!$B$7:$K$470, 6, FALSE)</f>
        <v>#Crops(100)</v>
      </c>
      <c r="R509" s="112" t="str">
        <f t="shared" si="249"/>
        <v>#Corporate(100)</v>
      </c>
      <c r="S509" s="112" t="s">
        <v>11003</v>
      </c>
      <c r="T509" s="112" t="s">
        <v>10466</v>
      </c>
      <c r="U509" s="103" t="s">
        <v>10970</v>
      </c>
      <c r="V509" s="112" t="str">
        <f>VLOOKUP(P509, 'Bottom-up Tagging Assumptions'!$B$12:$F$39, 5, FALSE)</f>
        <v>#Science &amp; tech(100)</v>
      </c>
      <c r="W509" s="112" t="str">
        <f>VLOOKUP(B509, 'Companies covered restructured'!$B$7:$K$470, 7, FALSE)</f>
        <v>N/A</v>
      </c>
      <c r="X509" s="112" t="str">
        <f>VLOOKUP(B509, 'Companies covered restructured'!$B$7:$K$470, 8, FALSE)</f>
        <v>N/A</v>
      </c>
      <c r="Y509" s="212" t="str">
        <f>VLOOKUP(P509, 'Bottom-up Tagging Assumptions'!$B$12:$C$56, 2, FALSE)</f>
        <v>#Other Economic(P); #Productivity(S)</v>
      </c>
      <c r="Z509" s="112" t="str">
        <f>VLOOKUP(P509, 'Bottom-up Tagging Assumptions'!$B$12:$F$56, 3, FALSE)</f>
        <v>#Increasing output per unit input(P); #Increasing crop or animal yield(S)</v>
      </c>
      <c r="AA509" s="112" t="str">
        <f>VLOOKUP(P509, 'Bottom-up Tagging Assumptions'!$B$12:$F$56, 4, FALSE)</f>
        <v>#Level 1(100)</v>
      </c>
      <c r="AB509" s="110" t="s">
        <v>969</v>
      </c>
      <c r="AC509" s="110"/>
      <c r="AD509" s="110" t="s">
        <v>970</v>
      </c>
      <c r="AE509" s="110" t="s">
        <v>3139</v>
      </c>
      <c r="AF509" s="112">
        <v>204990000</v>
      </c>
      <c r="AG509" s="110" t="s">
        <v>2313</v>
      </c>
      <c r="AH509" s="121">
        <f t="shared" si="250"/>
        <v>0</v>
      </c>
      <c r="AI509" s="121">
        <f t="shared" si="251"/>
        <v>1</v>
      </c>
      <c r="AJ509" s="121">
        <f t="shared" si="252"/>
        <v>1</v>
      </c>
      <c r="AK509" s="121">
        <f t="shared" si="253"/>
        <v>0</v>
      </c>
      <c r="AL509" s="121">
        <f t="shared" si="254"/>
        <v>0</v>
      </c>
      <c r="AM509" s="121">
        <f t="shared" si="255"/>
        <v>0</v>
      </c>
      <c r="AN509" s="121">
        <f t="shared" si="256"/>
        <v>0</v>
      </c>
      <c r="AO509" s="121">
        <f t="shared" si="257"/>
        <v>0</v>
      </c>
      <c r="AP509" s="22">
        <f t="shared" si="258"/>
        <v>0</v>
      </c>
      <c r="AQ509" s="22">
        <f t="shared" si="259"/>
        <v>0</v>
      </c>
      <c r="AR509" s="22">
        <f t="shared" si="260"/>
        <v>0</v>
      </c>
      <c r="AS509" s="121" t="str">
        <f t="shared" si="261"/>
        <v>Crops</v>
      </c>
      <c r="AT509" s="121" t="str">
        <f t="shared" si="280"/>
        <v xml:space="preserve"> </v>
      </c>
      <c r="AU509" s="121" t="str">
        <f t="shared" si="280"/>
        <v xml:space="preserve"> </v>
      </c>
      <c r="AV509" s="121" t="str">
        <f t="shared" si="280"/>
        <v xml:space="preserve"> </v>
      </c>
      <c r="AW509" s="130" t="str">
        <f t="shared" si="281"/>
        <v>100</v>
      </c>
      <c r="AX509" s="130" t="str">
        <f t="shared" si="281"/>
        <v xml:space="preserve"> </v>
      </c>
      <c r="AY509" s="130" t="str">
        <f t="shared" si="281"/>
        <v xml:space="preserve"> </v>
      </c>
      <c r="AZ509" s="130" t="str">
        <f t="shared" si="281"/>
        <v xml:space="preserve"> </v>
      </c>
      <c r="BA509" s="121">
        <f t="shared" si="262"/>
        <v>33123.805444145422</v>
      </c>
      <c r="BB509" s="121">
        <f t="shared" si="263"/>
        <v>0</v>
      </c>
      <c r="BC509" s="121">
        <f t="shared" si="264"/>
        <v>0</v>
      </c>
      <c r="BD509" s="121">
        <f t="shared" si="265"/>
        <v>0</v>
      </c>
      <c r="BE509" s="121">
        <f t="shared" si="266"/>
        <v>0</v>
      </c>
      <c r="BF509" s="121">
        <f t="shared" si="267"/>
        <v>0</v>
      </c>
      <c r="BG509" s="121">
        <f t="shared" si="268"/>
        <v>0</v>
      </c>
      <c r="BH509" s="121">
        <f t="shared" si="269"/>
        <v>0</v>
      </c>
      <c r="BI509" s="121">
        <f t="shared" si="270"/>
        <v>0</v>
      </c>
      <c r="BJ509" s="121">
        <f t="shared" si="271"/>
        <v>0</v>
      </c>
      <c r="BK509" s="121">
        <f t="shared" si="272"/>
        <v>0</v>
      </c>
      <c r="BL509" s="121">
        <f t="shared" si="273"/>
        <v>0</v>
      </c>
      <c r="BM509" s="121">
        <f t="shared" si="274"/>
        <v>0</v>
      </c>
      <c r="BN509" s="121">
        <f t="shared" si="275"/>
        <v>0</v>
      </c>
      <c r="BO509" s="121">
        <f t="shared" si="276"/>
        <v>0</v>
      </c>
      <c r="BP509" s="121">
        <f t="shared" si="277"/>
        <v>0</v>
      </c>
      <c r="BQ509" s="199">
        <f>INDEX('GDP deflators'!$C$6:$M$36,MATCH('Bottom-up tagging'!$D509,'GDP deflators'!$B$6:$B$36,),MATCH('Bottom-up tagging'!$E509,'GDP deflators'!$C$5:$L$5,))/100</f>
        <v>1.5094883975306472</v>
      </c>
      <c r="BR509" s="24">
        <v>50000</v>
      </c>
    </row>
    <row r="510" spans="2:70" ht="26.15" hidden="1" customHeight="1">
      <c r="B510" s="110" t="s">
        <v>1622</v>
      </c>
      <c r="C510" s="110" t="s">
        <v>1626</v>
      </c>
      <c r="D510" s="110" t="s">
        <v>5524</v>
      </c>
      <c r="E510" s="103">
        <v>2018</v>
      </c>
      <c r="F510" s="108">
        <v>0</v>
      </c>
      <c r="G510" s="111" t="s">
        <v>34</v>
      </c>
      <c r="H510" s="110" t="s">
        <v>10451</v>
      </c>
      <c r="I510" s="112">
        <f>IF(Dashboard!$B$16="Current USD",'Bottom-up tagging'!BR510,'Bottom-up tagging'!BR510/'Bottom-up tagging'!BQ510)</f>
        <v>12803.727676945284</v>
      </c>
      <c r="J510" s="117" t="s">
        <v>10474</v>
      </c>
      <c r="K510" s="112"/>
      <c r="L510" s="135">
        <v>1</v>
      </c>
      <c r="M510" s="135">
        <v>1</v>
      </c>
      <c r="N510" s="112"/>
      <c r="O510" s="112"/>
      <c r="P510" s="112" t="str">
        <f>VLOOKUP(B510, 'Companies covered restructured'!$B$7:$K$470, 9, FALSE)</f>
        <v>Agri marketplaces</v>
      </c>
      <c r="Q510" s="112" t="str">
        <f>VLOOKUP(B510, 'Companies covered restructured'!$B$7:$K$470, 6, FALSE)</f>
        <v>#Fisheries and Aquaculture(100)</v>
      </c>
      <c r="R510" s="112" t="str">
        <f t="shared" si="249"/>
        <v>#Corporate(100)</v>
      </c>
      <c r="S510" s="112" t="s">
        <v>11003</v>
      </c>
      <c r="T510" s="112" t="s">
        <v>10466</v>
      </c>
      <c r="U510" s="103" t="s">
        <v>10970</v>
      </c>
      <c r="V510" s="112" t="str">
        <f>VLOOKUP(P510, 'Bottom-up Tagging Assumptions'!$B$12:$F$39, 5, FALSE)</f>
        <v>#Process Innovation(100)</v>
      </c>
      <c r="W510" s="112" t="str">
        <f>VLOOKUP(B510, 'Companies covered restructured'!$B$7:$K$470, 7, FALSE)</f>
        <v>#Farm/Household(100)</v>
      </c>
      <c r="X510" s="112" t="s">
        <v>10558</v>
      </c>
      <c r="Y510" s="212" t="str">
        <f>VLOOKUP(P510, 'Bottom-up Tagging Assumptions'!$B$12:$C$56, 2, FALSE)</f>
        <v>#Other Economic(P); Social(S)</v>
      </c>
      <c r="Z510" s="112" t="str">
        <f>VLOOKUP(P510, 'Bottom-up Tagging Assumptions'!$B$12:$F$56, 3, FALSE)</f>
        <v>#Improve price realization(P)</v>
      </c>
      <c r="AA510" s="112" t="str">
        <f>VLOOKUP(P510, 'Bottom-up Tagging Assumptions'!$B$12:$F$56, 4, FALSE)</f>
        <v>#Level 4(100)</v>
      </c>
      <c r="AB510" s="110" t="s">
        <v>1624</v>
      </c>
      <c r="AC510" s="110"/>
      <c r="AD510" s="110" t="s">
        <v>1625</v>
      </c>
      <c r="AE510" s="110" t="str">
        <f>VLOOKUP(AD510,  '1.2'!$B$7:$C$2033, 2, FALSE)</f>
        <v>CORPORATE_INVESTOR</v>
      </c>
      <c r="AF510" s="112"/>
      <c r="AG510" s="110" t="s">
        <v>2913</v>
      </c>
      <c r="AH510" s="121">
        <f t="shared" si="250"/>
        <v>0</v>
      </c>
      <c r="AI510" s="121">
        <f t="shared" si="251"/>
        <v>0</v>
      </c>
      <c r="AJ510" s="121">
        <f t="shared" si="252"/>
        <v>1</v>
      </c>
      <c r="AK510" s="121">
        <f t="shared" si="253"/>
        <v>1</v>
      </c>
      <c r="AL510" s="121">
        <f t="shared" si="254"/>
        <v>0</v>
      </c>
      <c r="AM510" s="121">
        <f t="shared" si="255"/>
        <v>0</v>
      </c>
      <c r="AN510" s="121">
        <f t="shared" si="256"/>
        <v>1</v>
      </c>
      <c r="AO510" s="121">
        <f t="shared" si="257"/>
        <v>0</v>
      </c>
      <c r="AP510" s="22">
        <f t="shared" si="258"/>
        <v>0</v>
      </c>
      <c r="AQ510" s="22">
        <f t="shared" si="259"/>
        <v>12803.727676945284</v>
      </c>
      <c r="AR510" s="22">
        <f t="shared" si="260"/>
        <v>0</v>
      </c>
      <c r="AS510" s="121" t="str">
        <f t="shared" si="261"/>
        <v>Fisheries and Aquaculture</v>
      </c>
      <c r="AT510" s="121" t="str">
        <f t="shared" si="280"/>
        <v xml:space="preserve"> </v>
      </c>
      <c r="AU510" s="121" t="str">
        <f t="shared" si="280"/>
        <v xml:space="preserve"> </v>
      </c>
      <c r="AV510" s="121" t="str">
        <f t="shared" si="280"/>
        <v xml:space="preserve"> </v>
      </c>
      <c r="AW510" s="130" t="str">
        <f t="shared" si="281"/>
        <v>100</v>
      </c>
      <c r="AX510" s="130" t="str">
        <f t="shared" si="281"/>
        <v xml:space="preserve"> </v>
      </c>
      <c r="AY510" s="130" t="str">
        <f t="shared" si="281"/>
        <v xml:space="preserve"> </v>
      </c>
      <c r="AZ510" s="130" t="str">
        <f t="shared" si="281"/>
        <v xml:space="preserve"> </v>
      </c>
      <c r="BA510" s="121">
        <f t="shared" si="262"/>
        <v>12803.727676945284</v>
      </c>
      <c r="BB510" s="121">
        <f t="shared" si="263"/>
        <v>0</v>
      </c>
      <c r="BC510" s="121">
        <f t="shared" si="264"/>
        <v>0</v>
      </c>
      <c r="BD510" s="121">
        <f t="shared" si="265"/>
        <v>0</v>
      </c>
      <c r="BE510" s="121">
        <f t="shared" si="266"/>
        <v>0</v>
      </c>
      <c r="BF510" s="121">
        <f t="shared" si="267"/>
        <v>0</v>
      </c>
      <c r="BG510" s="121">
        <f t="shared" si="268"/>
        <v>0</v>
      </c>
      <c r="BH510" s="121">
        <f t="shared" si="269"/>
        <v>0</v>
      </c>
      <c r="BI510" s="121">
        <f t="shared" si="270"/>
        <v>12803.727676945284</v>
      </c>
      <c r="BJ510" s="121">
        <f t="shared" si="271"/>
        <v>12803.727676945284</v>
      </c>
      <c r="BK510" s="121">
        <f t="shared" si="272"/>
        <v>12803.727676945284</v>
      </c>
      <c r="BL510" s="121">
        <f t="shared" si="273"/>
        <v>12803.727676945284</v>
      </c>
      <c r="BM510" s="121">
        <f t="shared" si="274"/>
        <v>0</v>
      </c>
      <c r="BN510" s="121">
        <f t="shared" si="275"/>
        <v>0</v>
      </c>
      <c r="BO510" s="121">
        <f t="shared" si="276"/>
        <v>0</v>
      </c>
      <c r="BP510" s="121">
        <f t="shared" si="277"/>
        <v>0</v>
      </c>
      <c r="BQ510" s="199">
        <f>INDEX('GDP deflators'!$C$6:$M$36,MATCH('Bottom-up tagging'!$D510,'GDP deflators'!$B$6:$B$36,),MATCH('Bottom-up tagging'!$E510,'GDP deflators'!$C$5:$L$5,))/100</f>
        <v>3.9051127344758561</v>
      </c>
      <c r="BR510" s="24">
        <v>50000</v>
      </c>
    </row>
    <row r="511" spans="2:70" ht="26.15" hidden="1" customHeight="1">
      <c r="B511" s="110" t="s">
        <v>2073</v>
      </c>
      <c r="C511" s="110" t="s">
        <v>2076</v>
      </c>
      <c r="D511" s="110" t="s">
        <v>3468</v>
      </c>
      <c r="E511" s="103">
        <v>2016</v>
      </c>
      <c r="F511" s="108" t="s">
        <v>7384</v>
      </c>
      <c r="G511" s="111" t="s">
        <v>34</v>
      </c>
      <c r="H511" s="110" t="s">
        <v>10451</v>
      </c>
      <c r="I511" s="112">
        <f>IF(Dashboard!$B$16="Current USD",'Bottom-up tagging'!BR511,'Bottom-up tagging'!BR511/'Bottom-up tagging'!BQ511)</f>
        <v>32837.863083854318</v>
      </c>
      <c r="J511" s="118" t="s">
        <v>10474</v>
      </c>
      <c r="K511" s="112"/>
      <c r="L511" s="135">
        <v>1</v>
      </c>
      <c r="M511" s="135">
        <v>1</v>
      </c>
      <c r="N511" s="112"/>
      <c r="O511" s="112"/>
      <c r="P511" s="112" t="str">
        <f>VLOOKUP(B511, 'Companies covered restructured'!$B$7:$K$470, 9, FALSE)</f>
        <v>Animal health</v>
      </c>
      <c r="Q511" s="112" t="str">
        <f>VLOOKUP(B511, 'Companies covered restructured'!$B$7:$K$470, 6, FALSE)</f>
        <v>#Livestock(100)</v>
      </c>
      <c r="R511" s="112" t="str">
        <f t="shared" si="249"/>
        <v>N/A</v>
      </c>
      <c r="S511" s="112" t="s">
        <v>11003</v>
      </c>
      <c r="T511" s="112" t="s">
        <v>10466</v>
      </c>
      <c r="U511" s="103" t="s">
        <v>10970</v>
      </c>
      <c r="V511" s="112" t="str">
        <f>VLOOKUP(P511, 'Bottom-up Tagging Assumptions'!$B$12:$F$39, 5, FALSE)</f>
        <v>#Product Development(100)</v>
      </c>
      <c r="W511" s="112" t="str">
        <f>VLOOKUP(B511, 'Companies covered restructured'!$B$7:$K$470, 7, FALSE)</f>
        <v>#Field/Animal Herd(100)</v>
      </c>
      <c r="X511" s="112" t="s">
        <v>10558</v>
      </c>
      <c r="Y511" s="212" t="str">
        <f>VLOOKUP(P511, 'Bottom-up Tagging Assumptions'!$B$12:$C$56, 2, FALSE)</f>
        <v>#Productivity(P); Other economic(S)</v>
      </c>
      <c r="Z511" s="112" t="str">
        <f>VLOOKUP(P511, 'Bottom-up Tagging Assumptions'!$B$12:$F$56, 3, FALSE)</f>
        <v>#Increasing crop or animal yield(P)</v>
      </c>
      <c r="AA511" s="112" t="str">
        <f>VLOOKUP(P511, 'Bottom-up Tagging Assumptions'!$B$12:$F$56, 4, FALSE)</f>
        <v>#Level 2(100)</v>
      </c>
      <c r="AB511" s="110"/>
      <c r="AC511" s="110"/>
      <c r="AD511" s="110"/>
      <c r="AE511" s="110" t="s">
        <v>10558</v>
      </c>
      <c r="AF511" s="112"/>
      <c r="AG511" s="110" t="s">
        <v>2913</v>
      </c>
      <c r="AH511" s="121">
        <f t="shared" si="250"/>
        <v>0</v>
      </c>
      <c r="AI511" s="121">
        <f t="shared" si="251"/>
        <v>1</v>
      </c>
      <c r="AJ511" s="121">
        <f t="shared" si="252"/>
        <v>1</v>
      </c>
      <c r="AK511" s="121">
        <f t="shared" si="253"/>
        <v>0</v>
      </c>
      <c r="AL511" s="121">
        <f t="shared" si="254"/>
        <v>0</v>
      </c>
      <c r="AM511" s="121">
        <f t="shared" si="255"/>
        <v>0</v>
      </c>
      <c r="AN511" s="121">
        <f t="shared" si="256"/>
        <v>0</v>
      </c>
      <c r="AO511" s="121">
        <f t="shared" si="257"/>
        <v>0</v>
      </c>
      <c r="AP511" s="22">
        <f t="shared" si="258"/>
        <v>0</v>
      </c>
      <c r="AQ511" s="22">
        <f t="shared" si="259"/>
        <v>0</v>
      </c>
      <c r="AR511" s="22">
        <f t="shared" si="260"/>
        <v>0</v>
      </c>
      <c r="AS511" s="121" t="str">
        <f t="shared" si="261"/>
        <v>Livestock</v>
      </c>
      <c r="AT511" s="121" t="str">
        <f t="shared" si="280"/>
        <v xml:space="preserve"> </v>
      </c>
      <c r="AU511" s="121" t="str">
        <f t="shared" si="280"/>
        <v xml:space="preserve"> </v>
      </c>
      <c r="AV511" s="121" t="str">
        <f t="shared" si="280"/>
        <v xml:space="preserve"> </v>
      </c>
      <c r="AW511" s="130" t="str">
        <f t="shared" si="281"/>
        <v>100</v>
      </c>
      <c r="AX511" s="130" t="str">
        <f t="shared" si="281"/>
        <v xml:space="preserve"> </v>
      </c>
      <c r="AY511" s="130" t="str">
        <f t="shared" si="281"/>
        <v xml:space="preserve"> </v>
      </c>
      <c r="AZ511" s="130" t="str">
        <f t="shared" si="281"/>
        <v xml:space="preserve"> </v>
      </c>
      <c r="BA511" s="121">
        <f t="shared" si="262"/>
        <v>32837.863083854318</v>
      </c>
      <c r="BB511" s="121">
        <f t="shared" si="263"/>
        <v>0</v>
      </c>
      <c r="BC511" s="121">
        <f t="shared" si="264"/>
        <v>0</v>
      </c>
      <c r="BD511" s="121">
        <f t="shared" si="265"/>
        <v>0</v>
      </c>
      <c r="BE511" s="121">
        <f t="shared" si="266"/>
        <v>0</v>
      </c>
      <c r="BF511" s="121">
        <f t="shared" si="267"/>
        <v>0</v>
      </c>
      <c r="BG511" s="121">
        <f t="shared" si="268"/>
        <v>0</v>
      </c>
      <c r="BH511" s="121">
        <f t="shared" si="269"/>
        <v>0</v>
      </c>
      <c r="BI511" s="121">
        <f t="shared" si="270"/>
        <v>0</v>
      </c>
      <c r="BJ511" s="121">
        <f t="shared" si="271"/>
        <v>0</v>
      </c>
      <c r="BK511" s="121">
        <f t="shared" si="272"/>
        <v>0</v>
      </c>
      <c r="BL511" s="121">
        <f t="shared" si="273"/>
        <v>0</v>
      </c>
      <c r="BM511" s="121">
        <f t="shared" si="274"/>
        <v>0</v>
      </c>
      <c r="BN511" s="121">
        <f t="shared" si="275"/>
        <v>0</v>
      </c>
      <c r="BO511" s="121">
        <f t="shared" si="276"/>
        <v>0</v>
      </c>
      <c r="BP511" s="121">
        <f t="shared" si="277"/>
        <v>0</v>
      </c>
      <c r="BQ511" s="199">
        <f>INDEX('GDP deflators'!$C$6:$M$36,MATCH('Bottom-up tagging'!$D511,'GDP deflators'!$B$6:$B$36,),MATCH('Bottom-up tagging'!$E511,'GDP deflators'!$C$5:$L$5,))/100</f>
        <v>1.5226325742427478</v>
      </c>
      <c r="BR511" s="24">
        <v>50000</v>
      </c>
    </row>
    <row r="512" spans="2:70" ht="26.15" hidden="1" customHeight="1">
      <c r="B512" s="110" t="s">
        <v>2279</v>
      </c>
      <c r="C512" s="110" t="s">
        <v>2281</v>
      </c>
      <c r="D512" s="110" t="s">
        <v>5524</v>
      </c>
      <c r="E512" s="103">
        <v>2016</v>
      </c>
      <c r="F512" s="108" t="s">
        <v>9099</v>
      </c>
      <c r="G512" s="111" t="s">
        <v>34</v>
      </c>
      <c r="H512" s="110" t="s">
        <v>10451</v>
      </c>
      <c r="I512" s="112">
        <f>IF(Dashboard!$B$16="Current USD",'Bottom-up tagging'!BR512,'Bottom-up tagging'!BR512/'Bottom-up tagging'!BQ512)</f>
        <v>15571.892622623858</v>
      </c>
      <c r="J512" s="105" t="s">
        <v>10474</v>
      </c>
      <c r="K512" s="112"/>
      <c r="L512" s="135">
        <v>1</v>
      </c>
      <c r="M512" s="135">
        <v>1</v>
      </c>
      <c r="N512" s="112"/>
      <c r="O512" s="112"/>
      <c r="P512" s="112" t="str">
        <f>VLOOKUP(B512, 'Companies covered restructured'!$B$7:$K$470, 9, FALSE)</f>
        <v>Farm mechanization</v>
      </c>
      <c r="Q512" s="112" t="str">
        <f>VLOOKUP(B512, 'Companies covered restructured'!$B$7:$K$470, 6, FALSE)</f>
        <v>#Crops(100)</v>
      </c>
      <c r="R512" s="112" t="str">
        <f t="shared" si="249"/>
        <v>#Investment Fund(100)</v>
      </c>
      <c r="S512" s="112" t="s">
        <v>11003</v>
      </c>
      <c r="T512" s="112" t="s">
        <v>10466</v>
      </c>
      <c r="U512" s="103" t="s">
        <v>10970</v>
      </c>
      <c r="V512" s="112" t="str">
        <f>VLOOKUP(P512, 'Bottom-up Tagging Assumptions'!$B$12:$F$39, 5, FALSE)</f>
        <v>#Product Development(100)</v>
      </c>
      <c r="W512" s="112" t="str">
        <f>VLOOKUP(B512, 'Companies covered restructured'!$B$7:$K$470, 7, FALSE)</f>
        <v>#Field/Animal Herd(100)</v>
      </c>
      <c r="X512" s="112" t="str">
        <f>VLOOKUP(B512, 'Companies covered restructured'!$B$7:$K$470, 8, FALSE)</f>
        <v>#Small(100)</v>
      </c>
      <c r="Y512" s="212" t="str">
        <f>VLOOKUP(P512, 'Bottom-up Tagging Assumptions'!$B$12:$C$56, 2, FALSE)</f>
        <v>#Productivity(P); #Other economic(S)</v>
      </c>
      <c r="Z512" s="112" t="str">
        <f>VLOOKUP(P512, 'Bottom-up Tagging Assumptions'!$B$12:$F$56, 3, FALSE)</f>
        <v>#Reducing human effort(P)</v>
      </c>
      <c r="AA512" s="112" t="str">
        <f>VLOOKUP(P512, 'Bottom-up Tagging Assumptions'!$B$12:$F$56, 4, FALSE)</f>
        <v>#Level 1(100)</v>
      </c>
      <c r="AB512" s="110" t="s">
        <v>1369</v>
      </c>
      <c r="AC512" s="110"/>
      <c r="AD512" s="110" t="s">
        <v>1370</v>
      </c>
      <c r="AE512" s="110" t="str">
        <f>VLOOKUP(AD512,  '1.2'!$B$7:$C$2033, 2, FALSE)</f>
        <v>FUND</v>
      </c>
      <c r="AF512" s="112">
        <v>17022002</v>
      </c>
      <c r="AG512" s="110" t="s">
        <v>748</v>
      </c>
      <c r="AH512" s="121">
        <f t="shared" si="250"/>
        <v>0</v>
      </c>
      <c r="AI512" s="121">
        <f t="shared" si="251"/>
        <v>1</v>
      </c>
      <c r="AJ512" s="121">
        <f t="shared" si="252"/>
        <v>1</v>
      </c>
      <c r="AK512" s="121">
        <f t="shared" si="253"/>
        <v>0</v>
      </c>
      <c r="AL512" s="121">
        <f t="shared" si="254"/>
        <v>0</v>
      </c>
      <c r="AM512" s="121">
        <f t="shared" si="255"/>
        <v>0</v>
      </c>
      <c r="AN512" s="121">
        <f t="shared" si="256"/>
        <v>0</v>
      </c>
      <c r="AO512" s="121">
        <f t="shared" si="257"/>
        <v>0</v>
      </c>
      <c r="AP512" s="22">
        <f t="shared" si="258"/>
        <v>0</v>
      </c>
      <c r="AQ512" s="22">
        <f t="shared" si="259"/>
        <v>0</v>
      </c>
      <c r="AR512" s="22">
        <f t="shared" si="260"/>
        <v>0</v>
      </c>
      <c r="AS512" s="121" t="str">
        <f t="shared" si="261"/>
        <v>Crops</v>
      </c>
      <c r="AT512" s="121" t="str">
        <f t="shared" ref="AT512:AV531" si="282">IFERROR(IFERROR(MID($Q512,FIND("~",SUBSTITUTE($Q512,";","~",AT$10-1))+3,(FIND("~",SUBSTITUTE($Q512,";","~",AT$10))+0-(FIND("~",SUBSTITUTE($Q512,";","~",AT$10-1))+2))-6),MID($Q512,FIND("~",SUBSTITUTE($Q512,";","~",AT$10-1))+3,(LEN($Q512)-6-FIND("~",SUBSTITUTE($Q512,";","~",AT$10-1))-1)))," ")</f>
        <v xml:space="preserve"> </v>
      </c>
      <c r="AU512" s="121" t="str">
        <f t="shared" si="282"/>
        <v xml:space="preserve"> </v>
      </c>
      <c r="AV512" s="121" t="str">
        <f t="shared" si="282"/>
        <v xml:space="preserve"> </v>
      </c>
      <c r="AW512" s="130" t="str">
        <f t="shared" ref="AW512:AZ531" si="283">IFERROR(MID($Q512,FIND("~",SUBSTITUTE($Q512,"(","~",AW$10))+1,3)," ")</f>
        <v>100</v>
      </c>
      <c r="AX512" s="130" t="str">
        <f t="shared" si="283"/>
        <v xml:space="preserve"> </v>
      </c>
      <c r="AY512" s="130" t="str">
        <f t="shared" si="283"/>
        <v xml:space="preserve"> </v>
      </c>
      <c r="AZ512" s="130" t="str">
        <f t="shared" si="283"/>
        <v xml:space="preserve"> </v>
      </c>
      <c r="BA512" s="121">
        <f t="shared" si="262"/>
        <v>15571.892622623858</v>
      </c>
      <c r="BB512" s="121">
        <f t="shared" si="263"/>
        <v>0</v>
      </c>
      <c r="BC512" s="121">
        <f t="shared" si="264"/>
        <v>0</v>
      </c>
      <c r="BD512" s="121">
        <f t="shared" si="265"/>
        <v>0</v>
      </c>
      <c r="BE512" s="121">
        <f t="shared" si="266"/>
        <v>0</v>
      </c>
      <c r="BF512" s="121">
        <f t="shared" si="267"/>
        <v>0</v>
      </c>
      <c r="BG512" s="121">
        <f t="shared" si="268"/>
        <v>0</v>
      </c>
      <c r="BH512" s="121">
        <f t="shared" si="269"/>
        <v>0</v>
      </c>
      <c r="BI512" s="121">
        <f t="shared" si="270"/>
        <v>0</v>
      </c>
      <c r="BJ512" s="121">
        <f t="shared" si="271"/>
        <v>0</v>
      </c>
      <c r="BK512" s="121">
        <f t="shared" si="272"/>
        <v>0</v>
      </c>
      <c r="BL512" s="121">
        <f t="shared" si="273"/>
        <v>0</v>
      </c>
      <c r="BM512" s="121">
        <f t="shared" si="274"/>
        <v>0</v>
      </c>
      <c r="BN512" s="121">
        <f t="shared" si="275"/>
        <v>0</v>
      </c>
      <c r="BO512" s="121">
        <f t="shared" si="276"/>
        <v>0</v>
      </c>
      <c r="BP512" s="121">
        <f t="shared" si="277"/>
        <v>0</v>
      </c>
      <c r="BQ512" s="199">
        <f>INDEX('GDP deflators'!$C$6:$M$36,MATCH('Bottom-up tagging'!$D512,'GDP deflators'!$B$6:$B$36,),MATCH('Bottom-up tagging'!$E512,'GDP deflators'!$C$5:$L$5,))/100</f>
        <v>3.2109134844249279</v>
      </c>
      <c r="BR512" s="24">
        <v>50000</v>
      </c>
    </row>
    <row r="513" spans="2:70" ht="26.15" hidden="1" customHeight="1">
      <c r="B513" s="110" t="s">
        <v>2288</v>
      </c>
      <c r="C513" s="110" t="s">
        <v>2289</v>
      </c>
      <c r="D513" s="110" t="s">
        <v>5524</v>
      </c>
      <c r="E513" s="103">
        <v>2016</v>
      </c>
      <c r="F513" s="108" t="s">
        <v>9043</v>
      </c>
      <c r="G513" s="111" t="s">
        <v>34</v>
      </c>
      <c r="H513" s="110" t="s">
        <v>10451</v>
      </c>
      <c r="I513" s="112">
        <f>IF(Dashboard!$B$16="Current USD",'Bottom-up tagging'!BR513,'Bottom-up tagging'!BR513/'Bottom-up tagging'!BQ513)</f>
        <v>15571.892622623858</v>
      </c>
      <c r="J513" s="118" t="s">
        <v>10474</v>
      </c>
      <c r="K513" s="112"/>
      <c r="L513" s="135">
        <v>1</v>
      </c>
      <c r="M513" s="135">
        <v>1</v>
      </c>
      <c r="N513" s="112"/>
      <c r="O513" s="112"/>
      <c r="P513" s="112" t="str">
        <f>VLOOKUP(B513, 'Companies covered restructured'!$B$7:$K$470, 9, FALSE)</f>
        <v>AI/analytics based advisory algorithms (incl. weather)</v>
      </c>
      <c r="Q513" s="112" t="str">
        <f>VLOOKUP(B513, 'Companies covered restructured'!$B$7:$K$470, 6, FALSE)</f>
        <v>#Crops(100)</v>
      </c>
      <c r="R513" s="112" t="str">
        <f t="shared" si="249"/>
        <v>N/A</v>
      </c>
      <c r="S513" s="112" t="s">
        <v>11003</v>
      </c>
      <c r="T513" s="112" t="s">
        <v>10466</v>
      </c>
      <c r="U513" s="103" t="s">
        <v>10970</v>
      </c>
      <c r="V513" s="112" t="str">
        <f>VLOOKUP(P513, 'Bottom-up Tagging Assumptions'!$B$12:$F$39, 5, FALSE)</f>
        <v>#Science &amp; tech(100)</v>
      </c>
      <c r="W513" s="112" t="str">
        <f>VLOOKUP(B513, 'Companies covered restructured'!$B$7:$K$470, 7, FALSE)</f>
        <v>#Farm/Household(100)</v>
      </c>
      <c r="X513" s="112" t="str">
        <f>VLOOKUP(B513, 'Companies covered restructured'!$B$7:$K$470, 8, FALSE)</f>
        <v>N/A</v>
      </c>
      <c r="Y513" s="212" t="str">
        <f>VLOOKUP(P513, 'Bottom-up Tagging Assumptions'!$B$12:$C$56, 2, FALSE)</f>
        <v>#Other Economic(P); #Productivity(S)</v>
      </c>
      <c r="Z513" s="112" t="str">
        <f>VLOOKUP(P513, 'Bottom-up Tagging Assumptions'!$B$12:$F$56, 3, FALSE)</f>
        <v>#Increasing output per unit input(P); #Increasing crop or animal yield(S)</v>
      </c>
      <c r="AA513" s="112" t="str">
        <f>VLOOKUP(P513, 'Bottom-up Tagging Assumptions'!$B$12:$F$56, 4, FALSE)</f>
        <v>#Level 1(100)</v>
      </c>
      <c r="AB513" s="110" t="s">
        <v>1369</v>
      </c>
      <c r="AC513" s="110"/>
      <c r="AD513" s="110"/>
      <c r="AE513" s="110" t="s">
        <v>10558</v>
      </c>
      <c r="AF513" s="112">
        <v>3574388</v>
      </c>
      <c r="AG513" s="110" t="s">
        <v>626</v>
      </c>
      <c r="AH513" s="121">
        <f t="shared" si="250"/>
        <v>0</v>
      </c>
      <c r="AI513" s="121">
        <f t="shared" si="251"/>
        <v>1</v>
      </c>
      <c r="AJ513" s="121">
        <f t="shared" si="252"/>
        <v>1</v>
      </c>
      <c r="AK513" s="121">
        <f t="shared" si="253"/>
        <v>0</v>
      </c>
      <c r="AL513" s="121">
        <f t="shared" si="254"/>
        <v>0</v>
      </c>
      <c r="AM513" s="121">
        <f t="shared" si="255"/>
        <v>0</v>
      </c>
      <c r="AN513" s="121">
        <f t="shared" si="256"/>
        <v>0</v>
      </c>
      <c r="AO513" s="121">
        <f t="shared" si="257"/>
        <v>0</v>
      </c>
      <c r="AP513" s="22">
        <f t="shared" si="258"/>
        <v>0</v>
      </c>
      <c r="AQ513" s="22">
        <f t="shared" si="259"/>
        <v>0</v>
      </c>
      <c r="AR513" s="22">
        <f t="shared" si="260"/>
        <v>0</v>
      </c>
      <c r="AS513" s="121" t="str">
        <f t="shared" si="261"/>
        <v>Crops</v>
      </c>
      <c r="AT513" s="121" t="str">
        <f t="shared" si="282"/>
        <v xml:space="preserve"> </v>
      </c>
      <c r="AU513" s="121" t="str">
        <f t="shared" si="282"/>
        <v xml:space="preserve"> </v>
      </c>
      <c r="AV513" s="121" t="str">
        <f t="shared" si="282"/>
        <v xml:space="preserve"> </v>
      </c>
      <c r="AW513" s="130" t="str">
        <f t="shared" si="283"/>
        <v>100</v>
      </c>
      <c r="AX513" s="130" t="str">
        <f t="shared" si="283"/>
        <v xml:space="preserve"> </v>
      </c>
      <c r="AY513" s="130" t="str">
        <f t="shared" si="283"/>
        <v xml:space="preserve"> </v>
      </c>
      <c r="AZ513" s="130" t="str">
        <f t="shared" si="283"/>
        <v xml:space="preserve"> </v>
      </c>
      <c r="BA513" s="121">
        <f t="shared" si="262"/>
        <v>15571.892622623858</v>
      </c>
      <c r="BB513" s="121">
        <f t="shared" si="263"/>
        <v>0</v>
      </c>
      <c r="BC513" s="121">
        <f t="shared" si="264"/>
        <v>0</v>
      </c>
      <c r="BD513" s="121">
        <f t="shared" si="265"/>
        <v>0</v>
      </c>
      <c r="BE513" s="121">
        <f t="shared" si="266"/>
        <v>0</v>
      </c>
      <c r="BF513" s="121">
        <f t="shared" si="267"/>
        <v>0</v>
      </c>
      <c r="BG513" s="121">
        <f t="shared" si="268"/>
        <v>0</v>
      </c>
      <c r="BH513" s="121">
        <f t="shared" si="269"/>
        <v>0</v>
      </c>
      <c r="BI513" s="121">
        <f t="shared" si="270"/>
        <v>0</v>
      </c>
      <c r="BJ513" s="121">
        <f t="shared" si="271"/>
        <v>0</v>
      </c>
      <c r="BK513" s="121">
        <f t="shared" si="272"/>
        <v>0</v>
      </c>
      <c r="BL513" s="121">
        <f t="shared" si="273"/>
        <v>0</v>
      </c>
      <c r="BM513" s="121">
        <f t="shared" si="274"/>
        <v>0</v>
      </c>
      <c r="BN513" s="121">
        <f t="shared" si="275"/>
        <v>0</v>
      </c>
      <c r="BO513" s="121">
        <f t="shared" si="276"/>
        <v>0</v>
      </c>
      <c r="BP513" s="121">
        <f t="shared" si="277"/>
        <v>0</v>
      </c>
      <c r="BQ513" s="199">
        <f>INDEX('GDP deflators'!$C$6:$M$36,MATCH('Bottom-up tagging'!$D513,'GDP deflators'!$B$6:$B$36,),MATCH('Bottom-up tagging'!$E513,'GDP deflators'!$C$5:$L$5,))/100</f>
        <v>3.2109134844249279</v>
      </c>
      <c r="BR513" s="24">
        <v>50000</v>
      </c>
    </row>
    <row r="514" spans="2:70" ht="26.15" hidden="1" customHeight="1">
      <c r="B514" s="110" t="s">
        <v>2347</v>
      </c>
      <c r="C514" s="110" t="s">
        <v>2350</v>
      </c>
      <c r="D514" s="110" t="s">
        <v>5333</v>
      </c>
      <c r="E514" s="103">
        <v>2016</v>
      </c>
      <c r="F514" s="108" t="s">
        <v>9430</v>
      </c>
      <c r="G514" s="111" t="s">
        <v>184</v>
      </c>
      <c r="H514" s="110" t="s">
        <v>10451</v>
      </c>
      <c r="I514" s="112">
        <f>IF(Dashboard!$B$16="Current USD",'Bottom-up tagging'!BR514,'Bottom-up tagging'!BR514/'Bottom-up tagging'!BQ514)</f>
        <v>10639.220707252376</v>
      </c>
      <c r="J514" s="118" t="s">
        <v>10474</v>
      </c>
      <c r="K514" s="112"/>
      <c r="L514" s="135">
        <v>1</v>
      </c>
      <c r="M514" s="135">
        <v>1</v>
      </c>
      <c r="N514" s="112"/>
      <c r="O514" s="112"/>
      <c r="P514" s="112" t="str">
        <f>VLOOKUP(B514, 'Companies covered restructured'!$B$7:$K$470, 9, FALSE)</f>
        <v>AI/analytics based advisory algorithms (incl. weather)</v>
      </c>
      <c r="Q514" s="112" t="str">
        <f>VLOOKUP(B514, 'Companies covered restructured'!$B$7:$K$470, 6, FALSE)</f>
        <v>#Crops(100)</v>
      </c>
      <c r="R514" s="112" t="str">
        <f t="shared" si="249"/>
        <v>N/A</v>
      </c>
      <c r="S514" s="112" t="s">
        <v>11003</v>
      </c>
      <c r="T514" s="112" t="s">
        <v>10465</v>
      </c>
      <c r="U514" s="213" t="s">
        <v>10970</v>
      </c>
      <c r="V514" s="112" t="str">
        <f>VLOOKUP(P514, 'Bottom-up Tagging Assumptions'!$B$12:$F$39, 5, FALSE)</f>
        <v>#Science &amp; tech(100)</v>
      </c>
      <c r="W514" s="112" t="str">
        <f>VLOOKUP(B514, 'Companies covered restructured'!$B$7:$K$470, 7, FALSE)</f>
        <v>N/A</v>
      </c>
      <c r="X514" s="112" t="str">
        <f>VLOOKUP(B514, 'Companies covered restructured'!$B$7:$K$470, 8, FALSE)</f>
        <v>N/A</v>
      </c>
      <c r="Y514" s="212" t="str">
        <f>VLOOKUP(P514, 'Bottom-up Tagging Assumptions'!$B$12:$C$56, 2, FALSE)</f>
        <v>#Other Economic(P); #Productivity(S)</v>
      </c>
      <c r="Z514" s="112" t="str">
        <f>VLOOKUP(P514, 'Bottom-up Tagging Assumptions'!$B$12:$F$56, 3, FALSE)</f>
        <v>#Increasing output per unit input(P); #Increasing crop or animal yield(S)</v>
      </c>
      <c r="AA514" s="112" t="str">
        <f>VLOOKUP(P514, 'Bottom-up Tagging Assumptions'!$B$12:$F$56, 4, FALSE)</f>
        <v>#Level 1(100)</v>
      </c>
      <c r="AB514" s="110" t="s">
        <v>2413</v>
      </c>
      <c r="AC514" s="110"/>
      <c r="AD514" s="110"/>
      <c r="AE514" s="110" t="s">
        <v>10558</v>
      </c>
      <c r="AF514" s="112">
        <v>10590520</v>
      </c>
      <c r="AG514" s="110" t="s">
        <v>646</v>
      </c>
      <c r="AH514" s="121">
        <f t="shared" si="250"/>
        <v>0</v>
      </c>
      <c r="AI514" s="121">
        <f t="shared" si="251"/>
        <v>1</v>
      </c>
      <c r="AJ514" s="121">
        <f t="shared" si="252"/>
        <v>1</v>
      </c>
      <c r="AK514" s="121">
        <f t="shared" si="253"/>
        <v>0</v>
      </c>
      <c r="AL514" s="121">
        <f t="shared" si="254"/>
        <v>0</v>
      </c>
      <c r="AM514" s="121">
        <f t="shared" si="255"/>
        <v>0</v>
      </c>
      <c r="AN514" s="121">
        <f t="shared" si="256"/>
        <v>0</v>
      </c>
      <c r="AO514" s="121">
        <f t="shared" si="257"/>
        <v>0</v>
      </c>
      <c r="AP514" s="22">
        <f t="shared" si="258"/>
        <v>0</v>
      </c>
      <c r="AQ514" s="22">
        <f t="shared" si="259"/>
        <v>0</v>
      </c>
      <c r="AR514" s="22">
        <f t="shared" si="260"/>
        <v>0</v>
      </c>
      <c r="AS514" s="121" t="str">
        <f t="shared" si="261"/>
        <v>Crops</v>
      </c>
      <c r="AT514" s="121" t="str">
        <f t="shared" si="282"/>
        <v xml:space="preserve"> </v>
      </c>
      <c r="AU514" s="121" t="str">
        <f t="shared" si="282"/>
        <v xml:space="preserve"> </v>
      </c>
      <c r="AV514" s="121" t="str">
        <f t="shared" si="282"/>
        <v xml:space="preserve"> </v>
      </c>
      <c r="AW514" s="130" t="str">
        <f t="shared" si="283"/>
        <v>100</v>
      </c>
      <c r="AX514" s="130" t="str">
        <f t="shared" si="283"/>
        <v xml:space="preserve"> </v>
      </c>
      <c r="AY514" s="130" t="str">
        <f t="shared" si="283"/>
        <v xml:space="preserve"> </v>
      </c>
      <c r="AZ514" s="130" t="str">
        <f t="shared" si="283"/>
        <v xml:space="preserve"> </v>
      </c>
      <c r="BA514" s="121">
        <f t="shared" si="262"/>
        <v>10639.220707252378</v>
      </c>
      <c r="BB514" s="121">
        <f t="shared" si="263"/>
        <v>0</v>
      </c>
      <c r="BC514" s="121">
        <f t="shared" si="264"/>
        <v>0</v>
      </c>
      <c r="BD514" s="121">
        <f t="shared" si="265"/>
        <v>0</v>
      </c>
      <c r="BE514" s="121">
        <f t="shared" si="266"/>
        <v>0</v>
      </c>
      <c r="BF514" s="121">
        <f t="shared" si="267"/>
        <v>0</v>
      </c>
      <c r="BG514" s="121">
        <f t="shared" si="268"/>
        <v>0</v>
      </c>
      <c r="BH514" s="121">
        <f t="shared" si="269"/>
        <v>0</v>
      </c>
      <c r="BI514" s="121">
        <f t="shared" si="270"/>
        <v>0</v>
      </c>
      <c r="BJ514" s="121">
        <f t="shared" si="271"/>
        <v>0</v>
      </c>
      <c r="BK514" s="121">
        <f t="shared" si="272"/>
        <v>0</v>
      </c>
      <c r="BL514" s="121">
        <f t="shared" si="273"/>
        <v>0</v>
      </c>
      <c r="BM514" s="121">
        <f t="shared" si="274"/>
        <v>0</v>
      </c>
      <c r="BN514" s="121">
        <f t="shared" si="275"/>
        <v>0</v>
      </c>
      <c r="BO514" s="121">
        <f t="shared" si="276"/>
        <v>0</v>
      </c>
      <c r="BP514" s="121">
        <f t="shared" si="277"/>
        <v>0</v>
      </c>
      <c r="BQ514" s="199">
        <f>INDEX('GDP deflators'!$C$6:$M$36,MATCH('Bottom-up tagging'!$D514,'GDP deflators'!$B$6:$B$36,),MATCH('Bottom-up tagging'!$E514,'GDP deflators'!$C$5:$L$5,))/100</f>
        <v>4.699592326900107</v>
      </c>
      <c r="BR514" s="24">
        <v>50000</v>
      </c>
    </row>
    <row r="515" spans="2:70" ht="26.15" hidden="1" customHeight="1">
      <c r="B515" s="110" t="s">
        <v>856</v>
      </c>
      <c r="C515" s="110" t="s">
        <v>861</v>
      </c>
      <c r="D515" s="110" t="s">
        <v>5208</v>
      </c>
      <c r="E515" s="103">
        <v>2015</v>
      </c>
      <c r="F515" s="108" t="s">
        <v>8359</v>
      </c>
      <c r="G515" s="111" t="s">
        <v>184</v>
      </c>
      <c r="H515" s="110" t="s">
        <v>10451</v>
      </c>
      <c r="I515" s="112">
        <f>IF(Dashboard!$B$16="Current USD",'Bottom-up tagging'!BR515,'Bottom-up tagging'!BR515/'Bottom-up tagging'!BQ515)</f>
        <v>34289.604244613765</v>
      </c>
      <c r="J515" s="117" t="s">
        <v>10474</v>
      </c>
      <c r="K515" s="112"/>
      <c r="L515" s="135">
        <v>1</v>
      </c>
      <c r="M515" s="135">
        <v>1</v>
      </c>
      <c r="N515" s="112"/>
      <c r="O515" s="112"/>
      <c r="P515" s="112" t="str">
        <f>VLOOKUP(B515, 'Companies covered restructured'!$B$7:$K$470, 9, FALSE)</f>
        <v>AI/analytics based advisory algorithms (incl. weather)</v>
      </c>
      <c r="Q515" s="112" t="str">
        <f>VLOOKUP(B515, 'Companies covered restructured'!$B$7:$K$470, 6, FALSE)</f>
        <v>#Crops(100)</v>
      </c>
      <c r="R515" s="112" t="str">
        <f t="shared" si="249"/>
        <v>N/A</v>
      </c>
      <c r="S515" s="112" t="s">
        <v>11003</v>
      </c>
      <c r="T515" s="112" t="s">
        <v>10465</v>
      </c>
      <c r="U515" s="103" t="s">
        <v>10970</v>
      </c>
      <c r="V515" s="112" t="str">
        <f>VLOOKUP(P515, 'Bottom-up Tagging Assumptions'!$B$12:$F$39, 5, FALSE)</f>
        <v>#Science &amp; tech(100)</v>
      </c>
      <c r="W515" s="112" t="str">
        <f>VLOOKUP(B515, 'Companies covered restructured'!$B$7:$K$470, 7, FALSE)</f>
        <v>#Field/Animal Herd(100)</v>
      </c>
      <c r="X515" s="112" t="s">
        <v>10558</v>
      </c>
      <c r="Y515" s="212" t="str">
        <f>VLOOKUP(P515, 'Bottom-up Tagging Assumptions'!$B$12:$C$56, 2, FALSE)</f>
        <v>#Other Economic(P); #Productivity(S)</v>
      </c>
      <c r="Z515" s="112" t="str">
        <f>VLOOKUP(P515, 'Bottom-up Tagging Assumptions'!$B$12:$F$56, 3, FALSE)</f>
        <v>#Increasing output per unit input(P); #Increasing crop or animal yield(S)</v>
      </c>
      <c r="AA515" s="112" t="str">
        <f>VLOOKUP(P515, 'Bottom-up Tagging Assumptions'!$B$12:$F$56, 4, FALSE)</f>
        <v>#Level 1(100)</v>
      </c>
      <c r="AB515" s="110" t="s">
        <v>2556</v>
      </c>
      <c r="AC515" s="110"/>
      <c r="AD515" s="110"/>
      <c r="AE515" s="110" t="s">
        <v>10558</v>
      </c>
      <c r="AF515" s="112"/>
      <c r="AG515" s="110" t="s">
        <v>2930</v>
      </c>
      <c r="AH515" s="121">
        <f t="shared" si="250"/>
        <v>0</v>
      </c>
      <c r="AI515" s="121">
        <f t="shared" si="251"/>
        <v>1</v>
      </c>
      <c r="AJ515" s="121">
        <f t="shared" si="252"/>
        <v>1</v>
      </c>
      <c r="AK515" s="121">
        <f t="shared" si="253"/>
        <v>0</v>
      </c>
      <c r="AL515" s="121">
        <f t="shared" si="254"/>
        <v>0</v>
      </c>
      <c r="AM515" s="121">
        <f t="shared" si="255"/>
        <v>0</v>
      </c>
      <c r="AN515" s="121">
        <f t="shared" si="256"/>
        <v>0</v>
      </c>
      <c r="AO515" s="121">
        <f t="shared" si="257"/>
        <v>0</v>
      </c>
      <c r="AP515" s="22">
        <f t="shared" si="258"/>
        <v>0</v>
      </c>
      <c r="AQ515" s="22">
        <f t="shared" si="259"/>
        <v>0</v>
      </c>
      <c r="AR515" s="22">
        <f t="shared" si="260"/>
        <v>0</v>
      </c>
      <c r="AS515" s="121" t="str">
        <f t="shared" si="261"/>
        <v>Crops</v>
      </c>
      <c r="AT515" s="121" t="str">
        <f t="shared" si="282"/>
        <v xml:space="preserve"> </v>
      </c>
      <c r="AU515" s="121" t="str">
        <f t="shared" si="282"/>
        <v xml:space="preserve"> </v>
      </c>
      <c r="AV515" s="121" t="str">
        <f t="shared" si="282"/>
        <v xml:space="preserve"> </v>
      </c>
      <c r="AW515" s="130" t="str">
        <f t="shared" si="283"/>
        <v>100</v>
      </c>
      <c r="AX515" s="130" t="str">
        <f t="shared" si="283"/>
        <v xml:space="preserve"> </v>
      </c>
      <c r="AY515" s="130" t="str">
        <f t="shared" si="283"/>
        <v xml:space="preserve"> </v>
      </c>
      <c r="AZ515" s="130" t="str">
        <f t="shared" si="283"/>
        <v xml:space="preserve"> </v>
      </c>
      <c r="BA515" s="121">
        <f t="shared" si="262"/>
        <v>34289.604244613765</v>
      </c>
      <c r="BB515" s="121">
        <f t="shared" si="263"/>
        <v>0</v>
      </c>
      <c r="BC515" s="121">
        <f t="shared" si="264"/>
        <v>0</v>
      </c>
      <c r="BD515" s="121">
        <f t="shared" si="265"/>
        <v>0</v>
      </c>
      <c r="BE515" s="121">
        <f t="shared" si="266"/>
        <v>0</v>
      </c>
      <c r="BF515" s="121">
        <f t="shared" si="267"/>
        <v>0</v>
      </c>
      <c r="BG515" s="121">
        <f t="shared" si="268"/>
        <v>0</v>
      </c>
      <c r="BH515" s="121">
        <f t="shared" si="269"/>
        <v>0</v>
      </c>
      <c r="BI515" s="121">
        <f t="shared" si="270"/>
        <v>0</v>
      </c>
      <c r="BJ515" s="121">
        <f t="shared" si="271"/>
        <v>0</v>
      </c>
      <c r="BK515" s="121">
        <f t="shared" si="272"/>
        <v>0</v>
      </c>
      <c r="BL515" s="121">
        <f t="shared" si="273"/>
        <v>0</v>
      </c>
      <c r="BM515" s="121">
        <f t="shared" si="274"/>
        <v>0</v>
      </c>
      <c r="BN515" s="121">
        <f t="shared" si="275"/>
        <v>0</v>
      </c>
      <c r="BO515" s="121">
        <f t="shared" si="276"/>
        <v>0</v>
      </c>
      <c r="BP515" s="121">
        <f t="shared" si="277"/>
        <v>0</v>
      </c>
      <c r="BQ515" s="199">
        <f>INDEX('GDP deflators'!$C$6:$M$36,MATCH('Bottom-up tagging'!$D515,'GDP deflators'!$B$6:$B$36,),MATCH('Bottom-up tagging'!$E515,'GDP deflators'!$C$5:$L$5,))/100</f>
        <v>1.4581678937823854</v>
      </c>
      <c r="BR515" s="24">
        <v>50000</v>
      </c>
    </row>
    <row r="516" spans="2:70" ht="26.15" hidden="1" customHeight="1">
      <c r="B516" s="110" t="s">
        <v>2863</v>
      </c>
      <c r="C516" s="110" t="s">
        <v>2867</v>
      </c>
      <c r="D516" s="110" t="s">
        <v>6213</v>
      </c>
      <c r="E516" s="103">
        <v>2014</v>
      </c>
      <c r="F516" s="108" t="s">
        <v>9753</v>
      </c>
      <c r="G516" s="111" t="s">
        <v>184</v>
      </c>
      <c r="H516" s="110" t="s">
        <v>10451</v>
      </c>
      <c r="I516" s="112">
        <f>IF(Dashboard!$B$16="Current USD",'Bottom-up tagging'!BR516,'Bottom-up tagging'!BR516/'Bottom-up tagging'!BQ516)</f>
        <v>37707.86180310959</v>
      </c>
      <c r="J516" s="105" t="s">
        <v>10474</v>
      </c>
      <c r="K516" s="112"/>
      <c r="L516" s="135">
        <v>1</v>
      </c>
      <c r="M516" s="135">
        <v>1</v>
      </c>
      <c r="N516" s="112"/>
      <c r="O516" s="112"/>
      <c r="P516" s="112" t="str">
        <f>VLOOKUP(B516, 'Companies covered restructured'!$B$7:$K$470, 9, FALSE)</f>
        <v>AI/analytics based advisory algorithms (incl. weather)</v>
      </c>
      <c r="Q516" s="112" t="str">
        <f>VLOOKUP(B516, 'Companies covered restructured'!$B$7:$K$470, 6, FALSE)</f>
        <v>#Crops(100)</v>
      </c>
      <c r="R516" s="112" t="str">
        <f t="shared" si="249"/>
        <v>N/A</v>
      </c>
      <c r="S516" s="112" t="s">
        <v>11003</v>
      </c>
      <c r="T516" s="112" t="s">
        <v>10465</v>
      </c>
      <c r="U516" s="103" t="s">
        <v>10970</v>
      </c>
      <c r="V516" s="112" t="str">
        <f>VLOOKUP(P516, 'Bottom-up Tagging Assumptions'!$B$12:$F$39, 5, FALSE)</f>
        <v>#Science &amp; tech(100)</v>
      </c>
      <c r="W516" s="112" t="str">
        <f>VLOOKUP(B516, 'Companies covered restructured'!$B$7:$K$470, 7, FALSE)</f>
        <v>#Farm/Household(100)</v>
      </c>
      <c r="X516" s="112" t="str">
        <f>VLOOKUP(B516, 'Companies covered restructured'!$B$7:$K$470, 8, FALSE)</f>
        <v>#Small(100)</v>
      </c>
      <c r="Y516" s="212" t="str">
        <f>VLOOKUP(P516, 'Bottom-up Tagging Assumptions'!$B$12:$C$56, 2, FALSE)</f>
        <v>#Other Economic(P); #Productivity(S)</v>
      </c>
      <c r="Z516" s="112" t="str">
        <f>VLOOKUP(P516, 'Bottom-up Tagging Assumptions'!$B$12:$F$56, 3, FALSE)</f>
        <v>#Increasing output per unit input(P); #Increasing crop or animal yield(S)</v>
      </c>
      <c r="AA516" s="112" t="str">
        <f>VLOOKUP(P516, 'Bottom-up Tagging Assumptions'!$B$12:$F$56, 4, FALSE)</f>
        <v>#Level 1(100)</v>
      </c>
      <c r="AB516" s="110" t="s">
        <v>2865</v>
      </c>
      <c r="AC516" s="110"/>
      <c r="AD516" s="110"/>
      <c r="AE516" s="110" t="s">
        <v>10558</v>
      </c>
      <c r="AF516" s="112">
        <v>150000</v>
      </c>
      <c r="AG516" s="110" t="s">
        <v>2935</v>
      </c>
      <c r="AH516" s="121">
        <f t="shared" si="250"/>
        <v>0</v>
      </c>
      <c r="AI516" s="121">
        <f t="shared" si="251"/>
        <v>1</v>
      </c>
      <c r="AJ516" s="121">
        <f t="shared" si="252"/>
        <v>1</v>
      </c>
      <c r="AK516" s="121">
        <f t="shared" si="253"/>
        <v>0</v>
      </c>
      <c r="AL516" s="121">
        <f t="shared" si="254"/>
        <v>0</v>
      </c>
      <c r="AM516" s="121">
        <f t="shared" si="255"/>
        <v>0</v>
      </c>
      <c r="AN516" s="121">
        <f t="shared" si="256"/>
        <v>0</v>
      </c>
      <c r="AO516" s="121">
        <f t="shared" si="257"/>
        <v>0</v>
      </c>
      <c r="AP516" s="22">
        <f t="shared" si="258"/>
        <v>0</v>
      </c>
      <c r="AQ516" s="22">
        <f t="shared" si="259"/>
        <v>0</v>
      </c>
      <c r="AR516" s="22">
        <f t="shared" si="260"/>
        <v>0</v>
      </c>
      <c r="AS516" s="121" t="str">
        <f t="shared" si="261"/>
        <v>Crops</v>
      </c>
      <c r="AT516" s="121" t="str">
        <f t="shared" si="282"/>
        <v xml:space="preserve"> </v>
      </c>
      <c r="AU516" s="121" t="str">
        <f t="shared" si="282"/>
        <v xml:space="preserve"> </v>
      </c>
      <c r="AV516" s="121" t="str">
        <f t="shared" si="282"/>
        <v xml:space="preserve"> </v>
      </c>
      <c r="AW516" s="130" t="str">
        <f t="shared" si="283"/>
        <v>100</v>
      </c>
      <c r="AX516" s="130" t="str">
        <f t="shared" si="283"/>
        <v xml:space="preserve"> </v>
      </c>
      <c r="AY516" s="130" t="str">
        <f t="shared" si="283"/>
        <v xml:space="preserve"> </v>
      </c>
      <c r="AZ516" s="130" t="str">
        <f t="shared" si="283"/>
        <v xml:space="preserve"> </v>
      </c>
      <c r="BA516" s="121">
        <f t="shared" si="262"/>
        <v>37707.86180310959</v>
      </c>
      <c r="BB516" s="121">
        <f t="shared" si="263"/>
        <v>0</v>
      </c>
      <c r="BC516" s="121">
        <f t="shared" si="264"/>
        <v>0</v>
      </c>
      <c r="BD516" s="121">
        <f t="shared" si="265"/>
        <v>0</v>
      </c>
      <c r="BE516" s="121">
        <f t="shared" si="266"/>
        <v>0</v>
      </c>
      <c r="BF516" s="121">
        <f t="shared" si="267"/>
        <v>0</v>
      </c>
      <c r="BG516" s="121">
        <f t="shared" si="268"/>
        <v>0</v>
      </c>
      <c r="BH516" s="121">
        <f t="shared" si="269"/>
        <v>0</v>
      </c>
      <c r="BI516" s="121">
        <f t="shared" si="270"/>
        <v>0</v>
      </c>
      <c r="BJ516" s="121">
        <f t="shared" si="271"/>
        <v>0</v>
      </c>
      <c r="BK516" s="121">
        <f t="shared" si="272"/>
        <v>0</v>
      </c>
      <c r="BL516" s="121">
        <f t="shared" si="273"/>
        <v>0</v>
      </c>
      <c r="BM516" s="121">
        <f t="shared" si="274"/>
        <v>0</v>
      </c>
      <c r="BN516" s="121">
        <f t="shared" si="275"/>
        <v>0</v>
      </c>
      <c r="BO516" s="121">
        <f t="shared" si="276"/>
        <v>0</v>
      </c>
      <c r="BP516" s="121">
        <f t="shared" si="277"/>
        <v>0</v>
      </c>
      <c r="BQ516" s="199">
        <f>INDEX('GDP deflators'!$C$6:$M$36,MATCH('Bottom-up tagging'!$D516,'GDP deflators'!$B$6:$B$36,),MATCH('Bottom-up tagging'!$E516,'GDP deflators'!$C$5:$L$5,))/100</f>
        <v>1.3259834318125334</v>
      </c>
      <c r="BR516" s="24">
        <v>50000</v>
      </c>
    </row>
    <row r="517" spans="2:70" ht="26.15" hidden="1" customHeight="1">
      <c r="B517" s="110" t="s">
        <v>1999</v>
      </c>
      <c r="C517" s="110" t="s">
        <v>2003</v>
      </c>
      <c r="D517" s="110" t="s">
        <v>3994</v>
      </c>
      <c r="E517" s="103">
        <v>2017</v>
      </c>
      <c r="F517" s="108" t="s">
        <v>5952</v>
      </c>
      <c r="G517" s="111" t="s">
        <v>124</v>
      </c>
      <c r="H517" s="110" t="s">
        <v>10451</v>
      </c>
      <c r="I517" s="112">
        <f>IF(Dashboard!$B$16="Current USD",'Bottom-up tagging'!BR517,'Bottom-up tagging'!BR517/'Bottom-up tagging'!BQ517)</f>
        <v>35295.623263021444</v>
      </c>
      <c r="J517" s="118" t="s">
        <v>10474</v>
      </c>
      <c r="K517" s="112"/>
      <c r="L517" s="135">
        <v>1</v>
      </c>
      <c r="M517" s="135">
        <v>1</v>
      </c>
      <c r="N517" s="112"/>
      <c r="O517" s="112"/>
      <c r="P517" s="112" t="str">
        <f>VLOOKUP(B517, 'Companies covered restructured'!$B$7:$K$470, 9, FALSE)</f>
        <v>AI/analytics based advisory algorithms (incl. weather)</v>
      </c>
      <c r="Q517" s="112" t="str">
        <f>VLOOKUP(B517, 'Companies covered restructured'!$B$7:$K$470, 6, FALSE)</f>
        <v>#Crops(100)</v>
      </c>
      <c r="R517" s="112" t="str">
        <f t="shared" si="249"/>
        <v>#Angel Investor(100)</v>
      </c>
      <c r="S517" s="112" t="s">
        <v>11003</v>
      </c>
      <c r="T517" s="112" t="s">
        <v>10466</v>
      </c>
      <c r="U517" s="103" t="s">
        <v>10970</v>
      </c>
      <c r="V517" s="112" t="str">
        <f>VLOOKUP(P517, 'Bottom-up Tagging Assumptions'!$B$12:$F$39, 5, FALSE)</f>
        <v>#Science &amp; tech(100)</v>
      </c>
      <c r="W517" s="112" t="str">
        <f>VLOOKUP(B517, 'Companies covered restructured'!$B$7:$K$470, 7, FALSE)</f>
        <v>#Field/Animal Herd(100)</v>
      </c>
      <c r="X517" s="112" t="s">
        <v>10558</v>
      </c>
      <c r="Y517" s="212" t="str">
        <f>VLOOKUP(P517, 'Bottom-up Tagging Assumptions'!$B$12:$C$56, 2, FALSE)</f>
        <v>#Other Economic(P); #Productivity(S)</v>
      </c>
      <c r="Z517" s="112" t="str">
        <f>VLOOKUP(P517, 'Bottom-up Tagging Assumptions'!$B$12:$F$56, 3, FALSE)</f>
        <v>#Increasing output per unit input(P); #Increasing crop or animal yield(S)</v>
      </c>
      <c r="AA517" s="112" t="str">
        <f>VLOOKUP(P517, 'Bottom-up Tagging Assumptions'!$B$12:$F$56, 4, FALSE)</f>
        <v>#Level 1(100)</v>
      </c>
      <c r="AB517" s="110"/>
      <c r="AC517" s="110" t="s">
        <v>2210</v>
      </c>
      <c r="AD517" s="110" t="s">
        <v>2210</v>
      </c>
      <c r="AE517" s="110" t="s">
        <v>3127</v>
      </c>
      <c r="AF517" s="112"/>
      <c r="AG517" s="110" t="s">
        <v>2695</v>
      </c>
      <c r="AH517" s="121">
        <f t="shared" si="250"/>
        <v>0</v>
      </c>
      <c r="AI517" s="121">
        <f t="shared" si="251"/>
        <v>1</v>
      </c>
      <c r="AJ517" s="121">
        <f t="shared" si="252"/>
        <v>1</v>
      </c>
      <c r="AK517" s="121">
        <f t="shared" si="253"/>
        <v>0</v>
      </c>
      <c r="AL517" s="121">
        <f t="shared" si="254"/>
        <v>0</v>
      </c>
      <c r="AM517" s="121">
        <f t="shared" si="255"/>
        <v>0</v>
      </c>
      <c r="AN517" s="121">
        <f t="shared" si="256"/>
        <v>0</v>
      </c>
      <c r="AO517" s="121">
        <f t="shared" si="257"/>
        <v>0</v>
      </c>
      <c r="AP517" s="22">
        <f t="shared" si="258"/>
        <v>0</v>
      </c>
      <c r="AQ517" s="22">
        <f t="shared" si="259"/>
        <v>0</v>
      </c>
      <c r="AR517" s="22">
        <f t="shared" si="260"/>
        <v>0</v>
      </c>
      <c r="AS517" s="121" t="str">
        <f t="shared" si="261"/>
        <v>Crops</v>
      </c>
      <c r="AT517" s="121" t="str">
        <f t="shared" si="282"/>
        <v xml:space="preserve"> </v>
      </c>
      <c r="AU517" s="121" t="str">
        <f t="shared" si="282"/>
        <v xml:space="preserve"> </v>
      </c>
      <c r="AV517" s="121" t="str">
        <f t="shared" si="282"/>
        <v xml:space="preserve"> </v>
      </c>
      <c r="AW517" s="130" t="str">
        <f t="shared" si="283"/>
        <v>100</v>
      </c>
      <c r="AX517" s="130" t="str">
        <f t="shared" si="283"/>
        <v xml:space="preserve"> </v>
      </c>
      <c r="AY517" s="130" t="str">
        <f t="shared" si="283"/>
        <v xml:space="preserve"> </v>
      </c>
      <c r="AZ517" s="130" t="str">
        <f t="shared" si="283"/>
        <v xml:space="preserve"> </v>
      </c>
      <c r="BA517" s="121">
        <f t="shared" si="262"/>
        <v>35295.623263021444</v>
      </c>
      <c r="BB517" s="121">
        <f t="shared" si="263"/>
        <v>0</v>
      </c>
      <c r="BC517" s="121">
        <f t="shared" si="264"/>
        <v>0</v>
      </c>
      <c r="BD517" s="121">
        <f t="shared" si="265"/>
        <v>0</v>
      </c>
      <c r="BE517" s="121">
        <f t="shared" si="266"/>
        <v>0</v>
      </c>
      <c r="BF517" s="121">
        <f t="shared" si="267"/>
        <v>0</v>
      </c>
      <c r="BG517" s="121">
        <f t="shared" si="268"/>
        <v>0</v>
      </c>
      <c r="BH517" s="121">
        <f t="shared" si="269"/>
        <v>0</v>
      </c>
      <c r="BI517" s="121">
        <f t="shared" si="270"/>
        <v>0</v>
      </c>
      <c r="BJ517" s="121">
        <f t="shared" si="271"/>
        <v>0</v>
      </c>
      <c r="BK517" s="121">
        <f t="shared" si="272"/>
        <v>0</v>
      </c>
      <c r="BL517" s="121">
        <f t="shared" si="273"/>
        <v>0</v>
      </c>
      <c r="BM517" s="121">
        <f t="shared" si="274"/>
        <v>0</v>
      </c>
      <c r="BN517" s="121">
        <f t="shared" si="275"/>
        <v>0</v>
      </c>
      <c r="BO517" s="121">
        <f t="shared" si="276"/>
        <v>0</v>
      </c>
      <c r="BP517" s="121">
        <f t="shared" si="277"/>
        <v>0</v>
      </c>
      <c r="BQ517" s="199">
        <f>INDEX('GDP deflators'!$C$6:$M$36,MATCH('Bottom-up tagging'!$D517,'GDP deflators'!$B$6:$B$36,),MATCH('Bottom-up tagging'!$E517,'GDP deflators'!$C$5:$L$5,))/100</f>
        <v>1.4111098032990623</v>
      </c>
      <c r="BR517" s="24">
        <v>49806</v>
      </c>
    </row>
    <row r="518" spans="2:70" ht="26.15" hidden="1" customHeight="1">
      <c r="B518" s="110" t="s">
        <v>622</v>
      </c>
      <c r="C518" s="110" t="s">
        <v>625</v>
      </c>
      <c r="D518" s="110" t="s">
        <v>3994</v>
      </c>
      <c r="E518" s="103">
        <v>2018</v>
      </c>
      <c r="F518" s="108" t="s">
        <v>8796</v>
      </c>
      <c r="G518" s="111" t="s">
        <v>289</v>
      </c>
      <c r="H518" s="110" t="s">
        <v>10451</v>
      </c>
      <c r="I518" s="112">
        <f>IF(Dashboard!$B$16="Current USD",'Bottom-up tagging'!BR518,'Bottom-up tagging'!BR518/'Bottom-up tagging'!BQ518)</f>
        <v>29611.082685632991</v>
      </c>
      <c r="J518" s="105" t="s">
        <v>10474</v>
      </c>
      <c r="K518" s="112"/>
      <c r="L518" s="135">
        <v>1</v>
      </c>
      <c r="M518" s="135">
        <v>1</v>
      </c>
      <c r="N518" s="112"/>
      <c r="O518" s="112"/>
      <c r="P518" s="112" t="str">
        <f>VLOOKUP(B518, 'Companies covered restructured'!$B$7:$K$470, 9, FALSE)</f>
        <v xml:space="preserve">Pesticides </v>
      </c>
      <c r="Q518" s="112" t="str">
        <f>VLOOKUP(B518, 'Companies covered restructured'!$B$7:$K$470, 6, FALSE)</f>
        <v>#Crops(100)</v>
      </c>
      <c r="R518" s="112" t="str">
        <f t="shared" si="249"/>
        <v>N/A</v>
      </c>
      <c r="S518" s="112" t="s">
        <v>11003</v>
      </c>
      <c r="T518" s="112" t="s">
        <v>10464</v>
      </c>
      <c r="U518" s="103" t="s">
        <v>10970</v>
      </c>
      <c r="V518" s="112" t="str">
        <f>VLOOKUP(P518, 'Bottom-up Tagging Assumptions'!$B$12:$F$39, 5, FALSE)</f>
        <v>#Product Development(100)</v>
      </c>
      <c r="W518" s="112" t="str">
        <f>VLOOKUP(B518, 'Companies covered restructured'!$B$7:$K$470, 7, FALSE)</f>
        <v>N/A</v>
      </c>
      <c r="X518" s="112" t="str">
        <f>VLOOKUP(B518, 'Companies covered restructured'!$B$7:$K$470, 8, FALSE)</f>
        <v>N/A</v>
      </c>
      <c r="Y518" s="212" t="str">
        <f>VLOOKUP(P518, 'Bottom-up Tagging Assumptions'!$B$12:$C$56, 2, FALSE)</f>
        <v>#Other economic(P); #Productivity(S)</v>
      </c>
      <c r="Z518" s="112" t="str">
        <f>VLOOKUP(P518, 'Bottom-up Tagging Assumptions'!$B$12:$F$56, 3, FALSE)</f>
        <v>#Waste reduction(P)</v>
      </c>
      <c r="AA518" s="112" t="str">
        <f>VLOOKUP(P518, 'Bottom-up Tagging Assumptions'!$B$12:$F$56, 4, FALSE)</f>
        <v>#Level 1(100)</v>
      </c>
      <c r="AB518" s="110"/>
      <c r="AC518" s="110" t="s">
        <v>624</v>
      </c>
      <c r="AD518" s="110"/>
      <c r="AE518" s="110" t="s">
        <v>10558</v>
      </c>
      <c r="AF518" s="112">
        <v>15568800</v>
      </c>
      <c r="AG518" s="110" t="s">
        <v>1335</v>
      </c>
      <c r="AH518" s="121">
        <f t="shared" si="250"/>
        <v>0</v>
      </c>
      <c r="AI518" s="121">
        <f t="shared" si="251"/>
        <v>1</v>
      </c>
      <c r="AJ518" s="121">
        <f t="shared" si="252"/>
        <v>1</v>
      </c>
      <c r="AK518" s="121">
        <f t="shared" si="253"/>
        <v>0</v>
      </c>
      <c r="AL518" s="121">
        <f t="shared" si="254"/>
        <v>0</v>
      </c>
      <c r="AM518" s="121">
        <f t="shared" si="255"/>
        <v>0</v>
      </c>
      <c r="AN518" s="121">
        <f t="shared" si="256"/>
        <v>0</v>
      </c>
      <c r="AO518" s="121">
        <f t="shared" si="257"/>
        <v>0</v>
      </c>
      <c r="AP518" s="22">
        <f t="shared" si="258"/>
        <v>0</v>
      </c>
      <c r="AQ518" s="22">
        <f t="shared" si="259"/>
        <v>0</v>
      </c>
      <c r="AR518" s="22">
        <f t="shared" si="260"/>
        <v>0</v>
      </c>
      <c r="AS518" s="121" t="str">
        <f t="shared" si="261"/>
        <v>Crops</v>
      </c>
      <c r="AT518" s="121" t="str">
        <f t="shared" si="282"/>
        <v xml:space="preserve"> </v>
      </c>
      <c r="AU518" s="121" t="str">
        <f t="shared" si="282"/>
        <v xml:space="preserve"> </v>
      </c>
      <c r="AV518" s="121" t="str">
        <f t="shared" si="282"/>
        <v xml:space="preserve"> </v>
      </c>
      <c r="AW518" s="130" t="str">
        <f t="shared" si="283"/>
        <v>100</v>
      </c>
      <c r="AX518" s="130" t="str">
        <f t="shared" si="283"/>
        <v xml:space="preserve"> </v>
      </c>
      <c r="AY518" s="130" t="str">
        <f t="shared" si="283"/>
        <v xml:space="preserve"> </v>
      </c>
      <c r="AZ518" s="130" t="str">
        <f t="shared" si="283"/>
        <v xml:space="preserve"> </v>
      </c>
      <c r="BA518" s="121">
        <f t="shared" si="262"/>
        <v>29611.082685632991</v>
      </c>
      <c r="BB518" s="121">
        <f t="shared" si="263"/>
        <v>0</v>
      </c>
      <c r="BC518" s="121">
        <f t="shared" si="264"/>
        <v>0</v>
      </c>
      <c r="BD518" s="121">
        <f t="shared" si="265"/>
        <v>0</v>
      </c>
      <c r="BE518" s="121">
        <f t="shared" si="266"/>
        <v>0</v>
      </c>
      <c r="BF518" s="121">
        <f t="shared" si="267"/>
        <v>0</v>
      </c>
      <c r="BG518" s="121">
        <f t="shared" si="268"/>
        <v>0</v>
      </c>
      <c r="BH518" s="121">
        <f t="shared" si="269"/>
        <v>0</v>
      </c>
      <c r="BI518" s="121">
        <f t="shared" si="270"/>
        <v>0</v>
      </c>
      <c r="BJ518" s="121">
        <f t="shared" si="271"/>
        <v>0</v>
      </c>
      <c r="BK518" s="121">
        <f t="shared" si="272"/>
        <v>0</v>
      </c>
      <c r="BL518" s="121">
        <f t="shared" si="273"/>
        <v>0</v>
      </c>
      <c r="BM518" s="121">
        <f t="shared" si="274"/>
        <v>0</v>
      </c>
      <c r="BN518" s="121">
        <f t="shared" si="275"/>
        <v>0</v>
      </c>
      <c r="BO518" s="121">
        <f t="shared" si="276"/>
        <v>0</v>
      </c>
      <c r="BP518" s="121">
        <f t="shared" si="277"/>
        <v>0</v>
      </c>
      <c r="BQ518" s="199">
        <f>INDEX('GDP deflators'!$C$6:$M$36,MATCH('Bottom-up tagging'!$D518,'GDP deflators'!$B$6:$B$36,),MATCH('Bottom-up tagging'!$E518,'GDP deflators'!$C$5:$L$5,))/100</f>
        <v>1.4753935363936217</v>
      </c>
      <c r="BR518" s="24">
        <v>43688</v>
      </c>
    </row>
    <row r="519" spans="2:70" ht="26.15" hidden="1" customHeight="1">
      <c r="B519" s="110" t="s">
        <v>622</v>
      </c>
      <c r="C519" s="110" t="s">
        <v>625</v>
      </c>
      <c r="D519" s="110" t="s">
        <v>3994</v>
      </c>
      <c r="E519" s="103">
        <v>2019</v>
      </c>
      <c r="F519" s="108" t="s">
        <v>8796</v>
      </c>
      <c r="G519" s="111" t="s">
        <v>289</v>
      </c>
      <c r="H519" s="110" t="s">
        <v>10451</v>
      </c>
      <c r="I519" s="112">
        <f>IF(Dashboard!$B$16="Current USD",'Bottom-up tagging'!BR519,'Bottom-up tagging'!BR519/'Bottom-up tagging'!BQ519)</f>
        <v>27979.678458669638</v>
      </c>
      <c r="J519" s="105" t="s">
        <v>10474</v>
      </c>
      <c r="K519" s="112"/>
      <c r="L519" s="135">
        <v>1</v>
      </c>
      <c r="M519" s="135">
        <v>1</v>
      </c>
      <c r="N519" s="112"/>
      <c r="O519" s="112"/>
      <c r="P519" s="112" t="str">
        <f>VLOOKUP(B519, 'Companies covered restructured'!$B$7:$K$470, 9, FALSE)</f>
        <v xml:space="preserve">Pesticides </v>
      </c>
      <c r="Q519" s="112" t="str">
        <f>VLOOKUP(B519, 'Companies covered restructured'!$B$7:$K$470, 6, FALSE)</f>
        <v>#Crops(100)</v>
      </c>
      <c r="R519" s="112" t="str">
        <f t="shared" si="249"/>
        <v>N/A</v>
      </c>
      <c r="S519" s="112" t="s">
        <v>11003</v>
      </c>
      <c r="T519" s="112" t="s">
        <v>10464</v>
      </c>
      <c r="U519" s="103" t="s">
        <v>10970</v>
      </c>
      <c r="V519" s="112" t="str">
        <f>VLOOKUP(P519, 'Bottom-up Tagging Assumptions'!$B$12:$F$39, 5, FALSE)</f>
        <v>#Product Development(100)</v>
      </c>
      <c r="W519" s="112" t="str">
        <f>VLOOKUP(B519, 'Companies covered restructured'!$B$7:$K$470, 7, FALSE)</f>
        <v>N/A</v>
      </c>
      <c r="X519" s="112" t="str">
        <f>VLOOKUP(B519, 'Companies covered restructured'!$B$7:$K$470, 8, FALSE)</f>
        <v>N/A</v>
      </c>
      <c r="Y519" s="212" t="str">
        <f>VLOOKUP(P519, 'Bottom-up Tagging Assumptions'!$B$12:$C$56, 2, FALSE)</f>
        <v>#Other economic(P); #Productivity(S)</v>
      </c>
      <c r="Z519" s="112" t="str">
        <f>VLOOKUP(P519, 'Bottom-up Tagging Assumptions'!$B$12:$F$56, 3, FALSE)</f>
        <v>#Waste reduction(P)</v>
      </c>
      <c r="AA519" s="112" t="str">
        <f>VLOOKUP(P519, 'Bottom-up Tagging Assumptions'!$B$12:$F$56, 4, FALSE)</f>
        <v>#Level 1(100)</v>
      </c>
      <c r="AB519" s="110"/>
      <c r="AC519" s="110" t="s">
        <v>624</v>
      </c>
      <c r="AD519" s="110"/>
      <c r="AE519" s="110" t="s">
        <v>10558</v>
      </c>
      <c r="AF519" s="112">
        <v>8723427</v>
      </c>
      <c r="AG519" s="110" t="s">
        <v>2939</v>
      </c>
      <c r="AH519" s="121">
        <f t="shared" si="250"/>
        <v>0</v>
      </c>
      <c r="AI519" s="121">
        <f t="shared" si="251"/>
        <v>1</v>
      </c>
      <c r="AJ519" s="121">
        <f t="shared" si="252"/>
        <v>1</v>
      </c>
      <c r="AK519" s="121">
        <f t="shared" si="253"/>
        <v>0</v>
      </c>
      <c r="AL519" s="121">
        <f t="shared" si="254"/>
        <v>0</v>
      </c>
      <c r="AM519" s="121">
        <f t="shared" si="255"/>
        <v>0</v>
      </c>
      <c r="AN519" s="121">
        <f t="shared" si="256"/>
        <v>0</v>
      </c>
      <c r="AO519" s="121">
        <f t="shared" si="257"/>
        <v>0</v>
      </c>
      <c r="AP519" s="22">
        <f t="shared" si="258"/>
        <v>0</v>
      </c>
      <c r="AQ519" s="22">
        <f t="shared" si="259"/>
        <v>0</v>
      </c>
      <c r="AR519" s="22">
        <f t="shared" si="260"/>
        <v>0</v>
      </c>
      <c r="AS519" s="121" t="str">
        <f t="shared" si="261"/>
        <v>Crops</v>
      </c>
      <c r="AT519" s="121" t="str">
        <f t="shared" si="282"/>
        <v xml:space="preserve"> </v>
      </c>
      <c r="AU519" s="121" t="str">
        <f t="shared" si="282"/>
        <v xml:space="preserve"> </v>
      </c>
      <c r="AV519" s="121" t="str">
        <f t="shared" si="282"/>
        <v xml:space="preserve"> </v>
      </c>
      <c r="AW519" s="130" t="str">
        <f t="shared" si="283"/>
        <v>100</v>
      </c>
      <c r="AX519" s="130" t="str">
        <f t="shared" si="283"/>
        <v xml:space="preserve"> </v>
      </c>
      <c r="AY519" s="130" t="str">
        <f t="shared" si="283"/>
        <v xml:space="preserve"> </v>
      </c>
      <c r="AZ519" s="130" t="str">
        <f t="shared" si="283"/>
        <v xml:space="preserve"> </v>
      </c>
      <c r="BA519" s="121">
        <f t="shared" si="262"/>
        <v>27979.678458669638</v>
      </c>
      <c r="BB519" s="121">
        <f t="shared" si="263"/>
        <v>0</v>
      </c>
      <c r="BC519" s="121">
        <f t="shared" si="264"/>
        <v>0</v>
      </c>
      <c r="BD519" s="121">
        <f t="shared" si="265"/>
        <v>0</v>
      </c>
      <c r="BE519" s="121">
        <f t="shared" si="266"/>
        <v>0</v>
      </c>
      <c r="BF519" s="121">
        <f t="shared" si="267"/>
        <v>0</v>
      </c>
      <c r="BG519" s="121">
        <f t="shared" si="268"/>
        <v>0</v>
      </c>
      <c r="BH519" s="121">
        <f t="shared" si="269"/>
        <v>0</v>
      </c>
      <c r="BI519" s="121">
        <f t="shared" si="270"/>
        <v>0</v>
      </c>
      <c r="BJ519" s="121">
        <f t="shared" si="271"/>
        <v>0</v>
      </c>
      <c r="BK519" s="121">
        <f t="shared" si="272"/>
        <v>0</v>
      </c>
      <c r="BL519" s="121">
        <f t="shared" si="273"/>
        <v>0</v>
      </c>
      <c r="BM519" s="121">
        <f t="shared" si="274"/>
        <v>0</v>
      </c>
      <c r="BN519" s="121">
        <f t="shared" si="275"/>
        <v>0</v>
      </c>
      <c r="BO519" s="121">
        <f t="shared" si="276"/>
        <v>0</v>
      </c>
      <c r="BP519" s="121">
        <f t="shared" si="277"/>
        <v>0</v>
      </c>
      <c r="BQ519" s="199">
        <f>INDEX('GDP deflators'!$C$6:$M$36,MATCH('Bottom-up tagging'!$D519,'GDP deflators'!$B$6:$B$36,),MATCH('Bottom-up tagging'!$E519,'GDP deflators'!$C$5:$L$5,))/100</f>
        <v>1.5094883975306472</v>
      </c>
      <c r="BR519" s="24">
        <v>42235</v>
      </c>
    </row>
    <row r="520" spans="2:70" ht="26.15" hidden="1" customHeight="1">
      <c r="B520" s="110" t="s">
        <v>1018</v>
      </c>
      <c r="C520" s="110" t="s">
        <v>1021</v>
      </c>
      <c r="D520" s="110" t="s">
        <v>3994</v>
      </c>
      <c r="E520" s="103">
        <v>2019</v>
      </c>
      <c r="F520" s="108" t="s">
        <v>6200</v>
      </c>
      <c r="G520" s="111" t="s">
        <v>184</v>
      </c>
      <c r="H520" s="110" t="s">
        <v>10451</v>
      </c>
      <c r="I520" s="112">
        <f>IF(Dashboard!$B$16="Current USD",'Bottom-up tagging'!BR520,'Bottom-up tagging'!BR520/'Bottom-up tagging'!BQ520)</f>
        <v>26499.044355316335</v>
      </c>
      <c r="J520" s="117" t="s">
        <v>10474</v>
      </c>
      <c r="K520" s="112"/>
      <c r="L520" s="135">
        <v>1</v>
      </c>
      <c r="M520" s="135">
        <v>1</v>
      </c>
      <c r="N520" s="112"/>
      <c r="O520" s="112"/>
      <c r="P520" s="112" t="str">
        <f>VLOOKUP(B520, 'Companies covered restructured'!$B$7:$K$470, 9, FALSE)</f>
        <v>AI/analytics based advisory algorithms (incl. weather)</v>
      </c>
      <c r="Q520" s="112" t="str">
        <f>VLOOKUP(B520, 'Companies covered restructured'!$B$7:$K$470, 6, FALSE)</f>
        <v>#Crops(100)</v>
      </c>
      <c r="R520" s="112" t="str">
        <f t="shared" si="249"/>
        <v>N/A</v>
      </c>
      <c r="S520" s="112" t="s">
        <v>11003</v>
      </c>
      <c r="T520" s="112" t="s">
        <v>10465</v>
      </c>
      <c r="U520" s="103" t="s">
        <v>10970</v>
      </c>
      <c r="V520" s="112" t="str">
        <f>VLOOKUP(P520, 'Bottom-up Tagging Assumptions'!$B$12:$F$39, 5, FALSE)</f>
        <v>#Science &amp; tech(100)</v>
      </c>
      <c r="W520" s="112" t="str">
        <f>VLOOKUP(B520, 'Companies covered restructured'!$B$7:$K$470, 7, FALSE)</f>
        <v>#Field/Animal Herd(100)</v>
      </c>
      <c r="X520" s="112" t="s">
        <v>10558</v>
      </c>
      <c r="Y520" s="212" t="str">
        <f>VLOOKUP(P520, 'Bottom-up Tagging Assumptions'!$B$12:$C$56, 2, FALSE)</f>
        <v>#Other Economic(P); #Productivity(S)</v>
      </c>
      <c r="Z520" s="112" t="str">
        <f>VLOOKUP(P520, 'Bottom-up Tagging Assumptions'!$B$12:$F$56, 3, FALSE)</f>
        <v>#Increasing output per unit input(P); #Increasing crop or animal yield(S)</v>
      </c>
      <c r="AA520" s="112" t="str">
        <f>VLOOKUP(P520, 'Bottom-up Tagging Assumptions'!$B$12:$F$56, 4, FALSE)</f>
        <v>#Level 1(100)</v>
      </c>
      <c r="AB520" s="110" t="s">
        <v>1020</v>
      </c>
      <c r="AC520" s="110"/>
      <c r="AD520" s="110"/>
      <c r="AE520" s="110" t="s">
        <v>10558</v>
      </c>
      <c r="AF520" s="112">
        <v>235000</v>
      </c>
      <c r="AG520" s="110" t="s">
        <v>2889</v>
      </c>
      <c r="AH520" s="121">
        <f t="shared" si="250"/>
        <v>0</v>
      </c>
      <c r="AI520" s="121">
        <f t="shared" si="251"/>
        <v>1</v>
      </c>
      <c r="AJ520" s="121">
        <f t="shared" si="252"/>
        <v>1</v>
      </c>
      <c r="AK520" s="121">
        <f t="shared" si="253"/>
        <v>0</v>
      </c>
      <c r="AL520" s="121">
        <f t="shared" si="254"/>
        <v>0</v>
      </c>
      <c r="AM520" s="121">
        <f t="shared" si="255"/>
        <v>0</v>
      </c>
      <c r="AN520" s="121">
        <f t="shared" si="256"/>
        <v>0</v>
      </c>
      <c r="AO520" s="121">
        <f t="shared" si="257"/>
        <v>0</v>
      </c>
      <c r="AP520" s="22">
        <f t="shared" si="258"/>
        <v>0</v>
      </c>
      <c r="AQ520" s="22">
        <f t="shared" si="259"/>
        <v>0</v>
      </c>
      <c r="AR520" s="22">
        <f t="shared" si="260"/>
        <v>0</v>
      </c>
      <c r="AS520" s="121" t="str">
        <f t="shared" si="261"/>
        <v>Crops</v>
      </c>
      <c r="AT520" s="121" t="str">
        <f t="shared" si="282"/>
        <v xml:space="preserve"> </v>
      </c>
      <c r="AU520" s="121" t="str">
        <f t="shared" si="282"/>
        <v xml:space="preserve"> </v>
      </c>
      <c r="AV520" s="121" t="str">
        <f t="shared" si="282"/>
        <v xml:space="preserve"> </v>
      </c>
      <c r="AW520" s="130" t="str">
        <f t="shared" si="283"/>
        <v>100</v>
      </c>
      <c r="AX520" s="130" t="str">
        <f t="shared" si="283"/>
        <v xml:space="preserve"> </v>
      </c>
      <c r="AY520" s="130" t="str">
        <f t="shared" si="283"/>
        <v xml:space="preserve"> </v>
      </c>
      <c r="AZ520" s="130" t="str">
        <f t="shared" si="283"/>
        <v xml:space="preserve"> </v>
      </c>
      <c r="BA520" s="121">
        <f t="shared" si="262"/>
        <v>26499.044355316335</v>
      </c>
      <c r="BB520" s="121">
        <f t="shared" si="263"/>
        <v>0</v>
      </c>
      <c r="BC520" s="121">
        <f t="shared" si="264"/>
        <v>0</v>
      </c>
      <c r="BD520" s="121">
        <f t="shared" si="265"/>
        <v>0</v>
      </c>
      <c r="BE520" s="121">
        <f t="shared" si="266"/>
        <v>0</v>
      </c>
      <c r="BF520" s="121">
        <f t="shared" si="267"/>
        <v>0</v>
      </c>
      <c r="BG520" s="121">
        <f t="shared" si="268"/>
        <v>0</v>
      </c>
      <c r="BH520" s="121">
        <f t="shared" si="269"/>
        <v>0</v>
      </c>
      <c r="BI520" s="121">
        <f t="shared" si="270"/>
        <v>0</v>
      </c>
      <c r="BJ520" s="121">
        <f t="shared" si="271"/>
        <v>0</v>
      </c>
      <c r="BK520" s="121">
        <f t="shared" si="272"/>
        <v>0</v>
      </c>
      <c r="BL520" s="121">
        <f t="shared" si="273"/>
        <v>0</v>
      </c>
      <c r="BM520" s="121">
        <f t="shared" si="274"/>
        <v>0</v>
      </c>
      <c r="BN520" s="121">
        <f t="shared" si="275"/>
        <v>0</v>
      </c>
      <c r="BO520" s="121">
        <f t="shared" si="276"/>
        <v>0</v>
      </c>
      <c r="BP520" s="121">
        <f t="shared" si="277"/>
        <v>0</v>
      </c>
      <c r="BQ520" s="199">
        <f>INDEX('GDP deflators'!$C$6:$M$36,MATCH('Bottom-up tagging'!$D520,'GDP deflators'!$B$6:$B$36,),MATCH('Bottom-up tagging'!$E520,'GDP deflators'!$C$5:$L$5,))/100</f>
        <v>1.5094883975306472</v>
      </c>
      <c r="BR520" s="24">
        <v>40000</v>
      </c>
    </row>
    <row r="521" spans="2:70" ht="26.15" hidden="1" customHeight="1">
      <c r="B521" s="110" t="s">
        <v>1692</v>
      </c>
      <c r="C521" s="110" t="s">
        <v>1365</v>
      </c>
      <c r="D521" s="110" t="s">
        <v>5524</v>
      </c>
      <c r="E521" s="103">
        <v>2018</v>
      </c>
      <c r="F521" s="108" t="s">
        <v>5898</v>
      </c>
      <c r="G521" s="111" t="s">
        <v>184</v>
      </c>
      <c r="H521" s="110" t="s">
        <v>10451</v>
      </c>
      <c r="I521" s="112">
        <f>IF(Dashboard!$B$16="Current USD",'Bottom-up tagging'!BR521,'Bottom-up tagging'!BR521/'Bottom-up tagging'!BQ521)</f>
        <v>10242.982141556227</v>
      </c>
      <c r="J521" s="105" t="s">
        <v>10474</v>
      </c>
      <c r="K521" s="112"/>
      <c r="L521" s="135">
        <v>1</v>
      </c>
      <c r="M521" s="135">
        <v>1</v>
      </c>
      <c r="N521" s="112"/>
      <c r="O521" s="112"/>
      <c r="P521" s="112" t="str">
        <f>VLOOKUP(B521, 'Companies covered restructured'!$B$7:$K$470, 9, FALSE)</f>
        <v xml:space="preserve">Agriculture financing systems </v>
      </c>
      <c r="Q521" s="112" t="str">
        <f>VLOOKUP(B521, 'Companies covered restructured'!$B$7:$K$470, 6, FALSE)</f>
        <v>#Cross-cutting(100)</v>
      </c>
      <c r="R521" s="112" t="str">
        <f t="shared" si="249"/>
        <v>N/A</v>
      </c>
      <c r="S521" s="112" t="s">
        <v>11003</v>
      </c>
      <c r="T521" s="112" t="s">
        <v>10465</v>
      </c>
      <c r="U521" s="103" t="s">
        <v>10970</v>
      </c>
      <c r="V521" s="112" t="str">
        <f>VLOOKUP(P521, 'Bottom-up Tagging Assumptions'!$B$12:$F$39, 5, FALSE)</f>
        <v>#Process Innovation(100)</v>
      </c>
      <c r="W521" s="112" t="str">
        <f>VLOOKUP(B521, 'Companies covered restructured'!$B$7:$K$470, 7, FALSE)</f>
        <v>#Landscape(100)</v>
      </c>
      <c r="X521" s="112" t="s">
        <v>10558</v>
      </c>
      <c r="Y521" s="212" t="str">
        <f>VLOOKUP(P521, 'Bottom-up Tagging Assumptions'!$B$12:$C$56, 2, FALSE)</f>
        <v>#Other Economic(P); Social(S)</v>
      </c>
      <c r="Z521" s="112" t="str">
        <f>VLOOKUP(P521, 'Bottom-up Tagging Assumptions'!$B$12:$F$56, 3, FALSE)</f>
        <v>NA</v>
      </c>
      <c r="AA521" s="112" t="str">
        <f>VLOOKUP(P521, 'Bottom-up Tagging Assumptions'!$B$12:$F$56, 4, FALSE)</f>
        <v>#Level 1(100)</v>
      </c>
      <c r="AB521" s="110" t="s">
        <v>1020</v>
      </c>
      <c r="AC521" s="110"/>
      <c r="AD521" s="110"/>
      <c r="AE521" s="110" t="s">
        <v>10558</v>
      </c>
      <c r="AF521" s="112">
        <v>2257449</v>
      </c>
      <c r="AG521" s="110" t="s">
        <v>1691</v>
      </c>
      <c r="AH521" s="121">
        <f t="shared" si="250"/>
        <v>0</v>
      </c>
      <c r="AI521" s="121">
        <f t="shared" si="251"/>
        <v>0</v>
      </c>
      <c r="AJ521" s="121">
        <f t="shared" si="252"/>
        <v>1</v>
      </c>
      <c r="AK521" s="121">
        <f t="shared" si="253"/>
        <v>1</v>
      </c>
      <c r="AL521" s="121">
        <f t="shared" si="254"/>
        <v>0</v>
      </c>
      <c r="AM521" s="121">
        <f t="shared" si="255"/>
        <v>0</v>
      </c>
      <c r="AN521" s="121">
        <f t="shared" si="256"/>
        <v>1</v>
      </c>
      <c r="AO521" s="121">
        <f t="shared" si="257"/>
        <v>0</v>
      </c>
      <c r="AP521" s="22">
        <f t="shared" si="258"/>
        <v>0</v>
      </c>
      <c r="AQ521" s="22">
        <f t="shared" si="259"/>
        <v>10242.982141556227</v>
      </c>
      <c r="AR521" s="22">
        <f t="shared" si="260"/>
        <v>0</v>
      </c>
      <c r="AS521" s="121" t="str">
        <f t="shared" si="261"/>
        <v>Cross-cutting</v>
      </c>
      <c r="AT521" s="121" t="str">
        <f t="shared" si="282"/>
        <v xml:space="preserve"> </v>
      </c>
      <c r="AU521" s="121" t="str">
        <f t="shared" si="282"/>
        <v xml:space="preserve"> </v>
      </c>
      <c r="AV521" s="121" t="str">
        <f t="shared" si="282"/>
        <v xml:space="preserve"> </v>
      </c>
      <c r="AW521" s="130" t="str">
        <f t="shared" si="283"/>
        <v>100</v>
      </c>
      <c r="AX521" s="130" t="str">
        <f t="shared" si="283"/>
        <v xml:space="preserve"> </v>
      </c>
      <c r="AY521" s="130" t="str">
        <f t="shared" si="283"/>
        <v xml:space="preserve"> </v>
      </c>
      <c r="AZ521" s="130" t="str">
        <f t="shared" si="283"/>
        <v xml:space="preserve"> </v>
      </c>
      <c r="BA521" s="121">
        <f t="shared" si="262"/>
        <v>10242.982141556227</v>
      </c>
      <c r="BB521" s="121">
        <f t="shared" si="263"/>
        <v>0</v>
      </c>
      <c r="BC521" s="121">
        <f t="shared" si="264"/>
        <v>0</v>
      </c>
      <c r="BD521" s="121">
        <f t="shared" si="265"/>
        <v>0</v>
      </c>
      <c r="BE521" s="121">
        <f t="shared" si="266"/>
        <v>0</v>
      </c>
      <c r="BF521" s="121">
        <f t="shared" si="267"/>
        <v>0</v>
      </c>
      <c r="BG521" s="121">
        <f t="shared" si="268"/>
        <v>0</v>
      </c>
      <c r="BH521" s="121">
        <f t="shared" si="269"/>
        <v>0</v>
      </c>
      <c r="BI521" s="121">
        <f t="shared" si="270"/>
        <v>10242.982141556227</v>
      </c>
      <c r="BJ521" s="121">
        <f t="shared" si="271"/>
        <v>10242.982141556227</v>
      </c>
      <c r="BK521" s="121">
        <f t="shared" si="272"/>
        <v>10242.982141556227</v>
      </c>
      <c r="BL521" s="121">
        <f t="shared" si="273"/>
        <v>10242.982141556227</v>
      </c>
      <c r="BM521" s="121">
        <f t="shared" si="274"/>
        <v>0</v>
      </c>
      <c r="BN521" s="121">
        <f t="shared" si="275"/>
        <v>0</v>
      </c>
      <c r="BO521" s="121">
        <f t="shared" si="276"/>
        <v>0</v>
      </c>
      <c r="BP521" s="121">
        <f t="shared" si="277"/>
        <v>0</v>
      </c>
      <c r="BQ521" s="199">
        <f>INDEX('GDP deflators'!$C$6:$M$36,MATCH('Bottom-up tagging'!$D521,'GDP deflators'!$B$6:$B$36,),MATCH('Bottom-up tagging'!$E521,'GDP deflators'!$C$5:$L$5,))/100</f>
        <v>3.9051127344758561</v>
      </c>
      <c r="BR521" s="24">
        <v>40000</v>
      </c>
    </row>
    <row r="522" spans="2:70" ht="26.15" hidden="1" customHeight="1">
      <c r="B522" s="110" t="s">
        <v>2859</v>
      </c>
      <c r="C522" s="110" t="s">
        <v>2861</v>
      </c>
      <c r="D522" s="110" t="s">
        <v>1258</v>
      </c>
      <c r="E522" s="103">
        <v>2014</v>
      </c>
      <c r="F522" s="108" t="s">
        <v>9500</v>
      </c>
      <c r="G522" s="111" t="s">
        <v>34</v>
      </c>
      <c r="H522" s="110" t="s">
        <v>10451</v>
      </c>
      <c r="I522" s="112">
        <f>IF(Dashboard!$B$16="Current USD",'Bottom-up tagging'!BR522,'Bottom-up tagging'!BR522/'Bottom-up tagging'!BQ522)</f>
        <v>35517.594525361019</v>
      </c>
      <c r="J522" s="105" t="s">
        <v>10474</v>
      </c>
      <c r="K522" s="112"/>
      <c r="L522" s="135">
        <v>1</v>
      </c>
      <c r="M522" s="135">
        <v>1</v>
      </c>
      <c r="N522" s="112"/>
      <c r="O522" s="112"/>
      <c r="P522" s="112" t="str">
        <f>VLOOKUP(B522, 'Companies covered restructured'!$B$7:$K$470, 9, FALSE)</f>
        <v>AI/analytics based advisory algorithms (incl. weather)</v>
      </c>
      <c r="Q522" s="112" t="str">
        <f>VLOOKUP(B522, 'Companies covered restructured'!$B$7:$K$470, 6, FALSE)</f>
        <v>#Crops(100)</v>
      </c>
      <c r="R522" s="112" t="str">
        <f t="shared" si="249"/>
        <v>N/A</v>
      </c>
      <c r="S522" s="112" t="s">
        <v>11003</v>
      </c>
      <c r="T522" s="112" t="s">
        <v>10466</v>
      </c>
      <c r="U522" s="116" t="s">
        <v>10970</v>
      </c>
      <c r="V522" s="112" t="str">
        <f>VLOOKUP(P522, 'Bottom-up Tagging Assumptions'!$B$12:$F$39, 5, FALSE)</f>
        <v>#Science &amp; tech(100)</v>
      </c>
      <c r="W522" s="112" t="str">
        <f>VLOOKUP(B522, 'Companies covered restructured'!$B$7:$K$470, 7, FALSE)</f>
        <v>N/A</v>
      </c>
      <c r="X522" s="112" t="str">
        <f>VLOOKUP(B522, 'Companies covered restructured'!$B$7:$K$470, 8, FALSE)</f>
        <v>N/A</v>
      </c>
      <c r="Y522" s="212" t="str">
        <f>VLOOKUP(P522, 'Bottom-up Tagging Assumptions'!$B$12:$C$56, 2, FALSE)</f>
        <v>#Other Economic(P); #Productivity(S)</v>
      </c>
      <c r="Z522" s="112" t="str">
        <f>VLOOKUP(P522, 'Bottom-up Tagging Assumptions'!$B$12:$F$56, 3, FALSE)</f>
        <v>#Increasing output per unit input(P); #Increasing crop or animal yield(S)</v>
      </c>
      <c r="AA522" s="112" t="str">
        <f>VLOOKUP(P522, 'Bottom-up Tagging Assumptions'!$B$12:$F$56, 4, FALSE)</f>
        <v>#Level 1(100)</v>
      </c>
      <c r="AB522" s="110" t="s">
        <v>1020</v>
      </c>
      <c r="AC522" s="110"/>
      <c r="AD522" s="110"/>
      <c r="AE522" s="110" t="s">
        <v>10558</v>
      </c>
      <c r="AF522" s="112">
        <v>19009146</v>
      </c>
      <c r="AG522" s="110" t="s">
        <v>307</v>
      </c>
      <c r="AH522" s="121">
        <f t="shared" si="250"/>
        <v>0</v>
      </c>
      <c r="AI522" s="121">
        <f t="shared" si="251"/>
        <v>1</v>
      </c>
      <c r="AJ522" s="121">
        <f t="shared" si="252"/>
        <v>1</v>
      </c>
      <c r="AK522" s="121">
        <f t="shared" si="253"/>
        <v>0</v>
      </c>
      <c r="AL522" s="121">
        <f t="shared" si="254"/>
        <v>0</v>
      </c>
      <c r="AM522" s="121">
        <f t="shared" si="255"/>
        <v>0</v>
      </c>
      <c r="AN522" s="121">
        <f t="shared" si="256"/>
        <v>0</v>
      </c>
      <c r="AO522" s="121">
        <f t="shared" si="257"/>
        <v>0</v>
      </c>
      <c r="AP522" s="22">
        <f t="shared" si="258"/>
        <v>0</v>
      </c>
      <c r="AQ522" s="22">
        <f t="shared" si="259"/>
        <v>0</v>
      </c>
      <c r="AR522" s="22">
        <f t="shared" si="260"/>
        <v>0</v>
      </c>
      <c r="AS522" s="121" t="str">
        <f t="shared" si="261"/>
        <v>Crops</v>
      </c>
      <c r="AT522" s="121" t="str">
        <f t="shared" si="282"/>
        <v xml:space="preserve"> </v>
      </c>
      <c r="AU522" s="121" t="str">
        <f t="shared" si="282"/>
        <v xml:space="preserve"> </v>
      </c>
      <c r="AV522" s="121" t="str">
        <f t="shared" si="282"/>
        <v xml:space="preserve"> </v>
      </c>
      <c r="AW522" s="130" t="str">
        <f t="shared" si="283"/>
        <v>100</v>
      </c>
      <c r="AX522" s="130" t="str">
        <f t="shared" si="283"/>
        <v xml:space="preserve"> </v>
      </c>
      <c r="AY522" s="130" t="str">
        <f t="shared" si="283"/>
        <v xml:space="preserve"> </v>
      </c>
      <c r="AZ522" s="130" t="str">
        <f t="shared" si="283"/>
        <v xml:space="preserve"> </v>
      </c>
      <c r="BA522" s="121">
        <f t="shared" si="262"/>
        <v>35517.594525361019</v>
      </c>
      <c r="BB522" s="121">
        <f t="shared" si="263"/>
        <v>0</v>
      </c>
      <c r="BC522" s="121">
        <f t="shared" si="264"/>
        <v>0</v>
      </c>
      <c r="BD522" s="121">
        <f t="shared" si="265"/>
        <v>0</v>
      </c>
      <c r="BE522" s="121">
        <f t="shared" si="266"/>
        <v>0</v>
      </c>
      <c r="BF522" s="121">
        <f t="shared" si="267"/>
        <v>0</v>
      </c>
      <c r="BG522" s="121">
        <f t="shared" si="268"/>
        <v>0</v>
      </c>
      <c r="BH522" s="121">
        <f t="shared" si="269"/>
        <v>0</v>
      </c>
      <c r="BI522" s="121">
        <f t="shared" si="270"/>
        <v>0</v>
      </c>
      <c r="BJ522" s="121">
        <f t="shared" si="271"/>
        <v>0</v>
      </c>
      <c r="BK522" s="121">
        <f t="shared" si="272"/>
        <v>0</v>
      </c>
      <c r="BL522" s="121">
        <f t="shared" si="273"/>
        <v>0</v>
      </c>
      <c r="BM522" s="121">
        <f t="shared" si="274"/>
        <v>0</v>
      </c>
      <c r="BN522" s="121">
        <f t="shared" si="275"/>
        <v>0</v>
      </c>
      <c r="BO522" s="121">
        <f t="shared" si="276"/>
        <v>0</v>
      </c>
      <c r="BP522" s="121">
        <f t="shared" si="277"/>
        <v>0</v>
      </c>
      <c r="BQ522" s="199">
        <f>INDEX('GDP deflators'!$C$6:$M$36,MATCH('Bottom-up tagging'!$D522,'GDP deflators'!$B$6:$B$36,),MATCH('Bottom-up tagging'!$E522,'GDP deflators'!$C$5:$L$5,))/100</f>
        <v>1.1262023944622253</v>
      </c>
      <c r="BR522" s="24">
        <v>40000</v>
      </c>
    </row>
    <row r="523" spans="2:70" ht="26.15" hidden="1" customHeight="1">
      <c r="B523" s="110" t="s">
        <v>2985</v>
      </c>
      <c r="C523" s="110" t="s">
        <v>2987</v>
      </c>
      <c r="D523" s="110" t="s">
        <v>1258</v>
      </c>
      <c r="E523" s="103">
        <v>2012</v>
      </c>
      <c r="F523" s="108" t="s">
        <v>9939</v>
      </c>
      <c r="G523" s="111" t="s">
        <v>34</v>
      </c>
      <c r="H523" s="110" t="s">
        <v>10451</v>
      </c>
      <c r="I523" s="112">
        <f>IF(Dashboard!$B$16="Current USD",'Bottom-up tagging'!BR523,'Bottom-up tagging'!BR523/'Bottom-up tagging'!BQ523)</f>
        <v>38358.910413892125</v>
      </c>
      <c r="J523" s="117" t="s">
        <v>10474</v>
      </c>
      <c r="K523" s="112"/>
      <c r="L523" s="135">
        <v>1</v>
      </c>
      <c r="M523" s="135">
        <v>1</v>
      </c>
      <c r="N523" s="112"/>
      <c r="O523" s="112"/>
      <c r="P523" s="112" t="str">
        <f>VLOOKUP(B523, 'Companies covered restructured'!$B$7:$K$470, 9, FALSE)</f>
        <v xml:space="preserve">Agriculture traceability systems </v>
      </c>
      <c r="Q523" s="112" t="str">
        <f>VLOOKUP(B523, 'Companies covered restructured'!$B$7:$K$470, 6, FALSE)</f>
        <v>#Crops(100)</v>
      </c>
      <c r="R523" s="112" t="str">
        <f t="shared" si="249"/>
        <v>N/A</v>
      </c>
      <c r="S523" s="112" t="s">
        <v>11003</v>
      </c>
      <c r="T523" s="112" t="s">
        <v>10466</v>
      </c>
      <c r="U523" s="103" t="s">
        <v>10970</v>
      </c>
      <c r="V523" s="212" t="s">
        <v>10977</v>
      </c>
      <c r="W523" s="112" t="str">
        <f>VLOOKUP(B523, 'Companies covered restructured'!$B$7:$K$470, 7, FALSE)</f>
        <v>#Farm/Household(100)</v>
      </c>
      <c r="X523" s="112" t="str">
        <f>VLOOKUP(B523, 'Companies covered restructured'!$B$7:$K$470, 8, FALSE)</f>
        <v>N/A</v>
      </c>
      <c r="Y523" s="212" t="str">
        <f>VLOOKUP(P523, 'Bottom-up Tagging Assumptions'!$B$12:$C$56, 2, FALSE)</f>
        <v>#Other Economic(P); Productivity(S)</v>
      </c>
      <c r="Z523" s="112" t="str">
        <f>VLOOKUP(P523, 'Bottom-up Tagging Assumptions'!$B$12:$F$56, 3, FALSE)</f>
        <v>#Waste reduction(P)</v>
      </c>
      <c r="AA523" s="112" t="str">
        <f>VLOOKUP(P523, 'Bottom-up Tagging Assumptions'!$B$12:$F$56, 4, FALSE)</f>
        <v>#Level 1(100)</v>
      </c>
      <c r="AB523" s="110" t="s">
        <v>1020</v>
      </c>
      <c r="AC523" s="110"/>
      <c r="AD523" s="110"/>
      <c r="AE523" s="110" t="s">
        <v>10558</v>
      </c>
      <c r="AF523" s="112">
        <v>3574388</v>
      </c>
      <c r="AG523" s="110" t="s">
        <v>626</v>
      </c>
      <c r="AH523" s="121">
        <f t="shared" si="250"/>
        <v>0</v>
      </c>
      <c r="AI523" s="121">
        <f t="shared" si="251"/>
        <v>1</v>
      </c>
      <c r="AJ523" s="121">
        <f t="shared" si="252"/>
        <v>1</v>
      </c>
      <c r="AK523" s="121">
        <f t="shared" si="253"/>
        <v>0</v>
      </c>
      <c r="AL523" s="121">
        <f t="shared" si="254"/>
        <v>0</v>
      </c>
      <c r="AM523" s="121">
        <f t="shared" si="255"/>
        <v>0</v>
      </c>
      <c r="AN523" s="121">
        <f t="shared" si="256"/>
        <v>0</v>
      </c>
      <c r="AO523" s="121">
        <f t="shared" si="257"/>
        <v>0</v>
      </c>
      <c r="AP523" s="22">
        <f t="shared" si="258"/>
        <v>0</v>
      </c>
      <c r="AQ523" s="22">
        <f t="shared" si="259"/>
        <v>0</v>
      </c>
      <c r="AR523" s="22">
        <f t="shared" si="260"/>
        <v>0</v>
      </c>
      <c r="AS523" s="121" t="str">
        <f t="shared" si="261"/>
        <v>Crops</v>
      </c>
      <c r="AT523" s="121" t="str">
        <f t="shared" si="282"/>
        <v xml:space="preserve"> </v>
      </c>
      <c r="AU523" s="121" t="str">
        <f t="shared" si="282"/>
        <v xml:space="preserve"> </v>
      </c>
      <c r="AV523" s="121" t="str">
        <f t="shared" si="282"/>
        <v xml:space="preserve"> </v>
      </c>
      <c r="AW523" s="130" t="str">
        <f t="shared" si="283"/>
        <v>100</v>
      </c>
      <c r="AX523" s="130" t="str">
        <f t="shared" si="283"/>
        <v xml:space="preserve"> </v>
      </c>
      <c r="AY523" s="130" t="str">
        <f t="shared" si="283"/>
        <v xml:space="preserve"> </v>
      </c>
      <c r="AZ523" s="130" t="str">
        <f t="shared" si="283"/>
        <v xml:space="preserve"> </v>
      </c>
      <c r="BA523" s="121">
        <f t="shared" si="262"/>
        <v>38358.910413892125</v>
      </c>
      <c r="BB523" s="121">
        <f t="shared" si="263"/>
        <v>0</v>
      </c>
      <c r="BC523" s="121">
        <f t="shared" si="264"/>
        <v>0</v>
      </c>
      <c r="BD523" s="121">
        <f t="shared" si="265"/>
        <v>0</v>
      </c>
      <c r="BE523" s="121">
        <f t="shared" si="266"/>
        <v>0</v>
      </c>
      <c r="BF523" s="121">
        <f t="shared" si="267"/>
        <v>0</v>
      </c>
      <c r="BG523" s="121">
        <f t="shared" si="268"/>
        <v>0</v>
      </c>
      <c r="BH523" s="121">
        <f t="shared" si="269"/>
        <v>0</v>
      </c>
      <c r="BI523" s="121">
        <f t="shared" si="270"/>
        <v>0</v>
      </c>
      <c r="BJ523" s="121">
        <f t="shared" si="271"/>
        <v>0</v>
      </c>
      <c r="BK523" s="121">
        <f t="shared" si="272"/>
        <v>0</v>
      </c>
      <c r="BL523" s="121">
        <f t="shared" si="273"/>
        <v>0</v>
      </c>
      <c r="BM523" s="121">
        <f t="shared" si="274"/>
        <v>0</v>
      </c>
      <c r="BN523" s="121">
        <f t="shared" si="275"/>
        <v>0</v>
      </c>
      <c r="BO523" s="121">
        <f t="shared" si="276"/>
        <v>0</v>
      </c>
      <c r="BP523" s="121">
        <f t="shared" si="277"/>
        <v>0</v>
      </c>
      <c r="BQ523" s="199">
        <f>INDEX('GDP deflators'!$C$6:$M$36,MATCH('Bottom-up tagging'!$D523,'GDP deflators'!$B$6:$B$36,),MATCH('Bottom-up tagging'!$E523,'GDP deflators'!$C$5:$L$5,))/100</f>
        <v>1.042782486999775</v>
      </c>
      <c r="BR523" s="24">
        <v>40000</v>
      </c>
    </row>
    <row r="524" spans="2:70" ht="26.15" hidden="1" customHeight="1">
      <c r="B524" s="110" t="s">
        <v>3053</v>
      </c>
      <c r="C524" s="110" t="s">
        <v>3055</v>
      </c>
      <c r="D524" s="110" t="s">
        <v>1258</v>
      </c>
      <c r="E524" s="103">
        <v>2011</v>
      </c>
      <c r="F524" s="108" t="s">
        <v>9916</v>
      </c>
      <c r="G524" s="111" t="s">
        <v>34</v>
      </c>
      <c r="H524" s="110" t="s">
        <v>10451</v>
      </c>
      <c r="I524" s="112">
        <f>IF(Dashboard!$B$16="Current USD",'Bottom-up tagging'!BR524,'Bottom-up tagging'!BR524/'Bottom-up tagging'!BQ524)</f>
        <v>38792.427827813102</v>
      </c>
      <c r="J524" s="118" t="s">
        <v>10474</v>
      </c>
      <c r="K524" s="112"/>
      <c r="L524" s="135">
        <v>1</v>
      </c>
      <c r="M524" s="135">
        <v>1</v>
      </c>
      <c r="N524" s="112"/>
      <c r="O524" s="112"/>
      <c r="P524" s="112" t="str">
        <f>VLOOKUP(B524, 'Companies covered restructured'!$B$7:$K$470, 9, FALSE)</f>
        <v>AI/analytics based advisory algorithms (incl. weather)</v>
      </c>
      <c r="Q524" s="112" t="str">
        <f>VLOOKUP(B524, 'Companies covered restructured'!$B$7:$K$470, 6, FALSE)</f>
        <v>#Crops(100)</v>
      </c>
      <c r="R524" s="112" t="str">
        <f t="shared" ref="R524:R577" si="284">IF(AE524="FUND", "#Investment Fund(100)", IF(AE524="CORPORATE_INVESTOR", "#Corporate(100)", IF(AE524="ANGEL", "#Angel Investor(100)", "N/A")))</f>
        <v>N/A</v>
      </c>
      <c r="S524" s="112" t="s">
        <v>11003</v>
      </c>
      <c r="T524" s="112" t="s">
        <v>10466</v>
      </c>
      <c r="U524" s="103" t="s">
        <v>10970</v>
      </c>
      <c r="V524" s="112" t="str">
        <f>VLOOKUP(P524, 'Bottom-up Tagging Assumptions'!$B$12:$F$39, 5, FALSE)</f>
        <v>#Science &amp; tech(100)</v>
      </c>
      <c r="W524" s="112" t="str">
        <f>VLOOKUP(B524, 'Companies covered restructured'!$B$7:$K$470, 7, FALSE)</f>
        <v>#Farm/Household(100)</v>
      </c>
      <c r="X524" s="112" t="str">
        <f>VLOOKUP(B524, 'Companies covered restructured'!$B$7:$K$470, 8, FALSE)</f>
        <v>N/A</v>
      </c>
      <c r="Y524" s="212" t="str">
        <f>VLOOKUP(P524, 'Bottom-up Tagging Assumptions'!$B$12:$C$56, 2, FALSE)</f>
        <v>#Other Economic(P); #Productivity(S)</v>
      </c>
      <c r="Z524" s="112" t="str">
        <f>VLOOKUP(P524, 'Bottom-up Tagging Assumptions'!$B$12:$F$56, 3, FALSE)</f>
        <v>#Increasing output per unit input(P); #Increasing crop or animal yield(S)</v>
      </c>
      <c r="AA524" s="112" t="str">
        <f>VLOOKUP(P524, 'Bottom-up Tagging Assumptions'!$B$12:$F$56, 4, FALSE)</f>
        <v>#Level 1(100)</v>
      </c>
      <c r="AB524" s="110" t="s">
        <v>1020</v>
      </c>
      <c r="AC524" s="110"/>
      <c r="AD524" s="110"/>
      <c r="AE524" s="110" t="s">
        <v>10558</v>
      </c>
      <c r="AF524" s="112">
        <v>20000000</v>
      </c>
      <c r="AG524" s="110" t="s">
        <v>1269</v>
      </c>
      <c r="AH524" s="121">
        <f t="shared" ref="AH524:AH577" si="285">IF(ISNUMBER(SEARCH("Environmental",$Y524))=TRUE,1,0)</f>
        <v>0</v>
      </c>
      <c r="AI524" s="121">
        <f t="shared" ref="AI524:AI577" si="286">IF(ISNUMBER(SEARCH("Productivity",$Y524))=TRUE,1,0)</f>
        <v>1</v>
      </c>
      <c r="AJ524" s="121">
        <f t="shared" ref="AJ524:AJ577" si="287">IF(ISNUMBER(SEARCH("Other Economic",$Y524))=TRUE,1,0)</f>
        <v>1</v>
      </c>
      <c r="AK524" s="121">
        <f t="shared" ref="AK524:AK577" si="288">IF(ISNUMBER(SEARCH("Social",$Y524))=TRUE,1,0)</f>
        <v>0</v>
      </c>
      <c r="AL524" s="121">
        <f t="shared" ref="AL524:AL577" si="289">IF(ISNUMBER(SEARCH("Human Condition",$Y524))=TRUE,1,0)</f>
        <v>0</v>
      </c>
      <c r="AM524" s="121">
        <f t="shared" ref="AM524:AM577" si="290">IF((AI524+AH524+AK524)=3,1,IF((AI524+AH524+AL524)=3,1,0))</f>
        <v>0</v>
      </c>
      <c r="AN524" s="121">
        <f t="shared" ref="AN524:AN577" si="291">IF(AND(SUM(AI524:AJ524)&gt;0,SUM(AK524:AL524,AH524)&gt;0),1,0)</f>
        <v>0</v>
      </c>
      <c r="AO524" s="121">
        <f t="shared" ref="AO524:AO577" si="292">IF(AI524+AH524=2, 1, 0)</f>
        <v>0</v>
      </c>
      <c r="AP524" s="22">
        <f t="shared" ref="AP524:AP577" si="293">IF(AM524=1, I524, 0)</f>
        <v>0</v>
      </c>
      <c r="AQ524" s="22">
        <f t="shared" ref="AQ524:AQ577" si="294">IF(AN524=1, I524, 0)</f>
        <v>0</v>
      </c>
      <c r="AR524" s="22">
        <f t="shared" ref="AR524:AR577" si="295">IF(AO524=1, I524, 0)</f>
        <v>0</v>
      </c>
      <c r="AS524" s="121" t="str">
        <f t="shared" ref="AS524:AS577" si="296">IFERROR(MID($Q524,2,(FIND("~",SUBSTITUTE($Q524,")","~",AS$10))-6)),$Q524)</f>
        <v>Crops</v>
      </c>
      <c r="AT524" s="121" t="str">
        <f t="shared" si="282"/>
        <v xml:space="preserve"> </v>
      </c>
      <c r="AU524" s="121" t="str">
        <f t="shared" si="282"/>
        <v xml:space="preserve"> </v>
      </c>
      <c r="AV524" s="121" t="str">
        <f t="shared" si="282"/>
        <v xml:space="preserve"> </v>
      </c>
      <c r="AW524" s="130" t="str">
        <f t="shared" si="283"/>
        <v>100</v>
      </c>
      <c r="AX524" s="130" t="str">
        <f t="shared" si="283"/>
        <v xml:space="preserve"> </v>
      </c>
      <c r="AY524" s="130" t="str">
        <f t="shared" si="283"/>
        <v xml:space="preserve"> </v>
      </c>
      <c r="AZ524" s="130" t="str">
        <f t="shared" si="283"/>
        <v xml:space="preserve"> </v>
      </c>
      <c r="BA524" s="121">
        <f t="shared" ref="BA524:BA577" si="297">IFERROR($I524*AW524/100,$I524)</f>
        <v>38792.427827813102</v>
      </c>
      <c r="BB524" s="121">
        <f t="shared" ref="BB524:BB577" si="298">IFERROR($I524*AX524/100,0)</f>
        <v>0</v>
      </c>
      <c r="BC524" s="121">
        <f t="shared" ref="BC524:BC577" si="299">IFERROR($I524*AY524/100,0)</f>
        <v>0</v>
      </c>
      <c r="BD524" s="121">
        <f t="shared" ref="BD524:BD577" si="300">IFERROR($I524*AZ524/100,0)</f>
        <v>0</v>
      </c>
      <c r="BE524" s="121">
        <f t="shared" ref="BE524:BE577" si="301">IFERROR($AP524*AW524/100,$AP524)</f>
        <v>0</v>
      </c>
      <c r="BF524" s="121">
        <f t="shared" ref="BF524:BF577" si="302">IFERROR($AP524*AX524/100,$AP524)</f>
        <v>0</v>
      </c>
      <c r="BG524" s="121">
        <f t="shared" ref="BG524:BG577" si="303">IFERROR($AP524*AY524/100,$AP524)</f>
        <v>0</v>
      </c>
      <c r="BH524" s="121">
        <f t="shared" ref="BH524:BH577" si="304">IFERROR($AP524*AZ524/100,$AP524)</f>
        <v>0</v>
      </c>
      <c r="BI524" s="121">
        <f t="shared" ref="BI524:BI577" si="305">IFERROR($AQ524*AW524/100,$AQ524)</f>
        <v>0</v>
      </c>
      <c r="BJ524" s="121">
        <f t="shared" ref="BJ524:BJ577" si="306">IFERROR($AQ524*AX524/100,$AQ524)</f>
        <v>0</v>
      </c>
      <c r="BK524" s="121">
        <f t="shared" ref="BK524:BK577" si="307">IFERROR($AQ524*AY524/100,$AQ524)</f>
        <v>0</v>
      </c>
      <c r="BL524" s="121">
        <f t="shared" ref="BL524:BL577" si="308">IFERROR($AQ524*AZ524/100,$AQ524)</f>
        <v>0</v>
      </c>
      <c r="BM524" s="121">
        <f t="shared" ref="BM524:BM577" si="309">IFERROR($AR524*AW524/100,$AR524)</f>
        <v>0</v>
      </c>
      <c r="BN524" s="121">
        <f t="shared" ref="BN524:BN577" si="310">IFERROR($AR524*AX524/100,$AR524)</f>
        <v>0</v>
      </c>
      <c r="BO524" s="121">
        <f t="shared" ref="BO524:BO577" si="311">IFERROR($AR524*AY524/100,$AR524)</f>
        <v>0</v>
      </c>
      <c r="BP524" s="121">
        <f t="shared" ref="BP524:BP577" si="312">IFERROR($AR524*AZ524/100,$AR524)</f>
        <v>0</v>
      </c>
      <c r="BQ524" s="199">
        <f>INDEX('GDP deflators'!$C$6:$M$36,MATCH('Bottom-up tagging'!$D524,'GDP deflators'!$B$6:$B$36,),MATCH('Bottom-up tagging'!$E524,'GDP deflators'!$C$5:$L$5,))/100</f>
        <v>1.0311290692489503</v>
      </c>
      <c r="BR524" s="24">
        <v>40000</v>
      </c>
    </row>
    <row r="525" spans="2:70" ht="26.15" hidden="1" customHeight="1">
      <c r="B525" s="110" t="s">
        <v>1846</v>
      </c>
      <c r="C525" s="110" t="s">
        <v>1850</v>
      </c>
      <c r="D525" s="110" t="s">
        <v>3994</v>
      </c>
      <c r="E525" s="103">
        <v>2018</v>
      </c>
      <c r="F525" s="108" t="s">
        <v>7956</v>
      </c>
      <c r="G525" s="111" t="s">
        <v>124</v>
      </c>
      <c r="H525" s="110" t="s">
        <v>10451</v>
      </c>
      <c r="I525" s="112">
        <f>IF(Dashboard!$B$16="Current USD",'Bottom-up tagging'!BR525,'Bottom-up tagging'!BR525/'Bottom-up tagging'!BQ525)</f>
        <v>26706.772822331</v>
      </c>
      <c r="J525" s="105" t="s">
        <v>10474</v>
      </c>
      <c r="K525" s="112"/>
      <c r="L525" s="135">
        <v>1</v>
      </c>
      <c r="M525" s="135">
        <v>1</v>
      </c>
      <c r="N525" s="112"/>
      <c r="O525" s="112"/>
      <c r="P525" s="112" t="str">
        <f>VLOOKUP(B525, 'Companies covered restructured'!$B$7:$K$470, 9, FALSE)</f>
        <v>Agri marketplaces</v>
      </c>
      <c r="Q525" s="112" t="str">
        <f>VLOOKUP(B525, 'Companies covered restructured'!$B$7:$K$470, 6, FALSE)</f>
        <v>#Livestock(100)</v>
      </c>
      <c r="R525" s="112" t="str">
        <f t="shared" si="284"/>
        <v>#Angel Investor(100)</v>
      </c>
      <c r="S525" s="112" t="s">
        <v>11003</v>
      </c>
      <c r="T525" s="112" t="s">
        <v>10466</v>
      </c>
      <c r="U525" s="103" t="s">
        <v>10970</v>
      </c>
      <c r="V525" s="112" t="str">
        <f>VLOOKUP(P525, 'Bottom-up Tagging Assumptions'!$B$12:$F$39, 5, FALSE)</f>
        <v>#Process Innovation(100)</v>
      </c>
      <c r="W525" s="112" t="str">
        <f>VLOOKUP(B525, 'Companies covered restructured'!$B$7:$K$470, 7, FALSE)</f>
        <v>#Landscape(100)</v>
      </c>
      <c r="X525" s="112" t="str">
        <f>VLOOKUP(B525, 'Companies covered restructured'!$B$7:$K$470, 8, FALSE)</f>
        <v>N/A</v>
      </c>
      <c r="Y525" s="212" t="str">
        <f>VLOOKUP(P525, 'Bottom-up Tagging Assumptions'!$B$12:$C$56, 2, FALSE)</f>
        <v>#Other Economic(P); Social(S)</v>
      </c>
      <c r="Z525" s="112" t="str">
        <f>VLOOKUP(P525, 'Bottom-up Tagging Assumptions'!$B$12:$F$56, 3, FALSE)</f>
        <v>#Improve price realization(P)</v>
      </c>
      <c r="AA525" s="112" t="str">
        <f>VLOOKUP(P525, 'Bottom-up Tagging Assumptions'!$B$12:$F$56, 4, FALSE)</f>
        <v>#Level 4(100)</v>
      </c>
      <c r="AB525" s="110"/>
      <c r="AC525" s="110" t="s">
        <v>1848</v>
      </c>
      <c r="AD525" s="110" t="s">
        <v>1849</v>
      </c>
      <c r="AE525" s="110" t="str">
        <f>VLOOKUP(AD525,  '1.2'!$B$7:$C$2033, 2, FALSE)</f>
        <v>ANGEL</v>
      </c>
      <c r="AF525" s="112">
        <v>3650000</v>
      </c>
      <c r="AG525" s="110" t="s">
        <v>2236</v>
      </c>
      <c r="AH525" s="121">
        <f t="shared" si="285"/>
        <v>0</v>
      </c>
      <c r="AI525" s="121">
        <f t="shared" si="286"/>
        <v>0</v>
      </c>
      <c r="AJ525" s="121">
        <f t="shared" si="287"/>
        <v>1</v>
      </c>
      <c r="AK525" s="121">
        <f t="shared" si="288"/>
        <v>1</v>
      </c>
      <c r="AL525" s="121">
        <f t="shared" si="289"/>
        <v>0</v>
      </c>
      <c r="AM525" s="121">
        <f t="shared" si="290"/>
        <v>0</v>
      </c>
      <c r="AN525" s="121">
        <f t="shared" si="291"/>
        <v>1</v>
      </c>
      <c r="AO525" s="121">
        <f t="shared" si="292"/>
        <v>0</v>
      </c>
      <c r="AP525" s="22">
        <f t="shared" si="293"/>
        <v>0</v>
      </c>
      <c r="AQ525" s="22">
        <f t="shared" si="294"/>
        <v>26706.772822331</v>
      </c>
      <c r="AR525" s="22">
        <f t="shared" si="295"/>
        <v>0</v>
      </c>
      <c r="AS525" s="121" t="str">
        <f t="shared" si="296"/>
        <v>Livestock</v>
      </c>
      <c r="AT525" s="121" t="str">
        <f t="shared" si="282"/>
        <v xml:space="preserve"> </v>
      </c>
      <c r="AU525" s="121" t="str">
        <f t="shared" si="282"/>
        <v xml:space="preserve"> </v>
      </c>
      <c r="AV525" s="121" t="str">
        <f t="shared" si="282"/>
        <v xml:space="preserve"> </v>
      </c>
      <c r="AW525" s="130" t="str">
        <f t="shared" si="283"/>
        <v>100</v>
      </c>
      <c r="AX525" s="130" t="str">
        <f t="shared" si="283"/>
        <v xml:space="preserve"> </v>
      </c>
      <c r="AY525" s="130" t="str">
        <f t="shared" si="283"/>
        <v xml:space="preserve"> </v>
      </c>
      <c r="AZ525" s="130" t="str">
        <f t="shared" si="283"/>
        <v xml:space="preserve"> </v>
      </c>
      <c r="BA525" s="121">
        <f t="shared" si="297"/>
        <v>26706.772822331</v>
      </c>
      <c r="BB525" s="121">
        <f t="shared" si="298"/>
        <v>0</v>
      </c>
      <c r="BC525" s="121">
        <f t="shared" si="299"/>
        <v>0</v>
      </c>
      <c r="BD525" s="121">
        <f t="shared" si="300"/>
        <v>0</v>
      </c>
      <c r="BE525" s="121">
        <f t="shared" si="301"/>
        <v>0</v>
      </c>
      <c r="BF525" s="121">
        <f t="shared" si="302"/>
        <v>0</v>
      </c>
      <c r="BG525" s="121">
        <f t="shared" si="303"/>
        <v>0</v>
      </c>
      <c r="BH525" s="121">
        <f t="shared" si="304"/>
        <v>0</v>
      </c>
      <c r="BI525" s="121">
        <f t="shared" si="305"/>
        <v>26706.772822331</v>
      </c>
      <c r="BJ525" s="121">
        <f t="shared" si="306"/>
        <v>26706.772822331</v>
      </c>
      <c r="BK525" s="121">
        <f t="shared" si="307"/>
        <v>26706.772822331</v>
      </c>
      <c r="BL525" s="121">
        <f t="shared" si="308"/>
        <v>26706.772822331</v>
      </c>
      <c r="BM525" s="121">
        <f t="shared" si="309"/>
        <v>0</v>
      </c>
      <c r="BN525" s="121">
        <f t="shared" si="310"/>
        <v>0</v>
      </c>
      <c r="BO525" s="121">
        <f t="shared" si="311"/>
        <v>0</v>
      </c>
      <c r="BP525" s="121">
        <f t="shared" si="312"/>
        <v>0</v>
      </c>
      <c r="BQ525" s="199">
        <f>INDEX('GDP deflators'!$C$6:$M$36,MATCH('Bottom-up tagging'!$D525,'GDP deflators'!$B$6:$B$36,),MATCH('Bottom-up tagging'!$E525,'GDP deflators'!$C$5:$L$5,))/100</f>
        <v>1.4753935363936217</v>
      </c>
      <c r="BR525" s="24">
        <v>39403</v>
      </c>
    </row>
    <row r="526" spans="2:70" ht="26.15" hidden="1" customHeight="1">
      <c r="B526" s="110" t="s">
        <v>991</v>
      </c>
      <c r="C526" s="110" t="s">
        <v>994</v>
      </c>
      <c r="D526" s="110" t="s">
        <v>3994</v>
      </c>
      <c r="E526" s="103">
        <v>2018</v>
      </c>
      <c r="F526" s="108" t="s">
        <v>7704</v>
      </c>
      <c r="G526" s="111" t="s">
        <v>34</v>
      </c>
      <c r="H526" s="110" t="s">
        <v>10451</v>
      </c>
      <c r="I526" s="112">
        <f>IF(Dashboard!$B$16="Current USD",'Bottom-up tagging'!BR526,'Bottom-up tagging'!BR526/'Bottom-up tagging'!BQ526)</f>
        <v>25839.207682301469</v>
      </c>
      <c r="J526" s="105" t="s">
        <v>10474</v>
      </c>
      <c r="K526" s="112"/>
      <c r="L526" s="135">
        <v>1</v>
      </c>
      <c r="M526" s="135">
        <v>1</v>
      </c>
      <c r="N526" s="112"/>
      <c r="O526" s="112"/>
      <c r="P526" s="112" t="str">
        <f>VLOOKUP(B526, 'Companies covered restructured'!$B$7:$K$470, 9, FALSE)</f>
        <v>Supply chain technologies</v>
      </c>
      <c r="Q526" s="112" t="str">
        <f>VLOOKUP(B526, 'Companies covered restructured'!$B$7:$K$470, 6, FALSE)</f>
        <v>#Crops(100)</v>
      </c>
      <c r="R526" s="112" t="str">
        <f t="shared" si="284"/>
        <v>#Corporate(100)</v>
      </c>
      <c r="S526" s="112" t="s">
        <v>11003</v>
      </c>
      <c r="T526" s="112" t="s">
        <v>10466</v>
      </c>
      <c r="U526" s="103" t="s">
        <v>10970</v>
      </c>
      <c r="V526" s="112" t="str">
        <f>VLOOKUP(P526, 'Bottom-up Tagging Assumptions'!$B$12:$F$39, 5, FALSE)</f>
        <v>#Process Innovation(100)</v>
      </c>
      <c r="W526" s="112" t="str">
        <f>VLOOKUP(B526, 'Companies covered restructured'!$B$7:$K$470, 7, FALSE)</f>
        <v>#Field/Animal Herd(100)</v>
      </c>
      <c r="X526" s="112" t="s">
        <v>10558</v>
      </c>
      <c r="Y526" s="212" t="str">
        <f>VLOOKUP(P526, 'Bottom-up Tagging Assumptions'!$B$12:$C$56, 2, FALSE)</f>
        <v>#Other Economic(P); Social(S)</v>
      </c>
      <c r="Z526" s="112" t="str">
        <f>VLOOKUP(P526, 'Bottom-up Tagging Assumptions'!$B$12:$F$56, 3, FALSE)</f>
        <v>#Improve price realization(P)</v>
      </c>
      <c r="AA526" s="112" t="str">
        <f>VLOOKUP(P526, 'Bottom-up Tagging Assumptions'!$B$12:$F$56, 4, FALSE)</f>
        <v>#Level 3(100)</v>
      </c>
      <c r="AB526" s="110" t="s">
        <v>1715</v>
      </c>
      <c r="AC526" s="110" t="s">
        <v>1716</v>
      </c>
      <c r="AD526" s="110" t="s">
        <v>1717</v>
      </c>
      <c r="AE526" s="110" t="str">
        <f>VLOOKUP(AD526,  '1.2'!$B$7:$C$2033, 2, FALSE)</f>
        <v>CORPORATE_INVESTOR</v>
      </c>
      <c r="AF526" s="112">
        <v>204990000</v>
      </c>
      <c r="AG526" s="110" t="s">
        <v>2313</v>
      </c>
      <c r="AH526" s="121">
        <f t="shared" si="285"/>
        <v>0</v>
      </c>
      <c r="AI526" s="121">
        <f t="shared" si="286"/>
        <v>0</v>
      </c>
      <c r="AJ526" s="121">
        <f t="shared" si="287"/>
        <v>1</v>
      </c>
      <c r="AK526" s="121">
        <f t="shared" si="288"/>
        <v>1</v>
      </c>
      <c r="AL526" s="121">
        <f t="shared" si="289"/>
        <v>0</v>
      </c>
      <c r="AM526" s="121">
        <f t="shared" si="290"/>
        <v>0</v>
      </c>
      <c r="AN526" s="121">
        <f t="shared" si="291"/>
        <v>1</v>
      </c>
      <c r="AO526" s="121">
        <f t="shared" si="292"/>
        <v>0</v>
      </c>
      <c r="AP526" s="22">
        <f t="shared" si="293"/>
        <v>0</v>
      </c>
      <c r="AQ526" s="22">
        <f t="shared" si="294"/>
        <v>25839.207682301469</v>
      </c>
      <c r="AR526" s="22">
        <f t="shared" si="295"/>
        <v>0</v>
      </c>
      <c r="AS526" s="121" t="str">
        <f t="shared" si="296"/>
        <v>Crops</v>
      </c>
      <c r="AT526" s="121" t="str">
        <f t="shared" si="282"/>
        <v xml:space="preserve"> </v>
      </c>
      <c r="AU526" s="121" t="str">
        <f t="shared" si="282"/>
        <v xml:space="preserve"> </v>
      </c>
      <c r="AV526" s="121" t="str">
        <f t="shared" si="282"/>
        <v xml:space="preserve"> </v>
      </c>
      <c r="AW526" s="130" t="str">
        <f t="shared" si="283"/>
        <v>100</v>
      </c>
      <c r="AX526" s="130" t="str">
        <f t="shared" si="283"/>
        <v xml:space="preserve"> </v>
      </c>
      <c r="AY526" s="130" t="str">
        <f t="shared" si="283"/>
        <v xml:space="preserve"> </v>
      </c>
      <c r="AZ526" s="130" t="str">
        <f t="shared" si="283"/>
        <v xml:space="preserve"> </v>
      </c>
      <c r="BA526" s="121">
        <f t="shared" si="297"/>
        <v>25839.207682301469</v>
      </c>
      <c r="BB526" s="121">
        <f t="shared" si="298"/>
        <v>0</v>
      </c>
      <c r="BC526" s="121">
        <f t="shared" si="299"/>
        <v>0</v>
      </c>
      <c r="BD526" s="121">
        <f t="shared" si="300"/>
        <v>0</v>
      </c>
      <c r="BE526" s="121">
        <f t="shared" si="301"/>
        <v>0</v>
      </c>
      <c r="BF526" s="121">
        <f t="shared" si="302"/>
        <v>0</v>
      </c>
      <c r="BG526" s="121">
        <f t="shared" si="303"/>
        <v>0</v>
      </c>
      <c r="BH526" s="121">
        <f t="shared" si="304"/>
        <v>0</v>
      </c>
      <c r="BI526" s="121">
        <f t="shared" si="305"/>
        <v>25839.207682301469</v>
      </c>
      <c r="BJ526" s="121">
        <f t="shared" si="306"/>
        <v>25839.207682301469</v>
      </c>
      <c r="BK526" s="121">
        <f t="shared" si="307"/>
        <v>25839.207682301469</v>
      </c>
      <c r="BL526" s="121">
        <f t="shared" si="308"/>
        <v>25839.207682301469</v>
      </c>
      <c r="BM526" s="121">
        <f t="shared" si="309"/>
        <v>0</v>
      </c>
      <c r="BN526" s="121">
        <f t="shared" si="310"/>
        <v>0</v>
      </c>
      <c r="BO526" s="121">
        <f t="shared" si="311"/>
        <v>0</v>
      </c>
      <c r="BP526" s="121">
        <f t="shared" si="312"/>
        <v>0</v>
      </c>
      <c r="BQ526" s="199">
        <f>INDEX('GDP deflators'!$C$6:$M$36,MATCH('Bottom-up tagging'!$D526,'GDP deflators'!$B$6:$B$36,),MATCH('Bottom-up tagging'!$E526,'GDP deflators'!$C$5:$L$5,))/100</f>
        <v>1.4753935363936217</v>
      </c>
      <c r="BR526" s="24">
        <v>38123</v>
      </c>
    </row>
    <row r="527" spans="2:70" ht="26.15" hidden="1" customHeight="1">
      <c r="B527" s="110" t="s">
        <v>1448</v>
      </c>
      <c r="C527" s="110" t="s">
        <v>1451</v>
      </c>
      <c r="D527" s="110" t="s">
        <v>3994</v>
      </c>
      <c r="E527" s="103">
        <v>2016</v>
      </c>
      <c r="F527" s="108" t="s">
        <v>7316</v>
      </c>
      <c r="G527" s="111" t="s">
        <v>124</v>
      </c>
      <c r="H527" s="110" t="s">
        <v>10451</v>
      </c>
      <c r="I527" s="112">
        <f>IF(Dashboard!$B$16="Current USD",'Bottom-up tagging'!BR527,'Bottom-up tagging'!BR527/'Bottom-up tagging'!BQ527)</f>
        <v>27617.829220524152</v>
      </c>
      <c r="J527" s="105" t="s">
        <v>10474</v>
      </c>
      <c r="K527" s="112"/>
      <c r="L527" s="135">
        <v>1</v>
      </c>
      <c r="M527" s="135">
        <v>1</v>
      </c>
      <c r="N527" s="112"/>
      <c r="O527" s="112"/>
      <c r="P527" s="112" t="str">
        <f>VLOOKUP(B527, 'Companies covered restructured'!$B$7:$K$470, 9, FALSE)</f>
        <v>Agri marketplaces</v>
      </c>
      <c r="Q527" s="112" t="str">
        <f>VLOOKUP(B527, 'Companies covered restructured'!$B$7:$K$470, 6, FALSE)</f>
        <v>#Crops(100)</v>
      </c>
      <c r="R527" s="112" t="str">
        <f t="shared" si="284"/>
        <v>N/A</v>
      </c>
      <c r="S527" s="112" t="s">
        <v>11003</v>
      </c>
      <c r="T527" s="112" t="s">
        <v>10466</v>
      </c>
      <c r="U527" s="103" t="s">
        <v>10970</v>
      </c>
      <c r="V527" s="112" t="str">
        <f>VLOOKUP(P527, 'Bottom-up Tagging Assumptions'!$B$12:$F$39, 5, FALSE)</f>
        <v>#Process Innovation(100)</v>
      </c>
      <c r="W527" s="112" t="str">
        <f>VLOOKUP(B527, 'Companies covered restructured'!$B$7:$K$470, 7, FALSE)</f>
        <v>#Farm/Household(100)</v>
      </c>
      <c r="X527" s="112" t="s">
        <v>10558</v>
      </c>
      <c r="Y527" s="212" t="str">
        <f>VLOOKUP(P527, 'Bottom-up Tagging Assumptions'!$B$12:$C$56, 2, FALSE)</f>
        <v>#Other Economic(P); Social(S)</v>
      </c>
      <c r="Z527" s="112" t="str">
        <f>VLOOKUP(P527, 'Bottom-up Tagging Assumptions'!$B$12:$F$56, 3, FALSE)</f>
        <v>#Improve price realization(P)</v>
      </c>
      <c r="AA527" s="112" t="str">
        <f>VLOOKUP(P527, 'Bottom-up Tagging Assumptions'!$B$12:$F$56, 4, FALSE)</f>
        <v>#Level 4(100)</v>
      </c>
      <c r="AB527" s="110"/>
      <c r="AC527" s="110"/>
      <c r="AD527" s="110"/>
      <c r="AE527" s="110" t="s">
        <v>10558</v>
      </c>
      <c r="AF527" s="112"/>
      <c r="AG527" s="110" t="s">
        <v>2483</v>
      </c>
      <c r="AH527" s="121">
        <f t="shared" si="285"/>
        <v>0</v>
      </c>
      <c r="AI527" s="121">
        <f t="shared" si="286"/>
        <v>0</v>
      </c>
      <c r="AJ527" s="121">
        <f t="shared" si="287"/>
        <v>1</v>
      </c>
      <c r="AK527" s="121">
        <f t="shared" si="288"/>
        <v>1</v>
      </c>
      <c r="AL527" s="121">
        <f t="shared" si="289"/>
        <v>0</v>
      </c>
      <c r="AM527" s="121">
        <f t="shared" si="290"/>
        <v>0</v>
      </c>
      <c r="AN527" s="121">
        <f t="shared" si="291"/>
        <v>1</v>
      </c>
      <c r="AO527" s="121">
        <f t="shared" si="292"/>
        <v>0</v>
      </c>
      <c r="AP527" s="22">
        <f t="shared" si="293"/>
        <v>0</v>
      </c>
      <c r="AQ527" s="22">
        <f t="shared" si="294"/>
        <v>27617.829220524152</v>
      </c>
      <c r="AR527" s="22">
        <f t="shared" si="295"/>
        <v>0</v>
      </c>
      <c r="AS527" s="121" t="str">
        <f t="shared" si="296"/>
        <v>Crops</v>
      </c>
      <c r="AT527" s="121" t="str">
        <f t="shared" si="282"/>
        <v xml:space="preserve"> </v>
      </c>
      <c r="AU527" s="121" t="str">
        <f t="shared" si="282"/>
        <v xml:space="preserve"> </v>
      </c>
      <c r="AV527" s="121" t="str">
        <f t="shared" si="282"/>
        <v xml:space="preserve"> </v>
      </c>
      <c r="AW527" s="130" t="str">
        <f t="shared" si="283"/>
        <v>100</v>
      </c>
      <c r="AX527" s="130" t="str">
        <f t="shared" si="283"/>
        <v xml:space="preserve"> </v>
      </c>
      <c r="AY527" s="130" t="str">
        <f t="shared" si="283"/>
        <v xml:space="preserve"> </v>
      </c>
      <c r="AZ527" s="130" t="str">
        <f t="shared" si="283"/>
        <v xml:space="preserve"> </v>
      </c>
      <c r="BA527" s="121">
        <f t="shared" si="297"/>
        <v>27617.829220524152</v>
      </c>
      <c r="BB527" s="121">
        <f t="shared" si="298"/>
        <v>0</v>
      </c>
      <c r="BC527" s="121">
        <f t="shared" si="299"/>
        <v>0</v>
      </c>
      <c r="BD527" s="121">
        <f t="shared" si="300"/>
        <v>0</v>
      </c>
      <c r="BE527" s="121">
        <f t="shared" si="301"/>
        <v>0</v>
      </c>
      <c r="BF527" s="121">
        <f t="shared" si="302"/>
        <v>0</v>
      </c>
      <c r="BG527" s="121">
        <f t="shared" si="303"/>
        <v>0</v>
      </c>
      <c r="BH527" s="121">
        <f t="shared" si="304"/>
        <v>0</v>
      </c>
      <c r="BI527" s="121">
        <f t="shared" si="305"/>
        <v>27617.829220524152</v>
      </c>
      <c r="BJ527" s="121">
        <f t="shared" si="306"/>
        <v>27617.829220524152</v>
      </c>
      <c r="BK527" s="121">
        <f t="shared" si="307"/>
        <v>27617.829220524152</v>
      </c>
      <c r="BL527" s="121">
        <f t="shared" si="308"/>
        <v>27617.829220524152</v>
      </c>
      <c r="BM527" s="121">
        <f t="shared" si="309"/>
        <v>0</v>
      </c>
      <c r="BN527" s="121">
        <f t="shared" si="310"/>
        <v>0</v>
      </c>
      <c r="BO527" s="121">
        <f t="shared" si="311"/>
        <v>0</v>
      </c>
      <c r="BP527" s="121">
        <f t="shared" si="312"/>
        <v>0</v>
      </c>
      <c r="BQ527" s="199">
        <f>INDEX('GDP deflators'!$C$6:$M$36,MATCH('Bottom-up tagging'!$D527,'GDP deflators'!$B$6:$B$36,),MATCH('Bottom-up tagging'!$E527,'GDP deflators'!$C$5:$L$5,))/100</f>
        <v>1.3597375702538033</v>
      </c>
      <c r="BR527" s="24">
        <v>37553</v>
      </c>
    </row>
    <row r="528" spans="2:70" ht="26.15" hidden="1" customHeight="1">
      <c r="B528" s="110" t="s">
        <v>1658</v>
      </c>
      <c r="C528" s="110" t="s">
        <v>1662</v>
      </c>
      <c r="D528" s="110" t="s">
        <v>3994</v>
      </c>
      <c r="E528" s="103">
        <v>2018</v>
      </c>
      <c r="F528" s="108" t="s">
        <v>7674</v>
      </c>
      <c r="G528" s="111" t="s">
        <v>34</v>
      </c>
      <c r="H528" s="110" t="s">
        <v>10451</v>
      </c>
      <c r="I528" s="112">
        <f>IF(Dashboard!$B$16="Current USD",'Bottom-up tagging'!BR528,'Bottom-up tagging'!BR528/'Bottom-up tagging'!BQ528)</f>
        <v>24926.908714739162</v>
      </c>
      <c r="J528" s="105" t="s">
        <v>10474</v>
      </c>
      <c r="K528" s="112"/>
      <c r="L528" s="135">
        <v>1</v>
      </c>
      <c r="M528" s="135">
        <v>1</v>
      </c>
      <c r="N528" s="112"/>
      <c r="O528" s="112"/>
      <c r="P528" s="112" t="str">
        <f>VLOOKUP(B528, 'Companies covered restructured'!$B$7:$K$470, 9, FALSE)</f>
        <v>AI/analytics based advisory algorithms (incl. weather)</v>
      </c>
      <c r="Q528" s="112" t="str">
        <f>VLOOKUP(B528, 'Companies covered restructured'!$B$7:$K$470, 6, FALSE)</f>
        <v>#Crops(100)</v>
      </c>
      <c r="R528" s="112" t="str">
        <f t="shared" si="284"/>
        <v>#Investment Fund(100)</v>
      </c>
      <c r="S528" s="112" t="s">
        <v>11003</v>
      </c>
      <c r="T528" s="112" t="s">
        <v>10466</v>
      </c>
      <c r="U528" s="103" t="s">
        <v>10970</v>
      </c>
      <c r="V528" s="112" t="str">
        <f>VLOOKUP(P528, 'Bottom-up Tagging Assumptions'!$B$12:$F$39, 5, FALSE)</f>
        <v>#Science &amp; tech(100)</v>
      </c>
      <c r="W528" s="112" t="str">
        <f>VLOOKUP(B528, 'Companies covered restructured'!$B$7:$K$470, 7, FALSE)</f>
        <v>#Field/Animal Herd(100)</v>
      </c>
      <c r="X528" s="112" t="s">
        <v>10558</v>
      </c>
      <c r="Y528" s="212" t="str">
        <f>VLOOKUP(P528, 'Bottom-up Tagging Assumptions'!$B$12:$C$56, 2, FALSE)</f>
        <v>#Other Economic(P); #Productivity(S)</v>
      </c>
      <c r="Z528" s="112" t="str">
        <f>VLOOKUP(P528, 'Bottom-up Tagging Assumptions'!$B$12:$F$56, 3, FALSE)</f>
        <v>#Increasing output per unit input(P); #Increasing crop or animal yield(S)</v>
      </c>
      <c r="AA528" s="112" t="str">
        <f>VLOOKUP(P528, 'Bottom-up Tagging Assumptions'!$B$12:$F$56, 4, FALSE)</f>
        <v>#Level 1(100)</v>
      </c>
      <c r="AB528" s="110" t="s">
        <v>1660</v>
      </c>
      <c r="AC528" s="110"/>
      <c r="AD528" s="110" t="s">
        <v>1661</v>
      </c>
      <c r="AE528" s="110" t="str">
        <f>VLOOKUP(AD528,  '1.2'!$B$7:$C$2033, 2, FALSE)</f>
        <v>FUND</v>
      </c>
      <c r="AF528" s="112">
        <v>10000000</v>
      </c>
      <c r="AG528" s="110" t="s">
        <v>2970</v>
      </c>
      <c r="AH528" s="121">
        <f t="shared" si="285"/>
        <v>0</v>
      </c>
      <c r="AI528" s="121">
        <f t="shared" si="286"/>
        <v>1</v>
      </c>
      <c r="AJ528" s="121">
        <f t="shared" si="287"/>
        <v>1</v>
      </c>
      <c r="AK528" s="121">
        <f t="shared" si="288"/>
        <v>0</v>
      </c>
      <c r="AL528" s="121">
        <f t="shared" si="289"/>
        <v>0</v>
      </c>
      <c r="AM528" s="121">
        <f t="shared" si="290"/>
        <v>0</v>
      </c>
      <c r="AN528" s="121">
        <f t="shared" si="291"/>
        <v>0</v>
      </c>
      <c r="AO528" s="121">
        <f t="shared" si="292"/>
        <v>0</v>
      </c>
      <c r="AP528" s="22">
        <f t="shared" si="293"/>
        <v>0</v>
      </c>
      <c r="AQ528" s="22">
        <f t="shared" si="294"/>
        <v>0</v>
      </c>
      <c r="AR528" s="22">
        <f t="shared" si="295"/>
        <v>0</v>
      </c>
      <c r="AS528" s="121" t="str">
        <f t="shared" si="296"/>
        <v>Crops</v>
      </c>
      <c r="AT528" s="121" t="str">
        <f t="shared" si="282"/>
        <v xml:space="preserve"> </v>
      </c>
      <c r="AU528" s="121" t="str">
        <f t="shared" si="282"/>
        <v xml:space="preserve"> </v>
      </c>
      <c r="AV528" s="121" t="str">
        <f t="shared" si="282"/>
        <v xml:space="preserve"> </v>
      </c>
      <c r="AW528" s="130" t="str">
        <f t="shared" si="283"/>
        <v>100</v>
      </c>
      <c r="AX528" s="130" t="str">
        <f t="shared" si="283"/>
        <v xml:space="preserve"> </v>
      </c>
      <c r="AY528" s="130" t="str">
        <f t="shared" si="283"/>
        <v xml:space="preserve"> </v>
      </c>
      <c r="AZ528" s="130" t="str">
        <f t="shared" si="283"/>
        <v xml:space="preserve"> </v>
      </c>
      <c r="BA528" s="121">
        <f t="shared" si="297"/>
        <v>24926.908714739162</v>
      </c>
      <c r="BB528" s="121">
        <f t="shared" si="298"/>
        <v>0</v>
      </c>
      <c r="BC528" s="121">
        <f t="shared" si="299"/>
        <v>0</v>
      </c>
      <c r="BD528" s="121">
        <f t="shared" si="300"/>
        <v>0</v>
      </c>
      <c r="BE528" s="121">
        <f t="shared" si="301"/>
        <v>0</v>
      </c>
      <c r="BF528" s="121">
        <f t="shared" si="302"/>
        <v>0</v>
      </c>
      <c r="BG528" s="121">
        <f t="shared" si="303"/>
        <v>0</v>
      </c>
      <c r="BH528" s="121">
        <f t="shared" si="304"/>
        <v>0</v>
      </c>
      <c r="BI528" s="121">
        <f t="shared" si="305"/>
        <v>0</v>
      </c>
      <c r="BJ528" s="121">
        <f t="shared" si="306"/>
        <v>0</v>
      </c>
      <c r="BK528" s="121">
        <f t="shared" si="307"/>
        <v>0</v>
      </c>
      <c r="BL528" s="121">
        <f t="shared" si="308"/>
        <v>0</v>
      </c>
      <c r="BM528" s="121">
        <f t="shared" si="309"/>
        <v>0</v>
      </c>
      <c r="BN528" s="121">
        <f t="shared" si="310"/>
        <v>0</v>
      </c>
      <c r="BO528" s="121">
        <f t="shared" si="311"/>
        <v>0</v>
      </c>
      <c r="BP528" s="121">
        <f t="shared" si="312"/>
        <v>0</v>
      </c>
      <c r="BQ528" s="199">
        <f>INDEX('GDP deflators'!$C$6:$M$36,MATCH('Bottom-up tagging'!$D528,'GDP deflators'!$B$6:$B$36,),MATCH('Bottom-up tagging'!$E528,'GDP deflators'!$C$5:$L$5,))/100</f>
        <v>1.4753935363936217</v>
      </c>
      <c r="BR528" s="24">
        <v>36777</v>
      </c>
    </row>
    <row r="529" spans="2:70" ht="26.15" hidden="1" customHeight="1">
      <c r="B529" s="110" t="s">
        <v>1191</v>
      </c>
      <c r="C529" s="110" t="s">
        <v>1194</v>
      </c>
      <c r="D529" s="110" t="s">
        <v>3994</v>
      </c>
      <c r="E529" s="103">
        <v>2018</v>
      </c>
      <c r="F529" s="108" t="s">
        <v>7021</v>
      </c>
      <c r="G529" s="111" t="s">
        <v>124</v>
      </c>
      <c r="H529" s="110" t="s">
        <v>10451</v>
      </c>
      <c r="I529" s="112">
        <f>IF(Dashboard!$B$16="Current USD",'Bottom-up tagging'!BR529,'Bottom-up tagging'!BR529/'Bottom-up tagging'!BQ529)</f>
        <v>24303.346270342936</v>
      </c>
      <c r="J529" s="105" t="s">
        <v>10474</v>
      </c>
      <c r="K529" s="112"/>
      <c r="L529" s="135">
        <v>1</v>
      </c>
      <c r="M529" s="135">
        <v>1</v>
      </c>
      <c r="N529" s="112"/>
      <c r="O529" s="112"/>
      <c r="P529" s="112" t="str">
        <f>VLOOKUP(B529, 'Companies covered restructured'!$B$7:$K$470, 9, FALSE)</f>
        <v>AI/analytics based advisory algorithms (incl. weather)</v>
      </c>
      <c r="Q529" s="112" t="str">
        <f>VLOOKUP(B529, 'Companies covered restructured'!$B$7:$K$470, 6, FALSE)</f>
        <v>#Crops(100)</v>
      </c>
      <c r="R529" s="112" t="str">
        <f t="shared" si="284"/>
        <v>#Angel Investor(100)</v>
      </c>
      <c r="S529" s="112" t="s">
        <v>11003</v>
      </c>
      <c r="T529" s="112" t="s">
        <v>10466</v>
      </c>
      <c r="U529" s="213" t="s">
        <v>10970</v>
      </c>
      <c r="V529" s="112" t="str">
        <f>VLOOKUP(P529, 'Bottom-up Tagging Assumptions'!$B$12:$F$39, 5, FALSE)</f>
        <v>#Science &amp; tech(100)</v>
      </c>
      <c r="W529" s="112" t="str">
        <f>VLOOKUP(B529, 'Companies covered restructured'!$B$7:$K$470, 7, FALSE)</f>
        <v>#Field/Animal Herd(100)</v>
      </c>
      <c r="X529" s="112" t="s">
        <v>10558</v>
      </c>
      <c r="Y529" s="212" t="str">
        <f>VLOOKUP(P529, 'Bottom-up Tagging Assumptions'!$B$12:$C$56, 2, FALSE)</f>
        <v>#Other Economic(P); #Productivity(S)</v>
      </c>
      <c r="Z529" s="112" t="str">
        <f>VLOOKUP(P529, 'Bottom-up Tagging Assumptions'!$B$12:$F$56, 3, FALSE)</f>
        <v>#Increasing output per unit input(P); #Increasing crop or animal yield(S)</v>
      </c>
      <c r="AA529" s="112" t="str">
        <f>VLOOKUP(P529, 'Bottom-up Tagging Assumptions'!$B$12:$F$56, 4, FALSE)</f>
        <v>#Level 1(100)</v>
      </c>
      <c r="AB529" s="110"/>
      <c r="AC529" s="110" t="s">
        <v>1272</v>
      </c>
      <c r="AD529" s="110" t="s">
        <v>1273</v>
      </c>
      <c r="AE529" s="110" t="str">
        <f>VLOOKUP(AD529,  '1.2'!$B$7:$C$2033, 2, FALSE)</f>
        <v>ANGEL</v>
      </c>
      <c r="AF529" s="112">
        <v>987327</v>
      </c>
      <c r="AG529" s="110" t="s">
        <v>435</v>
      </c>
      <c r="AH529" s="121">
        <f t="shared" si="285"/>
        <v>0</v>
      </c>
      <c r="AI529" s="121">
        <f t="shared" si="286"/>
        <v>1</v>
      </c>
      <c r="AJ529" s="121">
        <f t="shared" si="287"/>
        <v>1</v>
      </c>
      <c r="AK529" s="121">
        <f t="shared" si="288"/>
        <v>0</v>
      </c>
      <c r="AL529" s="121">
        <f t="shared" si="289"/>
        <v>0</v>
      </c>
      <c r="AM529" s="121">
        <f t="shared" si="290"/>
        <v>0</v>
      </c>
      <c r="AN529" s="121">
        <f t="shared" si="291"/>
        <v>0</v>
      </c>
      <c r="AO529" s="121">
        <f t="shared" si="292"/>
        <v>0</v>
      </c>
      <c r="AP529" s="22">
        <f t="shared" si="293"/>
        <v>0</v>
      </c>
      <c r="AQ529" s="22">
        <f t="shared" si="294"/>
        <v>0</v>
      </c>
      <c r="AR529" s="22">
        <f t="shared" si="295"/>
        <v>0</v>
      </c>
      <c r="AS529" s="121" t="str">
        <f t="shared" si="296"/>
        <v>Crops</v>
      </c>
      <c r="AT529" s="121" t="str">
        <f t="shared" si="282"/>
        <v xml:space="preserve"> </v>
      </c>
      <c r="AU529" s="121" t="str">
        <f t="shared" si="282"/>
        <v xml:space="preserve"> </v>
      </c>
      <c r="AV529" s="121" t="str">
        <f t="shared" si="282"/>
        <v xml:space="preserve"> </v>
      </c>
      <c r="AW529" s="130" t="str">
        <f t="shared" si="283"/>
        <v>100</v>
      </c>
      <c r="AX529" s="130" t="str">
        <f t="shared" si="283"/>
        <v xml:space="preserve"> </v>
      </c>
      <c r="AY529" s="130" t="str">
        <f t="shared" si="283"/>
        <v xml:space="preserve"> </v>
      </c>
      <c r="AZ529" s="130" t="str">
        <f t="shared" si="283"/>
        <v xml:space="preserve"> </v>
      </c>
      <c r="BA529" s="121">
        <f t="shared" si="297"/>
        <v>24303.346270342936</v>
      </c>
      <c r="BB529" s="121">
        <f t="shared" si="298"/>
        <v>0</v>
      </c>
      <c r="BC529" s="121">
        <f t="shared" si="299"/>
        <v>0</v>
      </c>
      <c r="BD529" s="121">
        <f t="shared" si="300"/>
        <v>0</v>
      </c>
      <c r="BE529" s="121">
        <f t="shared" si="301"/>
        <v>0</v>
      </c>
      <c r="BF529" s="121">
        <f t="shared" si="302"/>
        <v>0</v>
      </c>
      <c r="BG529" s="121">
        <f t="shared" si="303"/>
        <v>0</v>
      </c>
      <c r="BH529" s="121">
        <f t="shared" si="304"/>
        <v>0</v>
      </c>
      <c r="BI529" s="121">
        <f t="shared" si="305"/>
        <v>0</v>
      </c>
      <c r="BJ529" s="121">
        <f t="shared" si="306"/>
        <v>0</v>
      </c>
      <c r="BK529" s="121">
        <f t="shared" si="307"/>
        <v>0</v>
      </c>
      <c r="BL529" s="121">
        <f t="shared" si="308"/>
        <v>0</v>
      </c>
      <c r="BM529" s="121">
        <f t="shared" si="309"/>
        <v>0</v>
      </c>
      <c r="BN529" s="121">
        <f t="shared" si="310"/>
        <v>0</v>
      </c>
      <c r="BO529" s="121">
        <f t="shared" si="311"/>
        <v>0</v>
      </c>
      <c r="BP529" s="121">
        <f t="shared" si="312"/>
        <v>0</v>
      </c>
      <c r="BQ529" s="199">
        <f>INDEX('GDP deflators'!$C$6:$M$36,MATCH('Bottom-up tagging'!$D529,'GDP deflators'!$B$6:$B$36,),MATCH('Bottom-up tagging'!$E529,'GDP deflators'!$C$5:$L$5,))/100</f>
        <v>1.4753935363936217</v>
      </c>
      <c r="BR529" s="24">
        <v>35857</v>
      </c>
    </row>
    <row r="530" spans="2:70" ht="26.15" hidden="1" customHeight="1">
      <c r="B530" s="110" t="s">
        <v>2880</v>
      </c>
      <c r="C530" s="110" t="s">
        <v>2884</v>
      </c>
      <c r="D530" s="110" t="s">
        <v>9855</v>
      </c>
      <c r="E530" s="103">
        <v>2014</v>
      </c>
      <c r="F530" s="108" t="s">
        <v>9857</v>
      </c>
      <c r="G530" s="111" t="s">
        <v>184</v>
      </c>
      <c r="H530" s="110" t="s">
        <v>10451</v>
      </c>
      <c r="I530" s="112">
        <f>IF(Dashboard!$B$16="Current USD",'Bottom-up tagging'!BR530,'Bottom-up tagging'!BR530/'Bottom-up tagging'!BQ530)</f>
        <v>26328.587655872867</v>
      </c>
      <c r="J530" s="117" t="s">
        <v>10474</v>
      </c>
      <c r="K530" s="112"/>
      <c r="L530" s="135">
        <v>1</v>
      </c>
      <c r="M530" s="135">
        <v>1</v>
      </c>
      <c r="N530" s="112"/>
      <c r="O530" s="112"/>
      <c r="P530" s="112" t="str">
        <f>VLOOKUP(B530, 'Companies covered restructured'!$B$7:$K$470, 9, FALSE)</f>
        <v>Farmer engagement platforms (including marketplaces and information platforms)</v>
      </c>
      <c r="Q530" s="112" t="str">
        <f>VLOOKUP(B530, 'Companies covered restructured'!$B$7:$K$470, 6, FALSE)</f>
        <v>#Livestock(100)</v>
      </c>
      <c r="R530" s="112" t="str">
        <f t="shared" si="284"/>
        <v>N/A</v>
      </c>
      <c r="S530" s="112" t="s">
        <v>11003</v>
      </c>
      <c r="T530" s="112" t="s">
        <v>10465</v>
      </c>
      <c r="U530" s="103" t="s">
        <v>10970</v>
      </c>
      <c r="V530" s="112" t="str">
        <f>VLOOKUP(P530, 'Bottom-up Tagging Assumptions'!$B$12:$F$39, 5, FALSE)</f>
        <v>#Process Innovation(100)</v>
      </c>
      <c r="W530" s="112" t="str">
        <f>VLOOKUP(B530, 'Companies covered restructured'!$B$7:$K$470, 7, FALSE)</f>
        <v>N/A</v>
      </c>
      <c r="X530" s="112" t="str">
        <f>VLOOKUP(B530, 'Companies covered restructured'!$B$7:$K$470, 8, FALSE)</f>
        <v>N/A</v>
      </c>
      <c r="Y530" s="212" t="str">
        <f>VLOOKUP(P530, 'Bottom-up Tagging Assumptions'!$B$12:$C$56, 2, FALSE)</f>
        <v>#Other Economic(P); #Productivity(S)</v>
      </c>
      <c r="Z530" s="112" t="str">
        <f>VLOOKUP(P530, 'Bottom-up Tagging Assumptions'!$B$12:$F$56, 3, FALSE)</f>
        <v>#Improve price realization(P); #Increasing crop or animal yield(S)</v>
      </c>
      <c r="AA530" s="112" t="str">
        <f>VLOOKUP(P530, 'Bottom-up Tagging Assumptions'!$B$12:$F$56, 4, FALSE)</f>
        <v>#Level 4(100)</v>
      </c>
      <c r="AB530" s="110" t="s">
        <v>2713</v>
      </c>
      <c r="AC530" s="110"/>
      <c r="AD530" s="110"/>
      <c r="AE530" s="110" t="s">
        <v>10558</v>
      </c>
      <c r="AF530" s="112"/>
      <c r="AG530" s="110" t="s">
        <v>2885</v>
      </c>
      <c r="AH530" s="121">
        <f t="shared" si="285"/>
        <v>0</v>
      </c>
      <c r="AI530" s="121">
        <f t="shared" si="286"/>
        <v>1</v>
      </c>
      <c r="AJ530" s="121">
        <f t="shared" si="287"/>
        <v>1</v>
      </c>
      <c r="AK530" s="121">
        <f t="shared" si="288"/>
        <v>0</v>
      </c>
      <c r="AL530" s="121">
        <f t="shared" si="289"/>
        <v>0</v>
      </c>
      <c r="AM530" s="121">
        <f t="shared" si="290"/>
        <v>0</v>
      </c>
      <c r="AN530" s="121">
        <f t="shared" si="291"/>
        <v>0</v>
      </c>
      <c r="AO530" s="121">
        <f t="shared" si="292"/>
        <v>0</v>
      </c>
      <c r="AP530" s="22">
        <f t="shared" si="293"/>
        <v>0</v>
      </c>
      <c r="AQ530" s="22">
        <f t="shared" si="294"/>
        <v>0</v>
      </c>
      <c r="AR530" s="22">
        <f t="shared" si="295"/>
        <v>0</v>
      </c>
      <c r="AS530" s="121" t="str">
        <f t="shared" si="296"/>
        <v>Livestock</v>
      </c>
      <c r="AT530" s="121" t="str">
        <f t="shared" si="282"/>
        <v xml:space="preserve"> </v>
      </c>
      <c r="AU530" s="121" t="str">
        <f t="shared" si="282"/>
        <v xml:space="preserve"> </v>
      </c>
      <c r="AV530" s="121" t="str">
        <f t="shared" si="282"/>
        <v xml:space="preserve"> </v>
      </c>
      <c r="AW530" s="130" t="str">
        <f t="shared" si="283"/>
        <v>100</v>
      </c>
      <c r="AX530" s="130" t="str">
        <f t="shared" si="283"/>
        <v xml:space="preserve"> </v>
      </c>
      <c r="AY530" s="130" t="str">
        <f t="shared" si="283"/>
        <v xml:space="preserve"> </v>
      </c>
      <c r="AZ530" s="130" t="str">
        <f t="shared" si="283"/>
        <v xml:space="preserve"> </v>
      </c>
      <c r="BA530" s="121">
        <f t="shared" si="297"/>
        <v>26328.587655872867</v>
      </c>
      <c r="BB530" s="121">
        <f t="shared" si="298"/>
        <v>0</v>
      </c>
      <c r="BC530" s="121">
        <f t="shared" si="299"/>
        <v>0</v>
      </c>
      <c r="BD530" s="121">
        <f t="shared" si="300"/>
        <v>0</v>
      </c>
      <c r="BE530" s="121">
        <f t="shared" si="301"/>
        <v>0</v>
      </c>
      <c r="BF530" s="121">
        <f t="shared" si="302"/>
        <v>0</v>
      </c>
      <c r="BG530" s="121">
        <f t="shared" si="303"/>
        <v>0</v>
      </c>
      <c r="BH530" s="121">
        <f t="shared" si="304"/>
        <v>0</v>
      </c>
      <c r="BI530" s="121">
        <f t="shared" si="305"/>
        <v>0</v>
      </c>
      <c r="BJ530" s="121">
        <f t="shared" si="306"/>
        <v>0</v>
      </c>
      <c r="BK530" s="121">
        <f t="shared" si="307"/>
        <v>0</v>
      </c>
      <c r="BL530" s="121">
        <f t="shared" si="308"/>
        <v>0</v>
      </c>
      <c r="BM530" s="121">
        <f t="shared" si="309"/>
        <v>0</v>
      </c>
      <c r="BN530" s="121">
        <f t="shared" si="310"/>
        <v>0</v>
      </c>
      <c r="BO530" s="121">
        <f t="shared" si="311"/>
        <v>0</v>
      </c>
      <c r="BP530" s="121">
        <f t="shared" si="312"/>
        <v>0</v>
      </c>
      <c r="BQ530" s="199">
        <f>INDEX('GDP deflators'!$C$6:$M$36,MATCH('Bottom-up tagging'!$D530,'GDP deflators'!$B$6:$B$36,),MATCH('Bottom-up tagging'!$E530,'GDP deflators'!$C$5:$L$5,))/100</f>
        <v>1.3072102632259095</v>
      </c>
      <c r="BR530" s="24">
        <v>34417</v>
      </c>
    </row>
    <row r="531" spans="2:70" ht="26.15" hidden="1" customHeight="1">
      <c r="B531" s="110" t="s">
        <v>2448</v>
      </c>
      <c r="C531" s="110" t="s">
        <v>2450</v>
      </c>
      <c r="D531" s="110" t="s">
        <v>6632</v>
      </c>
      <c r="E531" s="103">
        <v>2016</v>
      </c>
      <c r="F531" s="108" t="s">
        <v>9720</v>
      </c>
      <c r="G531" s="111" t="s">
        <v>184</v>
      </c>
      <c r="H531" s="110" t="s">
        <v>10451</v>
      </c>
      <c r="I531" s="112">
        <f>IF(Dashboard!$B$16="Current USD",'Bottom-up tagging'!BR531,'Bottom-up tagging'!BR531/'Bottom-up tagging'!BQ531)</f>
        <v>26673.248530072124</v>
      </c>
      <c r="J531" s="118" t="s">
        <v>10474</v>
      </c>
      <c r="K531" s="112"/>
      <c r="L531" s="135">
        <v>1</v>
      </c>
      <c r="M531" s="135">
        <v>1</v>
      </c>
      <c r="N531" s="112"/>
      <c r="O531" s="112"/>
      <c r="P531" s="112" t="str">
        <f>VLOOKUP(B531, 'Companies covered restructured'!$B$7:$K$470, 9, FALSE)</f>
        <v>AI/analytics based advisory algorithms (incl. weather)</v>
      </c>
      <c r="Q531" s="112" t="str">
        <f>VLOOKUP(B531, 'Companies covered restructured'!$B$7:$K$470, 6, FALSE)</f>
        <v>#Crops(100)</v>
      </c>
      <c r="R531" s="112" t="str">
        <f t="shared" si="284"/>
        <v>N/A</v>
      </c>
      <c r="S531" s="112" t="s">
        <v>11003</v>
      </c>
      <c r="T531" s="112" t="s">
        <v>10465</v>
      </c>
      <c r="U531" s="103" t="s">
        <v>10970</v>
      </c>
      <c r="V531" s="112" t="str">
        <f>VLOOKUP(P531, 'Bottom-up Tagging Assumptions'!$B$12:$F$39, 5, FALSE)</f>
        <v>#Science &amp; tech(100)</v>
      </c>
      <c r="W531" s="112" t="str">
        <f>VLOOKUP(B531, 'Companies covered restructured'!$B$7:$K$470, 7, FALSE)</f>
        <v>#Farm/Household(100)</v>
      </c>
      <c r="X531" s="112" t="str">
        <f>VLOOKUP(B531, 'Companies covered restructured'!$B$7:$K$470, 8, FALSE)</f>
        <v>N/A</v>
      </c>
      <c r="Y531" s="212" t="str">
        <f>VLOOKUP(P531, 'Bottom-up Tagging Assumptions'!$B$12:$C$56, 2, FALSE)</f>
        <v>#Other Economic(P); #Productivity(S)</v>
      </c>
      <c r="Z531" s="112" t="str">
        <f>VLOOKUP(P531, 'Bottom-up Tagging Assumptions'!$B$12:$F$56, 3, FALSE)</f>
        <v>#Increasing output per unit input(P); #Increasing crop or animal yield(S)</v>
      </c>
      <c r="AA531" s="112" t="str">
        <f>VLOOKUP(P531, 'Bottom-up Tagging Assumptions'!$B$12:$F$56, 4, FALSE)</f>
        <v>#Level 1(100)</v>
      </c>
      <c r="AB531" s="110" t="s">
        <v>1020</v>
      </c>
      <c r="AC531" s="110"/>
      <c r="AD531" s="110"/>
      <c r="AE531" s="110" t="s">
        <v>10558</v>
      </c>
      <c r="AF531" s="112">
        <v>47182672</v>
      </c>
      <c r="AG531" s="110" t="s">
        <v>1176</v>
      </c>
      <c r="AH531" s="121">
        <f t="shared" si="285"/>
        <v>0</v>
      </c>
      <c r="AI531" s="121">
        <f t="shared" si="286"/>
        <v>1</v>
      </c>
      <c r="AJ531" s="121">
        <f t="shared" si="287"/>
        <v>1</v>
      </c>
      <c r="AK531" s="121">
        <f t="shared" si="288"/>
        <v>0</v>
      </c>
      <c r="AL531" s="121">
        <f t="shared" si="289"/>
        <v>0</v>
      </c>
      <c r="AM531" s="121">
        <f t="shared" si="290"/>
        <v>0</v>
      </c>
      <c r="AN531" s="121">
        <f t="shared" si="291"/>
        <v>0</v>
      </c>
      <c r="AO531" s="121">
        <f t="shared" si="292"/>
        <v>0</v>
      </c>
      <c r="AP531" s="22">
        <f t="shared" si="293"/>
        <v>0</v>
      </c>
      <c r="AQ531" s="22">
        <f t="shared" si="294"/>
        <v>0</v>
      </c>
      <c r="AR531" s="22">
        <f t="shared" si="295"/>
        <v>0</v>
      </c>
      <c r="AS531" s="121" t="str">
        <f t="shared" si="296"/>
        <v>Crops</v>
      </c>
      <c r="AT531" s="121" t="str">
        <f t="shared" si="282"/>
        <v xml:space="preserve"> </v>
      </c>
      <c r="AU531" s="121" t="str">
        <f t="shared" si="282"/>
        <v xml:space="preserve"> </v>
      </c>
      <c r="AV531" s="121" t="str">
        <f t="shared" si="282"/>
        <v xml:space="preserve"> </v>
      </c>
      <c r="AW531" s="130" t="str">
        <f t="shared" si="283"/>
        <v>100</v>
      </c>
      <c r="AX531" s="130" t="str">
        <f t="shared" si="283"/>
        <v xml:space="preserve"> </v>
      </c>
      <c r="AY531" s="130" t="str">
        <f t="shared" si="283"/>
        <v xml:space="preserve"> </v>
      </c>
      <c r="AZ531" s="130" t="str">
        <f t="shared" si="283"/>
        <v xml:space="preserve"> </v>
      </c>
      <c r="BA531" s="121">
        <f t="shared" si="297"/>
        <v>26673.248530072124</v>
      </c>
      <c r="BB531" s="121">
        <f t="shared" si="298"/>
        <v>0</v>
      </c>
      <c r="BC531" s="121">
        <f t="shared" si="299"/>
        <v>0</v>
      </c>
      <c r="BD531" s="121">
        <f t="shared" si="300"/>
        <v>0</v>
      </c>
      <c r="BE531" s="121">
        <f t="shared" si="301"/>
        <v>0</v>
      </c>
      <c r="BF531" s="121">
        <f t="shared" si="302"/>
        <v>0</v>
      </c>
      <c r="BG531" s="121">
        <f t="shared" si="303"/>
        <v>0</v>
      </c>
      <c r="BH531" s="121">
        <f t="shared" si="304"/>
        <v>0</v>
      </c>
      <c r="BI531" s="121">
        <f t="shared" si="305"/>
        <v>0</v>
      </c>
      <c r="BJ531" s="121">
        <f t="shared" si="306"/>
        <v>0</v>
      </c>
      <c r="BK531" s="121">
        <f t="shared" si="307"/>
        <v>0</v>
      </c>
      <c r="BL531" s="121">
        <f t="shared" si="308"/>
        <v>0</v>
      </c>
      <c r="BM531" s="121">
        <f t="shared" si="309"/>
        <v>0</v>
      </c>
      <c r="BN531" s="121">
        <f t="shared" si="310"/>
        <v>0</v>
      </c>
      <c r="BO531" s="121">
        <f t="shared" si="311"/>
        <v>0</v>
      </c>
      <c r="BP531" s="121">
        <f t="shared" si="312"/>
        <v>0</v>
      </c>
      <c r="BQ531" s="199">
        <f>INDEX('GDP deflators'!$C$6:$M$36,MATCH('Bottom-up tagging'!$D531,'GDP deflators'!$B$6:$B$36,),MATCH('Bottom-up tagging'!$E531,'GDP deflators'!$C$5:$L$5,))/100</f>
        <v>1.2371946357713022</v>
      </c>
      <c r="BR531" s="24">
        <v>33000</v>
      </c>
    </row>
    <row r="532" spans="2:70" ht="26.15" hidden="1" customHeight="1">
      <c r="B532" s="110" t="s">
        <v>2551</v>
      </c>
      <c r="C532" s="110" t="s">
        <v>2553</v>
      </c>
      <c r="D532" s="110" t="s">
        <v>1258</v>
      </c>
      <c r="E532" s="103">
        <v>2015</v>
      </c>
      <c r="F532" s="108" t="s">
        <v>9377</v>
      </c>
      <c r="G532" s="111" t="s">
        <v>184</v>
      </c>
      <c r="H532" s="110" t="s">
        <v>10451</v>
      </c>
      <c r="I532" s="112">
        <f>IF(Dashboard!$B$16="Current USD",'Bottom-up tagging'!BR532,'Bottom-up tagging'!BR532/'Bottom-up tagging'!BQ532)</f>
        <v>27919.035436111135</v>
      </c>
      <c r="J532" s="105" t="s">
        <v>10474</v>
      </c>
      <c r="K532" s="112"/>
      <c r="L532" s="135">
        <v>1</v>
      </c>
      <c r="M532" s="135">
        <v>1</v>
      </c>
      <c r="N532" s="112"/>
      <c r="O532" s="112"/>
      <c r="P532" s="112" t="str">
        <f>VLOOKUP(B532, 'Companies covered restructured'!$B$7:$K$470, 9, FALSE)</f>
        <v>Agri input e-commerce platforms</v>
      </c>
      <c r="Q532" s="112" t="str">
        <f>VLOOKUP(B532, 'Companies covered restructured'!$B$7:$K$470, 6, FALSE)</f>
        <v>#Crops(100)</v>
      </c>
      <c r="R532" s="112" t="str">
        <f t="shared" si="284"/>
        <v>N/A</v>
      </c>
      <c r="S532" s="112" t="s">
        <v>11003</v>
      </c>
      <c r="T532" s="112" t="s">
        <v>10465</v>
      </c>
      <c r="U532" s="103" t="s">
        <v>10970</v>
      </c>
      <c r="V532" s="112" t="str">
        <f>VLOOKUP(P532, 'Bottom-up Tagging Assumptions'!$B$12:$F$39, 5, FALSE)</f>
        <v>#Process Innovation(100)</v>
      </c>
      <c r="W532" s="112" t="str">
        <f>VLOOKUP(B532, 'Companies covered restructured'!$B$7:$K$470, 7, FALSE)</f>
        <v>N/A</v>
      </c>
      <c r="X532" s="112" t="str">
        <f>VLOOKUP(B532, 'Companies covered restructured'!$B$7:$K$470, 8, FALSE)</f>
        <v>N/A</v>
      </c>
      <c r="Y532" s="212" t="str">
        <f>VLOOKUP(P532, 'Bottom-up Tagging Assumptions'!$B$12:$C$56, 2, FALSE)</f>
        <v>#Other Economic(P); Productivity(S)</v>
      </c>
      <c r="Z532" s="112" t="str">
        <f>VLOOKUP(P532, 'Bottom-up Tagging Assumptions'!$B$12:$F$56, 3, FALSE)</f>
        <v>#Reduce cost of inputs(P)</v>
      </c>
      <c r="AA532" s="112" t="str">
        <f>VLOOKUP(P532, 'Bottom-up Tagging Assumptions'!$B$12:$F$56, 4, FALSE)</f>
        <v>#Level 1(100)</v>
      </c>
      <c r="AB532" s="110" t="s">
        <v>1020</v>
      </c>
      <c r="AC532" s="110"/>
      <c r="AD532" s="110"/>
      <c r="AE532" s="110" t="s">
        <v>10558</v>
      </c>
      <c r="AF532" s="112">
        <v>9099055</v>
      </c>
      <c r="AG532" s="110" t="s">
        <v>1768</v>
      </c>
      <c r="AH532" s="121">
        <f t="shared" si="285"/>
        <v>0</v>
      </c>
      <c r="AI532" s="121">
        <f t="shared" si="286"/>
        <v>1</v>
      </c>
      <c r="AJ532" s="121">
        <f t="shared" si="287"/>
        <v>1</v>
      </c>
      <c r="AK532" s="121">
        <f t="shared" si="288"/>
        <v>0</v>
      </c>
      <c r="AL532" s="121">
        <f t="shared" si="289"/>
        <v>0</v>
      </c>
      <c r="AM532" s="121">
        <f t="shared" si="290"/>
        <v>0</v>
      </c>
      <c r="AN532" s="121">
        <f t="shared" si="291"/>
        <v>0</v>
      </c>
      <c r="AO532" s="121">
        <f t="shared" si="292"/>
        <v>0</v>
      </c>
      <c r="AP532" s="22">
        <f t="shared" si="293"/>
        <v>0</v>
      </c>
      <c r="AQ532" s="22">
        <f t="shared" si="294"/>
        <v>0</v>
      </c>
      <c r="AR532" s="22">
        <f t="shared" si="295"/>
        <v>0</v>
      </c>
      <c r="AS532" s="121" t="str">
        <f t="shared" si="296"/>
        <v>Crops</v>
      </c>
      <c r="AT532" s="121" t="str">
        <f t="shared" ref="AT532:AV551" si="313">IFERROR(IFERROR(MID($Q532,FIND("~",SUBSTITUTE($Q532,";","~",AT$10-1))+3,(FIND("~",SUBSTITUTE($Q532,";","~",AT$10))+0-(FIND("~",SUBSTITUTE($Q532,";","~",AT$10-1))+2))-6),MID($Q532,FIND("~",SUBSTITUTE($Q532,";","~",AT$10-1))+3,(LEN($Q532)-6-FIND("~",SUBSTITUTE($Q532,";","~",AT$10-1))-1)))," ")</f>
        <v xml:space="preserve"> </v>
      </c>
      <c r="AU532" s="121" t="str">
        <f t="shared" si="313"/>
        <v xml:space="preserve"> </v>
      </c>
      <c r="AV532" s="121" t="str">
        <f t="shared" si="313"/>
        <v xml:space="preserve"> </v>
      </c>
      <c r="AW532" s="130" t="str">
        <f t="shared" ref="AW532:AZ551" si="314">IFERROR(MID($Q532,FIND("~",SUBSTITUTE($Q532,"(","~",AW$10))+1,3)," ")</f>
        <v>100</v>
      </c>
      <c r="AX532" s="130" t="str">
        <f t="shared" si="314"/>
        <v xml:space="preserve"> </v>
      </c>
      <c r="AY532" s="130" t="str">
        <f t="shared" si="314"/>
        <v xml:space="preserve"> </v>
      </c>
      <c r="AZ532" s="130" t="str">
        <f t="shared" si="314"/>
        <v xml:space="preserve"> </v>
      </c>
      <c r="BA532" s="121">
        <f t="shared" si="297"/>
        <v>27919.035436111135</v>
      </c>
      <c r="BB532" s="121">
        <f t="shared" si="298"/>
        <v>0</v>
      </c>
      <c r="BC532" s="121">
        <f t="shared" si="299"/>
        <v>0</v>
      </c>
      <c r="BD532" s="121">
        <f t="shared" si="300"/>
        <v>0</v>
      </c>
      <c r="BE532" s="121">
        <f t="shared" si="301"/>
        <v>0</v>
      </c>
      <c r="BF532" s="121">
        <f t="shared" si="302"/>
        <v>0</v>
      </c>
      <c r="BG532" s="121">
        <f t="shared" si="303"/>
        <v>0</v>
      </c>
      <c r="BH532" s="121">
        <f t="shared" si="304"/>
        <v>0</v>
      </c>
      <c r="BI532" s="121">
        <f t="shared" si="305"/>
        <v>0</v>
      </c>
      <c r="BJ532" s="121">
        <f t="shared" si="306"/>
        <v>0</v>
      </c>
      <c r="BK532" s="121">
        <f t="shared" si="307"/>
        <v>0</v>
      </c>
      <c r="BL532" s="121">
        <f t="shared" si="308"/>
        <v>0</v>
      </c>
      <c r="BM532" s="121">
        <f t="shared" si="309"/>
        <v>0</v>
      </c>
      <c r="BN532" s="121">
        <f t="shared" si="310"/>
        <v>0</v>
      </c>
      <c r="BO532" s="121">
        <f t="shared" si="311"/>
        <v>0</v>
      </c>
      <c r="BP532" s="121">
        <f t="shared" si="312"/>
        <v>0</v>
      </c>
      <c r="BQ532" s="199">
        <f>INDEX('GDP deflators'!$C$6:$M$36,MATCH('Bottom-up tagging'!$D532,'GDP deflators'!$B$6:$B$36,),MATCH('Bottom-up tagging'!$E532,'GDP deflators'!$C$5:$L$5,))/100</f>
        <v>1.1819892587448428</v>
      </c>
      <c r="BR532" s="24">
        <v>33000</v>
      </c>
    </row>
    <row r="533" spans="2:70" ht="26.15" hidden="1" customHeight="1">
      <c r="B533" s="110" t="s">
        <v>1126</v>
      </c>
      <c r="C533" s="110" t="s">
        <v>1130</v>
      </c>
      <c r="D533" s="110" t="s">
        <v>3994</v>
      </c>
      <c r="E533" s="103">
        <v>2016</v>
      </c>
      <c r="F533" s="108" t="s">
        <v>7591</v>
      </c>
      <c r="G533" s="111" t="s">
        <v>124</v>
      </c>
      <c r="H533" s="110" t="s">
        <v>10451</v>
      </c>
      <c r="I533" s="112">
        <f>IF(Dashboard!$B$16="Current USD",'Bottom-up tagging'!BR533,'Bottom-up tagging'!BR533/'Bottom-up tagging'!BQ533)</f>
        <v>24204.670607032484</v>
      </c>
      <c r="J533" s="118" t="s">
        <v>10474</v>
      </c>
      <c r="K533" s="112"/>
      <c r="L533" s="135">
        <v>1</v>
      </c>
      <c r="M533" s="135">
        <v>1</v>
      </c>
      <c r="N533" s="112"/>
      <c r="O533" s="112"/>
      <c r="P533" s="112" t="str">
        <f>VLOOKUP(B533, 'Companies covered restructured'!$B$7:$K$470, 9, FALSE)</f>
        <v>Farmer engagement platforms (including marketplaces and information platforms)</v>
      </c>
      <c r="Q533" s="112" t="str">
        <f>VLOOKUP(B533, 'Companies covered restructured'!$B$7:$K$470, 6, FALSE)</f>
        <v>#Crops(100)</v>
      </c>
      <c r="R533" s="112" t="str">
        <f t="shared" si="284"/>
        <v>#Angel Investor(100)</v>
      </c>
      <c r="S533" s="112" t="s">
        <v>11003</v>
      </c>
      <c r="T533" s="112" t="s">
        <v>10466</v>
      </c>
      <c r="U533" s="103" t="s">
        <v>10970</v>
      </c>
      <c r="V533" s="112" t="str">
        <f>VLOOKUP(P533, 'Bottom-up Tagging Assumptions'!$B$12:$F$39, 5, FALSE)</f>
        <v>#Process Innovation(100)</v>
      </c>
      <c r="W533" s="112" t="str">
        <f>VLOOKUP(B533, 'Companies covered restructured'!$B$7:$K$470, 7, FALSE)</f>
        <v>#Farm/Household(100)</v>
      </c>
      <c r="X533" s="112" t="s">
        <v>10558</v>
      </c>
      <c r="Y533" s="212" t="str">
        <f>VLOOKUP(P533, 'Bottom-up Tagging Assumptions'!$B$12:$C$56, 2, FALSE)</f>
        <v>#Other Economic(P); #Productivity(S)</v>
      </c>
      <c r="Z533" s="112" t="str">
        <f>VLOOKUP(P533, 'Bottom-up Tagging Assumptions'!$B$12:$F$56, 3, FALSE)</f>
        <v>#Improve price realization(P); #Increasing crop or animal yield(S)</v>
      </c>
      <c r="AA533" s="112" t="str">
        <f>VLOOKUP(P533, 'Bottom-up Tagging Assumptions'!$B$12:$F$56, 4, FALSE)</f>
        <v>#Level 4(100)</v>
      </c>
      <c r="AB533" s="110"/>
      <c r="AC533" s="110" t="s">
        <v>2375</v>
      </c>
      <c r="AD533" s="110" t="s">
        <v>2376</v>
      </c>
      <c r="AE533" s="110" t="s">
        <v>3127</v>
      </c>
      <c r="AF533" s="112"/>
      <c r="AG533" s="110" t="s">
        <v>435</v>
      </c>
      <c r="AH533" s="121">
        <f t="shared" si="285"/>
        <v>0</v>
      </c>
      <c r="AI533" s="121">
        <f t="shared" si="286"/>
        <v>1</v>
      </c>
      <c r="AJ533" s="121">
        <f t="shared" si="287"/>
        <v>1</v>
      </c>
      <c r="AK533" s="121">
        <f t="shared" si="288"/>
        <v>0</v>
      </c>
      <c r="AL533" s="121">
        <f t="shared" si="289"/>
        <v>0</v>
      </c>
      <c r="AM533" s="121">
        <f t="shared" si="290"/>
        <v>0</v>
      </c>
      <c r="AN533" s="121">
        <f t="shared" si="291"/>
        <v>0</v>
      </c>
      <c r="AO533" s="121">
        <f t="shared" si="292"/>
        <v>0</v>
      </c>
      <c r="AP533" s="22">
        <f t="shared" si="293"/>
        <v>0</v>
      </c>
      <c r="AQ533" s="22">
        <f t="shared" si="294"/>
        <v>0</v>
      </c>
      <c r="AR533" s="22">
        <f t="shared" si="295"/>
        <v>0</v>
      </c>
      <c r="AS533" s="121" t="str">
        <f t="shared" si="296"/>
        <v>Crops</v>
      </c>
      <c r="AT533" s="121" t="str">
        <f t="shared" si="313"/>
        <v xml:space="preserve"> </v>
      </c>
      <c r="AU533" s="121" t="str">
        <f t="shared" si="313"/>
        <v xml:space="preserve"> </v>
      </c>
      <c r="AV533" s="121" t="str">
        <f t="shared" si="313"/>
        <v xml:space="preserve"> </v>
      </c>
      <c r="AW533" s="130" t="str">
        <f t="shared" si="314"/>
        <v>100</v>
      </c>
      <c r="AX533" s="130" t="str">
        <f t="shared" si="314"/>
        <v xml:space="preserve"> </v>
      </c>
      <c r="AY533" s="130" t="str">
        <f t="shared" si="314"/>
        <v xml:space="preserve"> </v>
      </c>
      <c r="AZ533" s="130" t="str">
        <f t="shared" si="314"/>
        <v xml:space="preserve"> </v>
      </c>
      <c r="BA533" s="121">
        <f t="shared" si="297"/>
        <v>24204.670607032484</v>
      </c>
      <c r="BB533" s="121">
        <f t="shared" si="298"/>
        <v>0</v>
      </c>
      <c r="BC533" s="121">
        <f t="shared" si="299"/>
        <v>0</v>
      </c>
      <c r="BD533" s="121">
        <f t="shared" si="300"/>
        <v>0</v>
      </c>
      <c r="BE533" s="121">
        <f t="shared" si="301"/>
        <v>0</v>
      </c>
      <c r="BF533" s="121">
        <f t="shared" si="302"/>
        <v>0</v>
      </c>
      <c r="BG533" s="121">
        <f t="shared" si="303"/>
        <v>0</v>
      </c>
      <c r="BH533" s="121">
        <f t="shared" si="304"/>
        <v>0</v>
      </c>
      <c r="BI533" s="121">
        <f t="shared" si="305"/>
        <v>0</v>
      </c>
      <c r="BJ533" s="121">
        <f t="shared" si="306"/>
        <v>0</v>
      </c>
      <c r="BK533" s="121">
        <f t="shared" si="307"/>
        <v>0</v>
      </c>
      <c r="BL533" s="121">
        <f t="shared" si="308"/>
        <v>0</v>
      </c>
      <c r="BM533" s="121">
        <f t="shared" si="309"/>
        <v>0</v>
      </c>
      <c r="BN533" s="121">
        <f t="shared" si="310"/>
        <v>0</v>
      </c>
      <c r="BO533" s="121">
        <f t="shared" si="311"/>
        <v>0</v>
      </c>
      <c r="BP533" s="121">
        <f t="shared" si="312"/>
        <v>0</v>
      </c>
      <c r="BQ533" s="199">
        <f>INDEX('GDP deflators'!$C$6:$M$36,MATCH('Bottom-up tagging'!$D533,'GDP deflators'!$B$6:$B$36,),MATCH('Bottom-up tagging'!$E533,'GDP deflators'!$C$5:$L$5,))/100</f>
        <v>1.3597375702538033</v>
      </c>
      <c r="BR533" s="24">
        <v>32912</v>
      </c>
    </row>
    <row r="534" spans="2:70" ht="26.15" hidden="1" customHeight="1">
      <c r="B534" s="110" t="s">
        <v>125</v>
      </c>
      <c r="C534" s="110" t="s">
        <v>129</v>
      </c>
      <c r="D534" s="110" t="s">
        <v>3994</v>
      </c>
      <c r="E534" s="103">
        <v>2017</v>
      </c>
      <c r="F534" s="108" t="s">
        <v>5660</v>
      </c>
      <c r="G534" s="111" t="s">
        <v>34</v>
      </c>
      <c r="H534" s="110" t="s">
        <v>10451</v>
      </c>
      <c r="I534" s="112">
        <f>IF(Dashboard!$B$16="Current USD",'Bottom-up tagging'!BR534,'Bottom-up tagging'!BR534/'Bottom-up tagging'!BQ534)</f>
        <v>23064.115863917919</v>
      </c>
      <c r="J534" s="105" t="s">
        <v>10474</v>
      </c>
      <c r="K534" s="112"/>
      <c r="L534" s="135">
        <v>1</v>
      </c>
      <c r="M534" s="135">
        <v>1</v>
      </c>
      <c r="N534" s="112"/>
      <c r="O534" s="112"/>
      <c r="P534" s="112" t="str">
        <f>VLOOKUP(B534, 'Companies covered restructured'!$B$7:$K$470, 9, FALSE)</f>
        <v>Agri marketplaces</v>
      </c>
      <c r="Q534" s="112" t="str">
        <f>VLOOKUP(B534, 'Companies covered restructured'!$B$7:$K$470, 6, FALSE)</f>
        <v>#Crops(100)</v>
      </c>
      <c r="R534" s="112" t="str">
        <f t="shared" si="284"/>
        <v>#Corporate(100)</v>
      </c>
      <c r="S534" s="112" t="s">
        <v>11003</v>
      </c>
      <c r="T534" s="112" t="s">
        <v>10466</v>
      </c>
      <c r="U534" s="103" t="s">
        <v>10970</v>
      </c>
      <c r="V534" s="112" t="str">
        <f>VLOOKUP(P534, 'Bottom-up Tagging Assumptions'!$B$12:$F$39, 5, FALSE)</f>
        <v>#Process Innovation(100)</v>
      </c>
      <c r="W534" s="112" t="str">
        <f>VLOOKUP(B534, 'Companies covered restructured'!$B$7:$K$470, 7, FALSE)</f>
        <v>#Farm/Household(100)</v>
      </c>
      <c r="X534" s="112" t="s">
        <v>10558</v>
      </c>
      <c r="Y534" s="212" t="str">
        <f>VLOOKUP(P534, 'Bottom-up Tagging Assumptions'!$B$12:$C$56, 2, FALSE)</f>
        <v>#Other Economic(P); Social(S)</v>
      </c>
      <c r="Z534" s="112" t="str">
        <f>VLOOKUP(P534, 'Bottom-up Tagging Assumptions'!$B$12:$F$56, 3, FALSE)</f>
        <v>#Improve price realization(P)</v>
      </c>
      <c r="AA534" s="112" t="str">
        <f>VLOOKUP(P534, 'Bottom-up Tagging Assumptions'!$B$12:$F$56, 4, FALSE)</f>
        <v>#Level 4(100)</v>
      </c>
      <c r="AB534" s="110" t="s">
        <v>1944</v>
      </c>
      <c r="AC534" s="110"/>
      <c r="AD534" s="110" t="s">
        <v>1945</v>
      </c>
      <c r="AE534" s="110" t="str">
        <f>VLOOKUP(AD534,  '1.2'!$B$7:$C$2033, 2, FALSE)</f>
        <v>CORPORATE_INVESTOR</v>
      </c>
      <c r="AF534" s="112">
        <v>2740519</v>
      </c>
      <c r="AG534" s="110" t="s">
        <v>752</v>
      </c>
      <c r="AH534" s="121">
        <f t="shared" si="285"/>
        <v>0</v>
      </c>
      <c r="AI534" s="121">
        <f t="shared" si="286"/>
        <v>0</v>
      </c>
      <c r="AJ534" s="121">
        <f t="shared" si="287"/>
        <v>1</v>
      </c>
      <c r="AK534" s="121">
        <f t="shared" si="288"/>
        <v>1</v>
      </c>
      <c r="AL534" s="121">
        <f t="shared" si="289"/>
        <v>0</v>
      </c>
      <c r="AM534" s="121">
        <f t="shared" si="290"/>
        <v>0</v>
      </c>
      <c r="AN534" s="121">
        <f t="shared" si="291"/>
        <v>1</v>
      </c>
      <c r="AO534" s="121">
        <f t="shared" si="292"/>
        <v>0</v>
      </c>
      <c r="AP534" s="22">
        <f t="shared" si="293"/>
        <v>0</v>
      </c>
      <c r="AQ534" s="22">
        <f t="shared" si="294"/>
        <v>23064.115863917919</v>
      </c>
      <c r="AR534" s="22">
        <f t="shared" si="295"/>
        <v>0</v>
      </c>
      <c r="AS534" s="121" t="str">
        <f t="shared" si="296"/>
        <v>Crops</v>
      </c>
      <c r="AT534" s="121" t="str">
        <f t="shared" si="313"/>
        <v xml:space="preserve"> </v>
      </c>
      <c r="AU534" s="121" t="str">
        <f t="shared" si="313"/>
        <v xml:space="preserve"> </v>
      </c>
      <c r="AV534" s="121" t="str">
        <f t="shared" si="313"/>
        <v xml:space="preserve"> </v>
      </c>
      <c r="AW534" s="130" t="str">
        <f t="shared" si="314"/>
        <v>100</v>
      </c>
      <c r="AX534" s="130" t="str">
        <f t="shared" si="314"/>
        <v xml:space="preserve"> </v>
      </c>
      <c r="AY534" s="130" t="str">
        <f t="shared" si="314"/>
        <v xml:space="preserve"> </v>
      </c>
      <c r="AZ534" s="130" t="str">
        <f t="shared" si="314"/>
        <v xml:space="preserve"> </v>
      </c>
      <c r="BA534" s="121">
        <f t="shared" si="297"/>
        <v>23064.115863917916</v>
      </c>
      <c r="BB534" s="121">
        <f t="shared" si="298"/>
        <v>0</v>
      </c>
      <c r="BC534" s="121">
        <f t="shared" si="299"/>
        <v>0</v>
      </c>
      <c r="BD534" s="121">
        <f t="shared" si="300"/>
        <v>0</v>
      </c>
      <c r="BE534" s="121">
        <f t="shared" si="301"/>
        <v>0</v>
      </c>
      <c r="BF534" s="121">
        <f t="shared" si="302"/>
        <v>0</v>
      </c>
      <c r="BG534" s="121">
        <f t="shared" si="303"/>
        <v>0</v>
      </c>
      <c r="BH534" s="121">
        <f t="shared" si="304"/>
        <v>0</v>
      </c>
      <c r="BI534" s="121">
        <f t="shared" si="305"/>
        <v>23064.115863917916</v>
      </c>
      <c r="BJ534" s="121">
        <f t="shared" si="306"/>
        <v>23064.115863917919</v>
      </c>
      <c r="BK534" s="121">
        <f t="shared" si="307"/>
        <v>23064.115863917919</v>
      </c>
      <c r="BL534" s="121">
        <f t="shared" si="308"/>
        <v>23064.115863917919</v>
      </c>
      <c r="BM534" s="121">
        <f t="shared" si="309"/>
        <v>0</v>
      </c>
      <c r="BN534" s="121">
        <f t="shared" si="310"/>
        <v>0</v>
      </c>
      <c r="BO534" s="121">
        <f t="shared" si="311"/>
        <v>0</v>
      </c>
      <c r="BP534" s="121">
        <f t="shared" si="312"/>
        <v>0</v>
      </c>
      <c r="BQ534" s="199">
        <f>INDEX('GDP deflators'!$C$6:$M$36,MATCH('Bottom-up tagging'!$D534,'GDP deflators'!$B$6:$B$36,),MATCH('Bottom-up tagging'!$E534,'GDP deflators'!$C$5:$L$5,))/100</f>
        <v>1.4111098032990623</v>
      </c>
      <c r="BR534" s="24">
        <v>32546</v>
      </c>
    </row>
    <row r="535" spans="2:70" ht="26.15" hidden="1" customHeight="1">
      <c r="B535" s="110" t="s">
        <v>1876</v>
      </c>
      <c r="C535" s="110" t="s">
        <v>942</v>
      </c>
      <c r="D535" s="110" t="s">
        <v>5333</v>
      </c>
      <c r="E535" s="103">
        <v>2017</v>
      </c>
      <c r="F535" s="108" t="s">
        <v>7371</v>
      </c>
      <c r="G535" s="111" t="s">
        <v>184</v>
      </c>
      <c r="H535" s="110" t="s">
        <v>10451</v>
      </c>
      <c r="I535" s="112">
        <f>IF(Dashboard!$B$16="Current USD",'Bottom-up tagging'!BR535,'Bottom-up tagging'!BR535/'Bottom-up tagging'!BQ535)</f>
        <v>5065.9947052212174</v>
      </c>
      <c r="J535" s="105" t="s">
        <v>10474</v>
      </c>
      <c r="K535" s="112"/>
      <c r="L535" s="135">
        <v>1</v>
      </c>
      <c r="M535" s="135">
        <v>1</v>
      </c>
      <c r="N535" s="112"/>
      <c r="O535" s="112"/>
      <c r="P535" s="112" t="str">
        <f>VLOOKUP(B535, 'Companies covered restructured'!$B$7:$K$470, 9, FALSE)</f>
        <v>Animal and fish monitoring systems</v>
      </c>
      <c r="Q535" s="112" t="str">
        <f>VLOOKUP(B535, 'Companies covered restructured'!$B$7:$K$470, 6, FALSE)</f>
        <v>#Livestock(100)</v>
      </c>
      <c r="R535" s="112" t="str">
        <f t="shared" si="284"/>
        <v>N/A</v>
      </c>
      <c r="S535" s="112" t="s">
        <v>11003</v>
      </c>
      <c r="T535" s="112" t="s">
        <v>10465</v>
      </c>
      <c r="U535" s="103" t="s">
        <v>10970</v>
      </c>
      <c r="V535" s="112" t="str">
        <f>VLOOKUP(P535, 'Bottom-up Tagging Assumptions'!$B$12:$F$39, 5, FALSE)</f>
        <v>#Product Development(100)</v>
      </c>
      <c r="W535" s="112" t="str">
        <f>VLOOKUP(B535, 'Companies covered restructured'!$B$7:$K$470, 7, FALSE)</f>
        <v>#Field/Animal Herd(100)</v>
      </c>
      <c r="X535" s="112" t="s">
        <v>10558</v>
      </c>
      <c r="Y535" s="212" t="str">
        <f>VLOOKUP(P535, 'Bottom-up Tagging Assumptions'!$B$12:$C$56, 2, FALSE)</f>
        <v>#Productivity(P); Other economic(S)</v>
      </c>
      <c r="Z535" s="112" t="str">
        <f>VLOOKUP(P535, 'Bottom-up Tagging Assumptions'!$B$12:$F$56, 3, FALSE)</f>
        <v>#Increasing crop or animal yield(P)</v>
      </c>
      <c r="AA535" s="112" t="str">
        <f>VLOOKUP(P535, 'Bottom-up Tagging Assumptions'!$B$12:$F$56, 4, FALSE)</f>
        <v>#Level 2(100)</v>
      </c>
      <c r="AB535" s="110" t="s">
        <v>1020</v>
      </c>
      <c r="AC535" s="110"/>
      <c r="AD535" s="110"/>
      <c r="AE535" s="110" t="s">
        <v>10558</v>
      </c>
      <c r="AF535" s="112"/>
      <c r="AG535" s="110" t="s">
        <v>1879</v>
      </c>
      <c r="AH535" s="121">
        <f t="shared" si="285"/>
        <v>0</v>
      </c>
      <c r="AI535" s="121">
        <f t="shared" si="286"/>
        <v>1</v>
      </c>
      <c r="AJ535" s="121">
        <f t="shared" si="287"/>
        <v>1</v>
      </c>
      <c r="AK535" s="121">
        <f t="shared" si="288"/>
        <v>0</v>
      </c>
      <c r="AL535" s="121">
        <f t="shared" si="289"/>
        <v>0</v>
      </c>
      <c r="AM535" s="121">
        <f t="shared" si="290"/>
        <v>0</v>
      </c>
      <c r="AN535" s="121">
        <f t="shared" si="291"/>
        <v>0</v>
      </c>
      <c r="AO535" s="121">
        <f t="shared" si="292"/>
        <v>0</v>
      </c>
      <c r="AP535" s="22">
        <f t="shared" si="293"/>
        <v>0</v>
      </c>
      <c r="AQ535" s="22">
        <f t="shared" si="294"/>
        <v>0</v>
      </c>
      <c r="AR535" s="22">
        <f t="shared" si="295"/>
        <v>0</v>
      </c>
      <c r="AS535" s="121" t="str">
        <f t="shared" si="296"/>
        <v>Livestock</v>
      </c>
      <c r="AT535" s="121" t="str">
        <f t="shared" si="313"/>
        <v xml:space="preserve"> </v>
      </c>
      <c r="AU535" s="121" t="str">
        <f t="shared" si="313"/>
        <v xml:space="preserve"> </v>
      </c>
      <c r="AV535" s="121" t="str">
        <f t="shared" si="313"/>
        <v xml:space="preserve"> </v>
      </c>
      <c r="AW535" s="130" t="str">
        <f t="shared" si="314"/>
        <v>100</v>
      </c>
      <c r="AX535" s="130" t="str">
        <f t="shared" si="314"/>
        <v xml:space="preserve"> </v>
      </c>
      <c r="AY535" s="130" t="str">
        <f t="shared" si="314"/>
        <v xml:space="preserve"> </v>
      </c>
      <c r="AZ535" s="130" t="str">
        <f t="shared" si="314"/>
        <v xml:space="preserve"> </v>
      </c>
      <c r="BA535" s="121">
        <f t="shared" si="297"/>
        <v>5065.9947052212174</v>
      </c>
      <c r="BB535" s="121">
        <f t="shared" si="298"/>
        <v>0</v>
      </c>
      <c r="BC535" s="121">
        <f t="shared" si="299"/>
        <v>0</v>
      </c>
      <c r="BD535" s="121">
        <f t="shared" si="300"/>
        <v>0</v>
      </c>
      <c r="BE535" s="121">
        <f t="shared" si="301"/>
        <v>0</v>
      </c>
      <c r="BF535" s="121">
        <f t="shared" si="302"/>
        <v>0</v>
      </c>
      <c r="BG535" s="121">
        <f t="shared" si="303"/>
        <v>0</v>
      </c>
      <c r="BH535" s="121">
        <f t="shared" si="304"/>
        <v>0</v>
      </c>
      <c r="BI535" s="121">
        <f t="shared" si="305"/>
        <v>0</v>
      </c>
      <c r="BJ535" s="121">
        <f t="shared" si="306"/>
        <v>0</v>
      </c>
      <c r="BK535" s="121">
        <f t="shared" si="307"/>
        <v>0</v>
      </c>
      <c r="BL535" s="121">
        <f t="shared" si="308"/>
        <v>0</v>
      </c>
      <c r="BM535" s="121">
        <f t="shared" si="309"/>
        <v>0</v>
      </c>
      <c r="BN535" s="121">
        <f t="shared" si="310"/>
        <v>0</v>
      </c>
      <c r="BO535" s="121">
        <f t="shared" si="311"/>
        <v>0</v>
      </c>
      <c r="BP535" s="121">
        <f t="shared" si="312"/>
        <v>0</v>
      </c>
      <c r="BQ535" s="199">
        <f>INDEX('GDP deflators'!$C$6:$M$36,MATCH('Bottom-up tagging'!$D535,'GDP deflators'!$B$6:$B$36,),MATCH('Bottom-up tagging'!$E535,'GDP deflators'!$C$5:$L$5,))/100</f>
        <v>5.9218380092424487</v>
      </c>
      <c r="BR535" s="24">
        <v>30000</v>
      </c>
    </row>
    <row r="536" spans="2:70" ht="26.15" hidden="1" customHeight="1">
      <c r="B536" s="110" t="s">
        <v>2107</v>
      </c>
      <c r="C536" s="110" t="s">
        <v>2109</v>
      </c>
      <c r="D536" s="110" t="s">
        <v>5333</v>
      </c>
      <c r="E536" s="103">
        <v>2017</v>
      </c>
      <c r="F536" s="108" t="s">
        <v>9165</v>
      </c>
      <c r="G536" s="111" t="s">
        <v>184</v>
      </c>
      <c r="H536" s="110" t="s">
        <v>10451</v>
      </c>
      <c r="I536" s="112">
        <f>IF(Dashboard!$B$16="Current USD",'Bottom-up tagging'!BR536,'Bottom-up tagging'!BR536/'Bottom-up tagging'!BQ536)</f>
        <v>5065.9947052212174</v>
      </c>
      <c r="J536" s="105" t="s">
        <v>10474</v>
      </c>
      <c r="K536" s="112"/>
      <c r="L536" s="135">
        <v>1</v>
      </c>
      <c r="M536" s="135">
        <v>1</v>
      </c>
      <c r="N536" s="112"/>
      <c r="O536" s="112"/>
      <c r="P536" s="112" t="str">
        <f>VLOOKUP(B536, 'Companies covered restructured'!$B$7:$K$470, 9, FALSE)</f>
        <v xml:space="preserve">Agriculture financing systems </v>
      </c>
      <c r="Q536" s="112" t="str">
        <f>VLOOKUP(B536, 'Companies covered restructured'!$B$7:$K$470, 6, FALSE)</f>
        <v>#Crops(050); #Livestock(050)</v>
      </c>
      <c r="R536" s="112" t="str">
        <f t="shared" si="284"/>
        <v>N/A</v>
      </c>
      <c r="S536" s="112" t="s">
        <v>11003</v>
      </c>
      <c r="T536" s="112" t="s">
        <v>10465</v>
      </c>
      <c r="U536" s="103" t="s">
        <v>10970</v>
      </c>
      <c r="V536" s="112" t="str">
        <f>VLOOKUP(P536, 'Bottom-up Tagging Assumptions'!$B$12:$F$39, 5, FALSE)</f>
        <v>#Process Innovation(100)</v>
      </c>
      <c r="W536" s="112" t="str">
        <f>VLOOKUP(B536, 'Companies covered restructured'!$B$7:$K$470, 7, FALSE)</f>
        <v>N/A</v>
      </c>
      <c r="X536" s="112" t="str">
        <f>VLOOKUP(B536, 'Companies covered restructured'!$B$7:$K$470, 8, FALSE)</f>
        <v>N/A</v>
      </c>
      <c r="Y536" s="212" t="str">
        <f>VLOOKUP(P536, 'Bottom-up Tagging Assumptions'!$B$12:$C$56, 2, FALSE)</f>
        <v>#Other Economic(P); Social(S)</v>
      </c>
      <c r="Z536" s="112" t="str">
        <f>VLOOKUP(P536, 'Bottom-up Tagging Assumptions'!$B$12:$F$56, 3, FALSE)</f>
        <v>NA</v>
      </c>
      <c r="AA536" s="112" t="str">
        <f>VLOOKUP(P536, 'Bottom-up Tagging Assumptions'!$B$12:$F$56, 4, FALSE)</f>
        <v>#Level 1(100)</v>
      </c>
      <c r="AB536" s="110" t="s">
        <v>1020</v>
      </c>
      <c r="AC536" s="110"/>
      <c r="AD536" s="110"/>
      <c r="AE536" s="110" t="s">
        <v>10558</v>
      </c>
      <c r="AF536" s="112"/>
      <c r="AG536" s="110" t="s">
        <v>2110</v>
      </c>
      <c r="AH536" s="121">
        <f t="shared" si="285"/>
        <v>0</v>
      </c>
      <c r="AI536" s="121">
        <f t="shared" si="286"/>
        <v>0</v>
      </c>
      <c r="AJ536" s="121">
        <f t="shared" si="287"/>
        <v>1</v>
      </c>
      <c r="AK536" s="121">
        <f t="shared" si="288"/>
        <v>1</v>
      </c>
      <c r="AL536" s="121">
        <f t="shared" si="289"/>
        <v>0</v>
      </c>
      <c r="AM536" s="121">
        <f t="shared" si="290"/>
        <v>0</v>
      </c>
      <c r="AN536" s="121">
        <f t="shared" si="291"/>
        <v>1</v>
      </c>
      <c r="AO536" s="121">
        <f t="shared" si="292"/>
        <v>0</v>
      </c>
      <c r="AP536" s="22">
        <f t="shared" si="293"/>
        <v>0</v>
      </c>
      <c r="AQ536" s="22">
        <f t="shared" si="294"/>
        <v>5065.9947052212174</v>
      </c>
      <c r="AR536" s="22">
        <f t="shared" si="295"/>
        <v>0</v>
      </c>
      <c r="AS536" s="121" t="str">
        <f t="shared" si="296"/>
        <v>Crops</v>
      </c>
      <c r="AT536" s="121" t="str">
        <f t="shared" si="313"/>
        <v>Livestock</v>
      </c>
      <c r="AU536" s="121" t="str">
        <f t="shared" si="313"/>
        <v xml:space="preserve"> </v>
      </c>
      <c r="AV536" s="121" t="str">
        <f t="shared" si="313"/>
        <v xml:space="preserve"> </v>
      </c>
      <c r="AW536" s="130" t="str">
        <f t="shared" si="314"/>
        <v>050</v>
      </c>
      <c r="AX536" s="130" t="str">
        <f t="shared" si="314"/>
        <v>050</v>
      </c>
      <c r="AY536" s="130" t="str">
        <f t="shared" si="314"/>
        <v xml:space="preserve"> </v>
      </c>
      <c r="AZ536" s="130" t="str">
        <f t="shared" si="314"/>
        <v xml:space="preserve"> </v>
      </c>
      <c r="BA536" s="121">
        <f t="shared" si="297"/>
        <v>2532.9973526106087</v>
      </c>
      <c r="BB536" s="121">
        <f t="shared" si="298"/>
        <v>2532.9973526106087</v>
      </c>
      <c r="BC536" s="121">
        <f t="shared" si="299"/>
        <v>0</v>
      </c>
      <c r="BD536" s="121">
        <f t="shared" si="300"/>
        <v>0</v>
      </c>
      <c r="BE536" s="121">
        <f t="shared" si="301"/>
        <v>0</v>
      </c>
      <c r="BF536" s="121">
        <f t="shared" si="302"/>
        <v>0</v>
      </c>
      <c r="BG536" s="121">
        <f t="shared" si="303"/>
        <v>0</v>
      </c>
      <c r="BH536" s="121">
        <f t="shared" si="304"/>
        <v>0</v>
      </c>
      <c r="BI536" s="121">
        <f t="shared" si="305"/>
        <v>2532.9973526106087</v>
      </c>
      <c r="BJ536" s="121">
        <f t="shared" si="306"/>
        <v>2532.9973526106087</v>
      </c>
      <c r="BK536" s="121">
        <f t="shared" si="307"/>
        <v>5065.9947052212174</v>
      </c>
      <c r="BL536" s="121">
        <f t="shared" si="308"/>
        <v>5065.9947052212174</v>
      </c>
      <c r="BM536" s="121">
        <f t="shared" si="309"/>
        <v>0</v>
      </c>
      <c r="BN536" s="121">
        <f t="shared" si="310"/>
        <v>0</v>
      </c>
      <c r="BO536" s="121">
        <f t="shared" si="311"/>
        <v>0</v>
      </c>
      <c r="BP536" s="121">
        <f t="shared" si="312"/>
        <v>0</v>
      </c>
      <c r="BQ536" s="199">
        <f>INDEX('GDP deflators'!$C$6:$M$36,MATCH('Bottom-up tagging'!$D536,'GDP deflators'!$B$6:$B$36,),MATCH('Bottom-up tagging'!$E536,'GDP deflators'!$C$5:$L$5,))/100</f>
        <v>5.9218380092424487</v>
      </c>
      <c r="BR536" s="24">
        <v>30000</v>
      </c>
    </row>
    <row r="537" spans="2:70" ht="26.15" hidden="1" customHeight="1">
      <c r="B537" s="110" t="s">
        <v>2880</v>
      </c>
      <c r="C537" s="110" t="s">
        <v>2884</v>
      </c>
      <c r="D537" s="110" t="s">
        <v>9855</v>
      </c>
      <c r="E537" s="103">
        <v>2014</v>
      </c>
      <c r="F537" s="108" t="s">
        <v>9857</v>
      </c>
      <c r="G537" s="111" t="s">
        <v>184</v>
      </c>
      <c r="H537" s="110" t="s">
        <v>10451</v>
      </c>
      <c r="I537" s="112">
        <f>IF(Dashboard!$B$16="Current USD",'Bottom-up tagging'!BR537,'Bottom-up tagging'!BR537/'Bottom-up tagging'!BQ537)</f>
        <v>22949.636216874973</v>
      </c>
      <c r="J537" s="105" t="s">
        <v>10474</v>
      </c>
      <c r="K537" s="112"/>
      <c r="L537" s="135">
        <v>1</v>
      </c>
      <c r="M537" s="135">
        <v>1</v>
      </c>
      <c r="N537" s="112"/>
      <c r="O537" s="112"/>
      <c r="P537" s="112" t="str">
        <f>VLOOKUP(B537, 'Companies covered restructured'!$B$7:$K$470, 9, FALSE)</f>
        <v>Farmer engagement platforms (including marketplaces and information platforms)</v>
      </c>
      <c r="Q537" s="112" t="str">
        <f>VLOOKUP(B537, 'Companies covered restructured'!$B$7:$K$470, 6, FALSE)</f>
        <v>#Livestock(100)</v>
      </c>
      <c r="R537" s="112" t="str">
        <f t="shared" si="284"/>
        <v>N/A</v>
      </c>
      <c r="S537" s="112" t="s">
        <v>11003</v>
      </c>
      <c r="T537" s="112" t="s">
        <v>10465</v>
      </c>
      <c r="U537" s="103" t="s">
        <v>10970</v>
      </c>
      <c r="V537" s="112" t="str">
        <f>VLOOKUP(P537, 'Bottom-up Tagging Assumptions'!$B$12:$F$39, 5, FALSE)</f>
        <v>#Process Innovation(100)</v>
      </c>
      <c r="W537" s="112" t="str">
        <f>VLOOKUP(B537, 'Companies covered restructured'!$B$7:$K$470, 7, FALSE)</f>
        <v>N/A</v>
      </c>
      <c r="X537" s="112" t="str">
        <f>VLOOKUP(B537, 'Companies covered restructured'!$B$7:$K$470, 8, FALSE)</f>
        <v>N/A</v>
      </c>
      <c r="Y537" s="212" t="str">
        <f>VLOOKUP(P537, 'Bottom-up Tagging Assumptions'!$B$12:$C$56, 2, FALSE)</f>
        <v>#Other Economic(P); #Productivity(S)</v>
      </c>
      <c r="Z537" s="112" t="str">
        <f>VLOOKUP(P537, 'Bottom-up Tagging Assumptions'!$B$12:$F$56, 3, FALSE)</f>
        <v>#Improve price realization(P); #Increasing crop or animal yield(S)</v>
      </c>
      <c r="AA537" s="112" t="str">
        <f>VLOOKUP(P537, 'Bottom-up Tagging Assumptions'!$B$12:$F$56, 4, FALSE)</f>
        <v>#Level 4(100)</v>
      </c>
      <c r="AB537" s="110" t="s">
        <v>2882</v>
      </c>
      <c r="AC537" s="110"/>
      <c r="AD537" s="110"/>
      <c r="AE537" s="110" t="s">
        <v>10558</v>
      </c>
      <c r="AF537" s="112"/>
      <c r="AG537" s="110" t="s">
        <v>2885</v>
      </c>
      <c r="AH537" s="121">
        <f t="shared" si="285"/>
        <v>0</v>
      </c>
      <c r="AI537" s="121">
        <f t="shared" si="286"/>
        <v>1</v>
      </c>
      <c r="AJ537" s="121">
        <f t="shared" si="287"/>
        <v>1</v>
      </c>
      <c r="AK537" s="121">
        <f t="shared" si="288"/>
        <v>0</v>
      </c>
      <c r="AL537" s="121">
        <f t="shared" si="289"/>
        <v>0</v>
      </c>
      <c r="AM537" s="121">
        <f t="shared" si="290"/>
        <v>0</v>
      </c>
      <c r="AN537" s="121">
        <f t="shared" si="291"/>
        <v>0</v>
      </c>
      <c r="AO537" s="121">
        <f t="shared" si="292"/>
        <v>0</v>
      </c>
      <c r="AP537" s="22">
        <f t="shared" si="293"/>
        <v>0</v>
      </c>
      <c r="AQ537" s="22">
        <f t="shared" si="294"/>
        <v>0</v>
      </c>
      <c r="AR537" s="22">
        <f t="shared" si="295"/>
        <v>0</v>
      </c>
      <c r="AS537" s="121" t="str">
        <f t="shared" si="296"/>
        <v>Livestock</v>
      </c>
      <c r="AT537" s="121" t="str">
        <f t="shared" si="313"/>
        <v xml:space="preserve"> </v>
      </c>
      <c r="AU537" s="121" t="str">
        <f t="shared" si="313"/>
        <v xml:space="preserve"> </v>
      </c>
      <c r="AV537" s="121" t="str">
        <f t="shared" si="313"/>
        <v xml:space="preserve"> </v>
      </c>
      <c r="AW537" s="130" t="str">
        <f t="shared" si="314"/>
        <v>100</v>
      </c>
      <c r="AX537" s="130" t="str">
        <f t="shared" si="314"/>
        <v xml:space="preserve"> </v>
      </c>
      <c r="AY537" s="130" t="str">
        <f t="shared" si="314"/>
        <v xml:space="preserve"> </v>
      </c>
      <c r="AZ537" s="130" t="str">
        <f t="shared" si="314"/>
        <v xml:space="preserve"> </v>
      </c>
      <c r="BA537" s="121">
        <f t="shared" si="297"/>
        <v>22949.636216874977</v>
      </c>
      <c r="BB537" s="121">
        <f t="shared" si="298"/>
        <v>0</v>
      </c>
      <c r="BC537" s="121">
        <f t="shared" si="299"/>
        <v>0</v>
      </c>
      <c r="BD537" s="121">
        <f t="shared" si="300"/>
        <v>0</v>
      </c>
      <c r="BE537" s="121">
        <f t="shared" si="301"/>
        <v>0</v>
      </c>
      <c r="BF537" s="121">
        <f t="shared" si="302"/>
        <v>0</v>
      </c>
      <c r="BG537" s="121">
        <f t="shared" si="303"/>
        <v>0</v>
      </c>
      <c r="BH537" s="121">
        <f t="shared" si="304"/>
        <v>0</v>
      </c>
      <c r="BI537" s="121">
        <f t="shared" si="305"/>
        <v>0</v>
      </c>
      <c r="BJ537" s="121">
        <f t="shared" si="306"/>
        <v>0</v>
      </c>
      <c r="BK537" s="121">
        <f t="shared" si="307"/>
        <v>0</v>
      </c>
      <c r="BL537" s="121">
        <f t="shared" si="308"/>
        <v>0</v>
      </c>
      <c r="BM537" s="121">
        <f t="shared" si="309"/>
        <v>0</v>
      </c>
      <c r="BN537" s="121">
        <f t="shared" si="310"/>
        <v>0</v>
      </c>
      <c r="BO537" s="121">
        <f t="shared" si="311"/>
        <v>0</v>
      </c>
      <c r="BP537" s="121">
        <f t="shared" si="312"/>
        <v>0</v>
      </c>
      <c r="BQ537" s="199">
        <f>INDEX('GDP deflators'!$C$6:$M$36,MATCH('Bottom-up tagging'!$D537,'GDP deflators'!$B$6:$B$36,),MATCH('Bottom-up tagging'!$E537,'GDP deflators'!$C$5:$L$5,))/100</f>
        <v>1.3072102632259095</v>
      </c>
      <c r="BR537" s="24">
        <v>30000</v>
      </c>
    </row>
    <row r="538" spans="2:70" ht="26.15" hidden="1" customHeight="1">
      <c r="B538" s="110" t="s">
        <v>1873</v>
      </c>
      <c r="C538" s="110" t="s">
        <v>376</v>
      </c>
      <c r="D538" s="110" t="s">
        <v>1258</v>
      </c>
      <c r="E538" s="103">
        <v>2017</v>
      </c>
      <c r="F538" s="108" t="s">
        <v>5194</v>
      </c>
      <c r="G538" s="111" t="s">
        <v>184</v>
      </c>
      <c r="H538" s="110" t="s">
        <v>10451</v>
      </c>
      <c r="I538" s="112">
        <f>IF(Dashboard!$B$16="Current USD",'Bottom-up tagging'!BR538,'Bottom-up tagging'!BR538/'Bottom-up tagging'!BQ538)</f>
        <v>23186.207757183041</v>
      </c>
      <c r="J538" s="117" t="s">
        <v>10474</v>
      </c>
      <c r="K538" s="112"/>
      <c r="L538" s="135">
        <v>1</v>
      </c>
      <c r="M538" s="135">
        <v>1</v>
      </c>
      <c r="N538" s="112"/>
      <c r="O538" s="112"/>
      <c r="P538" s="112" t="str">
        <f>VLOOKUP(B538, 'Companies covered restructured'!$B$7:$K$470, 9, FALSE)</f>
        <v>Farmer engagement platforms (including marketplaces and information platforms)</v>
      </c>
      <c r="Q538" s="112" t="str">
        <f>VLOOKUP(B538, 'Companies covered restructured'!$B$7:$K$470, 6, FALSE)</f>
        <v>#Crops(100)</v>
      </c>
      <c r="R538" s="112" t="str">
        <f t="shared" si="284"/>
        <v>N/A</v>
      </c>
      <c r="S538" s="112" t="s">
        <v>11003</v>
      </c>
      <c r="T538" s="112" t="s">
        <v>10465</v>
      </c>
      <c r="U538" s="103" t="s">
        <v>10970</v>
      </c>
      <c r="V538" s="112" t="str">
        <f>VLOOKUP(P538, 'Bottom-up Tagging Assumptions'!$B$12:$F$39, 5, FALSE)</f>
        <v>#Process Innovation(100)</v>
      </c>
      <c r="W538" s="112" t="str">
        <f>VLOOKUP(B538, 'Companies covered restructured'!$B$7:$K$470, 7, FALSE)</f>
        <v>#Field/Animal Herd(100)</v>
      </c>
      <c r="X538" s="112" t="s">
        <v>10558</v>
      </c>
      <c r="Y538" s="212" t="str">
        <f>VLOOKUP(P538, 'Bottom-up Tagging Assumptions'!$B$12:$C$56, 2, FALSE)</f>
        <v>#Other Economic(P); #Productivity(S)</v>
      </c>
      <c r="Z538" s="112" t="str">
        <f>VLOOKUP(P538, 'Bottom-up Tagging Assumptions'!$B$12:$F$56, 3, FALSE)</f>
        <v>#Improve price realization(P); #Increasing crop or animal yield(S)</v>
      </c>
      <c r="AA538" s="112" t="str">
        <f>VLOOKUP(P538, 'Bottom-up Tagging Assumptions'!$B$12:$F$56, 4, FALSE)</f>
        <v>#Level 4(100)</v>
      </c>
      <c r="AB538" s="110" t="s">
        <v>1020</v>
      </c>
      <c r="AC538" s="110"/>
      <c r="AD538" s="110"/>
      <c r="AE538" s="110" t="s">
        <v>10558</v>
      </c>
      <c r="AF538" s="112">
        <v>19009146</v>
      </c>
      <c r="AG538" s="110" t="s">
        <v>307</v>
      </c>
      <c r="AH538" s="121">
        <f t="shared" si="285"/>
        <v>0</v>
      </c>
      <c r="AI538" s="121">
        <f t="shared" si="286"/>
        <v>1</v>
      </c>
      <c r="AJ538" s="121">
        <f t="shared" si="287"/>
        <v>1</v>
      </c>
      <c r="AK538" s="121">
        <f t="shared" si="288"/>
        <v>0</v>
      </c>
      <c r="AL538" s="121">
        <f t="shared" si="289"/>
        <v>0</v>
      </c>
      <c r="AM538" s="121">
        <f t="shared" si="290"/>
        <v>0</v>
      </c>
      <c r="AN538" s="121">
        <f t="shared" si="291"/>
        <v>0</v>
      </c>
      <c r="AO538" s="121">
        <f t="shared" si="292"/>
        <v>0</v>
      </c>
      <c r="AP538" s="22">
        <f t="shared" si="293"/>
        <v>0</v>
      </c>
      <c r="AQ538" s="22">
        <f t="shared" si="294"/>
        <v>0</v>
      </c>
      <c r="AR538" s="22">
        <f t="shared" si="295"/>
        <v>0</v>
      </c>
      <c r="AS538" s="121" t="str">
        <f t="shared" si="296"/>
        <v>Crops</v>
      </c>
      <c r="AT538" s="121" t="str">
        <f t="shared" si="313"/>
        <v xml:space="preserve"> </v>
      </c>
      <c r="AU538" s="121" t="str">
        <f t="shared" si="313"/>
        <v xml:space="preserve"> </v>
      </c>
      <c r="AV538" s="121" t="str">
        <f t="shared" si="313"/>
        <v xml:space="preserve"> </v>
      </c>
      <c r="AW538" s="130" t="str">
        <f t="shared" si="314"/>
        <v>100</v>
      </c>
      <c r="AX538" s="130" t="str">
        <f t="shared" si="314"/>
        <v xml:space="preserve"> </v>
      </c>
      <c r="AY538" s="130" t="str">
        <f t="shared" si="314"/>
        <v xml:space="preserve"> </v>
      </c>
      <c r="AZ538" s="130" t="str">
        <f t="shared" si="314"/>
        <v xml:space="preserve"> </v>
      </c>
      <c r="BA538" s="121">
        <f t="shared" si="297"/>
        <v>23186.207757183045</v>
      </c>
      <c r="BB538" s="121">
        <f t="shared" si="298"/>
        <v>0</v>
      </c>
      <c r="BC538" s="121">
        <f t="shared" si="299"/>
        <v>0</v>
      </c>
      <c r="BD538" s="121">
        <f t="shared" si="300"/>
        <v>0</v>
      </c>
      <c r="BE538" s="121">
        <f t="shared" si="301"/>
        <v>0</v>
      </c>
      <c r="BF538" s="121">
        <f t="shared" si="302"/>
        <v>0</v>
      </c>
      <c r="BG538" s="121">
        <f t="shared" si="303"/>
        <v>0</v>
      </c>
      <c r="BH538" s="121">
        <f t="shared" si="304"/>
        <v>0</v>
      </c>
      <c r="BI538" s="121">
        <f t="shared" si="305"/>
        <v>0</v>
      </c>
      <c r="BJ538" s="121">
        <f t="shared" si="306"/>
        <v>0</v>
      </c>
      <c r="BK538" s="121">
        <f t="shared" si="307"/>
        <v>0</v>
      </c>
      <c r="BL538" s="121">
        <f t="shared" si="308"/>
        <v>0</v>
      </c>
      <c r="BM538" s="121">
        <f t="shared" si="309"/>
        <v>0</v>
      </c>
      <c r="BN538" s="121">
        <f t="shared" si="310"/>
        <v>0</v>
      </c>
      <c r="BO538" s="121">
        <f t="shared" si="311"/>
        <v>0</v>
      </c>
      <c r="BP538" s="121">
        <f t="shared" si="312"/>
        <v>0</v>
      </c>
      <c r="BQ538" s="199">
        <f>INDEX('GDP deflators'!$C$6:$M$36,MATCH('Bottom-up tagging'!$D538,'GDP deflators'!$B$6:$B$36,),MATCH('Bottom-up tagging'!$E538,'GDP deflators'!$C$5:$L$5,))/100</f>
        <v>1.2938726467982269</v>
      </c>
      <c r="BR538" s="24">
        <v>30000</v>
      </c>
    </row>
    <row r="539" spans="2:70" ht="26.15" hidden="1" customHeight="1">
      <c r="B539" s="110" t="s">
        <v>1256</v>
      </c>
      <c r="C539" s="110" t="s">
        <v>1259</v>
      </c>
      <c r="D539" s="110" t="s">
        <v>1258</v>
      </c>
      <c r="E539" s="103">
        <v>2017</v>
      </c>
      <c r="F539" s="108" t="s">
        <v>6261</v>
      </c>
      <c r="G539" s="111" t="s">
        <v>184</v>
      </c>
      <c r="H539" s="110" t="s">
        <v>10451</v>
      </c>
      <c r="I539" s="112">
        <f>IF(Dashboard!$B$16="Current USD",'Bottom-up tagging'!BR539,'Bottom-up tagging'!BR539/'Bottom-up tagging'!BQ539)</f>
        <v>23186.207757183041</v>
      </c>
      <c r="J539" s="118" t="s">
        <v>10474</v>
      </c>
      <c r="K539" s="112"/>
      <c r="L539" s="135">
        <v>1</v>
      </c>
      <c r="M539" s="135">
        <v>1</v>
      </c>
      <c r="N539" s="112"/>
      <c r="O539" s="112"/>
      <c r="P539" s="112" t="s">
        <v>10966</v>
      </c>
      <c r="Q539" s="112" t="str">
        <f>VLOOKUP(B539, 'Companies covered restructured'!$B$7:$K$470, 6, FALSE)</f>
        <v>#Crops(100)</v>
      </c>
      <c r="R539" s="112" t="str">
        <f t="shared" si="284"/>
        <v>N/A</v>
      </c>
      <c r="S539" s="112" t="s">
        <v>11003</v>
      </c>
      <c r="T539" s="112" t="s">
        <v>10465</v>
      </c>
      <c r="U539" s="103" t="s">
        <v>10970</v>
      </c>
      <c r="V539" s="112" t="str">
        <f>VLOOKUP(P539, 'Bottom-up Tagging Assumptions'!$B$12:$F$39, 5, FALSE)</f>
        <v>#Product Development(100)</v>
      </c>
      <c r="W539" s="112" t="str">
        <f>VLOOKUP(B539, 'Companies covered restructured'!$B$7:$K$470, 7, FALSE)</f>
        <v>#Farm/Household(100)</v>
      </c>
      <c r="X539" s="112" t="s">
        <v>10558</v>
      </c>
      <c r="Y539" s="212" t="str">
        <f>VLOOKUP(P539, 'Bottom-up Tagging Assumptions'!$B$12:$C$56, 2, FALSE)</f>
        <v>#Other Economic(P); Environmental(S)</v>
      </c>
      <c r="Z539" s="112" t="str">
        <f>VLOOKUP(P539, 'Bottom-up Tagging Assumptions'!$B$12:$F$56, 3, FALSE)</f>
        <v>#Increase output per unit input(P)</v>
      </c>
      <c r="AA539" s="112" t="str">
        <f>VLOOKUP(P539, 'Bottom-up Tagging Assumptions'!$B$12:$F$56, 4, FALSE)</f>
        <v>#Level 1(100)</v>
      </c>
      <c r="AB539" s="110" t="s">
        <v>1020</v>
      </c>
      <c r="AC539" s="110"/>
      <c r="AD539" s="110"/>
      <c r="AE539" s="110" t="s">
        <v>10558</v>
      </c>
      <c r="AF539" s="112">
        <v>2740519</v>
      </c>
      <c r="AG539" s="110" t="s">
        <v>752</v>
      </c>
      <c r="AH539" s="121">
        <f t="shared" si="285"/>
        <v>1</v>
      </c>
      <c r="AI539" s="121">
        <f t="shared" si="286"/>
        <v>0</v>
      </c>
      <c r="AJ539" s="121">
        <f t="shared" si="287"/>
        <v>1</v>
      </c>
      <c r="AK539" s="121">
        <f t="shared" si="288"/>
        <v>0</v>
      </c>
      <c r="AL539" s="121">
        <f t="shared" si="289"/>
        <v>0</v>
      </c>
      <c r="AM539" s="121">
        <f t="shared" si="290"/>
        <v>0</v>
      </c>
      <c r="AN539" s="121">
        <f t="shared" si="291"/>
        <v>1</v>
      </c>
      <c r="AO539" s="121">
        <f t="shared" si="292"/>
        <v>0</v>
      </c>
      <c r="AP539" s="22">
        <f t="shared" si="293"/>
        <v>0</v>
      </c>
      <c r="AQ539" s="22">
        <f t="shared" si="294"/>
        <v>23186.207757183041</v>
      </c>
      <c r="AR539" s="22">
        <f t="shared" si="295"/>
        <v>0</v>
      </c>
      <c r="AS539" s="121" t="str">
        <f t="shared" si="296"/>
        <v>Crops</v>
      </c>
      <c r="AT539" s="121" t="str">
        <f t="shared" si="313"/>
        <v xml:space="preserve"> </v>
      </c>
      <c r="AU539" s="121" t="str">
        <f t="shared" si="313"/>
        <v xml:space="preserve"> </v>
      </c>
      <c r="AV539" s="121" t="str">
        <f t="shared" si="313"/>
        <v xml:space="preserve"> </v>
      </c>
      <c r="AW539" s="130" t="str">
        <f t="shared" si="314"/>
        <v>100</v>
      </c>
      <c r="AX539" s="130" t="str">
        <f t="shared" si="314"/>
        <v xml:space="preserve"> </v>
      </c>
      <c r="AY539" s="130" t="str">
        <f t="shared" si="314"/>
        <v xml:space="preserve"> </v>
      </c>
      <c r="AZ539" s="130" t="str">
        <f t="shared" si="314"/>
        <v xml:space="preserve"> </v>
      </c>
      <c r="BA539" s="121">
        <f t="shared" si="297"/>
        <v>23186.207757183045</v>
      </c>
      <c r="BB539" s="121">
        <f t="shared" si="298"/>
        <v>0</v>
      </c>
      <c r="BC539" s="121">
        <f t="shared" si="299"/>
        <v>0</v>
      </c>
      <c r="BD539" s="121">
        <f t="shared" si="300"/>
        <v>0</v>
      </c>
      <c r="BE539" s="121">
        <f t="shared" si="301"/>
        <v>0</v>
      </c>
      <c r="BF539" s="121">
        <f t="shared" si="302"/>
        <v>0</v>
      </c>
      <c r="BG539" s="121">
        <f t="shared" si="303"/>
        <v>0</v>
      </c>
      <c r="BH539" s="121">
        <f t="shared" si="304"/>
        <v>0</v>
      </c>
      <c r="BI539" s="121">
        <f t="shared" si="305"/>
        <v>23186.207757183045</v>
      </c>
      <c r="BJ539" s="121">
        <f t="shared" si="306"/>
        <v>23186.207757183041</v>
      </c>
      <c r="BK539" s="121">
        <f t="shared" si="307"/>
        <v>23186.207757183041</v>
      </c>
      <c r="BL539" s="121">
        <f t="shared" si="308"/>
        <v>23186.207757183041</v>
      </c>
      <c r="BM539" s="121">
        <f t="shared" si="309"/>
        <v>0</v>
      </c>
      <c r="BN539" s="121">
        <f t="shared" si="310"/>
        <v>0</v>
      </c>
      <c r="BO539" s="121">
        <f t="shared" si="311"/>
        <v>0</v>
      </c>
      <c r="BP539" s="121">
        <f t="shared" si="312"/>
        <v>0</v>
      </c>
      <c r="BQ539" s="199">
        <f>INDEX('GDP deflators'!$C$6:$M$36,MATCH('Bottom-up tagging'!$D539,'GDP deflators'!$B$6:$B$36,),MATCH('Bottom-up tagging'!$E539,'GDP deflators'!$C$5:$L$5,))/100</f>
        <v>1.2938726467982269</v>
      </c>
      <c r="BR539" s="24">
        <v>30000</v>
      </c>
    </row>
    <row r="540" spans="2:70" ht="26.15" hidden="1" customHeight="1">
      <c r="B540" s="110" t="s">
        <v>2863</v>
      </c>
      <c r="C540" s="110" t="s">
        <v>2867</v>
      </c>
      <c r="D540" s="110" t="s">
        <v>6213</v>
      </c>
      <c r="E540" s="103">
        <v>2014</v>
      </c>
      <c r="F540" s="108" t="s">
        <v>9753</v>
      </c>
      <c r="G540" s="111" t="s">
        <v>184</v>
      </c>
      <c r="H540" s="110" t="s">
        <v>10451</v>
      </c>
      <c r="I540" s="112">
        <f>IF(Dashboard!$B$16="Current USD",'Bottom-up tagging'!BR540,'Bottom-up tagging'!BR540/'Bottom-up tagging'!BQ540)</f>
        <v>22624.717081865754</v>
      </c>
      <c r="J540" s="105" t="s">
        <v>10474</v>
      </c>
      <c r="K540" s="112"/>
      <c r="L540" s="135">
        <v>1</v>
      </c>
      <c r="M540" s="135">
        <v>1</v>
      </c>
      <c r="N540" s="112"/>
      <c r="O540" s="112"/>
      <c r="P540" s="112" t="str">
        <f>VLOOKUP(B540, 'Companies covered restructured'!$B$7:$K$470, 9, FALSE)</f>
        <v>AI/analytics based advisory algorithms (incl. weather)</v>
      </c>
      <c r="Q540" s="112" t="str">
        <f>VLOOKUP(B540, 'Companies covered restructured'!$B$7:$K$470, 6, FALSE)</f>
        <v>#Crops(100)</v>
      </c>
      <c r="R540" s="112" t="str">
        <f t="shared" si="284"/>
        <v>N/A</v>
      </c>
      <c r="S540" s="112" t="s">
        <v>11003</v>
      </c>
      <c r="T540" s="112" t="s">
        <v>10465</v>
      </c>
      <c r="U540" s="103" t="s">
        <v>10970</v>
      </c>
      <c r="V540" s="112" t="str">
        <f>VLOOKUP(P540, 'Bottom-up Tagging Assumptions'!$B$12:$F$39, 5, FALSE)</f>
        <v>#Science &amp; tech(100)</v>
      </c>
      <c r="W540" s="112" t="str">
        <f>VLOOKUP(B540, 'Companies covered restructured'!$B$7:$K$470, 7, FALSE)</f>
        <v>#Farm/Household(100)</v>
      </c>
      <c r="X540" s="112" t="str">
        <f>VLOOKUP(B540, 'Companies covered restructured'!$B$7:$K$470, 8, FALSE)</f>
        <v>#Small(100)</v>
      </c>
      <c r="Y540" s="212" t="str">
        <f>VLOOKUP(P540, 'Bottom-up Tagging Assumptions'!$B$12:$C$56, 2, FALSE)</f>
        <v>#Other Economic(P); #Productivity(S)</v>
      </c>
      <c r="Z540" s="112" t="str">
        <f>VLOOKUP(P540, 'Bottom-up Tagging Assumptions'!$B$12:$F$56, 3, FALSE)</f>
        <v>#Increasing output per unit input(P); #Increasing crop or animal yield(S)</v>
      </c>
      <c r="AA540" s="112" t="str">
        <f>VLOOKUP(P540, 'Bottom-up Tagging Assumptions'!$B$12:$F$56, 4, FALSE)</f>
        <v>#Level 1(100)</v>
      </c>
      <c r="AB540" s="110"/>
      <c r="AC540" s="110"/>
      <c r="AD540" s="110"/>
      <c r="AE540" s="110" t="s">
        <v>10558</v>
      </c>
      <c r="AF540" s="112">
        <v>40000</v>
      </c>
      <c r="AG540" s="110" t="s">
        <v>2988</v>
      </c>
      <c r="AH540" s="121">
        <f t="shared" si="285"/>
        <v>0</v>
      </c>
      <c r="AI540" s="121">
        <f t="shared" si="286"/>
        <v>1</v>
      </c>
      <c r="AJ540" s="121">
        <f t="shared" si="287"/>
        <v>1</v>
      </c>
      <c r="AK540" s="121">
        <f t="shared" si="288"/>
        <v>0</v>
      </c>
      <c r="AL540" s="121">
        <f t="shared" si="289"/>
        <v>0</v>
      </c>
      <c r="AM540" s="121">
        <f t="shared" si="290"/>
        <v>0</v>
      </c>
      <c r="AN540" s="121">
        <f t="shared" si="291"/>
        <v>0</v>
      </c>
      <c r="AO540" s="121">
        <f t="shared" si="292"/>
        <v>0</v>
      </c>
      <c r="AP540" s="22">
        <f t="shared" si="293"/>
        <v>0</v>
      </c>
      <c r="AQ540" s="22">
        <f t="shared" si="294"/>
        <v>0</v>
      </c>
      <c r="AR540" s="22">
        <f t="shared" si="295"/>
        <v>0</v>
      </c>
      <c r="AS540" s="121" t="str">
        <f t="shared" si="296"/>
        <v>Crops</v>
      </c>
      <c r="AT540" s="121" t="str">
        <f t="shared" si="313"/>
        <v xml:space="preserve"> </v>
      </c>
      <c r="AU540" s="121" t="str">
        <f t="shared" si="313"/>
        <v xml:space="preserve"> </v>
      </c>
      <c r="AV540" s="121" t="str">
        <f t="shared" si="313"/>
        <v xml:space="preserve"> </v>
      </c>
      <c r="AW540" s="130" t="str">
        <f t="shared" si="314"/>
        <v>100</v>
      </c>
      <c r="AX540" s="130" t="str">
        <f t="shared" si="314"/>
        <v xml:space="preserve"> </v>
      </c>
      <c r="AY540" s="130" t="str">
        <f t="shared" si="314"/>
        <v xml:space="preserve"> </v>
      </c>
      <c r="AZ540" s="130" t="str">
        <f t="shared" si="314"/>
        <v xml:space="preserve"> </v>
      </c>
      <c r="BA540" s="121">
        <f t="shared" si="297"/>
        <v>22624.717081865751</v>
      </c>
      <c r="BB540" s="121">
        <f t="shared" si="298"/>
        <v>0</v>
      </c>
      <c r="BC540" s="121">
        <f t="shared" si="299"/>
        <v>0</v>
      </c>
      <c r="BD540" s="121">
        <f t="shared" si="300"/>
        <v>0</v>
      </c>
      <c r="BE540" s="121">
        <f t="shared" si="301"/>
        <v>0</v>
      </c>
      <c r="BF540" s="121">
        <f t="shared" si="302"/>
        <v>0</v>
      </c>
      <c r="BG540" s="121">
        <f t="shared" si="303"/>
        <v>0</v>
      </c>
      <c r="BH540" s="121">
        <f t="shared" si="304"/>
        <v>0</v>
      </c>
      <c r="BI540" s="121">
        <f t="shared" si="305"/>
        <v>0</v>
      </c>
      <c r="BJ540" s="121">
        <f t="shared" si="306"/>
        <v>0</v>
      </c>
      <c r="BK540" s="121">
        <f t="shared" si="307"/>
        <v>0</v>
      </c>
      <c r="BL540" s="121">
        <f t="shared" si="308"/>
        <v>0</v>
      </c>
      <c r="BM540" s="121">
        <f t="shared" si="309"/>
        <v>0</v>
      </c>
      <c r="BN540" s="121">
        <f t="shared" si="310"/>
        <v>0</v>
      </c>
      <c r="BO540" s="121">
        <f t="shared" si="311"/>
        <v>0</v>
      </c>
      <c r="BP540" s="121">
        <f t="shared" si="312"/>
        <v>0</v>
      </c>
      <c r="BQ540" s="199">
        <f>INDEX('GDP deflators'!$C$6:$M$36,MATCH('Bottom-up tagging'!$D540,'GDP deflators'!$B$6:$B$36,),MATCH('Bottom-up tagging'!$E540,'GDP deflators'!$C$5:$L$5,))/100</f>
        <v>1.3259834318125334</v>
      </c>
      <c r="BR540" s="24">
        <v>30000</v>
      </c>
    </row>
    <row r="541" spans="2:70" ht="26.15" hidden="1" customHeight="1">
      <c r="B541" s="110" t="s">
        <v>835</v>
      </c>
      <c r="C541" s="110" t="s">
        <v>839</v>
      </c>
      <c r="D541" s="110" t="s">
        <v>3994</v>
      </c>
      <c r="E541" s="103">
        <v>2018</v>
      </c>
      <c r="F541" s="108" t="s">
        <v>5138</v>
      </c>
      <c r="G541" s="111" t="s">
        <v>34</v>
      </c>
      <c r="H541" s="110" t="s">
        <v>10451</v>
      </c>
      <c r="I541" s="112">
        <f>IF(Dashboard!$B$16="Current USD",'Bottom-up tagging'!BR541,'Bottom-up tagging'!BR541/'Bottom-up tagging'!BQ541)</f>
        <v>18874.286292501874</v>
      </c>
      <c r="J541" s="117" t="s">
        <v>10474</v>
      </c>
      <c r="K541" s="112"/>
      <c r="L541" s="135">
        <v>1</v>
      </c>
      <c r="M541" s="135">
        <v>1</v>
      </c>
      <c r="N541" s="112"/>
      <c r="O541" s="112"/>
      <c r="P541" s="112" t="str">
        <f>VLOOKUP(B541, 'Companies covered restructured'!$B$7:$K$470, 9, FALSE)</f>
        <v>AI/analytics based advisory algorithms (incl. weather)</v>
      </c>
      <c r="Q541" s="112" t="str">
        <f>VLOOKUP(B541, 'Companies covered restructured'!$B$7:$K$470, 6, FALSE)</f>
        <v>#Fisheries and Aquaculture(100)</v>
      </c>
      <c r="R541" s="112" t="str">
        <f t="shared" si="284"/>
        <v>#Investment Fund(100)</v>
      </c>
      <c r="S541" s="112" t="s">
        <v>11003</v>
      </c>
      <c r="T541" s="112" t="s">
        <v>10466</v>
      </c>
      <c r="U541" s="103" t="s">
        <v>10970</v>
      </c>
      <c r="V541" s="112" t="str">
        <f>VLOOKUP(P541, 'Bottom-up Tagging Assumptions'!$B$12:$F$39, 5, FALSE)</f>
        <v>#Science &amp; tech(100)</v>
      </c>
      <c r="W541" s="112" t="str">
        <f>VLOOKUP(B541, 'Companies covered restructured'!$B$7:$K$470, 7, FALSE)</f>
        <v>#Field/Animal Herd(100)</v>
      </c>
      <c r="X541" s="112" t="s">
        <v>10558</v>
      </c>
      <c r="Y541" s="212" t="str">
        <f>VLOOKUP(P541, 'Bottom-up Tagging Assumptions'!$B$12:$C$56, 2, FALSE)</f>
        <v>#Other Economic(P); #Productivity(S)</v>
      </c>
      <c r="Z541" s="112" t="str">
        <f>VLOOKUP(P541, 'Bottom-up Tagging Assumptions'!$B$12:$F$56, 3, FALSE)</f>
        <v>#Increasing output per unit input(P); #Increasing crop or animal yield(S)</v>
      </c>
      <c r="AA541" s="112" t="str">
        <f>VLOOKUP(P541, 'Bottom-up Tagging Assumptions'!$B$12:$F$56, 4, FALSE)</f>
        <v>#Level 1(100)</v>
      </c>
      <c r="AB541" s="110" t="s">
        <v>1468</v>
      </c>
      <c r="AC541" s="110"/>
      <c r="AD541" s="110" t="s">
        <v>1469</v>
      </c>
      <c r="AE541" s="110" t="s">
        <v>3114</v>
      </c>
      <c r="AF541" s="112">
        <v>1101687</v>
      </c>
      <c r="AG541" s="110" t="s">
        <v>840</v>
      </c>
      <c r="AH541" s="121">
        <f t="shared" si="285"/>
        <v>0</v>
      </c>
      <c r="AI541" s="121">
        <f t="shared" si="286"/>
        <v>1</v>
      </c>
      <c r="AJ541" s="121">
        <f t="shared" si="287"/>
        <v>1</v>
      </c>
      <c r="AK541" s="121">
        <f t="shared" si="288"/>
        <v>0</v>
      </c>
      <c r="AL541" s="121">
        <f t="shared" si="289"/>
        <v>0</v>
      </c>
      <c r="AM541" s="121">
        <f t="shared" si="290"/>
        <v>0</v>
      </c>
      <c r="AN541" s="121">
        <f t="shared" si="291"/>
        <v>0</v>
      </c>
      <c r="AO541" s="121">
        <f t="shared" si="292"/>
        <v>0</v>
      </c>
      <c r="AP541" s="22">
        <f t="shared" si="293"/>
        <v>0</v>
      </c>
      <c r="AQ541" s="22">
        <f t="shared" si="294"/>
        <v>0</v>
      </c>
      <c r="AR541" s="22">
        <f t="shared" si="295"/>
        <v>0</v>
      </c>
      <c r="AS541" s="121" t="str">
        <f t="shared" si="296"/>
        <v>Fisheries and Aquaculture</v>
      </c>
      <c r="AT541" s="121" t="str">
        <f t="shared" si="313"/>
        <v xml:space="preserve"> </v>
      </c>
      <c r="AU541" s="121" t="str">
        <f t="shared" si="313"/>
        <v xml:space="preserve"> </v>
      </c>
      <c r="AV541" s="121" t="str">
        <f t="shared" si="313"/>
        <v xml:space="preserve"> </v>
      </c>
      <c r="AW541" s="130" t="str">
        <f t="shared" si="314"/>
        <v>100</v>
      </c>
      <c r="AX541" s="130" t="str">
        <f t="shared" si="314"/>
        <v xml:space="preserve"> </v>
      </c>
      <c r="AY541" s="130" t="str">
        <f t="shared" si="314"/>
        <v xml:space="preserve"> </v>
      </c>
      <c r="AZ541" s="130" t="str">
        <f t="shared" si="314"/>
        <v xml:space="preserve"> </v>
      </c>
      <c r="BA541" s="121">
        <f t="shared" si="297"/>
        <v>18874.286292501874</v>
      </c>
      <c r="BB541" s="121">
        <f t="shared" si="298"/>
        <v>0</v>
      </c>
      <c r="BC541" s="121">
        <f t="shared" si="299"/>
        <v>0</v>
      </c>
      <c r="BD541" s="121">
        <f t="shared" si="300"/>
        <v>0</v>
      </c>
      <c r="BE541" s="121">
        <f t="shared" si="301"/>
        <v>0</v>
      </c>
      <c r="BF541" s="121">
        <f t="shared" si="302"/>
        <v>0</v>
      </c>
      <c r="BG541" s="121">
        <f t="shared" si="303"/>
        <v>0</v>
      </c>
      <c r="BH541" s="121">
        <f t="shared" si="304"/>
        <v>0</v>
      </c>
      <c r="BI541" s="121">
        <f t="shared" si="305"/>
        <v>0</v>
      </c>
      <c r="BJ541" s="121">
        <f t="shared" si="306"/>
        <v>0</v>
      </c>
      <c r="BK541" s="121">
        <f t="shared" si="307"/>
        <v>0</v>
      </c>
      <c r="BL541" s="121">
        <f t="shared" si="308"/>
        <v>0</v>
      </c>
      <c r="BM541" s="121">
        <f t="shared" si="309"/>
        <v>0</v>
      </c>
      <c r="BN541" s="121">
        <f t="shared" si="310"/>
        <v>0</v>
      </c>
      <c r="BO541" s="121">
        <f t="shared" si="311"/>
        <v>0</v>
      </c>
      <c r="BP541" s="121">
        <f t="shared" si="312"/>
        <v>0</v>
      </c>
      <c r="BQ541" s="199">
        <f>INDEX('GDP deflators'!$C$6:$M$36,MATCH('Bottom-up tagging'!$D541,'GDP deflators'!$B$6:$B$36,),MATCH('Bottom-up tagging'!$E541,'GDP deflators'!$C$5:$L$5,))/100</f>
        <v>1.4753935363936217</v>
      </c>
      <c r="BR541" s="24">
        <v>27847</v>
      </c>
    </row>
    <row r="542" spans="2:70" ht="26.15" hidden="1" customHeight="1">
      <c r="B542" s="110" t="s">
        <v>807</v>
      </c>
      <c r="C542" s="110" t="s">
        <v>810</v>
      </c>
      <c r="D542" s="110" t="s">
        <v>3994</v>
      </c>
      <c r="E542" s="103">
        <v>2018</v>
      </c>
      <c r="F542" s="108" t="s">
        <v>6053</v>
      </c>
      <c r="G542" s="111" t="s">
        <v>34</v>
      </c>
      <c r="H542" s="110" t="s">
        <v>10451</v>
      </c>
      <c r="I542" s="112">
        <f>IF(Dashboard!$B$16="Current USD",'Bottom-up tagging'!BR542,'Bottom-up tagging'!BR542/'Bottom-up tagging'!BQ542)</f>
        <v>18874.286292501874</v>
      </c>
      <c r="J542" s="105" t="s">
        <v>10474</v>
      </c>
      <c r="K542" s="112"/>
      <c r="L542" s="135">
        <v>1</v>
      </c>
      <c r="M542" s="135">
        <v>1</v>
      </c>
      <c r="N542" s="112"/>
      <c r="O542" s="112"/>
      <c r="P542" s="112" t="str">
        <f>VLOOKUP(B542, 'Companies covered restructured'!$B$7:$K$470, 9, FALSE)</f>
        <v>AI/analytics based advisory algorithms (incl. weather)</v>
      </c>
      <c r="Q542" s="112" t="str">
        <f>VLOOKUP(B542, 'Companies covered restructured'!$B$7:$K$470, 6, FALSE)</f>
        <v>#Fisheries and Aquaculture(100)</v>
      </c>
      <c r="R542" s="112" t="str">
        <f t="shared" si="284"/>
        <v>#Investment Fund(100)</v>
      </c>
      <c r="S542" s="112" t="s">
        <v>11003</v>
      </c>
      <c r="T542" s="112" t="s">
        <v>10466</v>
      </c>
      <c r="U542" s="103" t="s">
        <v>10970</v>
      </c>
      <c r="V542" s="112" t="str">
        <f>VLOOKUP(P542, 'Bottom-up Tagging Assumptions'!$B$12:$F$39, 5, FALSE)</f>
        <v>#Science &amp; tech(100)</v>
      </c>
      <c r="W542" s="112" t="str">
        <f>VLOOKUP(B542, 'Companies covered restructured'!$B$7:$K$470, 7, FALSE)</f>
        <v>#Field/Animal Herd(100)</v>
      </c>
      <c r="X542" s="112" t="s">
        <v>10558</v>
      </c>
      <c r="Y542" s="212" t="str">
        <f>VLOOKUP(P542, 'Bottom-up Tagging Assumptions'!$B$12:$C$56, 2, FALSE)</f>
        <v>#Other Economic(P); #Productivity(S)</v>
      </c>
      <c r="Z542" s="112" t="str">
        <f>VLOOKUP(P542, 'Bottom-up Tagging Assumptions'!$B$12:$F$56, 3, FALSE)</f>
        <v>#Increasing output per unit input(P); #Increasing crop or animal yield(S)</v>
      </c>
      <c r="AA542" s="112" t="str">
        <f>VLOOKUP(P542, 'Bottom-up Tagging Assumptions'!$B$12:$F$56, 4, FALSE)</f>
        <v>#Level 1(100)</v>
      </c>
      <c r="AB542" s="110" t="s">
        <v>1468</v>
      </c>
      <c r="AC542" s="110"/>
      <c r="AD542" s="110" t="s">
        <v>1469</v>
      </c>
      <c r="AE542" s="110" t="s">
        <v>3114</v>
      </c>
      <c r="AF542" s="112">
        <v>1127847</v>
      </c>
      <c r="AG542" s="110" t="s">
        <v>811</v>
      </c>
      <c r="AH542" s="121">
        <f t="shared" si="285"/>
        <v>0</v>
      </c>
      <c r="AI542" s="121">
        <f t="shared" si="286"/>
        <v>1</v>
      </c>
      <c r="AJ542" s="121">
        <f t="shared" si="287"/>
        <v>1</v>
      </c>
      <c r="AK542" s="121">
        <f t="shared" si="288"/>
        <v>0</v>
      </c>
      <c r="AL542" s="121">
        <f t="shared" si="289"/>
        <v>0</v>
      </c>
      <c r="AM542" s="121">
        <f t="shared" si="290"/>
        <v>0</v>
      </c>
      <c r="AN542" s="121">
        <f t="shared" si="291"/>
        <v>0</v>
      </c>
      <c r="AO542" s="121">
        <f t="shared" si="292"/>
        <v>0</v>
      </c>
      <c r="AP542" s="22">
        <f t="shared" si="293"/>
        <v>0</v>
      </c>
      <c r="AQ542" s="22">
        <f t="shared" si="294"/>
        <v>0</v>
      </c>
      <c r="AR542" s="22">
        <f t="shared" si="295"/>
        <v>0</v>
      </c>
      <c r="AS542" s="121" t="str">
        <f t="shared" si="296"/>
        <v>Fisheries and Aquaculture</v>
      </c>
      <c r="AT542" s="121" t="str">
        <f t="shared" si="313"/>
        <v xml:space="preserve"> </v>
      </c>
      <c r="AU542" s="121" t="str">
        <f t="shared" si="313"/>
        <v xml:space="preserve"> </v>
      </c>
      <c r="AV542" s="121" t="str">
        <f t="shared" si="313"/>
        <v xml:space="preserve"> </v>
      </c>
      <c r="AW542" s="130" t="str">
        <f t="shared" si="314"/>
        <v>100</v>
      </c>
      <c r="AX542" s="130" t="str">
        <f t="shared" si="314"/>
        <v xml:space="preserve"> </v>
      </c>
      <c r="AY542" s="130" t="str">
        <f t="shared" si="314"/>
        <v xml:space="preserve"> </v>
      </c>
      <c r="AZ542" s="130" t="str">
        <f t="shared" si="314"/>
        <v xml:space="preserve"> </v>
      </c>
      <c r="BA542" s="121">
        <f t="shared" si="297"/>
        <v>18874.286292501874</v>
      </c>
      <c r="BB542" s="121">
        <f t="shared" si="298"/>
        <v>0</v>
      </c>
      <c r="BC542" s="121">
        <f t="shared" si="299"/>
        <v>0</v>
      </c>
      <c r="BD542" s="121">
        <f t="shared" si="300"/>
        <v>0</v>
      </c>
      <c r="BE542" s="121">
        <f t="shared" si="301"/>
        <v>0</v>
      </c>
      <c r="BF542" s="121">
        <f t="shared" si="302"/>
        <v>0</v>
      </c>
      <c r="BG542" s="121">
        <f t="shared" si="303"/>
        <v>0</v>
      </c>
      <c r="BH542" s="121">
        <f t="shared" si="304"/>
        <v>0</v>
      </c>
      <c r="BI542" s="121">
        <f t="shared" si="305"/>
        <v>0</v>
      </c>
      <c r="BJ542" s="121">
        <f t="shared" si="306"/>
        <v>0</v>
      </c>
      <c r="BK542" s="121">
        <f t="shared" si="307"/>
        <v>0</v>
      </c>
      <c r="BL542" s="121">
        <f t="shared" si="308"/>
        <v>0</v>
      </c>
      <c r="BM542" s="121">
        <f t="shared" si="309"/>
        <v>0</v>
      </c>
      <c r="BN542" s="121">
        <f t="shared" si="310"/>
        <v>0</v>
      </c>
      <c r="BO542" s="121">
        <f t="shared" si="311"/>
        <v>0</v>
      </c>
      <c r="BP542" s="121">
        <f t="shared" si="312"/>
        <v>0</v>
      </c>
      <c r="BQ542" s="199">
        <f>INDEX('GDP deflators'!$C$6:$M$36,MATCH('Bottom-up tagging'!$D542,'GDP deflators'!$B$6:$B$36,),MATCH('Bottom-up tagging'!$E542,'GDP deflators'!$C$5:$L$5,))/100</f>
        <v>1.4753935363936217</v>
      </c>
      <c r="BR542" s="24">
        <v>27847</v>
      </c>
    </row>
    <row r="543" spans="2:70" ht="26.15" hidden="1" customHeight="1">
      <c r="B543" s="110" t="s">
        <v>939</v>
      </c>
      <c r="C543" s="110" t="s">
        <v>942</v>
      </c>
      <c r="D543" s="110" t="s">
        <v>6281</v>
      </c>
      <c r="E543" s="103">
        <v>2019</v>
      </c>
      <c r="F543" s="108" t="s">
        <v>6283</v>
      </c>
      <c r="G543" s="111" t="s">
        <v>184</v>
      </c>
      <c r="H543" s="110" t="s">
        <v>10451</v>
      </c>
      <c r="I543" s="112">
        <f>IF(Dashboard!$B$16="Current USD",'Bottom-up tagging'!BR543,'Bottom-up tagging'!BR543/'Bottom-up tagging'!BQ543)</f>
        <v>18394.225997565529</v>
      </c>
      <c r="J543" s="118" t="s">
        <v>10474</v>
      </c>
      <c r="K543" s="112"/>
      <c r="L543" s="135">
        <v>1</v>
      </c>
      <c r="M543" s="135">
        <v>1</v>
      </c>
      <c r="N543" s="112"/>
      <c r="O543" s="112"/>
      <c r="P543" s="112" t="str">
        <f>VLOOKUP(B543, 'Companies covered restructured'!$B$7:$K$470, 9, FALSE)</f>
        <v>Precision livestock farming</v>
      </c>
      <c r="Q543" s="112" t="str">
        <f>VLOOKUP(B543, 'Companies covered restructured'!$B$7:$K$470, 6, FALSE)</f>
        <v>#Livestock(100)</v>
      </c>
      <c r="R543" s="112" t="str">
        <f t="shared" si="284"/>
        <v>N/A</v>
      </c>
      <c r="S543" s="112" t="s">
        <v>11003</v>
      </c>
      <c r="T543" s="112" t="s">
        <v>10465</v>
      </c>
      <c r="U543" s="103" t="s">
        <v>10970</v>
      </c>
      <c r="V543" s="112" t="str">
        <f>VLOOKUP(P543, 'Bottom-up Tagging Assumptions'!$B$12:$F$39, 5, FALSE)</f>
        <v>#Science &amp; tech(100)</v>
      </c>
      <c r="W543" s="112" t="str">
        <f>VLOOKUP(B543, 'Companies covered restructured'!$B$7:$K$470, 7, FALSE)</f>
        <v>#Field/Animal Herd(100)</v>
      </c>
      <c r="X543" s="112" t="s">
        <v>10558</v>
      </c>
      <c r="Y543" s="212" t="str">
        <f>VLOOKUP(P543, 'Bottom-up Tagging Assumptions'!$B$12:$C$56, 2, FALSE)</f>
        <v>#Other Economic(P); #Productivity(S)</v>
      </c>
      <c r="Z543" s="112" t="str">
        <f>VLOOKUP(P543, 'Bottom-up Tagging Assumptions'!$B$12:$F$56, 3, FALSE)</f>
        <v>#Increasing output per unit input(P); #Increasing crop or animal yield(S)</v>
      </c>
      <c r="AA543" s="112" t="str">
        <f>VLOOKUP(P543, 'Bottom-up Tagging Assumptions'!$B$12:$F$56, 4, FALSE)</f>
        <v>#Level 1(100)</v>
      </c>
      <c r="AB543" s="110" t="s">
        <v>941</v>
      </c>
      <c r="AC543" s="110"/>
      <c r="AD543" s="110"/>
      <c r="AE543" s="110" t="s">
        <v>10558</v>
      </c>
      <c r="AF543" s="112"/>
      <c r="AG543" s="110" t="s">
        <v>943</v>
      </c>
      <c r="AH543" s="121">
        <f t="shared" si="285"/>
        <v>0</v>
      </c>
      <c r="AI543" s="121">
        <f t="shared" si="286"/>
        <v>1</v>
      </c>
      <c r="AJ543" s="121">
        <f t="shared" si="287"/>
        <v>1</v>
      </c>
      <c r="AK543" s="121">
        <f t="shared" si="288"/>
        <v>0</v>
      </c>
      <c r="AL543" s="121">
        <f t="shared" si="289"/>
        <v>0</v>
      </c>
      <c r="AM543" s="121">
        <f t="shared" si="290"/>
        <v>0</v>
      </c>
      <c r="AN543" s="121">
        <f t="shared" si="291"/>
        <v>0</v>
      </c>
      <c r="AO543" s="121">
        <f t="shared" si="292"/>
        <v>0</v>
      </c>
      <c r="AP543" s="22">
        <f t="shared" si="293"/>
        <v>0</v>
      </c>
      <c r="AQ543" s="22">
        <f t="shared" si="294"/>
        <v>0</v>
      </c>
      <c r="AR543" s="22">
        <f t="shared" si="295"/>
        <v>0</v>
      </c>
      <c r="AS543" s="121" t="str">
        <f t="shared" si="296"/>
        <v>Livestock</v>
      </c>
      <c r="AT543" s="121" t="str">
        <f t="shared" si="313"/>
        <v xml:space="preserve"> </v>
      </c>
      <c r="AU543" s="121" t="str">
        <f t="shared" si="313"/>
        <v xml:space="preserve"> </v>
      </c>
      <c r="AV543" s="121" t="str">
        <f t="shared" si="313"/>
        <v xml:space="preserve"> </v>
      </c>
      <c r="AW543" s="130" t="str">
        <f t="shared" si="314"/>
        <v>100</v>
      </c>
      <c r="AX543" s="130" t="str">
        <f t="shared" si="314"/>
        <v xml:space="preserve"> </v>
      </c>
      <c r="AY543" s="130" t="str">
        <f t="shared" si="314"/>
        <v xml:space="preserve"> </v>
      </c>
      <c r="AZ543" s="130" t="str">
        <f t="shared" si="314"/>
        <v xml:space="preserve"> </v>
      </c>
      <c r="BA543" s="121">
        <f t="shared" si="297"/>
        <v>18394.225997565529</v>
      </c>
      <c r="BB543" s="121">
        <f t="shared" si="298"/>
        <v>0</v>
      </c>
      <c r="BC543" s="121">
        <f t="shared" si="299"/>
        <v>0</v>
      </c>
      <c r="BD543" s="121">
        <f t="shared" si="300"/>
        <v>0</v>
      </c>
      <c r="BE543" s="121">
        <f t="shared" si="301"/>
        <v>0</v>
      </c>
      <c r="BF543" s="121">
        <f t="shared" si="302"/>
        <v>0</v>
      </c>
      <c r="BG543" s="121">
        <f t="shared" si="303"/>
        <v>0</v>
      </c>
      <c r="BH543" s="121">
        <f t="shared" si="304"/>
        <v>0</v>
      </c>
      <c r="BI543" s="121">
        <f t="shared" si="305"/>
        <v>0</v>
      </c>
      <c r="BJ543" s="121">
        <f t="shared" si="306"/>
        <v>0</v>
      </c>
      <c r="BK543" s="121">
        <f t="shared" si="307"/>
        <v>0</v>
      </c>
      <c r="BL543" s="121">
        <f t="shared" si="308"/>
        <v>0</v>
      </c>
      <c r="BM543" s="121">
        <f t="shared" si="309"/>
        <v>0</v>
      </c>
      <c r="BN543" s="121">
        <f t="shared" si="310"/>
        <v>0</v>
      </c>
      <c r="BO543" s="121">
        <f t="shared" si="311"/>
        <v>0</v>
      </c>
      <c r="BP543" s="121">
        <f t="shared" si="312"/>
        <v>0</v>
      </c>
      <c r="BQ543" s="199">
        <f>INDEX('GDP deflators'!$C$6:$M$36,MATCH('Bottom-up tagging'!$D543,'GDP deflators'!$B$6:$B$36,),MATCH('Bottom-up tagging'!$E543,'GDP deflators'!$C$5:$L$5,))/100</f>
        <v>1.4950343658732701</v>
      </c>
      <c r="BR543" s="24">
        <v>27500</v>
      </c>
    </row>
    <row r="544" spans="2:70" ht="26.15" hidden="1" customHeight="1">
      <c r="B544" s="110" t="s">
        <v>1161</v>
      </c>
      <c r="C544" s="110" t="s">
        <v>1166</v>
      </c>
      <c r="D544" s="110" t="s">
        <v>6213</v>
      </c>
      <c r="E544" s="103">
        <v>2019</v>
      </c>
      <c r="F544" s="108" t="s">
        <v>6215</v>
      </c>
      <c r="G544" s="111" t="s">
        <v>34</v>
      </c>
      <c r="H544" s="110" t="s">
        <v>10451</v>
      </c>
      <c r="I544" s="112">
        <f>IF(Dashboard!$B$16="Current USD",'Bottom-up tagging'!BR544,'Bottom-up tagging'!BR544/'Bottom-up tagging'!BQ544)</f>
        <v>12375.46690797836</v>
      </c>
      <c r="J544" s="105" t="s">
        <v>10474</v>
      </c>
      <c r="K544" s="112"/>
      <c r="L544" s="135">
        <v>1</v>
      </c>
      <c r="M544" s="135">
        <v>1</v>
      </c>
      <c r="N544" s="112"/>
      <c r="O544" s="112"/>
      <c r="P544" s="112" t="str">
        <f>VLOOKUP(B544, 'Companies covered restructured'!$B$7:$K$470, 9, FALSE)</f>
        <v xml:space="preserve">Agriculture financing systems </v>
      </c>
      <c r="Q544" s="112" t="str">
        <f>VLOOKUP(B544, 'Companies covered restructured'!$B$7:$K$470, 6, FALSE)</f>
        <v>#Cross-cutting(100)</v>
      </c>
      <c r="R544" s="112" t="str">
        <f t="shared" si="284"/>
        <v>#Investment Fund(100)</v>
      </c>
      <c r="S544" s="112" t="s">
        <v>11003</v>
      </c>
      <c r="T544" s="112" t="s">
        <v>10466</v>
      </c>
      <c r="U544" s="103" t="s">
        <v>10970</v>
      </c>
      <c r="V544" s="112" t="str">
        <f>VLOOKUP(P544, 'Bottom-up Tagging Assumptions'!$B$12:$F$39, 5, FALSE)</f>
        <v>#Process Innovation(100)</v>
      </c>
      <c r="W544" s="112" t="s">
        <v>10558</v>
      </c>
      <c r="X544" s="112" t="s">
        <v>10558</v>
      </c>
      <c r="Y544" s="212" t="str">
        <f>VLOOKUP(P544, 'Bottom-up Tagging Assumptions'!$B$12:$C$56, 2, FALSE)</f>
        <v>#Other Economic(P); Social(S)</v>
      </c>
      <c r="Z544" s="112" t="str">
        <f>VLOOKUP(P544, 'Bottom-up Tagging Assumptions'!$B$12:$F$56, 3, FALSE)</f>
        <v>NA</v>
      </c>
      <c r="AA544" s="112" t="str">
        <f>VLOOKUP(P544, 'Bottom-up Tagging Assumptions'!$B$12:$F$56, 4, FALSE)</f>
        <v>#Level 1(100)</v>
      </c>
      <c r="AB544" s="110" t="s">
        <v>1163</v>
      </c>
      <c r="AC544" s="110"/>
      <c r="AD544" s="110" t="s">
        <v>1164</v>
      </c>
      <c r="AE544" s="110" t="str">
        <f>VLOOKUP(AD544,  '1.2'!$B$7:$C$2033, 2, FALSE)</f>
        <v>FUND</v>
      </c>
      <c r="AF544" s="112">
        <v>1740510</v>
      </c>
      <c r="AG544" s="110" t="s">
        <v>2789</v>
      </c>
      <c r="AH544" s="121">
        <f t="shared" si="285"/>
        <v>0</v>
      </c>
      <c r="AI544" s="121">
        <f t="shared" si="286"/>
        <v>0</v>
      </c>
      <c r="AJ544" s="121">
        <f t="shared" si="287"/>
        <v>1</v>
      </c>
      <c r="AK544" s="121">
        <f t="shared" si="288"/>
        <v>1</v>
      </c>
      <c r="AL544" s="121">
        <f t="shared" si="289"/>
        <v>0</v>
      </c>
      <c r="AM544" s="121">
        <f t="shared" si="290"/>
        <v>0</v>
      </c>
      <c r="AN544" s="121">
        <f t="shared" si="291"/>
        <v>1</v>
      </c>
      <c r="AO544" s="121">
        <f t="shared" si="292"/>
        <v>0</v>
      </c>
      <c r="AP544" s="22">
        <f t="shared" si="293"/>
        <v>0</v>
      </c>
      <c r="AQ544" s="22">
        <f t="shared" si="294"/>
        <v>12375.46690797836</v>
      </c>
      <c r="AR544" s="22">
        <f t="shared" si="295"/>
        <v>0</v>
      </c>
      <c r="AS544" s="121" t="str">
        <f t="shared" si="296"/>
        <v>Cross-cutting</v>
      </c>
      <c r="AT544" s="121" t="str">
        <f t="shared" si="313"/>
        <v xml:space="preserve"> </v>
      </c>
      <c r="AU544" s="121" t="str">
        <f t="shared" si="313"/>
        <v xml:space="preserve"> </v>
      </c>
      <c r="AV544" s="121" t="str">
        <f t="shared" si="313"/>
        <v xml:space="preserve"> </v>
      </c>
      <c r="AW544" s="130" t="str">
        <f t="shared" si="314"/>
        <v>100</v>
      </c>
      <c r="AX544" s="130" t="str">
        <f t="shared" si="314"/>
        <v xml:space="preserve"> </v>
      </c>
      <c r="AY544" s="130" t="str">
        <f t="shared" si="314"/>
        <v xml:space="preserve"> </v>
      </c>
      <c r="AZ544" s="130" t="str">
        <f t="shared" si="314"/>
        <v xml:space="preserve"> </v>
      </c>
      <c r="BA544" s="121">
        <f t="shared" si="297"/>
        <v>12375.46690797836</v>
      </c>
      <c r="BB544" s="121">
        <f t="shared" si="298"/>
        <v>0</v>
      </c>
      <c r="BC544" s="121">
        <f t="shared" si="299"/>
        <v>0</v>
      </c>
      <c r="BD544" s="121">
        <f t="shared" si="300"/>
        <v>0</v>
      </c>
      <c r="BE544" s="121">
        <f t="shared" si="301"/>
        <v>0</v>
      </c>
      <c r="BF544" s="121">
        <f t="shared" si="302"/>
        <v>0</v>
      </c>
      <c r="BG544" s="121">
        <f t="shared" si="303"/>
        <v>0</v>
      </c>
      <c r="BH544" s="121">
        <f t="shared" si="304"/>
        <v>0</v>
      </c>
      <c r="BI544" s="121">
        <f t="shared" si="305"/>
        <v>12375.46690797836</v>
      </c>
      <c r="BJ544" s="121">
        <f t="shared" si="306"/>
        <v>12375.46690797836</v>
      </c>
      <c r="BK544" s="121">
        <f t="shared" si="307"/>
        <v>12375.46690797836</v>
      </c>
      <c r="BL544" s="121">
        <f t="shared" si="308"/>
        <v>12375.46690797836</v>
      </c>
      <c r="BM544" s="121">
        <f t="shared" si="309"/>
        <v>0</v>
      </c>
      <c r="BN544" s="121">
        <f t="shared" si="310"/>
        <v>0</v>
      </c>
      <c r="BO544" s="121">
        <f t="shared" si="311"/>
        <v>0</v>
      </c>
      <c r="BP544" s="121">
        <f t="shared" si="312"/>
        <v>0</v>
      </c>
      <c r="BQ544" s="199">
        <f>INDEX('GDP deflators'!$C$6:$M$36,MATCH('Bottom-up tagging'!$D544,'GDP deflators'!$B$6:$B$36,),MATCH('Bottom-up tagging'!$E544,'GDP deflators'!$C$5:$L$5,))/100</f>
        <v>2.0201258009815137</v>
      </c>
      <c r="BR544" s="24">
        <v>25000</v>
      </c>
    </row>
    <row r="545" spans="2:70" ht="26.15" customHeight="1">
      <c r="B545" s="110" t="s">
        <v>1196</v>
      </c>
      <c r="C545" s="110" t="s">
        <v>389</v>
      </c>
      <c r="D545" s="110" t="s">
        <v>5391</v>
      </c>
      <c r="E545" s="103">
        <v>2019</v>
      </c>
      <c r="F545" s="108" t="s">
        <v>6021</v>
      </c>
      <c r="G545" s="111" t="s">
        <v>34</v>
      </c>
      <c r="H545" s="110" t="s">
        <v>10451</v>
      </c>
      <c r="I545" s="112">
        <f>IF(Dashboard!$B$16="Current USD",'Bottom-up tagging'!BR545,'Bottom-up tagging'!BR545/'Bottom-up tagging'!BQ545)</f>
        <v>13230.837149852494</v>
      </c>
      <c r="J545" s="105" t="s">
        <v>10474</v>
      </c>
      <c r="K545" s="112"/>
      <c r="L545" s="135">
        <v>1</v>
      </c>
      <c r="M545" s="135">
        <v>1</v>
      </c>
      <c r="N545" s="112"/>
      <c r="O545" s="112"/>
      <c r="P545" s="112" t="str">
        <f>VLOOKUP(B545, 'Companies covered restructured'!$B$7:$K$470, 9, FALSE)</f>
        <v>Farmer financing services</v>
      </c>
      <c r="Q545" s="112" t="str">
        <f>VLOOKUP(B545, 'Companies covered restructured'!$B$7:$K$470, 6, FALSE)</f>
        <v>#Crops(100)</v>
      </c>
      <c r="R545" s="112" t="str">
        <f t="shared" si="284"/>
        <v>#Investment Fund(100)</v>
      </c>
      <c r="S545" s="112" t="s">
        <v>11003</v>
      </c>
      <c r="T545" s="112" t="s">
        <v>10466</v>
      </c>
      <c r="U545" s="103" t="s">
        <v>10970</v>
      </c>
      <c r="V545" s="112" t="str">
        <f>VLOOKUP(P545, 'Bottom-up Tagging Assumptions'!$B$12:$F$39, 5, FALSE)</f>
        <v>#Process Innovation(100)</v>
      </c>
      <c r="W545" s="112" t="str">
        <f>VLOOKUP(B545, 'Companies covered restructured'!$B$7:$K$470, 7, FALSE)</f>
        <v>#Field/Animal Herd(100)</v>
      </c>
      <c r="X545" s="112" t="s">
        <v>10558</v>
      </c>
      <c r="Y545" s="212" t="str">
        <f>VLOOKUP(P545, 'Bottom-up Tagging Assumptions'!$B$12:$C$56, 2, FALSE)</f>
        <v>#Other Economic(P); Social(S)</v>
      </c>
      <c r="Z545" s="112" t="str">
        <f>VLOOKUP(P545, 'Bottom-up Tagging Assumptions'!$B$12:$F$56, 3, FALSE)</f>
        <v>NA</v>
      </c>
      <c r="AA545" s="112" t="str">
        <f>VLOOKUP(P545, 'Bottom-up Tagging Assumptions'!$B$12:$F$56, 4, FALSE)</f>
        <v>#Level 1(100)</v>
      </c>
      <c r="AB545" s="110" t="s">
        <v>1198</v>
      </c>
      <c r="AC545" s="110"/>
      <c r="AD545" s="110" t="s">
        <v>1199</v>
      </c>
      <c r="AE545" s="110" t="str">
        <f>VLOOKUP(AD545,  '1.2'!$B$7:$C$2033, 2, FALSE)</f>
        <v>FUND</v>
      </c>
      <c r="AF545" s="112">
        <v>8883505</v>
      </c>
      <c r="AG545" s="110" t="s">
        <v>2657</v>
      </c>
      <c r="AH545" s="121">
        <f t="shared" si="285"/>
        <v>0</v>
      </c>
      <c r="AI545" s="121">
        <f t="shared" si="286"/>
        <v>0</v>
      </c>
      <c r="AJ545" s="121">
        <f t="shared" si="287"/>
        <v>1</v>
      </c>
      <c r="AK545" s="121">
        <f t="shared" si="288"/>
        <v>1</v>
      </c>
      <c r="AL545" s="121">
        <f t="shared" si="289"/>
        <v>0</v>
      </c>
      <c r="AM545" s="121">
        <f t="shared" si="290"/>
        <v>0</v>
      </c>
      <c r="AN545" s="121">
        <f t="shared" si="291"/>
        <v>1</v>
      </c>
      <c r="AO545" s="121">
        <f t="shared" si="292"/>
        <v>0</v>
      </c>
      <c r="AP545" s="22">
        <f t="shared" si="293"/>
        <v>0</v>
      </c>
      <c r="AQ545" s="22">
        <f t="shared" si="294"/>
        <v>13230.837149852494</v>
      </c>
      <c r="AR545" s="22">
        <f t="shared" si="295"/>
        <v>0</v>
      </c>
      <c r="AS545" s="121" t="str">
        <f t="shared" si="296"/>
        <v>Crops</v>
      </c>
      <c r="AT545" s="121" t="str">
        <f t="shared" si="313"/>
        <v xml:space="preserve"> </v>
      </c>
      <c r="AU545" s="121" t="str">
        <f t="shared" si="313"/>
        <v xml:space="preserve"> </v>
      </c>
      <c r="AV545" s="121" t="str">
        <f t="shared" si="313"/>
        <v xml:space="preserve"> </v>
      </c>
      <c r="AW545" s="130" t="str">
        <f t="shared" si="314"/>
        <v>100</v>
      </c>
      <c r="AX545" s="130" t="str">
        <f t="shared" si="314"/>
        <v xml:space="preserve"> </v>
      </c>
      <c r="AY545" s="130" t="str">
        <f t="shared" si="314"/>
        <v xml:space="preserve"> </v>
      </c>
      <c r="AZ545" s="130" t="str">
        <f t="shared" si="314"/>
        <v xml:space="preserve"> </v>
      </c>
      <c r="BA545" s="121">
        <f t="shared" si="297"/>
        <v>13230.837149852494</v>
      </c>
      <c r="BB545" s="121">
        <f t="shared" si="298"/>
        <v>0</v>
      </c>
      <c r="BC545" s="121">
        <f t="shared" si="299"/>
        <v>0</v>
      </c>
      <c r="BD545" s="121">
        <f t="shared" si="300"/>
        <v>0</v>
      </c>
      <c r="BE545" s="121">
        <f t="shared" si="301"/>
        <v>0</v>
      </c>
      <c r="BF545" s="121">
        <f t="shared" si="302"/>
        <v>0</v>
      </c>
      <c r="BG545" s="121">
        <f t="shared" si="303"/>
        <v>0</v>
      </c>
      <c r="BH545" s="121">
        <f t="shared" si="304"/>
        <v>0</v>
      </c>
      <c r="BI545" s="121">
        <f t="shared" si="305"/>
        <v>13230.837149852494</v>
      </c>
      <c r="BJ545" s="121">
        <f t="shared" si="306"/>
        <v>13230.837149852494</v>
      </c>
      <c r="BK545" s="121">
        <f t="shared" si="307"/>
        <v>13230.837149852494</v>
      </c>
      <c r="BL545" s="121">
        <f t="shared" si="308"/>
        <v>13230.837149852494</v>
      </c>
      <c r="BM545" s="121">
        <f t="shared" si="309"/>
        <v>0</v>
      </c>
      <c r="BN545" s="121">
        <f t="shared" si="310"/>
        <v>0</v>
      </c>
      <c r="BO545" s="121">
        <f t="shared" si="311"/>
        <v>0</v>
      </c>
      <c r="BP545" s="121">
        <f t="shared" si="312"/>
        <v>0</v>
      </c>
      <c r="BQ545" s="199">
        <f>INDEX('GDP deflators'!$C$6:$M$36,MATCH('Bottom-up tagging'!$D545,'GDP deflators'!$B$6:$B$36,),MATCH('Bottom-up tagging'!$E545,'GDP deflators'!$C$5:$L$5,))/100</f>
        <v>1.8895251839962912</v>
      </c>
      <c r="BR545" s="24">
        <v>25000</v>
      </c>
    </row>
    <row r="546" spans="2:70" ht="26.15" hidden="1" customHeight="1">
      <c r="B546" s="110" t="s">
        <v>641</v>
      </c>
      <c r="C546" s="110" t="s">
        <v>645</v>
      </c>
      <c r="D546" s="110" t="s">
        <v>3994</v>
      </c>
      <c r="E546" s="103">
        <v>2013</v>
      </c>
      <c r="F546" s="108" t="s">
        <v>8736</v>
      </c>
      <c r="G546" s="111" t="s">
        <v>34</v>
      </c>
      <c r="H546" s="110" t="s">
        <v>10451</v>
      </c>
      <c r="I546" s="112">
        <f>IF(Dashboard!$B$16="Current USD",'Bottom-up tagging'!BR546,'Bottom-up tagging'!BR546/'Bottom-up tagging'!BQ546)</f>
        <v>19755.82688150373</v>
      </c>
      <c r="J546" s="118" t="s">
        <v>10474</v>
      </c>
      <c r="K546" s="112"/>
      <c r="L546" s="135">
        <v>1</v>
      </c>
      <c r="M546" s="135">
        <v>1</v>
      </c>
      <c r="N546" s="112"/>
      <c r="O546" s="112"/>
      <c r="P546" s="112" t="str">
        <f>VLOOKUP(B546, 'Companies covered restructured'!$B$7:$K$470, 9, FALSE)</f>
        <v>Irrigation systems</v>
      </c>
      <c r="Q546" s="112" t="str">
        <f>VLOOKUP(B546, 'Companies covered restructured'!$B$7:$K$470, 6, FALSE)</f>
        <v>#Crops(100)</v>
      </c>
      <c r="R546" s="112" t="str">
        <f t="shared" si="284"/>
        <v>#Investment Fund(100)</v>
      </c>
      <c r="S546" s="112" t="s">
        <v>11003</v>
      </c>
      <c r="T546" s="112" t="s">
        <v>10466</v>
      </c>
      <c r="U546" s="103" t="s">
        <v>10970</v>
      </c>
      <c r="V546" s="212" t="s">
        <v>10977</v>
      </c>
      <c r="W546" s="112" t="str">
        <f>VLOOKUP(B546, 'Companies covered restructured'!$B$7:$K$470, 7, FALSE)</f>
        <v>#Farm/Household(100)</v>
      </c>
      <c r="X546" s="112" t="s">
        <v>10558</v>
      </c>
      <c r="Y546" s="212" t="str">
        <f>VLOOKUP(P546, 'Bottom-up Tagging Assumptions'!$B$12:$C$56, 2, FALSE)</f>
        <v>#Other Economic(P); Environmental(S)</v>
      </c>
      <c r="Z546" s="112" t="str">
        <f>VLOOKUP(P546, 'Bottom-up Tagging Assumptions'!$B$12:$F$56, 3, FALSE)</f>
        <v>#Waste reduction(P)</v>
      </c>
      <c r="AA546" s="112" t="str">
        <f>VLOOKUP(P546, 'Bottom-up Tagging Assumptions'!$B$12:$F$56, 4, FALSE)</f>
        <v>#Level 1(100)</v>
      </c>
      <c r="AB546" s="110" t="s">
        <v>652</v>
      </c>
      <c r="AC546" s="110"/>
      <c r="AD546" s="110" t="s">
        <v>653</v>
      </c>
      <c r="AE546" s="110" t="str">
        <f>VLOOKUP(AD546,  '1.2'!$B$7:$C$2033, 2, FALSE)</f>
        <v>FUND</v>
      </c>
      <c r="AF546" s="112"/>
      <c r="AG546" s="110" t="s">
        <v>2483</v>
      </c>
      <c r="AH546" s="121">
        <f t="shared" si="285"/>
        <v>1</v>
      </c>
      <c r="AI546" s="121">
        <f t="shared" si="286"/>
        <v>0</v>
      </c>
      <c r="AJ546" s="121">
        <f t="shared" si="287"/>
        <v>1</v>
      </c>
      <c r="AK546" s="121">
        <f t="shared" si="288"/>
        <v>0</v>
      </c>
      <c r="AL546" s="121">
        <f t="shared" si="289"/>
        <v>0</v>
      </c>
      <c r="AM546" s="121">
        <f t="shared" si="290"/>
        <v>0</v>
      </c>
      <c r="AN546" s="121">
        <f t="shared" si="291"/>
        <v>1</v>
      </c>
      <c r="AO546" s="121">
        <f t="shared" si="292"/>
        <v>0</v>
      </c>
      <c r="AP546" s="22">
        <f t="shared" si="293"/>
        <v>0</v>
      </c>
      <c r="AQ546" s="22">
        <f t="shared" si="294"/>
        <v>19755.82688150373</v>
      </c>
      <c r="AR546" s="22">
        <f t="shared" si="295"/>
        <v>0</v>
      </c>
      <c r="AS546" s="121" t="str">
        <f t="shared" si="296"/>
        <v>Crops</v>
      </c>
      <c r="AT546" s="121" t="str">
        <f t="shared" si="313"/>
        <v xml:space="preserve"> </v>
      </c>
      <c r="AU546" s="121" t="str">
        <f t="shared" si="313"/>
        <v xml:space="preserve"> </v>
      </c>
      <c r="AV546" s="121" t="str">
        <f t="shared" si="313"/>
        <v xml:space="preserve"> </v>
      </c>
      <c r="AW546" s="130" t="str">
        <f t="shared" si="314"/>
        <v>100</v>
      </c>
      <c r="AX546" s="130" t="str">
        <f t="shared" si="314"/>
        <v xml:space="preserve"> </v>
      </c>
      <c r="AY546" s="130" t="str">
        <f t="shared" si="314"/>
        <v xml:space="preserve"> </v>
      </c>
      <c r="AZ546" s="130" t="str">
        <f t="shared" si="314"/>
        <v xml:space="preserve"> </v>
      </c>
      <c r="BA546" s="121">
        <f t="shared" si="297"/>
        <v>19755.82688150373</v>
      </c>
      <c r="BB546" s="121">
        <f t="shared" si="298"/>
        <v>0</v>
      </c>
      <c r="BC546" s="121">
        <f t="shared" si="299"/>
        <v>0</v>
      </c>
      <c r="BD546" s="121">
        <f t="shared" si="300"/>
        <v>0</v>
      </c>
      <c r="BE546" s="121">
        <f t="shared" si="301"/>
        <v>0</v>
      </c>
      <c r="BF546" s="121">
        <f t="shared" si="302"/>
        <v>0</v>
      </c>
      <c r="BG546" s="121">
        <f t="shared" si="303"/>
        <v>0</v>
      </c>
      <c r="BH546" s="121">
        <f t="shared" si="304"/>
        <v>0</v>
      </c>
      <c r="BI546" s="121">
        <f t="shared" si="305"/>
        <v>19755.82688150373</v>
      </c>
      <c r="BJ546" s="121">
        <f t="shared" si="306"/>
        <v>19755.82688150373</v>
      </c>
      <c r="BK546" s="121">
        <f t="shared" si="307"/>
        <v>19755.82688150373</v>
      </c>
      <c r="BL546" s="121">
        <f t="shared" si="308"/>
        <v>19755.82688150373</v>
      </c>
      <c r="BM546" s="121">
        <f t="shared" si="309"/>
        <v>0</v>
      </c>
      <c r="BN546" s="121">
        <f t="shared" si="310"/>
        <v>0</v>
      </c>
      <c r="BO546" s="121">
        <f t="shared" si="311"/>
        <v>0</v>
      </c>
      <c r="BP546" s="121">
        <f t="shared" si="312"/>
        <v>0</v>
      </c>
      <c r="BQ546" s="199">
        <f>INDEX('GDP deflators'!$C$6:$M$36,MATCH('Bottom-up tagging'!$D546,'GDP deflators'!$B$6:$B$36,),MATCH('Bottom-up tagging'!$E546,'GDP deflators'!$C$5:$L$5,))/100</f>
        <v>1.2462146053248888</v>
      </c>
      <c r="BR546" s="24">
        <v>24620</v>
      </c>
    </row>
    <row r="547" spans="2:70" ht="26.15" hidden="1" customHeight="1">
      <c r="B547" s="110" t="s">
        <v>2060</v>
      </c>
      <c r="C547" s="110" t="s">
        <v>2062</v>
      </c>
      <c r="D547" s="110" t="s">
        <v>3994</v>
      </c>
      <c r="E547" s="103">
        <v>2017</v>
      </c>
      <c r="F547" s="108" t="s">
        <v>6715</v>
      </c>
      <c r="G547" s="111" t="s">
        <v>34</v>
      </c>
      <c r="H547" s="110" t="s">
        <v>10451</v>
      </c>
      <c r="I547" s="112">
        <f>IF(Dashboard!$B$16="Current USD",'Bottom-up tagging'!BR547,'Bottom-up tagging'!BR547/'Bottom-up tagging'!BQ547)</f>
        <v>16433.164836489665</v>
      </c>
      <c r="J547" s="105" t="s">
        <v>10474</v>
      </c>
      <c r="K547" s="112"/>
      <c r="L547" s="135">
        <v>1</v>
      </c>
      <c r="M547" s="135">
        <v>1</v>
      </c>
      <c r="N547" s="112"/>
      <c r="O547" s="112"/>
      <c r="P547" s="112" t="str">
        <f>VLOOKUP(B547, 'Companies covered restructured'!$B$7:$K$470, 9, FALSE)</f>
        <v>Agri marketplaces</v>
      </c>
      <c r="Q547" s="112" t="str">
        <f>VLOOKUP(B547, 'Companies covered restructured'!$B$7:$K$470, 6, FALSE)</f>
        <v>#Crops(100)</v>
      </c>
      <c r="R547" s="112" t="str">
        <f t="shared" si="284"/>
        <v>N/A</v>
      </c>
      <c r="S547" s="112" t="s">
        <v>11003</v>
      </c>
      <c r="T547" s="112" t="s">
        <v>10466</v>
      </c>
      <c r="U547" s="103" t="s">
        <v>10970</v>
      </c>
      <c r="V547" s="112" t="str">
        <f>VLOOKUP(P547, 'Bottom-up Tagging Assumptions'!$B$12:$F$39, 5, FALSE)</f>
        <v>#Process Innovation(100)</v>
      </c>
      <c r="W547" s="112" t="str">
        <f>VLOOKUP(B547, 'Companies covered restructured'!$B$7:$K$470, 7, FALSE)</f>
        <v>#Farm/Household(100)</v>
      </c>
      <c r="X547" s="112" t="s">
        <v>10558</v>
      </c>
      <c r="Y547" s="212" t="str">
        <f>VLOOKUP(P547, 'Bottom-up Tagging Assumptions'!$B$12:$C$56, 2, FALSE)</f>
        <v>#Other Economic(P); Social(S)</v>
      </c>
      <c r="Z547" s="112" t="str">
        <f>VLOOKUP(P547, 'Bottom-up Tagging Assumptions'!$B$12:$F$56, 3, FALSE)</f>
        <v>#Improve price realization(P)</v>
      </c>
      <c r="AA547" s="112" t="str">
        <f>VLOOKUP(P547, 'Bottom-up Tagging Assumptions'!$B$12:$F$56, 4, FALSE)</f>
        <v>#Level 4(100)</v>
      </c>
      <c r="AB547" s="110" t="s">
        <v>907</v>
      </c>
      <c r="AC547" s="110"/>
      <c r="AD547" s="110"/>
      <c r="AE547" s="110" t="s">
        <v>10558</v>
      </c>
      <c r="AF547" s="112">
        <v>14634837</v>
      </c>
      <c r="AG547" s="110" t="s">
        <v>1119</v>
      </c>
      <c r="AH547" s="121">
        <f t="shared" si="285"/>
        <v>0</v>
      </c>
      <c r="AI547" s="121">
        <f t="shared" si="286"/>
        <v>0</v>
      </c>
      <c r="AJ547" s="121">
        <f t="shared" si="287"/>
        <v>1</v>
      </c>
      <c r="AK547" s="121">
        <f t="shared" si="288"/>
        <v>1</v>
      </c>
      <c r="AL547" s="121">
        <f t="shared" si="289"/>
        <v>0</v>
      </c>
      <c r="AM547" s="121">
        <f t="shared" si="290"/>
        <v>0</v>
      </c>
      <c r="AN547" s="121">
        <f t="shared" si="291"/>
        <v>1</v>
      </c>
      <c r="AO547" s="121">
        <f t="shared" si="292"/>
        <v>0</v>
      </c>
      <c r="AP547" s="22">
        <f t="shared" si="293"/>
        <v>0</v>
      </c>
      <c r="AQ547" s="22">
        <f t="shared" si="294"/>
        <v>16433.164836489665</v>
      </c>
      <c r="AR547" s="22">
        <f t="shared" si="295"/>
        <v>0</v>
      </c>
      <c r="AS547" s="121" t="str">
        <f t="shared" si="296"/>
        <v>Crops</v>
      </c>
      <c r="AT547" s="121" t="str">
        <f t="shared" si="313"/>
        <v xml:space="preserve"> </v>
      </c>
      <c r="AU547" s="121" t="str">
        <f t="shared" si="313"/>
        <v xml:space="preserve"> </v>
      </c>
      <c r="AV547" s="121" t="str">
        <f t="shared" si="313"/>
        <v xml:space="preserve"> </v>
      </c>
      <c r="AW547" s="130" t="str">
        <f t="shared" si="314"/>
        <v>100</v>
      </c>
      <c r="AX547" s="130" t="str">
        <f t="shared" si="314"/>
        <v xml:space="preserve"> </v>
      </c>
      <c r="AY547" s="130" t="str">
        <f t="shared" si="314"/>
        <v xml:space="preserve"> </v>
      </c>
      <c r="AZ547" s="130" t="str">
        <f t="shared" si="314"/>
        <v xml:space="preserve"> </v>
      </c>
      <c r="BA547" s="121">
        <f t="shared" si="297"/>
        <v>16433.164836489665</v>
      </c>
      <c r="BB547" s="121">
        <f t="shared" si="298"/>
        <v>0</v>
      </c>
      <c r="BC547" s="121">
        <f t="shared" si="299"/>
        <v>0</v>
      </c>
      <c r="BD547" s="121">
        <f t="shared" si="300"/>
        <v>0</v>
      </c>
      <c r="BE547" s="121">
        <f t="shared" si="301"/>
        <v>0</v>
      </c>
      <c r="BF547" s="121">
        <f t="shared" si="302"/>
        <v>0</v>
      </c>
      <c r="BG547" s="121">
        <f t="shared" si="303"/>
        <v>0</v>
      </c>
      <c r="BH547" s="121">
        <f t="shared" si="304"/>
        <v>0</v>
      </c>
      <c r="BI547" s="121">
        <f t="shared" si="305"/>
        <v>16433.164836489665</v>
      </c>
      <c r="BJ547" s="121">
        <f t="shared" si="306"/>
        <v>16433.164836489665</v>
      </c>
      <c r="BK547" s="121">
        <f t="shared" si="307"/>
        <v>16433.164836489665</v>
      </c>
      <c r="BL547" s="121">
        <f t="shared" si="308"/>
        <v>16433.164836489665</v>
      </c>
      <c r="BM547" s="121">
        <f t="shared" si="309"/>
        <v>0</v>
      </c>
      <c r="BN547" s="121">
        <f t="shared" si="310"/>
        <v>0</v>
      </c>
      <c r="BO547" s="121">
        <f t="shared" si="311"/>
        <v>0</v>
      </c>
      <c r="BP547" s="121">
        <f t="shared" si="312"/>
        <v>0</v>
      </c>
      <c r="BQ547" s="199">
        <f>INDEX('GDP deflators'!$C$6:$M$36,MATCH('Bottom-up tagging'!$D547,'GDP deflators'!$B$6:$B$36,),MATCH('Bottom-up tagging'!$E547,'GDP deflators'!$C$5:$L$5,))/100</f>
        <v>1.4111098032990623</v>
      </c>
      <c r="BR547" s="24">
        <v>23189</v>
      </c>
    </row>
    <row r="548" spans="2:70" ht="26.15" hidden="1" customHeight="1">
      <c r="B548" s="110" t="s">
        <v>1239</v>
      </c>
      <c r="C548" s="110" t="s">
        <v>1244</v>
      </c>
      <c r="D548" s="110" t="s">
        <v>3994</v>
      </c>
      <c r="E548" s="103">
        <v>2017</v>
      </c>
      <c r="F548" s="108" t="s">
        <v>6843</v>
      </c>
      <c r="G548" s="111" t="s">
        <v>34</v>
      </c>
      <c r="H548" s="110" t="s">
        <v>10451</v>
      </c>
      <c r="I548" s="112">
        <f>IF(Dashboard!$B$16="Current USD",'Bottom-up tagging'!BR548,'Bottom-up tagging'!BR548/'Bottom-up tagging'!BQ548)</f>
        <v>16377.889194709245</v>
      </c>
      <c r="J548" s="105" t="s">
        <v>10474</v>
      </c>
      <c r="K548" s="112"/>
      <c r="L548" s="135">
        <v>1</v>
      </c>
      <c r="M548" s="135">
        <v>1</v>
      </c>
      <c r="N548" s="112"/>
      <c r="O548" s="112"/>
      <c r="P548" s="112" t="str">
        <f>VLOOKUP(B548, 'Companies covered restructured'!$B$7:$K$470, 9, FALSE)</f>
        <v>Quality testing technologies</v>
      </c>
      <c r="Q548" s="112" t="str">
        <f>VLOOKUP(B548, 'Companies covered restructured'!$B$7:$K$470, 6, FALSE)</f>
        <v>#Crops(100)</v>
      </c>
      <c r="R548" s="112" t="str">
        <f t="shared" si="284"/>
        <v>#Investment Fund(100)</v>
      </c>
      <c r="S548" s="112" t="s">
        <v>11003</v>
      </c>
      <c r="T548" s="112" t="s">
        <v>10466</v>
      </c>
      <c r="U548" s="103" t="s">
        <v>10970</v>
      </c>
      <c r="V548" s="112" t="str">
        <f>VLOOKUP(P548, 'Bottom-up Tagging Assumptions'!$B$12:$F$39, 5, FALSE)</f>
        <v>#Science &amp; tech(100)</v>
      </c>
      <c r="W548" s="112" t="str">
        <f>VLOOKUP(B548, 'Companies covered restructured'!$B$7:$K$470, 7, FALSE)</f>
        <v>#Farm/Household(100)</v>
      </c>
      <c r="X548" s="112" t="s">
        <v>10558</v>
      </c>
      <c r="Y548" s="212" t="str">
        <f>VLOOKUP(P548, 'Bottom-up Tagging Assumptions'!$B$12:$C$56, 2, FALSE)</f>
        <v>#Human Condition(P); #Other Economic(S)</v>
      </c>
      <c r="Z548" s="112" t="str">
        <f>VLOOKUP(P548, 'Bottom-up Tagging Assumptions'!$B$12:$F$56, 3, FALSE)</f>
        <v>#Health(P); #Reducing variability of profits(S)</v>
      </c>
      <c r="AA548" s="112" t="str">
        <f>VLOOKUP(P548, 'Bottom-up Tagging Assumptions'!$B$12:$F$56, 4, FALSE)</f>
        <v>#Level 1(100)</v>
      </c>
      <c r="AB548" s="110" t="s">
        <v>1660</v>
      </c>
      <c r="AC548" s="110"/>
      <c r="AD548" s="110" t="s">
        <v>1661</v>
      </c>
      <c r="AE548" s="110" t="str">
        <f>VLOOKUP(AD548,  '1.2'!$B$7:$C$2033, 2, FALSE)</f>
        <v>FUND</v>
      </c>
      <c r="AF548" s="112">
        <v>1500000</v>
      </c>
      <c r="AG548" s="110" t="s">
        <v>2996</v>
      </c>
      <c r="AH548" s="121">
        <f t="shared" si="285"/>
        <v>0</v>
      </c>
      <c r="AI548" s="121">
        <f t="shared" si="286"/>
        <v>0</v>
      </c>
      <c r="AJ548" s="121">
        <f t="shared" si="287"/>
        <v>1</v>
      </c>
      <c r="AK548" s="121">
        <f t="shared" si="288"/>
        <v>0</v>
      </c>
      <c r="AL548" s="121">
        <f t="shared" si="289"/>
        <v>1</v>
      </c>
      <c r="AM548" s="121">
        <f t="shared" si="290"/>
        <v>0</v>
      </c>
      <c r="AN548" s="121">
        <f t="shared" si="291"/>
        <v>1</v>
      </c>
      <c r="AO548" s="121">
        <f t="shared" si="292"/>
        <v>0</v>
      </c>
      <c r="AP548" s="22">
        <f t="shared" si="293"/>
        <v>0</v>
      </c>
      <c r="AQ548" s="22">
        <f t="shared" si="294"/>
        <v>16377.889194709245</v>
      </c>
      <c r="AR548" s="22">
        <f t="shared" si="295"/>
        <v>0</v>
      </c>
      <c r="AS548" s="121" t="str">
        <f t="shared" si="296"/>
        <v>Crops</v>
      </c>
      <c r="AT548" s="121" t="str">
        <f t="shared" si="313"/>
        <v xml:space="preserve"> </v>
      </c>
      <c r="AU548" s="121" t="str">
        <f t="shared" si="313"/>
        <v xml:space="preserve"> </v>
      </c>
      <c r="AV548" s="121" t="str">
        <f t="shared" si="313"/>
        <v xml:space="preserve"> </v>
      </c>
      <c r="AW548" s="130" t="str">
        <f t="shared" si="314"/>
        <v>100</v>
      </c>
      <c r="AX548" s="130" t="str">
        <f t="shared" si="314"/>
        <v xml:space="preserve"> </v>
      </c>
      <c r="AY548" s="130" t="str">
        <f t="shared" si="314"/>
        <v xml:space="preserve"> </v>
      </c>
      <c r="AZ548" s="130" t="str">
        <f t="shared" si="314"/>
        <v xml:space="preserve"> </v>
      </c>
      <c r="BA548" s="121">
        <f t="shared" si="297"/>
        <v>16377.889194709243</v>
      </c>
      <c r="BB548" s="121">
        <f t="shared" si="298"/>
        <v>0</v>
      </c>
      <c r="BC548" s="121">
        <f t="shared" si="299"/>
        <v>0</v>
      </c>
      <c r="BD548" s="121">
        <f t="shared" si="300"/>
        <v>0</v>
      </c>
      <c r="BE548" s="121">
        <f t="shared" si="301"/>
        <v>0</v>
      </c>
      <c r="BF548" s="121">
        <f t="shared" si="302"/>
        <v>0</v>
      </c>
      <c r="BG548" s="121">
        <f t="shared" si="303"/>
        <v>0</v>
      </c>
      <c r="BH548" s="121">
        <f t="shared" si="304"/>
        <v>0</v>
      </c>
      <c r="BI548" s="121">
        <f t="shared" si="305"/>
        <v>16377.889194709243</v>
      </c>
      <c r="BJ548" s="121">
        <f t="shared" si="306"/>
        <v>16377.889194709245</v>
      </c>
      <c r="BK548" s="121">
        <f t="shared" si="307"/>
        <v>16377.889194709245</v>
      </c>
      <c r="BL548" s="121">
        <f t="shared" si="308"/>
        <v>16377.889194709245</v>
      </c>
      <c r="BM548" s="121">
        <f t="shared" si="309"/>
        <v>0</v>
      </c>
      <c r="BN548" s="121">
        <f t="shared" si="310"/>
        <v>0</v>
      </c>
      <c r="BO548" s="121">
        <f t="shared" si="311"/>
        <v>0</v>
      </c>
      <c r="BP548" s="121">
        <f t="shared" si="312"/>
        <v>0</v>
      </c>
      <c r="BQ548" s="199">
        <f>INDEX('GDP deflators'!$C$6:$M$36,MATCH('Bottom-up tagging'!$D548,'GDP deflators'!$B$6:$B$36,),MATCH('Bottom-up tagging'!$E548,'GDP deflators'!$C$5:$L$5,))/100</f>
        <v>1.4111098032990623</v>
      </c>
      <c r="BR548" s="24">
        <v>23111</v>
      </c>
    </row>
    <row r="549" spans="2:70" ht="26.15" hidden="1" customHeight="1">
      <c r="B549" s="110" t="s">
        <v>2335</v>
      </c>
      <c r="C549" s="110" t="s">
        <v>2339</v>
      </c>
      <c r="D549" s="110" t="s">
        <v>9288</v>
      </c>
      <c r="E549" s="103">
        <v>2016</v>
      </c>
      <c r="F549" s="108" t="s">
        <v>9411</v>
      </c>
      <c r="G549" s="111" t="s">
        <v>184</v>
      </c>
      <c r="H549" s="110" t="s">
        <v>10451</v>
      </c>
      <c r="I549" s="112">
        <f>IF(Dashboard!$B$16="Current USD",'Bottom-up tagging'!BR549,'Bottom-up tagging'!BR549/'Bottom-up tagging'!BQ549)</f>
        <v>19091.282557617189</v>
      </c>
      <c r="J549" s="117" t="s">
        <v>10474</v>
      </c>
      <c r="K549" s="112"/>
      <c r="L549" s="135">
        <v>1</v>
      </c>
      <c r="M549" s="135">
        <v>1</v>
      </c>
      <c r="N549" s="112"/>
      <c r="O549" s="112"/>
      <c r="P549" s="112" t="str">
        <f>VLOOKUP(B549, 'Companies covered restructured'!$B$7:$K$470, 9, FALSE)</f>
        <v xml:space="preserve">Agriculture financing systems </v>
      </c>
      <c r="Q549" s="112" t="str">
        <f>VLOOKUP(B549, 'Companies covered restructured'!$B$7:$K$470, 6, FALSE)</f>
        <v>#Crops(100)</v>
      </c>
      <c r="R549" s="112" t="str">
        <f t="shared" si="284"/>
        <v>N/A</v>
      </c>
      <c r="S549" s="112" t="s">
        <v>11003</v>
      </c>
      <c r="T549" s="112" t="s">
        <v>10465</v>
      </c>
      <c r="U549" s="103" t="s">
        <v>10970</v>
      </c>
      <c r="V549" s="112" t="str">
        <f>VLOOKUP(P549, 'Bottom-up Tagging Assumptions'!$B$12:$F$39, 5, FALSE)</f>
        <v>#Process Innovation(100)</v>
      </c>
      <c r="W549" s="112" t="str">
        <f>VLOOKUP(B549, 'Companies covered restructured'!$B$7:$K$470, 7, FALSE)</f>
        <v>#Landscape(100)</v>
      </c>
      <c r="X549" s="112" t="str">
        <f>VLOOKUP(B549, 'Companies covered restructured'!$B$7:$K$470, 8, FALSE)</f>
        <v>N/A</v>
      </c>
      <c r="Y549" s="212" t="str">
        <f>VLOOKUP(P549, 'Bottom-up Tagging Assumptions'!$B$12:$C$56, 2, FALSE)</f>
        <v>#Other Economic(P); Social(S)</v>
      </c>
      <c r="Z549" s="112" t="str">
        <f>VLOOKUP(P549, 'Bottom-up Tagging Assumptions'!$B$12:$F$56, 3, FALSE)</f>
        <v>NA</v>
      </c>
      <c r="AA549" s="112" t="str">
        <f>VLOOKUP(P549, 'Bottom-up Tagging Assumptions'!$B$12:$F$56, 4, FALSE)</f>
        <v>#Level 1(100)</v>
      </c>
      <c r="AB549" s="110" t="s">
        <v>2337</v>
      </c>
      <c r="AC549" s="110"/>
      <c r="AD549" s="110"/>
      <c r="AE549" s="110" t="s">
        <v>10558</v>
      </c>
      <c r="AF549" s="112"/>
      <c r="AG549" s="110" t="s">
        <v>2483</v>
      </c>
      <c r="AH549" s="121">
        <f t="shared" si="285"/>
        <v>0</v>
      </c>
      <c r="AI549" s="121">
        <f t="shared" si="286"/>
        <v>0</v>
      </c>
      <c r="AJ549" s="121">
        <f t="shared" si="287"/>
        <v>1</v>
      </c>
      <c r="AK549" s="121">
        <f t="shared" si="288"/>
        <v>1</v>
      </c>
      <c r="AL549" s="121">
        <f t="shared" si="289"/>
        <v>0</v>
      </c>
      <c r="AM549" s="121">
        <f t="shared" si="290"/>
        <v>0</v>
      </c>
      <c r="AN549" s="121">
        <f t="shared" si="291"/>
        <v>1</v>
      </c>
      <c r="AO549" s="121">
        <f t="shared" si="292"/>
        <v>0</v>
      </c>
      <c r="AP549" s="22">
        <f t="shared" si="293"/>
        <v>0</v>
      </c>
      <c r="AQ549" s="22">
        <f t="shared" si="294"/>
        <v>19091.282557617189</v>
      </c>
      <c r="AR549" s="22">
        <f t="shared" si="295"/>
        <v>0</v>
      </c>
      <c r="AS549" s="121" t="str">
        <f t="shared" si="296"/>
        <v>Crops</v>
      </c>
      <c r="AT549" s="121" t="str">
        <f t="shared" si="313"/>
        <v xml:space="preserve"> </v>
      </c>
      <c r="AU549" s="121" t="str">
        <f t="shared" si="313"/>
        <v xml:space="preserve"> </v>
      </c>
      <c r="AV549" s="121" t="str">
        <f t="shared" si="313"/>
        <v xml:space="preserve"> </v>
      </c>
      <c r="AW549" s="130" t="str">
        <f t="shared" si="314"/>
        <v>100</v>
      </c>
      <c r="AX549" s="130" t="str">
        <f t="shared" si="314"/>
        <v xml:space="preserve"> </v>
      </c>
      <c r="AY549" s="130" t="str">
        <f t="shared" si="314"/>
        <v xml:space="preserve"> </v>
      </c>
      <c r="AZ549" s="130" t="str">
        <f t="shared" si="314"/>
        <v xml:space="preserve"> </v>
      </c>
      <c r="BA549" s="121">
        <f t="shared" si="297"/>
        <v>19091.282557617189</v>
      </c>
      <c r="BB549" s="121">
        <f t="shared" si="298"/>
        <v>0</v>
      </c>
      <c r="BC549" s="121">
        <f t="shared" si="299"/>
        <v>0</v>
      </c>
      <c r="BD549" s="121">
        <f t="shared" si="300"/>
        <v>0</v>
      </c>
      <c r="BE549" s="121">
        <f t="shared" si="301"/>
        <v>0</v>
      </c>
      <c r="BF549" s="121">
        <f t="shared" si="302"/>
        <v>0</v>
      </c>
      <c r="BG549" s="121">
        <f t="shared" si="303"/>
        <v>0</v>
      </c>
      <c r="BH549" s="121">
        <f t="shared" si="304"/>
        <v>0</v>
      </c>
      <c r="BI549" s="121">
        <f t="shared" si="305"/>
        <v>19091.282557617189</v>
      </c>
      <c r="BJ549" s="121">
        <f t="shared" si="306"/>
        <v>19091.282557617189</v>
      </c>
      <c r="BK549" s="121">
        <f t="shared" si="307"/>
        <v>19091.282557617189</v>
      </c>
      <c r="BL549" s="121">
        <f t="shared" si="308"/>
        <v>19091.282557617189</v>
      </c>
      <c r="BM549" s="121">
        <f t="shared" si="309"/>
        <v>0</v>
      </c>
      <c r="BN549" s="121">
        <f t="shared" si="310"/>
        <v>0</v>
      </c>
      <c r="BO549" s="121">
        <f t="shared" si="311"/>
        <v>0</v>
      </c>
      <c r="BP549" s="121">
        <f t="shared" si="312"/>
        <v>0</v>
      </c>
      <c r="BQ549" s="199">
        <f>INDEX('GDP deflators'!$C$6:$M$36,MATCH('Bottom-up tagging'!$D549,'GDP deflators'!$B$6:$B$36,),MATCH('Bottom-up tagging'!$E549,'GDP deflators'!$C$5:$L$5,))/100</f>
        <v>1.120930452703486</v>
      </c>
      <c r="BR549" s="24">
        <v>21400</v>
      </c>
    </row>
    <row r="550" spans="2:70" ht="26.15" hidden="1" customHeight="1">
      <c r="B550" s="110" t="s">
        <v>1058</v>
      </c>
      <c r="C550" s="110" t="s">
        <v>1061</v>
      </c>
      <c r="D550" s="110" t="s">
        <v>3994</v>
      </c>
      <c r="E550" s="103">
        <v>2018</v>
      </c>
      <c r="F550" s="108" t="s">
        <v>6800</v>
      </c>
      <c r="G550" s="111" t="s">
        <v>34</v>
      </c>
      <c r="H550" s="110" t="s">
        <v>10451</v>
      </c>
      <c r="I550" s="112">
        <f>IF(Dashboard!$B$16="Current USD",'Bottom-up tagging'!BR550,'Bottom-up tagging'!BR550/'Bottom-up tagging'!BQ550)</f>
        <v>14410.39253294367</v>
      </c>
      <c r="J550" s="118" t="s">
        <v>10474</v>
      </c>
      <c r="K550" s="112"/>
      <c r="L550" s="135">
        <v>1</v>
      </c>
      <c r="M550" s="135">
        <v>1</v>
      </c>
      <c r="N550" s="112"/>
      <c r="O550" s="112"/>
      <c r="P550" s="112" t="str">
        <f>VLOOKUP(B550, 'Companies covered restructured'!$B$7:$K$470, 9, FALSE)</f>
        <v xml:space="preserve">Hydroponics </v>
      </c>
      <c r="Q550" s="112" t="str">
        <f>VLOOKUP(B550, 'Companies covered restructured'!$B$7:$K$470, 6, FALSE)</f>
        <v>#Crops(100)</v>
      </c>
      <c r="R550" s="112" t="str">
        <f t="shared" si="284"/>
        <v>N/A</v>
      </c>
      <c r="S550" s="112" t="s">
        <v>11003</v>
      </c>
      <c r="T550" s="112" t="s">
        <v>10466</v>
      </c>
      <c r="U550" s="103" t="s">
        <v>10970</v>
      </c>
      <c r="V550" s="112" t="str">
        <f>VLOOKUP(P550, 'Bottom-up Tagging Assumptions'!$B$12:$F$39, 5, FALSE)</f>
        <v>#Science &amp; tech(100)</v>
      </c>
      <c r="W550" s="112" t="str">
        <f>VLOOKUP(B550, 'Companies covered restructured'!$B$7:$K$470, 7, FALSE)</f>
        <v>#Field/Animal Herd(100)</v>
      </c>
      <c r="X550" s="112" t="s">
        <v>10558</v>
      </c>
      <c r="Y550" s="212" t="str">
        <f>VLOOKUP(P550, 'Bottom-up Tagging Assumptions'!$B$12:$C$56, 2, FALSE)</f>
        <v>#Human Condition(P); #Environmental(S); #Productivity(S)</v>
      </c>
      <c r="Z550" s="112" t="str">
        <f>VLOOKUP(P550, 'Bottom-up Tagging Assumptions'!$B$12:$F$56, 3, FALSE)</f>
        <v>#Food security(P); #Reducing production variability(S)</v>
      </c>
      <c r="AA550" s="112" t="str">
        <f>VLOOKUP(P550, 'Bottom-up Tagging Assumptions'!$B$12:$F$56, 4, FALSE)</f>
        <v>#Level 2(100)</v>
      </c>
      <c r="AB550" s="110"/>
      <c r="AC550" s="110"/>
      <c r="AD550" s="110"/>
      <c r="AE550" s="110" t="s">
        <v>10558</v>
      </c>
      <c r="AF550" s="112">
        <v>8729360</v>
      </c>
      <c r="AG550" s="110" t="s">
        <v>3000</v>
      </c>
      <c r="AH550" s="121">
        <f t="shared" si="285"/>
        <v>1</v>
      </c>
      <c r="AI550" s="121">
        <f t="shared" si="286"/>
        <v>1</v>
      </c>
      <c r="AJ550" s="121">
        <f t="shared" si="287"/>
        <v>0</v>
      </c>
      <c r="AK550" s="121">
        <f t="shared" si="288"/>
        <v>0</v>
      </c>
      <c r="AL550" s="121">
        <f t="shared" si="289"/>
        <v>1</v>
      </c>
      <c r="AM550" s="121">
        <f t="shared" si="290"/>
        <v>1</v>
      </c>
      <c r="AN550" s="121">
        <f t="shared" si="291"/>
        <v>1</v>
      </c>
      <c r="AO550" s="121">
        <f t="shared" si="292"/>
        <v>1</v>
      </c>
      <c r="AP550" s="22">
        <f t="shared" si="293"/>
        <v>14410.39253294367</v>
      </c>
      <c r="AQ550" s="22">
        <f t="shared" si="294"/>
        <v>14410.39253294367</v>
      </c>
      <c r="AR550" s="22">
        <f t="shared" si="295"/>
        <v>14410.39253294367</v>
      </c>
      <c r="AS550" s="121" t="str">
        <f t="shared" si="296"/>
        <v>Crops</v>
      </c>
      <c r="AT550" s="121" t="str">
        <f t="shared" si="313"/>
        <v xml:space="preserve"> </v>
      </c>
      <c r="AU550" s="121" t="str">
        <f t="shared" si="313"/>
        <v xml:space="preserve"> </v>
      </c>
      <c r="AV550" s="121" t="str">
        <f t="shared" si="313"/>
        <v xml:space="preserve"> </v>
      </c>
      <c r="AW550" s="130" t="str">
        <f t="shared" si="314"/>
        <v>100</v>
      </c>
      <c r="AX550" s="130" t="str">
        <f t="shared" si="314"/>
        <v xml:space="preserve"> </v>
      </c>
      <c r="AY550" s="130" t="str">
        <f t="shared" si="314"/>
        <v xml:space="preserve"> </v>
      </c>
      <c r="AZ550" s="130" t="str">
        <f t="shared" si="314"/>
        <v xml:space="preserve"> </v>
      </c>
      <c r="BA550" s="121">
        <f t="shared" si="297"/>
        <v>14410.392532943668</v>
      </c>
      <c r="BB550" s="121">
        <f t="shared" si="298"/>
        <v>0</v>
      </c>
      <c r="BC550" s="121">
        <f t="shared" si="299"/>
        <v>0</v>
      </c>
      <c r="BD550" s="121">
        <f t="shared" si="300"/>
        <v>0</v>
      </c>
      <c r="BE550" s="121">
        <f t="shared" si="301"/>
        <v>14410.392532943668</v>
      </c>
      <c r="BF550" s="121">
        <f t="shared" si="302"/>
        <v>14410.39253294367</v>
      </c>
      <c r="BG550" s="121">
        <f t="shared" si="303"/>
        <v>14410.39253294367</v>
      </c>
      <c r="BH550" s="121">
        <f t="shared" si="304"/>
        <v>14410.39253294367</v>
      </c>
      <c r="BI550" s="121">
        <f t="shared" si="305"/>
        <v>14410.392532943668</v>
      </c>
      <c r="BJ550" s="121">
        <f t="shared" si="306"/>
        <v>14410.39253294367</v>
      </c>
      <c r="BK550" s="121">
        <f t="shared" si="307"/>
        <v>14410.39253294367</v>
      </c>
      <c r="BL550" s="121">
        <f t="shared" si="308"/>
        <v>14410.39253294367</v>
      </c>
      <c r="BM550" s="121">
        <f t="shared" si="309"/>
        <v>14410.392532943668</v>
      </c>
      <c r="BN550" s="121">
        <f t="shared" si="310"/>
        <v>14410.39253294367</v>
      </c>
      <c r="BO550" s="121">
        <f t="shared" si="311"/>
        <v>14410.39253294367</v>
      </c>
      <c r="BP550" s="121">
        <f t="shared" si="312"/>
        <v>14410.39253294367</v>
      </c>
      <c r="BQ550" s="199">
        <f>INDEX('GDP deflators'!$C$6:$M$36,MATCH('Bottom-up tagging'!$D550,'GDP deflators'!$B$6:$B$36,),MATCH('Bottom-up tagging'!$E550,'GDP deflators'!$C$5:$L$5,))/100</f>
        <v>1.4753935363936217</v>
      </c>
      <c r="BR550" s="24">
        <v>21261</v>
      </c>
    </row>
    <row r="551" spans="2:70" ht="26.15" hidden="1" customHeight="1">
      <c r="B551" s="110" t="s">
        <v>707</v>
      </c>
      <c r="C551" s="110" t="s">
        <v>710</v>
      </c>
      <c r="D551" s="110" t="s">
        <v>3994</v>
      </c>
      <c r="E551" s="103">
        <v>2018</v>
      </c>
      <c r="F551" s="108" t="s">
        <v>5869</v>
      </c>
      <c r="G551" s="111" t="s">
        <v>34</v>
      </c>
      <c r="H551" s="110" t="s">
        <v>10451</v>
      </c>
      <c r="I551" s="112">
        <f>IF(Dashboard!$B$16="Current USD",'Bottom-up tagging'!BR551,'Bottom-up tagging'!BR551/'Bottom-up tagging'!BQ551)</f>
        <v>13658.728673339958</v>
      </c>
      <c r="J551" s="118" t="s">
        <v>10474</v>
      </c>
      <c r="K551" s="112"/>
      <c r="L551" s="135">
        <v>1</v>
      </c>
      <c r="M551" s="135">
        <v>1</v>
      </c>
      <c r="N551" s="112"/>
      <c r="O551" s="112"/>
      <c r="P551" s="112" t="str">
        <f>VLOOKUP(B551, 'Companies covered restructured'!$B$7:$K$470, 9, FALSE)</f>
        <v>Precision agriculture</v>
      </c>
      <c r="Q551" s="112" t="str">
        <f>VLOOKUP(B551, 'Companies covered restructured'!$B$7:$K$470, 6, FALSE)</f>
        <v>#Crops(100)</v>
      </c>
      <c r="R551" s="112" t="str">
        <f t="shared" si="284"/>
        <v>#Investment Fund(100)</v>
      </c>
      <c r="S551" s="112" t="s">
        <v>11003</v>
      </c>
      <c r="T551" s="112" t="s">
        <v>10466</v>
      </c>
      <c r="U551" s="103" t="s">
        <v>10970</v>
      </c>
      <c r="V551" s="112" t="str">
        <f>VLOOKUP(P551, 'Bottom-up Tagging Assumptions'!$B$12:$F$39, 5, FALSE)</f>
        <v>#Science &amp; tech(100)</v>
      </c>
      <c r="W551" s="112" t="str">
        <f>VLOOKUP(B551, 'Companies covered restructured'!$B$7:$K$470, 7, FALSE)</f>
        <v>#Field/Animal Herd(100)</v>
      </c>
      <c r="X551" s="112" t="s">
        <v>10558</v>
      </c>
      <c r="Y551" s="212" t="str">
        <f>VLOOKUP(P551, 'Bottom-up Tagging Assumptions'!$B$12:$C$56, 2, FALSE)</f>
        <v>#Other Economic(P); #Productivity(S)</v>
      </c>
      <c r="Z551" s="112" t="str">
        <f>VLOOKUP(P551, 'Bottom-up Tagging Assumptions'!$B$12:$F$56, 3, FALSE)</f>
        <v>#Increasing output per unit input(P); #Increasing crop or animal yield(S)</v>
      </c>
      <c r="AA551" s="112" t="str">
        <f>VLOOKUP(P551, 'Bottom-up Tagging Assumptions'!$B$12:$F$56, 4, FALSE)</f>
        <v>#Level 1(100)</v>
      </c>
      <c r="AB551" s="110" t="s">
        <v>1735</v>
      </c>
      <c r="AC551" s="110"/>
      <c r="AD551" s="110" t="s">
        <v>1736</v>
      </c>
      <c r="AE551" s="110" t="str">
        <f>VLOOKUP(AD551,  '1.2'!$B$7:$C$2033, 2, FALSE)</f>
        <v>FUND</v>
      </c>
      <c r="AF551" s="112">
        <v>8883505</v>
      </c>
      <c r="AG551" s="110" t="s">
        <v>2657</v>
      </c>
      <c r="AH551" s="121">
        <f t="shared" si="285"/>
        <v>0</v>
      </c>
      <c r="AI551" s="121">
        <f t="shared" si="286"/>
        <v>1</v>
      </c>
      <c r="AJ551" s="121">
        <f t="shared" si="287"/>
        <v>1</v>
      </c>
      <c r="AK551" s="121">
        <f t="shared" si="288"/>
        <v>0</v>
      </c>
      <c r="AL551" s="121">
        <f t="shared" si="289"/>
        <v>0</v>
      </c>
      <c r="AM551" s="121">
        <f t="shared" si="290"/>
        <v>0</v>
      </c>
      <c r="AN551" s="121">
        <f t="shared" si="291"/>
        <v>0</v>
      </c>
      <c r="AO551" s="121">
        <f t="shared" si="292"/>
        <v>0</v>
      </c>
      <c r="AP551" s="22">
        <f t="shared" si="293"/>
        <v>0</v>
      </c>
      <c r="AQ551" s="22">
        <f t="shared" si="294"/>
        <v>0</v>
      </c>
      <c r="AR551" s="22">
        <f t="shared" si="295"/>
        <v>0</v>
      </c>
      <c r="AS551" s="121" t="str">
        <f t="shared" si="296"/>
        <v>Crops</v>
      </c>
      <c r="AT551" s="121" t="str">
        <f t="shared" si="313"/>
        <v xml:space="preserve"> </v>
      </c>
      <c r="AU551" s="121" t="str">
        <f t="shared" si="313"/>
        <v xml:space="preserve"> </v>
      </c>
      <c r="AV551" s="121" t="str">
        <f t="shared" si="313"/>
        <v xml:space="preserve"> </v>
      </c>
      <c r="AW551" s="130" t="str">
        <f t="shared" si="314"/>
        <v>100</v>
      </c>
      <c r="AX551" s="130" t="str">
        <f t="shared" si="314"/>
        <v xml:space="preserve"> </v>
      </c>
      <c r="AY551" s="130" t="str">
        <f t="shared" si="314"/>
        <v xml:space="preserve"> </v>
      </c>
      <c r="AZ551" s="130" t="str">
        <f t="shared" si="314"/>
        <v xml:space="preserve"> </v>
      </c>
      <c r="BA551" s="121">
        <f t="shared" si="297"/>
        <v>13658.72867333996</v>
      </c>
      <c r="BB551" s="121">
        <f t="shared" si="298"/>
        <v>0</v>
      </c>
      <c r="BC551" s="121">
        <f t="shared" si="299"/>
        <v>0</v>
      </c>
      <c r="BD551" s="121">
        <f t="shared" si="300"/>
        <v>0</v>
      </c>
      <c r="BE551" s="121">
        <f t="shared" si="301"/>
        <v>0</v>
      </c>
      <c r="BF551" s="121">
        <f t="shared" si="302"/>
        <v>0</v>
      </c>
      <c r="BG551" s="121">
        <f t="shared" si="303"/>
        <v>0</v>
      </c>
      <c r="BH551" s="121">
        <f t="shared" si="304"/>
        <v>0</v>
      </c>
      <c r="BI551" s="121">
        <f t="shared" si="305"/>
        <v>0</v>
      </c>
      <c r="BJ551" s="121">
        <f t="shared" si="306"/>
        <v>0</v>
      </c>
      <c r="BK551" s="121">
        <f t="shared" si="307"/>
        <v>0</v>
      </c>
      <c r="BL551" s="121">
        <f t="shared" si="308"/>
        <v>0</v>
      </c>
      <c r="BM551" s="121">
        <f t="shared" si="309"/>
        <v>0</v>
      </c>
      <c r="BN551" s="121">
        <f t="shared" si="310"/>
        <v>0</v>
      </c>
      <c r="BO551" s="121">
        <f t="shared" si="311"/>
        <v>0</v>
      </c>
      <c r="BP551" s="121">
        <f t="shared" si="312"/>
        <v>0</v>
      </c>
      <c r="BQ551" s="199">
        <f>INDEX('GDP deflators'!$C$6:$M$36,MATCH('Bottom-up tagging'!$D551,'GDP deflators'!$B$6:$B$36,),MATCH('Bottom-up tagging'!$E551,'GDP deflators'!$C$5:$L$5,))/100</f>
        <v>1.4753935363936217</v>
      </c>
      <c r="BR551" s="24">
        <v>20152</v>
      </c>
    </row>
    <row r="552" spans="2:70" ht="26.15" hidden="1" customHeight="1">
      <c r="B552" s="110" t="s">
        <v>680</v>
      </c>
      <c r="C552" s="110" t="s">
        <v>685</v>
      </c>
      <c r="D552" s="110" t="s">
        <v>6281</v>
      </c>
      <c r="E552" s="103">
        <v>2019</v>
      </c>
      <c r="F552" s="108" t="s">
        <v>6410</v>
      </c>
      <c r="G552" s="111" t="s">
        <v>34</v>
      </c>
      <c r="H552" s="110" t="s">
        <v>10451</v>
      </c>
      <c r="I552" s="112">
        <f>IF(Dashboard!$B$16="Current USD",'Bottom-up tagging'!BR552,'Bottom-up tagging'!BR552/'Bottom-up tagging'!BQ552)</f>
        <v>13377.618907320384</v>
      </c>
      <c r="J552" s="117" t="s">
        <v>10474</v>
      </c>
      <c r="K552" s="112"/>
      <c r="L552" s="135">
        <v>1</v>
      </c>
      <c r="M552" s="135">
        <v>1</v>
      </c>
      <c r="N552" s="112"/>
      <c r="O552" s="112"/>
      <c r="P552" s="112" t="str">
        <f>VLOOKUP(B552, 'Companies covered restructured'!$B$7:$K$470, 9, FALSE)</f>
        <v>Agri marketplaces</v>
      </c>
      <c r="Q552" s="112" t="str">
        <f>VLOOKUP(B552, 'Companies covered restructured'!$B$7:$K$470, 6, FALSE)</f>
        <v>#Crops(100)</v>
      </c>
      <c r="R552" s="112" t="str">
        <f t="shared" si="284"/>
        <v>#Investment Fund(100)</v>
      </c>
      <c r="S552" s="112" t="s">
        <v>11003</v>
      </c>
      <c r="T552" s="112" t="s">
        <v>10466</v>
      </c>
      <c r="U552" s="103" t="s">
        <v>10970</v>
      </c>
      <c r="V552" s="112" t="str">
        <f>VLOOKUP(P552, 'Bottom-up Tagging Assumptions'!$B$12:$F$39, 5, FALSE)</f>
        <v>#Process Innovation(100)</v>
      </c>
      <c r="W552" s="112" t="str">
        <f>VLOOKUP(B552, 'Companies covered restructured'!$B$7:$K$470, 7, FALSE)</f>
        <v>#Farm/Household(100)</v>
      </c>
      <c r="X552" s="112" t="s">
        <v>10558</v>
      </c>
      <c r="Y552" s="212" t="str">
        <f>VLOOKUP(P552, 'Bottom-up Tagging Assumptions'!$B$12:$C$56, 2, FALSE)</f>
        <v>#Other Economic(P); Social(S)</v>
      </c>
      <c r="Z552" s="112" t="str">
        <f>VLOOKUP(P552, 'Bottom-up Tagging Assumptions'!$B$12:$F$56, 3, FALSE)</f>
        <v>#Improve price realization(P)</v>
      </c>
      <c r="AA552" s="112" t="str">
        <f>VLOOKUP(P552, 'Bottom-up Tagging Assumptions'!$B$12:$F$56, 4, FALSE)</f>
        <v>#Level 4(100)</v>
      </c>
      <c r="AB552" s="110" t="s">
        <v>682</v>
      </c>
      <c r="AC552" s="110"/>
      <c r="AD552" s="110" t="s">
        <v>683</v>
      </c>
      <c r="AE552" s="110" t="str">
        <f>VLOOKUP(AD552,  '1.2'!$B$7:$C$2033, 2, FALSE)</f>
        <v>FUND</v>
      </c>
      <c r="AF552" s="112">
        <v>1970000</v>
      </c>
      <c r="AG552" s="110" t="s">
        <v>3007</v>
      </c>
      <c r="AH552" s="121">
        <f t="shared" si="285"/>
        <v>0</v>
      </c>
      <c r="AI552" s="121">
        <f t="shared" si="286"/>
        <v>0</v>
      </c>
      <c r="AJ552" s="121">
        <f t="shared" si="287"/>
        <v>1</v>
      </c>
      <c r="AK552" s="121">
        <f t="shared" si="288"/>
        <v>1</v>
      </c>
      <c r="AL552" s="121">
        <f t="shared" si="289"/>
        <v>0</v>
      </c>
      <c r="AM552" s="121">
        <f t="shared" si="290"/>
        <v>0</v>
      </c>
      <c r="AN552" s="121">
        <f t="shared" si="291"/>
        <v>1</v>
      </c>
      <c r="AO552" s="121">
        <f t="shared" si="292"/>
        <v>0</v>
      </c>
      <c r="AP552" s="22">
        <f t="shared" si="293"/>
        <v>0</v>
      </c>
      <c r="AQ552" s="22">
        <f t="shared" si="294"/>
        <v>13377.618907320384</v>
      </c>
      <c r="AR552" s="22">
        <f t="shared" si="295"/>
        <v>0</v>
      </c>
      <c r="AS552" s="121" t="str">
        <f t="shared" si="296"/>
        <v>Crops</v>
      </c>
      <c r="AT552" s="121" t="str">
        <f t="shared" ref="AT552:AV571" si="315">IFERROR(IFERROR(MID($Q552,FIND("~",SUBSTITUTE($Q552,";","~",AT$10-1))+3,(FIND("~",SUBSTITUTE($Q552,";","~",AT$10))+0-(FIND("~",SUBSTITUTE($Q552,";","~",AT$10-1))+2))-6),MID($Q552,FIND("~",SUBSTITUTE($Q552,";","~",AT$10-1))+3,(LEN($Q552)-6-FIND("~",SUBSTITUTE($Q552,";","~",AT$10-1))-1)))," ")</f>
        <v xml:space="preserve"> </v>
      </c>
      <c r="AU552" s="121" t="str">
        <f t="shared" si="315"/>
        <v xml:space="preserve"> </v>
      </c>
      <c r="AV552" s="121" t="str">
        <f t="shared" si="315"/>
        <v xml:space="preserve"> </v>
      </c>
      <c r="AW552" s="130" t="str">
        <f t="shared" ref="AW552:AZ571" si="316">IFERROR(MID($Q552,FIND("~",SUBSTITUTE($Q552,"(","~",AW$10))+1,3)," ")</f>
        <v>100</v>
      </c>
      <c r="AX552" s="130" t="str">
        <f t="shared" si="316"/>
        <v xml:space="preserve"> </v>
      </c>
      <c r="AY552" s="130" t="str">
        <f t="shared" si="316"/>
        <v xml:space="preserve"> </v>
      </c>
      <c r="AZ552" s="130" t="str">
        <f t="shared" si="316"/>
        <v xml:space="preserve"> </v>
      </c>
      <c r="BA552" s="121">
        <f t="shared" si="297"/>
        <v>13377.618907320382</v>
      </c>
      <c r="BB552" s="121">
        <f t="shared" si="298"/>
        <v>0</v>
      </c>
      <c r="BC552" s="121">
        <f t="shared" si="299"/>
        <v>0</v>
      </c>
      <c r="BD552" s="121">
        <f t="shared" si="300"/>
        <v>0</v>
      </c>
      <c r="BE552" s="121">
        <f t="shared" si="301"/>
        <v>0</v>
      </c>
      <c r="BF552" s="121">
        <f t="shared" si="302"/>
        <v>0</v>
      </c>
      <c r="BG552" s="121">
        <f t="shared" si="303"/>
        <v>0</v>
      </c>
      <c r="BH552" s="121">
        <f t="shared" si="304"/>
        <v>0</v>
      </c>
      <c r="BI552" s="121">
        <f t="shared" si="305"/>
        <v>13377.618907320382</v>
      </c>
      <c r="BJ552" s="121">
        <f t="shared" si="306"/>
        <v>13377.618907320384</v>
      </c>
      <c r="BK552" s="121">
        <f t="shared" si="307"/>
        <v>13377.618907320384</v>
      </c>
      <c r="BL552" s="121">
        <f t="shared" si="308"/>
        <v>13377.618907320384</v>
      </c>
      <c r="BM552" s="121">
        <f t="shared" si="309"/>
        <v>0</v>
      </c>
      <c r="BN552" s="121">
        <f t="shared" si="310"/>
        <v>0</v>
      </c>
      <c r="BO552" s="121">
        <f t="shared" si="311"/>
        <v>0</v>
      </c>
      <c r="BP552" s="121">
        <f t="shared" si="312"/>
        <v>0</v>
      </c>
      <c r="BQ552" s="199">
        <f>INDEX('GDP deflators'!$C$6:$M$36,MATCH('Bottom-up tagging'!$D552,'GDP deflators'!$B$6:$B$36,),MATCH('Bottom-up tagging'!$E552,'GDP deflators'!$C$5:$L$5,))/100</f>
        <v>1.4950343658732701</v>
      </c>
      <c r="BR552" s="24">
        <v>20000</v>
      </c>
    </row>
    <row r="553" spans="2:70" ht="26.15" hidden="1" customHeight="1">
      <c r="B553" s="110" t="s">
        <v>801</v>
      </c>
      <c r="C553" s="110" t="s">
        <v>805</v>
      </c>
      <c r="D553" s="110" t="s">
        <v>6297</v>
      </c>
      <c r="E553" s="103">
        <v>2019</v>
      </c>
      <c r="F553" s="108" t="s">
        <v>6300</v>
      </c>
      <c r="G553" s="111" t="s">
        <v>184</v>
      </c>
      <c r="H553" s="110" t="s">
        <v>10451</v>
      </c>
      <c r="I553" s="112">
        <f>IF(Dashboard!$B$16="Current USD",'Bottom-up tagging'!BR553,'Bottom-up tagging'!BR553/'Bottom-up tagging'!BQ553)</f>
        <v>12404.766093687129</v>
      </c>
      <c r="J553" s="117" t="s">
        <v>10474</v>
      </c>
      <c r="K553" s="112"/>
      <c r="L553" s="135">
        <v>1</v>
      </c>
      <c r="M553" s="135">
        <v>1</v>
      </c>
      <c r="N553" s="112"/>
      <c r="O553" s="112"/>
      <c r="P553" s="112" t="str">
        <f>VLOOKUP(B553, 'Companies covered restructured'!$B$7:$K$470, 9, FALSE)</f>
        <v>Agri marketplaces</v>
      </c>
      <c r="Q553" s="112" t="str">
        <f>VLOOKUP(B553, 'Companies covered restructured'!$B$7:$K$470, 6, FALSE)</f>
        <v>#Crops(100)</v>
      </c>
      <c r="R553" s="112" t="str">
        <f t="shared" si="284"/>
        <v>N/A</v>
      </c>
      <c r="S553" s="112" t="s">
        <v>11003</v>
      </c>
      <c r="T553" s="112" t="s">
        <v>10465</v>
      </c>
      <c r="U553" s="116" t="s">
        <v>10970</v>
      </c>
      <c r="V553" s="112" t="str">
        <f>VLOOKUP(P553, 'Bottom-up Tagging Assumptions'!$B$12:$F$39, 5, FALSE)</f>
        <v>#Process Innovation(100)</v>
      </c>
      <c r="W553" s="112" t="str">
        <f>VLOOKUP(B553, 'Companies covered restructured'!$B$7:$K$470, 7, FALSE)</f>
        <v>#Farm/Household(100)</v>
      </c>
      <c r="X553" s="112" t="s">
        <v>10558</v>
      </c>
      <c r="Y553" s="212" t="str">
        <f>VLOOKUP(P553, 'Bottom-up Tagging Assumptions'!$B$12:$C$56, 2, FALSE)</f>
        <v>#Other Economic(P); Social(S)</v>
      </c>
      <c r="Z553" s="112" t="str">
        <f>VLOOKUP(P553, 'Bottom-up Tagging Assumptions'!$B$12:$F$56, 3, FALSE)</f>
        <v>#Improve price realization(P)</v>
      </c>
      <c r="AA553" s="112" t="str">
        <f>VLOOKUP(P553, 'Bottom-up Tagging Assumptions'!$B$12:$F$56, 4, FALSE)</f>
        <v>#Level 4(100)</v>
      </c>
      <c r="AB553" s="110" t="s">
        <v>803</v>
      </c>
      <c r="AC553" s="110"/>
      <c r="AD553" s="110"/>
      <c r="AE553" s="110" t="s">
        <v>10558</v>
      </c>
      <c r="AF553" s="112">
        <v>8723427</v>
      </c>
      <c r="AG553" s="110" t="s">
        <v>2939</v>
      </c>
      <c r="AH553" s="121">
        <f t="shared" si="285"/>
        <v>0</v>
      </c>
      <c r="AI553" s="121">
        <f t="shared" si="286"/>
        <v>0</v>
      </c>
      <c r="AJ553" s="121">
        <f t="shared" si="287"/>
        <v>1</v>
      </c>
      <c r="AK553" s="121">
        <f t="shared" si="288"/>
        <v>1</v>
      </c>
      <c r="AL553" s="121">
        <f t="shared" si="289"/>
        <v>0</v>
      </c>
      <c r="AM553" s="121">
        <f t="shared" si="290"/>
        <v>0</v>
      </c>
      <c r="AN553" s="121">
        <f t="shared" si="291"/>
        <v>1</v>
      </c>
      <c r="AO553" s="121">
        <f t="shared" si="292"/>
        <v>0</v>
      </c>
      <c r="AP553" s="22">
        <f t="shared" si="293"/>
        <v>0</v>
      </c>
      <c r="AQ553" s="22">
        <f t="shared" si="294"/>
        <v>12404.766093687129</v>
      </c>
      <c r="AR553" s="22">
        <f t="shared" si="295"/>
        <v>0</v>
      </c>
      <c r="AS553" s="121" t="str">
        <f t="shared" si="296"/>
        <v>Crops</v>
      </c>
      <c r="AT553" s="121" t="str">
        <f t="shared" si="315"/>
        <v xml:space="preserve"> </v>
      </c>
      <c r="AU553" s="121" t="str">
        <f t="shared" si="315"/>
        <v xml:space="preserve"> </v>
      </c>
      <c r="AV553" s="121" t="str">
        <f t="shared" si="315"/>
        <v xml:space="preserve"> </v>
      </c>
      <c r="AW553" s="130" t="str">
        <f t="shared" si="316"/>
        <v>100</v>
      </c>
      <c r="AX553" s="130" t="str">
        <f t="shared" si="316"/>
        <v xml:space="preserve"> </v>
      </c>
      <c r="AY553" s="130" t="str">
        <f t="shared" si="316"/>
        <v xml:space="preserve"> </v>
      </c>
      <c r="AZ553" s="130" t="str">
        <f t="shared" si="316"/>
        <v xml:space="preserve"> </v>
      </c>
      <c r="BA553" s="121">
        <f t="shared" si="297"/>
        <v>12404.766093687129</v>
      </c>
      <c r="BB553" s="121">
        <f t="shared" si="298"/>
        <v>0</v>
      </c>
      <c r="BC553" s="121">
        <f t="shared" si="299"/>
        <v>0</v>
      </c>
      <c r="BD553" s="121">
        <f t="shared" si="300"/>
        <v>0</v>
      </c>
      <c r="BE553" s="121">
        <f t="shared" si="301"/>
        <v>0</v>
      </c>
      <c r="BF553" s="121">
        <f t="shared" si="302"/>
        <v>0</v>
      </c>
      <c r="BG553" s="121">
        <f t="shared" si="303"/>
        <v>0</v>
      </c>
      <c r="BH553" s="121">
        <f t="shared" si="304"/>
        <v>0</v>
      </c>
      <c r="BI553" s="121">
        <f t="shared" si="305"/>
        <v>12404.766093687129</v>
      </c>
      <c r="BJ553" s="121">
        <f t="shared" si="306"/>
        <v>12404.766093687129</v>
      </c>
      <c r="BK553" s="121">
        <f t="shared" si="307"/>
        <v>12404.766093687129</v>
      </c>
      <c r="BL553" s="121">
        <f t="shared" si="308"/>
        <v>12404.766093687129</v>
      </c>
      <c r="BM553" s="121">
        <f t="shared" si="309"/>
        <v>0</v>
      </c>
      <c r="BN553" s="121">
        <f t="shared" si="310"/>
        <v>0</v>
      </c>
      <c r="BO553" s="121">
        <f t="shared" si="311"/>
        <v>0</v>
      </c>
      <c r="BP553" s="121">
        <f t="shared" si="312"/>
        <v>0</v>
      </c>
      <c r="BQ553" s="199">
        <f>INDEX('GDP deflators'!$C$6:$M$36,MATCH('Bottom-up tagging'!$D553,'GDP deflators'!$B$6:$B$36,),MATCH('Bottom-up tagging'!$E553,'GDP deflators'!$C$5:$L$5,))/100</f>
        <v>1.6122835246509113</v>
      </c>
      <c r="BR553" s="24">
        <v>20000</v>
      </c>
    </row>
    <row r="554" spans="2:70" ht="26.15" hidden="1" customHeight="1">
      <c r="B554" s="110" t="s">
        <v>1282</v>
      </c>
      <c r="C554" s="110" t="s">
        <v>1286</v>
      </c>
      <c r="D554" s="110" t="s">
        <v>5524</v>
      </c>
      <c r="E554" s="103">
        <v>2017</v>
      </c>
      <c r="F554" s="108" t="s">
        <v>7640</v>
      </c>
      <c r="G554" s="111" t="s">
        <v>184</v>
      </c>
      <c r="H554" s="110" t="s">
        <v>10451</v>
      </c>
      <c r="I554" s="112">
        <f>IF(Dashboard!$B$16="Current USD",'Bottom-up tagging'!BR554,'Bottom-up tagging'!BR554/'Bottom-up tagging'!BQ554)</f>
        <v>5644.4057015205599</v>
      </c>
      <c r="J554" s="117" t="s">
        <v>10474</v>
      </c>
      <c r="K554" s="112"/>
      <c r="L554" s="135">
        <v>1</v>
      </c>
      <c r="M554" s="135">
        <v>1</v>
      </c>
      <c r="N554" s="112"/>
      <c r="O554" s="112"/>
      <c r="P554" s="112" t="str">
        <f>VLOOKUP(B554, 'Companies covered restructured'!$B$7:$K$470, 9, FALSE)</f>
        <v>Supply chain technologies</v>
      </c>
      <c r="Q554" s="112" t="str">
        <f>VLOOKUP(B554, 'Companies covered restructured'!$B$7:$K$470, 6, FALSE)</f>
        <v>#Crops(100)</v>
      </c>
      <c r="R554" s="112" t="str">
        <f t="shared" si="284"/>
        <v>N/A</v>
      </c>
      <c r="S554" s="112" t="s">
        <v>11003</v>
      </c>
      <c r="T554" s="112" t="s">
        <v>10465</v>
      </c>
      <c r="U554" s="103" t="s">
        <v>10970</v>
      </c>
      <c r="V554" s="112" t="str">
        <f>VLOOKUP(P554, 'Bottom-up Tagging Assumptions'!$B$12:$F$39, 5, FALSE)</f>
        <v>#Process Innovation(100)</v>
      </c>
      <c r="W554" s="112" t="str">
        <f>VLOOKUP(B554, 'Companies covered restructured'!$B$7:$K$470, 7, FALSE)</f>
        <v>#Farm/Household(100)</v>
      </c>
      <c r="X554" s="112" t="str">
        <f>VLOOKUP(B554, 'Companies covered restructured'!$B$7:$K$470, 8, FALSE)</f>
        <v>#Small(100)</v>
      </c>
      <c r="Y554" s="212" t="str">
        <f>VLOOKUP(P554, 'Bottom-up Tagging Assumptions'!$B$12:$C$56, 2, FALSE)</f>
        <v>#Other Economic(P); Social(S)</v>
      </c>
      <c r="Z554" s="112" t="str">
        <f>VLOOKUP(P554, 'Bottom-up Tagging Assumptions'!$B$12:$F$56, 3, FALSE)</f>
        <v>#Improve price realization(P)</v>
      </c>
      <c r="AA554" s="112" t="str">
        <f>VLOOKUP(P554, 'Bottom-up Tagging Assumptions'!$B$12:$F$56, 4, FALSE)</f>
        <v>#Level 3(100)</v>
      </c>
      <c r="AB554" s="110" t="s">
        <v>2066</v>
      </c>
      <c r="AC554" s="110"/>
      <c r="AD554" s="110"/>
      <c r="AE554" s="110" t="s">
        <v>10558</v>
      </c>
      <c r="AF554" s="112">
        <v>15568800</v>
      </c>
      <c r="AG554" s="110" t="s">
        <v>1335</v>
      </c>
      <c r="AH554" s="121">
        <f t="shared" si="285"/>
        <v>0</v>
      </c>
      <c r="AI554" s="121">
        <f t="shared" si="286"/>
        <v>0</v>
      </c>
      <c r="AJ554" s="121">
        <f t="shared" si="287"/>
        <v>1</v>
      </c>
      <c r="AK554" s="121">
        <f t="shared" si="288"/>
        <v>1</v>
      </c>
      <c r="AL554" s="121">
        <f t="shared" si="289"/>
        <v>0</v>
      </c>
      <c r="AM554" s="121">
        <f t="shared" si="290"/>
        <v>0</v>
      </c>
      <c r="AN554" s="121">
        <f t="shared" si="291"/>
        <v>1</v>
      </c>
      <c r="AO554" s="121">
        <f t="shared" si="292"/>
        <v>0</v>
      </c>
      <c r="AP554" s="22">
        <f t="shared" si="293"/>
        <v>0</v>
      </c>
      <c r="AQ554" s="22">
        <f t="shared" si="294"/>
        <v>5644.4057015205599</v>
      </c>
      <c r="AR554" s="22">
        <f t="shared" si="295"/>
        <v>0</v>
      </c>
      <c r="AS554" s="121" t="str">
        <f t="shared" si="296"/>
        <v>Crops</v>
      </c>
      <c r="AT554" s="121" t="str">
        <f t="shared" si="315"/>
        <v xml:space="preserve"> </v>
      </c>
      <c r="AU554" s="121" t="str">
        <f t="shared" si="315"/>
        <v xml:space="preserve"> </v>
      </c>
      <c r="AV554" s="121" t="str">
        <f t="shared" si="315"/>
        <v xml:space="preserve"> </v>
      </c>
      <c r="AW554" s="130" t="str">
        <f t="shared" si="316"/>
        <v>100</v>
      </c>
      <c r="AX554" s="130" t="str">
        <f t="shared" si="316"/>
        <v xml:space="preserve"> </v>
      </c>
      <c r="AY554" s="130" t="str">
        <f t="shared" si="316"/>
        <v xml:space="preserve"> </v>
      </c>
      <c r="AZ554" s="130" t="str">
        <f t="shared" si="316"/>
        <v xml:space="preserve"> </v>
      </c>
      <c r="BA554" s="121">
        <f t="shared" si="297"/>
        <v>5644.405701520559</v>
      </c>
      <c r="BB554" s="121">
        <f t="shared" si="298"/>
        <v>0</v>
      </c>
      <c r="BC554" s="121">
        <f t="shared" si="299"/>
        <v>0</v>
      </c>
      <c r="BD554" s="121">
        <f t="shared" si="300"/>
        <v>0</v>
      </c>
      <c r="BE554" s="121">
        <f t="shared" si="301"/>
        <v>0</v>
      </c>
      <c r="BF554" s="121">
        <f t="shared" si="302"/>
        <v>0</v>
      </c>
      <c r="BG554" s="121">
        <f t="shared" si="303"/>
        <v>0</v>
      </c>
      <c r="BH554" s="121">
        <f t="shared" si="304"/>
        <v>0</v>
      </c>
      <c r="BI554" s="121">
        <f t="shared" si="305"/>
        <v>5644.405701520559</v>
      </c>
      <c r="BJ554" s="121">
        <f t="shared" si="306"/>
        <v>5644.4057015205599</v>
      </c>
      <c r="BK554" s="121">
        <f t="shared" si="307"/>
        <v>5644.4057015205599</v>
      </c>
      <c r="BL554" s="121">
        <f t="shared" si="308"/>
        <v>5644.4057015205599</v>
      </c>
      <c r="BM554" s="121">
        <f t="shared" si="309"/>
        <v>0</v>
      </c>
      <c r="BN554" s="121">
        <f t="shared" si="310"/>
        <v>0</v>
      </c>
      <c r="BO554" s="121">
        <f t="shared" si="311"/>
        <v>0</v>
      </c>
      <c r="BP554" s="121">
        <f t="shared" si="312"/>
        <v>0</v>
      </c>
      <c r="BQ554" s="199">
        <f>INDEX('GDP deflators'!$C$6:$M$36,MATCH('Bottom-up tagging'!$D554,'GDP deflators'!$B$6:$B$36,),MATCH('Bottom-up tagging'!$E554,'GDP deflators'!$C$5:$L$5,))/100</f>
        <v>3.5433314077002209</v>
      </c>
      <c r="BR554" s="24">
        <v>20000</v>
      </c>
    </row>
    <row r="555" spans="2:70" ht="26.15" hidden="1" customHeight="1">
      <c r="B555" s="110" t="s">
        <v>2112</v>
      </c>
      <c r="C555" s="110" t="s">
        <v>2114</v>
      </c>
      <c r="D555" s="110" t="s">
        <v>3994</v>
      </c>
      <c r="E555" s="103">
        <v>2016</v>
      </c>
      <c r="F555" s="108" t="s">
        <v>9947</v>
      </c>
      <c r="G555" s="111" t="s">
        <v>124</v>
      </c>
      <c r="H555" s="110" t="s">
        <v>10451</v>
      </c>
      <c r="I555" s="112">
        <f>IF(Dashboard!$B$16="Current USD",'Bottom-up tagging'!BR555,'Bottom-up tagging'!BR555/'Bottom-up tagging'!BQ555)</f>
        <v>14065.949502616168</v>
      </c>
      <c r="J555" s="117" t="s">
        <v>10474</v>
      </c>
      <c r="K555" s="112"/>
      <c r="L555" s="135">
        <v>1</v>
      </c>
      <c r="M555" s="135">
        <v>1</v>
      </c>
      <c r="N555" s="112"/>
      <c r="O555" s="112"/>
      <c r="P555" s="112" t="str">
        <f>VLOOKUP(B555, 'Companies covered restructured'!$B$7:$K$470, 9, FALSE)</f>
        <v>Breeding &amp; genetics</v>
      </c>
      <c r="Q555" s="112" t="str">
        <f>VLOOKUP(B555, 'Companies covered restructured'!$B$7:$K$470, 6, FALSE)</f>
        <v>#Crops(100)</v>
      </c>
      <c r="R555" s="112" t="str">
        <f t="shared" si="284"/>
        <v>N/A</v>
      </c>
      <c r="S555" s="112" t="s">
        <v>11003</v>
      </c>
      <c r="T555" s="112" t="s">
        <v>10466</v>
      </c>
      <c r="U555" s="103" t="s">
        <v>10970</v>
      </c>
      <c r="V555" s="212" t="s">
        <v>10977</v>
      </c>
      <c r="W555" s="112" t="str">
        <f>VLOOKUP(B555, 'Companies covered restructured'!$B$7:$K$470, 7, FALSE)</f>
        <v>#Landscape(100)</v>
      </c>
      <c r="X555" s="112" t="str">
        <f>VLOOKUP(B555, 'Companies covered restructured'!$B$7:$K$470, 8, FALSE)</f>
        <v>N/A</v>
      </c>
      <c r="Y555" s="212" t="str">
        <f>VLOOKUP(P555, 'Bottom-up Tagging Assumptions'!$B$12:$C$56, 2, FALSE)</f>
        <v>#Productivity(P); #Other Economic(S)</v>
      </c>
      <c r="Z555" s="112" t="str">
        <f>VLOOKUP(P555, 'Bottom-up Tagging Assumptions'!$B$12:$F$56, 3, FALSE)</f>
        <v>#Increasing crop or animal yield(P)</v>
      </c>
      <c r="AA555" s="112" t="str">
        <f>VLOOKUP(P555, 'Bottom-up Tagging Assumptions'!$B$12:$F$56, 4, FALSE)</f>
        <v>#Level 2(100)</v>
      </c>
      <c r="AB555" s="110"/>
      <c r="AC555" s="110" t="s">
        <v>2515</v>
      </c>
      <c r="AD555" s="110"/>
      <c r="AE555" s="110" t="s">
        <v>10558</v>
      </c>
      <c r="AF555" s="112"/>
      <c r="AG555" s="110" t="s">
        <v>3028</v>
      </c>
      <c r="AH555" s="121">
        <f t="shared" si="285"/>
        <v>0</v>
      </c>
      <c r="AI555" s="121">
        <f t="shared" si="286"/>
        <v>1</v>
      </c>
      <c r="AJ555" s="121">
        <f t="shared" si="287"/>
        <v>1</v>
      </c>
      <c r="AK555" s="121">
        <f t="shared" si="288"/>
        <v>0</v>
      </c>
      <c r="AL555" s="121">
        <f t="shared" si="289"/>
        <v>0</v>
      </c>
      <c r="AM555" s="121">
        <f t="shared" si="290"/>
        <v>0</v>
      </c>
      <c r="AN555" s="121">
        <f t="shared" si="291"/>
        <v>0</v>
      </c>
      <c r="AO555" s="121">
        <f t="shared" si="292"/>
        <v>0</v>
      </c>
      <c r="AP555" s="22">
        <f t="shared" si="293"/>
        <v>0</v>
      </c>
      <c r="AQ555" s="22">
        <f t="shared" si="294"/>
        <v>0</v>
      </c>
      <c r="AR555" s="22">
        <f t="shared" si="295"/>
        <v>0</v>
      </c>
      <c r="AS555" s="121" t="str">
        <f t="shared" si="296"/>
        <v>Crops</v>
      </c>
      <c r="AT555" s="121" t="str">
        <f t="shared" si="315"/>
        <v xml:space="preserve"> </v>
      </c>
      <c r="AU555" s="121" t="str">
        <f t="shared" si="315"/>
        <v xml:space="preserve"> </v>
      </c>
      <c r="AV555" s="121" t="str">
        <f t="shared" si="315"/>
        <v xml:space="preserve"> </v>
      </c>
      <c r="AW555" s="130" t="str">
        <f t="shared" si="316"/>
        <v>100</v>
      </c>
      <c r="AX555" s="130" t="str">
        <f t="shared" si="316"/>
        <v xml:space="preserve"> </v>
      </c>
      <c r="AY555" s="130" t="str">
        <f t="shared" si="316"/>
        <v xml:space="preserve"> </v>
      </c>
      <c r="AZ555" s="130" t="str">
        <f t="shared" si="316"/>
        <v xml:space="preserve"> </v>
      </c>
      <c r="BA555" s="121">
        <f t="shared" si="297"/>
        <v>14065.949502616168</v>
      </c>
      <c r="BB555" s="121">
        <f t="shared" si="298"/>
        <v>0</v>
      </c>
      <c r="BC555" s="121">
        <f t="shared" si="299"/>
        <v>0</v>
      </c>
      <c r="BD555" s="121">
        <f t="shared" si="300"/>
        <v>0</v>
      </c>
      <c r="BE555" s="121">
        <f t="shared" si="301"/>
        <v>0</v>
      </c>
      <c r="BF555" s="121">
        <f t="shared" si="302"/>
        <v>0</v>
      </c>
      <c r="BG555" s="121">
        <f t="shared" si="303"/>
        <v>0</v>
      </c>
      <c r="BH555" s="121">
        <f t="shared" si="304"/>
        <v>0</v>
      </c>
      <c r="BI555" s="121">
        <f t="shared" si="305"/>
        <v>0</v>
      </c>
      <c r="BJ555" s="121">
        <f t="shared" si="306"/>
        <v>0</v>
      </c>
      <c r="BK555" s="121">
        <f t="shared" si="307"/>
        <v>0</v>
      </c>
      <c r="BL555" s="121">
        <f t="shared" si="308"/>
        <v>0</v>
      </c>
      <c r="BM555" s="121">
        <f t="shared" si="309"/>
        <v>0</v>
      </c>
      <c r="BN555" s="121">
        <f t="shared" si="310"/>
        <v>0</v>
      </c>
      <c r="BO555" s="121">
        <f t="shared" si="311"/>
        <v>0</v>
      </c>
      <c r="BP555" s="121">
        <f t="shared" si="312"/>
        <v>0</v>
      </c>
      <c r="BQ555" s="199">
        <f>INDEX('GDP deflators'!$C$6:$M$36,MATCH('Bottom-up tagging'!$D555,'GDP deflators'!$B$6:$B$36,),MATCH('Bottom-up tagging'!$E555,'GDP deflators'!$C$5:$L$5,))/100</f>
        <v>1.3597375702538033</v>
      </c>
      <c r="BR555" s="24">
        <v>19126</v>
      </c>
    </row>
    <row r="556" spans="2:70" ht="26.15" hidden="1" customHeight="1">
      <c r="B556" s="110" t="s">
        <v>737</v>
      </c>
      <c r="C556" s="110" t="s">
        <v>741</v>
      </c>
      <c r="D556" s="110" t="s">
        <v>5844</v>
      </c>
      <c r="E556" s="103">
        <v>2017</v>
      </c>
      <c r="F556" s="108" t="s">
        <v>5848</v>
      </c>
      <c r="G556" s="111" t="s">
        <v>34</v>
      </c>
      <c r="H556" s="110" t="s">
        <v>10451</v>
      </c>
      <c r="I556" s="112">
        <f>IF(Dashboard!$B$16="Current USD",'Bottom-up tagging'!BR556,'Bottom-up tagging'!BR556/'Bottom-up tagging'!BQ556)</f>
        <v>11724.636763068134</v>
      </c>
      <c r="J556" s="105" t="s">
        <v>10474</v>
      </c>
      <c r="K556" s="112"/>
      <c r="L556" s="135">
        <v>1</v>
      </c>
      <c r="M556" s="135">
        <v>1</v>
      </c>
      <c r="N556" s="112"/>
      <c r="O556" s="112"/>
      <c r="P556" s="112" t="str">
        <f>VLOOKUP(B556, 'Companies covered restructured'!$B$7:$K$470, 9, FALSE)</f>
        <v>Insect-protein based food</v>
      </c>
      <c r="Q556" s="112" t="str">
        <f>VLOOKUP(B556, 'Companies covered restructured'!$B$7:$K$470, 6, FALSE)</f>
        <v>#Novel Foods(100)</v>
      </c>
      <c r="R556" s="112" t="str">
        <f t="shared" si="284"/>
        <v>N/A</v>
      </c>
      <c r="S556" s="112" t="s">
        <v>11003</v>
      </c>
      <c r="T556" s="112" t="s">
        <v>10466</v>
      </c>
      <c r="U556" s="103" t="s">
        <v>10970</v>
      </c>
      <c r="V556" s="112" t="str">
        <f>VLOOKUP(P556, 'Bottom-up Tagging Assumptions'!$B$12:$F$39, 5, FALSE)</f>
        <v>#Product Development(100)</v>
      </c>
      <c r="W556" s="112" t="str">
        <f>VLOOKUP(B556, 'Companies covered restructured'!$B$7:$K$470, 7, FALSE)</f>
        <v>#Farm/Household(100)</v>
      </c>
      <c r="X556" s="112" t="s">
        <v>10558</v>
      </c>
      <c r="Y556" s="212" t="str">
        <f>VLOOKUP(P556, 'Bottom-up Tagging Assumptions'!$B$12:$C$56, 2, FALSE)</f>
        <v>#Human Condition(P), #Environmental</v>
      </c>
      <c r="Z556" s="112" t="str">
        <f>VLOOKUP(P556, 'Bottom-up Tagging Assumptions'!$B$12:$F$56, 3, FALSE)</f>
        <v>#Improved nutrition(P)</v>
      </c>
      <c r="AA556" s="112" t="str">
        <f>VLOOKUP(P556, 'Bottom-up Tagging Assumptions'!$B$12:$F$56, 4, FALSE)</f>
        <v>#Level 3(100)</v>
      </c>
      <c r="AB556" s="110" t="s">
        <v>1975</v>
      </c>
      <c r="AC556" s="110"/>
      <c r="AD556" s="110"/>
      <c r="AE556" s="110" t="s">
        <v>10558</v>
      </c>
      <c r="AF556" s="112">
        <v>11768115</v>
      </c>
      <c r="AG556" s="110" t="s">
        <v>1871</v>
      </c>
      <c r="AH556" s="121">
        <f t="shared" si="285"/>
        <v>1</v>
      </c>
      <c r="AI556" s="121">
        <f t="shared" si="286"/>
        <v>0</v>
      </c>
      <c r="AJ556" s="121">
        <f t="shared" si="287"/>
        <v>0</v>
      </c>
      <c r="AK556" s="121">
        <f t="shared" si="288"/>
        <v>0</v>
      </c>
      <c r="AL556" s="121">
        <f t="shared" si="289"/>
        <v>1</v>
      </c>
      <c r="AM556" s="121">
        <f t="shared" si="290"/>
        <v>0</v>
      </c>
      <c r="AN556" s="121">
        <f t="shared" si="291"/>
        <v>0</v>
      </c>
      <c r="AO556" s="121">
        <f t="shared" si="292"/>
        <v>0</v>
      </c>
      <c r="AP556" s="22">
        <f t="shared" si="293"/>
        <v>0</v>
      </c>
      <c r="AQ556" s="22">
        <f t="shared" si="294"/>
        <v>0</v>
      </c>
      <c r="AR556" s="22">
        <f t="shared" si="295"/>
        <v>0</v>
      </c>
      <c r="AS556" s="121" t="str">
        <f t="shared" si="296"/>
        <v>Novel Foods</v>
      </c>
      <c r="AT556" s="121" t="str">
        <f t="shared" si="315"/>
        <v xml:space="preserve"> </v>
      </c>
      <c r="AU556" s="121" t="str">
        <f t="shared" si="315"/>
        <v xml:space="preserve"> </v>
      </c>
      <c r="AV556" s="121" t="str">
        <f t="shared" si="315"/>
        <v xml:space="preserve"> </v>
      </c>
      <c r="AW556" s="130" t="str">
        <f t="shared" si="316"/>
        <v>100</v>
      </c>
      <c r="AX556" s="130" t="str">
        <f t="shared" si="316"/>
        <v xml:space="preserve"> </v>
      </c>
      <c r="AY556" s="130" t="str">
        <f t="shared" si="316"/>
        <v xml:space="preserve"> </v>
      </c>
      <c r="AZ556" s="130" t="str">
        <f t="shared" si="316"/>
        <v xml:space="preserve"> </v>
      </c>
      <c r="BA556" s="121">
        <f t="shared" si="297"/>
        <v>11724.636763068134</v>
      </c>
      <c r="BB556" s="121">
        <f t="shared" si="298"/>
        <v>0</v>
      </c>
      <c r="BC556" s="121">
        <f t="shared" si="299"/>
        <v>0</v>
      </c>
      <c r="BD556" s="121">
        <f t="shared" si="300"/>
        <v>0</v>
      </c>
      <c r="BE556" s="121">
        <f t="shared" si="301"/>
        <v>0</v>
      </c>
      <c r="BF556" s="121">
        <f t="shared" si="302"/>
        <v>0</v>
      </c>
      <c r="BG556" s="121">
        <f t="shared" si="303"/>
        <v>0</v>
      </c>
      <c r="BH556" s="121">
        <f t="shared" si="304"/>
        <v>0</v>
      </c>
      <c r="BI556" s="121">
        <f t="shared" si="305"/>
        <v>0</v>
      </c>
      <c r="BJ556" s="121">
        <f t="shared" si="306"/>
        <v>0</v>
      </c>
      <c r="BK556" s="121">
        <f t="shared" si="307"/>
        <v>0</v>
      </c>
      <c r="BL556" s="121">
        <f t="shared" si="308"/>
        <v>0</v>
      </c>
      <c r="BM556" s="121">
        <f t="shared" si="309"/>
        <v>0</v>
      </c>
      <c r="BN556" s="121">
        <f t="shared" si="310"/>
        <v>0</v>
      </c>
      <c r="BO556" s="121">
        <f t="shared" si="311"/>
        <v>0</v>
      </c>
      <c r="BP556" s="121">
        <f t="shared" si="312"/>
        <v>0</v>
      </c>
      <c r="BQ556" s="199">
        <f>INDEX('GDP deflators'!$C$6:$M$36,MATCH('Bottom-up tagging'!$D556,'GDP deflators'!$B$6:$B$36,),MATCH('Bottom-up tagging'!$E556,'GDP deflators'!$C$5:$L$5,))/100</f>
        <v>1.5343758927071725</v>
      </c>
      <c r="BR556" s="24">
        <v>17990</v>
      </c>
    </row>
    <row r="557" spans="2:70" ht="26.15" hidden="1" customHeight="1">
      <c r="B557" s="110" t="s">
        <v>1554</v>
      </c>
      <c r="C557" s="110" t="s">
        <v>1558</v>
      </c>
      <c r="D557" s="110" t="s">
        <v>3994</v>
      </c>
      <c r="E557" s="103">
        <v>2014</v>
      </c>
      <c r="F557" s="108" t="s">
        <v>8123</v>
      </c>
      <c r="G557" s="111" t="s">
        <v>34</v>
      </c>
      <c r="H557" s="110" t="s">
        <v>10451</v>
      </c>
      <c r="I557" s="112">
        <f>IF(Dashboard!$B$16="Current USD",'Bottom-up tagging'!BR557,'Bottom-up tagging'!BR557/'Bottom-up tagging'!BQ557)</f>
        <v>12448.209018269661</v>
      </c>
      <c r="J557" s="105" t="s">
        <v>10474</v>
      </c>
      <c r="K557" s="112"/>
      <c r="L557" s="135">
        <v>1</v>
      </c>
      <c r="M557" s="135">
        <v>1</v>
      </c>
      <c r="N557" s="112"/>
      <c r="O557" s="112"/>
      <c r="P557" s="112" t="str">
        <f>VLOOKUP(B557, 'Companies covered restructured'!$B$7:$K$470, 9, FALSE)</f>
        <v>Seed development and biotech</v>
      </c>
      <c r="Q557" s="112" t="str">
        <f>VLOOKUP(B557, 'Companies covered restructured'!$B$7:$K$470, 6, FALSE)</f>
        <v>#Crops(100)</v>
      </c>
      <c r="R557" s="112" t="str">
        <f t="shared" si="284"/>
        <v>#Investment Fund(100)</v>
      </c>
      <c r="S557" s="112" t="s">
        <v>11003</v>
      </c>
      <c r="T557" s="112" t="s">
        <v>10466</v>
      </c>
      <c r="U557" s="103" t="s">
        <v>10970</v>
      </c>
      <c r="V557" s="112" t="str">
        <f>VLOOKUP(P557, 'Bottom-up Tagging Assumptions'!$B$12:$F$39, 5, FALSE)</f>
        <v>#Product Development(100)</v>
      </c>
      <c r="W557" s="112" t="str">
        <f>VLOOKUP(B557, 'Companies covered restructured'!$B$7:$K$470, 7, FALSE)</f>
        <v>#Farm/Household(100)</v>
      </c>
      <c r="X557" s="112" t="s">
        <v>10558</v>
      </c>
      <c r="Y557" s="212" t="str">
        <f>VLOOKUP(P557, 'Bottom-up Tagging Assumptions'!$B$12:$C$56, 2, FALSE)</f>
        <v>#Productivity(P); #Human Condition(S)</v>
      </c>
      <c r="Z557" s="112" t="str">
        <f>VLOOKUP(P557, 'Bottom-up Tagging Assumptions'!$B$12:$F$56, 3, FALSE)</f>
        <v>#Increasing crop or animal yield(P); #Improved nutrition(S)</v>
      </c>
      <c r="AA557" s="112" t="str">
        <f>VLOOKUP(P557, 'Bottom-up Tagging Assumptions'!$B$12:$F$56, 4, FALSE)</f>
        <v>#Level 1(100)</v>
      </c>
      <c r="AB557" s="110" t="s">
        <v>2800</v>
      </c>
      <c r="AC557" s="110"/>
      <c r="AD557" s="110" t="s">
        <v>2801</v>
      </c>
      <c r="AE557" s="110" t="str">
        <f>VLOOKUP(AD557,  '1.2'!$B$7:$C$2033, 2, FALSE)</f>
        <v>FUND</v>
      </c>
      <c r="AF557" s="112">
        <v>8723427</v>
      </c>
      <c r="AG557" s="110" t="s">
        <v>2939</v>
      </c>
      <c r="AH557" s="121">
        <f t="shared" si="285"/>
        <v>0</v>
      </c>
      <c r="AI557" s="121">
        <f t="shared" si="286"/>
        <v>1</v>
      </c>
      <c r="AJ557" s="121">
        <f t="shared" si="287"/>
        <v>0</v>
      </c>
      <c r="AK557" s="121">
        <f t="shared" si="288"/>
        <v>0</v>
      </c>
      <c r="AL557" s="121">
        <f t="shared" si="289"/>
        <v>1</v>
      </c>
      <c r="AM557" s="121">
        <f t="shared" si="290"/>
        <v>0</v>
      </c>
      <c r="AN557" s="121">
        <f t="shared" si="291"/>
        <v>1</v>
      </c>
      <c r="AO557" s="121">
        <f t="shared" si="292"/>
        <v>0</v>
      </c>
      <c r="AP557" s="22">
        <f t="shared" si="293"/>
        <v>0</v>
      </c>
      <c r="AQ557" s="22">
        <f t="shared" si="294"/>
        <v>12448.209018269661</v>
      </c>
      <c r="AR557" s="22">
        <f t="shared" si="295"/>
        <v>0</v>
      </c>
      <c r="AS557" s="121" t="str">
        <f t="shared" si="296"/>
        <v>Crops</v>
      </c>
      <c r="AT557" s="121" t="str">
        <f t="shared" si="315"/>
        <v xml:space="preserve"> </v>
      </c>
      <c r="AU557" s="121" t="str">
        <f t="shared" si="315"/>
        <v xml:space="preserve"> </v>
      </c>
      <c r="AV557" s="121" t="str">
        <f t="shared" si="315"/>
        <v xml:space="preserve"> </v>
      </c>
      <c r="AW557" s="130" t="str">
        <f t="shared" si="316"/>
        <v>100</v>
      </c>
      <c r="AX557" s="130" t="str">
        <f t="shared" si="316"/>
        <v xml:space="preserve"> </v>
      </c>
      <c r="AY557" s="130" t="str">
        <f t="shared" si="316"/>
        <v xml:space="preserve"> </v>
      </c>
      <c r="AZ557" s="130" t="str">
        <f t="shared" si="316"/>
        <v xml:space="preserve"> </v>
      </c>
      <c r="BA557" s="121">
        <f t="shared" si="297"/>
        <v>12448.209018269661</v>
      </c>
      <c r="BB557" s="121">
        <f t="shared" si="298"/>
        <v>0</v>
      </c>
      <c r="BC557" s="121">
        <f t="shared" si="299"/>
        <v>0</v>
      </c>
      <c r="BD557" s="121">
        <f t="shared" si="300"/>
        <v>0</v>
      </c>
      <c r="BE557" s="121">
        <f t="shared" si="301"/>
        <v>0</v>
      </c>
      <c r="BF557" s="121">
        <f t="shared" si="302"/>
        <v>0</v>
      </c>
      <c r="BG557" s="121">
        <f t="shared" si="303"/>
        <v>0</v>
      </c>
      <c r="BH557" s="121">
        <f t="shared" si="304"/>
        <v>0</v>
      </c>
      <c r="BI557" s="121">
        <f t="shared" si="305"/>
        <v>12448.209018269661</v>
      </c>
      <c r="BJ557" s="121">
        <f t="shared" si="306"/>
        <v>12448.209018269661</v>
      </c>
      <c r="BK557" s="121">
        <f t="shared" si="307"/>
        <v>12448.209018269661</v>
      </c>
      <c r="BL557" s="121">
        <f t="shared" si="308"/>
        <v>12448.209018269661</v>
      </c>
      <c r="BM557" s="121">
        <f t="shared" si="309"/>
        <v>0</v>
      </c>
      <c r="BN557" s="121">
        <f t="shared" si="310"/>
        <v>0</v>
      </c>
      <c r="BO557" s="121">
        <f t="shared" si="311"/>
        <v>0</v>
      </c>
      <c r="BP557" s="121">
        <f t="shared" si="312"/>
        <v>0</v>
      </c>
      <c r="BQ557" s="199">
        <f>INDEX('GDP deflators'!$C$6:$M$36,MATCH('Bottom-up tagging'!$D557,'GDP deflators'!$B$6:$B$36,),MATCH('Bottom-up tagging'!$E557,'GDP deflators'!$C$5:$L$5,))/100</f>
        <v>1.2877354466392321</v>
      </c>
      <c r="BR557" s="24">
        <v>16030</v>
      </c>
    </row>
    <row r="558" spans="2:70" ht="26.15" hidden="1" customHeight="1">
      <c r="B558" s="110" t="s">
        <v>1058</v>
      </c>
      <c r="C558" s="110" t="s">
        <v>1061</v>
      </c>
      <c r="D558" s="110" t="s">
        <v>3994</v>
      </c>
      <c r="E558" s="103">
        <v>2018</v>
      </c>
      <c r="F558" s="108" t="s">
        <v>6800</v>
      </c>
      <c r="G558" s="111" t="s">
        <v>34</v>
      </c>
      <c r="H558" s="110" t="s">
        <v>10451</v>
      </c>
      <c r="I558" s="112">
        <f>IF(Dashboard!$B$16="Current USD",'Bottom-up tagging'!BR558,'Bottom-up tagging'!BR558/'Bottom-up tagging'!BQ558)</f>
        <v>10447.382084699389</v>
      </c>
      <c r="J558" s="118" t="s">
        <v>10474</v>
      </c>
      <c r="K558" s="112"/>
      <c r="L558" s="135">
        <v>1</v>
      </c>
      <c r="M558" s="135">
        <v>1</v>
      </c>
      <c r="N558" s="112"/>
      <c r="O558" s="112"/>
      <c r="P558" s="112" t="str">
        <f>VLOOKUP(B558, 'Companies covered restructured'!$B$7:$K$470, 9, FALSE)</f>
        <v xml:space="preserve">Hydroponics </v>
      </c>
      <c r="Q558" s="112" t="str">
        <f>VLOOKUP(B558, 'Companies covered restructured'!$B$7:$K$470, 6, FALSE)</f>
        <v>#Crops(100)</v>
      </c>
      <c r="R558" s="112" t="str">
        <f t="shared" si="284"/>
        <v>#Investment Fund(100)</v>
      </c>
      <c r="S558" s="112" t="s">
        <v>11003</v>
      </c>
      <c r="T558" s="112" t="s">
        <v>10466</v>
      </c>
      <c r="U558" s="103" t="s">
        <v>10970</v>
      </c>
      <c r="V558" s="112" t="str">
        <f>VLOOKUP(P558, 'Bottom-up Tagging Assumptions'!$B$12:$F$39, 5, FALSE)</f>
        <v>#Science &amp; tech(100)</v>
      </c>
      <c r="W558" s="112" t="str">
        <f>VLOOKUP(B558, 'Companies covered restructured'!$B$7:$K$470, 7, FALSE)</f>
        <v>#Field/Animal Herd(100)</v>
      </c>
      <c r="X558" s="112" t="s">
        <v>10558</v>
      </c>
      <c r="Y558" s="212" t="str">
        <f>VLOOKUP(P558, 'Bottom-up Tagging Assumptions'!$B$12:$C$56, 2, FALSE)</f>
        <v>#Human Condition(P); #Environmental(S); #Productivity(S)</v>
      </c>
      <c r="Z558" s="112" t="str">
        <f>VLOOKUP(P558, 'Bottom-up Tagging Assumptions'!$B$12:$F$56, 3, FALSE)</f>
        <v>#Food security(P); #Reducing production variability(S)</v>
      </c>
      <c r="AA558" s="112" t="str">
        <f>VLOOKUP(P558, 'Bottom-up Tagging Assumptions'!$B$12:$F$56, 4, FALSE)</f>
        <v>#Level 2(100)</v>
      </c>
      <c r="AB558" s="110" t="s">
        <v>1813</v>
      </c>
      <c r="AC558" s="110"/>
      <c r="AD558" s="110" t="s">
        <v>1814</v>
      </c>
      <c r="AE558" s="110" t="str">
        <f>VLOOKUP(AD558,  '1.2'!$B$7:$C$2033, 2, FALSE)</f>
        <v>FUND</v>
      </c>
      <c r="AF558" s="112">
        <v>50000000</v>
      </c>
      <c r="AG558" s="110" t="s">
        <v>3032</v>
      </c>
      <c r="AH558" s="121">
        <f t="shared" si="285"/>
        <v>1</v>
      </c>
      <c r="AI558" s="121">
        <f t="shared" si="286"/>
        <v>1</v>
      </c>
      <c r="AJ558" s="121">
        <f t="shared" si="287"/>
        <v>0</v>
      </c>
      <c r="AK558" s="121">
        <f t="shared" si="288"/>
        <v>0</v>
      </c>
      <c r="AL558" s="121">
        <f t="shared" si="289"/>
        <v>1</v>
      </c>
      <c r="AM558" s="121">
        <f t="shared" si="290"/>
        <v>1</v>
      </c>
      <c r="AN558" s="121">
        <f t="shared" si="291"/>
        <v>1</v>
      </c>
      <c r="AO558" s="121">
        <f t="shared" si="292"/>
        <v>1</v>
      </c>
      <c r="AP558" s="22">
        <f t="shared" si="293"/>
        <v>10447.382084699389</v>
      </c>
      <c r="AQ558" s="22">
        <f t="shared" si="294"/>
        <v>10447.382084699389</v>
      </c>
      <c r="AR558" s="22">
        <f t="shared" si="295"/>
        <v>10447.382084699389</v>
      </c>
      <c r="AS558" s="121" t="str">
        <f t="shared" si="296"/>
        <v>Crops</v>
      </c>
      <c r="AT558" s="121" t="str">
        <f t="shared" si="315"/>
        <v xml:space="preserve"> </v>
      </c>
      <c r="AU558" s="121" t="str">
        <f t="shared" si="315"/>
        <v xml:space="preserve"> </v>
      </c>
      <c r="AV558" s="121" t="str">
        <f t="shared" si="315"/>
        <v xml:space="preserve"> </v>
      </c>
      <c r="AW558" s="130" t="str">
        <f t="shared" si="316"/>
        <v>100</v>
      </c>
      <c r="AX558" s="130" t="str">
        <f t="shared" si="316"/>
        <v xml:space="preserve"> </v>
      </c>
      <c r="AY558" s="130" t="str">
        <f t="shared" si="316"/>
        <v xml:space="preserve"> </v>
      </c>
      <c r="AZ558" s="130" t="str">
        <f t="shared" si="316"/>
        <v xml:space="preserve"> </v>
      </c>
      <c r="BA558" s="121">
        <f t="shared" si="297"/>
        <v>10447.382084699389</v>
      </c>
      <c r="BB558" s="121">
        <f t="shared" si="298"/>
        <v>0</v>
      </c>
      <c r="BC558" s="121">
        <f t="shared" si="299"/>
        <v>0</v>
      </c>
      <c r="BD558" s="121">
        <f t="shared" si="300"/>
        <v>0</v>
      </c>
      <c r="BE558" s="121">
        <f t="shared" si="301"/>
        <v>10447.382084699389</v>
      </c>
      <c r="BF558" s="121">
        <f t="shared" si="302"/>
        <v>10447.382084699389</v>
      </c>
      <c r="BG558" s="121">
        <f t="shared" si="303"/>
        <v>10447.382084699389</v>
      </c>
      <c r="BH558" s="121">
        <f t="shared" si="304"/>
        <v>10447.382084699389</v>
      </c>
      <c r="BI558" s="121">
        <f t="shared" si="305"/>
        <v>10447.382084699389</v>
      </c>
      <c r="BJ558" s="121">
        <f t="shared" si="306"/>
        <v>10447.382084699389</v>
      </c>
      <c r="BK558" s="121">
        <f t="shared" si="307"/>
        <v>10447.382084699389</v>
      </c>
      <c r="BL558" s="121">
        <f t="shared" si="308"/>
        <v>10447.382084699389</v>
      </c>
      <c r="BM558" s="121">
        <f t="shared" si="309"/>
        <v>10447.382084699389</v>
      </c>
      <c r="BN558" s="121">
        <f t="shared" si="310"/>
        <v>10447.382084699389</v>
      </c>
      <c r="BO558" s="121">
        <f t="shared" si="311"/>
        <v>10447.382084699389</v>
      </c>
      <c r="BP558" s="121">
        <f t="shared" si="312"/>
        <v>10447.382084699389</v>
      </c>
      <c r="BQ558" s="199">
        <f>INDEX('GDP deflators'!$C$6:$M$36,MATCH('Bottom-up tagging'!$D558,'GDP deflators'!$B$6:$B$36,),MATCH('Bottom-up tagging'!$E558,'GDP deflators'!$C$5:$L$5,))/100</f>
        <v>1.4753935363936217</v>
      </c>
      <c r="BR558" s="24">
        <v>15414</v>
      </c>
    </row>
    <row r="559" spans="2:70" ht="26.15" hidden="1" customHeight="1">
      <c r="B559" s="110" t="s">
        <v>1738</v>
      </c>
      <c r="C559" s="110" t="s">
        <v>763</v>
      </c>
      <c r="D559" s="110" t="s">
        <v>1740</v>
      </c>
      <c r="E559" s="103">
        <v>2018</v>
      </c>
      <c r="F559" s="108" t="s">
        <v>5487</v>
      </c>
      <c r="G559" s="111" t="s">
        <v>184</v>
      </c>
      <c r="H559" s="110" t="s">
        <v>10451</v>
      </c>
      <c r="I559" s="112">
        <f>IF(Dashboard!$B$16="Current USD",'Bottom-up tagging'!BR559,'Bottom-up tagging'!BR559/'Bottom-up tagging'!BQ559)</f>
        <v>10592.508189967517</v>
      </c>
      <c r="J559" s="118" t="s">
        <v>10474</v>
      </c>
      <c r="K559" s="112"/>
      <c r="L559" s="135">
        <v>1</v>
      </c>
      <c r="M559" s="135">
        <v>1</v>
      </c>
      <c r="N559" s="112"/>
      <c r="O559" s="112"/>
      <c r="P559" s="112" t="str">
        <f>VLOOKUP(B559, 'Companies covered restructured'!$B$7:$K$470, 9, FALSE)</f>
        <v>Precision agriculture</v>
      </c>
      <c r="Q559" s="112" t="str">
        <f>VLOOKUP(B559, 'Companies covered restructured'!$B$7:$K$470, 6, FALSE)</f>
        <v>#Crops(100)</v>
      </c>
      <c r="R559" s="112" t="str">
        <f t="shared" si="284"/>
        <v>N/A</v>
      </c>
      <c r="S559" s="112" t="s">
        <v>11003</v>
      </c>
      <c r="T559" s="112" t="s">
        <v>10465</v>
      </c>
      <c r="U559" s="103" t="s">
        <v>10970</v>
      </c>
      <c r="V559" s="112" t="str">
        <f>VLOOKUP(P559, 'Bottom-up Tagging Assumptions'!$B$12:$F$39, 5, FALSE)</f>
        <v>#Science &amp; tech(100)</v>
      </c>
      <c r="W559" s="112" t="str">
        <f>VLOOKUP(B559, 'Companies covered restructured'!$B$7:$K$470, 7, FALSE)</f>
        <v>#Field/Animal Herd(100)</v>
      </c>
      <c r="X559" s="112" t="s">
        <v>10558</v>
      </c>
      <c r="Y559" s="212" t="str">
        <f>VLOOKUP(P559, 'Bottom-up Tagging Assumptions'!$B$12:$C$56, 2, FALSE)</f>
        <v>#Other Economic(P); #Productivity(S)</v>
      </c>
      <c r="Z559" s="112" t="str">
        <f>VLOOKUP(P559, 'Bottom-up Tagging Assumptions'!$B$12:$F$56, 3, FALSE)</f>
        <v>#Increasing output per unit input(P); #Increasing crop or animal yield(S)</v>
      </c>
      <c r="AA559" s="112" t="str">
        <f>VLOOKUP(P559, 'Bottom-up Tagging Assumptions'!$B$12:$F$56, 4, FALSE)</f>
        <v>#Level 1(100)</v>
      </c>
      <c r="AB559" s="110" t="s">
        <v>1020</v>
      </c>
      <c r="AC559" s="110"/>
      <c r="AD559" s="110"/>
      <c r="AE559" s="110" t="s">
        <v>10558</v>
      </c>
      <c r="AF559" s="112">
        <v>30060731</v>
      </c>
      <c r="AG559" s="110" t="s">
        <v>2853</v>
      </c>
      <c r="AH559" s="121">
        <f t="shared" si="285"/>
        <v>0</v>
      </c>
      <c r="AI559" s="121">
        <f t="shared" si="286"/>
        <v>1</v>
      </c>
      <c r="AJ559" s="121">
        <f t="shared" si="287"/>
        <v>1</v>
      </c>
      <c r="AK559" s="121">
        <f t="shared" si="288"/>
        <v>0</v>
      </c>
      <c r="AL559" s="121">
        <f t="shared" si="289"/>
        <v>0</v>
      </c>
      <c r="AM559" s="121">
        <f t="shared" si="290"/>
        <v>0</v>
      </c>
      <c r="AN559" s="121">
        <f t="shared" si="291"/>
        <v>0</v>
      </c>
      <c r="AO559" s="121">
        <f t="shared" si="292"/>
        <v>0</v>
      </c>
      <c r="AP559" s="22">
        <f t="shared" si="293"/>
        <v>0</v>
      </c>
      <c r="AQ559" s="22">
        <f t="shared" si="294"/>
        <v>0</v>
      </c>
      <c r="AR559" s="22">
        <f t="shared" si="295"/>
        <v>0</v>
      </c>
      <c r="AS559" s="121" t="str">
        <f t="shared" si="296"/>
        <v>Crops</v>
      </c>
      <c r="AT559" s="121" t="str">
        <f t="shared" si="315"/>
        <v xml:space="preserve"> </v>
      </c>
      <c r="AU559" s="121" t="str">
        <f t="shared" si="315"/>
        <v xml:space="preserve"> </v>
      </c>
      <c r="AV559" s="121" t="str">
        <f t="shared" si="315"/>
        <v xml:space="preserve"> </v>
      </c>
      <c r="AW559" s="130" t="str">
        <f t="shared" si="316"/>
        <v>100</v>
      </c>
      <c r="AX559" s="130" t="str">
        <f t="shared" si="316"/>
        <v xml:space="preserve"> </v>
      </c>
      <c r="AY559" s="130" t="str">
        <f t="shared" si="316"/>
        <v xml:space="preserve"> </v>
      </c>
      <c r="AZ559" s="130" t="str">
        <f t="shared" si="316"/>
        <v xml:space="preserve"> </v>
      </c>
      <c r="BA559" s="121">
        <f t="shared" si="297"/>
        <v>10592.508189967517</v>
      </c>
      <c r="BB559" s="121">
        <f t="shared" si="298"/>
        <v>0</v>
      </c>
      <c r="BC559" s="121">
        <f t="shared" si="299"/>
        <v>0</v>
      </c>
      <c r="BD559" s="121">
        <f t="shared" si="300"/>
        <v>0</v>
      </c>
      <c r="BE559" s="121">
        <f t="shared" si="301"/>
        <v>0</v>
      </c>
      <c r="BF559" s="121">
        <f t="shared" si="302"/>
        <v>0</v>
      </c>
      <c r="BG559" s="121">
        <f t="shared" si="303"/>
        <v>0</v>
      </c>
      <c r="BH559" s="121">
        <f t="shared" si="304"/>
        <v>0</v>
      </c>
      <c r="BI559" s="121">
        <f t="shared" si="305"/>
        <v>0</v>
      </c>
      <c r="BJ559" s="121">
        <f t="shared" si="306"/>
        <v>0</v>
      </c>
      <c r="BK559" s="121">
        <f t="shared" si="307"/>
        <v>0</v>
      </c>
      <c r="BL559" s="121">
        <f t="shared" si="308"/>
        <v>0</v>
      </c>
      <c r="BM559" s="121">
        <f t="shared" si="309"/>
        <v>0</v>
      </c>
      <c r="BN559" s="121">
        <f t="shared" si="310"/>
        <v>0</v>
      </c>
      <c r="BO559" s="121">
        <f t="shared" si="311"/>
        <v>0</v>
      </c>
      <c r="BP559" s="121">
        <f t="shared" si="312"/>
        <v>0</v>
      </c>
      <c r="BQ559" s="199">
        <f>INDEX('GDP deflators'!$C$6:$M$36,MATCH('Bottom-up tagging'!$D559,'GDP deflators'!$B$6:$B$36,),MATCH('Bottom-up tagging'!$E559,'GDP deflators'!$C$5:$L$5,))/100</f>
        <v>1.4160951996437399</v>
      </c>
      <c r="BR559" s="24">
        <v>15000</v>
      </c>
    </row>
    <row r="560" spans="2:70" ht="26.15" hidden="1" customHeight="1">
      <c r="B560" s="110" t="s">
        <v>2532</v>
      </c>
      <c r="C560" s="110" t="s">
        <v>2534</v>
      </c>
      <c r="D560" s="110" t="s">
        <v>3994</v>
      </c>
      <c r="E560" s="103">
        <v>2016</v>
      </c>
      <c r="F560" s="108" t="s">
        <v>9183</v>
      </c>
      <c r="G560" s="111" t="s">
        <v>124</v>
      </c>
      <c r="H560" s="110" t="s">
        <v>10451</v>
      </c>
      <c r="I560" s="112">
        <f>IF(Dashboard!$B$16="Current USD",'Bottom-up tagging'!BR560,'Bottom-up tagging'!BR560/'Bottom-up tagging'!BQ560)</f>
        <v>11031.540444381602</v>
      </c>
      <c r="J560" s="117" t="s">
        <v>10474</v>
      </c>
      <c r="K560" s="112"/>
      <c r="L560" s="135">
        <v>1</v>
      </c>
      <c r="M560" s="135">
        <v>1</v>
      </c>
      <c r="N560" s="112"/>
      <c r="O560" s="112"/>
      <c r="P560" s="112" t="str">
        <f>VLOOKUP(B560, 'Companies covered restructured'!$B$7:$K$470, 9, FALSE)</f>
        <v>Agri input e-commerce platforms</v>
      </c>
      <c r="Q560" s="112" t="str">
        <f>VLOOKUP(B560, 'Companies covered restructured'!$B$7:$K$470, 6, FALSE)</f>
        <v>#Crops(100)</v>
      </c>
      <c r="R560" s="112" t="str">
        <f t="shared" si="284"/>
        <v>N/A</v>
      </c>
      <c r="S560" s="112" t="s">
        <v>11003</v>
      </c>
      <c r="T560" s="112" t="s">
        <v>10466</v>
      </c>
      <c r="U560" s="103" t="s">
        <v>10970</v>
      </c>
      <c r="V560" s="112" t="str">
        <f>VLOOKUP(P560, 'Bottom-up Tagging Assumptions'!$B$12:$F$39, 5, FALSE)</f>
        <v>#Process Innovation(100)</v>
      </c>
      <c r="W560" s="112" t="str">
        <f>VLOOKUP(B560, 'Companies covered restructured'!$B$7:$K$470, 7, FALSE)</f>
        <v>#Landscape(100)</v>
      </c>
      <c r="X560" s="112" t="str">
        <f>VLOOKUP(B560, 'Companies covered restructured'!$B$7:$K$470, 8, FALSE)</f>
        <v>N/A</v>
      </c>
      <c r="Y560" s="212" t="str">
        <f>VLOOKUP(P560, 'Bottom-up Tagging Assumptions'!$B$12:$C$56, 2, FALSE)</f>
        <v>#Other Economic(P); Productivity(S)</v>
      </c>
      <c r="Z560" s="112" t="str">
        <f>VLOOKUP(P560, 'Bottom-up Tagging Assumptions'!$B$12:$F$56, 3, FALSE)</f>
        <v>#Reduce cost of inputs(P)</v>
      </c>
      <c r="AA560" s="112" t="str">
        <f>VLOOKUP(P560, 'Bottom-up Tagging Assumptions'!$B$12:$F$56, 4, FALSE)</f>
        <v>#Level 1(100)</v>
      </c>
      <c r="AB560" s="110"/>
      <c r="AC560" s="110"/>
      <c r="AD560" s="110"/>
      <c r="AE560" s="110" t="s">
        <v>10558</v>
      </c>
      <c r="AF560" s="112">
        <v>204990000</v>
      </c>
      <c r="AG560" s="110" t="s">
        <v>2313</v>
      </c>
      <c r="AH560" s="121">
        <f t="shared" si="285"/>
        <v>0</v>
      </c>
      <c r="AI560" s="121">
        <f t="shared" si="286"/>
        <v>1</v>
      </c>
      <c r="AJ560" s="121">
        <f t="shared" si="287"/>
        <v>1</v>
      </c>
      <c r="AK560" s="121">
        <f t="shared" si="288"/>
        <v>0</v>
      </c>
      <c r="AL560" s="121">
        <f t="shared" si="289"/>
        <v>0</v>
      </c>
      <c r="AM560" s="121">
        <f t="shared" si="290"/>
        <v>0</v>
      </c>
      <c r="AN560" s="121">
        <f t="shared" si="291"/>
        <v>0</v>
      </c>
      <c r="AO560" s="121">
        <f t="shared" si="292"/>
        <v>0</v>
      </c>
      <c r="AP560" s="22">
        <f t="shared" si="293"/>
        <v>0</v>
      </c>
      <c r="AQ560" s="22">
        <f t="shared" si="294"/>
        <v>0</v>
      </c>
      <c r="AR560" s="22">
        <f t="shared" si="295"/>
        <v>0</v>
      </c>
      <c r="AS560" s="121" t="str">
        <f t="shared" si="296"/>
        <v>Crops</v>
      </c>
      <c r="AT560" s="121" t="str">
        <f t="shared" si="315"/>
        <v xml:space="preserve"> </v>
      </c>
      <c r="AU560" s="121" t="str">
        <f t="shared" si="315"/>
        <v xml:space="preserve"> </v>
      </c>
      <c r="AV560" s="121" t="str">
        <f t="shared" si="315"/>
        <v xml:space="preserve"> </v>
      </c>
      <c r="AW560" s="130" t="str">
        <f t="shared" si="316"/>
        <v>100</v>
      </c>
      <c r="AX560" s="130" t="str">
        <f t="shared" si="316"/>
        <v xml:space="preserve"> </v>
      </c>
      <c r="AY560" s="130" t="str">
        <f t="shared" si="316"/>
        <v xml:space="preserve"> </v>
      </c>
      <c r="AZ560" s="130" t="str">
        <f t="shared" si="316"/>
        <v xml:space="preserve"> </v>
      </c>
      <c r="BA560" s="121">
        <f t="shared" si="297"/>
        <v>11031.540444381602</v>
      </c>
      <c r="BB560" s="121">
        <f t="shared" si="298"/>
        <v>0</v>
      </c>
      <c r="BC560" s="121">
        <f t="shared" si="299"/>
        <v>0</v>
      </c>
      <c r="BD560" s="121">
        <f t="shared" si="300"/>
        <v>0</v>
      </c>
      <c r="BE560" s="121">
        <f t="shared" si="301"/>
        <v>0</v>
      </c>
      <c r="BF560" s="121">
        <f t="shared" si="302"/>
        <v>0</v>
      </c>
      <c r="BG560" s="121">
        <f t="shared" si="303"/>
        <v>0</v>
      </c>
      <c r="BH560" s="121">
        <f t="shared" si="304"/>
        <v>0</v>
      </c>
      <c r="BI560" s="121">
        <f t="shared" si="305"/>
        <v>0</v>
      </c>
      <c r="BJ560" s="121">
        <f t="shared" si="306"/>
        <v>0</v>
      </c>
      <c r="BK560" s="121">
        <f t="shared" si="307"/>
        <v>0</v>
      </c>
      <c r="BL560" s="121">
        <f t="shared" si="308"/>
        <v>0</v>
      </c>
      <c r="BM560" s="121">
        <f t="shared" si="309"/>
        <v>0</v>
      </c>
      <c r="BN560" s="121">
        <f t="shared" si="310"/>
        <v>0</v>
      </c>
      <c r="BO560" s="121">
        <f t="shared" si="311"/>
        <v>0</v>
      </c>
      <c r="BP560" s="121">
        <f t="shared" si="312"/>
        <v>0</v>
      </c>
      <c r="BQ560" s="199">
        <f>INDEX('GDP deflators'!$C$6:$M$36,MATCH('Bottom-up tagging'!$D560,'GDP deflators'!$B$6:$B$36,),MATCH('Bottom-up tagging'!$E560,'GDP deflators'!$C$5:$L$5,))/100</f>
        <v>1.3597375702538033</v>
      </c>
      <c r="BR560" s="24">
        <v>15000</v>
      </c>
    </row>
    <row r="561" spans="2:70" ht="26.15" hidden="1" customHeight="1">
      <c r="B561" s="110" t="s">
        <v>2419</v>
      </c>
      <c r="C561" s="110" t="s">
        <v>2422</v>
      </c>
      <c r="D561" s="110" t="s">
        <v>5844</v>
      </c>
      <c r="E561" s="103">
        <v>2015</v>
      </c>
      <c r="F561" s="108" t="s">
        <v>9396</v>
      </c>
      <c r="G561" s="111" t="s">
        <v>184</v>
      </c>
      <c r="H561" s="110" t="s">
        <v>10451</v>
      </c>
      <c r="I561" s="112">
        <f>IF(Dashboard!$B$16="Current USD",'Bottom-up tagging'!BR561,'Bottom-up tagging'!BR561/'Bottom-up tagging'!BQ561)</f>
        <v>10288.399665908395</v>
      </c>
      <c r="J561" s="117" t="s">
        <v>10474</v>
      </c>
      <c r="K561" s="112"/>
      <c r="L561" s="135">
        <v>1</v>
      </c>
      <c r="M561" s="135">
        <v>1</v>
      </c>
      <c r="N561" s="112"/>
      <c r="O561" s="112"/>
      <c r="P561" s="112" t="str">
        <f>VLOOKUP(B561, 'Companies covered restructured'!$B$7:$K$470, 9, FALSE)</f>
        <v>Equipment automation</v>
      </c>
      <c r="Q561" s="112" t="str">
        <f>VLOOKUP(B561, 'Companies covered restructured'!$B$7:$K$470, 6, FALSE)</f>
        <v>#Crops(100)</v>
      </c>
      <c r="R561" s="112" t="str">
        <f t="shared" si="284"/>
        <v>N/A</v>
      </c>
      <c r="S561" s="112" t="s">
        <v>11003</v>
      </c>
      <c r="T561" s="112" t="s">
        <v>10465</v>
      </c>
      <c r="U561" s="103" t="s">
        <v>10970</v>
      </c>
      <c r="V561" s="112" t="str">
        <f>VLOOKUP(P561, 'Bottom-up Tagging Assumptions'!$B$12:$F$39, 5, FALSE)</f>
        <v>#Science &amp; tech(100)</v>
      </c>
      <c r="W561" s="112" t="str">
        <f>VLOOKUP(B561, 'Companies covered restructured'!$B$7:$K$470, 7, FALSE)</f>
        <v>#Farm/Household(100)</v>
      </c>
      <c r="X561" s="112" t="str">
        <f>VLOOKUP(B561, 'Companies covered restructured'!$B$7:$K$470, 8, FALSE)</f>
        <v>N/A</v>
      </c>
      <c r="Y561" s="212" t="str">
        <f>VLOOKUP(P561, 'Bottom-up Tagging Assumptions'!$B$12:$C$56, 2, FALSE)</f>
        <v>#Productivity(P); #Other Economic(S)</v>
      </c>
      <c r="Z561" s="112" t="str">
        <f>VLOOKUP(P561, 'Bottom-up Tagging Assumptions'!$B$12:$F$56, 3, FALSE)</f>
        <v>#Reducing human effort(P); #Increasing output per unit input(S)</v>
      </c>
      <c r="AA561" s="112" t="str">
        <f>VLOOKUP(P561, 'Bottom-up Tagging Assumptions'!$B$12:$F$56, 4, FALSE)</f>
        <v>#Level 1(100)</v>
      </c>
      <c r="AB561" s="110" t="s">
        <v>2545</v>
      </c>
      <c r="AC561" s="110"/>
      <c r="AD561" s="110"/>
      <c r="AE561" s="110" t="s">
        <v>10558</v>
      </c>
      <c r="AF561" s="112">
        <v>9000000</v>
      </c>
      <c r="AG561" s="110" t="s">
        <v>2970</v>
      </c>
      <c r="AH561" s="121">
        <f t="shared" si="285"/>
        <v>0</v>
      </c>
      <c r="AI561" s="121">
        <f t="shared" si="286"/>
        <v>1</v>
      </c>
      <c r="AJ561" s="121">
        <f t="shared" si="287"/>
        <v>1</v>
      </c>
      <c r="AK561" s="121">
        <f t="shared" si="288"/>
        <v>0</v>
      </c>
      <c r="AL561" s="121">
        <f t="shared" si="289"/>
        <v>0</v>
      </c>
      <c r="AM561" s="121">
        <f t="shared" si="290"/>
        <v>0</v>
      </c>
      <c r="AN561" s="121">
        <f t="shared" si="291"/>
        <v>0</v>
      </c>
      <c r="AO561" s="121">
        <f t="shared" si="292"/>
        <v>0</v>
      </c>
      <c r="AP561" s="22">
        <f t="shared" si="293"/>
        <v>0</v>
      </c>
      <c r="AQ561" s="22">
        <f t="shared" si="294"/>
        <v>0</v>
      </c>
      <c r="AR561" s="22">
        <f t="shared" si="295"/>
        <v>0</v>
      </c>
      <c r="AS561" s="121" t="str">
        <f t="shared" si="296"/>
        <v>Crops</v>
      </c>
      <c r="AT561" s="121" t="str">
        <f t="shared" si="315"/>
        <v xml:space="preserve"> </v>
      </c>
      <c r="AU561" s="121" t="str">
        <f t="shared" si="315"/>
        <v xml:space="preserve"> </v>
      </c>
      <c r="AV561" s="121" t="str">
        <f t="shared" si="315"/>
        <v xml:space="preserve"> </v>
      </c>
      <c r="AW561" s="130" t="str">
        <f t="shared" si="316"/>
        <v>100</v>
      </c>
      <c r="AX561" s="130" t="str">
        <f t="shared" si="316"/>
        <v xml:space="preserve"> </v>
      </c>
      <c r="AY561" s="130" t="str">
        <f t="shared" si="316"/>
        <v xml:space="preserve"> </v>
      </c>
      <c r="AZ561" s="130" t="str">
        <f t="shared" si="316"/>
        <v xml:space="preserve"> </v>
      </c>
      <c r="BA561" s="121">
        <f t="shared" si="297"/>
        <v>10288.399665908395</v>
      </c>
      <c r="BB561" s="121">
        <f t="shared" si="298"/>
        <v>0</v>
      </c>
      <c r="BC561" s="121">
        <f t="shared" si="299"/>
        <v>0</v>
      </c>
      <c r="BD561" s="121">
        <f t="shared" si="300"/>
        <v>0</v>
      </c>
      <c r="BE561" s="121">
        <f t="shared" si="301"/>
        <v>0</v>
      </c>
      <c r="BF561" s="121">
        <f t="shared" si="302"/>
        <v>0</v>
      </c>
      <c r="BG561" s="121">
        <f t="shared" si="303"/>
        <v>0</v>
      </c>
      <c r="BH561" s="121">
        <f t="shared" si="304"/>
        <v>0</v>
      </c>
      <c r="BI561" s="121">
        <f t="shared" si="305"/>
        <v>0</v>
      </c>
      <c r="BJ561" s="121">
        <f t="shared" si="306"/>
        <v>0</v>
      </c>
      <c r="BK561" s="121">
        <f t="shared" si="307"/>
        <v>0</v>
      </c>
      <c r="BL561" s="121">
        <f t="shared" si="308"/>
        <v>0</v>
      </c>
      <c r="BM561" s="121">
        <f t="shared" si="309"/>
        <v>0</v>
      </c>
      <c r="BN561" s="121">
        <f t="shared" si="310"/>
        <v>0</v>
      </c>
      <c r="BO561" s="121">
        <f t="shared" si="311"/>
        <v>0</v>
      </c>
      <c r="BP561" s="121">
        <f t="shared" si="312"/>
        <v>0</v>
      </c>
      <c r="BQ561" s="199">
        <f>INDEX('GDP deflators'!$C$6:$M$36,MATCH('Bottom-up tagging'!$D561,'GDP deflators'!$B$6:$B$36,),MATCH('Bottom-up tagging'!$E561,'GDP deflators'!$C$5:$L$5,))/100</f>
        <v>1.4579526930416542</v>
      </c>
      <c r="BR561" s="24">
        <v>15000</v>
      </c>
    </row>
    <row r="562" spans="2:70" ht="26.15" hidden="1" customHeight="1">
      <c r="B562" s="110" t="s">
        <v>820</v>
      </c>
      <c r="C562" s="110" t="s">
        <v>823</v>
      </c>
      <c r="D562" s="110" t="s">
        <v>3994</v>
      </c>
      <c r="E562" s="103">
        <v>2019</v>
      </c>
      <c r="F562" s="108" t="s">
        <v>5404</v>
      </c>
      <c r="G562" s="111" t="s">
        <v>34</v>
      </c>
      <c r="H562" s="110" t="s">
        <v>10451</v>
      </c>
      <c r="I562" s="112">
        <f>IF(Dashboard!$B$16="Current USD",'Bottom-up tagging'!BR562,'Bottom-up tagging'!BR562/'Bottom-up tagging'!BQ562)</f>
        <v>9240.2167666988062</v>
      </c>
      <c r="J562" s="105" t="s">
        <v>10474</v>
      </c>
      <c r="K562" s="112"/>
      <c r="L562" s="135">
        <v>1</v>
      </c>
      <c r="M562" s="135">
        <v>1</v>
      </c>
      <c r="N562" s="112"/>
      <c r="O562" s="112"/>
      <c r="P562" s="112" t="str">
        <f>VLOOKUP(B562, 'Companies covered restructured'!$B$7:$K$470, 9, FALSE)</f>
        <v xml:space="preserve">Hydroponics </v>
      </c>
      <c r="Q562" s="112" t="str">
        <f>VLOOKUP(B562, 'Companies covered restructured'!$B$7:$K$470, 6, FALSE)</f>
        <v>#Crops(100)</v>
      </c>
      <c r="R562" s="112" t="str">
        <f t="shared" si="284"/>
        <v>#Corporate(100)</v>
      </c>
      <c r="S562" s="112" t="s">
        <v>11003</v>
      </c>
      <c r="T562" s="112" t="s">
        <v>10466</v>
      </c>
      <c r="U562" s="103" t="s">
        <v>10970</v>
      </c>
      <c r="V562" s="112" t="str">
        <f>VLOOKUP(P562, 'Bottom-up Tagging Assumptions'!$B$12:$F$39, 5, FALSE)</f>
        <v>#Science &amp; tech(100)</v>
      </c>
      <c r="W562" s="112" t="str">
        <f>VLOOKUP(B562, 'Companies covered restructured'!$B$7:$K$470, 7, FALSE)</f>
        <v>#Field/Animal Herd(100)</v>
      </c>
      <c r="X562" s="112" t="s">
        <v>10558</v>
      </c>
      <c r="Y562" s="212" t="str">
        <f>VLOOKUP(P562, 'Bottom-up Tagging Assumptions'!$B$12:$C$56, 2, FALSE)</f>
        <v>#Human Condition(P); #Environmental(S); #Productivity(S)</v>
      </c>
      <c r="Z562" s="112" t="str">
        <f>VLOOKUP(P562, 'Bottom-up Tagging Assumptions'!$B$12:$F$56, 3, FALSE)</f>
        <v>#Food security(P); #Reducing production variability(S)</v>
      </c>
      <c r="AA562" s="112" t="str">
        <f>VLOOKUP(P562, 'Bottom-up Tagging Assumptions'!$B$12:$F$56, 4, FALSE)</f>
        <v>#Level 2(100)</v>
      </c>
      <c r="AB562" s="110" t="s">
        <v>869</v>
      </c>
      <c r="AC562" s="110"/>
      <c r="AD562" s="110" t="s">
        <v>870</v>
      </c>
      <c r="AE562" s="110" t="str">
        <f>VLOOKUP(AD562,  '1.2'!$B$7:$C$2033, 2, FALSE)</f>
        <v>CORPORATE_INVESTOR</v>
      </c>
      <c r="AF562" s="112">
        <v>70047</v>
      </c>
      <c r="AG562" s="110" t="s">
        <v>3046</v>
      </c>
      <c r="AH562" s="121">
        <f t="shared" si="285"/>
        <v>1</v>
      </c>
      <c r="AI562" s="121">
        <f t="shared" si="286"/>
        <v>1</v>
      </c>
      <c r="AJ562" s="121">
        <f t="shared" si="287"/>
        <v>0</v>
      </c>
      <c r="AK562" s="121">
        <f t="shared" si="288"/>
        <v>0</v>
      </c>
      <c r="AL562" s="121">
        <f t="shared" si="289"/>
        <v>1</v>
      </c>
      <c r="AM562" s="121">
        <f t="shared" si="290"/>
        <v>1</v>
      </c>
      <c r="AN562" s="121">
        <f t="shared" si="291"/>
        <v>1</v>
      </c>
      <c r="AO562" s="121">
        <f t="shared" si="292"/>
        <v>1</v>
      </c>
      <c r="AP562" s="22">
        <f t="shared" si="293"/>
        <v>9240.2167666988062</v>
      </c>
      <c r="AQ562" s="22">
        <f t="shared" si="294"/>
        <v>9240.2167666988062</v>
      </c>
      <c r="AR562" s="22">
        <f t="shared" si="295"/>
        <v>9240.2167666988062</v>
      </c>
      <c r="AS562" s="121" t="str">
        <f t="shared" si="296"/>
        <v>Crops</v>
      </c>
      <c r="AT562" s="121" t="str">
        <f t="shared" si="315"/>
        <v xml:space="preserve"> </v>
      </c>
      <c r="AU562" s="121" t="str">
        <f t="shared" si="315"/>
        <v xml:space="preserve"> </v>
      </c>
      <c r="AV562" s="121" t="str">
        <f t="shared" si="315"/>
        <v xml:space="preserve"> </v>
      </c>
      <c r="AW562" s="130" t="str">
        <f t="shared" si="316"/>
        <v>100</v>
      </c>
      <c r="AX562" s="130" t="str">
        <f t="shared" si="316"/>
        <v xml:space="preserve"> </v>
      </c>
      <c r="AY562" s="130" t="str">
        <f t="shared" si="316"/>
        <v xml:space="preserve"> </v>
      </c>
      <c r="AZ562" s="130" t="str">
        <f t="shared" si="316"/>
        <v xml:space="preserve"> </v>
      </c>
      <c r="BA562" s="121">
        <f t="shared" si="297"/>
        <v>9240.2167666988062</v>
      </c>
      <c r="BB562" s="121">
        <f t="shared" si="298"/>
        <v>0</v>
      </c>
      <c r="BC562" s="121">
        <f t="shared" si="299"/>
        <v>0</v>
      </c>
      <c r="BD562" s="121">
        <f t="shared" si="300"/>
        <v>0</v>
      </c>
      <c r="BE562" s="121">
        <f t="shared" si="301"/>
        <v>9240.2167666988062</v>
      </c>
      <c r="BF562" s="121">
        <f t="shared" si="302"/>
        <v>9240.2167666988062</v>
      </c>
      <c r="BG562" s="121">
        <f t="shared" si="303"/>
        <v>9240.2167666988062</v>
      </c>
      <c r="BH562" s="121">
        <f t="shared" si="304"/>
        <v>9240.2167666988062</v>
      </c>
      <c r="BI562" s="121">
        <f t="shared" si="305"/>
        <v>9240.2167666988062</v>
      </c>
      <c r="BJ562" s="121">
        <f t="shared" si="306"/>
        <v>9240.2167666988062</v>
      </c>
      <c r="BK562" s="121">
        <f t="shared" si="307"/>
        <v>9240.2167666988062</v>
      </c>
      <c r="BL562" s="121">
        <f t="shared" si="308"/>
        <v>9240.2167666988062</v>
      </c>
      <c r="BM562" s="121">
        <f t="shared" si="309"/>
        <v>9240.2167666988062</v>
      </c>
      <c r="BN562" s="121">
        <f t="shared" si="310"/>
        <v>9240.2167666988062</v>
      </c>
      <c r="BO562" s="121">
        <f t="shared" si="311"/>
        <v>9240.2167666988062</v>
      </c>
      <c r="BP562" s="121">
        <f t="shared" si="312"/>
        <v>9240.2167666988062</v>
      </c>
      <c r="BQ562" s="199">
        <f>INDEX('GDP deflators'!$C$6:$M$36,MATCH('Bottom-up tagging'!$D562,'GDP deflators'!$B$6:$B$36,),MATCH('Bottom-up tagging'!$E562,'GDP deflators'!$C$5:$L$5,))/100</f>
        <v>1.5094883975306472</v>
      </c>
      <c r="BR562" s="24">
        <v>13948</v>
      </c>
    </row>
    <row r="563" spans="2:70" ht="26.15" hidden="1" customHeight="1">
      <c r="B563" s="110" t="s">
        <v>2711</v>
      </c>
      <c r="C563" s="110" t="s">
        <v>2715</v>
      </c>
      <c r="D563" s="110" t="s">
        <v>10098</v>
      </c>
      <c r="E563" s="103">
        <v>2015</v>
      </c>
      <c r="F563" s="108" t="s">
        <v>10102</v>
      </c>
      <c r="G563" s="111" t="s">
        <v>184</v>
      </c>
      <c r="H563" s="110" t="s">
        <v>10451</v>
      </c>
      <c r="I563" s="112">
        <f>IF(Dashboard!$B$16="Current USD",'Bottom-up tagging'!BR563,'Bottom-up tagging'!BR563/'Bottom-up tagging'!BQ563)</f>
        <v>8754.9777708922811</v>
      </c>
      <c r="J563" s="118" t="s">
        <v>10474</v>
      </c>
      <c r="K563" s="112"/>
      <c r="L563" s="135">
        <v>1</v>
      </c>
      <c r="M563" s="135">
        <v>1</v>
      </c>
      <c r="N563" s="112"/>
      <c r="O563" s="112"/>
      <c r="P563" s="112" t="str">
        <f>VLOOKUP(B563, 'Companies covered restructured'!$B$7:$K$470, 9, FALSE)</f>
        <v>Agri input e-commerce platforms</v>
      </c>
      <c r="Q563" s="112" t="str">
        <f>VLOOKUP(B563, 'Companies covered restructured'!$B$7:$K$470, 6, FALSE)</f>
        <v>#Crops(100)</v>
      </c>
      <c r="R563" s="112" t="str">
        <f t="shared" si="284"/>
        <v>N/A</v>
      </c>
      <c r="S563" s="112" t="s">
        <v>11003</v>
      </c>
      <c r="T563" s="112" t="s">
        <v>10465</v>
      </c>
      <c r="U563" s="116" t="s">
        <v>10970</v>
      </c>
      <c r="V563" s="112" t="str">
        <f>VLOOKUP(P563, 'Bottom-up Tagging Assumptions'!$B$12:$F$39, 5, FALSE)</f>
        <v>#Process Innovation(100)</v>
      </c>
      <c r="W563" s="112" t="str">
        <f>VLOOKUP(B563, 'Companies covered restructured'!$B$7:$K$470, 7, FALSE)</f>
        <v>#Farm/Household(100)</v>
      </c>
      <c r="X563" s="112" t="str">
        <f>VLOOKUP(B563, 'Companies covered restructured'!$B$7:$K$470, 8, FALSE)</f>
        <v>N/A</v>
      </c>
      <c r="Y563" s="212" t="str">
        <f>VLOOKUP(P563, 'Bottom-up Tagging Assumptions'!$B$12:$C$56, 2, FALSE)</f>
        <v>#Other Economic(P); Productivity(S)</v>
      </c>
      <c r="Z563" s="112" t="str">
        <f>VLOOKUP(P563, 'Bottom-up Tagging Assumptions'!$B$12:$F$56, 3, FALSE)</f>
        <v>#Reduce cost of inputs(P)</v>
      </c>
      <c r="AA563" s="112" t="str">
        <f>VLOOKUP(P563, 'Bottom-up Tagging Assumptions'!$B$12:$F$56, 4, FALSE)</f>
        <v>#Level 1(100)</v>
      </c>
      <c r="AB563" s="110" t="s">
        <v>2713</v>
      </c>
      <c r="AC563" s="110"/>
      <c r="AD563" s="110"/>
      <c r="AE563" s="110" t="s">
        <v>10558</v>
      </c>
      <c r="AF563" s="112">
        <v>40000</v>
      </c>
      <c r="AG563" s="110" t="s">
        <v>3056</v>
      </c>
      <c r="AH563" s="121">
        <f t="shared" si="285"/>
        <v>0</v>
      </c>
      <c r="AI563" s="121">
        <f t="shared" si="286"/>
        <v>1</v>
      </c>
      <c r="AJ563" s="121">
        <f t="shared" si="287"/>
        <v>1</v>
      </c>
      <c r="AK563" s="121">
        <f t="shared" si="288"/>
        <v>0</v>
      </c>
      <c r="AL563" s="121">
        <f t="shared" si="289"/>
        <v>0</v>
      </c>
      <c r="AM563" s="121">
        <f t="shared" si="290"/>
        <v>0</v>
      </c>
      <c r="AN563" s="121">
        <f t="shared" si="291"/>
        <v>0</v>
      </c>
      <c r="AO563" s="121">
        <f t="shared" si="292"/>
        <v>0</v>
      </c>
      <c r="AP563" s="22">
        <f t="shared" si="293"/>
        <v>0</v>
      </c>
      <c r="AQ563" s="22">
        <f t="shared" si="294"/>
        <v>0</v>
      </c>
      <c r="AR563" s="22">
        <f t="shared" si="295"/>
        <v>0</v>
      </c>
      <c r="AS563" s="121" t="str">
        <f t="shared" si="296"/>
        <v>Crops</v>
      </c>
      <c r="AT563" s="121" t="str">
        <f t="shared" si="315"/>
        <v xml:space="preserve"> </v>
      </c>
      <c r="AU563" s="121" t="str">
        <f t="shared" si="315"/>
        <v xml:space="preserve"> </v>
      </c>
      <c r="AV563" s="121" t="str">
        <f t="shared" si="315"/>
        <v xml:space="preserve"> </v>
      </c>
      <c r="AW563" s="130" t="str">
        <f t="shared" si="316"/>
        <v>100</v>
      </c>
      <c r="AX563" s="130" t="str">
        <f t="shared" si="316"/>
        <v xml:space="preserve"> </v>
      </c>
      <c r="AY563" s="130" t="str">
        <f t="shared" si="316"/>
        <v xml:space="preserve"> </v>
      </c>
      <c r="AZ563" s="130" t="str">
        <f t="shared" si="316"/>
        <v xml:space="preserve"> </v>
      </c>
      <c r="BA563" s="121">
        <f t="shared" si="297"/>
        <v>8754.9777708922811</v>
      </c>
      <c r="BB563" s="121">
        <f t="shared" si="298"/>
        <v>0</v>
      </c>
      <c r="BC563" s="121">
        <f t="shared" si="299"/>
        <v>0</v>
      </c>
      <c r="BD563" s="121">
        <f t="shared" si="300"/>
        <v>0</v>
      </c>
      <c r="BE563" s="121">
        <f t="shared" si="301"/>
        <v>0</v>
      </c>
      <c r="BF563" s="121">
        <f t="shared" si="302"/>
        <v>0</v>
      </c>
      <c r="BG563" s="121">
        <f t="shared" si="303"/>
        <v>0</v>
      </c>
      <c r="BH563" s="121">
        <f t="shared" si="304"/>
        <v>0</v>
      </c>
      <c r="BI563" s="121">
        <f t="shared" si="305"/>
        <v>0</v>
      </c>
      <c r="BJ563" s="121">
        <f t="shared" si="306"/>
        <v>0</v>
      </c>
      <c r="BK563" s="121">
        <f t="shared" si="307"/>
        <v>0</v>
      </c>
      <c r="BL563" s="121">
        <f t="shared" si="308"/>
        <v>0</v>
      </c>
      <c r="BM563" s="121">
        <f t="shared" si="309"/>
        <v>0</v>
      </c>
      <c r="BN563" s="121">
        <f t="shared" si="310"/>
        <v>0</v>
      </c>
      <c r="BO563" s="121">
        <f t="shared" si="311"/>
        <v>0</v>
      </c>
      <c r="BP563" s="121">
        <f t="shared" si="312"/>
        <v>0</v>
      </c>
      <c r="BQ563" s="199">
        <f>INDEX('GDP deflators'!$C$6:$M$36,MATCH('Bottom-up tagging'!$D563,'GDP deflators'!$B$6:$B$36,),MATCH('Bottom-up tagging'!$E563,'GDP deflators'!$C$5:$L$5,))/100</f>
        <v>1.2303857624646088</v>
      </c>
      <c r="BR563" s="24">
        <v>10772</v>
      </c>
    </row>
    <row r="564" spans="2:70" ht="26.15" hidden="1" customHeight="1">
      <c r="B564" s="110" t="s">
        <v>664</v>
      </c>
      <c r="C564" s="110" t="s">
        <v>667</v>
      </c>
      <c r="D564" s="110" t="s">
        <v>6297</v>
      </c>
      <c r="E564" s="103">
        <v>2019</v>
      </c>
      <c r="F564" s="108" t="s">
        <v>6785</v>
      </c>
      <c r="G564" s="111" t="s">
        <v>184</v>
      </c>
      <c r="H564" s="110" t="s">
        <v>10451</v>
      </c>
      <c r="I564" s="112">
        <f>IF(Dashboard!$B$16="Current USD",'Bottom-up tagging'!BR564,'Bottom-up tagging'!BR564/'Bottom-up tagging'!BQ564)</f>
        <v>6202.3830468435644</v>
      </c>
      <c r="J564" s="105" t="s">
        <v>10474</v>
      </c>
      <c r="K564" s="112"/>
      <c r="L564" s="135">
        <v>1</v>
      </c>
      <c r="M564" s="135">
        <v>1</v>
      </c>
      <c r="N564" s="112"/>
      <c r="O564" s="112"/>
      <c r="P564" s="112" t="str">
        <f>VLOOKUP(B564, 'Companies covered restructured'!$B$7:$K$470, 9, FALSE)</f>
        <v>AI/analytics based advisory algorithms (incl. weather)</v>
      </c>
      <c r="Q564" s="112" t="str">
        <f>VLOOKUP(B564, 'Companies covered restructured'!$B$7:$K$470, 6, FALSE)</f>
        <v>#Crops(100)</v>
      </c>
      <c r="R564" s="112" t="str">
        <f t="shared" si="284"/>
        <v>N/A</v>
      </c>
      <c r="S564" s="112" t="s">
        <v>11003</v>
      </c>
      <c r="T564" s="112" t="s">
        <v>10465</v>
      </c>
      <c r="U564" s="103" t="s">
        <v>10970</v>
      </c>
      <c r="V564" s="112" t="str">
        <f>VLOOKUP(P564, 'Bottom-up Tagging Assumptions'!$B$12:$F$39, 5, FALSE)</f>
        <v>#Science &amp; tech(100)</v>
      </c>
      <c r="W564" s="112" t="str">
        <f>VLOOKUP(B564, 'Companies covered restructured'!$B$7:$K$470, 7, FALSE)</f>
        <v>#Landscape(100)</v>
      </c>
      <c r="X564" s="112" t="s">
        <v>10558</v>
      </c>
      <c r="Y564" s="212" t="str">
        <f>VLOOKUP(P564, 'Bottom-up Tagging Assumptions'!$B$12:$C$56, 2, FALSE)</f>
        <v>#Other Economic(P); #Productivity(S)</v>
      </c>
      <c r="Z564" s="112" t="str">
        <f>VLOOKUP(P564, 'Bottom-up Tagging Assumptions'!$B$12:$F$56, 3, FALSE)</f>
        <v>#Increasing output per unit input(P); #Increasing crop or animal yield(S)</v>
      </c>
      <c r="AA564" s="112" t="str">
        <f>VLOOKUP(P564, 'Bottom-up Tagging Assumptions'!$B$12:$F$56, 4, FALSE)</f>
        <v>#Level 1(100)</v>
      </c>
      <c r="AB564" s="110" t="s">
        <v>666</v>
      </c>
      <c r="AC564" s="110"/>
      <c r="AD564" s="110"/>
      <c r="AE564" s="110" t="s">
        <v>10558</v>
      </c>
      <c r="AF564" s="112">
        <v>14634837</v>
      </c>
      <c r="AG564" s="110" t="s">
        <v>1119</v>
      </c>
      <c r="AH564" s="121">
        <f t="shared" si="285"/>
        <v>0</v>
      </c>
      <c r="AI564" s="121">
        <f t="shared" si="286"/>
        <v>1</v>
      </c>
      <c r="AJ564" s="121">
        <f t="shared" si="287"/>
        <v>1</v>
      </c>
      <c r="AK564" s="121">
        <f t="shared" si="288"/>
        <v>0</v>
      </c>
      <c r="AL564" s="121">
        <f t="shared" si="289"/>
        <v>0</v>
      </c>
      <c r="AM564" s="121">
        <f t="shared" si="290"/>
        <v>0</v>
      </c>
      <c r="AN564" s="121">
        <f t="shared" si="291"/>
        <v>0</v>
      </c>
      <c r="AO564" s="121">
        <f t="shared" si="292"/>
        <v>0</v>
      </c>
      <c r="AP564" s="22">
        <f t="shared" si="293"/>
        <v>0</v>
      </c>
      <c r="AQ564" s="22">
        <f t="shared" si="294"/>
        <v>0</v>
      </c>
      <c r="AR564" s="22">
        <f t="shared" si="295"/>
        <v>0</v>
      </c>
      <c r="AS564" s="121" t="str">
        <f t="shared" si="296"/>
        <v>Crops</v>
      </c>
      <c r="AT564" s="121" t="str">
        <f t="shared" si="315"/>
        <v xml:space="preserve"> </v>
      </c>
      <c r="AU564" s="121" t="str">
        <f t="shared" si="315"/>
        <v xml:space="preserve"> </v>
      </c>
      <c r="AV564" s="121" t="str">
        <f t="shared" si="315"/>
        <v xml:space="preserve"> </v>
      </c>
      <c r="AW564" s="130" t="str">
        <f t="shared" si="316"/>
        <v>100</v>
      </c>
      <c r="AX564" s="130" t="str">
        <f t="shared" si="316"/>
        <v xml:space="preserve"> </v>
      </c>
      <c r="AY564" s="130" t="str">
        <f t="shared" si="316"/>
        <v xml:space="preserve"> </v>
      </c>
      <c r="AZ564" s="130" t="str">
        <f t="shared" si="316"/>
        <v xml:space="preserve"> </v>
      </c>
      <c r="BA564" s="121">
        <f t="shared" si="297"/>
        <v>6202.3830468435644</v>
      </c>
      <c r="BB564" s="121">
        <f t="shared" si="298"/>
        <v>0</v>
      </c>
      <c r="BC564" s="121">
        <f t="shared" si="299"/>
        <v>0</v>
      </c>
      <c r="BD564" s="121">
        <f t="shared" si="300"/>
        <v>0</v>
      </c>
      <c r="BE564" s="121">
        <f t="shared" si="301"/>
        <v>0</v>
      </c>
      <c r="BF564" s="121">
        <f t="shared" si="302"/>
        <v>0</v>
      </c>
      <c r="BG564" s="121">
        <f t="shared" si="303"/>
        <v>0</v>
      </c>
      <c r="BH564" s="121">
        <f t="shared" si="304"/>
        <v>0</v>
      </c>
      <c r="BI564" s="121">
        <f t="shared" si="305"/>
        <v>0</v>
      </c>
      <c r="BJ564" s="121">
        <f t="shared" si="306"/>
        <v>0</v>
      </c>
      <c r="BK564" s="121">
        <f t="shared" si="307"/>
        <v>0</v>
      </c>
      <c r="BL564" s="121">
        <f t="shared" si="308"/>
        <v>0</v>
      </c>
      <c r="BM564" s="121">
        <f t="shared" si="309"/>
        <v>0</v>
      </c>
      <c r="BN564" s="121">
        <f t="shared" si="310"/>
        <v>0</v>
      </c>
      <c r="BO564" s="121">
        <f t="shared" si="311"/>
        <v>0</v>
      </c>
      <c r="BP564" s="121">
        <f t="shared" si="312"/>
        <v>0</v>
      </c>
      <c r="BQ564" s="199">
        <f>INDEX('GDP deflators'!$C$6:$M$36,MATCH('Bottom-up tagging'!$D564,'GDP deflators'!$B$6:$B$36,),MATCH('Bottom-up tagging'!$E564,'GDP deflators'!$C$5:$L$5,))/100</f>
        <v>1.6122835246509113</v>
      </c>
      <c r="BR564" s="24">
        <v>10000</v>
      </c>
    </row>
    <row r="565" spans="2:70" ht="26.15" hidden="1" customHeight="1">
      <c r="B565" s="110" t="s">
        <v>1063</v>
      </c>
      <c r="C565" s="110" t="s">
        <v>1066</v>
      </c>
      <c r="D565" s="110" t="s">
        <v>3994</v>
      </c>
      <c r="E565" s="103">
        <v>2019</v>
      </c>
      <c r="F565" s="108" t="s">
        <v>7047</v>
      </c>
      <c r="G565" s="111" t="s">
        <v>184</v>
      </c>
      <c r="H565" s="110" t="s">
        <v>10451</v>
      </c>
      <c r="I565" s="112">
        <f>IF(Dashboard!$B$16="Current USD",'Bottom-up tagging'!BR565,'Bottom-up tagging'!BR565/'Bottom-up tagging'!BQ565)</f>
        <v>6624.7610888290837</v>
      </c>
      <c r="J565" s="105" t="s">
        <v>10474</v>
      </c>
      <c r="K565" s="112"/>
      <c r="L565" s="135">
        <v>1</v>
      </c>
      <c r="M565" s="135">
        <v>1</v>
      </c>
      <c r="N565" s="112"/>
      <c r="O565" s="112"/>
      <c r="P565" s="112" t="str">
        <f>VLOOKUP(B565, 'Companies covered restructured'!$B$7:$K$470, 9, FALSE)</f>
        <v>AI/analytics based advisory algorithms (incl. weather)</v>
      </c>
      <c r="Q565" s="112" t="str">
        <f>VLOOKUP(B565, 'Companies covered restructured'!$B$7:$K$470, 6, FALSE)</f>
        <v>#Crops(100)</v>
      </c>
      <c r="R565" s="112" t="str">
        <f t="shared" si="284"/>
        <v>N/A</v>
      </c>
      <c r="S565" s="112" t="s">
        <v>11003</v>
      </c>
      <c r="T565" s="112" t="s">
        <v>10465</v>
      </c>
      <c r="U565" s="213" t="s">
        <v>10970</v>
      </c>
      <c r="V565" s="112" t="str">
        <f>VLOOKUP(P565, 'Bottom-up Tagging Assumptions'!$B$12:$F$39, 5, FALSE)</f>
        <v>#Science &amp; tech(100)</v>
      </c>
      <c r="W565" s="112" t="str">
        <f>VLOOKUP(B565, 'Companies covered restructured'!$B$7:$K$470, 7, FALSE)</f>
        <v>#Field/Animal Herd(100)</v>
      </c>
      <c r="X565" s="112" t="s">
        <v>10558</v>
      </c>
      <c r="Y565" s="212" t="str">
        <f>VLOOKUP(P565, 'Bottom-up Tagging Assumptions'!$B$12:$C$56, 2, FALSE)</f>
        <v>#Other Economic(P); #Productivity(S)</v>
      </c>
      <c r="Z565" s="112" t="str">
        <f>VLOOKUP(P565, 'Bottom-up Tagging Assumptions'!$B$12:$F$56, 3, FALSE)</f>
        <v>#Increasing output per unit input(P); #Increasing crop or animal yield(S)</v>
      </c>
      <c r="AA565" s="112" t="str">
        <f>VLOOKUP(P565, 'Bottom-up Tagging Assumptions'!$B$12:$F$56, 4, FALSE)</f>
        <v>#Level 1(100)</v>
      </c>
      <c r="AB565" s="110" t="s">
        <v>1065</v>
      </c>
      <c r="AC565" s="110"/>
      <c r="AD565" s="110"/>
      <c r="AE565" s="110" t="s">
        <v>10558</v>
      </c>
      <c r="AF565" s="112">
        <v>104710200</v>
      </c>
      <c r="AG565" s="110" t="s">
        <v>3064</v>
      </c>
      <c r="AH565" s="121">
        <f t="shared" si="285"/>
        <v>0</v>
      </c>
      <c r="AI565" s="121">
        <f t="shared" si="286"/>
        <v>1</v>
      </c>
      <c r="AJ565" s="121">
        <f t="shared" si="287"/>
        <v>1</v>
      </c>
      <c r="AK565" s="121">
        <f t="shared" si="288"/>
        <v>0</v>
      </c>
      <c r="AL565" s="121">
        <f t="shared" si="289"/>
        <v>0</v>
      </c>
      <c r="AM565" s="121">
        <f t="shared" si="290"/>
        <v>0</v>
      </c>
      <c r="AN565" s="121">
        <f t="shared" si="291"/>
        <v>0</v>
      </c>
      <c r="AO565" s="121">
        <f t="shared" si="292"/>
        <v>0</v>
      </c>
      <c r="AP565" s="22">
        <f t="shared" si="293"/>
        <v>0</v>
      </c>
      <c r="AQ565" s="22">
        <f t="shared" si="294"/>
        <v>0</v>
      </c>
      <c r="AR565" s="22">
        <f t="shared" si="295"/>
        <v>0</v>
      </c>
      <c r="AS565" s="121" t="str">
        <f t="shared" si="296"/>
        <v>Crops</v>
      </c>
      <c r="AT565" s="121" t="str">
        <f t="shared" si="315"/>
        <v xml:space="preserve"> </v>
      </c>
      <c r="AU565" s="121" t="str">
        <f t="shared" si="315"/>
        <v xml:space="preserve"> </v>
      </c>
      <c r="AV565" s="121" t="str">
        <f t="shared" si="315"/>
        <v xml:space="preserve"> </v>
      </c>
      <c r="AW565" s="130" t="str">
        <f t="shared" si="316"/>
        <v>100</v>
      </c>
      <c r="AX565" s="130" t="str">
        <f t="shared" si="316"/>
        <v xml:space="preserve"> </v>
      </c>
      <c r="AY565" s="130" t="str">
        <f t="shared" si="316"/>
        <v xml:space="preserve"> </v>
      </c>
      <c r="AZ565" s="130" t="str">
        <f t="shared" si="316"/>
        <v xml:space="preserve"> </v>
      </c>
      <c r="BA565" s="121">
        <f t="shared" si="297"/>
        <v>6624.7610888290837</v>
      </c>
      <c r="BB565" s="121">
        <f t="shared" si="298"/>
        <v>0</v>
      </c>
      <c r="BC565" s="121">
        <f t="shared" si="299"/>
        <v>0</v>
      </c>
      <c r="BD565" s="121">
        <f t="shared" si="300"/>
        <v>0</v>
      </c>
      <c r="BE565" s="121">
        <f t="shared" si="301"/>
        <v>0</v>
      </c>
      <c r="BF565" s="121">
        <f t="shared" si="302"/>
        <v>0</v>
      </c>
      <c r="BG565" s="121">
        <f t="shared" si="303"/>
        <v>0</v>
      </c>
      <c r="BH565" s="121">
        <f t="shared" si="304"/>
        <v>0</v>
      </c>
      <c r="BI565" s="121">
        <f t="shared" si="305"/>
        <v>0</v>
      </c>
      <c r="BJ565" s="121">
        <f t="shared" si="306"/>
        <v>0</v>
      </c>
      <c r="BK565" s="121">
        <f t="shared" si="307"/>
        <v>0</v>
      </c>
      <c r="BL565" s="121">
        <f t="shared" si="308"/>
        <v>0</v>
      </c>
      <c r="BM565" s="121">
        <f t="shared" si="309"/>
        <v>0</v>
      </c>
      <c r="BN565" s="121">
        <f t="shared" si="310"/>
        <v>0</v>
      </c>
      <c r="BO565" s="121">
        <f t="shared" si="311"/>
        <v>0</v>
      </c>
      <c r="BP565" s="121">
        <f t="shared" si="312"/>
        <v>0</v>
      </c>
      <c r="BQ565" s="199">
        <f>INDEX('GDP deflators'!$C$6:$M$36,MATCH('Bottom-up tagging'!$D565,'GDP deflators'!$B$6:$B$36,),MATCH('Bottom-up tagging'!$E565,'GDP deflators'!$C$5:$L$5,))/100</f>
        <v>1.5094883975306472</v>
      </c>
      <c r="BR565" s="24">
        <v>10000</v>
      </c>
    </row>
    <row r="566" spans="2:70" ht="26.15" hidden="1" customHeight="1">
      <c r="B566" s="110" t="s">
        <v>2005</v>
      </c>
      <c r="C566" s="110" t="s">
        <v>2009</v>
      </c>
      <c r="D566" s="110" t="s">
        <v>6632</v>
      </c>
      <c r="E566" s="103">
        <v>2017</v>
      </c>
      <c r="F566" s="108" t="s">
        <v>8346</v>
      </c>
      <c r="G566" s="111" t="s">
        <v>184</v>
      </c>
      <c r="H566" s="110" t="s">
        <v>10451</v>
      </c>
      <c r="I566" s="112">
        <f>IF(Dashboard!$B$16="Current USD",'Bottom-up tagging'!BR566,'Bottom-up tagging'!BR566/'Bottom-up tagging'!BQ566)</f>
        <v>7688.115061930871</v>
      </c>
      <c r="J566" s="118" t="s">
        <v>10474</v>
      </c>
      <c r="K566" s="112"/>
      <c r="L566" s="135">
        <v>1</v>
      </c>
      <c r="M566" s="135">
        <v>1</v>
      </c>
      <c r="N566" s="112"/>
      <c r="O566" s="112"/>
      <c r="P566" s="112" t="str">
        <f>VLOOKUP(B566, 'Companies covered restructured'!$B$7:$K$470, 9, FALSE)</f>
        <v>Farmer engagement platforms (including marketplaces and information platforms)</v>
      </c>
      <c r="Q566" s="112" t="str">
        <f>VLOOKUP(B566, 'Companies covered restructured'!$B$7:$K$470, 6, FALSE)</f>
        <v>#Crops(100)</v>
      </c>
      <c r="R566" s="112" t="str">
        <f t="shared" si="284"/>
        <v>N/A</v>
      </c>
      <c r="S566" s="112" t="s">
        <v>11003</v>
      </c>
      <c r="T566" s="112" t="s">
        <v>10465</v>
      </c>
      <c r="U566" s="103" t="s">
        <v>10970</v>
      </c>
      <c r="V566" s="112" t="str">
        <f>VLOOKUP(P566, 'Bottom-up Tagging Assumptions'!$B$12:$F$39, 5, FALSE)</f>
        <v>#Process Innovation(100)</v>
      </c>
      <c r="W566" s="112" t="str">
        <f>VLOOKUP(B566, 'Companies covered restructured'!$B$7:$K$470, 7, FALSE)</f>
        <v>N/A</v>
      </c>
      <c r="X566" s="112" t="str">
        <f>VLOOKUP(B566, 'Companies covered restructured'!$B$7:$K$470, 8, FALSE)</f>
        <v>N/A</v>
      </c>
      <c r="Y566" s="212" t="str">
        <f>VLOOKUP(P566, 'Bottom-up Tagging Assumptions'!$B$12:$C$56, 2, FALSE)</f>
        <v>#Other Economic(P); #Productivity(S)</v>
      </c>
      <c r="Z566" s="112" t="str">
        <f>VLOOKUP(P566, 'Bottom-up Tagging Assumptions'!$B$12:$F$56, 3, FALSE)</f>
        <v>#Improve price realization(P); #Increasing crop or animal yield(S)</v>
      </c>
      <c r="AA566" s="112" t="str">
        <f>VLOOKUP(P566, 'Bottom-up Tagging Assumptions'!$B$12:$F$56, 4, FALSE)</f>
        <v>#Level 4(100)</v>
      </c>
      <c r="AB566" s="110" t="s">
        <v>2102</v>
      </c>
      <c r="AC566" s="110"/>
      <c r="AD566" s="110"/>
      <c r="AE566" s="110" t="s">
        <v>10558</v>
      </c>
      <c r="AF566" s="112">
        <v>2750000</v>
      </c>
      <c r="AG566" s="110" t="s">
        <v>2323</v>
      </c>
      <c r="AH566" s="121">
        <f t="shared" si="285"/>
        <v>0</v>
      </c>
      <c r="AI566" s="121">
        <f t="shared" si="286"/>
        <v>1</v>
      </c>
      <c r="AJ566" s="121">
        <f t="shared" si="287"/>
        <v>1</v>
      </c>
      <c r="AK566" s="121">
        <f t="shared" si="288"/>
        <v>0</v>
      </c>
      <c r="AL566" s="121">
        <f t="shared" si="289"/>
        <v>0</v>
      </c>
      <c r="AM566" s="121">
        <f t="shared" si="290"/>
        <v>0</v>
      </c>
      <c r="AN566" s="121">
        <f t="shared" si="291"/>
        <v>0</v>
      </c>
      <c r="AO566" s="121">
        <f t="shared" si="292"/>
        <v>0</v>
      </c>
      <c r="AP566" s="22">
        <f t="shared" si="293"/>
        <v>0</v>
      </c>
      <c r="AQ566" s="22">
        <f t="shared" si="294"/>
        <v>0</v>
      </c>
      <c r="AR566" s="22">
        <f t="shared" si="295"/>
        <v>0</v>
      </c>
      <c r="AS566" s="121" t="str">
        <f t="shared" si="296"/>
        <v>Crops</v>
      </c>
      <c r="AT566" s="121" t="str">
        <f t="shared" si="315"/>
        <v xml:space="preserve"> </v>
      </c>
      <c r="AU566" s="121" t="str">
        <f t="shared" si="315"/>
        <v xml:space="preserve"> </v>
      </c>
      <c r="AV566" s="121" t="str">
        <f t="shared" si="315"/>
        <v xml:space="preserve"> </v>
      </c>
      <c r="AW566" s="130" t="str">
        <f t="shared" si="316"/>
        <v>100</v>
      </c>
      <c r="AX566" s="130" t="str">
        <f t="shared" si="316"/>
        <v xml:space="preserve"> </v>
      </c>
      <c r="AY566" s="130" t="str">
        <f t="shared" si="316"/>
        <v xml:space="preserve"> </v>
      </c>
      <c r="AZ566" s="130" t="str">
        <f t="shared" si="316"/>
        <v xml:space="preserve"> </v>
      </c>
      <c r="BA566" s="121">
        <f t="shared" si="297"/>
        <v>7688.115061930871</v>
      </c>
      <c r="BB566" s="121">
        <f t="shared" si="298"/>
        <v>0</v>
      </c>
      <c r="BC566" s="121">
        <f t="shared" si="299"/>
        <v>0</v>
      </c>
      <c r="BD566" s="121">
        <f t="shared" si="300"/>
        <v>0</v>
      </c>
      <c r="BE566" s="121">
        <f t="shared" si="301"/>
        <v>0</v>
      </c>
      <c r="BF566" s="121">
        <f t="shared" si="302"/>
        <v>0</v>
      </c>
      <c r="BG566" s="121">
        <f t="shared" si="303"/>
        <v>0</v>
      </c>
      <c r="BH566" s="121">
        <f t="shared" si="304"/>
        <v>0</v>
      </c>
      <c r="BI566" s="121">
        <f t="shared" si="305"/>
        <v>0</v>
      </c>
      <c r="BJ566" s="121">
        <f t="shared" si="306"/>
        <v>0</v>
      </c>
      <c r="BK566" s="121">
        <f t="shared" si="307"/>
        <v>0</v>
      </c>
      <c r="BL566" s="121">
        <f t="shared" si="308"/>
        <v>0</v>
      </c>
      <c r="BM566" s="121">
        <f t="shared" si="309"/>
        <v>0</v>
      </c>
      <c r="BN566" s="121">
        <f t="shared" si="310"/>
        <v>0</v>
      </c>
      <c r="BO566" s="121">
        <f t="shared" si="311"/>
        <v>0</v>
      </c>
      <c r="BP566" s="121">
        <f t="shared" si="312"/>
        <v>0</v>
      </c>
      <c r="BQ566" s="199">
        <f>INDEX('GDP deflators'!$C$6:$M$36,MATCH('Bottom-up tagging'!$D566,'GDP deflators'!$B$6:$B$36,),MATCH('Bottom-up tagging'!$E566,'GDP deflators'!$C$5:$L$5,))/100</f>
        <v>1.3007089409362325</v>
      </c>
      <c r="BR566" s="24">
        <v>10000</v>
      </c>
    </row>
    <row r="567" spans="2:70" ht="26.15" hidden="1" customHeight="1">
      <c r="B567" s="110" t="s">
        <v>1990</v>
      </c>
      <c r="C567" s="110" t="s">
        <v>1992</v>
      </c>
      <c r="D567" s="110" t="s">
        <v>3994</v>
      </c>
      <c r="E567" s="103">
        <v>2016</v>
      </c>
      <c r="F567" s="108" t="s">
        <v>8002</v>
      </c>
      <c r="G567" s="111" t="s">
        <v>184</v>
      </c>
      <c r="H567" s="110" t="s">
        <v>10451</v>
      </c>
      <c r="I567" s="112">
        <f>IF(Dashboard!$B$16="Current USD",'Bottom-up tagging'!BR567,'Bottom-up tagging'!BR567/'Bottom-up tagging'!BQ567)</f>
        <v>7354.360296254401</v>
      </c>
      <c r="J567" s="105" t="s">
        <v>10474</v>
      </c>
      <c r="K567" s="112"/>
      <c r="L567" s="135">
        <v>1</v>
      </c>
      <c r="M567" s="135">
        <v>1</v>
      </c>
      <c r="N567" s="112"/>
      <c r="O567" s="112"/>
      <c r="P567" s="112" t="str">
        <f>VLOOKUP(B567, 'Companies covered restructured'!$B$7:$K$470, 9, FALSE)</f>
        <v>Equipment automation</v>
      </c>
      <c r="Q567" s="112" t="str">
        <f>VLOOKUP(B567, 'Companies covered restructured'!$B$7:$K$470, 6, FALSE)</f>
        <v>#Crops(100)</v>
      </c>
      <c r="R567" s="112" t="str">
        <f t="shared" si="284"/>
        <v>N/A</v>
      </c>
      <c r="S567" s="112" t="s">
        <v>11003</v>
      </c>
      <c r="T567" s="112" t="s">
        <v>10465</v>
      </c>
      <c r="U567" s="103" t="s">
        <v>10970</v>
      </c>
      <c r="V567" s="112" t="str">
        <f>VLOOKUP(P567, 'Bottom-up Tagging Assumptions'!$B$12:$F$39, 5, FALSE)</f>
        <v>#Science &amp; tech(100)</v>
      </c>
      <c r="W567" s="112" t="str">
        <f>VLOOKUP(B567, 'Companies covered restructured'!$B$7:$K$470, 7, FALSE)</f>
        <v>#Landscape(100)</v>
      </c>
      <c r="X567" s="112" t="str">
        <f>VLOOKUP(B567, 'Companies covered restructured'!$B$7:$K$470, 8, FALSE)</f>
        <v>N/A</v>
      </c>
      <c r="Y567" s="212" t="str">
        <f>VLOOKUP(P567, 'Bottom-up Tagging Assumptions'!$B$12:$C$56, 2, FALSE)</f>
        <v>#Productivity(P); #Other Economic(S)</v>
      </c>
      <c r="Z567" s="112" t="str">
        <f>VLOOKUP(P567, 'Bottom-up Tagging Assumptions'!$B$12:$F$56, 3, FALSE)</f>
        <v>#Reducing human effort(P); #Increasing output per unit input(S)</v>
      </c>
      <c r="AA567" s="112" t="str">
        <f>VLOOKUP(P567, 'Bottom-up Tagging Assumptions'!$B$12:$F$56, 4, FALSE)</f>
        <v>#Level 1(100)</v>
      </c>
      <c r="AB567" s="110" t="s">
        <v>2405</v>
      </c>
      <c r="AC567" s="110"/>
      <c r="AD567" s="110"/>
      <c r="AE567" s="110" t="s">
        <v>10558</v>
      </c>
      <c r="AF567" s="112">
        <v>8729360</v>
      </c>
      <c r="AG567" s="110" t="s">
        <v>3000</v>
      </c>
      <c r="AH567" s="121">
        <f t="shared" si="285"/>
        <v>0</v>
      </c>
      <c r="AI567" s="121">
        <f t="shared" si="286"/>
        <v>1</v>
      </c>
      <c r="AJ567" s="121">
        <f t="shared" si="287"/>
        <v>1</v>
      </c>
      <c r="AK567" s="121">
        <f t="shared" si="288"/>
        <v>0</v>
      </c>
      <c r="AL567" s="121">
        <f t="shared" si="289"/>
        <v>0</v>
      </c>
      <c r="AM567" s="121">
        <f t="shared" si="290"/>
        <v>0</v>
      </c>
      <c r="AN567" s="121">
        <f t="shared" si="291"/>
        <v>0</v>
      </c>
      <c r="AO567" s="121">
        <f t="shared" si="292"/>
        <v>0</v>
      </c>
      <c r="AP567" s="22">
        <f t="shared" si="293"/>
        <v>0</v>
      </c>
      <c r="AQ567" s="22">
        <f t="shared" si="294"/>
        <v>0</v>
      </c>
      <c r="AR567" s="22">
        <f t="shared" si="295"/>
        <v>0</v>
      </c>
      <c r="AS567" s="121" t="str">
        <f t="shared" si="296"/>
        <v>Crops</v>
      </c>
      <c r="AT567" s="121" t="str">
        <f t="shared" si="315"/>
        <v xml:space="preserve"> </v>
      </c>
      <c r="AU567" s="121" t="str">
        <f t="shared" si="315"/>
        <v xml:space="preserve"> </v>
      </c>
      <c r="AV567" s="121" t="str">
        <f t="shared" si="315"/>
        <v xml:space="preserve"> </v>
      </c>
      <c r="AW567" s="130" t="str">
        <f t="shared" si="316"/>
        <v>100</v>
      </c>
      <c r="AX567" s="130" t="str">
        <f t="shared" si="316"/>
        <v xml:space="preserve"> </v>
      </c>
      <c r="AY567" s="130" t="str">
        <f t="shared" si="316"/>
        <v xml:space="preserve"> </v>
      </c>
      <c r="AZ567" s="130" t="str">
        <f t="shared" si="316"/>
        <v xml:space="preserve"> </v>
      </c>
      <c r="BA567" s="121">
        <f t="shared" si="297"/>
        <v>7354.360296254401</v>
      </c>
      <c r="BB567" s="121">
        <f t="shared" si="298"/>
        <v>0</v>
      </c>
      <c r="BC567" s="121">
        <f t="shared" si="299"/>
        <v>0</v>
      </c>
      <c r="BD567" s="121">
        <f t="shared" si="300"/>
        <v>0</v>
      </c>
      <c r="BE567" s="121">
        <f t="shared" si="301"/>
        <v>0</v>
      </c>
      <c r="BF567" s="121">
        <f t="shared" si="302"/>
        <v>0</v>
      </c>
      <c r="BG567" s="121">
        <f t="shared" si="303"/>
        <v>0</v>
      </c>
      <c r="BH567" s="121">
        <f t="shared" si="304"/>
        <v>0</v>
      </c>
      <c r="BI567" s="121">
        <f t="shared" si="305"/>
        <v>0</v>
      </c>
      <c r="BJ567" s="121">
        <f t="shared" si="306"/>
        <v>0</v>
      </c>
      <c r="BK567" s="121">
        <f t="shared" si="307"/>
        <v>0</v>
      </c>
      <c r="BL567" s="121">
        <f t="shared" si="308"/>
        <v>0</v>
      </c>
      <c r="BM567" s="121">
        <f t="shared" si="309"/>
        <v>0</v>
      </c>
      <c r="BN567" s="121">
        <f t="shared" si="310"/>
        <v>0</v>
      </c>
      <c r="BO567" s="121">
        <f t="shared" si="311"/>
        <v>0</v>
      </c>
      <c r="BP567" s="121">
        <f t="shared" si="312"/>
        <v>0</v>
      </c>
      <c r="BQ567" s="199">
        <f>INDEX('GDP deflators'!$C$6:$M$36,MATCH('Bottom-up tagging'!$D567,'GDP deflators'!$B$6:$B$36,),MATCH('Bottom-up tagging'!$E567,'GDP deflators'!$C$5:$L$5,))/100</f>
        <v>1.3597375702538033</v>
      </c>
      <c r="BR567" s="24">
        <v>10000</v>
      </c>
    </row>
    <row r="568" spans="2:70" ht="26.15" hidden="1" customHeight="1">
      <c r="B568" s="110" t="s">
        <v>1699</v>
      </c>
      <c r="C568" s="110" t="s">
        <v>1703</v>
      </c>
      <c r="D568" s="110" t="s">
        <v>3994</v>
      </c>
      <c r="E568" s="103">
        <v>2018</v>
      </c>
      <c r="F568" s="108" t="s">
        <v>5124</v>
      </c>
      <c r="G568" s="111" t="s">
        <v>184</v>
      </c>
      <c r="H568" s="110" t="s">
        <v>10451</v>
      </c>
      <c r="I568" s="112">
        <f>IF(Dashboard!$B$16="Current USD",'Bottom-up tagging'!BR568,'Bottom-up tagging'!BR568/'Bottom-up tagging'!BQ568)</f>
        <v>5519.2054181722542</v>
      </c>
      <c r="J568" s="105" t="s">
        <v>10474</v>
      </c>
      <c r="K568" s="112"/>
      <c r="L568" s="135">
        <v>1</v>
      </c>
      <c r="M568" s="135">
        <v>1</v>
      </c>
      <c r="N568" s="112"/>
      <c r="O568" s="112"/>
      <c r="P568" s="112" t="str">
        <f>VLOOKUP(B568, 'Companies covered restructured'!$B$7:$K$470, 9, FALSE)</f>
        <v>AI/analytics based advisory algorithms (incl. weather)</v>
      </c>
      <c r="Q568" s="112" t="str">
        <f>VLOOKUP(B568, 'Companies covered restructured'!$B$7:$K$470, 6, FALSE)</f>
        <v>#Crops(100)</v>
      </c>
      <c r="R568" s="112" t="str">
        <f t="shared" si="284"/>
        <v>N/A</v>
      </c>
      <c r="S568" s="112" t="s">
        <v>11003</v>
      </c>
      <c r="T568" s="112" t="s">
        <v>10465</v>
      </c>
      <c r="U568" s="103" t="s">
        <v>10970</v>
      </c>
      <c r="V568" s="112" t="str">
        <f>VLOOKUP(P568, 'Bottom-up Tagging Assumptions'!$B$12:$F$39, 5, FALSE)</f>
        <v>#Science &amp; tech(100)</v>
      </c>
      <c r="W568" s="112" t="str">
        <f>VLOOKUP(B568, 'Companies covered restructured'!$B$7:$K$470, 7, FALSE)</f>
        <v>#Field/Animal Herd(100)</v>
      </c>
      <c r="X568" s="112" t="s">
        <v>10558</v>
      </c>
      <c r="Y568" s="212" t="str">
        <f>VLOOKUP(P568, 'Bottom-up Tagging Assumptions'!$B$12:$C$56, 2, FALSE)</f>
        <v>#Other Economic(P); #Productivity(S)</v>
      </c>
      <c r="Z568" s="112" t="str">
        <f>VLOOKUP(P568, 'Bottom-up Tagging Assumptions'!$B$12:$F$56, 3, FALSE)</f>
        <v>#Increasing output per unit input(P); #Increasing crop or animal yield(S)</v>
      </c>
      <c r="AA568" s="112" t="str">
        <f>VLOOKUP(P568, 'Bottom-up Tagging Assumptions'!$B$12:$F$56, 4, FALSE)</f>
        <v>#Level 1(100)</v>
      </c>
      <c r="AB568" s="110" t="s">
        <v>1701</v>
      </c>
      <c r="AC568" s="110"/>
      <c r="AD568" s="110"/>
      <c r="AE568" s="110" t="s">
        <v>10558</v>
      </c>
      <c r="AF568" s="112">
        <v>8883505</v>
      </c>
      <c r="AG568" s="110" t="s">
        <v>2657</v>
      </c>
      <c r="AH568" s="121">
        <f t="shared" si="285"/>
        <v>0</v>
      </c>
      <c r="AI568" s="121">
        <f t="shared" si="286"/>
        <v>1</v>
      </c>
      <c r="AJ568" s="121">
        <f t="shared" si="287"/>
        <v>1</v>
      </c>
      <c r="AK568" s="121">
        <f t="shared" si="288"/>
        <v>0</v>
      </c>
      <c r="AL568" s="121">
        <f t="shared" si="289"/>
        <v>0</v>
      </c>
      <c r="AM568" s="121">
        <f t="shared" si="290"/>
        <v>0</v>
      </c>
      <c r="AN568" s="121">
        <f t="shared" si="291"/>
        <v>0</v>
      </c>
      <c r="AO568" s="121">
        <f t="shared" si="292"/>
        <v>0</v>
      </c>
      <c r="AP568" s="22">
        <f t="shared" si="293"/>
        <v>0</v>
      </c>
      <c r="AQ568" s="22">
        <f t="shared" si="294"/>
        <v>0</v>
      </c>
      <c r="AR568" s="22">
        <f t="shared" si="295"/>
        <v>0</v>
      </c>
      <c r="AS568" s="121" t="str">
        <f t="shared" si="296"/>
        <v>Crops</v>
      </c>
      <c r="AT568" s="121" t="str">
        <f t="shared" si="315"/>
        <v xml:space="preserve"> </v>
      </c>
      <c r="AU568" s="121" t="str">
        <f t="shared" si="315"/>
        <v xml:space="preserve"> </v>
      </c>
      <c r="AV568" s="121" t="str">
        <f t="shared" si="315"/>
        <v xml:space="preserve"> </v>
      </c>
      <c r="AW568" s="130" t="str">
        <f t="shared" si="316"/>
        <v>100</v>
      </c>
      <c r="AX568" s="130" t="str">
        <f t="shared" si="316"/>
        <v xml:space="preserve"> </v>
      </c>
      <c r="AY568" s="130" t="str">
        <f t="shared" si="316"/>
        <v xml:space="preserve"> </v>
      </c>
      <c r="AZ568" s="130" t="str">
        <f t="shared" si="316"/>
        <v xml:space="preserve"> </v>
      </c>
      <c r="BA568" s="121">
        <f t="shared" si="297"/>
        <v>5519.2054181722542</v>
      </c>
      <c r="BB568" s="121">
        <f t="shared" si="298"/>
        <v>0</v>
      </c>
      <c r="BC568" s="121">
        <f t="shared" si="299"/>
        <v>0</v>
      </c>
      <c r="BD568" s="121">
        <f t="shared" si="300"/>
        <v>0</v>
      </c>
      <c r="BE568" s="121">
        <f t="shared" si="301"/>
        <v>0</v>
      </c>
      <c r="BF568" s="121">
        <f t="shared" si="302"/>
        <v>0</v>
      </c>
      <c r="BG568" s="121">
        <f t="shared" si="303"/>
        <v>0</v>
      </c>
      <c r="BH568" s="121">
        <f t="shared" si="304"/>
        <v>0</v>
      </c>
      <c r="BI568" s="121">
        <f t="shared" si="305"/>
        <v>0</v>
      </c>
      <c r="BJ568" s="121">
        <f t="shared" si="306"/>
        <v>0</v>
      </c>
      <c r="BK568" s="121">
        <f t="shared" si="307"/>
        <v>0</v>
      </c>
      <c r="BL568" s="121">
        <f t="shared" si="308"/>
        <v>0</v>
      </c>
      <c r="BM568" s="121">
        <f t="shared" si="309"/>
        <v>0</v>
      </c>
      <c r="BN568" s="121">
        <f t="shared" si="310"/>
        <v>0</v>
      </c>
      <c r="BO568" s="121">
        <f t="shared" si="311"/>
        <v>0</v>
      </c>
      <c r="BP568" s="121">
        <f t="shared" si="312"/>
        <v>0</v>
      </c>
      <c r="BQ568" s="199">
        <f>INDEX('GDP deflators'!$C$6:$M$36,MATCH('Bottom-up tagging'!$D568,'GDP deflators'!$B$6:$B$36,),MATCH('Bottom-up tagging'!$E568,'GDP deflators'!$C$5:$L$5,))/100</f>
        <v>1.4753935363936217</v>
      </c>
      <c r="BR568" s="24">
        <v>8143</v>
      </c>
    </row>
    <row r="569" spans="2:70" ht="26.15" hidden="1" customHeight="1">
      <c r="B569" s="110" t="s">
        <v>458</v>
      </c>
      <c r="C569" s="110" t="s">
        <v>463</v>
      </c>
      <c r="D569" s="110" t="s">
        <v>3994</v>
      </c>
      <c r="E569" s="103">
        <v>2014</v>
      </c>
      <c r="F569" s="108" t="s">
        <v>8465</v>
      </c>
      <c r="G569" s="111" t="s">
        <v>124</v>
      </c>
      <c r="H569" s="110" t="s">
        <v>10451</v>
      </c>
      <c r="I569" s="112">
        <f>IF(Dashboard!$B$16="Current USD",'Bottom-up tagging'!BR569,'Bottom-up tagging'!BR569/'Bottom-up tagging'!BQ569)</f>
        <v>6144.1191361540587</v>
      </c>
      <c r="J569" s="105" t="s">
        <v>10474</v>
      </c>
      <c r="K569" s="112"/>
      <c r="L569" s="135">
        <v>1</v>
      </c>
      <c r="M569" s="135">
        <v>1</v>
      </c>
      <c r="N569" s="112"/>
      <c r="O569" s="112"/>
      <c r="P569" s="112" t="str">
        <f>VLOOKUP(B569, 'Companies covered restructured'!$B$7:$K$470, 9, FALSE)</f>
        <v>Farmer engagement platforms (including marketplaces and information platforms)</v>
      </c>
      <c r="Q569" s="112" t="str">
        <f>VLOOKUP(B569, 'Companies covered restructured'!$B$7:$K$470, 6, FALSE)</f>
        <v>#Crops(100)</v>
      </c>
      <c r="R569" s="112" t="str">
        <f t="shared" si="284"/>
        <v>N/A</v>
      </c>
      <c r="S569" s="112" t="s">
        <v>11003</v>
      </c>
      <c r="T569" s="112" t="s">
        <v>10466</v>
      </c>
      <c r="U569" s="103" t="s">
        <v>10970</v>
      </c>
      <c r="V569" s="112" t="str">
        <f>VLOOKUP(P569, 'Bottom-up Tagging Assumptions'!$B$12:$F$39, 5, FALSE)</f>
        <v>#Process Innovation(100)</v>
      </c>
      <c r="W569" s="112" t="str">
        <f>VLOOKUP(B569, 'Companies covered restructured'!$B$7:$K$470, 7, FALSE)</f>
        <v>#Field/Animal Herd(100)</v>
      </c>
      <c r="X569" s="112" t="s">
        <v>10558</v>
      </c>
      <c r="Y569" s="212" t="str">
        <f>VLOOKUP(P569, 'Bottom-up Tagging Assumptions'!$B$12:$C$56, 2, FALSE)</f>
        <v>#Other Economic(P); #Productivity(S)</v>
      </c>
      <c r="Z569" s="112" t="str">
        <f>VLOOKUP(P569, 'Bottom-up Tagging Assumptions'!$B$12:$F$56, 3, FALSE)</f>
        <v>#Improve price realization(P); #Increasing crop or animal yield(S)</v>
      </c>
      <c r="AA569" s="112" t="str">
        <f>VLOOKUP(P569, 'Bottom-up Tagging Assumptions'!$B$12:$F$56, 4, FALSE)</f>
        <v>#Level 4(100)</v>
      </c>
      <c r="AB569" s="110"/>
      <c r="AC569" s="110"/>
      <c r="AD569" s="110"/>
      <c r="AE569" s="110" t="s">
        <v>10558</v>
      </c>
      <c r="AF569" s="112">
        <v>1500000</v>
      </c>
      <c r="AG569" s="110" t="s">
        <v>2996</v>
      </c>
      <c r="AH569" s="121">
        <f t="shared" si="285"/>
        <v>0</v>
      </c>
      <c r="AI569" s="121">
        <f t="shared" si="286"/>
        <v>1</v>
      </c>
      <c r="AJ569" s="121">
        <f t="shared" si="287"/>
        <v>1</v>
      </c>
      <c r="AK569" s="121">
        <f t="shared" si="288"/>
        <v>0</v>
      </c>
      <c r="AL569" s="121">
        <f t="shared" si="289"/>
        <v>0</v>
      </c>
      <c r="AM569" s="121">
        <f t="shared" si="290"/>
        <v>0</v>
      </c>
      <c r="AN569" s="121">
        <f t="shared" si="291"/>
        <v>0</v>
      </c>
      <c r="AO569" s="121">
        <f t="shared" si="292"/>
        <v>0</v>
      </c>
      <c r="AP569" s="22">
        <f t="shared" si="293"/>
        <v>0</v>
      </c>
      <c r="AQ569" s="22">
        <f t="shared" si="294"/>
        <v>0</v>
      </c>
      <c r="AR569" s="22">
        <f t="shared" si="295"/>
        <v>0</v>
      </c>
      <c r="AS569" s="121" t="str">
        <f t="shared" si="296"/>
        <v>Crops</v>
      </c>
      <c r="AT569" s="121" t="str">
        <f t="shared" si="315"/>
        <v xml:space="preserve"> </v>
      </c>
      <c r="AU569" s="121" t="str">
        <f t="shared" si="315"/>
        <v xml:space="preserve"> </v>
      </c>
      <c r="AV569" s="121" t="str">
        <f t="shared" si="315"/>
        <v xml:space="preserve"> </v>
      </c>
      <c r="AW569" s="130" t="str">
        <f t="shared" si="316"/>
        <v>100</v>
      </c>
      <c r="AX569" s="130" t="str">
        <f t="shared" si="316"/>
        <v xml:space="preserve"> </v>
      </c>
      <c r="AY569" s="130" t="str">
        <f t="shared" si="316"/>
        <v xml:space="preserve"> </v>
      </c>
      <c r="AZ569" s="130" t="str">
        <f t="shared" si="316"/>
        <v xml:space="preserve"> </v>
      </c>
      <c r="BA569" s="121">
        <f t="shared" si="297"/>
        <v>6144.1191361540587</v>
      </c>
      <c r="BB569" s="121">
        <f t="shared" si="298"/>
        <v>0</v>
      </c>
      <c r="BC569" s="121">
        <f t="shared" si="299"/>
        <v>0</v>
      </c>
      <c r="BD569" s="121">
        <f t="shared" si="300"/>
        <v>0</v>
      </c>
      <c r="BE569" s="121">
        <f t="shared" si="301"/>
        <v>0</v>
      </c>
      <c r="BF569" s="121">
        <f t="shared" si="302"/>
        <v>0</v>
      </c>
      <c r="BG569" s="121">
        <f t="shared" si="303"/>
        <v>0</v>
      </c>
      <c r="BH569" s="121">
        <f t="shared" si="304"/>
        <v>0</v>
      </c>
      <c r="BI569" s="121">
        <f t="shared" si="305"/>
        <v>0</v>
      </c>
      <c r="BJ569" s="121">
        <f t="shared" si="306"/>
        <v>0</v>
      </c>
      <c r="BK569" s="121">
        <f t="shared" si="307"/>
        <v>0</v>
      </c>
      <c r="BL569" s="121">
        <f t="shared" si="308"/>
        <v>0</v>
      </c>
      <c r="BM569" s="121">
        <f t="shared" si="309"/>
        <v>0</v>
      </c>
      <c r="BN569" s="121">
        <f t="shared" si="310"/>
        <v>0</v>
      </c>
      <c r="BO569" s="121">
        <f t="shared" si="311"/>
        <v>0</v>
      </c>
      <c r="BP569" s="121">
        <f t="shared" si="312"/>
        <v>0</v>
      </c>
      <c r="BQ569" s="199">
        <f>INDEX('GDP deflators'!$C$6:$M$36,MATCH('Bottom-up tagging'!$D569,'GDP deflators'!$B$6:$B$36,),MATCH('Bottom-up tagging'!$E569,'GDP deflators'!$C$5:$L$5,))/100</f>
        <v>1.2877354466392321</v>
      </c>
      <c r="BR569" s="24">
        <v>7912</v>
      </c>
    </row>
    <row r="570" spans="2:70" ht="26.15" hidden="1" customHeight="1">
      <c r="B570" s="110" t="s">
        <v>1126</v>
      </c>
      <c r="C570" s="110" t="s">
        <v>1130</v>
      </c>
      <c r="D570" s="110" t="s">
        <v>3994</v>
      </c>
      <c r="E570" s="103">
        <v>2017</v>
      </c>
      <c r="F570" s="108" t="s">
        <v>7591</v>
      </c>
      <c r="G570" s="111" t="s">
        <v>124</v>
      </c>
      <c r="H570" s="110" t="s">
        <v>10451</v>
      </c>
      <c r="I570" s="112">
        <f>IF(Dashboard!$B$16="Current USD",'Bottom-up tagging'!BR570,'Bottom-up tagging'!BR570/'Bottom-up tagging'!BQ570)</f>
        <v>5499.2176950778303</v>
      </c>
      <c r="J570" s="105" t="s">
        <v>10474</v>
      </c>
      <c r="K570" s="112"/>
      <c r="L570" s="135">
        <v>1</v>
      </c>
      <c r="M570" s="135">
        <v>1</v>
      </c>
      <c r="N570" s="112"/>
      <c r="O570" s="112"/>
      <c r="P570" s="112" t="str">
        <f>VLOOKUP(B570, 'Companies covered restructured'!$B$7:$K$470, 9, FALSE)</f>
        <v>Farmer engagement platforms (including marketplaces and information platforms)</v>
      </c>
      <c r="Q570" s="112" t="str">
        <f>VLOOKUP(B570, 'Companies covered restructured'!$B$7:$K$470, 6, FALSE)</f>
        <v>#Crops(100)</v>
      </c>
      <c r="R570" s="112" t="str">
        <f t="shared" si="284"/>
        <v>#Angel Investor(100)</v>
      </c>
      <c r="S570" s="112" t="s">
        <v>11003</v>
      </c>
      <c r="T570" s="112" t="s">
        <v>10466</v>
      </c>
      <c r="U570" s="103" t="s">
        <v>10970</v>
      </c>
      <c r="V570" s="112" t="str">
        <f>VLOOKUP(P570, 'Bottom-up Tagging Assumptions'!$B$12:$F$39, 5, FALSE)</f>
        <v>#Process Innovation(100)</v>
      </c>
      <c r="W570" s="112" t="str">
        <f>VLOOKUP(B570, 'Companies covered restructured'!$B$7:$K$470, 7, FALSE)</f>
        <v>#Farm/Household(100)</v>
      </c>
      <c r="X570" s="112" t="s">
        <v>10558</v>
      </c>
      <c r="Y570" s="212" t="str">
        <f>VLOOKUP(P570, 'Bottom-up Tagging Assumptions'!$B$12:$C$56, 2, FALSE)</f>
        <v>#Other Economic(P); #Productivity(S)</v>
      </c>
      <c r="Z570" s="112" t="str">
        <f>VLOOKUP(P570, 'Bottom-up Tagging Assumptions'!$B$12:$F$56, 3, FALSE)</f>
        <v>#Improve price realization(P); #Increasing crop or animal yield(S)</v>
      </c>
      <c r="AA570" s="112" t="str">
        <f>VLOOKUP(P570, 'Bottom-up Tagging Assumptions'!$B$12:$F$56, 4, FALSE)</f>
        <v>#Level 4(100)</v>
      </c>
      <c r="AB570" s="110"/>
      <c r="AC570" s="110" t="s">
        <v>1712</v>
      </c>
      <c r="AD570" s="110" t="s">
        <v>1712</v>
      </c>
      <c r="AE570" s="110" t="str">
        <f>VLOOKUP(AD570,  '1.2'!$B$7:$C$2033, 2, FALSE)</f>
        <v>ANGEL</v>
      </c>
      <c r="AF570" s="112">
        <v>14634837</v>
      </c>
      <c r="AG570" s="110" t="s">
        <v>1119</v>
      </c>
      <c r="AH570" s="121">
        <f t="shared" si="285"/>
        <v>0</v>
      </c>
      <c r="AI570" s="121">
        <f t="shared" si="286"/>
        <v>1</v>
      </c>
      <c r="AJ570" s="121">
        <f t="shared" si="287"/>
        <v>1</v>
      </c>
      <c r="AK570" s="121">
        <f t="shared" si="288"/>
        <v>0</v>
      </c>
      <c r="AL570" s="121">
        <f t="shared" si="289"/>
        <v>0</v>
      </c>
      <c r="AM570" s="121">
        <f t="shared" si="290"/>
        <v>0</v>
      </c>
      <c r="AN570" s="121">
        <f t="shared" si="291"/>
        <v>0</v>
      </c>
      <c r="AO570" s="121">
        <f t="shared" si="292"/>
        <v>0</v>
      </c>
      <c r="AP570" s="22">
        <f t="shared" si="293"/>
        <v>0</v>
      </c>
      <c r="AQ570" s="22">
        <f t="shared" si="294"/>
        <v>0</v>
      </c>
      <c r="AR570" s="22">
        <f t="shared" si="295"/>
        <v>0</v>
      </c>
      <c r="AS570" s="121" t="str">
        <f t="shared" si="296"/>
        <v>Crops</v>
      </c>
      <c r="AT570" s="121" t="str">
        <f t="shared" si="315"/>
        <v xml:space="preserve"> </v>
      </c>
      <c r="AU570" s="121" t="str">
        <f t="shared" si="315"/>
        <v xml:space="preserve"> </v>
      </c>
      <c r="AV570" s="121" t="str">
        <f t="shared" si="315"/>
        <v xml:space="preserve"> </v>
      </c>
      <c r="AW570" s="130" t="str">
        <f t="shared" si="316"/>
        <v>100</v>
      </c>
      <c r="AX570" s="130" t="str">
        <f t="shared" si="316"/>
        <v xml:space="preserve"> </v>
      </c>
      <c r="AY570" s="130" t="str">
        <f t="shared" si="316"/>
        <v xml:space="preserve"> </v>
      </c>
      <c r="AZ570" s="130" t="str">
        <f t="shared" si="316"/>
        <v xml:space="preserve"> </v>
      </c>
      <c r="BA570" s="121">
        <f t="shared" si="297"/>
        <v>5499.2176950778303</v>
      </c>
      <c r="BB570" s="121">
        <f t="shared" si="298"/>
        <v>0</v>
      </c>
      <c r="BC570" s="121">
        <f t="shared" si="299"/>
        <v>0</v>
      </c>
      <c r="BD570" s="121">
        <f t="shared" si="300"/>
        <v>0</v>
      </c>
      <c r="BE570" s="121">
        <f t="shared" si="301"/>
        <v>0</v>
      </c>
      <c r="BF570" s="121">
        <f t="shared" si="302"/>
        <v>0</v>
      </c>
      <c r="BG570" s="121">
        <f t="shared" si="303"/>
        <v>0</v>
      </c>
      <c r="BH570" s="121">
        <f t="shared" si="304"/>
        <v>0</v>
      </c>
      <c r="BI570" s="121">
        <f t="shared" si="305"/>
        <v>0</v>
      </c>
      <c r="BJ570" s="121">
        <f t="shared" si="306"/>
        <v>0</v>
      </c>
      <c r="BK570" s="121">
        <f t="shared" si="307"/>
        <v>0</v>
      </c>
      <c r="BL570" s="121">
        <f t="shared" si="308"/>
        <v>0</v>
      </c>
      <c r="BM570" s="121">
        <f t="shared" si="309"/>
        <v>0</v>
      </c>
      <c r="BN570" s="121">
        <f t="shared" si="310"/>
        <v>0</v>
      </c>
      <c r="BO570" s="121">
        <f t="shared" si="311"/>
        <v>0</v>
      </c>
      <c r="BP570" s="121">
        <f t="shared" si="312"/>
        <v>0</v>
      </c>
      <c r="BQ570" s="199">
        <f>INDEX('GDP deflators'!$C$6:$M$36,MATCH('Bottom-up tagging'!$D570,'GDP deflators'!$B$6:$B$36,),MATCH('Bottom-up tagging'!$E570,'GDP deflators'!$C$5:$L$5,))/100</f>
        <v>1.4111098032990623</v>
      </c>
      <c r="BR570" s="24">
        <v>7760</v>
      </c>
    </row>
    <row r="571" spans="2:70" ht="26.15" hidden="1" customHeight="1">
      <c r="B571" s="110" t="s">
        <v>1126</v>
      </c>
      <c r="C571" s="110" t="s">
        <v>1130</v>
      </c>
      <c r="D571" s="110" t="s">
        <v>3994</v>
      </c>
      <c r="E571" s="103">
        <v>2018</v>
      </c>
      <c r="F571" s="108" t="s">
        <v>7591</v>
      </c>
      <c r="G571" s="111" t="s">
        <v>124</v>
      </c>
      <c r="H571" s="110" t="s">
        <v>10451</v>
      </c>
      <c r="I571" s="112">
        <f>IF(Dashboard!$B$16="Current USD",'Bottom-up tagging'!BR571,'Bottom-up tagging'!BR571/'Bottom-up tagging'!BQ571)</f>
        <v>5075.9338544384145</v>
      </c>
      <c r="J571" s="105" t="s">
        <v>10474</v>
      </c>
      <c r="K571" s="112"/>
      <c r="L571" s="135">
        <v>1</v>
      </c>
      <c r="M571" s="135">
        <v>1</v>
      </c>
      <c r="N571" s="112"/>
      <c r="O571" s="112"/>
      <c r="P571" s="112" t="str">
        <f>VLOOKUP(B571, 'Companies covered restructured'!$B$7:$K$470, 9, FALSE)</f>
        <v>Farmer engagement platforms (including marketplaces and information platforms)</v>
      </c>
      <c r="Q571" s="112" t="str">
        <f>VLOOKUP(B571, 'Companies covered restructured'!$B$7:$K$470, 6, FALSE)</f>
        <v>#Crops(100)</v>
      </c>
      <c r="R571" s="112" t="str">
        <f t="shared" si="284"/>
        <v>#Angel Investor(100)</v>
      </c>
      <c r="S571" s="112" t="s">
        <v>11003</v>
      </c>
      <c r="T571" s="112" t="s">
        <v>10466</v>
      </c>
      <c r="U571" s="103" t="s">
        <v>10970</v>
      </c>
      <c r="V571" s="112" t="str">
        <f>VLOOKUP(P571, 'Bottom-up Tagging Assumptions'!$B$12:$F$39, 5, FALSE)</f>
        <v>#Process Innovation(100)</v>
      </c>
      <c r="W571" s="112" t="str">
        <f>VLOOKUP(B571, 'Companies covered restructured'!$B$7:$K$470, 7, FALSE)</f>
        <v>#Farm/Household(100)</v>
      </c>
      <c r="X571" s="112" t="s">
        <v>10558</v>
      </c>
      <c r="Y571" s="212" t="str">
        <f>VLOOKUP(P571, 'Bottom-up Tagging Assumptions'!$B$12:$C$56, 2, FALSE)</f>
        <v>#Other Economic(P); #Productivity(S)</v>
      </c>
      <c r="Z571" s="112" t="str">
        <f>VLOOKUP(P571, 'Bottom-up Tagging Assumptions'!$B$12:$F$56, 3, FALSE)</f>
        <v>#Improve price realization(P); #Increasing crop or animal yield(S)</v>
      </c>
      <c r="AA571" s="112" t="str">
        <f>VLOOKUP(P571, 'Bottom-up Tagging Assumptions'!$B$12:$F$56, 4, FALSE)</f>
        <v>#Level 4(100)</v>
      </c>
      <c r="AB571" s="110"/>
      <c r="AC571" s="110" t="s">
        <v>1712</v>
      </c>
      <c r="AD571" s="110" t="s">
        <v>1712</v>
      </c>
      <c r="AE571" s="110" t="str">
        <f>VLOOKUP(AD571,  '1.2'!$B$7:$C$2033, 2, FALSE)</f>
        <v>ANGEL</v>
      </c>
      <c r="AF571" s="112">
        <v>30060731</v>
      </c>
      <c r="AG571" s="110" t="s">
        <v>2853</v>
      </c>
      <c r="AH571" s="121">
        <f t="shared" si="285"/>
        <v>0</v>
      </c>
      <c r="AI571" s="121">
        <f t="shared" si="286"/>
        <v>1</v>
      </c>
      <c r="AJ571" s="121">
        <f t="shared" si="287"/>
        <v>1</v>
      </c>
      <c r="AK571" s="121">
        <f t="shared" si="288"/>
        <v>0</v>
      </c>
      <c r="AL571" s="121">
        <f t="shared" si="289"/>
        <v>0</v>
      </c>
      <c r="AM571" s="121">
        <f t="shared" si="290"/>
        <v>0</v>
      </c>
      <c r="AN571" s="121">
        <f t="shared" si="291"/>
        <v>0</v>
      </c>
      <c r="AO571" s="121">
        <f t="shared" si="292"/>
        <v>0</v>
      </c>
      <c r="AP571" s="22">
        <f t="shared" si="293"/>
        <v>0</v>
      </c>
      <c r="AQ571" s="22">
        <f t="shared" si="294"/>
        <v>0</v>
      </c>
      <c r="AR571" s="22">
        <f t="shared" si="295"/>
        <v>0</v>
      </c>
      <c r="AS571" s="121" t="str">
        <f t="shared" si="296"/>
        <v>Crops</v>
      </c>
      <c r="AT571" s="121" t="str">
        <f t="shared" si="315"/>
        <v xml:space="preserve"> </v>
      </c>
      <c r="AU571" s="121" t="str">
        <f t="shared" si="315"/>
        <v xml:space="preserve"> </v>
      </c>
      <c r="AV571" s="121" t="str">
        <f t="shared" si="315"/>
        <v xml:space="preserve"> </v>
      </c>
      <c r="AW571" s="130" t="str">
        <f t="shared" si="316"/>
        <v>100</v>
      </c>
      <c r="AX571" s="130" t="str">
        <f t="shared" si="316"/>
        <v xml:space="preserve"> </v>
      </c>
      <c r="AY571" s="130" t="str">
        <f t="shared" si="316"/>
        <v xml:space="preserve"> </v>
      </c>
      <c r="AZ571" s="130" t="str">
        <f t="shared" si="316"/>
        <v xml:space="preserve"> </v>
      </c>
      <c r="BA571" s="121">
        <f t="shared" si="297"/>
        <v>5075.9338544384145</v>
      </c>
      <c r="BB571" s="121">
        <f t="shared" si="298"/>
        <v>0</v>
      </c>
      <c r="BC571" s="121">
        <f t="shared" si="299"/>
        <v>0</v>
      </c>
      <c r="BD571" s="121">
        <f t="shared" si="300"/>
        <v>0</v>
      </c>
      <c r="BE571" s="121">
        <f t="shared" si="301"/>
        <v>0</v>
      </c>
      <c r="BF571" s="121">
        <f t="shared" si="302"/>
        <v>0</v>
      </c>
      <c r="BG571" s="121">
        <f t="shared" si="303"/>
        <v>0</v>
      </c>
      <c r="BH571" s="121">
        <f t="shared" si="304"/>
        <v>0</v>
      </c>
      <c r="BI571" s="121">
        <f t="shared" si="305"/>
        <v>0</v>
      </c>
      <c r="BJ571" s="121">
        <f t="shared" si="306"/>
        <v>0</v>
      </c>
      <c r="BK571" s="121">
        <f t="shared" si="307"/>
        <v>0</v>
      </c>
      <c r="BL571" s="121">
        <f t="shared" si="308"/>
        <v>0</v>
      </c>
      <c r="BM571" s="121">
        <f t="shared" si="309"/>
        <v>0</v>
      </c>
      <c r="BN571" s="121">
        <f t="shared" si="310"/>
        <v>0</v>
      </c>
      <c r="BO571" s="121">
        <f t="shared" si="311"/>
        <v>0</v>
      </c>
      <c r="BP571" s="121">
        <f t="shared" si="312"/>
        <v>0</v>
      </c>
      <c r="BQ571" s="199">
        <f>INDEX('GDP deflators'!$C$6:$M$36,MATCH('Bottom-up tagging'!$D571,'GDP deflators'!$B$6:$B$36,),MATCH('Bottom-up tagging'!$E571,'GDP deflators'!$C$5:$L$5,))/100</f>
        <v>1.4753935363936217</v>
      </c>
      <c r="BR571" s="24">
        <v>7489</v>
      </c>
    </row>
    <row r="572" spans="2:70" ht="26.15" hidden="1" customHeight="1">
      <c r="B572" s="110" t="s">
        <v>191</v>
      </c>
      <c r="C572" s="110" t="s">
        <v>196</v>
      </c>
      <c r="D572" s="110" t="s">
        <v>3468</v>
      </c>
      <c r="E572" s="103">
        <v>2018</v>
      </c>
      <c r="F572" s="108" t="s">
        <v>6545</v>
      </c>
      <c r="G572" s="111" t="s">
        <v>184</v>
      </c>
      <c r="H572" s="110" t="s">
        <v>10451</v>
      </c>
      <c r="I572" s="112">
        <f>IF(Dashboard!$B$16="Current USD",'Bottom-up tagging'!BR572,'Bottom-up tagging'!BR572/'Bottom-up tagging'!BQ572)</f>
        <v>1960.9410319621575</v>
      </c>
      <c r="J572" s="118" t="s">
        <v>10474</v>
      </c>
      <c r="K572" s="112"/>
      <c r="L572" s="135">
        <v>1</v>
      </c>
      <c r="M572" s="135">
        <v>1</v>
      </c>
      <c r="N572" s="112"/>
      <c r="O572" s="112"/>
      <c r="P572" s="112" t="str">
        <f>VLOOKUP(B572, 'Companies covered restructured'!$B$7:$K$470, 9, FALSE)</f>
        <v>Farmer engagement platforms (including marketplaces and information platforms)</v>
      </c>
      <c r="Q572" s="112" t="str">
        <f>VLOOKUP(B572, 'Companies covered restructured'!$B$7:$K$470, 6, FALSE)</f>
        <v>#Crops(100)</v>
      </c>
      <c r="R572" s="112" t="str">
        <f t="shared" si="284"/>
        <v>N/A</v>
      </c>
      <c r="S572" s="112" t="s">
        <v>11003</v>
      </c>
      <c r="T572" s="112" t="s">
        <v>10465</v>
      </c>
      <c r="U572" s="103" t="s">
        <v>10970</v>
      </c>
      <c r="V572" s="112" t="str">
        <f>VLOOKUP(P572, 'Bottom-up Tagging Assumptions'!$B$12:$F$39, 5, FALSE)</f>
        <v>#Process Innovation(100)</v>
      </c>
      <c r="W572" s="112" t="str">
        <f>VLOOKUP(B572, 'Companies covered restructured'!$B$7:$K$470, 7, FALSE)</f>
        <v>#Field/Animal Herd(100)</v>
      </c>
      <c r="X572" s="112" t="s">
        <v>10558</v>
      </c>
      <c r="Y572" s="212" t="str">
        <f>VLOOKUP(P572, 'Bottom-up Tagging Assumptions'!$B$12:$C$56, 2, FALSE)</f>
        <v>#Other Economic(P); #Productivity(S)</v>
      </c>
      <c r="Z572" s="112" t="str">
        <f>VLOOKUP(P572, 'Bottom-up Tagging Assumptions'!$B$12:$F$56, 3, FALSE)</f>
        <v>#Improve price realization(P); #Increasing crop or animal yield(S)</v>
      </c>
      <c r="AA572" s="112" t="str">
        <f>VLOOKUP(P572, 'Bottom-up Tagging Assumptions'!$B$12:$F$56, 4, FALSE)</f>
        <v>#Level 4(100)</v>
      </c>
      <c r="AB572" s="110" t="s">
        <v>803</v>
      </c>
      <c r="AC572" s="110"/>
      <c r="AD572" s="110"/>
      <c r="AE572" s="110" t="s">
        <v>10558</v>
      </c>
      <c r="AF572" s="112">
        <v>235000</v>
      </c>
      <c r="AG572" s="110" t="s">
        <v>2889</v>
      </c>
      <c r="AH572" s="121">
        <f t="shared" si="285"/>
        <v>0</v>
      </c>
      <c r="AI572" s="121">
        <f t="shared" si="286"/>
        <v>1</v>
      </c>
      <c r="AJ572" s="121">
        <f t="shared" si="287"/>
        <v>1</v>
      </c>
      <c r="AK572" s="121">
        <f t="shared" si="288"/>
        <v>0</v>
      </c>
      <c r="AL572" s="121">
        <f t="shared" si="289"/>
        <v>0</v>
      </c>
      <c r="AM572" s="121">
        <f t="shared" si="290"/>
        <v>0</v>
      </c>
      <c r="AN572" s="121">
        <f t="shared" si="291"/>
        <v>0</v>
      </c>
      <c r="AO572" s="121">
        <f t="shared" si="292"/>
        <v>0</v>
      </c>
      <c r="AP572" s="22">
        <f t="shared" si="293"/>
        <v>0</v>
      </c>
      <c r="AQ572" s="22">
        <f t="shared" si="294"/>
        <v>0</v>
      </c>
      <c r="AR572" s="22">
        <f t="shared" si="295"/>
        <v>0</v>
      </c>
      <c r="AS572" s="121" t="str">
        <f t="shared" si="296"/>
        <v>Crops</v>
      </c>
      <c r="AT572" s="121" t="str">
        <f t="shared" ref="AT572:AV577" si="317">IFERROR(IFERROR(MID($Q572,FIND("~",SUBSTITUTE($Q572,";","~",AT$10-1))+3,(FIND("~",SUBSTITUTE($Q572,";","~",AT$10))+0-(FIND("~",SUBSTITUTE($Q572,";","~",AT$10-1))+2))-6),MID($Q572,FIND("~",SUBSTITUTE($Q572,";","~",AT$10-1))+3,(LEN($Q572)-6-FIND("~",SUBSTITUTE($Q572,";","~",AT$10-1))-1)))," ")</f>
        <v xml:space="preserve"> </v>
      </c>
      <c r="AU572" s="121" t="str">
        <f t="shared" si="317"/>
        <v xml:space="preserve"> </v>
      </c>
      <c r="AV572" s="121" t="str">
        <f t="shared" si="317"/>
        <v xml:space="preserve"> </v>
      </c>
      <c r="AW572" s="130" t="str">
        <f t="shared" ref="AW572:AZ577" si="318">IFERROR(MID($Q572,FIND("~",SUBSTITUTE($Q572,"(","~",AW$10))+1,3)," ")</f>
        <v>100</v>
      </c>
      <c r="AX572" s="130" t="str">
        <f t="shared" si="318"/>
        <v xml:space="preserve"> </v>
      </c>
      <c r="AY572" s="130" t="str">
        <f t="shared" si="318"/>
        <v xml:space="preserve"> </v>
      </c>
      <c r="AZ572" s="130" t="str">
        <f t="shared" si="318"/>
        <v xml:space="preserve"> </v>
      </c>
      <c r="BA572" s="121">
        <f t="shared" si="297"/>
        <v>1960.9410319621575</v>
      </c>
      <c r="BB572" s="121">
        <f t="shared" si="298"/>
        <v>0</v>
      </c>
      <c r="BC572" s="121">
        <f t="shared" si="299"/>
        <v>0</v>
      </c>
      <c r="BD572" s="121">
        <f t="shared" si="300"/>
        <v>0</v>
      </c>
      <c r="BE572" s="121">
        <f t="shared" si="301"/>
        <v>0</v>
      </c>
      <c r="BF572" s="121">
        <f t="shared" si="302"/>
        <v>0</v>
      </c>
      <c r="BG572" s="121">
        <f t="shared" si="303"/>
        <v>0</v>
      </c>
      <c r="BH572" s="121">
        <f t="shared" si="304"/>
        <v>0</v>
      </c>
      <c r="BI572" s="121">
        <f t="shared" si="305"/>
        <v>0</v>
      </c>
      <c r="BJ572" s="121">
        <f t="shared" si="306"/>
        <v>0</v>
      </c>
      <c r="BK572" s="121">
        <f t="shared" si="307"/>
        <v>0</v>
      </c>
      <c r="BL572" s="121">
        <f t="shared" si="308"/>
        <v>0</v>
      </c>
      <c r="BM572" s="121">
        <f t="shared" si="309"/>
        <v>0</v>
      </c>
      <c r="BN572" s="121">
        <f t="shared" si="310"/>
        <v>0</v>
      </c>
      <c r="BO572" s="121">
        <f t="shared" si="311"/>
        <v>0</v>
      </c>
      <c r="BP572" s="121">
        <f t="shared" si="312"/>
        <v>0</v>
      </c>
      <c r="BQ572" s="199">
        <f>INDEX('GDP deflators'!$C$6:$M$36,MATCH('Bottom-up tagging'!$D572,'GDP deflators'!$B$6:$B$36,),MATCH('Bottom-up tagging'!$E572,'GDP deflators'!$C$5:$L$5,))/100</f>
        <v>1.6226903043667897</v>
      </c>
      <c r="BR572" s="24">
        <v>3182</v>
      </c>
    </row>
    <row r="573" spans="2:70" ht="26.15" customHeight="1">
      <c r="B573" s="110" t="s">
        <v>2393</v>
      </c>
      <c r="C573" s="110" t="s">
        <v>2396</v>
      </c>
      <c r="D573" s="110" t="s">
        <v>5391</v>
      </c>
      <c r="E573" s="103">
        <v>2016</v>
      </c>
      <c r="F573" s="108" t="s">
        <v>9222</v>
      </c>
      <c r="G573" s="111" t="s">
        <v>184</v>
      </c>
      <c r="H573" s="110" t="s">
        <v>10451</v>
      </c>
      <c r="I573" s="112">
        <f>IF(Dashboard!$B$16="Current USD",'Bottom-up tagging'!BR573,'Bottom-up tagging'!BR573/'Bottom-up tagging'!BQ573)</f>
        <v>1875.5567332361327</v>
      </c>
      <c r="J573" s="117" t="s">
        <v>10474</v>
      </c>
      <c r="K573" s="112"/>
      <c r="L573" s="135">
        <v>1</v>
      </c>
      <c r="M573" s="135">
        <v>1</v>
      </c>
      <c r="N573" s="112"/>
      <c r="O573" s="112"/>
      <c r="P573" s="112" t="str">
        <f>VLOOKUP(B573, 'Companies covered restructured'!$B$7:$K$470, 9, FALSE)</f>
        <v xml:space="preserve">Hydroponics </v>
      </c>
      <c r="Q573" s="112" t="str">
        <f>VLOOKUP(B573, 'Companies covered restructured'!$B$7:$K$470, 6, FALSE)</f>
        <v>#Crops(100)</v>
      </c>
      <c r="R573" s="112" t="str">
        <f t="shared" si="284"/>
        <v>N/A</v>
      </c>
      <c r="S573" s="112" t="s">
        <v>11003</v>
      </c>
      <c r="T573" s="112" t="s">
        <v>10465</v>
      </c>
      <c r="U573" s="103" t="s">
        <v>10970</v>
      </c>
      <c r="V573" s="112" t="str">
        <f>VLOOKUP(P573, 'Bottom-up Tagging Assumptions'!$B$12:$F$39, 5, FALSE)</f>
        <v>#Science &amp; tech(100)</v>
      </c>
      <c r="W573" s="112" t="str">
        <f>VLOOKUP(B573, 'Companies covered restructured'!$B$7:$K$470, 7, FALSE)</f>
        <v>#Field/Animal Herd(100)</v>
      </c>
      <c r="X573" s="112" t="str">
        <f>VLOOKUP(B573, 'Companies covered restructured'!$B$7:$K$470, 8, FALSE)</f>
        <v>#Both(100)</v>
      </c>
      <c r="Y573" s="212" t="str">
        <f>VLOOKUP(P573, 'Bottom-up Tagging Assumptions'!$B$12:$C$56, 2, FALSE)</f>
        <v>#Human Condition(P); #Environmental(S); #Productivity(S)</v>
      </c>
      <c r="Z573" s="112" t="str">
        <f>VLOOKUP(P573, 'Bottom-up Tagging Assumptions'!$B$12:$F$56, 3, FALSE)</f>
        <v>#Food security(P); #Reducing production variability(S)</v>
      </c>
      <c r="AA573" s="112" t="str">
        <f>VLOOKUP(P573, 'Bottom-up Tagging Assumptions'!$B$12:$F$56, 4, FALSE)</f>
        <v>#Level 2(100)</v>
      </c>
      <c r="AB573" s="110" t="s">
        <v>2395</v>
      </c>
      <c r="AC573" s="110"/>
      <c r="AD573" s="110"/>
      <c r="AE573" s="110" t="s">
        <v>10558</v>
      </c>
      <c r="AF573" s="112"/>
      <c r="AG573" s="110" t="s">
        <v>3089</v>
      </c>
      <c r="AH573" s="121">
        <f t="shared" si="285"/>
        <v>1</v>
      </c>
      <c r="AI573" s="121">
        <f t="shared" si="286"/>
        <v>1</v>
      </c>
      <c r="AJ573" s="121">
        <f t="shared" si="287"/>
        <v>0</v>
      </c>
      <c r="AK573" s="121">
        <f t="shared" si="288"/>
        <v>0</v>
      </c>
      <c r="AL573" s="121">
        <f t="shared" si="289"/>
        <v>1</v>
      </c>
      <c r="AM573" s="121">
        <f t="shared" si="290"/>
        <v>1</v>
      </c>
      <c r="AN573" s="121">
        <f t="shared" si="291"/>
        <v>1</v>
      </c>
      <c r="AO573" s="121">
        <f t="shared" si="292"/>
        <v>1</v>
      </c>
      <c r="AP573" s="22">
        <f t="shared" si="293"/>
        <v>1875.5567332361327</v>
      </c>
      <c r="AQ573" s="22">
        <f t="shared" si="294"/>
        <v>1875.5567332361327</v>
      </c>
      <c r="AR573" s="22">
        <f t="shared" si="295"/>
        <v>1875.5567332361327</v>
      </c>
      <c r="AS573" s="121" t="str">
        <f t="shared" si="296"/>
        <v>Crops</v>
      </c>
      <c r="AT573" s="121" t="str">
        <f t="shared" si="317"/>
        <v xml:space="preserve"> </v>
      </c>
      <c r="AU573" s="121" t="str">
        <f t="shared" si="317"/>
        <v xml:space="preserve"> </v>
      </c>
      <c r="AV573" s="121" t="str">
        <f t="shared" si="317"/>
        <v xml:space="preserve"> </v>
      </c>
      <c r="AW573" s="130" t="str">
        <f t="shared" si="318"/>
        <v>100</v>
      </c>
      <c r="AX573" s="130" t="str">
        <f t="shared" si="318"/>
        <v xml:space="preserve"> </v>
      </c>
      <c r="AY573" s="130" t="str">
        <f t="shared" si="318"/>
        <v xml:space="preserve"> </v>
      </c>
      <c r="AZ573" s="130" t="str">
        <f t="shared" si="318"/>
        <v xml:space="preserve"> </v>
      </c>
      <c r="BA573" s="121">
        <f t="shared" si="297"/>
        <v>1875.5567332361327</v>
      </c>
      <c r="BB573" s="121">
        <f t="shared" si="298"/>
        <v>0</v>
      </c>
      <c r="BC573" s="121">
        <f t="shared" si="299"/>
        <v>0</v>
      </c>
      <c r="BD573" s="121">
        <f t="shared" si="300"/>
        <v>0</v>
      </c>
      <c r="BE573" s="121">
        <f t="shared" si="301"/>
        <v>1875.5567332361327</v>
      </c>
      <c r="BF573" s="121">
        <f t="shared" si="302"/>
        <v>1875.5567332361327</v>
      </c>
      <c r="BG573" s="121">
        <f t="shared" si="303"/>
        <v>1875.5567332361327</v>
      </c>
      <c r="BH573" s="121">
        <f t="shared" si="304"/>
        <v>1875.5567332361327</v>
      </c>
      <c r="BI573" s="121">
        <f t="shared" si="305"/>
        <v>1875.5567332361327</v>
      </c>
      <c r="BJ573" s="121">
        <f t="shared" si="306"/>
        <v>1875.5567332361327</v>
      </c>
      <c r="BK573" s="121">
        <f t="shared" si="307"/>
        <v>1875.5567332361327</v>
      </c>
      <c r="BL573" s="121">
        <f t="shared" si="308"/>
        <v>1875.5567332361327</v>
      </c>
      <c r="BM573" s="121">
        <f t="shared" si="309"/>
        <v>1875.5567332361327</v>
      </c>
      <c r="BN573" s="121">
        <f t="shared" si="310"/>
        <v>1875.5567332361327</v>
      </c>
      <c r="BO573" s="121">
        <f t="shared" si="311"/>
        <v>1875.5567332361327</v>
      </c>
      <c r="BP573" s="121">
        <f t="shared" si="312"/>
        <v>1875.5567332361327</v>
      </c>
      <c r="BQ573" s="199">
        <f>INDEX('GDP deflators'!$C$6:$M$36,MATCH('Bottom-up tagging'!$D573,'GDP deflators'!$B$6:$B$36,),MATCH('Bottom-up tagging'!$E573,'GDP deflators'!$C$5:$L$5,))/100</f>
        <v>1.5995250619925128</v>
      </c>
      <c r="BR573" s="24">
        <v>3000</v>
      </c>
    </row>
    <row r="574" spans="2:70" ht="26.15" hidden="1" customHeight="1">
      <c r="B574" s="110" t="s">
        <v>2146</v>
      </c>
      <c r="C574" s="110" t="s">
        <v>2148</v>
      </c>
      <c r="D574" s="110" t="s">
        <v>5208</v>
      </c>
      <c r="E574" s="103">
        <v>2016</v>
      </c>
      <c r="F574" s="108" t="s">
        <v>9511</v>
      </c>
      <c r="G574" s="111" t="s">
        <v>184</v>
      </c>
      <c r="H574" s="110" t="s">
        <v>10451</v>
      </c>
      <c r="I574" s="112">
        <f>IF(Dashboard!$B$16="Current USD",'Bottom-up tagging'!BR574,'Bottom-up tagging'!BR574/'Bottom-up tagging'!BQ574)</f>
        <v>1268.7682135310195</v>
      </c>
      <c r="J574" s="117" t="s">
        <v>10474</v>
      </c>
      <c r="K574" s="112"/>
      <c r="L574" s="135">
        <v>1</v>
      </c>
      <c r="M574" s="135">
        <v>1</v>
      </c>
      <c r="N574" s="112"/>
      <c r="O574" s="112"/>
      <c r="P574" s="112" t="str">
        <f>VLOOKUP(B574, 'Companies covered restructured'!$B$7:$K$470, 9, FALSE)</f>
        <v>AI/analytics based advisory algorithms (incl. weather)</v>
      </c>
      <c r="Q574" s="112" t="str">
        <f>VLOOKUP(B574, 'Companies covered restructured'!$B$7:$K$470, 6, FALSE)</f>
        <v>#Crops(100)</v>
      </c>
      <c r="R574" s="112" t="str">
        <f t="shared" si="284"/>
        <v>N/A</v>
      </c>
      <c r="S574" s="112" t="s">
        <v>11003</v>
      </c>
      <c r="T574" s="112" t="s">
        <v>10465</v>
      </c>
      <c r="U574" s="103" t="s">
        <v>10970</v>
      </c>
      <c r="V574" s="112" t="str">
        <f>VLOOKUP(P574, 'Bottom-up Tagging Assumptions'!$B$12:$F$39, 5, FALSE)</f>
        <v>#Science &amp; tech(100)</v>
      </c>
      <c r="W574" s="112" t="str">
        <f>VLOOKUP(B574, 'Companies covered restructured'!$B$7:$K$470, 7, FALSE)</f>
        <v>#Farm/Household(100)</v>
      </c>
      <c r="X574" s="112" t="str">
        <f>VLOOKUP(B574, 'Companies covered restructured'!$B$7:$K$470, 8, FALSE)</f>
        <v>N/A</v>
      </c>
      <c r="Y574" s="212" t="str">
        <f>VLOOKUP(P574, 'Bottom-up Tagging Assumptions'!$B$12:$C$56, 2, FALSE)</f>
        <v>#Other Economic(P); #Productivity(S)</v>
      </c>
      <c r="Z574" s="112" t="str">
        <f>VLOOKUP(P574, 'Bottom-up Tagging Assumptions'!$B$12:$F$56, 3, FALSE)</f>
        <v>#Increasing output per unit input(P); #Increasing crop or animal yield(S)</v>
      </c>
      <c r="AA574" s="112" t="str">
        <f>VLOOKUP(P574, 'Bottom-up Tagging Assumptions'!$B$12:$F$56, 4, FALSE)</f>
        <v>#Level 1(100)</v>
      </c>
      <c r="AB574" s="110" t="s">
        <v>2471</v>
      </c>
      <c r="AC574" s="110"/>
      <c r="AD574" s="110"/>
      <c r="AE574" s="110" t="s">
        <v>10558</v>
      </c>
      <c r="AF574" s="112">
        <v>35112790</v>
      </c>
      <c r="AG574" s="110" t="s">
        <v>3099</v>
      </c>
      <c r="AH574" s="121">
        <f t="shared" si="285"/>
        <v>0</v>
      </c>
      <c r="AI574" s="121">
        <f t="shared" si="286"/>
        <v>1</v>
      </c>
      <c r="AJ574" s="121">
        <f t="shared" si="287"/>
        <v>1</v>
      </c>
      <c r="AK574" s="121">
        <f t="shared" si="288"/>
        <v>0</v>
      </c>
      <c r="AL574" s="121">
        <f t="shared" si="289"/>
        <v>0</v>
      </c>
      <c r="AM574" s="121">
        <f t="shared" si="290"/>
        <v>0</v>
      </c>
      <c r="AN574" s="121">
        <f t="shared" si="291"/>
        <v>0</v>
      </c>
      <c r="AO574" s="121">
        <f t="shared" si="292"/>
        <v>0</v>
      </c>
      <c r="AP574" s="22">
        <f t="shared" si="293"/>
        <v>0</v>
      </c>
      <c r="AQ574" s="22">
        <f t="shared" si="294"/>
        <v>0</v>
      </c>
      <c r="AR574" s="22">
        <f t="shared" si="295"/>
        <v>0</v>
      </c>
      <c r="AS574" s="121" t="str">
        <f t="shared" si="296"/>
        <v>Crops</v>
      </c>
      <c r="AT574" s="121" t="str">
        <f t="shared" si="317"/>
        <v xml:space="preserve"> </v>
      </c>
      <c r="AU574" s="121" t="str">
        <f t="shared" si="317"/>
        <v xml:space="preserve"> </v>
      </c>
      <c r="AV574" s="121" t="str">
        <f t="shared" si="317"/>
        <v xml:space="preserve"> </v>
      </c>
      <c r="AW574" s="130" t="str">
        <f t="shared" si="318"/>
        <v>100</v>
      </c>
      <c r="AX574" s="130" t="str">
        <f t="shared" si="318"/>
        <v xml:space="preserve"> </v>
      </c>
      <c r="AY574" s="130" t="str">
        <f t="shared" si="318"/>
        <v xml:space="preserve"> </v>
      </c>
      <c r="AZ574" s="130" t="str">
        <f t="shared" si="318"/>
        <v xml:space="preserve"> </v>
      </c>
      <c r="BA574" s="121">
        <f t="shared" si="297"/>
        <v>1268.7682135310195</v>
      </c>
      <c r="BB574" s="121">
        <f t="shared" si="298"/>
        <v>0</v>
      </c>
      <c r="BC574" s="121">
        <f t="shared" si="299"/>
        <v>0</v>
      </c>
      <c r="BD574" s="121">
        <f t="shared" si="300"/>
        <v>0</v>
      </c>
      <c r="BE574" s="121">
        <f t="shared" si="301"/>
        <v>0</v>
      </c>
      <c r="BF574" s="121">
        <f t="shared" si="302"/>
        <v>0</v>
      </c>
      <c r="BG574" s="121">
        <f t="shared" si="303"/>
        <v>0</v>
      </c>
      <c r="BH574" s="121">
        <f t="shared" si="304"/>
        <v>0</v>
      </c>
      <c r="BI574" s="121">
        <f t="shared" si="305"/>
        <v>0</v>
      </c>
      <c r="BJ574" s="121">
        <f t="shared" si="306"/>
        <v>0</v>
      </c>
      <c r="BK574" s="121">
        <f t="shared" si="307"/>
        <v>0</v>
      </c>
      <c r="BL574" s="121">
        <f t="shared" si="308"/>
        <v>0</v>
      </c>
      <c r="BM574" s="121">
        <f t="shared" si="309"/>
        <v>0</v>
      </c>
      <c r="BN574" s="121">
        <f t="shared" si="310"/>
        <v>0</v>
      </c>
      <c r="BO574" s="121">
        <f t="shared" si="311"/>
        <v>0</v>
      </c>
      <c r="BP574" s="121">
        <f t="shared" si="312"/>
        <v>0</v>
      </c>
      <c r="BQ574" s="199">
        <f>INDEX('GDP deflators'!$C$6:$M$36,MATCH('Bottom-up tagging'!$D574,'GDP deflators'!$B$6:$B$36,),MATCH('Bottom-up tagging'!$E574,'GDP deflators'!$C$5:$L$5,))/100</f>
        <v>1.5763320507801348</v>
      </c>
      <c r="BR574" s="24">
        <v>2000</v>
      </c>
    </row>
    <row r="575" spans="2:70" ht="26.15" hidden="1" customHeight="1">
      <c r="B575" s="110" t="s">
        <v>523</v>
      </c>
      <c r="C575" s="110" t="s">
        <v>116</v>
      </c>
      <c r="D575" s="110" t="s">
        <v>3994</v>
      </c>
      <c r="E575" s="103">
        <v>2017</v>
      </c>
      <c r="F575" s="108" t="s">
        <v>5025</v>
      </c>
      <c r="G575" s="111" t="s">
        <v>124</v>
      </c>
      <c r="H575" s="110" t="s">
        <v>10451</v>
      </c>
      <c r="I575" s="112">
        <f>IF(Dashboard!$B$16="Current USD",'Bottom-up tagging'!BR575,'Bottom-up tagging'!BR575/'Bottom-up tagging'!BQ575)</f>
        <v>990.000917528831</v>
      </c>
      <c r="J575" s="105" t="s">
        <v>10474</v>
      </c>
      <c r="K575" s="112"/>
      <c r="L575" s="135">
        <v>1</v>
      </c>
      <c r="M575" s="135">
        <v>1</v>
      </c>
      <c r="N575" s="112"/>
      <c r="O575" s="112"/>
      <c r="P575" s="112" t="str">
        <f>VLOOKUP(B575, 'Companies covered restructured'!$B$7:$K$470, 9, FALSE)</f>
        <v>Agri input e-commerce platforms</v>
      </c>
      <c r="Q575" s="112" t="str">
        <f>VLOOKUP(B575, 'Companies covered restructured'!$B$7:$K$470, 6, FALSE)</f>
        <v>#Crops(100)</v>
      </c>
      <c r="R575" s="112" t="str">
        <f t="shared" si="284"/>
        <v>#Angel Investor(100)</v>
      </c>
      <c r="S575" s="112" t="s">
        <v>11003</v>
      </c>
      <c r="T575" s="112" t="s">
        <v>10466</v>
      </c>
      <c r="U575" s="103" t="s">
        <v>10970</v>
      </c>
      <c r="V575" s="112" t="str">
        <f>VLOOKUP(P575, 'Bottom-up Tagging Assumptions'!$B$12:$F$39, 5, FALSE)</f>
        <v>#Process Innovation(100)</v>
      </c>
      <c r="W575" s="112" t="str">
        <f>VLOOKUP(B575, 'Companies covered restructured'!$B$7:$K$470, 7, FALSE)</f>
        <v>#Field/Animal Herd(100)</v>
      </c>
      <c r="X575" s="112" t="s">
        <v>10558</v>
      </c>
      <c r="Y575" s="212" t="str">
        <f>VLOOKUP(P575, 'Bottom-up Tagging Assumptions'!$B$12:$C$56, 2, FALSE)</f>
        <v>#Other Economic(P); Productivity(S)</v>
      </c>
      <c r="Z575" s="112" t="str">
        <f>VLOOKUP(P575, 'Bottom-up Tagging Assumptions'!$B$12:$F$56, 3, FALSE)</f>
        <v>#Reduce cost of inputs(P)</v>
      </c>
      <c r="AA575" s="112" t="str">
        <f>VLOOKUP(P575, 'Bottom-up Tagging Assumptions'!$B$12:$F$56, 4, FALSE)</f>
        <v>#Level 1(100)</v>
      </c>
      <c r="AB575" s="110"/>
      <c r="AC575" s="110" t="s">
        <v>1968</v>
      </c>
      <c r="AD575" s="110" t="s">
        <v>1969</v>
      </c>
      <c r="AE575" s="110" t="str">
        <f>VLOOKUP(AD575,  '1.2'!$B$7:$C$2033, 2, FALSE)</f>
        <v>ANGEL</v>
      </c>
      <c r="AF575" s="112">
        <v>8723427</v>
      </c>
      <c r="AG575" s="110" t="s">
        <v>2939</v>
      </c>
      <c r="AH575" s="121">
        <f t="shared" si="285"/>
        <v>0</v>
      </c>
      <c r="AI575" s="121">
        <f t="shared" si="286"/>
        <v>1</v>
      </c>
      <c r="AJ575" s="121">
        <f t="shared" si="287"/>
        <v>1</v>
      </c>
      <c r="AK575" s="121">
        <f t="shared" si="288"/>
        <v>0</v>
      </c>
      <c r="AL575" s="121">
        <f t="shared" si="289"/>
        <v>0</v>
      </c>
      <c r="AM575" s="121">
        <f t="shared" si="290"/>
        <v>0</v>
      </c>
      <c r="AN575" s="121">
        <f t="shared" si="291"/>
        <v>0</v>
      </c>
      <c r="AO575" s="121">
        <f t="shared" si="292"/>
        <v>0</v>
      </c>
      <c r="AP575" s="22">
        <f t="shared" si="293"/>
        <v>0</v>
      </c>
      <c r="AQ575" s="22">
        <f t="shared" si="294"/>
        <v>0</v>
      </c>
      <c r="AR575" s="22">
        <f t="shared" si="295"/>
        <v>0</v>
      </c>
      <c r="AS575" s="121" t="str">
        <f t="shared" si="296"/>
        <v>Crops</v>
      </c>
      <c r="AT575" s="121" t="str">
        <f t="shared" si="317"/>
        <v xml:space="preserve"> </v>
      </c>
      <c r="AU575" s="121" t="str">
        <f t="shared" si="317"/>
        <v xml:space="preserve"> </v>
      </c>
      <c r="AV575" s="121" t="str">
        <f t="shared" si="317"/>
        <v xml:space="preserve"> </v>
      </c>
      <c r="AW575" s="130" t="str">
        <f t="shared" si="318"/>
        <v>100</v>
      </c>
      <c r="AX575" s="130" t="str">
        <f t="shared" si="318"/>
        <v xml:space="preserve"> </v>
      </c>
      <c r="AY575" s="130" t="str">
        <f t="shared" si="318"/>
        <v xml:space="preserve"> </v>
      </c>
      <c r="AZ575" s="130" t="str">
        <f t="shared" si="318"/>
        <v xml:space="preserve"> </v>
      </c>
      <c r="BA575" s="121">
        <f t="shared" si="297"/>
        <v>990.000917528831</v>
      </c>
      <c r="BB575" s="121">
        <f t="shared" si="298"/>
        <v>0</v>
      </c>
      <c r="BC575" s="121">
        <f t="shared" si="299"/>
        <v>0</v>
      </c>
      <c r="BD575" s="121">
        <f t="shared" si="300"/>
        <v>0</v>
      </c>
      <c r="BE575" s="121">
        <f t="shared" si="301"/>
        <v>0</v>
      </c>
      <c r="BF575" s="121">
        <f t="shared" si="302"/>
        <v>0</v>
      </c>
      <c r="BG575" s="121">
        <f t="shared" si="303"/>
        <v>0</v>
      </c>
      <c r="BH575" s="121">
        <f t="shared" si="304"/>
        <v>0</v>
      </c>
      <c r="BI575" s="121">
        <f t="shared" si="305"/>
        <v>0</v>
      </c>
      <c r="BJ575" s="121">
        <f t="shared" si="306"/>
        <v>0</v>
      </c>
      <c r="BK575" s="121">
        <f t="shared" si="307"/>
        <v>0</v>
      </c>
      <c r="BL575" s="121">
        <f t="shared" si="308"/>
        <v>0</v>
      </c>
      <c r="BM575" s="121">
        <f t="shared" si="309"/>
        <v>0</v>
      </c>
      <c r="BN575" s="121">
        <f t="shared" si="310"/>
        <v>0</v>
      </c>
      <c r="BO575" s="121">
        <f t="shared" si="311"/>
        <v>0</v>
      </c>
      <c r="BP575" s="121">
        <f t="shared" si="312"/>
        <v>0</v>
      </c>
      <c r="BQ575" s="199">
        <f>INDEX('GDP deflators'!$C$6:$M$36,MATCH('Bottom-up tagging'!$D575,'GDP deflators'!$B$6:$B$36,),MATCH('Bottom-up tagging'!$E575,'GDP deflators'!$C$5:$L$5,))/100</f>
        <v>1.4111098032990623</v>
      </c>
      <c r="BR575" s="24">
        <v>1397</v>
      </c>
    </row>
    <row r="576" spans="2:70" ht="26.15" hidden="1" customHeight="1">
      <c r="B576" s="110" t="s">
        <v>1913</v>
      </c>
      <c r="C576" s="110" t="s">
        <v>1917</v>
      </c>
      <c r="D576" s="110" t="s">
        <v>5208</v>
      </c>
      <c r="E576" s="103">
        <v>2017</v>
      </c>
      <c r="F576" s="108" t="s">
        <v>6269</v>
      </c>
      <c r="G576" s="111" t="s">
        <v>34</v>
      </c>
      <c r="H576" s="110" t="s">
        <v>10451</v>
      </c>
      <c r="I576" s="112">
        <f>IF(Dashboard!$B$16="Current USD",'Bottom-up tagging'!BR576,'Bottom-up tagging'!BR576/'Bottom-up tagging'!BQ576)</f>
        <v>0</v>
      </c>
      <c r="J576" s="113"/>
      <c r="K576" s="112"/>
      <c r="L576" s="135">
        <v>1</v>
      </c>
      <c r="M576" s="135">
        <v>1</v>
      </c>
      <c r="N576" s="112"/>
      <c r="O576" s="112"/>
      <c r="P576" s="112" t="str">
        <f>VLOOKUP(B576, 'Companies covered restructured'!$B$7:$K$470, 9, FALSE)</f>
        <v xml:space="preserve">Agriculture traceability systems </v>
      </c>
      <c r="Q576" s="112" t="str">
        <f>VLOOKUP(B576, 'Companies covered restructured'!$B$7:$K$470, 6, FALSE)</f>
        <v>#Livestock(100)</v>
      </c>
      <c r="R576" s="112" t="str">
        <f t="shared" si="284"/>
        <v>N/A</v>
      </c>
      <c r="S576" s="112" t="s">
        <v>11003</v>
      </c>
      <c r="T576" s="112" t="s">
        <v>10466</v>
      </c>
      <c r="U576" s="103" t="s">
        <v>10970</v>
      </c>
      <c r="V576" s="212" t="s">
        <v>10977</v>
      </c>
      <c r="W576" s="112" t="str">
        <f>VLOOKUP(B576, 'Companies covered restructured'!$B$7:$K$470, 7, FALSE)</f>
        <v>#Field/Animal Herd(100)</v>
      </c>
      <c r="X576" s="112" t="s">
        <v>10558</v>
      </c>
      <c r="Y576" s="212" t="str">
        <f>VLOOKUP(P576, 'Bottom-up Tagging Assumptions'!$B$12:$C$56, 2, FALSE)</f>
        <v>#Other Economic(P); Productivity(S)</v>
      </c>
      <c r="Z576" s="112" t="str">
        <f>VLOOKUP(P576, 'Bottom-up Tagging Assumptions'!$B$12:$F$56, 3, FALSE)</f>
        <v>#Waste reduction(P)</v>
      </c>
      <c r="AA576" s="112" t="str">
        <f>VLOOKUP(P576, 'Bottom-up Tagging Assumptions'!$B$12:$F$56, 4, FALSE)</f>
        <v>#Level 1(100)</v>
      </c>
      <c r="AB576" s="110" t="s">
        <v>1915</v>
      </c>
      <c r="AC576" s="110"/>
      <c r="AD576" s="110"/>
      <c r="AE576" s="110" t="s">
        <v>10558</v>
      </c>
      <c r="AF576" s="112"/>
      <c r="AG576" s="110" t="s">
        <v>1918</v>
      </c>
      <c r="AH576" s="121">
        <f t="shared" si="285"/>
        <v>0</v>
      </c>
      <c r="AI576" s="121">
        <f t="shared" si="286"/>
        <v>1</v>
      </c>
      <c r="AJ576" s="121">
        <f t="shared" si="287"/>
        <v>1</v>
      </c>
      <c r="AK576" s="121">
        <f t="shared" si="288"/>
        <v>0</v>
      </c>
      <c r="AL576" s="121">
        <f t="shared" si="289"/>
        <v>0</v>
      </c>
      <c r="AM576" s="121">
        <f t="shared" si="290"/>
        <v>0</v>
      </c>
      <c r="AN576" s="121">
        <f t="shared" si="291"/>
        <v>0</v>
      </c>
      <c r="AO576" s="121">
        <f t="shared" si="292"/>
        <v>0</v>
      </c>
      <c r="AP576" s="22">
        <f t="shared" si="293"/>
        <v>0</v>
      </c>
      <c r="AQ576" s="22">
        <f t="shared" si="294"/>
        <v>0</v>
      </c>
      <c r="AR576" s="22">
        <f t="shared" si="295"/>
        <v>0</v>
      </c>
      <c r="AS576" s="121" t="str">
        <f t="shared" si="296"/>
        <v>Livestock</v>
      </c>
      <c r="AT576" s="121" t="str">
        <f t="shared" si="317"/>
        <v xml:space="preserve"> </v>
      </c>
      <c r="AU576" s="121" t="str">
        <f t="shared" si="317"/>
        <v xml:space="preserve"> </v>
      </c>
      <c r="AV576" s="121" t="str">
        <f t="shared" si="317"/>
        <v xml:space="preserve"> </v>
      </c>
      <c r="AW576" s="130" t="str">
        <f t="shared" si="318"/>
        <v>100</v>
      </c>
      <c r="AX576" s="130" t="str">
        <f t="shared" si="318"/>
        <v xml:space="preserve"> </v>
      </c>
      <c r="AY576" s="130" t="str">
        <f t="shared" si="318"/>
        <v xml:space="preserve"> </v>
      </c>
      <c r="AZ576" s="130" t="str">
        <f t="shared" si="318"/>
        <v xml:space="preserve"> </v>
      </c>
      <c r="BA576" s="121">
        <f t="shared" si="297"/>
        <v>0</v>
      </c>
      <c r="BB576" s="121">
        <f t="shared" si="298"/>
        <v>0</v>
      </c>
      <c r="BC576" s="121">
        <f t="shared" si="299"/>
        <v>0</v>
      </c>
      <c r="BD576" s="121">
        <f t="shared" si="300"/>
        <v>0</v>
      </c>
      <c r="BE576" s="121">
        <f t="shared" si="301"/>
        <v>0</v>
      </c>
      <c r="BF576" s="121">
        <f t="shared" si="302"/>
        <v>0</v>
      </c>
      <c r="BG576" s="121">
        <f t="shared" si="303"/>
        <v>0</v>
      </c>
      <c r="BH576" s="121">
        <f t="shared" si="304"/>
        <v>0</v>
      </c>
      <c r="BI576" s="121">
        <f t="shared" si="305"/>
        <v>0</v>
      </c>
      <c r="BJ576" s="121">
        <f t="shared" si="306"/>
        <v>0</v>
      </c>
      <c r="BK576" s="121">
        <f t="shared" si="307"/>
        <v>0</v>
      </c>
      <c r="BL576" s="121">
        <f t="shared" si="308"/>
        <v>0</v>
      </c>
      <c r="BM576" s="121">
        <f t="shared" si="309"/>
        <v>0</v>
      </c>
      <c r="BN576" s="121">
        <f t="shared" si="310"/>
        <v>0</v>
      </c>
      <c r="BO576" s="121">
        <f t="shared" si="311"/>
        <v>0</v>
      </c>
      <c r="BP576" s="121">
        <f t="shared" si="312"/>
        <v>0</v>
      </c>
      <c r="BQ576" s="199">
        <f>INDEX('GDP deflators'!$C$6:$M$36,MATCH('Bottom-up tagging'!$D576,'GDP deflators'!$B$6:$B$36,),MATCH('Bottom-up tagging'!$E576,'GDP deflators'!$C$5:$L$5,))/100</f>
        <v>1.6336692514456523</v>
      </c>
    </row>
    <row r="577" spans="2:69" ht="26.15" customHeight="1">
      <c r="B577" s="110" t="s">
        <v>1196</v>
      </c>
      <c r="C577" s="110" t="s">
        <v>389</v>
      </c>
      <c r="D577" s="110" t="s">
        <v>5391</v>
      </c>
      <c r="E577" s="103">
        <v>2017</v>
      </c>
      <c r="F577" s="108" t="s">
        <v>6021</v>
      </c>
      <c r="G577" s="111" t="s">
        <v>184</v>
      </c>
      <c r="H577" s="110" t="s">
        <v>10451</v>
      </c>
      <c r="I577" s="112">
        <f>IF(Dashboard!$B$16="Current USD",'Bottom-up tagging'!BR577,'Bottom-up tagging'!BR577/'Bottom-up tagging'!BQ577)</f>
        <v>0</v>
      </c>
      <c r="J577" s="112"/>
      <c r="K577" s="112"/>
      <c r="L577" s="135">
        <v>1</v>
      </c>
      <c r="M577" s="135">
        <v>1</v>
      </c>
      <c r="N577" s="112"/>
      <c r="O577" s="112"/>
      <c r="P577" s="112" t="str">
        <f>VLOOKUP(B577, 'Companies covered restructured'!$B$7:$K$470, 9, FALSE)</f>
        <v>Farmer financing services</v>
      </c>
      <c r="Q577" s="112" t="str">
        <f>VLOOKUP(B577, 'Companies covered restructured'!$B$7:$K$470, 6, FALSE)</f>
        <v>#Crops(100)</v>
      </c>
      <c r="R577" s="112" t="str">
        <f t="shared" si="284"/>
        <v>N/A</v>
      </c>
      <c r="S577" s="112" t="s">
        <v>11003</v>
      </c>
      <c r="T577" s="112" t="s">
        <v>10465</v>
      </c>
      <c r="U577" s="103" t="s">
        <v>10970</v>
      </c>
      <c r="V577" s="112" t="str">
        <f>VLOOKUP(P577, 'Bottom-up Tagging Assumptions'!$B$12:$F$39, 5, FALSE)</f>
        <v>#Process Innovation(100)</v>
      </c>
      <c r="W577" s="112" t="str">
        <f>VLOOKUP(B577, 'Companies covered restructured'!$B$7:$K$470, 7, FALSE)</f>
        <v>#Field/Animal Herd(100)</v>
      </c>
      <c r="X577" s="112" t="s">
        <v>10558</v>
      </c>
      <c r="Y577" s="212" t="str">
        <f>VLOOKUP(P577, 'Bottom-up Tagging Assumptions'!$B$12:$C$56, 2, FALSE)</f>
        <v>#Other Economic(P); Social(S)</v>
      </c>
      <c r="Z577" s="112" t="str">
        <f>VLOOKUP(P577, 'Bottom-up Tagging Assumptions'!$B$12:$F$56, 3, FALSE)</f>
        <v>NA</v>
      </c>
      <c r="AA577" s="112" t="str">
        <f>VLOOKUP(P577, 'Bottom-up Tagging Assumptions'!$B$12:$F$56, 4, FALSE)</f>
        <v>#Level 1(100)</v>
      </c>
      <c r="AB577" s="110" t="s">
        <v>2082</v>
      </c>
      <c r="AC577" s="110"/>
      <c r="AD577" s="110"/>
      <c r="AE577" s="110" t="s">
        <v>10558</v>
      </c>
      <c r="AF577" s="112"/>
      <c r="AG577" s="110" t="s">
        <v>549</v>
      </c>
      <c r="AH577" s="121">
        <f t="shared" si="285"/>
        <v>0</v>
      </c>
      <c r="AI577" s="121">
        <f t="shared" si="286"/>
        <v>0</v>
      </c>
      <c r="AJ577" s="121">
        <f t="shared" si="287"/>
        <v>1</v>
      </c>
      <c r="AK577" s="121">
        <f t="shared" si="288"/>
        <v>1</v>
      </c>
      <c r="AL577" s="121">
        <f t="shared" si="289"/>
        <v>0</v>
      </c>
      <c r="AM577" s="121">
        <f t="shared" si="290"/>
        <v>0</v>
      </c>
      <c r="AN577" s="121">
        <f t="shared" si="291"/>
        <v>1</v>
      </c>
      <c r="AO577" s="121">
        <f t="shared" si="292"/>
        <v>0</v>
      </c>
      <c r="AP577" s="22">
        <f t="shared" si="293"/>
        <v>0</v>
      </c>
      <c r="AQ577" s="22">
        <f t="shared" si="294"/>
        <v>0</v>
      </c>
      <c r="AR577" s="22">
        <f t="shared" si="295"/>
        <v>0</v>
      </c>
      <c r="AS577" s="121" t="str">
        <f t="shared" si="296"/>
        <v>Crops</v>
      </c>
      <c r="AT577" s="121" t="str">
        <f t="shared" si="317"/>
        <v xml:space="preserve"> </v>
      </c>
      <c r="AU577" s="121" t="str">
        <f t="shared" si="317"/>
        <v xml:space="preserve"> </v>
      </c>
      <c r="AV577" s="121" t="str">
        <f t="shared" si="317"/>
        <v xml:space="preserve"> </v>
      </c>
      <c r="AW577" s="130" t="str">
        <f t="shared" si="318"/>
        <v>100</v>
      </c>
      <c r="AX577" s="130" t="str">
        <f t="shared" si="318"/>
        <v xml:space="preserve"> </v>
      </c>
      <c r="AY577" s="130" t="str">
        <f t="shared" si="318"/>
        <v xml:space="preserve"> </v>
      </c>
      <c r="AZ577" s="130" t="str">
        <f t="shared" si="318"/>
        <v xml:space="preserve"> </v>
      </c>
      <c r="BA577" s="121">
        <f t="shared" si="297"/>
        <v>0</v>
      </c>
      <c r="BB577" s="121">
        <f t="shared" si="298"/>
        <v>0</v>
      </c>
      <c r="BC577" s="121">
        <f t="shared" si="299"/>
        <v>0</v>
      </c>
      <c r="BD577" s="121">
        <f t="shared" si="300"/>
        <v>0</v>
      </c>
      <c r="BE577" s="121">
        <f t="shared" si="301"/>
        <v>0</v>
      </c>
      <c r="BF577" s="121">
        <f t="shared" si="302"/>
        <v>0</v>
      </c>
      <c r="BG577" s="121">
        <f t="shared" si="303"/>
        <v>0</v>
      </c>
      <c r="BH577" s="121">
        <f t="shared" si="304"/>
        <v>0</v>
      </c>
      <c r="BI577" s="121">
        <f t="shared" si="305"/>
        <v>0</v>
      </c>
      <c r="BJ577" s="121">
        <f t="shared" si="306"/>
        <v>0</v>
      </c>
      <c r="BK577" s="121">
        <f t="shared" si="307"/>
        <v>0</v>
      </c>
      <c r="BL577" s="121">
        <f t="shared" si="308"/>
        <v>0</v>
      </c>
      <c r="BM577" s="121">
        <f t="shared" si="309"/>
        <v>0</v>
      </c>
      <c r="BN577" s="121">
        <f t="shared" si="310"/>
        <v>0</v>
      </c>
      <c r="BO577" s="121">
        <f t="shared" si="311"/>
        <v>0</v>
      </c>
      <c r="BP577" s="121">
        <f t="shared" si="312"/>
        <v>0</v>
      </c>
      <c r="BQ577" s="199">
        <f>INDEX('GDP deflators'!$C$6:$M$36,MATCH('Bottom-up tagging'!$D577,'GDP deflators'!$B$6:$B$36,),MATCH('Bottom-up tagging'!$E577,'GDP deflators'!$C$5:$L$5,))/100</f>
        <v>1.7745439388375148</v>
      </c>
    </row>
    <row r="580" spans="2:69">
      <c r="I580" s="101"/>
    </row>
  </sheetData>
  <autoFilter ref="B11:BR577" xr:uid="{B35036C8-DB38-459D-B3E9-13052909D03B}">
    <filterColumn colId="2">
      <filters>
        <filter val="Kenya"/>
      </filters>
    </filterColumn>
  </autoFilter>
  <sortState xmlns:xlrd2="http://schemas.microsoft.com/office/spreadsheetml/2017/richdata2" ref="B12:AG577">
    <sortCondition descending="1" ref="I12:I577"/>
  </sortState>
  <mergeCells count="2">
    <mergeCell ref="B8:F8"/>
    <mergeCell ref="B7:F7"/>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DD922-FB06-4BCF-BD27-B7416B6CAF2D}">
  <sheetPr>
    <tabColor theme="7" tint="0.59999389629810485"/>
  </sheetPr>
  <dimension ref="B2:X260"/>
  <sheetViews>
    <sheetView zoomScale="50" zoomScaleNormal="50" workbookViewId="0">
      <selection activeCell="B7" sqref="B7"/>
    </sheetView>
  </sheetViews>
  <sheetFormatPr defaultRowHeight="14.5"/>
  <cols>
    <col min="2" max="2" width="32.26953125" customWidth="1"/>
    <col min="3" max="3" width="11.1796875" bestFit="1" customWidth="1"/>
    <col min="4" max="4" width="16.7265625" bestFit="1" customWidth="1"/>
    <col min="5" max="5" width="15.1796875" bestFit="1" customWidth="1"/>
    <col min="6" max="6" width="14.1796875" bestFit="1" customWidth="1"/>
    <col min="7" max="7" width="11.1796875" bestFit="1" customWidth="1"/>
    <col min="8" max="10" width="12.26953125" bestFit="1" customWidth="1"/>
    <col min="11" max="11" width="13.453125" bestFit="1" customWidth="1"/>
    <col min="12" max="12" width="12.26953125" bestFit="1" customWidth="1"/>
    <col min="13" max="13" width="9.1796875" customWidth="1"/>
    <col min="14" max="22" width="9.26953125" bestFit="1" customWidth="1"/>
    <col min="23" max="23" width="18.81640625" customWidth="1"/>
  </cols>
  <sheetData>
    <row r="2" spans="2:23">
      <c r="B2" s="203" t="s">
        <v>11155</v>
      </c>
    </row>
    <row r="4" spans="2:23" s="22" customFormat="1">
      <c r="C4" s="254" t="s">
        <v>11121</v>
      </c>
      <c r="D4" s="254"/>
      <c r="E4" s="254"/>
      <c r="F4" s="254"/>
      <c r="G4" s="254"/>
      <c r="H4" s="254"/>
      <c r="I4" s="254"/>
      <c r="J4" s="254"/>
      <c r="K4" s="254"/>
      <c r="L4" s="254"/>
      <c r="N4" s="254" t="s">
        <v>11122</v>
      </c>
      <c r="O4" s="254"/>
      <c r="P4" s="254"/>
      <c r="Q4" s="254"/>
      <c r="R4" s="254"/>
      <c r="S4" s="254"/>
      <c r="T4" s="254"/>
      <c r="U4" s="254"/>
      <c r="V4" s="254"/>
      <c r="W4" s="254"/>
    </row>
    <row r="5" spans="2:23" s="22" customFormat="1"/>
    <row r="6" spans="2:23">
      <c r="C6" s="63">
        <v>2010</v>
      </c>
      <c r="D6" s="63">
        <f>C6+1</f>
        <v>2011</v>
      </c>
      <c r="E6" s="63">
        <f t="shared" ref="E6:L6" si="0">D6+1</f>
        <v>2012</v>
      </c>
      <c r="F6" s="63">
        <f t="shared" si="0"/>
        <v>2013</v>
      </c>
      <c r="G6" s="63">
        <f t="shared" si="0"/>
        <v>2014</v>
      </c>
      <c r="H6" s="63">
        <f t="shared" si="0"/>
        <v>2015</v>
      </c>
      <c r="I6" s="63">
        <f t="shared" si="0"/>
        <v>2016</v>
      </c>
      <c r="J6" s="63">
        <f t="shared" si="0"/>
        <v>2017</v>
      </c>
      <c r="K6" s="63">
        <f t="shared" si="0"/>
        <v>2018</v>
      </c>
      <c r="L6" s="63">
        <f t="shared" si="0"/>
        <v>2019</v>
      </c>
      <c r="N6" s="63">
        <v>2010</v>
      </c>
      <c r="O6" s="63">
        <f>N6+1</f>
        <v>2011</v>
      </c>
      <c r="P6" s="63">
        <f t="shared" ref="P6:W6" si="1">O6+1</f>
        <v>2012</v>
      </c>
      <c r="Q6" s="63">
        <f t="shared" si="1"/>
        <v>2013</v>
      </c>
      <c r="R6" s="63">
        <f t="shared" si="1"/>
        <v>2014</v>
      </c>
      <c r="S6" s="63">
        <f t="shared" si="1"/>
        <v>2015</v>
      </c>
      <c r="T6" s="63">
        <f t="shared" si="1"/>
        <v>2016</v>
      </c>
      <c r="U6" s="63">
        <f t="shared" si="1"/>
        <v>2017</v>
      </c>
      <c r="V6" s="63">
        <f t="shared" si="1"/>
        <v>2018</v>
      </c>
      <c r="W6" s="63">
        <f t="shared" si="1"/>
        <v>2019</v>
      </c>
    </row>
    <row r="7" spans="2:23" s="22" customFormat="1">
      <c r="B7" s="63" t="s">
        <v>11042</v>
      </c>
      <c r="C7" s="103">
        <f>SUMIFS('Bottom-up tagging'!$I:$I,'Bottom-up tagging'!$E:$E,'Analysis of bottom-up tags'!C$6)</f>
        <v>93648949</v>
      </c>
      <c r="D7" s="103">
        <f>SUMIFS('Bottom-up tagging'!$I:$I,'Bottom-up tagging'!$E:$E,'Analysis of bottom-up tags'!D$6)</f>
        <v>80805408.38411133</v>
      </c>
      <c r="E7" s="103">
        <f>SUMIFS('Bottom-up tagging'!$I:$I,'Bottom-up tagging'!$E:$E,'Analysis of bottom-up tags'!E$6)</f>
        <v>7708860.2841468025</v>
      </c>
      <c r="F7" s="103">
        <f>SUMIFS('Bottom-up tagging'!$I:$I,'Bottom-up tagging'!$E:$E,'Analysis of bottom-up tags'!F$6)</f>
        <v>36167413.553574018</v>
      </c>
      <c r="G7" s="103">
        <f>SUMIFS('Bottom-up tagging'!$I:$I,'Bottom-up tagging'!$E:$E,'Analysis of bottom-up tags'!G$6)</f>
        <v>40696737.184165478</v>
      </c>
      <c r="H7" s="103">
        <f>SUMIFS('Bottom-up tagging'!$I:$I,'Bottom-up tagging'!$E:$E,'Analysis of bottom-up tags'!H$6)</f>
        <v>199837168.75877509</v>
      </c>
      <c r="I7" s="103">
        <f>SUMIFS('Bottom-up tagging'!$I:$I,'Bottom-up tagging'!$E:$E,'Analysis of bottom-up tags'!I$6)</f>
        <v>366095058.06725699</v>
      </c>
      <c r="J7" s="103">
        <f>SUMIFS('Bottom-up tagging'!$I:$I,'Bottom-up tagging'!$E:$E,'Analysis of bottom-up tags'!J$6)</f>
        <v>208468803.37614053</v>
      </c>
      <c r="K7" s="103">
        <f>SUMIFS('Bottom-up tagging'!$I:$I,'Bottom-up tagging'!$E:$E,'Analysis of bottom-up tags'!K$6)</f>
        <v>1091348760.797915</v>
      </c>
      <c r="L7" s="103">
        <f>SUMIFS('Bottom-up tagging'!$I:$I,'Bottom-up tagging'!$E:$E,'Analysis of bottom-up tags'!L$6)</f>
        <v>270562965.39212143</v>
      </c>
      <c r="N7" s="101">
        <f t="shared" ref="N7:W7" si="2">C7/C$7</f>
        <v>1</v>
      </c>
      <c r="O7" s="101">
        <f t="shared" si="2"/>
        <v>1</v>
      </c>
      <c r="P7" s="101">
        <f t="shared" si="2"/>
        <v>1</v>
      </c>
      <c r="Q7" s="101">
        <f t="shared" si="2"/>
        <v>1</v>
      </c>
      <c r="R7" s="101">
        <f t="shared" si="2"/>
        <v>1</v>
      </c>
      <c r="S7" s="101">
        <f t="shared" si="2"/>
        <v>1</v>
      </c>
      <c r="T7" s="101">
        <f t="shared" si="2"/>
        <v>1</v>
      </c>
      <c r="U7" s="101">
        <f t="shared" si="2"/>
        <v>1</v>
      </c>
      <c r="V7" s="101">
        <f t="shared" si="2"/>
        <v>1</v>
      </c>
      <c r="W7" s="101">
        <f t="shared" si="2"/>
        <v>1</v>
      </c>
    </row>
    <row r="8" spans="2:23" s="22" customFormat="1">
      <c r="C8" s="63"/>
      <c r="D8" s="63"/>
      <c r="E8" s="63"/>
      <c r="F8" s="63"/>
      <c r="G8" s="63"/>
      <c r="H8" s="63"/>
      <c r="I8" s="63"/>
      <c r="J8" s="63"/>
      <c r="K8" s="63"/>
      <c r="L8" s="63"/>
    </row>
    <row r="9" spans="2:23">
      <c r="B9" s="170" t="s">
        <v>10460</v>
      </c>
      <c r="C9" s="140"/>
      <c r="D9" s="140"/>
      <c r="E9" s="140"/>
      <c r="F9" s="140"/>
      <c r="G9" s="140"/>
      <c r="H9" s="140"/>
      <c r="I9" s="140"/>
      <c r="J9" s="140"/>
      <c r="K9" s="140"/>
      <c r="L9" s="140"/>
      <c r="M9" s="140"/>
      <c r="N9" s="171">
        <f>SUM(N10:N15)</f>
        <v>1</v>
      </c>
      <c r="O9" s="171">
        <f t="shared" ref="O9:W9" si="3">SUM(O10:O15)</f>
        <v>1</v>
      </c>
      <c r="P9" s="171">
        <f t="shared" si="3"/>
        <v>0.99999999999999989</v>
      </c>
      <c r="Q9" s="171">
        <f t="shared" si="3"/>
        <v>1</v>
      </c>
      <c r="R9" s="171">
        <f t="shared" si="3"/>
        <v>0.99999999999999989</v>
      </c>
      <c r="S9" s="171">
        <f t="shared" si="3"/>
        <v>1.0000000000000004</v>
      </c>
      <c r="T9" s="171">
        <f t="shared" si="3"/>
        <v>1.0000000000000002</v>
      </c>
      <c r="U9" s="171">
        <f t="shared" si="3"/>
        <v>0.99999999999999956</v>
      </c>
      <c r="V9" s="171">
        <f t="shared" si="3"/>
        <v>0.99999999999999933</v>
      </c>
      <c r="W9" s="171">
        <f t="shared" si="3"/>
        <v>0.99999999999999967</v>
      </c>
    </row>
    <row r="10" spans="2:23">
      <c r="B10" s="64" t="s">
        <v>10621</v>
      </c>
      <c r="C10">
        <f>SUMIFS('Bottom-up tagging'!$BA:$BA,'Bottom-up tagging'!$AS:$AS,'Analysis of bottom-up tags'!$B10,'Bottom-up tagging'!$E:$E,'Analysis of bottom-up tags'!C$6)+SUMIFS('Bottom-up tagging'!$BB:$BB,'Bottom-up tagging'!$AT:$AT,'Analysis of bottom-up tags'!$B10,'Bottom-up tagging'!$E:$E,'Analysis of bottom-up tags'!C$6)+SUMIFS('Bottom-up tagging'!$BC:$BC,'Bottom-up tagging'!$AU:$AU,'Analysis of bottom-up tags'!$B10,'Bottom-up tagging'!$E:$E,'Analysis of bottom-up tags'!C$6)+SUMIFS('Bottom-up tagging'!$BD:$BD,'Bottom-up tagging'!$AV:$AV,'Analysis of bottom-up tags'!$B10,'Bottom-up tagging'!$E:$E,'Analysis of bottom-up tags'!C$6)</f>
        <v>1000000</v>
      </c>
      <c r="D10" s="22">
        <f>SUMIFS('Bottom-up tagging'!$BA:$BA,'Bottom-up tagging'!$AS:$AS,'Analysis of bottom-up tags'!$B10,'Bottom-up tagging'!$E:$E,'Analysis of bottom-up tags'!D$6)+SUMIFS('Bottom-up tagging'!$BB:$BB,'Bottom-up tagging'!$AT:$AT,'Analysis of bottom-up tags'!$B10,'Bottom-up tagging'!$E:$E,'Analysis of bottom-up tags'!D$6)+SUMIFS('Bottom-up tagging'!$BC:$BC,'Bottom-up tagging'!$AU:$AU,'Analysis of bottom-up tags'!$B10,'Bottom-up tagging'!$E:$E,'Analysis of bottom-up tags'!D$6)+SUMIFS('Bottom-up tagging'!$BD:$BD,'Bottom-up tagging'!$AV:$AV,'Analysis of bottom-up tags'!$B10,'Bottom-up tagging'!$E:$E,'Analysis of bottom-up tags'!D$6)</f>
        <v>0</v>
      </c>
      <c r="E10" s="22">
        <f>SUMIFS('Bottom-up tagging'!$BA:$BA,'Bottom-up tagging'!$AS:$AS,'Analysis of bottom-up tags'!$B10,'Bottom-up tagging'!$E:$E,'Analysis of bottom-up tags'!E$6)+SUMIFS('Bottom-up tagging'!$BB:$BB,'Bottom-up tagging'!$AT:$AT,'Analysis of bottom-up tags'!$B10,'Bottom-up tagging'!$E:$E,'Analysis of bottom-up tags'!E$6)+SUMIFS('Bottom-up tagging'!$BC:$BC,'Bottom-up tagging'!$AU:$AU,'Analysis of bottom-up tags'!$B10,'Bottom-up tagging'!$E:$E,'Analysis of bottom-up tags'!E$6)+SUMIFS('Bottom-up tagging'!$BD:$BD,'Bottom-up tagging'!$AV:$AV,'Analysis of bottom-up tags'!$B10,'Bottom-up tagging'!$E:$E,'Analysis of bottom-up tags'!E$6)</f>
        <v>1237765.2136678048</v>
      </c>
      <c r="F10" s="22">
        <f>SUMIFS('Bottom-up tagging'!$BA:$BA,'Bottom-up tagging'!$AS:$AS,'Analysis of bottom-up tags'!$B10,'Bottom-up tagging'!$E:$E,'Analysis of bottom-up tags'!F$6)+SUMIFS('Bottom-up tagging'!$BB:$BB,'Bottom-up tagging'!$AT:$AT,'Analysis of bottom-up tags'!$B10,'Bottom-up tagging'!$E:$E,'Analysis of bottom-up tags'!F$6)+SUMIFS('Bottom-up tagging'!$BC:$BC,'Bottom-up tagging'!$AU:$AU,'Analysis of bottom-up tags'!$B10,'Bottom-up tagging'!$E:$E,'Analysis of bottom-up tags'!F$6)+SUMIFS('Bottom-up tagging'!$BD:$BD,'Bottom-up tagging'!$AV:$AV,'Analysis of bottom-up tags'!$B10,'Bottom-up tagging'!$E:$E,'Analysis of bottom-up tags'!F$6)</f>
        <v>0</v>
      </c>
      <c r="G10" s="22">
        <f>SUMIFS('Bottom-up tagging'!$BA:$BA,'Bottom-up tagging'!$AS:$AS,'Analysis of bottom-up tags'!$B10,'Bottom-up tagging'!$E:$E,'Analysis of bottom-up tags'!G$6)+SUMIFS('Bottom-up tagging'!$BB:$BB,'Bottom-up tagging'!$AT:$AT,'Analysis of bottom-up tags'!$B10,'Bottom-up tagging'!$E:$E,'Analysis of bottom-up tags'!G$6)+SUMIFS('Bottom-up tagging'!$BC:$BC,'Bottom-up tagging'!$AU:$AU,'Analysis of bottom-up tags'!$B10,'Bottom-up tagging'!$E:$E,'Analysis of bottom-up tags'!G$6)+SUMIFS('Bottom-up tagging'!$BD:$BD,'Bottom-up tagging'!$AV:$AV,'Analysis of bottom-up tags'!$B10,'Bottom-up tagging'!$E:$E,'Analysis of bottom-up tags'!G$6)</f>
        <v>2295111.4034610558</v>
      </c>
      <c r="H10" s="22">
        <f>SUMIFS('Bottom-up tagging'!$BA:$BA,'Bottom-up tagging'!$AS:$AS,'Analysis of bottom-up tags'!$B10,'Bottom-up tagging'!$E:$E,'Analysis of bottom-up tags'!H$6)+SUMIFS('Bottom-up tagging'!$BB:$BB,'Bottom-up tagging'!$AT:$AT,'Analysis of bottom-up tags'!$B10,'Bottom-up tagging'!$E:$E,'Analysis of bottom-up tags'!H$6)+SUMIFS('Bottom-up tagging'!$BC:$BC,'Bottom-up tagging'!$AU:$AU,'Analysis of bottom-up tags'!$B10,'Bottom-up tagging'!$E:$E,'Analysis of bottom-up tags'!H$6)+SUMIFS('Bottom-up tagging'!$BD:$BD,'Bottom-up tagging'!$AV:$AV,'Analysis of bottom-up tags'!$B10,'Bottom-up tagging'!$E:$E,'Analysis of bottom-up tags'!H$6)</f>
        <v>44485519.071468294</v>
      </c>
      <c r="I10" s="22">
        <f>SUMIFS('Bottom-up tagging'!$BA:$BA,'Bottom-up tagging'!$AS:$AS,'Analysis of bottom-up tags'!$B10,'Bottom-up tagging'!$E:$E,'Analysis of bottom-up tags'!I$6)+SUMIFS('Bottom-up tagging'!$BB:$BB,'Bottom-up tagging'!$AT:$AT,'Analysis of bottom-up tags'!$B10,'Bottom-up tagging'!$E:$E,'Analysis of bottom-up tags'!I$6)+SUMIFS('Bottom-up tagging'!$BC:$BC,'Bottom-up tagging'!$AU:$AU,'Analysis of bottom-up tags'!$B10,'Bottom-up tagging'!$E:$E,'Analysis of bottom-up tags'!I$6)+SUMIFS('Bottom-up tagging'!$BD:$BD,'Bottom-up tagging'!$AV:$AV,'Analysis of bottom-up tags'!$B10,'Bottom-up tagging'!$E:$E,'Analysis of bottom-up tags'!I$6)</f>
        <v>201073560.22273123</v>
      </c>
      <c r="J10" s="22">
        <f>SUMIFS('Bottom-up tagging'!$BA:$BA,'Bottom-up tagging'!$AS:$AS,'Analysis of bottom-up tags'!$B10,'Bottom-up tagging'!$E:$E,'Analysis of bottom-up tags'!J$6)+SUMIFS('Bottom-up tagging'!$BB:$BB,'Bottom-up tagging'!$AT:$AT,'Analysis of bottom-up tags'!$B10,'Bottom-up tagging'!$E:$E,'Analysis of bottom-up tags'!J$6)+SUMIFS('Bottom-up tagging'!$BC:$BC,'Bottom-up tagging'!$AU:$AU,'Analysis of bottom-up tags'!$B10,'Bottom-up tagging'!$E:$E,'Analysis of bottom-up tags'!J$6)+SUMIFS('Bottom-up tagging'!$BD:$BD,'Bottom-up tagging'!$AV:$AV,'Analysis of bottom-up tags'!$B10,'Bottom-up tagging'!$E:$E,'Analysis of bottom-up tags'!J$6)</f>
        <v>2793782.0595388953</v>
      </c>
      <c r="K10" s="22">
        <f>SUMIFS('Bottom-up tagging'!$BA:$BA,'Bottom-up tagging'!$AS:$AS,'Analysis of bottom-up tags'!$B10,'Bottom-up tagging'!$E:$E,'Analysis of bottom-up tags'!K$6)+SUMIFS('Bottom-up tagging'!$BB:$BB,'Bottom-up tagging'!$AT:$AT,'Analysis of bottom-up tags'!$B10,'Bottom-up tagging'!$E:$E,'Analysis of bottom-up tags'!K$6)+SUMIFS('Bottom-up tagging'!$BC:$BC,'Bottom-up tagging'!$AU:$AU,'Analysis of bottom-up tags'!$B10,'Bottom-up tagging'!$E:$E,'Analysis of bottom-up tags'!K$6)+SUMIFS('Bottom-up tagging'!$BD:$BD,'Bottom-up tagging'!$AV:$AV,'Analysis of bottom-up tags'!$B10,'Bottom-up tagging'!$E:$E,'Analysis of bottom-up tags'!K$6)</f>
        <v>842415098.05296135</v>
      </c>
      <c r="L10" s="22">
        <f>SUMIFS('Bottom-up tagging'!$BA:$BA,'Bottom-up tagging'!$AS:$AS,'Analysis of bottom-up tags'!$B10,'Bottom-up tagging'!$E:$E,'Analysis of bottom-up tags'!L$6)+SUMIFS('Bottom-up tagging'!$BB:$BB,'Bottom-up tagging'!$AT:$AT,'Analysis of bottom-up tags'!$B10,'Bottom-up tagging'!$E:$E,'Analysis of bottom-up tags'!L$6)+SUMIFS('Bottom-up tagging'!$BC:$BC,'Bottom-up tagging'!$AU:$AU,'Analysis of bottom-up tags'!$B10,'Bottom-up tagging'!$E:$E,'Analysis of bottom-up tags'!L$6)+SUMIFS('Bottom-up tagging'!$BD:$BD,'Bottom-up tagging'!$AV:$AV,'Analysis of bottom-up tags'!$B10,'Bottom-up tagging'!$E:$E,'Analysis of bottom-up tags'!L$6)</f>
        <v>5601375.4169948436</v>
      </c>
      <c r="N10" s="101">
        <f>C10/C$7</f>
        <v>1.0678176431002979E-2</v>
      </c>
      <c r="O10" s="101">
        <f t="shared" ref="O10:O15" si="4">D10/D$7</f>
        <v>0</v>
      </c>
      <c r="P10" s="101">
        <f t="shared" ref="P10:P15" si="5">E10/E$7</f>
        <v>0.16056397029444899</v>
      </c>
      <c r="Q10" s="101">
        <f t="shared" ref="Q10:Q15" si="6">F10/F$7</f>
        <v>0</v>
      </c>
      <c r="R10" s="101">
        <f t="shared" ref="R10:R15" si="7">G10/G$7</f>
        <v>5.6395464655433138E-2</v>
      </c>
      <c r="S10" s="101">
        <f t="shared" ref="S10:S15" si="8">H10/H$7</f>
        <v>0.22260883372085347</v>
      </c>
      <c r="T10" s="101">
        <f t="shared" ref="T10:T15" si="9">I10/I$7</f>
        <v>0.54923866299716917</v>
      </c>
      <c r="U10" s="101">
        <f t="shared" ref="U10:U15" si="10">J10/J$7</f>
        <v>1.340143951657875E-2</v>
      </c>
      <c r="V10" s="101">
        <f t="shared" ref="V10:V15" si="11">K10/K$7</f>
        <v>0.77190273935625175</v>
      </c>
      <c r="W10" s="101">
        <f t="shared" ref="W10:W15" si="12">L10/L$7</f>
        <v>2.0702668633443173E-2</v>
      </c>
    </row>
    <row r="11" spans="2:23">
      <c r="B11" s="64" t="s">
        <v>11108</v>
      </c>
      <c r="C11" s="22">
        <f>SUMIFS('Bottom-up tagging'!$BA:$BA,'Bottom-up tagging'!$AS:$AS,'Analysis of bottom-up tags'!$B11,'Bottom-up tagging'!$E:$E,'Analysis of bottom-up tags'!C$6)+SUMIFS('Bottom-up tagging'!$BB:$BB,'Bottom-up tagging'!$AT:$AT,'Analysis of bottom-up tags'!$B11,'Bottom-up tagging'!$E:$E,'Analysis of bottom-up tags'!C$6)+SUMIFS('Bottom-up tagging'!$BC:$BC,'Bottom-up tagging'!$AU:$AU,'Analysis of bottom-up tags'!$B11,'Bottom-up tagging'!$E:$E,'Analysis of bottom-up tags'!C$6)+SUMIFS('Bottom-up tagging'!$BD:$BD,'Bottom-up tagging'!$AV:$AV,'Analysis of bottom-up tags'!$B11,'Bottom-up tagging'!$E:$E,'Analysis of bottom-up tags'!C$6)</f>
        <v>92648949</v>
      </c>
      <c r="D11" s="22">
        <f>SUMIFS('Bottom-up tagging'!$BA:$BA,'Bottom-up tagging'!$AS:$AS,'Analysis of bottom-up tags'!$B11,'Bottom-up tagging'!$E:$E,'Analysis of bottom-up tags'!D$6)+SUMIFS('Bottom-up tagging'!$BB:$BB,'Bottom-up tagging'!$AT:$AT,'Analysis of bottom-up tags'!$B11,'Bottom-up tagging'!$E:$E,'Analysis of bottom-up tags'!D$6)+SUMIFS('Bottom-up tagging'!$BC:$BC,'Bottom-up tagging'!$AU:$AU,'Analysis of bottom-up tags'!$B11,'Bottom-up tagging'!$E:$E,'Analysis of bottom-up tags'!D$6)+SUMIFS('Bottom-up tagging'!$BD:$BD,'Bottom-up tagging'!$AV:$AV,'Analysis of bottom-up tags'!$B11,'Bottom-up tagging'!$E:$E,'Analysis of bottom-up tags'!D$6)</f>
        <v>80403100.276121661</v>
      </c>
      <c r="E11" s="22">
        <f>SUMIFS('Bottom-up tagging'!$BA:$BA,'Bottom-up tagging'!$AS:$AS,'Analysis of bottom-up tags'!$B11,'Bottom-up tagging'!$E:$E,'Analysis of bottom-up tags'!E$6)+SUMIFS('Bottom-up tagging'!$BB:$BB,'Bottom-up tagging'!$AT:$AT,'Analysis of bottom-up tags'!$B11,'Bottom-up tagging'!$E:$E,'Analysis of bottom-up tags'!E$6)+SUMIFS('Bottom-up tagging'!$BC:$BC,'Bottom-up tagging'!$AU:$AU,'Analysis of bottom-up tags'!$B11,'Bottom-up tagging'!$E:$E,'Analysis of bottom-up tags'!E$6)+SUMIFS('Bottom-up tagging'!$BD:$BD,'Bottom-up tagging'!$AV:$AV,'Analysis of bottom-up tags'!$B11,'Bottom-up tagging'!$E:$E,'Analysis of bottom-up tags'!E$6)</f>
        <v>6471095.0704789963</v>
      </c>
      <c r="F11" s="22">
        <f>SUMIFS('Bottom-up tagging'!$BA:$BA,'Bottom-up tagging'!$AS:$AS,'Analysis of bottom-up tags'!$B11,'Bottom-up tagging'!$E:$E,'Analysis of bottom-up tags'!F$6)+SUMIFS('Bottom-up tagging'!$BB:$BB,'Bottom-up tagging'!$AT:$AT,'Analysis of bottom-up tags'!$B11,'Bottom-up tagging'!$E:$E,'Analysis of bottom-up tags'!F$6)+SUMIFS('Bottom-up tagging'!$BC:$BC,'Bottom-up tagging'!$AU:$AU,'Analysis of bottom-up tags'!$B11,'Bottom-up tagging'!$E:$E,'Analysis of bottom-up tags'!F$6)+SUMIFS('Bottom-up tagging'!$BD:$BD,'Bottom-up tagging'!$AV:$AV,'Analysis of bottom-up tags'!$B11,'Bottom-up tagging'!$E:$E,'Analysis of bottom-up tags'!F$6)</f>
        <v>34411362.075241782</v>
      </c>
      <c r="G11" s="22">
        <f>SUMIFS('Bottom-up tagging'!$BA:$BA,'Bottom-up tagging'!$AS:$AS,'Analysis of bottom-up tags'!$B11,'Bottom-up tagging'!$E:$E,'Analysis of bottom-up tags'!G$6)+SUMIFS('Bottom-up tagging'!$BB:$BB,'Bottom-up tagging'!$AT:$AT,'Analysis of bottom-up tags'!$B11,'Bottom-up tagging'!$E:$E,'Analysis of bottom-up tags'!G$6)+SUMIFS('Bottom-up tagging'!$BC:$BC,'Bottom-up tagging'!$AU:$AU,'Analysis of bottom-up tags'!$B11,'Bottom-up tagging'!$E:$E,'Analysis of bottom-up tags'!G$6)+SUMIFS('Bottom-up tagging'!$BD:$BD,'Bottom-up tagging'!$AV:$AV,'Analysis of bottom-up tags'!$B11,'Bottom-up tagging'!$E:$E,'Analysis of bottom-up tags'!G$6)</f>
        <v>38352347.556831673</v>
      </c>
      <c r="H11" s="22">
        <f>SUMIFS('Bottom-up tagging'!$BA:$BA,'Bottom-up tagging'!$AS:$AS,'Analysis of bottom-up tags'!$B11,'Bottom-up tagging'!$E:$E,'Analysis of bottom-up tags'!H$6)+SUMIFS('Bottom-up tagging'!$BB:$BB,'Bottom-up tagging'!$AT:$AT,'Analysis of bottom-up tags'!$B11,'Bottom-up tagging'!$E:$E,'Analysis of bottom-up tags'!H$6)+SUMIFS('Bottom-up tagging'!$BC:$BC,'Bottom-up tagging'!$AU:$AU,'Analysis of bottom-up tags'!$B11,'Bottom-up tagging'!$E:$E,'Analysis of bottom-up tags'!H$6)+SUMIFS('Bottom-up tagging'!$BD:$BD,'Bottom-up tagging'!$AV:$AV,'Analysis of bottom-up tags'!$B11,'Bottom-up tagging'!$E:$E,'Analysis of bottom-up tags'!H$6)</f>
        <v>131789131.60393859</v>
      </c>
      <c r="I11" s="22">
        <f>SUMIFS('Bottom-up tagging'!$BA:$BA,'Bottom-up tagging'!$AS:$AS,'Analysis of bottom-up tags'!$B11,'Bottom-up tagging'!$E:$E,'Analysis of bottom-up tags'!I$6)+SUMIFS('Bottom-up tagging'!$BB:$BB,'Bottom-up tagging'!$AT:$AT,'Analysis of bottom-up tags'!$B11,'Bottom-up tagging'!$E:$E,'Analysis of bottom-up tags'!I$6)+SUMIFS('Bottom-up tagging'!$BC:$BC,'Bottom-up tagging'!$AU:$AU,'Analysis of bottom-up tags'!$B11,'Bottom-up tagging'!$E:$E,'Analysis of bottom-up tags'!I$6)+SUMIFS('Bottom-up tagging'!$BD:$BD,'Bottom-up tagging'!$AV:$AV,'Analysis of bottom-up tags'!$B11,'Bottom-up tagging'!$E:$E,'Analysis of bottom-up tags'!I$6)</f>
        <v>143637160.24784139</v>
      </c>
      <c r="J11" s="22">
        <f>SUMIFS('Bottom-up tagging'!$BA:$BA,'Bottom-up tagging'!$AS:$AS,'Analysis of bottom-up tags'!$B11,'Bottom-up tagging'!$E:$E,'Analysis of bottom-up tags'!J$6)+SUMIFS('Bottom-up tagging'!$BB:$BB,'Bottom-up tagging'!$AT:$AT,'Analysis of bottom-up tags'!$B11,'Bottom-up tagging'!$E:$E,'Analysis of bottom-up tags'!J$6)+SUMIFS('Bottom-up tagging'!$BC:$BC,'Bottom-up tagging'!$AU:$AU,'Analysis of bottom-up tags'!$B11,'Bottom-up tagging'!$E:$E,'Analysis of bottom-up tags'!J$6)+SUMIFS('Bottom-up tagging'!$BD:$BD,'Bottom-up tagging'!$AV:$AV,'Analysis of bottom-up tags'!$B11,'Bottom-up tagging'!$E:$E,'Analysis of bottom-up tags'!J$6)</f>
        <v>185522554.26643628</v>
      </c>
      <c r="K11" s="22">
        <f>SUMIFS('Bottom-up tagging'!$BA:$BA,'Bottom-up tagging'!$AS:$AS,'Analysis of bottom-up tags'!$B11,'Bottom-up tagging'!$E:$E,'Analysis of bottom-up tags'!K$6)+SUMIFS('Bottom-up tagging'!$BB:$BB,'Bottom-up tagging'!$AT:$AT,'Analysis of bottom-up tags'!$B11,'Bottom-up tagging'!$E:$E,'Analysis of bottom-up tags'!K$6)+SUMIFS('Bottom-up tagging'!$BC:$BC,'Bottom-up tagging'!$AU:$AU,'Analysis of bottom-up tags'!$B11,'Bottom-up tagging'!$E:$E,'Analysis of bottom-up tags'!K$6)+SUMIFS('Bottom-up tagging'!$BD:$BD,'Bottom-up tagging'!$AV:$AV,'Analysis of bottom-up tags'!$B11,'Bottom-up tagging'!$E:$E,'Analysis of bottom-up tags'!K$6)</f>
        <v>165664018.98750925</v>
      </c>
      <c r="L11" s="22">
        <f>SUMIFS('Bottom-up tagging'!$BA:$BA,'Bottom-up tagging'!$AS:$AS,'Analysis of bottom-up tags'!$B11,'Bottom-up tagging'!$E:$E,'Analysis of bottom-up tags'!L$6)+SUMIFS('Bottom-up tagging'!$BB:$BB,'Bottom-up tagging'!$AT:$AT,'Analysis of bottom-up tags'!$B11,'Bottom-up tagging'!$E:$E,'Analysis of bottom-up tags'!L$6)+SUMIFS('Bottom-up tagging'!$BC:$BC,'Bottom-up tagging'!$AU:$AU,'Analysis of bottom-up tags'!$B11,'Bottom-up tagging'!$E:$E,'Analysis of bottom-up tags'!L$6)+SUMIFS('Bottom-up tagging'!$BD:$BD,'Bottom-up tagging'!$AV:$AV,'Analysis of bottom-up tags'!$B11,'Bottom-up tagging'!$E:$E,'Analysis of bottom-up tags'!L$6)</f>
        <v>231740588.4779751</v>
      </c>
      <c r="N11" s="101">
        <f t="shared" ref="N11:N15" si="13">C11/C$7</f>
        <v>0.98932182356899701</v>
      </c>
      <c r="O11" s="101">
        <f t="shared" si="4"/>
        <v>0.99502127251090322</v>
      </c>
      <c r="P11" s="101">
        <f t="shared" si="5"/>
        <v>0.83943602970555087</v>
      </c>
      <c r="Q11" s="101">
        <f t="shared" si="6"/>
        <v>0.95144658393304693</v>
      </c>
      <c r="R11" s="101">
        <f t="shared" si="7"/>
        <v>0.9423936711013291</v>
      </c>
      <c r="S11" s="101">
        <f t="shared" si="8"/>
        <v>0.65948257985491288</v>
      </c>
      <c r="T11" s="101">
        <f t="shared" si="9"/>
        <v>0.39234935594638143</v>
      </c>
      <c r="U11" s="101">
        <f t="shared" si="10"/>
        <v>0.88992957824820285</v>
      </c>
      <c r="V11" s="101">
        <f t="shared" si="11"/>
        <v>0.15179750501241029</v>
      </c>
      <c r="W11" s="101">
        <f t="shared" si="12"/>
        <v>0.85651259824905512</v>
      </c>
    </row>
    <row r="12" spans="2:23">
      <c r="B12" s="64" t="s">
        <v>11109</v>
      </c>
      <c r="C12" s="22">
        <f>SUMIFS('Bottom-up tagging'!$BA:$BA,'Bottom-up tagging'!$AS:$AS,'Analysis of bottom-up tags'!$B12,'Bottom-up tagging'!$E:$E,'Analysis of bottom-up tags'!C$6)+SUMIFS('Bottom-up tagging'!$BB:$BB,'Bottom-up tagging'!$AT:$AT,'Analysis of bottom-up tags'!$B12,'Bottom-up tagging'!$E:$E,'Analysis of bottom-up tags'!C$6)+SUMIFS('Bottom-up tagging'!$BC:$BC,'Bottom-up tagging'!$AU:$AU,'Analysis of bottom-up tags'!$B12,'Bottom-up tagging'!$E:$E,'Analysis of bottom-up tags'!C$6)+SUMIFS('Bottom-up tagging'!$BD:$BD,'Bottom-up tagging'!$AV:$AV,'Analysis of bottom-up tags'!$B12,'Bottom-up tagging'!$E:$E,'Analysis of bottom-up tags'!C$6)</f>
        <v>0</v>
      </c>
      <c r="D12" s="22">
        <f>SUMIFS('Bottom-up tagging'!$BA:$BA,'Bottom-up tagging'!$AS:$AS,'Analysis of bottom-up tags'!$B12,'Bottom-up tagging'!$E:$E,'Analysis of bottom-up tags'!D$6)+SUMIFS('Bottom-up tagging'!$BB:$BB,'Bottom-up tagging'!$AT:$AT,'Analysis of bottom-up tags'!$B12,'Bottom-up tagging'!$E:$E,'Analysis of bottom-up tags'!D$6)+SUMIFS('Bottom-up tagging'!$BC:$BC,'Bottom-up tagging'!$AU:$AU,'Analysis of bottom-up tags'!$B12,'Bottom-up tagging'!$E:$E,'Analysis of bottom-up tags'!D$6)+SUMIFS('Bottom-up tagging'!$BD:$BD,'Bottom-up tagging'!$AV:$AV,'Analysis of bottom-up tags'!$B12,'Bottom-up tagging'!$E:$E,'Analysis of bottom-up tags'!D$6)</f>
        <v>0</v>
      </c>
      <c r="E12" s="22">
        <f>SUMIFS('Bottom-up tagging'!$BA:$BA,'Bottom-up tagging'!$AS:$AS,'Analysis of bottom-up tags'!$B12,'Bottom-up tagging'!$E:$E,'Analysis of bottom-up tags'!E$6)+SUMIFS('Bottom-up tagging'!$BB:$BB,'Bottom-up tagging'!$AT:$AT,'Analysis of bottom-up tags'!$B12,'Bottom-up tagging'!$E:$E,'Analysis of bottom-up tags'!E$6)+SUMIFS('Bottom-up tagging'!$BC:$BC,'Bottom-up tagging'!$AU:$AU,'Analysis of bottom-up tags'!$B12,'Bottom-up tagging'!$E:$E,'Analysis of bottom-up tags'!E$6)+SUMIFS('Bottom-up tagging'!$BD:$BD,'Bottom-up tagging'!$AV:$AV,'Analysis of bottom-up tags'!$B12,'Bottom-up tagging'!$E:$E,'Analysis of bottom-up tags'!E$6)</f>
        <v>0</v>
      </c>
      <c r="F12" s="22">
        <f>SUMIFS('Bottom-up tagging'!$BA:$BA,'Bottom-up tagging'!$AS:$AS,'Analysis of bottom-up tags'!$B12,'Bottom-up tagging'!$E:$E,'Analysis of bottom-up tags'!F$6)+SUMIFS('Bottom-up tagging'!$BB:$BB,'Bottom-up tagging'!$AT:$AT,'Analysis of bottom-up tags'!$B12,'Bottom-up tagging'!$E:$E,'Analysis of bottom-up tags'!F$6)+SUMIFS('Bottom-up tagging'!$BC:$BC,'Bottom-up tagging'!$AU:$AU,'Analysis of bottom-up tags'!$B12,'Bottom-up tagging'!$E:$E,'Analysis of bottom-up tags'!F$6)+SUMIFS('Bottom-up tagging'!$BD:$BD,'Bottom-up tagging'!$AV:$AV,'Analysis of bottom-up tags'!$B12,'Bottom-up tagging'!$E:$E,'Analysis of bottom-up tags'!F$6)</f>
        <v>643099.50836362108</v>
      </c>
      <c r="G12" s="22">
        <f>SUMIFS('Bottom-up tagging'!$BA:$BA,'Bottom-up tagging'!$AS:$AS,'Analysis of bottom-up tags'!$B12,'Bottom-up tagging'!$E:$E,'Analysis of bottom-up tags'!G$6)+SUMIFS('Bottom-up tagging'!$BB:$BB,'Bottom-up tagging'!$AT:$AT,'Analysis of bottom-up tags'!$B12,'Bottom-up tagging'!$E:$E,'Analysis of bottom-up tags'!G$6)+SUMIFS('Bottom-up tagging'!$BC:$BC,'Bottom-up tagging'!$AU:$AU,'Analysis of bottom-up tags'!$B12,'Bottom-up tagging'!$E:$E,'Analysis of bottom-up tags'!G$6)+SUMIFS('Bottom-up tagging'!$BD:$BD,'Bottom-up tagging'!$AV:$AV,'Analysis of bottom-up tags'!$B12,'Bottom-up tagging'!$E:$E,'Analysis of bottom-up tags'!G$6)</f>
        <v>0</v>
      </c>
      <c r="H12" s="22">
        <f>SUMIFS('Bottom-up tagging'!$BA:$BA,'Bottom-up tagging'!$AS:$AS,'Analysis of bottom-up tags'!$B12,'Bottom-up tagging'!$E:$E,'Analysis of bottom-up tags'!H$6)+SUMIFS('Bottom-up tagging'!$BB:$BB,'Bottom-up tagging'!$AT:$AT,'Analysis of bottom-up tags'!$B12,'Bottom-up tagging'!$E:$E,'Analysis of bottom-up tags'!H$6)+SUMIFS('Bottom-up tagging'!$BC:$BC,'Bottom-up tagging'!$AU:$AU,'Analysis of bottom-up tags'!$B12,'Bottom-up tagging'!$E:$E,'Analysis of bottom-up tags'!H$6)+SUMIFS('Bottom-up tagging'!$BD:$BD,'Bottom-up tagging'!$AV:$AV,'Analysis of bottom-up tags'!$B12,'Bottom-up tagging'!$E:$E,'Analysis of bottom-up tags'!H$6)</f>
        <v>1560590.4791263235</v>
      </c>
      <c r="I12" s="22">
        <f>SUMIFS('Bottom-up tagging'!$BA:$BA,'Bottom-up tagging'!$AS:$AS,'Analysis of bottom-up tags'!$B12,'Bottom-up tagging'!$E:$E,'Analysis of bottom-up tags'!I$6)+SUMIFS('Bottom-up tagging'!$BB:$BB,'Bottom-up tagging'!$AT:$AT,'Analysis of bottom-up tags'!$B12,'Bottom-up tagging'!$E:$E,'Analysis of bottom-up tags'!I$6)+SUMIFS('Bottom-up tagging'!$BC:$BC,'Bottom-up tagging'!$AU:$AU,'Analysis of bottom-up tags'!$B12,'Bottom-up tagging'!$E:$E,'Analysis of bottom-up tags'!I$6)+SUMIFS('Bottom-up tagging'!$BD:$BD,'Bottom-up tagging'!$AV:$AV,'Analysis of bottom-up tags'!$B12,'Bottom-up tagging'!$E:$E,'Analysis of bottom-up tags'!I$6)</f>
        <v>17408685.477254845</v>
      </c>
      <c r="J12" s="22">
        <f>SUMIFS('Bottom-up tagging'!$BA:$BA,'Bottom-up tagging'!$AS:$AS,'Analysis of bottom-up tags'!$B12,'Bottom-up tagging'!$E:$E,'Analysis of bottom-up tags'!J$6)+SUMIFS('Bottom-up tagging'!$BB:$BB,'Bottom-up tagging'!$AT:$AT,'Analysis of bottom-up tags'!$B12,'Bottom-up tagging'!$E:$E,'Analysis of bottom-up tags'!J$6)+SUMIFS('Bottom-up tagging'!$BC:$BC,'Bottom-up tagging'!$AU:$AU,'Analysis of bottom-up tags'!$B12,'Bottom-up tagging'!$E:$E,'Analysis of bottom-up tags'!J$6)+SUMIFS('Bottom-up tagging'!$BD:$BD,'Bottom-up tagging'!$AV:$AV,'Analysis of bottom-up tags'!$B12,'Bottom-up tagging'!$E:$E,'Analysis of bottom-up tags'!J$6)</f>
        <v>8506118.5010713916</v>
      </c>
      <c r="K12" s="22">
        <f>SUMIFS('Bottom-up tagging'!$BA:$BA,'Bottom-up tagging'!$AS:$AS,'Analysis of bottom-up tags'!$B12,'Bottom-up tagging'!$E:$E,'Analysis of bottom-up tags'!K$6)+SUMIFS('Bottom-up tagging'!$BB:$BB,'Bottom-up tagging'!$AT:$AT,'Analysis of bottom-up tags'!$B12,'Bottom-up tagging'!$E:$E,'Analysis of bottom-up tags'!K$6)+SUMIFS('Bottom-up tagging'!$BC:$BC,'Bottom-up tagging'!$AU:$AU,'Analysis of bottom-up tags'!$B12,'Bottom-up tagging'!$E:$E,'Analysis of bottom-up tags'!K$6)+SUMIFS('Bottom-up tagging'!$BD:$BD,'Bottom-up tagging'!$AV:$AV,'Analysis of bottom-up tags'!$B12,'Bottom-up tagging'!$E:$E,'Analysis of bottom-up tags'!K$6)</f>
        <v>32863515.639508728</v>
      </c>
      <c r="L12" s="22">
        <f>SUMIFS('Bottom-up tagging'!$BA:$BA,'Bottom-up tagging'!$AS:$AS,'Analysis of bottom-up tags'!$B12,'Bottom-up tagging'!$E:$E,'Analysis of bottom-up tags'!L$6)+SUMIFS('Bottom-up tagging'!$BB:$BB,'Bottom-up tagging'!$AT:$AT,'Analysis of bottom-up tags'!$B12,'Bottom-up tagging'!$E:$E,'Analysis of bottom-up tags'!L$6)+SUMIFS('Bottom-up tagging'!$BC:$BC,'Bottom-up tagging'!$AU:$AU,'Analysis of bottom-up tags'!$B12,'Bottom-up tagging'!$E:$E,'Analysis of bottom-up tags'!L$6)+SUMIFS('Bottom-up tagging'!$BD:$BD,'Bottom-up tagging'!$AV:$AV,'Analysis of bottom-up tags'!$B12,'Bottom-up tagging'!$E:$E,'Analysis of bottom-up tags'!L$6)</f>
        <v>1513659.5781281136</v>
      </c>
      <c r="N12" s="101">
        <f t="shared" si="13"/>
        <v>0</v>
      </c>
      <c r="O12" s="101">
        <f t="shared" si="4"/>
        <v>0</v>
      </c>
      <c r="P12" s="101">
        <f t="shared" si="5"/>
        <v>0</v>
      </c>
      <c r="Q12" s="101">
        <f t="shared" si="6"/>
        <v>1.778118602291014E-2</v>
      </c>
      <c r="R12" s="101">
        <f t="shared" si="7"/>
        <v>0</v>
      </c>
      <c r="S12" s="101">
        <f t="shared" si="8"/>
        <v>7.8093103941545717E-3</v>
      </c>
      <c r="T12" s="101">
        <f t="shared" si="9"/>
        <v>4.7552364047636547E-2</v>
      </c>
      <c r="U12" s="101">
        <f t="shared" si="10"/>
        <v>4.0802836507502709E-2</v>
      </c>
      <c r="V12" s="101">
        <f t="shared" si="11"/>
        <v>3.0112752971361154E-2</v>
      </c>
      <c r="W12" s="101">
        <f t="shared" si="12"/>
        <v>5.5944817722351518E-3</v>
      </c>
    </row>
    <row r="13" spans="2:23">
      <c r="B13" s="64" t="s">
        <v>11110</v>
      </c>
      <c r="C13" s="22">
        <f>SUMIFS('Bottom-up tagging'!$BA:$BA,'Bottom-up tagging'!$AS:$AS,'Analysis of bottom-up tags'!$B13,'Bottom-up tagging'!$E:$E,'Analysis of bottom-up tags'!C$6)+SUMIFS('Bottom-up tagging'!$BB:$BB,'Bottom-up tagging'!$AT:$AT,'Analysis of bottom-up tags'!$B13,'Bottom-up tagging'!$E:$E,'Analysis of bottom-up tags'!C$6)+SUMIFS('Bottom-up tagging'!$BC:$BC,'Bottom-up tagging'!$AU:$AU,'Analysis of bottom-up tags'!$B13,'Bottom-up tagging'!$E:$E,'Analysis of bottom-up tags'!C$6)+SUMIFS('Bottom-up tagging'!$BD:$BD,'Bottom-up tagging'!$AV:$AV,'Analysis of bottom-up tags'!$B13,'Bottom-up tagging'!$E:$E,'Analysis of bottom-up tags'!C$6)</f>
        <v>0</v>
      </c>
      <c r="D13" s="22">
        <f>SUMIFS('Bottom-up tagging'!$BA:$BA,'Bottom-up tagging'!$AS:$AS,'Analysis of bottom-up tags'!$B13,'Bottom-up tagging'!$E:$E,'Analysis of bottom-up tags'!D$6)+SUMIFS('Bottom-up tagging'!$BB:$BB,'Bottom-up tagging'!$AT:$AT,'Analysis of bottom-up tags'!$B13,'Bottom-up tagging'!$E:$E,'Analysis of bottom-up tags'!D$6)+SUMIFS('Bottom-up tagging'!$BC:$BC,'Bottom-up tagging'!$AU:$AU,'Analysis of bottom-up tags'!$B13,'Bottom-up tagging'!$E:$E,'Analysis of bottom-up tags'!D$6)+SUMIFS('Bottom-up tagging'!$BD:$BD,'Bottom-up tagging'!$AV:$AV,'Analysis of bottom-up tags'!$B13,'Bottom-up tagging'!$E:$E,'Analysis of bottom-up tags'!D$6)</f>
        <v>402308.10798967391</v>
      </c>
      <c r="E13" s="22">
        <f>SUMIFS('Bottom-up tagging'!$BA:$BA,'Bottom-up tagging'!$AS:$AS,'Analysis of bottom-up tags'!$B13,'Bottom-up tagging'!$E:$E,'Analysis of bottom-up tags'!E$6)+SUMIFS('Bottom-up tagging'!$BB:$BB,'Bottom-up tagging'!$AT:$AT,'Analysis of bottom-up tags'!$B13,'Bottom-up tagging'!$E:$E,'Analysis of bottom-up tags'!E$6)+SUMIFS('Bottom-up tagging'!$BC:$BC,'Bottom-up tagging'!$AU:$AU,'Analysis of bottom-up tags'!$B13,'Bottom-up tagging'!$E:$E,'Analysis of bottom-up tags'!E$6)+SUMIFS('Bottom-up tagging'!$BD:$BD,'Bottom-up tagging'!$AV:$AV,'Analysis of bottom-up tags'!$B13,'Bottom-up tagging'!$E:$E,'Analysis of bottom-up tags'!E$6)</f>
        <v>0</v>
      </c>
      <c r="F13" s="22">
        <f>SUMIFS('Bottom-up tagging'!$BA:$BA,'Bottom-up tagging'!$AS:$AS,'Analysis of bottom-up tags'!$B13,'Bottom-up tagging'!$E:$E,'Analysis of bottom-up tags'!F$6)+SUMIFS('Bottom-up tagging'!$BB:$BB,'Bottom-up tagging'!$AT:$AT,'Analysis of bottom-up tags'!$B13,'Bottom-up tagging'!$E:$E,'Analysis of bottom-up tags'!F$6)+SUMIFS('Bottom-up tagging'!$BC:$BC,'Bottom-up tagging'!$AU:$AU,'Analysis of bottom-up tags'!$B13,'Bottom-up tagging'!$E:$E,'Analysis of bottom-up tags'!F$6)+SUMIFS('Bottom-up tagging'!$BD:$BD,'Bottom-up tagging'!$AV:$AV,'Analysis of bottom-up tags'!$B13,'Bottom-up tagging'!$E:$E,'Analysis of bottom-up tags'!F$6)</f>
        <v>1112951.9699686191</v>
      </c>
      <c r="G13" s="22">
        <f>SUMIFS('Bottom-up tagging'!$BA:$BA,'Bottom-up tagging'!$AS:$AS,'Analysis of bottom-up tags'!$B13,'Bottom-up tagging'!$E:$E,'Analysis of bottom-up tags'!G$6)+SUMIFS('Bottom-up tagging'!$BB:$BB,'Bottom-up tagging'!$AT:$AT,'Analysis of bottom-up tags'!$B13,'Bottom-up tagging'!$E:$E,'Analysis of bottom-up tags'!G$6)+SUMIFS('Bottom-up tagging'!$BC:$BC,'Bottom-up tagging'!$AU:$AU,'Analysis of bottom-up tags'!$B13,'Bottom-up tagging'!$E:$E,'Analysis of bottom-up tags'!G$6)+SUMIFS('Bottom-up tagging'!$BD:$BD,'Bottom-up tagging'!$AV:$AV,'Analysis of bottom-up tags'!$B13,'Bottom-up tagging'!$E:$E,'Analysis of bottom-up tags'!G$6)</f>
        <v>49278.22387274784</v>
      </c>
      <c r="H13" s="22">
        <f>SUMIFS('Bottom-up tagging'!$BA:$BA,'Bottom-up tagging'!$AS:$AS,'Analysis of bottom-up tags'!$B13,'Bottom-up tagging'!$E:$E,'Analysis of bottom-up tags'!H$6)+SUMIFS('Bottom-up tagging'!$BB:$BB,'Bottom-up tagging'!$AT:$AT,'Analysis of bottom-up tags'!$B13,'Bottom-up tagging'!$E:$E,'Analysis of bottom-up tags'!H$6)+SUMIFS('Bottom-up tagging'!$BC:$BC,'Bottom-up tagging'!$AU:$AU,'Analysis of bottom-up tags'!$B13,'Bottom-up tagging'!$E:$E,'Analysis of bottom-up tags'!H$6)+SUMIFS('Bottom-up tagging'!$BD:$BD,'Bottom-up tagging'!$AV:$AV,'Analysis of bottom-up tags'!$B13,'Bottom-up tagging'!$E:$E,'Analysis of bottom-up tags'!H$6)</f>
        <v>22001927.604241967</v>
      </c>
      <c r="I13" s="22">
        <f>SUMIFS('Bottom-up tagging'!$BA:$BA,'Bottom-up tagging'!$AS:$AS,'Analysis of bottom-up tags'!$B13,'Bottom-up tagging'!$E:$E,'Analysis of bottom-up tags'!I$6)+SUMIFS('Bottom-up tagging'!$BB:$BB,'Bottom-up tagging'!$AT:$AT,'Analysis of bottom-up tags'!$B13,'Bottom-up tagging'!$E:$E,'Analysis of bottom-up tags'!I$6)+SUMIFS('Bottom-up tagging'!$BC:$BC,'Bottom-up tagging'!$AU:$AU,'Analysis of bottom-up tags'!$B13,'Bottom-up tagging'!$E:$E,'Analysis of bottom-up tags'!I$6)+SUMIFS('Bottom-up tagging'!$BD:$BD,'Bottom-up tagging'!$AV:$AV,'Analysis of bottom-up tags'!$B13,'Bottom-up tagging'!$E:$E,'Analysis of bottom-up tags'!I$6)</f>
        <v>3975652.1194295757</v>
      </c>
      <c r="J13" s="22">
        <f>SUMIFS('Bottom-up tagging'!$BA:$BA,'Bottom-up tagging'!$AS:$AS,'Analysis of bottom-up tags'!$B13,'Bottom-up tagging'!$E:$E,'Analysis of bottom-up tags'!J$6)+SUMIFS('Bottom-up tagging'!$BB:$BB,'Bottom-up tagging'!$AT:$AT,'Analysis of bottom-up tags'!$B13,'Bottom-up tagging'!$E:$E,'Analysis of bottom-up tags'!J$6)+SUMIFS('Bottom-up tagging'!$BC:$BC,'Bottom-up tagging'!$AU:$AU,'Analysis of bottom-up tags'!$B13,'Bottom-up tagging'!$E:$E,'Analysis of bottom-up tags'!J$6)+SUMIFS('Bottom-up tagging'!$BD:$BD,'Bottom-up tagging'!$AV:$AV,'Analysis of bottom-up tags'!$B13,'Bottom-up tagging'!$E:$E,'Analysis of bottom-up tags'!J$6)</f>
        <v>11634623.912330801</v>
      </c>
      <c r="K13" s="22">
        <f>SUMIFS('Bottom-up tagging'!$BA:$BA,'Bottom-up tagging'!$AS:$AS,'Analysis of bottom-up tags'!$B13,'Bottom-up tagging'!$E:$E,'Analysis of bottom-up tags'!K$6)+SUMIFS('Bottom-up tagging'!$BB:$BB,'Bottom-up tagging'!$AT:$AT,'Analysis of bottom-up tags'!$B13,'Bottom-up tagging'!$E:$E,'Analysis of bottom-up tags'!K$6)+SUMIFS('Bottom-up tagging'!$BC:$BC,'Bottom-up tagging'!$AU:$AU,'Analysis of bottom-up tags'!$B13,'Bottom-up tagging'!$E:$E,'Analysis of bottom-up tags'!K$6)+SUMIFS('Bottom-up tagging'!$BD:$BD,'Bottom-up tagging'!$AV:$AV,'Analysis of bottom-up tags'!$B13,'Bottom-up tagging'!$E:$E,'Analysis of bottom-up tags'!K$6)</f>
        <v>50406128.117934987</v>
      </c>
      <c r="L13" s="22">
        <f>SUMIFS('Bottom-up tagging'!$BA:$BA,'Bottom-up tagging'!$AS:$AS,'Analysis of bottom-up tags'!$B13,'Bottom-up tagging'!$E:$E,'Analysis of bottom-up tags'!L$6)+SUMIFS('Bottom-up tagging'!$BB:$BB,'Bottom-up tagging'!$AT:$AT,'Analysis of bottom-up tags'!$B13,'Bottom-up tagging'!$E:$E,'Analysis of bottom-up tags'!L$6)+SUMIFS('Bottom-up tagging'!$BC:$BC,'Bottom-up tagging'!$AU:$AU,'Analysis of bottom-up tags'!$B13,'Bottom-up tagging'!$E:$E,'Analysis of bottom-up tags'!L$6)+SUMIFS('Bottom-up tagging'!$BD:$BD,'Bottom-up tagging'!$AV:$AV,'Analysis of bottom-up tags'!$B13,'Bottom-up tagging'!$E:$E,'Analysis of bottom-up tags'!L$6)</f>
        <v>31707341.919023264</v>
      </c>
      <c r="N13" s="101">
        <f t="shared" si="13"/>
        <v>0</v>
      </c>
      <c r="O13" s="101">
        <f t="shared" si="4"/>
        <v>4.978727489096872E-3</v>
      </c>
      <c r="P13" s="101">
        <f t="shared" si="5"/>
        <v>0</v>
      </c>
      <c r="Q13" s="101">
        <f t="shared" si="6"/>
        <v>3.0772230044043017E-2</v>
      </c>
      <c r="R13" s="101">
        <f t="shared" si="7"/>
        <v>1.2108642432376937E-3</v>
      </c>
      <c r="S13" s="101">
        <f t="shared" si="8"/>
        <v>0.11009927603007955</v>
      </c>
      <c r="T13" s="101">
        <f t="shared" si="9"/>
        <v>1.0859617008813023E-2</v>
      </c>
      <c r="U13" s="101">
        <f t="shared" si="10"/>
        <v>5.5809904042757097E-2</v>
      </c>
      <c r="V13" s="101">
        <f t="shared" si="11"/>
        <v>4.6187002659976162E-2</v>
      </c>
      <c r="W13" s="101">
        <f t="shared" si="12"/>
        <v>0.11719025134526617</v>
      </c>
    </row>
    <row r="14" spans="2:23">
      <c r="B14" s="64" t="s">
        <v>10558</v>
      </c>
      <c r="C14" s="22">
        <f>SUMIFS('Bottom-up tagging'!$BA:$BA,'Bottom-up tagging'!$AS:$AS,'Analysis of bottom-up tags'!$B14,'Bottom-up tagging'!$E:$E,'Analysis of bottom-up tags'!C$6)+SUMIFS('Bottom-up tagging'!$BB:$BB,'Bottom-up tagging'!$AT:$AT,'Analysis of bottom-up tags'!$B14,'Bottom-up tagging'!$E:$E,'Analysis of bottom-up tags'!C$6)+SUMIFS('Bottom-up tagging'!$BC:$BC,'Bottom-up tagging'!$AU:$AU,'Analysis of bottom-up tags'!$B14,'Bottom-up tagging'!$E:$E,'Analysis of bottom-up tags'!C$6)+SUMIFS('Bottom-up tagging'!$BD:$BD,'Bottom-up tagging'!$AV:$AV,'Analysis of bottom-up tags'!$B14,'Bottom-up tagging'!$E:$E,'Analysis of bottom-up tags'!C$6)</f>
        <v>0</v>
      </c>
      <c r="D14" s="22">
        <f>SUMIFS('Bottom-up tagging'!$BA:$BA,'Bottom-up tagging'!$AS:$AS,'Analysis of bottom-up tags'!$B14,'Bottom-up tagging'!$E:$E,'Analysis of bottom-up tags'!D$6)+SUMIFS('Bottom-up tagging'!$BB:$BB,'Bottom-up tagging'!$AT:$AT,'Analysis of bottom-up tags'!$B14,'Bottom-up tagging'!$E:$E,'Analysis of bottom-up tags'!D$6)+SUMIFS('Bottom-up tagging'!$BC:$BC,'Bottom-up tagging'!$AU:$AU,'Analysis of bottom-up tags'!$B14,'Bottom-up tagging'!$E:$E,'Analysis of bottom-up tags'!D$6)+SUMIFS('Bottom-up tagging'!$BD:$BD,'Bottom-up tagging'!$AV:$AV,'Analysis of bottom-up tags'!$B14,'Bottom-up tagging'!$E:$E,'Analysis of bottom-up tags'!D$6)</f>
        <v>0</v>
      </c>
      <c r="E14" s="22">
        <f>SUMIFS('Bottom-up tagging'!$BA:$BA,'Bottom-up tagging'!$AS:$AS,'Analysis of bottom-up tags'!$B14,'Bottom-up tagging'!$E:$E,'Analysis of bottom-up tags'!E$6)+SUMIFS('Bottom-up tagging'!$BB:$BB,'Bottom-up tagging'!$AT:$AT,'Analysis of bottom-up tags'!$B14,'Bottom-up tagging'!$E:$E,'Analysis of bottom-up tags'!E$6)+SUMIFS('Bottom-up tagging'!$BC:$BC,'Bottom-up tagging'!$AU:$AU,'Analysis of bottom-up tags'!$B14,'Bottom-up tagging'!$E:$E,'Analysis of bottom-up tags'!E$6)+SUMIFS('Bottom-up tagging'!$BD:$BD,'Bottom-up tagging'!$AV:$AV,'Analysis of bottom-up tags'!$B14,'Bottom-up tagging'!$E:$E,'Analysis of bottom-up tags'!E$6)</f>
        <v>0</v>
      </c>
      <c r="F14" s="22">
        <f>SUMIFS('Bottom-up tagging'!$BA:$BA,'Bottom-up tagging'!$AS:$AS,'Analysis of bottom-up tags'!$B14,'Bottom-up tagging'!$E:$E,'Analysis of bottom-up tags'!F$6)+SUMIFS('Bottom-up tagging'!$BB:$BB,'Bottom-up tagging'!$AT:$AT,'Analysis of bottom-up tags'!$B14,'Bottom-up tagging'!$E:$E,'Analysis of bottom-up tags'!F$6)+SUMIFS('Bottom-up tagging'!$BC:$BC,'Bottom-up tagging'!$AU:$AU,'Analysis of bottom-up tags'!$B14,'Bottom-up tagging'!$E:$E,'Analysis of bottom-up tags'!F$6)+SUMIFS('Bottom-up tagging'!$BD:$BD,'Bottom-up tagging'!$AV:$AV,'Analysis of bottom-up tags'!$B14,'Bottom-up tagging'!$E:$E,'Analysis of bottom-up tags'!F$6)</f>
        <v>0</v>
      </c>
      <c r="G14" s="22">
        <f>SUMIFS('Bottom-up tagging'!$BA:$BA,'Bottom-up tagging'!$AS:$AS,'Analysis of bottom-up tags'!$B14,'Bottom-up tagging'!$E:$E,'Analysis of bottom-up tags'!G$6)+SUMIFS('Bottom-up tagging'!$BB:$BB,'Bottom-up tagging'!$AT:$AT,'Analysis of bottom-up tags'!$B14,'Bottom-up tagging'!$E:$E,'Analysis of bottom-up tags'!G$6)+SUMIFS('Bottom-up tagging'!$BC:$BC,'Bottom-up tagging'!$AU:$AU,'Analysis of bottom-up tags'!$B14,'Bottom-up tagging'!$E:$E,'Analysis of bottom-up tags'!G$6)+SUMIFS('Bottom-up tagging'!$BD:$BD,'Bottom-up tagging'!$AV:$AV,'Analysis of bottom-up tags'!$B14,'Bottom-up tagging'!$E:$E,'Analysis of bottom-up tags'!G$6)</f>
        <v>0</v>
      </c>
      <c r="H14" s="22">
        <f>SUMIFS('Bottom-up tagging'!$BA:$BA,'Bottom-up tagging'!$AS:$AS,'Analysis of bottom-up tags'!$B14,'Bottom-up tagging'!$E:$E,'Analysis of bottom-up tags'!H$6)+SUMIFS('Bottom-up tagging'!$BB:$BB,'Bottom-up tagging'!$AT:$AT,'Analysis of bottom-up tags'!$B14,'Bottom-up tagging'!$E:$E,'Analysis of bottom-up tags'!H$6)+SUMIFS('Bottom-up tagging'!$BC:$BC,'Bottom-up tagging'!$AU:$AU,'Analysis of bottom-up tags'!$B14,'Bottom-up tagging'!$E:$E,'Analysis of bottom-up tags'!H$6)+SUMIFS('Bottom-up tagging'!$BD:$BD,'Bottom-up tagging'!$AV:$AV,'Analysis of bottom-up tags'!$B14,'Bottom-up tagging'!$E:$E,'Analysis of bottom-up tags'!H$6)</f>
        <v>0</v>
      </c>
      <c r="I14" s="22">
        <f>SUMIFS('Bottom-up tagging'!$BA:$BA,'Bottom-up tagging'!$AS:$AS,'Analysis of bottom-up tags'!$B14,'Bottom-up tagging'!$E:$E,'Analysis of bottom-up tags'!I$6)+SUMIFS('Bottom-up tagging'!$BB:$BB,'Bottom-up tagging'!$AT:$AT,'Analysis of bottom-up tags'!$B14,'Bottom-up tagging'!$E:$E,'Analysis of bottom-up tags'!I$6)+SUMIFS('Bottom-up tagging'!$BC:$BC,'Bottom-up tagging'!$AU:$AU,'Analysis of bottom-up tags'!$B14,'Bottom-up tagging'!$E:$E,'Analysis of bottom-up tags'!I$6)+SUMIFS('Bottom-up tagging'!$BD:$BD,'Bottom-up tagging'!$AV:$AV,'Analysis of bottom-up tags'!$B14,'Bottom-up tagging'!$E:$E,'Analysis of bottom-up tags'!I$6)</f>
        <v>0</v>
      </c>
      <c r="J14" s="22">
        <f>SUMIFS('Bottom-up tagging'!$BA:$BA,'Bottom-up tagging'!$AS:$AS,'Analysis of bottom-up tags'!$B14,'Bottom-up tagging'!$E:$E,'Analysis of bottom-up tags'!J$6)+SUMIFS('Bottom-up tagging'!$BB:$BB,'Bottom-up tagging'!$AT:$AT,'Analysis of bottom-up tags'!$B14,'Bottom-up tagging'!$E:$E,'Analysis of bottom-up tags'!J$6)+SUMIFS('Bottom-up tagging'!$BC:$BC,'Bottom-up tagging'!$AU:$AU,'Analysis of bottom-up tags'!$B14,'Bottom-up tagging'!$E:$E,'Analysis of bottom-up tags'!J$6)+SUMIFS('Bottom-up tagging'!$BD:$BD,'Bottom-up tagging'!$AV:$AV,'Analysis of bottom-up tags'!$B14,'Bottom-up tagging'!$E:$E,'Analysis of bottom-up tags'!J$6)</f>
        <v>0</v>
      </c>
      <c r="K14" s="22">
        <f>SUMIFS('Bottom-up tagging'!$BA:$BA,'Bottom-up tagging'!$AS:$AS,'Analysis of bottom-up tags'!$B14,'Bottom-up tagging'!$E:$E,'Analysis of bottom-up tags'!K$6)+SUMIFS('Bottom-up tagging'!$BB:$BB,'Bottom-up tagging'!$AT:$AT,'Analysis of bottom-up tags'!$B14,'Bottom-up tagging'!$E:$E,'Analysis of bottom-up tags'!K$6)+SUMIFS('Bottom-up tagging'!$BC:$BC,'Bottom-up tagging'!$AU:$AU,'Analysis of bottom-up tags'!$B14,'Bottom-up tagging'!$E:$E,'Analysis of bottom-up tags'!K$6)+SUMIFS('Bottom-up tagging'!$BD:$BD,'Bottom-up tagging'!$AV:$AV,'Analysis of bottom-up tags'!$B14,'Bottom-up tagging'!$E:$E,'Analysis of bottom-up tags'!K$6)</f>
        <v>0</v>
      </c>
      <c r="L14" s="22">
        <f>SUMIFS('Bottom-up tagging'!$BA:$BA,'Bottom-up tagging'!$AS:$AS,'Analysis of bottom-up tags'!$B14,'Bottom-up tagging'!$E:$E,'Analysis of bottom-up tags'!L$6)+SUMIFS('Bottom-up tagging'!$BB:$BB,'Bottom-up tagging'!$AT:$AT,'Analysis of bottom-up tags'!$B14,'Bottom-up tagging'!$E:$E,'Analysis of bottom-up tags'!L$6)+SUMIFS('Bottom-up tagging'!$BC:$BC,'Bottom-up tagging'!$AU:$AU,'Analysis of bottom-up tags'!$B14,'Bottom-up tagging'!$E:$E,'Analysis of bottom-up tags'!L$6)+SUMIFS('Bottom-up tagging'!$BD:$BD,'Bottom-up tagging'!$AV:$AV,'Analysis of bottom-up tags'!$B14,'Bottom-up tagging'!$E:$E,'Analysis of bottom-up tags'!L$6)</f>
        <v>0</v>
      </c>
      <c r="N14" s="101">
        <f t="shared" si="13"/>
        <v>0</v>
      </c>
      <c r="O14" s="101">
        <f t="shared" si="4"/>
        <v>0</v>
      </c>
      <c r="P14" s="101">
        <f t="shared" si="5"/>
        <v>0</v>
      </c>
      <c r="Q14" s="101">
        <f t="shared" si="6"/>
        <v>0</v>
      </c>
      <c r="R14" s="101">
        <f t="shared" si="7"/>
        <v>0</v>
      </c>
      <c r="S14" s="101">
        <f t="shared" si="8"/>
        <v>0</v>
      </c>
      <c r="T14" s="101">
        <f t="shared" si="9"/>
        <v>0</v>
      </c>
      <c r="U14" s="101">
        <f t="shared" si="10"/>
        <v>0</v>
      </c>
      <c r="V14" s="101">
        <f t="shared" si="11"/>
        <v>0</v>
      </c>
      <c r="W14" s="101">
        <f t="shared" si="12"/>
        <v>0</v>
      </c>
    </row>
    <row r="15" spans="2:23">
      <c r="B15" s="64" t="s">
        <v>11111</v>
      </c>
      <c r="C15" s="22">
        <f>SUMIFS('Bottom-up tagging'!$BA:$BA,'Bottom-up tagging'!$AS:$AS,'Analysis of bottom-up tags'!$B15,'Bottom-up tagging'!$E:$E,'Analysis of bottom-up tags'!C$6)+SUMIFS('Bottom-up tagging'!$BB:$BB,'Bottom-up tagging'!$AT:$AT,'Analysis of bottom-up tags'!$B15,'Bottom-up tagging'!$E:$E,'Analysis of bottom-up tags'!C$6)+SUMIFS('Bottom-up tagging'!$BC:$BC,'Bottom-up tagging'!$AU:$AU,'Analysis of bottom-up tags'!$B15,'Bottom-up tagging'!$E:$E,'Analysis of bottom-up tags'!C$6)+SUMIFS('Bottom-up tagging'!$BD:$BD,'Bottom-up tagging'!$AV:$AV,'Analysis of bottom-up tags'!$B15,'Bottom-up tagging'!$E:$E,'Analysis of bottom-up tags'!C$6)</f>
        <v>0</v>
      </c>
      <c r="D15" s="22">
        <f>SUMIFS('Bottom-up tagging'!$BA:$BA,'Bottom-up tagging'!$AS:$AS,'Analysis of bottom-up tags'!$B15,'Bottom-up tagging'!$E:$E,'Analysis of bottom-up tags'!D$6)+SUMIFS('Bottom-up tagging'!$BB:$BB,'Bottom-up tagging'!$AT:$AT,'Analysis of bottom-up tags'!$B15,'Bottom-up tagging'!$E:$E,'Analysis of bottom-up tags'!D$6)+SUMIFS('Bottom-up tagging'!$BC:$BC,'Bottom-up tagging'!$AU:$AU,'Analysis of bottom-up tags'!$B15,'Bottom-up tagging'!$E:$E,'Analysis of bottom-up tags'!D$6)+SUMIFS('Bottom-up tagging'!$BD:$BD,'Bottom-up tagging'!$AV:$AV,'Analysis of bottom-up tags'!$B15,'Bottom-up tagging'!$E:$E,'Analysis of bottom-up tags'!D$6)</f>
        <v>0</v>
      </c>
      <c r="E15" s="22">
        <f>SUMIFS('Bottom-up tagging'!$BA:$BA,'Bottom-up tagging'!$AS:$AS,'Analysis of bottom-up tags'!$B15,'Bottom-up tagging'!$E:$E,'Analysis of bottom-up tags'!E$6)+SUMIFS('Bottom-up tagging'!$BB:$BB,'Bottom-up tagging'!$AT:$AT,'Analysis of bottom-up tags'!$B15,'Bottom-up tagging'!$E:$E,'Analysis of bottom-up tags'!E$6)+SUMIFS('Bottom-up tagging'!$BC:$BC,'Bottom-up tagging'!$AU:$AU,'Analysis of bottom-up tags'!$B15,'Bottom-up tagging'!$E:$E,'Analysis of bottom-up tags'!E$6)+SUMIFS('Bottom-up tagging'!$BD:$BD,'Bottom-up tagging'!$AV:$AV,'Analysis of bottom-up tags'!$B15,'Bottom-up tagging'!$E:$E,'Analysis of bottom-up tags'!E$6)</f>
        <v>0</v>
      </c>
      <c r="F15" s="22">
        <f>SUMIFS('Bottom-up tagging'!$BA:$BA,'Bottom-up tagging'!$AS:$AS,'Analysis of bottom-up tags'!$B15,'Bottom-up tagging'!$E:$E,'Analysis of bottom-up tags'!F$6)+SUMIFS('Bottom-up tagging'!$BB:$BB,'Bottom-up tagging'!$AT:$AT,'Analysis of bottom-up tags'!$B15,'Bottom-up tagging'!$E:$E,'Analysis of bottom-up tags'!F$6)+SUMIFS('Bottom-up tagging'!$BC:$BC,'Bottom-up tagging'!$AU:$AU,'Analysis of bottom-up tags'!$B15,'Bottom-up tagging'!$E:$E,'Analysis of bottom-up tags'!F$6)+SUMIFS('Bottom-up tagging'!$BD:$BD,'Bottom-up tagging'!$AV:$AV,'Analysis of bottom-up tags'!$B15,'Bottom-up tagging'!$E:$E,'Analysis of bottom-up tags'!F$6)</f>
        <v>0</v>
      </c>
      <c r="G15" s="22">
        <f>SUMIFS('Bottom-up tagging'!$BA:$BA,'Bottom-up tagging'!$AS:$AS,'Analysis of bottom-up tags'!$B15,'Bottom-up tagging'!$E:$E,'Analysis of bottom-up tags'!G$6)+SUMIFS('Bottom-up tagging'!$BB:$BB,'Bottom-up tagging'!$AT:$AT,'Analysis of bottom-up tags'!$B15,'Bottom-up tagging'!$E:$E,'Analysis of bottom-up tags'!G$6)+SUMIFS('Bottom-up tagging'!$BC:$BC,'Bottom-up tagging'!$AU:$AU,'Analysis of bottom-up tags'!$B15,'Bottom-up tagging'!$E:$E,'Analysis of bottom-up tags'!G$6)+SUMIFS('Bottom-up tagging'!$BD:$BD,'Bottom-up tagging'!$AV:$AV,'Analysis of bottom-up tags'!$B15,'Bottom-up tagging'!$E:$E,'Analysis of bottom-up tags'!G$6)</f>
        <v>0</v>
      </c>
      <c r="H15" s="22">
        <f>SUMIFS('Bottom-up tagging'!$BA:$BA,'Bottom-up tagging'!$AS:$AS,'Analysis of bottom-up tags'!$B15,'Bottom-up tagging'!$E:$E,'Analysis of bottom-up tags'!H$6)+SUMIFS('Bottom-up tagging'!$BB:$BB,'Bottom-up tagging'!$AT:$AT,'Analysis of bottom-up tags'!$B15,'Bottom-up tagging'!$E:$E,'Analysis of bottom-up tags'!H$6)+SUMIFS('Bottom-up tagging'!$BC:$BC,'Bottom-up tagging'!$AU:$AU,'Analysis of bottom-up tags'!$B15,'Bottom-up tagging'!$E:$E,'Analysis of bottom-up tags'!H$6)+SUMIFS('Bottom-up tagging'!$BD:$BD,'Bottom-up tagging'!$AV:$AV,'Analysis of bottom-up tags'!$B15,'Bottom-up tagging'!$E:$E,'Analysis of bottom-up tags'!H$6)</f>
        <v>0</v>
      </c>
      <c r="I15" s="22">
        <f>SUMIFS('Bottom-up tagging'!$BA:$BA,'Bottom-up tagging'!$AS:$AS,'Analysis of bottom-up tags'!$B15,'Bottom-up tagging'!$E:$E,'Analysis of bottom-up tags'!I$6)+SUMIFS('Bottom-up tagging'!$BB:$BB,'Bottom-up tagging'!$AT:$AT,'Analysis of bottom-up tags'!$B15,'Bottom-up tagging'!$E:$E,'Analysis of bottom-up tags'!I$6)+SUMIFS('Bottom-up tagging'!$BC:$BC,'Bottom-up tagging'!$AU:$AU,'Analysis of bottom-up tags'!$B15,'Bottom-up tagging'!$E:$E,'Analysis of bottom-up tags'!I$6)+SUMIFS('Bottom-up tagging'!$BD:$BD,'Bottom-up tagging'!$AV:$AV,'Analysis of bottom-up tags'!$B15,'Bottom-up tagging'!$E:$E,'Analysis of bottom-up tags'!I$6)</f>
        <v>0</v>
      </c>
      <c r="J15" s="22">
        <f>SUMIFS('Bottom-up tagging'!$BA:$BA,'Bottom-up tagging'!$AS:$AS,'Analysis of bottom-up tags'!$B15,'Bottom-up tagging'!$E:$E,'Analysis of bottom-up tags'!J$6)+SUMIFS('Bottom-up tagging'!$BB:$BB,'Bottom-up tagging'!$AT:$AT,'Analysis of bottom-up tags'!$B15,'Bottom-up tagging'!$E:$E,'Analysis of bottom-up tags'!J$6)+SUMIFS('Bottom-up tagging'!$BC:$BC,'Bottom-up tagging'!$AU:$AU,'Analysis of bottom-up tags'!$B15,'Bottom-up tagging'!$E:$E,'Analysis of bottom-up tags'!J$6)+SUMIFS('Bottom-up tagging'!$BD:$BD,'Bottom-up tagging'!$AV:$AV,'Analysis of bottom-up tags'!$B15,'Bottom-up tagging'!$E:$E,'Analysis of bottom-up tags'!J$6)</f>
        <v>11724.636763068134</v>
      </c>
      <c r="K15" s="22">
        <f>SUMIFS('Bottom-up tagging'!$BA:$BA,'Bottom-up tagging'!$AS:$AS,'Analysis of bottom-up tags'!$B15,'Bottom-up tagging'!$E:$E,'Analysis of bottom-up tags'!K$6)+SUMIFS('Bottom-up tagging'!$BB:$BB,'Bottom-up tagging'!$AT:$AT,'Analysis of bottom-up tags'!$B15,'Bottom-up tagging'!$E:$E,'Analysis of bottom-up tags'!K$6)+SUMIFS('Bottom-up tagging'!$BC:$BC,'Bottom-up tagging'!$AU:$AU,'Analysis of bottom-up tags'!$B15,'Bottom-up tagging'!$E:$E,'Analysis of bottom-up tags'!K$6)+SUMIFS('Bottom-up tagging'!$BD:$BD,'Bottom-up tagging'!$AV:$AV,'Analysis of bottom-up tags'!$B15,'Bottom-up tagging'!$E:$E,'Analysis of bottom-up tags'!K$6)</f>
        <v>0</v>
      </c>
      <c r="L15" s="22">
        <f>SUMIFS('Bottom-up tagging'!$BA:$BA,'Bottom-up tagging'!$AS:$AS,'Analysis of bottom-up tags'!$B15,'Bottom-up tagging'!$E:$E,'Analysis of bottom-up tags'!L$6)+SUMIFS('Bottom-up tagging'!$BB:$BB,'Bottom-up tagging'!$AT:$AT,'Analysis of bottom-up tags'!$B15,'Bottom-up tagging'!$E:$E,'Analysis of bottom-up tags'!L$6)+SUMIFS('Bottom-up tagging'!$BC:$BC,'Bottom-up tagging'!$AU:$AU,'Analysis of bottom-up tags'!$B15,'Bottom-up tagging'!$E:$E,'Analysis of bottom-up tags'!L$6)+SUMIFS('Bottom-up tagging'!$BD:$BD,'Bottom-up tagging'!$AV:$AV,'Analysis of bottom-up tags'!$B15,'Bottom-up tagging'!$E:$E,'Analysis of bottom-up tags'!L$6)</f>
        <v>0</v>
      </c>
      <c r="N15" s="101">
        <f t="shared" si="13"/>
        <v>0</v>
      </c>
      <c r="O15" s="101">
        <f t="shared" si="4"/>
        <v>0</v>
      </c>
      <c r="P15" s="101">
        <f t="shared" si="5"/>
        <v>0</v>
      </c>
      <c r="Q15" s="101">
        <f t="shared" si="6"/>
        <v>0</v>
      </c>
      <c r="R15" s="101">
        <f t="shared" si="7"/>
        <v>0</v>
      </c>
      <c r="S15" s="101">
        <f t="shared" si="8"/>
        <v>0</v>
      </c>
      <c r="T15" s="101">
        <f t="shared" si="9"/>
        <v>0</v>
      </c>
      <c r="U15" s="101">
        <f t="shared" si="10"/>
        <v>5.6241684958076707E-5</v>
      </c>
      <c r="V15" s="101">
        <f t="shared" si="11"/>
        <v>0</v>
      </c>
      <c r="W15" s="101">
        <f t="shared" si="12"/>
        <v>0</v>
      </c>
    </row>
    <row r="17" spans="2:23">
      <c r="B17" s="170" t="s">
        <v>10461</v>
      </c>
      <c r="C17" s="140"/>
      <c r="D17" s="140"/>
      <c r="E17" s="140"/>
      <c r="F17" s="140"/>
      <c r="G17" s="140"/>
      <c r="H17" s="140"/>
      <c r="I17" s="140"/>
      <c r="J17" s="140"/>
      <c r="K17" s="140"/>
      <c r="L17" s="140"/>
      <c r="M17" s="140"/>
      <c r="N17" s="171">
        <f t="shared" ref="N17:W17" si="14">SUM(N18:N21)</f>
        <v>1</v>
      </c>
      <c r="O17" s="171">
        <f t="shared" si="14"/>
        <v>0.99999999999999989</v>
      </c>
      <c r="P17" s="171">
        <f t="shared" si="14"/>
        <v>1</v>
      </c>
      <c r="Q17" s="171">
        <f t="shared" si="14"/>
        <v>0.99999999999999978</v>
      </c>
      <c r="R17" s="171">
        <f t="shared" si="14"/>
        <v>0.99999999999999978</v>
      </c>
      <c r="S17" s="171">
        <f t="shared" si="14"/>
        <v>1.0000000000000007</v>
      </c>
      <c r="T17" s="171">
        <f t="shared" si="14"/>
        <v>1.0000000000000004</v>
      </c>
      <c r="U17" s="171">
        <f t="shared" si="14"/>
        <v>0.99999999999999911</v>
      </c>
      <c r="V17" s="171">
        <f t="shared" si="14"/>
        <v>0.99999999999999967</v>
      </c>
      <c r="W17" s="171">
        <f t="shared" si="14"/>
        <v>0.99999999999999978</v>
      </c>
    </row>
    <row r="18" spans="2:23">
      <c r="B18" s="141" t="s">
        <v>10558</v>
      </c>
      <c r="C18" s="142">
        <f>SUMIFS('Bottom-up tagging'!$I:$I,'Bottom-up tagging'!$R:$R,'Analysis of bottom-up tags'!$B18,'Bottom-up tagging'!$E:$E,'Analysis of bottom-up tags'!C$6)</f>
        <v>3018850</v>
      </c>
      <c r="D18" s="142">
        <f>SUMIFS('Bottom-up tagging'!$I:$I,'Bottom-up tagging'!$R:$R,'Analysis of bottom-up tags'!$B18,'Bottom-up tagging'!$E:$E,'Analysis of bottom-up tags'!D$6)</f>
        <v>51653743.470349908</v>
      </c>
      <c r="E18" s="142">
        <f>SUMIFS('Bottom-up tagging'!$I:$I,'Bottom-up tagging'!$R:$R,'Analysis of bottom-up tags'!$B18,'Bottom-up tagging'!$E:$E,'Analysis of bottom-up tags'!E$6)</f>
        <v>3615862.4593030475</v>
      </c>
      <c r="F18" s="142">
        <f>SUMIFS('Bottom-up tagging'!$I:$I,'Bottom-up tagging'!$R:$R,'Analysis of bottom-up tags'!$B18,'Bottom-up tagging'!$E:$E,'Analysis of bottom-up tags'!F$6)</f>
        <v>20894596.250740692</v>
      </c>
      <c r="G18" s="142">
        <f>SUMIFS('Bottom-up tagging'!$I:$I,'Bottom-up tagging'!$R:$R,'Analysis of bottom-up tags'!$B18,'Bottom-up tagging'!$E:$E,'Analysis of bottom-up tags'!G$6)</f>
        <v>23570667.867883638</v>
      </c>
      <c r="H18" s="142">
        <f>SUMIFS('Bottom-up tagging'!$I:$I,'Bottom-up tagging'!$R:$R,'Analysis of bottom-up tags'!$B18,'Bottom-up tagging'!$E:$E,'Analysis of bottom-up tags'!H$6)</f>
        <v>72096497.639063597</v>
      </c>
      <c r="I18" s="142">
        <f>SUMIFS('Bottom-up tagging'!$I:$I,'Bottom-up tagging'!$R:$R,'Analysis of bottom-up tags'!$B18,'Bottom-up tagging'!$E:$E,'Analysis of bottom-up tags'!I$6)</f>
        <v>231876034.67197746</v>
      </c>
      <c r="J18" s="142">
        <f>SUMIFS('Bottom-up tagging'!$I:$I,'Bottom-up tagging'!$R:$R,'Analysis of bottom-up tags'!$B18,'Bottom-up tagging'!$E:$E,'Analysis of bottom-up tags'!J$6)</f>
        <v>73048183.149973884</v>
      </c>
      <c r="K18" s="142">
        <f>SUMIFS('Bottom-up tagging'!$I:$I,'Bottom-up tagging'!$R:$R,'Analysis of bottom-up tags'!$B18,'Bottom-up tagging'!$E:$E,'Analysis of bottom-up tags'!K$6)</f>
        <v>100470697.99001072</v>
      </c>
      <c r="L18" s="142">
        <f>SUMIFS('Bottom-up tagging'!$I:$I,'Bottom-up tagging'!$R:$R,'Analysis of bottom-up tags'!$B18,'Bottom-up tagging'!$E:$E,'Analysis of bottom-up tags'!L$6)</f>
        <v>17243301.543024253</v>
      </c>
      <c r="M18" s="142"/>
      <c r="N18" s="143">
        <f>C18/C$7</f>
        <v>3.2235812918733342E-2</v>
      </c>
      <c r="O18" s="143">
        <f t="shared" ref="O18:O21" si="15">D18/D$7</f>
        <v>0.63923621578412215</v>
      </c>
      <c r="P18" s="143">
        <f t="shared" ref="P18:P21" si="16">E18/E$7</f>
        <v>0.469052794579639</v>
      </c>
      <c r="Q18" s="143">
        <f t="shared" ref="Q18:Q21" si="17">F18/F$7</f>
        <v>0.57771884129314288</v>
      </c>
      <c r="R18" s="143">
        <f t="shared" ref="R18:R21" si="18">G18/G$7</f>
        <v>0.57917831990360769</v>
      </c>
      <c r="S18" s="143">
        <f t="shared" ref="S18:S21" si="19">H18/H$7</f>
        <v>0.36077621639091478</v>
      </c>
      <c r="T18" s="143">
        <f t="shared" ref="T18:T21" si="20">I18/I$7</f>
        <v>0.6333765768271542</v>
      </c>
      <c r="U18" s="143">
        <f t="shared" ref="U18:U21" si="21">J18/J$7</f>
        <v>0.35040342711697225</v>
      </c>
      <c r="V18" s="143">
        <f t="shared" ref="V18:V21" si="22">K18/K$7</f>
        <v>9.2061036397341797E-2</v>
      </c>
      <c r="W18" s="143">
        <f t="shared" ref="W18:W21" si="23">L18/L$7</f>
        <v>6.3731196610866112E-2</v>
      </c>
    </row>
    <row r="19" spans="2:23">
      <c r="B19" s="141" t="s">
        <v>11074</v>
      </c>
      <c r="C19" s="142">
        <f>SUMIFS('Bottom-up tagging'!$I:$I,'Bottom-up tagging'!$R:$R,'Analysis of bottom-up tags'!$B19,'Bottom-up tagging'!$E:$E,'Analysis of bottom-up tags'!C$6)</f>
        <v>88555822</v>
      </c>
      <c r="D19" s="142">
        <f>SUMIFS('Bottom-up tagging'!$I:$I,'Bottom-up tagging'!$R:$R,'Analysis of bottom-up tags'!$B19,'Bottom-up tagging'!$E:$E,'Analysis of bottom-up tags'!D$6)</f>
        <v>29087244.151240148</v>
      </c>
      <c r="E19" s="142">
        <f>SUMIFS('Bottom-up tagging'!$I:$I,'Bottom-up tagging'!$R:$R,'Analysis of bottom-up tags'!$B19,'Bottom-up tagging'!$E:$E,'Analysis of bottom-up tags'!E$6)</f>
        <v>3878748.4862113516</v>
      </c>
      <c r="F19" s="142">
        <f>SUMIFS('Bottom-up tagging'!$I:$I,'Bottom-up tagging'!$R:$R,'Analysis of bottom-up tags'!$B19,'Bottom-up tagging'!$E:$E,'Analysis of bottom-up tags'!F$6)</f>
        <v>14141337.223900689</v>
      </c>
      <c r="G19" s="142">
        <f>SUMIFS('Bottom-up tagging'!$I:$I,'Bottom-up tagging'!$R:$R,'Analysis of bottom-up tags'!$B19,'Bottom-up tagging'!$E:$E,'Analysis of bottom-up tags'!G$6)</f>
        <v>13160247.75461852</v>
      </c>
      <c r="H19" s="142">
        <f>SUMIFS('Bottom-up tagging'!$I:$I,'Bottom-up tagging'!$R:$R,'Analysis of bottom-up tags'!$B19,'Bottom-up tagging'!$E:$E,'Analysis of bottom-up tags'!H$6)</f>
        <v>59272090.49654229</v>
      </c>
      <c r="I19" s="142">
        <f>SUMIFS('Bottom-up tagging'!$I:$I,'Bottom-up tagging'!$R:$R,'Analysis of bottom-up tags'!$B19,'Bottom-up tagging'!$E:$E,'Analysis of bottom-up tags'!I$6)</f>
        <v>120957979.40090559</v>
      </c>
      <c r="J19" s="142">
        <f>SUMIFS('Bottom-up tagging'!$I:$I,'Bottom-up tagging'!$R:$R,'Analysis of bottom-up tags'!$B19,'Bottom-up tagging'!$E:$E,'Analysis of bottom-up tags'!J$6)</f>
        <v>126890182.69314571</v>
      </c>
      <c r="K19" s="142">
        <f>SUMIFS('Bottom-up tagging'!$I:$I,'Bottom-up tagging'!$R:$R,'Analysis of bottom-up tags'!$B19,'Bottom-up tagging'!$E:$E,'Analysis of bottom-up tags'!K$6)</f>
        <v>929202303.94969904</v>
      </c>
      <c r="L19" s="142">
        <f>SUMIFS('Bottom-up tagging'!$I:$I,'Bottom-up tagging'!$R:$R,'Analysis of bottom-up tags'!$B19,'Bottom-up tagging'!$E:$E,'Analysis of bottom-up tags'!L$6)</f>
        <v>221179412.82195118</v>
      </c>
      <c r="M19" s="142"/>
      <c r="N19" s="143">
        <f t="shared" ref="N19:N21" si="24">C19/C$7</f>
        <v>0.94561469130849507</v>
      </c>
      <c r="O19" s="143">
        <f t="shared" si="15"/>
        <v>0.3599665509141779</v>
      </c>
      <c r="P19" s="143">
        <f t="shared" si="16"/>
        <v>0.50315459656052675</v>
      </c>
      <c r="Q19" s="143">
        <f t="shared" si="17"/>
        <v>0.39099664129848344</v>
      </c>
      <c r="R19" s="143">
        <f t="shared" si="18"/>
        <v>0.3233735347151856</v>
      </c>
      <c r="S19" s="143">
        <f t="shared" si="19"/>
        <v>0.29660193278703856</v>
      </c>
      <c r="T19" s="143">
        <f t="shared" si="20"/>
        <v>0.33040047041193288</v>
      </c>
      <c r="U19" s="143">
        <f t="shared" si="21"/>
        <v>0.60867708087812822</v>
      </c>
      <c r="V19" s="143">
        <f t="shared" si="22"/>
        <v>0.85142562792698251</v>
      </c>
      <c r="W19" s="143">
        <f t="shared" si="23"/>
        <v>0.81747852113241115</v>
      </c>
    </row>
    <row r="20" spans="2:23">
      <c r="B20" s="141" t="s">
        <v>11075</v>
      </c>
      <c r="C20" s="142">
        <f>SUMIFS('Bottom-up tagging'!$I:$I,'Bottom-up tagging'!$R:$R,'Analysis of bottom-up tags'!$B20,'Bottom-up tagging'!$E:$E,'Analysis of bottom-up tags'!C$6)</f>
        <v>0</v>
      </c>
      <c r="D20" s="142">
        <f>SUMIFS('Bottom-up tagging'!$I:$I,'Bottom-up tagging'!$R:$R,'Analysis of bottom-up tags'!$B20,'Bottom-up tagging'!$E:$E,'Analysis of bottom-up tags'!D$6)</f>
        <v>0</v>
      </c>
      <c r="E20" s="142">
        <f>SUMIFS('Bottom-up tagging'!$I:$I,'Bottom-up tagging'!$R:$R,'Analysis of bottom-up tags'!$B20,'Bottom-up tagging'!$E:$E,'Analysis of bottom-up tags'!E$6)</f>
        <v>0</v>
      </c>
      <c r="F20" s="142">
        <f>SUMIFS('Bottom-up tagging'!$I:$I,'Bottom-up tagging'!$R:$R,'Analysis of bottom-up tags'!$B20,'Bottom-up tagging'!$E:$E,'Analysis of bottom-up tags'!F$6)</f>
        <v>852085.9854015006</v>
      </c>
      <c r="G20" s="142">
        <f>SUMIFS('Bottom-up tagging'!$I:$I,'Bottom-up tagging'!$R:$R,'Analysis of bottom-up tags'!$B20,'Bottom-up tagging'!$E:$E,'Analysis of bottom-up tags'!G$6)</f>
        <v>3719768.6935630133</v>
      </c>
      <c r="H20" s="142">
        <f>SUMIFS('Bottom-up tagging'!$I:$I,'Bottom-up tagging'!$R:$R,'Analysis of bottom-up tags'!$B20,'Bottom-up tagging'!$E:$E,'Analysis of bottom-up tags'!H$6)</f>
        <v>67405444.124961048</v>
      </c>
      <c r="I20" s="142">
        <f>SUMIFS('Bottom-up tagging'!$I:$I,'Bottom-up tagging'!$R:$R,'Analysis of bottom-up tags'!$B20,'Bottom-up tagging'!$E:$E,'Analysis of bottom-up tags'!I$6)</f>
        <v>11716887.941079101</v>
      </c>
      <c r="J20" s="142">
        <f>SUMIFS('Bottom-up tagging'!$I:$I,'Bottom-up tagging'!$R:$R,'Analysis of bottom-up tags'!$B20,'Bottom-up tagging'!$E:$E,'Analysis of bottom-up tags'!J$6)</f>
        <v>1059102.156799712</v>
      </c>
      <c r="K20" s="142">
        <f>SUMIFS('Bottom-up tagging'!$I:$I,'Bottom-up tagging'!$R:$R,'Analysis of bottom-up tags'!$B20,'Bottom-up tagging'!$E:$E,'Analysis of bottom-up tags'!K$6)</f>
        <v>58075356.749229714</v>
      </c>
      <c r="L20" s="142">
        <f>SUMIFS('Bottom-up tagging'!$I:$I,'Bottom-up tagging'!$R:$R,'Analysis of bottom-up tags'!$B20,'Bottom-up tagging'!$E:$E,'Analysis of bottom-up tags'!L$6)</f>
        <v>31188492.138273235</v>
      </c>
      <c r="M20" s="142"/>
      <c r="N20" s="143">
        <f t="shared" si="24"/>
        <v>0</v>
      </c>
      <c r="O20" s="143">
        <f t="shared" si="15"/>
        <v>0</v>
      </c>
      <c r="P20" s="143">
        <f t="shared" si="16"/>
        <v>0</v>
      </c>
      <c r="Q20" s="143">
        <f t="shared" si="17"/>
        <v>2.3559494630140575E-2</v>
      </c>
      <c r="R20" s="143">
        <f t="shared" si="18"/>
        <v>9.1402135673184198E-2</v>
      </c>
      <c r="S20" s="143">
        <f t="shared" si="19"/>
        <v>0.33730183700874311</v>
      </c>
      <c r="T20" s="143">
        <f t="shared" si="20"/>
        <v>3.2005042632743043E-2</v>
      </c>
      <c r="U20" s="143">
        <f t="shared" si="21"/>
        <v>5.0803867995959694E-3</v>
      </c>
      <c r="V20" s="143">
        <f t="shared" si="22"/>
        <v>5.3214296689876872E-2</v>
      </c>
      <c r="W20" s="143">
        <f t="shared" si="23"/>
        <v>0.11527258393650582</v>
      </c>
    </row>
    <row r="21" spans="2:23">
      <c r="B21" s="141" t="s">
        <v>11076</v>
      </c>
      <c r="C21" s="142">
        <f>SUMIFS('Bottom-up tagging'!$I:$I,'Bottom-up tagging'!$R:$R,'Analysis of bottom-up tags'!$B21,'Bottom-up tagging'!$E:$E,'Analysis of bottom-up tags'!C$6)</f>
        <v>2074277</v>
      </c>
      <c r="D21" s="142">
        <f>SUMIFS('Bottom-up tagging'!$I:$I,'Bottom-up tagging'!$R:$R,'Analysis of bottom-up tags'!$B21,'Bottom-up tagging'!$E:$E,'Analysis of bottom-up tags'!D$6)</f>
        <v>64420.762521266013</v>
      </c>
      <c r="E21" s="142">
        <f>SUMIFS('Bottom-up tagging'!$I:$I,'Bottom-up tagging'!$R:$R,'Analysis of bottom-up tags'!$B21,'Bottom-up tagging'!$E:$E,'Analysis of bottom-up tags'!E$6)</f>
        <v>214249.33863240288</v>
      </c>
      <c r="F21" s="142">
        <f>SUMIFS('Bottom-up tagging'!$I:$I,'Bottom-up tagging'!$R:$R,'Analysis of bottom-up tags'!$B21,'Bottom-up tagging'!$E:$E,'Analysis of bottom-up tags'!F$6)</f>
        <v>279394.09353112825</v>
      </c>
      <c r="G21" s="142">
        <f>SUMIFS('Bottom-up tagging'!$I:$I,'Bottom-up tagging'!$R:$R,'Analysis of bottom-up tags'!$B21,'Bottom-up tagging'!$E:$E,'Analysis of bottom-up tags'!G$6)</f>
        <v>246052.868100297</v>
      </c>
      <c r="H21" s="142">
        <f>SUMIFS('Bottom-up tagging'!$I:$I,'Bottom-up tagging'!$R:$R,'Analysis of bottom-up tags'!$B21,'Bottom-up tagging'!$E:$E,'Analysis of bottom-up tags'!H$6)</f>
        <v>1063136.4982082809</v>
      </c>
      <c r="I21" s="142">
        <f>SUMIFS('Bottom-up tagging'!$I:$I,'Bottom-up tagging'!$R:$R,'Analysis of bottom-up tags'!$B21,'Bottom-up tagging'!$E:$E,'Analysis of bottom-up tags'!I$6)</f>
        <v>1544156.0532949665</v>
      </c>
      <c r="J21" s="142">
        <f>SUMIFS('Bottom-up tagging'!$I:$I,'Bottom-up tagging'!$R:$R,'Analysis of bottom-up tags'!$B21,'Bottom-up tagging'!$E:$E,'Analysis of bottom-up tags'!J$6)</f>
        <v>7471335.376221044</v>
      </c>
      <c r="K21" s="142">
        <f>SUMIFS('Bottom-up tagging'!$I:$I,'Bottom-up tagging'!$R:$R,'Analysis of bottom-up tags'!$B21,'Bottom-up tagging'!$E:$E,'Analysis of bottom-up tags'!K$6)</f>
        <v>3600402.1089752172</v>
      </c>
      <c r="L21" s="142">
        <f>SUMIFS('Bottom-up tagging'!$I:$I,'Bottom-up tagging'!$R:$R,'Analysis of bottom-up tags'!$B21,'Bottom-up tagging'!$E:$E,'Analysis of bottom-up tags'!L$6)</f>
        <v>951758.88887269911</v>
      </c>
      <c r="M21" s="142"/>
      <c r="N21" s="143">
        <f t="shared" si="24"/>
        <v>2.2149495772771567E-2</v>
      </c>
      <c r="O21" s="143">
        <f t="shared" si="15"/>
        <v>7.9723330169980289E-4</v>
      </c>
      <c r="P21" s="143">
        <f t="shared" si="16"/>
        <v>2.7792608859834263E-2</v>
      </c>
      <c r="Q21" s="143">
        <f t="shared" si="17"/>
        <v>7.7250227782328902E-3</v>
      </c>
      <c r="R21" s="143">
        <f t="shared" si="18"/>
        <v>6.0460097080223098E-3</v>
      </c>
      <c r="S21" s="143">
        <f t="shared" si="19"/>
        <v>5.3200138133041742E-3</v>
      </c>
      <c r="T21" s="143">
        <f t="shared" si="20"/>
        <v>4.2179101281702705E-3</v>
      </c>
      <c r="U21" s="143">
        <f t="shared" si="21"/>
        <v>3.5839105205302604E-2</v>
      </c>
      <c r="V21" s="143">
        <f t="shared" si="22"/>
        <v>3.2990389857985129E-3</v>
      </c>
      <c r="W21" s="143">
        <f t="shared" si="23"/>
        <v>3.5176983202166424E-3</v>
      </c>
    </row>
    <row r="23" spans="2:23">
      <c r="B23" s="170" t="s">
        <v>10462</v>
      </c>
      <c r="C23" s="140"/>
      <c r="D23" s="140"/>
      <c r="E23" s="140"/>
      <c r="F23" s="140"/>
      <c r="G23" s="140"/>
      <c r="H23" s="140"/>
      <c r="I23" s="140"/>
      <c r="J23" s="140"/>
      <c r="K23" s="140"/>
      <c r="L23" s="140"/>
      <c r="M23" s="140"/>
      <c r="N23" s="140"/>
      <c r="O23" s="140"/>
      <c r="P23" s="140"/>
      <c r="Q23" s="140"/>
      <c r="R23" s="140"/>
      <c r="S23" s="140"/>
      <c r="T23" s="140"/>
      <c r="U23" s="140"/>
      <c r="V23" s="140"/>
      <c r="W23" s="140"/>
    </row>
    <row r="24" spans="2:23" s="22" customFormat="1">
      <c r="B24" s="172" t="s">
        <v>11003</v>
      </c>
      <c r="C24" s="22">
        <f>SUMIFS('Bottom-up tagging'!$I:$I,'Bottom-up tagging'!$S:$S,'Analysis of bottom-up tags'!$B24,'Bottom-up tagging'!$E:$E,'Analysis of bottom-up tags'!C$6)</f>
        <v>93648949</v>
      </c>
      <c r="D24" s="22">
        <f>SUMIFS('Bottom-up tagging'!$I:$I,'Bottom-up tagging'!$S:$S,'Analysis of bottom-up tags'!$B24,'Bottom-up tagging'!$E:$E,'Analysis of bottom-up tags'!D$6)</f>
        <v>80805408.38411133</v>
      </c>
      <c r="E24" s="22">
        <f>SUMIFS('Bottom-up tagging'!$I:$I,'Bottom-up tagging'!$S:$S,'Analysis of bottom-up tags'!$B24,'Bottom-up tagging'!$E:$E,'Analysis of bottom-up tags'!E$6)</f>
        <v>7708860.2841468025</v>
      </c>
      <c r="F24" s="22">
        <f>SUMIFS('Bottom-up tagging'!$I:$I,'Bottom-up tagging'!$S:$S,'Analysis of bottom-up tags'!$B24,'Bottom-up tagging'!$E:$E,'Analysis of bottom-up tags'!F$6)</f>
        <v>36167413.553574018</v>
      </c>
      <c r="G24" s="22">
        <f>SUMIFS('Bottom-up tagging'!$I:$I,'Bottom-up tagging'!$S:$S,'Analysis of bottom-up tags'!$B24,'Bottom-up tagging'!$E:$E,'Analysis of bottom-up tags'!G$6)</f>
        <v>40696737.184165478</v>
      </c>
      <c r="H24" s="22">
        <f>SUMIFS('Bottom-up tagging'!$I:$I,'Bottom-up tagging'!$S:$S,'Analysis of bottom-up tags'!$B24,'Bottom-up tagging'!$E:$E,'Analysis of bottom-up tags'!H$6)</f>
        <v>199837168.75877509</v>
      </c>
      <c r="I24" s="22">
        <f>SUMIFS('Bottom-up tagging'!$I:$I,'Bottom-up tagging'!$S:$S,'Analysis of bottom-up tags'!$B24,'Bottom-up tagging'!$E:$E,'Analysis of bottom-up tags'!I$6)</f>
        <v>366095058.06725699</v>
      </c>
      <c r="J24" s="22">
        <f>SUMIFS('Bottom-up tagging'!$I:$I,'Bottom-up tagging'!$S:$S,'Analysis of bottom-up tags'!$B24,'Bottom-up tagging'!$E:$E,'Analysis of bottom-up tags'!J$6)</f>
        <v>208468803.37614053</v>
      </c>
      <c r="K24" s="22">
        <f>SUMIFS('Bottom-up tagging'!$I:$I,'Bottom-up tagging'!$S:$S,'Analysis of bottom-up tags'!$B24,'Bottom-up tagging'!$E:$E,'Analysis of bottom-up tags'!K$6)</f>
        <v>1091348760.797915</v>
      </c>
      <c r="L24" s="22">
        <f>SUMIFS('Bottom-up tagging'!$I:$I,'Bottom-up tagging'!$S:$S,'Analysis of bottom-up tags'!$B24,'Bottom-up tagging'!$E:$E,'Analysis of bottom-up tags'!L$6)</f>
        <v>270562965.39212143</v>
      </c>
      <c r="N24" s="101">
        <f t="shared" ref="N24:W24" si="25">C24/C$7</f>
        <v>1</v>
      </c>
      <c r="O24" s="101">
        <f t="shared" si="25"/>
        <v>1</v>
      </c>
      <c r="P24" s="101">
        <f t="shared" si="25"/>
        <v>1</v>
      </c>
      <c r="Q24" s="101">
        <f t="shared" si="25"/>
        <v>1</v>
      </c>
      <c r="R24" s="101">
        <f t="shared" si="25"/>
        <v>1</v>
      </c>
      <c r="S24" s="101">
        <f t="shared" si="25"/>
        <v>1</v>
      </c>
      <c r="T24" s="101">
        <f t="shared" si="25"/>
        <v>1</v>
      </c>
      <c r="U24" s="101">
        <f t="shared" si="25"/>
        <v>1</v>
      </c>
      <c r="V24" s="101">
        <f t="shared" si="25"/>
        <v>1</v>
      </c>
      <c r="W24" s="101">
        <f t="shared" si="25"/>
        <v>1</v>
      </c>
    </row>
    <row r="25" spans="2:23" s="22" customFormat="1">
      <c r="N25" s="101"/>
      <c r="O25" s="101"/>
      <c r="P25" s="101"/>
      <c r="Q25" s="101"/>
      <c r="R25" s="101"/>
      <c r="S25" s="101"/>
      <c r="T25" s="101"/>
      <c r="U25" s="101"/>
      <c r="V25" s="101"/>
      <c r="W25" s="101"/>
    </row>
    <row r="26" spans="2:23" s="22" customFormat="1">
      <c r="B26" s="170" t="s">
        <v>10463</v>
      </c>
      <c r="C26" s="140"/>
      <c r="D26" s="140"/>
      <c r="E26" s="140"/>
      <c r="F26" s="140"/>
      <c r="G26" s="140"/>
      <c r="H26" s="140"/>
      <c r="I26" s="140"/>
      <c r="J26" s="140"/>
      <c r="K26" s="140"/>
      <c r="L26" s="140"/>
      <c r="M26" s="140"/>
      <c r="N26" s="173">
        <f>SUM(N27:N29)</f>
        <v>1</v>
      </c>
      <c r="O26" s="173">
        <f t="shared" ref="O26:W26" si="26">SUM(O27:O29)</f>
        <v>1</v>
      </c>
      <c r="P26" s="173">
        <f t="shared" si="26"/>
        <v>1</v>
      </c>
      <c r="Q26" s="173">
        <f t="shared" si="26"/>
        <v>0.99999999999999978</v>
      </c>
      <c r="R26" s="173">
        <f t="shared" si="26"/>
        <v>1.0000000000000002</v>
      </c>
      <c r="S26" s="173">
        <f t="shared" si="26"/>
        <v>0.99999999999999989</v>
      </c>
      <c r="T26" s="173">
        <f t="shared" si="26"/>
        <v>1</v>
      </c>
      <c r="U26" s="173">
        <f t="shared" si="26"/>
        <v>1</v>
      </c>
      <c r="V26" s="173">
        <f t="shared" si="26"/>
        <v>0.99999999999999989</v>
      </c>
      <c r="W26" s="173">
        <f t="shared" si="26"/>
        <v>0.99999999999999967</v>
      </c>
    </row>
    <row r="27" spans="2:23" s="22" customFormat="1">
      <c r="B27" s="64" t="s">
        <v>10466</v>
      </c>
      <c r="C27" s="22">
        <f>SUMIFS('Bottom-up tagging'!$I:$I,'Bottom-up tagging'!$T:$T,'Analysis of bottom-up tags'!$B27,'Bottom-up tagging'!$E:$E,'Analysis of bottom-up tags'!C$6)</f>
        <v>92648949</v>
      </c>
      <c r="D27" s="22">
        <f>SUMIFS('Bottom-up tagging'!$I:$I,'Bottom-up tagging'!$T:$T,'Analysis of bottom-up tags'!$B27,'Bottom-up tagging'!$E:$E,'Analysis of bottom-up tags'!D$6)</f>
        <v>80805408.38411133</v>
      </c>
      <c r="E27" s="22">
        <f>SUMIFS('Bottom-up tagging'!$I:$I,'Bottom-up tagging'!$T:$T,'Analysis of bottom-up tags'!$B27,'Bottom-up tagging'!$E:$E,'Analysis of bottom-up tags'!E$6)</f>
        <v>7150326.8415508466</v>
      </c>
      <c r="F27" s="22">
        <f>SUMIFS('Bottom-up tagging'!$I:$I,'Bottom-up tagging'!$T:$T,'Analysis of bottom-up tags'!$B27,'Bottom-up tagging'!$E:$E,'Analysis of bottom-up tags'!F$6)</f>
        <v>28143113.439234555</v>
      </c>
      <c r="G27" s="22">
        <f>SUMIFS('Bottom-up tagging'!$I:$I,'Bottom-up tagging'!$T:$T,'Analysis of bottom-up tags'!$B27,'Bottom-up tagging'!$E:$E,'Analysis of bottom-up tags'!G$6)</f>
        <v>40521056.510895051</v>
      </c>
      <c r="H27" s="22">
        <f>SUMIFS('Bottom-up tagging'!$I:$I,'Bottom-up tagging'!$T:$T,'Analysis of bottom-up tags'!$B27,'Bottom-up tagging'!$E:$E,'Analysis of bottom-up tags'!H$6)</f>
        <v>199254339.11623639</v>
      </c>
      <c r="I27" s="22">
        <f>SUMIFS('Bottom-up tagging'!$I:$I,'Bottom-up tagging'!$T:$T,'Analysis of bottom-up tags'!$B27,'Bottom-up tagging'!$E:$E,'Analysis of bottom-up tags'!I$6)</f>
        <v>365691835.26406199</v>
      </c>
      <c r="J27" s="22">
        <f>SUMIFS('Bottom-up tagging'!$I:$I,'Bottom-up tagging'!$T:$T,'Analysis of bottom-up tags'!$B27,'Bottom-up tagging'!$E:$E,'Analysis of bottom-up tags'!J$6)</f>
        <v>196800925.14513054</v>
      </c>
      <c r="K27" s="22">
        <f>SUMIFS('Bottom-up tagging'!$I:$I,'Bottom-up tagging'!$T:$T,'Analysis of bottom-up tags'!$B27,'Bottom-up tagging'!$E:$E,'Analysis of bottom-up tags'!K$6)</f>
        <v>1086713352.9588211</v>
      </c>
      <c r="L27" s="22">
        <f>SUMIFS('Bottom-up tagging'!$I:$I,'Bottom-up tagging'!$T:$T,'Analysis of bottom-up tags'!$B27,'Bottom-up tagging'!$E:$E,'Analysis of bottom-up tags'!L$6)</f>
        <v>260886979.51476693</v>
      </c>
      <c r="N27" s="101">
        <f t="shared" ref="N27:W29" si="27">C27/C$7</f>
        <v>0.98932182356899701</v>
      </c>
      <c r="O27" s="101">
        <f t="shared" si="27"/>
        <v>1</v>
      </c>
      <c r="P27" s="101">
        <f t="shared" si="27"/>
        <v>0.92754656045011286</v>
      </c>
      <c r="Q27" s="101">
        <f t="shared" si="27"/>
        <v>0.77813453255502396</v>
      </c>
      <c r="R27" s="101">
        <f t="shared" si="27"/>
        <v>0.99568317547238694</v>
      </c>
      <c r="S27" s="101">
        <f t="shared" si="27"/>
        <v>0.99708347728223556</v>
      </c>
      <c r="T27" s="101">
        <f t="shared" si="27"/>
        <v>0.99889858441322932</v>
      </c>
      <c r="U27" s="101">
        <f t="shared" si="27"/>
        <v>0.94403057895450371</v>
      </c>
      <c r="V27" s="101">
        <f t="shared" si="27"/>
        <v>0.99575258798506827</v>
      </c>
      <c r="W27" s="101">
        <f t="shared" si="27"/>
        <v>0.96423758194943165</v>
      </c>
    </row>
    <row r="28" spans="2:23" s="22" customFormat="1">
      <c r="B28" s="64" t="s">
        <v>10464</v>
      </c>
      <c r="C28" s="22">
        <f>SUMIFS('Bottom-up tagging'!$I:$I,'Bottom-up tagging'!$T:$T,'Analysis of bottom-up tags'!$B28,'Bottom-up tagging'!$E:$E,'Analysis of bottom-up tags'!C$6)</f>
        <v>0</v>
      </c>
      <c r="D28" s="22">
        <f>SUMIFS('Bottom-up tagging'!$I:$I,'Bottom-up tagging'!$T:$T,'Analysis of bottom-up tags'!$B28,'Bottom-up tagging'!$E:$E,'Analysis of bottom-up tags'!D$6)</f>
        <v>0</v>
      </c>
      <c r="E28" s="22">
        <f>SUMIFS('Bottom-up tagging'!$I:$I,'Bottom-up tagging'!$T:$T,'Analysis of bottom-up tags'!$B28,'Bottom-up tagging'!$E:$E,'Analysis of bottom-up tags'!E$6)</f>
        <v>0</v>
      </c>
      <c r="F28" s="22">
        <f>SUMIFS('Bottom-up tagging'!$I:$I,'Bottom-up tagging'!$T:$T,'Analysis of bottom-up tags'!$B28,'Bottom-up tagging'!$E:$E,'Analysis of bottom-up tags'!F$6)</f>
        <v>8024300.1143394513</v>
      </c>
      <c r="G28" s="22">
        <f>SUMIFS('Bottom-up tagging'!$I:$I,'Bottom-up tagging'!$T:$T,'Analysis of bottom-up tags'!$B28,'Bottom-up tagging'!$E:$E,'Analysis of bottom-up tags'!G$6)</f>
        <v>0</v>
      </c>
      <c r="H28" s="22">
        <f>SUMIFS('Bottom-up tagging'!$I:$I,'Bottom-up tagging'!$T:$T,'Analysis of bottom-up tags'!$B28,'Bottom-up tagging'!$E:$E,'Analysis of bottom-up tags'!H$6)</f>
        <v>0</v>
      </c>
      <c r="I28" s="22">
        <f>SUMIFS('Bottom-up tagging'!$I:$I,'Bottom-up tagging'!$T:$T,'Analysis of bottom-up tags'!$B28,'Bottom-up tagging'!$E:$E,'Analysis of bottom-up tags'!I$6)</f>
        <v>0</v>
      </c>
      <c r="J28" s="22">
        <f>SUMIFS('Bottom-up tagging'!$I:$I,'Bottom-up tagging'!$T:$T,'Analysis of bottom-up tags'!$B28,'Bottom-up tagging'!$E:$E,'Analysis of bottom-up tags'!J$6)</f>
        <v>10245455.203071628</v>
      </c>
      <c r="K28" s="22">
        <f>SUMIFS('Bottom-up tagging'!$I:$I,'Bottom-up tagging'!$T:$T,'Analysis of bottom-up tags'!$B28,'Bottom-up tagging'!$E:$E,'Analysis of bottom-up tags'!K$6)</f>
        <v>1879469.3772679719</v>
      </c>
      <c r="L28" s="22">
        <f>SUMIFS('Bottom-up tagging'!$I:$I,'Bottom-up tagging'!$T:$T,'Analysis of bottom-up tags'!$B28,'Bottom-up tagging'!$E:$E,'Analysis of bottom-up tags'!L$6)</f>
        <v>9547026.6858968772</v>
      </c>
      <c r="N28" s="101">
        <f t="shared" si="27"/>
        <v>0</v>
      </c>
      <c r="O28" s="101">
        <f t="shared" si="27"/>
        <v>0</v>
      </c>
      <c r="P28" s="101">
        <f t="shared" si="27"/>
        <v>0</v>
      </c>
      <c r="Q28" s="101">
        <f t="shared" si="27"/>
        <v>0.22186546744497576</v>
      </c>
      <c r="R28" s="101">
        <f t="shared" si="27"/>
        <v>0</v>
      </c>
      <c r="S28" s="101">
        <f t="shared" si="27"/>
        <v>0</v>
      </c>
      <c r="T28" s="101">
        <f t="shared" si="27"/>
        <v>0</v>
      </c>
      <c r="U28" s="101">
        <f t="shared" si="27"/>
        <v>4.9146227335443278E-2</v>
      </c>
      <c r="V28" s="101">
        <f t="shared" si="27"/>
        <v>1.7221528486400996E-3</v>
      </c>
      <c r="W28" s="101">
        <f t="shared" si="27"/>
        <v>3.5285785222159152E-2</v>
      </c>
    </row>
    <row r="29" spans="2:23" s="22" customFormat="1">
      <c r="B29" s="64" t="s">
        <v>10465</v>
      </c>
      <c r="C29" s="22">
        <f>SUMIFS('Bottom-up tagging'!$I:$I,'Bottom-up tagging'!$T:$T,'Analysis of bottom-up tags'!$B29,'Bottom-up tagging'!$E:$E,'Analysis of bottom-up tags'!C$6)</f>
        <v>1000000</v>
      </c>
      <c r="D29" s="22">
        <f>SUMIFS('Bottom-up tagging'!$I:$I,'Bottom-up tagging'!$T:$T,'Analysis of bottom-up tags'!$B29,'Bottom-up tagging'!$E:$E,'Analysis of bottom-up tags'!D$6)</f>
        <v>0</v>
      </c>
      <c r="E29" s="22">
        <f>SUMIFS('Bottom-up tagging'!$I:$I,'Bottom-up tagging'!$T:$T,'Analysis of bottom-up tags'!$B29,'Bottom-up tagging'!$E:$E,'Analysis of bottom-up tags'!E$6)</f>
        <v>558533.4425959558</v>
      </c>
      <c r="F29" s="22">
        <f>SUMIFS('Bottom-up tagging'!$I:$I,'Bottom-up tagging'!$T:$T,'Analysis of bottom-up tags'!$B29,'Bottom-up tagging'!$E:$E,'Analysis of bottom-up tags'!F$6)</f>
        <v>0</v>
      </c>
      <c r="G29" s="22">
        <f>SUMIFS('Bottom-up tagging'!$I:$I,'Bottom-up tagging'!$T:$T,'Analysis of bottom-up tags'!$B29,'Bottom-up tagging'!$E:$E,'Analysis of bottom-up tags'!G$6)</f>
        <v>175680.67327043542</v>
      </c>
      <c r="H29" s="22">
        <f>SUMIFS('Bottom-up tagging'!$I:$I,'Bottom-up tagging'!$T:$T,'Analysis of bottom-up tags'!$B29,'Bottom-up tagging'!$E:$E,'Analysis of bottom-up tags'!H$6)</f>
        <v>582829.64253867092</v>
      </c>
      <c r="I29" s="22">
        <f>SUMIFS('Bottom-up tagging'!$I:$I,'Bottom-up tagging'!$T:$T,'Analysis of bottom-up tags'!$B29,'Bottom-up tagging'!$E:$E,'Analysis of bottom-up tags'!I$6)</f>
        <v>403222.80319500971</v>
      </c>
      <c r="J29" s="22">
        <f>SUMIFS('Bottom-up tagging'!$I:$I,'Bottom-up tagging'!$T:$T,'Analysis of bottom-up tags'!$B29,'Bottom-up tagging'!$E:$E,'Analysis of bottom-up tags'!J$6)</f>
        <v>1422423.0279383783</v>
      </c>
      <c r="K29" s="22">
        <f>SUMIFS('Bottom-up tagging'!$I:$I,'Bottom-up tagging'!$T:$T,'Analysis of bottom-up tags'!$B29,'Bottom-up tagging'!$E:$E,'Analysis of bottom-up tags'!K$6)</f>
        <v>2755938.4618258988</v>
      </c>
      <c r="L29" s="22">
        <f>SUMIFS('Bottom-up tagging'!$I:$I,'Bottom-up tagging'!$T:$T,'Analysis of bottom-up tags'!$B29,'Bottom-up tagging'!$E:$E,'Analysis of bottom-up tags'!L$6)</f>
        <v>128959.19145751529</v>
      </c>
      <c r="N29" s="101">
        <f t="shared" si="27"/>
        <v>1.0678176431002979E-2</v>
      </c>
      <c r="O29" s="101">
        <f t="shared" si="27"/>
        <v>0</v>
      </c>
      <c r="P29" s="101">
        <f t="shared" si="27"/>
        <v>7.2453439549887089E-2</v>
      </c>
      <c r="Q29" s="101">
        <f t="shared" si="27"/>
        <v>0</v>
      </c>
      <c r="R29" s="101">
        <f t="shared" si="27"/>
        <v>4.3168245276132425E-3</v>
      </c>
      <c r="S29" s="101">
        <f t="shared" si="27"/>
        <v>2.9165227177643258E-3</v>
      </c>
      <c r="T29" s="101">
        <f t="shared" si="27"/>
        <v>1.1014155867707228E-3</v>
      </c>
      <c r="U29" s="101">
        <f t="shared" si="27"/>
        <v>6.8231937100530987E-3</v>
      </c>
      <c r="V29" s="101">
        <f t="shared" si="27"/>
        <v>2.5252591662915866E-3</v>
      </c>
      <c r="W29" s="101">
        <f t="shared" si="27"/>
        <v>4.766328284087859E-4</v>
      </c>
    </row>
    <row r="30" spans="2:23" s="22" customFormat="1"/>
    <row r="31" spans="2:23">
      <c r="B31" s="170" t="s">
        <v>10467</v>
      </c>
      <c r="C31" s="140"/>
      <c r="D31" s="140"/>
      <c r="E31" s="140"/>
      <c r="F31" s="140"/>
      <c r="G31" s="140"/>
      <c r="H31" s="140"/>
      <c r="I31" s="140"/>
      <c r="J31" s="140"/>
      <c r="K31" s="140"/>
      <c r="L31" s="140"/>
      <c r="M31" s="140"/>
      <c r="N31" s="140"/>
      <c r="O31" s="140"/>
      <c r="P31" s="140"/>
      <c r="Q31" s="140"/>
      <c r="R31" s="140"/>
      <c r="S31" s="140"/>
      <c r="T31" s="140"/>
      <c r="U31" s="140"/>
      <c r="V31" s="140"/>
      <c r="W31" s="140"/>
    </row>
    <row r="32" spans="2:23">
      <c r="B32" s="64" t="s">
        <v>10970</v>
      </c>
      <c r="C32" s="22">
        <f>SUMIFS('Bottom-up tagging'!$I:$I,'Bottom-up tagging'!$U:$U,'Analysis of bottom-up tags'!$B32,'Bottom-up tagging'!$E:$E,'Analysis of bottom-up tags'!C$6)</f>
        <v>93648949</v>
      </c>
      <c r="D32" s="22">
        <f>SUMIFS('Bottom-up tagging'!$I:$I,'Bottom-up tagging'!$U:$U,'Analysis of bottom-up tags'!$B32,'Bottom-up tagging'!$E:$E,'Analysis of bottom-up tags'!D$6)</f>
        <v>80805408.38411133</v>
      </c>
      <c r="E32" s="22">
        <f>SUMIFS('Bottom-up tagging'!$I:$I,'Bottom-up tagging'!$U:$U,'Analysis of bottom-up tags'!$B32,'Bottom-up tagging'!$E:$E,'Analysis of bottom-up tags'!E$6)</f>
        <v>7708860.2841468025</v>
      </c>
      <c r="F32" s="22">
        <f>SUMIFS('Bottom-up tagging'!$I:$I,'Bottom-up tagging'!$U:$U,'Analysis of bottom-up tags'!$B32,'Bottom-up tagging'!$E:$E,'Analysis of bottom-up tags'!F$6)</f>
        <v>36167413.553574018</v>
      </c>
      <c r="G32" s="22">
        <f>SUMIFS('Bottom-up tagging'!$I:$I,'Bottom-up tagging'!$U:$U,'Analysis of bottom-up tags'!$B32,'Bottom-up tagging'!$E:$E,'Analysis of bottom-up tags'!G$6)</f>
        <v>40696737.184165478</v>
      </c>
      <c r="H32" s="22">
        <f>SUMIFS('Bottom-up tagging'!$I:$I,'Bottom-up tagging'!$U:$U,'Analysis of bottom-up tags'!$B32,'Bottom-up tagging'!$E:$E,'Analysis of bottom-up tags'!H$6)</f>
        <v>199837168.75877509</v>
      </c>
      <c r="I32" s="22">
        <f>SUMIFS('Bottom-up tagging'!$I:$I,'Bottom-up tagging'!$U:$U,'Analysis of bottom-up tags'!$B32,'Bottom-up tagging'!$E:$E,'Analysis of bottom-up tags'!I$6)</f>
        <v>366095058.06725699</v>
      </c>
      <c r="J32" s="22">
        <f>SUMIFS('Bottom-up tagging'!$I:$I,'Bottom-up tagging'!$U:$U,'Analysis of bottom-up tags'!$B32,'Bottom-up tagging'!$E:$E,'Analysis of bottom-up tags'!J$6)</f>
        <v>208468803.37614053</v>
      </c>
      <c r="K32" s="22">
        <f>SUMIFS('Bottom-up tagging'!$I:$I,'Bottom-up tagging'!$U:$U,'Analysis of bottom-up tags'!$B32,'Bottom-up tagging'!$E:$E,'Analysis of bottom-up tags'!K$6)</f>
        <v>1091348760.797915</v>
      </c>
      <c r="L32" s="22">
        <f>SUMIFS('Bottom-up tagging'!$I:$I,'Bottom-up tagging'!$U:$U,'Analysis of bottom-up tags'!$B32,'Bottom-up tagging'!$E:$E,'Analysis of bottom-up tags'!L$6)</f>
        <v>270562965.39212143</v>
      </c>
      <c r="N32" s="101">
        <f t="shared" ref="N32" si="28">C32/C$7</f>
        <v>1</v>
      </c>
      <c r="O32" s="101">
        <f t="shared" ref="O32" si="29">D32/D$7</f>
        <v>1</v>
      </c>
      <c r="P32" s="101">
        <f t="shared" ref="P32" si="30">E32/E$7</f>
        <v>1</v>
      </c>
      <c r="Q32" s="101">
        <f t="shared" ref="Q32" si="31">F32/F$7</f>
        <v>1</v>
      </c>
      <c r="R32" s="101">
        <f t="shared" ref="R32" si="32">G32/G$7</f>
        <v>1</v>
      </c>
      <c r="S32" s="101">
        <f t="shared" ref="S32" si="33">H32/H$7</f>
        <v>1</v>
      </c>
      <c r="T32" s="101">
        <f t="shared" ref="T32" si="34">I32/I$7</f>
        <v>1</v>
      </c>
      <c r="U32" s="101">
        <f t="shared" ref="U32" si="35">J32/J$7</f>
        <v>1</v>
      </c>
      <c r="V32" s="101">
        <f t="shared" ref="V32" si="36">K32/K$7</f>
        <v>1</v>
      </c>
      <c r="W32" s="101">
        <f t="shared" ref="W32" si="37">L32/L$7</f>
        <v>1</v>
      </c>
    </row>
    <row r="35" spans="2:23">
      <c r="B35" s="170" t="s">
        <v>10468</v>
      </c>
      <c r="C35" s="140"/>
      <c r="D35" s="140"/>
      <c r="E35" s="140"/>
      <c r="F35" s="140"/>
      <c r="G35" s="140"/>
      <c r="H35" s="140"/>
      <c r="I35" s="140"/>
      <c r="J35" s="140"/>
      <c r="K35" s="140"/>
      <c r="L35" s="140"/>
      <c r="M35" s="140"/>
      <c r="N35" s="171">
        <f>SUM(N36:N39)</f>
        <v>1</v>
      </c>
      <c r="O35" s="171">
        <f t="shared" ref="O35:W35" si="38">SUM(O36:O39)</f>
        <v>1</v>
      </c>
      <c r="P35" s="171">
        <f t="shared" si="38"/>
        <v>0.99999999999999989</v>
      </c>
      <c r="Q35" s="171">
        <f t="shared" si="38"/>
        <v>0.99999999999999967</v>
      </c>
      <c r="R35" s="171">
        <f t="shared" si="38"/>
        <v>0.99999999999999989</v>
      </c>
      <c r="S35" s="171">
        <f t="shared" si="38"/>
        <v>1.0000000000000002</v>
      </c>
      <c r="T35" s="171">
        <f t="shared" si="38"/>
        <v>1</v>
      </c>
      <c r="U35" s="171">
        <f t="shared" si="38"/>
        <v>0.99999999999999989</v>
      </c>
      <c r="V35" s="171">
        <f t="shared" si="38"/>
        <v>0.99999999999999933</v>
      </c>
      <c r="W35" s="171">
        <f t="shared" si="38"/>
        <v>0.99999999999999956</v>
      </c>
    </row>
    <row r="36" spans="2:23">
      <c r="B36" s="64" t="s">
        <v>10973</v>
      </c>
      <c r="C36" s="22">
        <f>SUMIFS('Bottom-up tagging'!$I:$I,'Bottom-up tagging'!$V:$V,'Analysis of bottom-up tags'!$B36,'Bottom-up tagging'!$E:$E,'Analysis of bottom-up tags'!C$6)</f>
        <v>6957749</v>
      </c>
      <c r="D36" s="22">
        <f>SUMIFS('Bottom-up tagging'!$I:$I,'Bottom-up tagging'!$V:$V,'Analysis of bottom-up tags'!$B36,'Bottom-up tagging'!$E:$E,'Analysis of bottom-up tags'!D$6)</f>
        <v>27831337.717946209</v>
      </c>
      <c r="E36" s="22">
        <f>SUMIFS('Bottom-up tagging'!$I:$I,'Bottom-up tagging'!$V:$V,'Analysis of bottom-up tags'!$B36,'Bottom-up tagging'!$E:$E,'Analysis of bottom-up tags'!E$6)</f>
        <v>5889296.4811075153</v>
      </c>
      <c r="F36" s="22">
        <f>SUMIFS('Bottom-up tagging'!$I:$I,'Bottom-up tagging'!$V:$V,'Analysis of bottom-up tags'!$B36,'Bottom-up tagging'!$E:$E,'Analysis of bottom-up tags'!F$6)</f>
        <v>11898932.129288796</v>
      </c>
      <c r="G36" s="22">
        <f>SUMIFS('Bottom-up tagging'!$I:$I,'Bottom-up tagging'!$V:$V,'Analysis of bottom-up tags'!$B36,'Bottom-up tagging'!$E:$E,'Analysis of bottom-up tags'!G$6)</f>
        <v>34553894.338510141</v>
      </c>
      <c r="H36" s="22">
        <f>SUMIFS('Bottom-up tagging'!$I:$I,'Bottom-up tagging'!$V:$V,'Analysis of bottom-up tags'!$B36,'Bottom-up tagging'!$E:$E,'Analysis of bottom-up tags'!H$6)</f>
        <v>177377341.24940214</v>
      </c>
      <c r="I36" s="22">
        <f>SUMIFS('Bottom-up tagging'!$I:$I,'Bottom-up tagging'!$V:$V,'Analysis of bottom-up tags'!$B36,'Bottom-up tagging'!$E:$E,'Analysis of bottom-up tags'!I$6)</f>
        <v>349704916.11747921</v>
      </c>
      <c r="J36" s="22">
        <f>SUMIFS('Bottom-up tagging'!$I:$I,'Bottom-up tagging'!$V:$V,'Analysis of bottom-up tags'!$B36,'Bottom-up tagging'!$E:$E,'Analysis of bottom-up tags'!J$6)</f>
        <v>155560146.28918567</v>
      </c>
      <c r="K36" s="22">
        <f>SUMIFS('Bottom-up tagging'!$I:$I,'Bottom-up tagging'!$V:$V,'Analysis of bottom-up tags'!$B36,'Bottom-up tagging'!$E:$E,'Analysis of bottom-up tags'!K$6)</f>
        <v>1039922985.7007987</v>
      </c>
      <c r="L36" s="22">
        <f>SUMIFS('Bottom-up tagging'!$I:$I,'Bottom-up tagging'!$V:$V,'Analysis of bottom-up tags'!$B36,'Bottom-up tagging'!$E:$E,'Analysis of bottom-up tags'!L$6)</f>
        <v>192771614.33343896</v>
      </c>
      <c r="N36" s="101">
        <f t="shared" ref="N36:N39" si="39">C36/C$7</f>
        <v>7.4296071384634552E-2</v>
      </c>
      <c r="O36" s="101">
        <f t="shared" ref="O36:O39" si="40">D36/D$7</f>
        <v>0.34442419479707315</v>
      </c>
      <c r="P36" s="101">
        <f t="shared" ref="P36:P39" si="41">E36/E$7</f>
        <v>0.76396461526469706</v>
      </c>
      <c r="Q36" s="101">
        <f t="shared" ref="Q36:Q39" si="42">F36/F$7</f>
        <v>0.32899593750775574</v>
      </c>
      <c r="R36" s="101">
        <f t="shared" ref="R36:R39" si="43">G36/G$7</f>
        <v>0.8490580997229078</v>
      </c>
      <c r="S36" s="101">
        <f t="shared" ref="S36:S39" si="44">H36/H$7</f>
        <v>0.88760935891518578</v>
      </c>
      <c r="T36" s="101">
        <f t="shared" ref="T36:T39" si="45">I36/I$7</f>
        <v>0.95522981917235639</v>
      </c>
      <c r="U36" s="101">
        <f t="shared" ref="U36:U39" si="46">J36/J$7</f>
        <v>0.74620347874549031</v>
      </c>
      <c r="V36" s="101">
        <f t="shared" ref="V36:V39" si="47">K36/K$7</f>
        <v>0.95287869749399134</v>
      </c>
      <c r="W36" s="101">
        <f t="shared" ref="W36:W39" si="48">L36/L$7</f>
        <v>0.71248337352475033</v>
      </c>
    </row>
    <row r="37" spans="2:23">
      <c r="B37" s="64" t="s">
        <v>10977</v>
      </c>
      <c r="C37" s="22">
        <f>SUMIFS('Bottom-up tagging'!$I:$I,'Bottom-up tagging'!$V:$V,'Analysis of bottom-up tags'!$B37,'Bottom-up tagging'!$E:$E,'Analysis of bottom-up tags'!C$6)</f>
        <v>86691200</v>
      </c>
      <c r="D37" s="22">
        <f>SUMIFS('Bottom-up tagging'!$I:$I,'Bottom-up tagging'!$V:$V,'Analysis of bottom-up tags'!$B37,'Bottom-up tagging'!$E:$E,'Analysis of bottom-up tags'!D$6)</f>
        <v>51614951.042522095</v>
      </c>
      <c r="E37" s="22">
        <f>SUMIFS('Bottom-up tagging'!$I:$I,'Bottom-up tagging'!$V:$V,'Analysis of bottom-up tags'!$B37,'Bottom-up tagging'!$E:$E,'Analysis of bottom-up tags'!E$6)</f>
        <v>1819563.8030392868</v>
      </c>
      <c r="F37" s="22">
        <f>SUMIFS('Bottom-up tagging'!$I:$I,'Bottom-up tagging'!$V:$V,'Analysis of bottom-up tags'!$B37,'Bottom-up tagging'!$E:$E,'Analysis of bottom-up tags'!F$6)</f>
        <v>23799026.165535875</v>
      </c>
      <c r="G37" s="22">
        <f>SUMIFS('Bottom-up tagging'!$I:$I,'Bottom-up tagging'!$V:$V,'Analysis of bottom-up tags'!$B37,'Bottom-up tagging'!$E:$E,'Analysis of bottom-up tags'!G$6)</f>
        <v>2016210.7888683816</v>
      </c>
      <c r="H37" s="22">
        <f>SUMIFS('Bottom-up tagging'!$I:$I,'Bottom-up tagging'!$V:$V,'Analysis of bottom-up tags'!$B37,'Bottom-up tagging'!$E:$E,'Analysis of bottom-up tags'!H$6)</f>
        <v>16844520.648899075</v>
      </c>
      <c r="I37" s="22">
        <f>SUMIFS('Bottom-up tagging'!$I:$I,'Bottom-up tagging'!$V:$V,'Analysis of bottom-up tags'!$B37,'Bottom-up tagging'!$E:$E,'Analysis of bottom-up tags'!I$6)</f>
        <v>1316650.8028948091</v>
      </c>
      <c r="J37" s="22">
        <f>SUMIFS('Bottom-up tagging'!$I:$I,'Bottom-up tagging'!$V:$V,'Analysis of bottom-up tags'!$B37,'Bottom-up tagging'!$E:$E,'Analysis of bottom-up tags'!J$6)</f>
        <v>22213668.899600595</v>
      </c>
      <c r="K37" s="22">
        <f>SUMIFS('Bottom-up tagging'!$I:$I,'Bottom-up tagging'!$V:$V,'Analysis of bottom-up tags'!$B37,'Bottom-up tagging'!$E:$E,'Analysis of bottom-up tags'!K$6)</f>
        <v>20147868.711659234</v>
      </c>
      <c r="L37" s="22">
        <f>SUMIFS('Bottom-up tagging'!$I:$I,'Bottom-up tagging'!$V:$V,'Analysis of bottom-up tags'!$B37,'Bottom-up tagging'!$E:$E,'Analysis of bottom-up tags'!L$6)</f>
        <v>42418054.480873458</v>
      </c>
      <c r="N37" s="101">
        <f t="shared" si="39"/>
        <v>0.92570392861536543</v>
      </c>
      <c r="O37" s="101">
        <f t="shared" si="40"/>
        <v>0.6387561436131679</v>
      </c>
      <c r="P37" s="101">
        <f t="shared" si="41"/>
        <v>0.23603538473530286</v>
      </c>
      <c r="Q37" s="101">
        <f t="shared" si="42"/>
        <v>0.65802400081174961</v>
      </c>
      <c r="R37" s="101">
        <f t="shared" si="43"/>
        <v>4.9542320303084655E-2</v>
      </c>
      <c r="S37" s="101">
        <f t="shared" si="44"/>
        <v>8.4291229472091944E-2</v>
      </c>
      <c r="T37" s="101">
        <f t="shared" si="45"/>
        <v>3.5964724840752186E-3</v>
      </c>
      <c r="U37" s="101">
        <f t="shared" si="46"/>
        <v>0.10655632180859427</v>
      </c>
      <c r="V37" s="101">
        <f t="shared" si="47"/>
        <v>1.846143912504063E-2</v>
      </c>
      <c r="W37" s="101">
        <f t="shared" si="48"/>
        <v>0.15677701646785927</v>
      </c>
    </row>
    <row r="38" spans="2:23">
      <c r="B38" s="64" t="s">
        <v>10558</v>
      </c>
      <c r="C38" s="22">
        <f>SUMIFS('Bottom-up tagging'!$I:$I,'Bottom-up tagging'!$V:$V,'Analysis of bottom-up tags'!$B38,'Bottom-up tagging'!$E:$E,'Analysis of bottom-up tags'!C$6)</f>
        <v>0</v>
      </c>
      <c r="D38" s="22">
        <f>SUMIFS('Bottom-up tagging'!$I:$I,'Bottom-up tagging'!$V:$V,'Analysis of bottom-up tags'!$B38,'Bottom-up tagging'!$E:$E,'Analysis of bottom-up tags'!D$6)</f>
        <v>0</v>
      </c>
      <c r="E38" s="22">
        <f>SUMIFS('Bottom-up tagging'!$I:$I,'Bottom-up tagging'!$V:$V,'Analysis of bottom-up tags'!$B38,'Bottom-up tagging'!$E:$E,'Analysis of bottom-up tags'!E$6)</f>
        <v>0</v>
      </c>
      <c r="F38" s="22">
        <f>SUMIFS('Bottom-up tagging'!$I:$I,'Bottom-up tagging'!$V:$V,'Analysis of bottom-up tags'!$B38,'Bottom-up tagging'!$E:$E,'Analysis of bottom-up tags'!F$6)</f>
        <v>0</v>
      </c>
      <c r="G38" s="22">
        <f>SUMIFS('Bottom-up tagging'!$I:$I,'Bottom-up tagging'!$V:$V,'Analysis of bottom-up tags'!$B38,'Bottom-up tagging'!$E:$E,'Analysis of bottom-up tags'!G$6)</f>
        <v>0</v>
      </c>
      <c r="H38" s="22">
        <f>SUMIFS('Bottom-up tagging'!$I:$I,'Bottom-up tagging'!$V:$V,'Analysis of bottom-up tags'!$B38,'Bottom-up tagging'!$E:$E,'Analysis of bottom-up tags'!H$6)</f>
        <v>0</v>
      </c>
      <c r="I38" s="22">
        <f>SUMIFS('Bottom-up tagging'!$I:$I,'Bottom-up tagging'!$V:$V,'Analysis of bottom-up tags'!$B38,'Bottom-up tagging'!$E:$E,'Analysis of bottom-up tags'!I$6)</f>
        <v>0</v>
      </c>
      <c r="J38" s="22">
        <f>SUMIFS('Bottom-up tagging'!$I:$I,'Bottom-up tagging'!$V:$V,'Analysis of bottom-up tags'!$B38,'Bottom-up tagging'!$E:$E,'Analysis of bottom-up tags'!J$6)</f>
        <v>0</v>
      </c>
      <c r="K38" s="22">
        <f>SUMIFS('Bottom-up tagging'!$I:$I,'Bottom-up tagging'!$V:$V,'Analysis of bottom-up tags'!$B38,'Bottom-up tagging'!$E:$E,'Analysis of bottom-up tags'!K$6)</f>
        <v>0</v>
      </c>
      <c r="L38" s="22">
        <f>SUMIFS('Bottom-up tagging'!$I:$I,'Bottom-up tagging'!$V:$V,'Analysis of bottom-up tags'!$B38,'Bottom-up tagging'!$E:$E,'Analysis of bottom-up tags'!L$6)</f>
        <v>0</v>
      </c>
      <c r="N38" s="101">
        <f t="shared" si="39"/>
        <v>0</v>
      </c>
      <c r="O38" s="101">
        <f t="shared" si="40"/>
        <v>0</v>
      </c>
      <c r="P38" s="101">
        <f t="shared" si="41"/>
        <v>0</v>
      </c>
      <c r="Q38" s="101">
        <f t="shared" si="42"/>
        <v>0</v>
      </c>
      <c r="R38" s="101">
        <f t="shared" si="43"/>
        <v>0</v>
      </c>
      <c r="S38" s="101">
        <f t="shared" si="44"/>
        <v>0</v>
      </c>
      <c r="T38" s="101">
        <f t="shared" si="45"/>
        <v>0</v>
      </c>
      <c r="U38" s="101">
        <f t="shared" si="46"/>
        <v>0</v>
      </c>
      <c r="V38" s="101">
        <f t="shared" si="47"/>
        <v>0</v>
      </c>
      <c r="W38" s="101">
        <f t="shared" si="48"/>
        <v>0</v>
      </c>
    </row>
    <row r="39" spans="2:23">
      <c r="B39" s="64" t="s">
        <v>10981</v>
      </c>
      <c r="C39" s="22">
        <f>SUMIFS('Bottom-up tagging'!$I:$I,'Bottom-up tagging'!$V:$V,'Analysis of bottom-up tags'!$B39,'Bottom-up tagging'!$E:$E,'Analysis of bottom-up tags'!C$6)</f>
        <v>0</v>
      </c>
      <c r="D39" s="22">
        <f>SUMIFS('Bottom-up tagging'!$I:$I,'Bottom-up tagging'!$V:$V,'Analysis of bottom-up tags'!$B39,'Bottom-up tagging'!$E:$E,'Analysis of bottom-up tags'!D$6)</f>
        <v>1359119.6236430204</v>
      </c>
      <c r="E39" s="22">
        <f>SUMIFS('Bottom-up tagging'!$I:$I,'Bottom-up tagging'!$V:$V,'Analysis of bottom-up tags'!$B39,'Bottom-up tagging'!$E:$E,'Analysis of bottom-up tags'!E$6)</f>
        <v>0</v>
      </c>
      <c r="F39" s="22">
        <f>SUMIFS('Bottom-up tagging'!$I:$I,'Bottom-up tagging'!$V:$V,'Analysis of bottom-up tags'!$B39,'Bottom-up tagging'!$E:$E,'Analysis of bottom-up tags'!F$6)</f>
        <v>469455.25874933816</v>
      </c>
      <c r="G39" s="22">
        <f>SUMIFS('Bottom-up tagging'!$I:$I,'Bottom-up tagging'!$V:$V,'Analysis of bottom-up tags'!$B39,'Bottom-up tagging'!$E:$E,'Analysis of bottom-up tags'!G$6)</f>
        <v>4126632.0567869465</v>
      </c>
      <c r="H39" s="22">
        <f>SUMIFS('Bottom-up tagging'!$I:$I,'Bottom-up tagging'!$V:$V,'Analysis of bottom-up tags'!$B39,'Bottom-up tagging'!$E:$E,'Analysis of bottom-up tags'!H$6)</f>
        <v>5615306.8604739141</v>
      </c>
      <c r="I39" s="22">
        <f>SUMIFS('Bottom-up tagging'!$I:$I,'Bottom-up tagging'!$V:$V,'Analysis of bottom-up tags'!$B39,'Bottom-up tagging'!$E:$E,'Analysis of bottom-up tags'!I$6)</f>
        <v>15073491.146882987</v>
      </c>
      <c r="J39" s="22">
        <f>SUMIFS('Bottom-up tagging'!$I:$I,'Bottom-up tagging'!$V:$V,'Analysis of bottom-up tags'!$B39,'Bottom-up tagging'!$E:$E,'Analysis of bottom-up tags'!J$6)</f>
        <v>30694988.187354218</v>
      </c>
      <c r="K39" s="22">
        <f>SUMIFS('Bottom-up tagging'!$I:$I,'Bottom-up tagging'!$V:$V,'Analysis of bottom-up tags'!$B39,'Bottom-up tagging'!$E:$E,'Analysis of bottom-up tags'!K$6)</f>
        <v>31277906.38545635</v>
      </c>
      <c r="L39" s="22">
        <f>SUMIFS('Bottom-up tagging'!$I:$I,'Bottom-up tagging'!$V:$V,'Analysis of bottom-up tags'!$B39,'Bottom-up tagging'!$E:$E,'Analysis of bottom-up tags'!L$6)</f>
        <v>35373296.577808909</v>
      </c>
      <c r="N39" s="101">
        <f t="shared" si="39"/>
        <v>0</v>
      </c>
      <c r="O39" s="101">
        <f t="shared" si="40"/>
        <v>1.6819661589758915E-2</v>
      </c>
      <c r="P39" s="101">
        <f t="shared" si="41"/>
        <v>0</v>
      </c>
      <c r="Q39" s="101">
        <f t="shared" si="42"/>
        <v>1.2980061680494351E-2</v>
      </c>
      <c r="R39" s="101">
        <f t="shared" si="43"/>
        <v>0.10139957997400736</v>
      </c>
      <c r="S39" s="101">
        <f t="shared" si="44"/>
        <v>2.8099411612722516E-2</v>
      </c>
      <c r="T39" s="101">
        <f t="shared" si="45"/>
        <v>4.1173708343568427E-2</v>
      </c>
      <c r="U39" s="101">
        <f t="shared" si="46"/>
        <v>0.14724019944591524</v>
      </c>
      <c r="V39" s="101">
        <f t="shared" si="47"/>
        <v>2.8659863380967432E-2</v>
      </c>
      <c r="W39" s="101">
        <f t="shared" si="48"/>
        <v>0.13073961000738998</v>
      </c>
    </row>
    <row r="41" spans="2:23">
      <c r="B41" s="170" t="s">
        <v>10469</v>
      </c>
      <c r="C41" s="140"/>
      <c r="D41" s="140"/>
      <c r="E41" s="140"/>
      <c r="F41" s="140"/>
      <c r="G41" s="140"/>
      <c r="H41" s="140"/>
      <c r="I41" s="140"/>
      <c r="J41" s="140"/>
      <c r="K41" s="140"/>
      <c r="L41" s="140"/>
      <c r="M41" s="140"/>
      <c r="N41" s="171">
        <f>SUM(N42:N45)</f>
        <v>1</v>
      </c>
      <c r="O41" s="171">
        <f t="shared" ref="O41:W41" si="49">SUM(O42:O45)</f>
        <v>1</v>
      </c>
      <c r="P41" s="171">
        <f t="shared" si="49"/>
        <v>0.99999999999999989</v>
      </c>
      <c r="Q41" s="171">
        <f t="shared" si="49"/>
        <v>0.99999999999999978</v>
      </c>
      <c r="R41" s="171">
        <f t="shared" si="49"/>
        <v>0.99999999999999978</v>
      </c>
      <c r="S41" s="171">
        <f t="shared" si="49"/>
        <v>1.0000000000000004</v>
      </c>
      <c r="T41" s="171">
        <f t="shared" si="49"/>
        <v>1.0000000000000002</v>
      </c>
      <c r="U41" s="171">
        <f t="shared" si="49"/>
        <v>0.99999999999999933</v>
      </c>
      <c r="V41" s="171">
        <f t="shared" si="49"/>
        <v>0.99999999999999956</v>
      </c>
      <c r="W41" s="171">
        <f t="shared" si="49"/>
        <v>0.99999999999999967</v>
      </c>
    </row>
    <row r="42" spans="2:23">
      <c r="B42" s="64" t="s">
        <v>10957</v>
      </c>
      <c r="C42" s="22">
        <f>SUMIFS('Bottom-up tagging'!$I:$I,'Bottom-up tagging'!$W:$W,'Analysis of bottom-up tags'!$B42,'Bottom-up tagging'!$E:$E,'Analysis of bottom-up tags'!C$6)</f>
        <v>2150000</v>
      </c>
      <c r="D42" s="22">
        <f>SUMIFS('Bottom-up tagging'!$I:$I,'Bottom-up tagging'!$W:$W,'Analysis of bottom-up tags'!$B42,'Bottom-up tagging'!$E:$E,'Analysis of bottom-up tags'!D$6)</f>
        <v>5734208.8020418659</v>
      </c>
      <c r="E42" s="22">
        <f>SUMIFS('Bottom-up tagging'!$I:$I,'Bottom-up tagging'!$W:$W,'Analysis of bottom-up tags'!$B42,'Bottom-up tagging'!$E:$E,'Analysis of bottom-up tags'!E$6)</f>
        <v>38358.910413892125</v>
      </c>
      <c r="F42" s="22">
        <f>SUMIFS('Bottom-up tagging'!$I:$I,'Bottom-up tagging'!$W:$W,'Analysis of bottom-up tags'!$B42,'Bottom-up tagging'!$E:$E,'Analysis of bottom-up tags'!F$6)</f>
        <v>9701193.4929842278</v>
      </c>
      <c r="G42" s="22">
        <f>SUMIFS('Bottom-up tagging'!$I:$I,'Bottom-up tagging'!$W:$W,'Analysis of bottom-up tags'!$B42,'Bottom-up tagging'!$E:$E,'Analysis of bottom-up tags'!G$6)</f>
        <v>23743943.34181238</v>
      </c>
      <c r="H42" s="22">
        <f>SUMIFS('Bottom-up tagging'!$I:$I,'Bottom-up tagging'!$W:$W,'Analysis of bottom-up tags'!$B42,'Bottom-up tagging'!$E:$E,'Analysis of bottom-up tags'!H$6)</f>
        <v>47627623.194705583</v>
      </c>
      <c r="I42" s="22">
        <f>SUMIFS('Bottom-up tagging'!$I:$I,'Bottom-up tagging'!$W:$W,'Analysis of bottom-up tags'!$B42,'Bottom-up tagging'!$E:$E,'Analysis of bottom-up tags'!I$6)</f>
        <v>217656548.48185912</v>
      </c>
      <c r="J42" s="22">
        <f>SUMIFS('Bottom-up tagging'!$I:$I,'Bottom-up tagging'!$W:$W,'Analysis of bottom-up tags'!$B42,'Bottom-up tagging'!$E:$E,'Analysis of bottom-up tags'!J$6)</f>
        <v>64607142.002606593</v>
      </c>
      <c r="K42" s="22">
        <f>SUMIFS('Bottom-up tagging'!$I:$I,'Bottom-up tagging'!$W:$W,'Analysis of bottom-up tags'!$B42,'Bottom-up tagging'!$E:$E,'Analysis of bottom-up tags'!K$6)</f>
        <v>1006259035.3031949</v>
      </c>
      <c r="L42" s="22">
        <f>SUMIFS('Bottom-up tagging'!$I:$I,'Bottom-up tagging'!$W:$W,'Analysis of bottom-up tags'!$B42,'Bottom-up tagging'!$E:$E,'Analysis of bottom-up tags'!L$6)</f>
        <v>149635840.169036</v>
      </c>
      <c r="N42" s="101">
        <f t="shared" ref="N42:N45" si="50">C42/C$7</f>
        <v>2.2958079326656406E-2</v>
      </c>
      <c r="O42" s="101">
        <f t="shared" ref="O42:O45" si="51">D42/D$7</f>
        <v>7.0963180766120307E-2</v>
      </c>
      <c r="P42" s="101">
        <f t="shared" ref="P42:P45" si="52">E42/E$7</f>
        <v>4.975950918811806E-3</v>
      </c>
      <c r="Q42" s="101">
        <f t="shared" ref="Q42:Q45" si="53">F42/F$7</f>
        <v>0.2682302254932899</v>
      </c>
      <c r="R42" s="101">
        <f t="shared" ref="R42:R45" si="54">G42/G$7</f>
        <v>0.58343604388635883</v>
      </c>
      <c r="S42" s="101">
        <f t="shared" ref="S42:S45" si="55">H42/H$7</f>
        <v>0.23833215557711007</v>
      </c>
      <c r="T42" s="101">
        <f t="shared" ref="T42:T45" si="56">I42/I$7</f>
        <v>0.5945356094970079</v>
      </c>
      <c r="U42" s="101">
        <f t="shared" ref="U42:U45" si="57">J42/J$7</f>
        <v>0.30991275891786957</v>
      </c>
      <c r="V42" s="101">
        <f t="shared" ref="V42:V45" si="58">K42/K$7</f>
        <v>0.922032508258397</v>
      </c>
      <c r="W42" s="101">
        <f t="shared" ref="W42:W45" si="59">L42/L$7</f>
        <v>0.55305366701673975</v>
      </c>
    </row>
    <row r="43" spans="2:23">
      <c r="B43" s="174" t="s">
        <v>10558</v>
      </c>
      <c r="C43" s="144">
        <f>SUMIFS('Bottom-up tagging'!$I:$I,'Bottom-up tagging'!$W:$W,'Analysis of bottom-up tags'!$B43,'Bottom-up tagging'!$E:$E,'Analysis of bottom-up tags'!C$6)</f>
        <v>33514622</v>
      </c>
      <c r="D43" s="144">
        <f>SUMIFS('Bottom-up tagging'!$I:$I,'Bottom-up tagging'!$W:$W,'Analysis of bottom-up tags'!$B43,'Bottom-up tagging'!$E:$E,'Analysis of bottom-up tags'!D$6)</f>
        <v>26413094.126794811</v>
      </c>
      <c r="E43" s="144">
        <f>SUMIFS('Bottom-up tagging'!$I:$I,'Bottom-up tagging'!$W:$W,'Analysis of bottom-up tags'!$B43,'Bottom-up tagging'!$E:$E,'Analysis of bottom-up tags'!E$6)</f>
        <v>1587308.5881665205</v>
      </c>
      <c r="F43" s="144">
        <f>SUMIFS('Bottom-up tagging'!$I:$I,'Bottom-up tagging'!$W:$W,'Analysis of bottom-up tags'!$B43,'Bottom-up tagging'!$E:$E,'Analysis of bottom-up tags'!F$6)</f>
        <v>18304657.070924453</v>
      </c>
      <c r="G43" s="144">
        <f>SUMIFS('Bottom-up tagging'!$I:$I,'Bottom-up tagging'!$W:$W,'Analysis of bottom-up tags'!$B43,'Bottom-up tagging'!$E:$E,'Analysis of bottom-up tags'!G$6)</f>
        <v>9813817.6396806035</v>
      </c>
      <c r="H43" s="144">
        <f>SUMIFS('Bottom-up tagging'!$I:$I,'Bottom-up tagging'!$W:$W,'Analysis of bottom-up tags'!$B43,'Bottom-up tagging'!$E:$E,'Analysis of bottom-up tags'!H$6)</f>
        <v>98718921.1243487</v>
      </c>
      <c r="I43" s="144">
        <f>SUMIFS('Bottom-up tagging'!$I:$I,'Bottom-up tagging'!$W:$W,'Analysis of bottom-up tags'!$B43,'Bottom-up tagging'!$E:$E,'Analysis of bottom-up tags'!I$6)</f>
        <v>112953798.6212972</v>
      </c>
      <c r="J43" s="144">
        <f>SUMIFS('Bottom-up tagging'!$I:$I,'Bottom-up tagging'!$W:$W,'Analysis of bottom-up tags'!$B43,'Bottom-up tagging'!$E:$E,'Analysis of bottom-up tags'!J$6)</f>
        <v>4249130.1854153145</v>
      </c>
      <c r="K43" s="144">
        <f>SUMIFS('Bottom-up tagging'!$I:$I,'Bottom-up tagging'!$W:$W,'Analysis of bottom-up tags'!$B43,'Bottom-up tagging'!$E:$E,'Analysis of bottom-up tags'!K$6)</f>
        <v>7082086.4624397494</v>
      </c>
      <c r="L43" s="144">
        <f>SUMIFS('Bottom-up tagging'!$I:$I,'Bottom-up tagging'!$W:$W,'Analysis of bottom-up tags'!$B43,'Bottom-up tagging'!$E:$E,'Analysis of bottom-up tags'!L$6)</f>
        <v>3986201.3073800076</v>
      </c>
      <c r="M43" s="144"/>
      <c r="N43" s="145">
        <f t="shared" si="50"/>
        <v>0.35787504673437392</v>
      </c>
      <c r="O43" s="145">
        <f t="shared" si="51"/>
        <v>0.32687284991171933</v>
      </c>
      <c r="P43" s="145">
        <f t="shared" si="52"/>
        <v>0.20590703809106586</v>
      </c>
      <c r="Q43" s="145">
        <f t="shared" si="53"/>
        <v>0.50610909856216713</v>
      </c>
      <c r="R43" s="145">
        <f t="shared" si="54"/>
        <v>0.24114507252190773</v>
      </c>
      <c r="S43" s="145">
        <f t="shared" si="55"/>
        <v>0.49399679617915843</v>
      </c>
      <c r="T43" s="145">
        <f t="shared" si="56"/>
        <v>0.30853680248408583</v>
      </c>
      <c r="U43" s="145">
        <f t="shared" si="57"/>
        <v>2.0382570996719366E-2</v>
      </c>
      <c r="V43" s="145">
        <f t="shared" si="58"/>
        <v>6.4892972043710771E-3</v>
      </c>
      <c r="W43" s="145">
        <f t="shared" si="59"/>
        <v>1.473298942300875E-2</v>
      </c>
    </row>
    <row r="44" spans="2:23">
      <c r="B44" s="64" t="s">
        <v>10967</v>
      </c>
      <c r="C44" s="22">
        <f>SUMIFS('Bottom-up tagging'!$I:$I,'Bottom-up tagging'!$W:$W,'Analysis of bottom-up tags'!$B44,'Bottom-up tagging'!$E:$E,'Analysis of bottom-up tags'!C$6)</f>
        <v>56910050</v>
      </c>
      <c r="D44" s="22">
        <f>SUMIFS('Bottom-up tagging'!$I:$I,'Bottom-up tagging'!$W:$W,'Analysis of bottom-up tags'!$B44,'Bottom-up tagging'!$E:$E,'Analysis of bottom-up tags'!D$6)</f>
        <v>45983955.430829309</v>
      </c>
      <c r="E44" s="22">
        <f>SUMIFS('Bottom-up tagging'!$I:$I,'Bottom-up tagging'!$W:$W,'Analysis of bottom-up tags'!$B44,'Bottom-up tagging'!$E:$E,'Analysis of bottom-up tags'!E$6)</f>
        <v>1781204.8926253945</v>
      </c>
      <c r="F44" s="22">
        <f>SUMIFS('Bottom-up tagging'!$I:$I,'Bottom-up tagging'!$W:$W,'Analysis of bottom-up tags'!$B44,'Bottom-up tagging'!$E:$E,'Analysis of bottom-up tags'!F$6)</f>
        <v>3061710.2252667667</v>
      </c>
      <c r="G44" s="22">
        <f>SUMIFS('Bottom-up tagging'!$I:$I,'Bottom-up tagging'!$W:$W,'Analysis of bottom-up tags'!$B44,'Bottom-up tagging'!$E:$E,'Analysis of bottom-up tags'!G$6)</f>
        <v>246052.868100297</v>
      </c>
      <c r="H44" s="22">
        <f>SUMIFS('Bottom-up tagging'!$I:$I,'Bottom-up tagging'!$W:$W,'Analysis of bottom-up tags'!$B44,'Bottom-up tagging'!$E:$E,'Analysis of bottom-up tags'!H$6)</f>
        <v>34443350.880226836</v>
      </c>
      <c r="I44" s="22">
        <f>SUMIFS('Bottom-up tagging'!$I:$I,'Bottom-up tagging'!$W:$W,'Analysis of bottom-up tags'!$B44,'Bottom-up tagging'!$E:$E,'Analysis of bottom-up tags'!I$6)</f>
        <v>8628801.9559611995</v>
      </c>
      <c r="J44" s="22">
        <f>SUMIFS('Bottom-up tagging'!$I:$I,'Bottom-up tagging'!$W:$W,'Analysis of bottom-up tags'!$B44,'Bottom-up tagging'!$E:$E,'Analysis of bottom-up tags'!J$6)</f>
        <v>7083556.4537570681</v>
      </c>
      <c r="K44" s="22">
        <f>SUMIFS('Bottom-up tagging'!$I:$I,'Bottom-up tagging'!$W:$W,'Analysis of bottom-up tags'!$B44,'Bottom-up tagging'!$E:$E,'Analysis of bottom-up tags'!K$6)</f>
        <v>973637.59564089018</v>
      </c>
      <c r="L44" s="22">
        <f>SUMIFS('Bottom-up tagging'!$I:$I,'Bottom-up tagging'!$W:$W,'Analysis of bottom-up tags'!$B44,'Bottom-up tagging'!$E:$E,'Analysis of bottom-up tags'!L$6)</f>
        <v>2622805.4640786638</v>
      </c>
      <c r="N44" s="101">
        <f t="shared" si="50"/>
        <v>0.60769555459720104</v>
      </c>
      <c r="O44" s="101">
        <f t="shared" si="51"/>
        <v>0.56907026831970176</v>
      </c>
      <c r="P44" s="101">
        <f t="shared" si="52"/>
        <v>0.23105943381649105</v>
      </c>
      <c r="Q44" s="101">
        <f t="shared" si="53"/>
        <v>8.4653834057874244E-2</v>
      </c>
      <c r="R44" s="101">
        <f t="shared" si="54"/>
        <v>6.0460097080223098E-3</v>
      </c>
      <c r="S44" s="101">
        <f t="shared" si="55"/>
        <v>0.17235707998747549</v>
      </c>
      <c r="T44" s="101">
        <f t="shared" si="56"/>
        <v>2.3569840034213089E-2</v>
      </c>
      <c r="U44" s="101">
        <f t="shared" si="57"/>
        <v>3.3978975938074522E-2</v>
      </c>
      <c r="V44" s="101">
        <f t="shared" si="58"/>
        <v>8.9214156886844957E-4</v>
      </c>
      <c r="W44" s="101">
        <f t="shared" si="59"/>
        <v>9.693882014774214E-3</v>
      </c>
    </row>
    <row r="45" spans="2:23">
      <c r="B45" s="64" t="s">
        <v>10959</v>
      </c>
      <c r="C45" s="22">
        <f>SUMIFS('Bottom-up tagging'!$I:$I,'Bottom-up tagging'!$W:$W,'Analysis of bottom-up tags'!$B45,'Bottom-up tagging'!$E:$E,'Analysis of bottom-up tags'!C$6)</f>
        <v>1074277</v>
      </c>
      <c r="D45" s="22">
        <f>SUMIFS('Bottom-up tagging'!$I:$I,'Bottom-up tagging'!$W:$W,'Analysis of bottom-up tags'!$B45,'Bottom-up tagging'!$E:$E,'Analysis of bottom-up tags'!D$6)</f>
        <v>2674150.0244453391</v>
      </c>
      <c r="E45" s="22">
        <f>SUMIFS('Bottom-up tagging'!$I:$I,'Bottom-up tagging'!$W:$W,'Analysis of bottom-up tags'!$B45,'Bottom-up tagging'!$E:$E,'Analysis of bottom-up tags'!E$6)</f>
        <v>4301987.8929409944</v>
      </c>
      <c r="F45" s="22">
        <f>SUMIFS('Bottom-up tagging'!$I:$I,'Bottom-up tagging'!$W:$W,'Analysis of bottom-up tags'!$B45,'Bottom-up tagging'!$E:$E,'Analysis of bottom-up tags'!F$6)</f>
        <v>5099852.7643985637</v>
      </c>
      <c r="G45" s="22">
        <f>SUMIFS('Bottom-up tagging'!$I:$I,'Bottom-up tagging'!$W:$W,'Analysis of bottom-up tags'!$B45,'Bottom-up tagging'!$E:$E,'Analysis of bottom-up tags'!G$6)</f>
        <v>6892923.3345721904</v>
      </c>
      <c r="H45" s="22">
        <f>SUMIFS('Bottom-up tagging'!$I:$I,'Bottom-up tagging'!$W:$W,'Analysis of bottom-up tags'!$B45,'Bottom-up tagging'!$E:$E,'Analysis of bottom-up tags'!H$6)</f>
        <v>19047273.559494056</v>
      </c>
      <c r="I45" s="22">
        <f>SUMIFS('Bottom-up tagging'!$I:$I,'Bottom-up tagging'!$W:$W,'Analysis of bottom-up tags'!$B45,'Bottom-up tagging'!$E:$E,'Analysis of bottom-up tags'!I$6)</f>
        <v>26855909.008139525</v>
      </c>
      <c r="J45" s="22">
        <f>SUMIFS('Bottom-up tagging'!$I:$I,'Bottom-up tagging'!$W:$W,'Analysis of bottom-up tags'!$B45,'Bottom-up tagging'!$E:$E,'Analysis of bottom-up tags'!J$6)</f>
        <v>132528974.7343614</v>
      </c>
      <c r="K45" s="22">
        <f>SUMIFS('Bottom-up tagging'!$I:$I,'Bottom-up tagging'!$W:$W,'Analysis of bottom-up tags'!$B45,'Bottom-up tagging'!$E:$E,'Analysis of bottom-up tags'!K$6)</f>
        <v>77034001.436639071</v>
      </c>
      <c r="L45" s="22">
        <f>SUMIFS('Bottom-up tagging'!$I:$I,'Bottom-up tagging'!$W:$W,'Analysis of bottom-up tags'!$B45,'Bottom-up tagging'!$E:$E,'Analysis of bottom-up tags'!L$6)</f>
        <v>114318118.45162669</v>
      </c>
      <c r="N45" s="101">
        <f t="shared" si="50"/>
        <v>1.1471319341768588E-2</v>
      </c>
      <c r="O45" s="101">
        <f t="shared" si="51"/>
        <v>3.3093701002458571E-2</v>
      </c>
      <c r="P45" s="101">
        <f t="shared" si="52"/>
        <v>0.55805757717363114</v>
      </c>
      <c r="Q45" s="101">
        <f t="shared" si="53"/>
        <v>0.14100684188666851</v>
      </c>
      <c r="R45" s="101">
        <f t="shared" si="54"/>
        <v>0.16937287388371097</v>
      </c>
      <c r="S45" s="101">
        <f t="shared" si="55"/>
        <v>9.5313968256256473E-2</v>
      </c>
      <c r="T45" s="101">
        <f t="shared" si="56"/>
        <v>7.3357747984693369E-2</v>
      </c>
      <c r="U45" s="101">
        <f t="shared" si="57"/>
        <v>0.63572569414733582</v>
      </c>
      <c r="V45" s="101">
        <f t="shared" si="58"/>
        <v>7.0586052968363108E-2</v>
      </c>
      <c r="W45" s="101">
        <f t="shared" si="59"/>
        <v>0.42251946154547704</v>
      </c>
    </row>
    <row r="47" spans="2:23">
      <c r="B47" s="170" t="s">
        <v>10470</v>
      </c>
      <c r="C47" s="140"/>
      <c r="D47" s="140"/>
      <c r="E47" s="140"/>
      <c r="F47" s="140"/>
      <c r="G47" s="140"/>
      <c r="H47" s="140"/>
      <c r="I47" s="140"/>
      <c r="J47" s="140"/>
      <c r="K47" s="140"/>
      <c r="L47" s="140"/>
      <c r="M47" s="140"/>
      <c r="N47" s="171">
        <f>SUM(N48:N51)</f>
        <v>1</v>
      </c>
      <c r="O47" s="171">
        <f t="shared" ref="O47:W47" si="60">SUM(O48:O51)</f>
        <v>1</v>
      </c>
      <c r="P47" s="171">
        <f t="shared" si="60"/>
        <v>0.99999999999999978</v>
      </c>
      <c r="Q47" s="171">
        <f t="shared" si="60"/>
        <v>0.99999999999999978</v>
      </c>
      <c r="R47" s="171">
        <f t="shared" si="60"/>
        <v>1.0000000000000002</v>
      </c>
      <c r="S47" s="171">
        <f t="shared" si="60"/>
        <v>1</v>
      </c>
      <c r="T47" s="171">
        <f t="shared" si="60"/>
        <v>1</v>
      </c>
      <c r="U47" s="171">
        <f t="shared" si="60"/>
        <v>0.99999999999999978</v>
      </c>
      <c r="V47" s="171">
        <f t="shared" si="60"/>
        <v>0.99999999999999956</v>
      </c>
      <c r="W47" s="171">
        <f t="shared" si="60"/>
        <v>1</v>
      </c>
    </row>
    <row r="48" spans="2:23">
      <c r="B48" s="64" t="s">
        <v>10558</v>
      </c>
      <c r="C48" s="22">
        <f>SUMIFS('Bottom-up tagging'!$I:$I,'Bottom-up tagging'!$X:$X,'Analysis of bottom-up tags'!$B48,'Bottom-up tagging'!$E:$E,'Analysis of bottom-up tags'!C$6)</f>
        <v>88498949</v>
      </c>
      <c r="D48" s="22">
        <f>SUMIFS('Bottom-up tagging'!$I:$I,'Bottom-up tagging'!$X:$X,'Analysis of bottom-up tags'!$B48,'Bottom-up tagging'!$E:$E,'Analysis of bottom-up tags'!D$6)</f>
        <v>75109992.009897277</v>
      </c>
      <c r="E48" s="22">
        <f>SUMIFS('Bottom-up tagging'!$I:$I,'Bottom-up tagging'!$X:$X,'Analysis of bottom-up tags'!$B48,'Bottom-up tagging'!$E:$E,'Analysis of bottom-up tags'!E$6)</f>
        <v>5698312.2892506374</v>
      </c>
      <c r="F48" s="22">
        <f>SUMIFS('Bottom-up tagging'!$I:$I,'Bottom-up tagging'!$X:$X,'Analysis of bottom-up tags'!$B48,'Bottom-up tagging'!$E:$E,'Analysis of bottom-up tags'!F$6)</f>
        <v>26798526.405155335</v>
      </c>
      <c r="G48" s="22">
        <f>SUMIFS('Bottom-up tagging'!$I:$I,'Bottom-up tagging'!$X:$X,'Analysis of bottom-up tags'!$B48,'Bottom-up tagging'!$E:$E,'Analysis of bottom-up tags'!G$6)</f>
        <v>39610496.161305554</v>
      </c>
      <c r="H48" s="22">
        <f>SUMIFS('Bottom-up tagging'!$I:$I,'Bottom-up tagging'!$X:$X,'Analysis of bottom-up tags'!$B48,'Bottom-up tagging'!$E:$E,'Analysis of bottom-up tags'!H$6)</f>
        <v>194548475.36401945</v>
      </c>
      <c r="I48" s="22">
        <f>SUMIFS('Bottom-up tagging'!$I:$I,'Bottom-up tagging'!$X:$X,'Analysis of bottom-up tags'!$B48,'Bottom-up tagging'!$E:$E,'Analysis of bottom-up tags'!I$6)</f>
        <v>353856124.89786267</v>
      </c>
      <c r="J48" s="22">
        <f>SUMIFS('Bottom-up tagging'!$I:$I,'Bottom-up tagging'!$X:$X,'Analysis of bottom-up tags'!$B48,'Bottom-up tagging'!$E:$E,'Analysis of bottom-up tags'!J$6)</f>
        <v>202608570.45877597</v>
      </c>
      <c r="K48" s="22">
        <f>SUMIFS('Bottom-up tagging'!$I:$I,'Bottom-up tagging'!$X:$X,'Analysis of bottom-up tags'!$B48,'Bottom-up tagging'!$E:$E,'Analysis of bottom-up tags'!K$6)</f>
        <v>1086553715.9572439</v>
      </c>
      <c r="L48" s="22">
        <f>SUMIFS('Bottom-up tagging'!$I:$I,'Bottom-up tagging'!$X:$X,'Analysis of bottom-up tags'!$B48,'Bottom-up tagging'!$E:$E,'Analysis of bottom-up tags'!L$6)</f>
        <v>269066873.61201882</v>
      </c>
      <c r="N48" s="101">
        <f t="shared" ref="N48:N51" si="61">C48/C$7</f>
        <v>0.94500739138033463</v>
      </c>
      <c r="O48" s="101">
        <f t="shared" ref="O48:O51" si="62">D48/D$7</f>
        <v>0.92951689140483407</v>
      </c>
      <c r="P48" s="101">
        <f t="shared" ref="P48:P51" si="63">E48/E$7</f>
        <v>0.73918998129582947</v>
      </c>
      <c r="Q48" s="101">
        <f t="shared" ref="Q48:Q51" si="64">F48/F$7</f>
        <v>0.74095777862188705</v>
      </c>
      <c r="R48" s="101">
        <f t="shared" ref="R48:R51" si="65">G48/G$7</f>
        <v>0.97330889162086032</v>
      </c>
      <c r="S48" s="101">
        <f t="shared" ref="S48:S51" si="66">H48/H$7</f>
        <v>0.97353498637113067</v>
      </c>
      <c r="T48" s="101">
        <f t="shared" ref="T48:T51" si="67">I48/I$7</f>
        <v>0.9665689746427939</v>
      </c>
      <c r="U48" s="101">
        <f t="shared" ref="U48:U51" si="68">J48/J$7</f>
        <v>0.97188916124399227</v>
      </c>
      <c r="V48" s="101">
        <f t="shared" ref="V48:V51" si="69">K48/K$7</f>
        <v>0.99560631302026192</v>
      </c>
      <c r="W48" s="101">
        <f t="shared" ref="W48:W51" si="70">L48/L$7</f>
        <v>0.99447044876251134</v>
      </c>
    </row>
    <row r="49" spans="2:23">
      <c r="B49" s="64" t="s">
        <v>10968</v>
      </c>
      <c r="C49" s="22">
        <f>SUMIFS('Bottom-up tagging'!$I:$I,'Bottom-up tagging'!$X:$X,'Analysis of bottom-up tags'!$B49,'Bottom-up tagging'!$E:$E,'Analysis of bottom-up tags'!C$6)</f>
        <v>2150000</v>
      </c>
      <c r="D49" s="22">
        <f>SUMIFS('Bottom-up tagging'!$I:$I,'Bottom-up tagging'!$X:$X,'Analysis of bottom-up tags'!$B49,'Bottom-up tagging'!$E:$E,'Analysis of bottom-up tags'!D$6)</f>
        <v>5695416.3742140532</v>
      </c>
      <c r="E49" s="22">
        <f>SUMIFS('Bottom-up tagging'!$I:$I,'Bottom-up tagging'!$X:$X,'Analysis of bottom-up tags'!$B49,'Bottom-up tagging'!$E:$E,'Analysis of bottom-up tags'!E$6)</f>
        <v>0</v>
      </c>
      <c r="F49" s="22">
        <f>SUMIFS('Bottom-up tagging'!$I:$I,'Bottom-up tagging'!$X:$X,'Analysis of bottom-up tags'!$B49,'Bottom-up tagging'!$E:$E,'Analysis of bottom-up tags'!F$6)</f>
        <v>1344587.0340792215</v>
      </c>
      <c r="G49" s="22">
        <f>SUMIFS('Bottom-up tagging'!$I:$I,'Bottom-up tagging'!$X:$X,'Analysis of bottom-up tags'!$B49,'Bottom-up tagging'!$E:$E,'Analysis of bottom-up tags'!G$6)</f>
        <v>1086241.0228599296</v>
      </c>
      <c r="H49" s="22">
        <f>SUMIFS('Bottom-up tagging'!$I:$I,'Bottom-up tagging'!$X:$X,'Analysis of bottom-up tags'!$B49,'Bottom-up tagging'!$E:$E,'Analysis of bottom-up tags'!H$6)</f>
        <v>204596.3536720025</v>
      </c>
      <c r="I49" s="22">
        <f>SUMIFS('Bottom-up tagging'!$I:$I,'Bottom-up tagging'!$X:$X,'Analysis of bottom-up tags'!$B49,'Bottom-up tagging'!$E:$E,'Analysis of bottom-up tags'!I$6)</f>
        <v>11788158.537336305</v>
      </c>
      <c r="J49" s="22">
        <f>SUMIFS('Bottom-up tagging'!$I:$I,'Bottom-up tagging'!$X:$X,'Analysis of bottom-up tags'!$B49,'Bottom-up tagging'!$E:$E,'Analysis of bottom-up tags'!J$6)</f>
        <v>5811282.7932576025</v>
      </c>
      <c r="K49" s="22">
        <f>SUMIFS('Bottom-up tagging'!$I:$I,'Bottom-up tagging'!$X:$X,'Analysis of bottom-up tags'!$B49,'Bottom-up tagging'!$E:$E,'Analysis of bottom-up tags'!K$6)</f>
        <v>2028032.4319415442</v>
      </c>
      <c r="L49" s="22">
        <f>SUMIFS('Bottom-up tagging'!$I:$I,'Bottom-up tagging'!$X:$X,'Analysis of bottom-up tags'!$B49,'Bottom-up tagging'!$E:$E,'Analysis of bottom-up tags'!L$6)</f>
        <v>78830.141325049306</v>
      </c>
      <c r="N49" s="101">
        <f t="shared" si="61"/>
        <v>2.2958079326656406E-2</v>
      </c>
      <c r="O49" s="101">
        <f t="shared" si="62"/>
        <v>7.0483108595165961E-2</v>
      </c>
      <c r="P49" s="101">
        <f t="shared" si="63"/>
        <v>0</v>
      </c>
      <c r="Q49" s="101">
        <f t="shared" si="64"/>
        <v>3.7176753933136894E-2</v>
      </c>
      <c r="R49" s="101">
        <f t="shared" si="65"/>
        <v>2.6691108379139804E-2</v>
      </c>
      <c r="S49" s="101">
        <f t="shared" si="66"/>
        <v>1.0238153139517918E-3</v>
      </c>
      <c r="T49" s="101">
        <f t="shared" si="67"/>
        <v>3.2199720475796889E-2</v>
      </c>
      <c r="U49" s="101">
        <f t="shared" si="68"/>
        <v>2.7876030845595142E-2</v>
      </c>
      <c r="V49" s="101">
        <f t="shared" si="69"/>
        <v>1.8582807850157763E-3</v>
      </c>
      <c r="W49" s="101">
        <f t="shared" si="70"/>
        <v>2.913559925350551E-4</v>
      </c>
    </row>
    <row r="50" spans="2:23">
      <c r="B50" s="64" t="s">
        <v>11101</v>
      </c>
      <c r="C50" s="22">
        <f>SUMIFS('Bottom-up tagging'!$I:$I,'Bottom-up tagging'!$X:$X,'Analysis of bottom-up tags'!$B50,'Bottom-up tagging'!$E:$E,'Analysis of bottom-up tags'!C$6)</f>
        <v>2000000</v>
      </c>
      <c r="D50" s="22">
        <f>SUMIFS('Bottom-up tagging'!$I:$I,'Bottom-up tagging'!$X:$X,'Analysis of bottom-up tags'!$B50,'Bottom-up tagging'!$E:$E,'Analysis of bottom-up tags'!D$6)</f>
        <v>0</v>
      </c>
      <c r="E50" s="22">
        <f>SUMIFS('Bottom-up tagging'!$I:$I,'Bottom-up tagging'!$X:$X,'Analysis of bottom-up tags'!$B50,'Bottom-up tagging'!$E:$E,'Analysis of bottom-up tags'!E$6)</f>
        <v>772782.78122835862</v>
      </c>
      <c r="F50" s="22">
        <f>SUMIFS('Bottom-up tagging'!$I:$I,'Bottom-up tagging'!$X:$X,'Analysis of bottom-up tags'!$B50,'Bottom-up tagging'!$E:$E,'Analysis of bottom-up tags'!F$6)</f>
        <v>8024300.1143394513</v>
      </c>
      <c r="G50" s="22">
        <f>SUMIFS('Bottom-up tagging'!$I:$I,'Bottom-up tagging'!$X:$X,'Analysis of bottom-up tags'!$B50,'Bottom-up tagging'!$E:$E,'Analysis of bottom-up tags'!G$6)</f>
        <v>0</v>
      </c>
      <c r="H50" s="22">
        <f>SUMIFS('Bottom-up tagging'!$I:$I,'Bottom-up tagging'!$X:$X,'Analysis of bottom-up tags'!$B50,'Bottom-up tagging'!$E:$E,'Analysis of bottom-up tags'!H$6)</f>
        <v>5084097.0410836525</v>
      </c>
      <c r="I50" s="22">
        <f>SUMIFS('Bottom-up tagging'!$I:$I,'Bottom-up tagging'!$X:$X,'Analysis of bottom-up tags'!$B50,'Bottom-up tagging'!$E:$E,'Analysis of bottom-up tags'!I$6)</f>
        <v>0</v>
      </c>
      <c r="J50" s="22">
        <f>SUMIFS('Bottom-up tagging'!$I:$I,'Bottom-up tagging'!$X:$X,'Analysis of bottom-up tags'!$B50,'Bottom-up tagging'!$E:$E,'Analysis of bottom-up tags'!J$6)</f>
        <v>48950.12410693377</v>
      </c>
      <c r="K50" s="22">
        <f>SUMIFS('Bottom-up tagging'!$I:$I,'Bottom-up tagging'!$X:$X,'Analysis of bottom-up tags'!$B50,'Bottom-up tagging'!$E:$E,'Analysis of bottom-up tags'!K$6)</f>
        <v>2242157.4878920647</v>
      </c>
      <c r="L50" s="22">
        <f>SUMIFS('Bottom-up tagging'!$I:$I,'Bottom-up tagging'!$X:$X,'Analysis of bottom-up tags'!$B50,'Bottom-up tagging'!$E:$E,'Analysis of bottom-up tags'!L$6)</f>
        <v>1417261.6387775613</v>
      </c>
      <c r="N50" s="101">
        <f t="shared" si="61"/>
        <v>2.1356352862005958E-2</v>
      </c>
      <c r="O50" s="101">
        <f t="shared" si="62"/>
        <v>0</v>
      </c>
      <c r="P50" s="101">
        <f t="shared" si="63"/>
        <v>0.10024604840972134</v>
      </c>
      <c r="Q50" s="101">
        <f t="shared" si="64"/>
        <v>0.22186546744497576</v>
      </c>
      <c r="R50" s="101">
        <f t="shared" si="65"/>
        <v>0</v>
      </c>
      <c r="S50" s="101">
        <f t="shared" si="66"/>
        <v>2.5441198314917597E-2</v>
      </c>
      <c r="T50" s="101">
        <f t="shared" si="67"/>
        <v>0</v>
      </c>
      <c r="U50" s="101">
        <f t="shared" si="68"/>
        <v>2.348079104124419E-4</v>
      </c>
      <c r="V50" s="101">
        <f t="shared" si="69"/>
        <v>2.0544830107771983E-3</v>
      </c>
      <c r="W50" s="101">
        <f t="shared" si="70"/>
        <v>5.2381952449536201E-3</v>
      </c>
    </row>
    <row r="51" spans="2:23">
      <c r="B51" s="64" t="s">
        <v>11102</v>
      </c>
      <c r="C51" s="22">
        <f>SUMIFS('Bottom-up tagging'!$I:$I,'Bottom-up tagging'!$X:$X,'Analysis of bottom-up tags'!$B51,'Bottom-up tagging'!$E:$E,'Analysis of bottom-up tags'!C$6)</f>
        <v>1000000</v>
      </c>
      <c r="D51" s="22">
        <f>SUMIFS('Bottom-up tagging'!$I:$I,'Bottom-up tagging'!$X:$X,'Analysis of bottom-up tags'!$B51,'Bottom-up tagging'!$E:$E,'Analysis of bottom-up tags'!D$6)</f>
        <v>0</v>
      </c>
      <c r="E51" s="22">
        <f>SUMIFS('Bottom-up tagging'!$I:$I,'Bottom-up tagging'!$X:$X,'Analysis of bottom-up tags'!$B51,'Bottom-up tagging'!$E:$E,'Analysis of bottom-up tags'!E$6)</f>
        <v>1237765.2136678048</v>
      </c>
      <c r="F51" s="22">
        <f>SUMIFS('Bottom-up tagging'!$I:$I,'Bottom-up tagging'!$X:$X,'Analysis of bottom-up tags'!$B51,'Bottom-up tagging'!$E:$E,'Analysis of bottom-up tags'!F$6)</f>
        <v>0</v>
      </c>
      <c r="G51" s="22">
        <f>SUMIFS('Bottom-up tagging'!$I:$I,'Bottom-up tagging'!$X:$X,'Analysis of bottom-up tags'!$B51,'Bottom-up tagging'!$E:$E,'Analysis of bottom-up tags'!G$6)</f>
        <v>0</v>
      </c>
      <c r="H51" s="22">
        <f>SUMIFS('Bottom-up tagging'!$I:$I,'Bottom-up tagging'!$X:$X,'Analysis of bottom-up tags'!$B51,'Bottom-up tagging'!$E:$E,'Analysis of bottom-up tags'!H$6)</f>
        <v>0</v>
      </c>
      <c r="I51" s="22">
        <f>SUMIFS('Bottom-up tagging'!$I:$I,'Bottom-up tagging'!$X:$X,'Analysis of bottom-up tags'!$B51,'Bottom-up tagging'!$E:$E,'Analysis of bottom-up tags'!I$6)</f>
        <v>450774.63205800555</v>
      </c>
      <c r="J51" s="22">
        <f>SUMIFS('Bottom-up tagging'!$I:$I,'Bottom-up tagging'!$X:$X,'Analysis of bottom-up tags'!$B51,'Bottom-up tagging'!$E:$E,'Analysis of bottom-up tags'!J$6)</f>
        <v>0</v>
      </c>
      <c r="K51" s="22">
        <f>SUMIFS('Bottom-up tagging'!$I:$I,'Bottom-up tagging'!$X:$X,'Analysis of bottom-up tags'!$B51,'Bottom-up tagging'!$E:$E,'Analysis of bottom-up tags'!K$6)</f>
        <v>524854.92083700781</v>
      </c>
      <c r="L51" s="22">
        <f>SUMIFS('Bottom-up tagging'!$I:$I,'Bottom-up tagging'!$X:$X,'Analysis of bottom-up tags'!$B51,'Bottom-up tagging'!$E:$E,'Analysis of bottom-up tags'!L$6)</f>
        <v>0</v>
      </c>
      <c r="N51" s="101">
        <f t="shared" si="61"/>
        <v>1.0678176431002979E-2</v>
      </c>
      <c r="O51" s="101">
        <f t="shared" si="62"/>
        <v>0</v>
      </c>
      <c r="P51" s="101">
        <f t="shared" si="63"/>
        <v>0.16056397029444899</v>
      </c>
      <c r="Q51" s="101">
        <f t="shared" si="64"/>
        <v>0</v>
      </c>
      <c r="R51" s="101">
        <f t="shared" si="65"/>
        <v>0</v>
      </c>
      <c r="S51" s="101">
        <f t="shared" si="66"/>
        <v>0</v>
      </c>
      <c r="T51" s="101">
        <f t="shared" si="67"/>
        <v>1.2313048814092205E-3</v>
      </c>
      <c r="U51" s="101">
        <f t="shared" si="68"/>
        <v>0</v>
      </c>
      <c r="V51" s="101">
        <f t="shared" si="69"/>
        <v>4.8092318394467413E-4</v>
      </c>
      <c r="W51" s="101">
        <f t="shared" si="70"/>
        <v>0</v>
      </c>
    </row>
    <row r="53" spans="2:23">
      <c r="B53" s="170" t="s">
        <v>10471</v>
      </c>
      <c r="C53" s="140"/>
      <c r="D53" s="140"/>
      <c r="E53" s="140"/>
      <c r="F53" s="140"/>
      <c r="G53" s="140"/>
      <c r="H53" s="140"/>
      <c r="I53" s="140"/>
      <c r="J53" s="140"/>
      <c r="K53" s="140"/>
      <c r="L53" s="140"/>
      <c r="M53" s="140"/>
      <c r="N53" s="171">
        <f t="shared" ref="N53:W53" si="71">SUM(N54:N68)</f>
        <v>1</v>
      </c>
      <c r="O53" s="171">
        <f t="shared" si="71"/>
        <v>1</v>
      </c>
      <c r="P53" s="171">
        <f t="shared" si="71"/>
        <v>0.99999999999999978</v>
      </c>
      <c r="Q53" s="171">
        <f t="shared" si="71"/>
        <v>1</v>
      </c>
      <c r="R53" s="171">
        <f t="shared" si="71"/>
        <v>0.99999999999999967</v>
      </c>
      <c r="S53" s="171">
        <f t="shared" si="71"/>
        <v>1.0000000000000007</v>
      </c>
      <c r="T53" s="171">
        <f t="shared" si="71"/>
        <v>0.99981955961000446</v>
      </c>
      <c r="U53" s="171">
        <f t="shared" si="71"/>
        <v>0.99691977059292647</v>
      </c>
      <c r="V53" s="171">
        <f t="shared" si="71"/>
        <v>0.9983704753038245</v>
      </c>
      <c r="W53" s="171">
        <f t="shared" si="71"/>
        <v>0.99510298012942888</v>
      </c>
    </row>
    <row r="54" spans="2:23">
      <c r="B54" s="64" t="s">
        <v>11163</v>
      </c>
      <c r="C54" s="22">
        <f>SUMIFS('Bottom-up tagging'!$I:$I,'Bottom-up tagging'!$Y:$Y,'Analysis of bottom-up tags'!$B54,'Bottom-up tagging'!$E:$E,'Analysis of bottom-up tags'!C$6)</f>
        <v>1514622</v>
      </c>
      <c r="D54" s="22">
        <f>SUMIFS('Bottom-up tagging'!$I:$I,'Bottom-up tagging'!$Y:$Y,'Analysis of bottom-up tags'!$B54,'Bottom-up tagging'!$E:$E,'Analysis of bottom-up tags'!D$6)</f>
        <v>26477514.889316078</v>
      </c>
      <c r="E54" s="22">
        <f>SUMIFS('Bottom-up tagging'!$I:$I,'Bottom-up tagging'!$Y:$Y,'Analysis of bottom-up tags'!$B54,'Bottom-up tagging'!$E:$E,'Analysis of bottom-up tags'!E$6)</f>
        <v>814525.80693816161</v>
      </c>
      <c r="F54" s="22">
        <f>SUMIFS('Bottom-up tagging'!$I:$I,'Bottom-up tagging'!$Y:$Y,'Analysis of bottom-up tags'!$B54,'Bottom-up tagging'!$E:$E,'Analysis of bottom-up tags'!F$6)</f>
        <v>8983231.2503920663</v>
      </c>
      <c r="G54" s="22">
        <f>SUMIFS('Bottom-up tagging'!$I:$I,'Bottom-up tagging'!$Y:$Y,'Analysis of bottom-up tags'!$B54,'Bottom-up tagging'!$E:$E,'Analysis of bottom-up tags'!G$6)</f>
        <v>30793674.893472057</v>
      </c>
      <c r="H54" s="22">
        <f>SUMIFS('Bottom-up tagging'!$I:$I,'Bottom-up tagging'!$Y:$Y,'Analysis of bottom-up tags'!$B54,'Bottom-up tagging'!$E:$E,'Analysis of bottom-up tags'!H$6)</f>
        <v>95620793.811227873</v>
      </c>
      <c r="I54" s="22">
        <f>SUMIFS('Bottom-up tagging'!$I:$I,'Bottom-up tagging'!$Y:$Y,'Analysis of bottom-up tags'!$B54,'Bottom-up tagging'!$E:$E,'Analysis of bottom-up tags'!I$6)</f>
        <v>336888371.4954713</v>
      </c>
      <c r="J54" s="22">
        <f>SUMIFS('Bottom-up tagging'!$I:$I,'Bottom-up tagging'!$Y:$Y,'Analysis of bottom-up tags'!$B54,'Bottom-up tagging'!$E:$E,'Analysis of bottom-up tags'!J$6)</f>
        <v>69687893.245288312</v>
      </c>
      <c r="K54" s="22">
        <f>SUMIFS('Bottom-up tagging'!$I:$I,'Bottom-up tagging'!$Y:$Y,'Analysis of bottom-up tags'!$B54,'Bottom-up tagging'!$E:$E,'Analysis of bottom-up tags'!K$6)</f>
        <v>1003374365.0741452</v>
      </c>
      <c r="L54" s="22">
        <f>SUMIFS('Bottom-up tagging'!$I:$I,'Bottom-up tagging'!$Y:$Y,'Analysis of bottom-up tags'!$B54,'Bottom-up tagging'!$E:$E,'Analysis of bottom-up tags'!L$6)</f>
        <v>162956926.73887187</v>
      </c>
      <c r="N54" s="101">
        <f t="shared" ref="N54:N68" si="72">C54/C$7</f>
        <v>1.6173400942278593E-2</v>
      </c>
      <c r="O54" s="101">
        <f t="shared" ref="O54:O68" si="73">D54/D$7</f>
        <v>0.32767008321341917</v>
      </c>
      <c r="P54" s="101">
        <f t="shared" ref="P54:P68" si="74">E54/E$7</f>
        <v>0.10566098968134448</v>
      </c>
      <c r="Q54" s="101">
        <f t="shared" ref="Q54:Q68" si="75">F54/F$7</f>
        <v>0.24837914486435136</v>
      </c>
      <c r="R54" s="101">
        <f t="shared" ref="R54:R68" si="76">G54/G$7</f>
        <v>0.75666200840920084</v>
      </c>
      <c r="S54" s="101">
        <f t="shared" ref="S54:S68" si="77">H54/H$7</f>
        <v>0.4784935375393175</v>
      </c>
      <c r="T54" s="101">
        <f t="shared" ref="T54:T68" si="78">I54/I$7</f>
        <v>0.92022103022647195</v>
      </c>
      <c r="U54" s="101">
        <f t="shared" ref="U54:U68" si="79">J54/J$7</f>
        <v>0.3342845169958133</v>
      </c>
      <c r="V54" s="101">
        <f t="shared" ref="V54:V68" si="80">K54/K$7</f>
        <v>0.91938929251227697</v>
      </c>
      <c r="W54" s="101">
        <f t="shared" ref="W54:W68" si="81">L54/L$7</f>
        <v>0.60228836752547299</v>
      </c>
    </row>
    <row r="55" spans="2:23">
      <c r="B55" s="64" t="s">
        <v>10989</v>
      </c>
      <c r="C55" s="22">
        <f>SUMIFS('Bottom-up tagging'!$I:$I,'Bottom-up tagging'!$Y:$Y,'Analysis of bottom-up tags'!$B55,'Bottom-up tagging'!$E:$E,'Analysis of bottom-up tags'!C$6)</f>
        <v>55791200</v>
      </c>
      <c r="D55" s="22">
        <f>SUMIFS('Bottom-up tagging'!$I:$I,'Bottom-up tagging'!$Y:$Y,'Analysis of bottom-up tags'!$B55,'Bottom-up tagging'!$E:$E,'Analysis of bottom-up tags'!D$6)</f>
        <v>0</v>
      </c>
      <c r="E55" s="22">
        <f>SUMIFS('Bottom-up tagging'!$I:$I,'Bottom-up tagging'!$Y:$Y,'Analysis of bottom-up tags'!$B55,'Bottom-up tagging'!$E:$E,'Analysis of bottom-up tags'!E$6)</f>
        <v>0</v>
      </c>
      <c r="F55" s="22">
        <f>SUMIFS('Bottom-up tagging'!$I:$I,'Bottom-up tagging'!$Y:$Y,'Analysis of bottom-up tags'!$B55,'Bottom-up tagging'!$E:$E,'Analysis of bottom-up tags'!F$6)</f>
        <v>680428.55249552813</v>
      </c>
      <c r="G55" s="22">
        <f>SUMIFS('Bottom-up tagging'!$I:$I,'Bottom-up tagging'!$Y:$Y,'Analysis of bottom-up tags'!$B55,'Bottom-up tagging'!$E:$E,'Analysis of bottom-up tags'!G$6)</f>
        <v>387022.8169153019</v>
      </c>
      <c r="H55" s="22">
        <f>SUMIFS('Bottom-up tagging'!$I:$I,'Bottom-up tagging'!$Y:$Y,'Analysis of bottom-up tags'!$B55,'Bottom-up tagging'!$E:$E,'Analysis of bottom-up tags'!H$6)</f>
        <v>56123235.712461591</v>
      </c>
      <c r="I55" s="22">
        <f>SUMIFS('Bottom-up tagging'!$I:$I,'Bottom-up tagging'!$Y:$Y,'Analysis of bottom-up tags'!$B55,'Bottom-up tagging'!$E:$E,'Analysis of bottom-up tags'!I$6)</f>
        <v>1094551.7009697105</v>
      </c>
      <c r="J55" s="22">
        <f>SUMIFS('Bottom-up tagging'!$I:$I,'Bottom-up tagging'!$Y:$Y,'Analysis of bottom-up tags'!$B55,'Bottom-up tagging'!$E:$E,'Analysis of bottom-up tags'!J$6)</f>
        <v>7362107.4530925574</v>
      </c>
      <c r="K55" s="22">
        <f>SUMIFS('Bottom-up tagging'!$I:$I,'Bottom-up tagging'!$Y:$Y,'Analysis of bottom-up tags'!$B55,'Bottom-up tagging'!$E:$E,'Analysis of bottom-up tags'!K$6)</f>
        <v>1068095.631006862</v>
      </c>
      <c r="L55" s="22">
        <f>SUMIFS('Bottom-up tagging'!$I:$I,'Bottom-up tagging'!$Y:$Y,'Analysis of bottom-up tags'!$B55,'Bottom-up tagging'!$E:$E,'Analysis of bottom-up tags'!L$6)</f>
        <v>3976256.8360097604</v>
      </c>
      <c r="N55" s="101">
        <f t="shared" si="72"/>
        <v>0.59574827689737342</v>
      </c>
      <c r="O55" s="101">
        <f t="shared" si="73"/>
        <v>0</v>
      </c>
      <c r="P55" s="101">
        <f t="shared" si="74"/>
        <v>0</v>
      </c>
      <c r="Q55" s="101">
        <f t="shared" si="75"/>
        <v>1.8813304177464164E-2</v>
      </c>
      <c r="R55" s="101">
        <f t="shared" si="76"/>
        <v>9.5099225071509415E-3</v>
      </c>
      <c r="S55" s="101">
        <f t="shared" si="77"/>
        <v>0.2808448301237112</v>
      </c>
      <c r="T55" s="101">
        <f t="shared" si="78"/>
        <v>2.9898019021295432E-3</v>
      </c>
      <c r="U55" s="101">
        <f t="shared" si="79"/>
        <v>3.5315151878188206E-2</v>
      </c>
      <c r="V55" s="101">
        <f t="shared" si="80"/>
        <v>9.7869321831267576E-4</v>
      </c>
      <c r="W55" s="101">
        <f t="shared" si="81"/>
        <v>1.4696234683291011E-2</v>
      </c>
    </row>
    <row r="56" spans="2:23">
      <c r="B56" s="64" t="s">
        <v>10994</v>
      </c>
      <c r="C56" s="22">
        <f>SUMIFS('Bottom-up tagging'!$I:$I,'Bottom-up tagging'!$Y:$Y,'Analysis of bottom-up tags'!$B56,'Bottom-up tagging'!$E:$E,'Analysis of bottom-up tags'!C$6)</f>
        <v>30000000</v>
      </c>
      <c r="D56" s="22">
        <f>SUMIFS('Bottom-up tagging'!$I:$I,'Bottom-up tagging'!$Y:$Y,'Analysis of bottom-up tags'!$B56,'Bottom-up tagging'!$E:$E,'Analysis of bottom-up tags'!D$6)</f>
        <v>45983955.430829309</v>
      </c>
      <c r="E56" s="22">
        <f>SUMIFS('Bottom-up tagging'!$I:$I,'Bottom-up tagging'!$Y:$Y,'Analysis of bottom-up tags'!$B56,'Bottom-up tagging'!$E:$E,'Analysis of bottom-up tags'!E$6)</f>
        <v>0</v>
      </c>
      <c r="F56" s="22">
        <f>SUMIFS('Bottom-up tagging'!$I:$I,'Bottom-up tagging'!$Y:$Y,'Analysis of bottom-up tags'!$B56,'Bottom-up tagging'!$E:$E,'Analysis of bottom-up tags'!F$6)</f>
        <v>3360515.9032044937</v>
      </c>
      <c r="G56" s="22">
        <f>SUMIFS('Bottom-up tagging'!$I:$I,'Bottom-up tagging'!$Y:$Y,'Analysis of bottom-up tags'!$B56,'Bottom-up tagging'!$E:$E,'Analysis of bottom-up tags'!G$6)</f>
        <v>12448.209018269661</v>
      </c>
      <c r="H56" s="22">
        <f>SUMIFS('Bottom-up tagging'!$I:$I,'Bottom-up tagging'!$Y:$Y,'Analysis of bottom-up tags'!$B56,'Bottom-up tagging'!$E:$E,'Analysis of bottom-up tags'!H$6)</f>
        <v>341208.89507658011</v>
      </c>
      <c r="I56" s="22">
        <f>SUMIFS('Bottom-up tagging'!$I:$I,'Bottom-up tagging'!$Y:$Y,'Analysis of bottom-up tags'!$B56,'Bottom-up tagging'!$E:$E,'Analysis of bottom-up tags'!I$6)</f>
        <v>538988.56369998143</v>
      </c>
      <c r="J56" s="22">
        <f>SUMIFS('Bottom-up tagging'!$I:$I,'Bottom-up tagging'!$Y:$Y,'Analysis of bottom-up tags'!$B56,'Bottom-up tagging'!$E:$E,'Analysis of bottom-up tags'!J$6)</f>
        <v>0</v>
      </c>
      <c r="K56" s="22">
        <f>SUMIFS('Bottom-up tagging'!$I:$I,'Bottom-up tagging'!$Y:$Y,'Analysis of bottom-up tags'!$B56,'Bottom-up tagging'!$E:$E,'Analysis of bottom-up tags'!K$6)</f>
        <v>148374.65028828519</v>
      </c>
      <c r="L56" s="22">
        <f>SUMIFS('Bottom-up tagging'!$I:$I,'Bottom-up tagging'!$Y:$Y,'Analysis of bottom-up tags'!$B56,'Bottom-up tagging'!$E:$E,'Analysis of bottom-up tags'!L$6)</f>
        <v>21199235.484253068</v>
      </c>
      <c r="N56" s="101">
        <f t="shared" si="72"/>
        <v>0.32034529293008934</v>
      </c>
      <c r="O56" s="101">
        <f t="shared" si="73"/>
        <v>0.56907026831970176</v>
      </c>
      <c r="P56" s="101">
        <f t="shared" si="74"/>
        <v>0</v>
      </c>
      <c r="Q56" s="101">
        <f t="shared" si="75"/>
        <v>9.2915571588403273E-2</v>
      </c>
      <c r="R56" s="101">
        <f t="shared" si="76"/>
        <v>3.0587732284132797E-4</v>
      </c>
      <c r="S56" s="101">
        <f t="shared" si="77"/>
        <v>1.7074345938540387E-3</v>
      </c>
      <c r="T56" s="101">
        <f t="shared" si="78"/>
        <v>1.4722639703073004E-3</v>
      </c>
      <c r="U56" s="101">
        <f t="shared" si="79"/>
        <v>0</v>
      </c>
      <c r="V56" s="101">
        <f t="shared" si="80"/>
        <v>1.3595530193281607E-4</v>
      </c>
      <c r="W56" s="101">
        <f t="shared" si="81"/>
        <v>7.8352317929135065E-2</v>
      </c>
    </row>
    <row r="57" spans="2:23">
      <c r="B57" s="64" t="s">
        <v>11002</v>
      </c>
      <c r="C57" s="22">
        <f>SUMIFS('Bottom-up tagging'!$I:$I,'Bottom-up tagging'!$Y:$Y,'Analysis of bottom-up tags'!$B57,'Bottom-up tagging'!$E:$E,'Analysis of bottom-up tags'!C$6)</f>
        <v>0</v>
      </c>
      <c r="D57" s="22">
        <f>SUMIFS('Bottom-up tagging'!$I:$I,'Bottom-up tagging'!$Y:$Y,'Analysis of bottom-up tags'!$B57,'Bottom-up tagging'!$E:$E,'Analysis of bottom-up tags'!D$6)</f>
        <v>0</v>
      </c>
      <c r="E57" s="22">
        <f>SUMIFS('Bottom-up tagging'!$I:$I,'Bottom-up tagging'!$Y:$Y,'Analysis of bottom-up tags'!$B57,'Bottom-up tagging'!$E:$E,'Analysis of bottom-up tags'!E$6)</f>
        <v>1781204.8926253945</v>
      </c>
      <c r="F57" s="22">
        <f>SUMIFS('Bottom-up tagging'!$I:$I,'Bottom-up tagging'!$Y:$Y,'Analysis of bottom-up tags'!$B57,'Bottom-up tagging'!$E:$E,'Analysis of bottom-up tags'!F$6)</f>
        <v>0</v>
      </c>
      <c r="G57" s="22">
        <f>SUMIFS('Bottom-up tagging'!$I:$I,'Bottom-up tagging'!$Y:$Y,'Analysis of bottom-up tags'!$B57,'Bottom-up tagging'!$E:$E,'Analysis of bottom-up tags'!G$6)</f>
        <v>122542.25074865809</v>
      </c>
      <c r="H57" s="22">
        <f>SUMIFS('Bottom-up tagging'!$I:$I,'Bottom-up tagging'!$Y:$Y,'Analysis of bottom-up tags'!$B57,'Bottom-up tagging'!$E:$E,'Analysis of bottom-up tags'!H$6)</f>
        <v>0</v>
      </c>
      <c r="I57" s="22">
        <f>SUMIFS('Bottom-up tagging'!$I:$I,'Bottom-up tagging'!$Y:$Y,'Analysis of bottom-up tags'!$B57,'Bottom-up tagging'!$E:$E,'Analysis of bottom-up tags'!I$6)</f>
        <v>0</v>
      </c>
      <c r="J57" s="22">
        <f>SUMIFS('Bottom-up tagging'!$I:$I,'Bottom-up tagging'!$Y:$Y,'Analysis of bottom-up tags'!$B57,'Bottom-up tagging'!$E:$E,'Analysis of bottom-up tags'!J$6)</f>
        <v>7665504.2476671087</v>
      </c>
      <c r="K57" s="22">
        <f>SUMIFS('Bottom-up tagging'!$I:$I,'Bottom-up tagging'!$Y:$Y,'Analysis of bottom-up tags'!$B57,'Bottom-up tagging'!$E:$E,'Analysis of bottom-up tags'!K$6)</f>
        <v>0</v>
      </c>
      <c r="L57" s="22">
        <f>SUMIFS('Bottom-up tagging'!$I:$I,'Bottom-up tagging'!$Y:$Y,'Analysis of bottom-up tags'!$B57,'Bottom-up tagging'!$E:$E,'Analysis of bottom-up tags'!L$6)</f>
        <v>1967434.1502476512</v>
      </c>
      <c r="N57" s="101">
        <f t="shared" si="72"/>
        <v>0</v>
      </c>
      <c r="O57" s="101">
        <f t="shared" si="73"/>
        <v>0</v>
      </c>
      <c r="P57" s="101">
        <f t="shared" si="74"/>
        <v>0.23105943381649105</v>
      </c>
      <c r="Q57" s="101">
        <f t="shared" si="75"/>
        <v>0</v>
      </c>
      <c r="R57" s="101">
        <f t="shared" si="76"/>
        <v>3.0111075046167961E-3</v>
      </c>
      <c r="S57" s="101">
        <f t="shared" si="77"/>
        <v>0</v>
      </c>
      <c r="T57" s="101">
        <f t="shared" si="78"/>
        <v>0</v>
      </c>
      <c r="U57" s="101">
        <f t="shared" si="79"/>
        <v>3.6770510136407454E-2</v>
      </c>
      <c r="V57" s="101">
        <f t="shared" si="80"/>
        <v>0</v>
      </c>
      <c r="W57" s="101">
        <f t="shared" si="81"/>
        <v>7.2716313830915053E-3</v>
      </c>
    </row>
    <row r="58" spans="2:23">
      <c r="B58" s="64" t="s">
        <v>11164</v>
      </c>
      <c r="C58" s="22">
        <f>SUMIFS('Bottom-up tagging'!$I:$I,'Bottom-up tagging'!$Y:$Y,'Analysis of bottom-up tags'!$B58,'Bottom-up tagging'!$E:$E,'Analysis of bottom-up tags'!C$6)</f>
        <v>0</v>
      </c>
      <c r="D58" s="22">
        <f>SUMIFS('Bottom-up tagging'!$I:$I,'Bottom-up tagging'!$Y:$Y,'Analysis of bottom-up tags'!$B58,'Bottom-up tagging'!$E:$E,'Analysis of bottom-up tags'!D$6)</f>
        <v>0</v>
      </c>
      <c r="E58" s="22">
        <f>SUMIFS('Bottom-up tagging'!$I:$I,'Bottom-up tagging'!$Y:$Y,'Analysis of bottom-up tags'!$B58,'Bottom-up tagging'!$E:$E,'Analysis of bottom-up tags'!E$6)</f>
        <v>38358.910413892125</v>
      </c>
      <c r="F58" s="22">
        <f>SUMIFS('Bottom-up tagging'!$I:$I,'Bottom-up tagging'!$Y:$Y,'Analysis of bottom-up tags'!$B58,'Bottom-up tagging'!$E:$E,'Analysis of bottom-up tags'!F$6)</f>
        <v>0</v>
      </c>
      <c r="G58" s="22">
        <f>SUMIFS('Bottom-up tagging'!$I:$I,'Bottom-up tagging'!$Y:$Y,'Analysis of bottom-up tags'!$B58,'Bottom-up tagging'!$E:$E,'Analysis of bottom-up tags'!G$6)</f>
        <v>0</v>
      </c>
      <c r="H58" s="22">
        <f>SUMIFS('Bottom-up tagging'!$I:$I,'Bottom-up tagging'!$Y:$Y,'Analysis of bottom-up tags'!$B58,'Bottom-up tagging'!$E:$E,'Analysis of bottom-up tags'!H$6)</f>
        <v>24517064.165683709</v>
      </c>
      <c r="I58" s="22">
        <f>SUMIFS('Bottom-up tagging'!$I:$I,'Bottom-up tagging'!$Y:$Y,'Analysis of bottom-up tags'!$B58,'Bottom-up tagging'!$E:$E,'Analysis of bottom-up tags'!I$6)</f>
        <v>577389.35598687385</v>
      </c>
      <c r="J58" s="22">
        <f>SUMIFS('Bottom-up tagging'!$I:$I,'Bottom-up tagging'!$Y:$Y,'Analysis of bottom-up tags'!$B58,'Bottom-up tagging'!$E:$E,'Analysis of bottom-up tags'!J$6)</f>
        <v>36820452.195832774</v>
      </c>
      <c r="K58" s="22">
        <f>SUMIFS('Bottom-up tagging'!$I:$I,'Bottom-up tagging'!$Y:$Y,'Analysis of bottom-up tags'!$B58,'Bottom-up tagging'!$E:$E,'Analysis of bottom-up tags'!K$6)</f>
        <v>30545172.02462722</v>
      </c>
      <c r="L58" s="22">
        <f>SUMIFS('Bottom-up tagging'!$I:$I,'Bottom-up tagging'!$Y:$Y,'Analysis of bottom-up tags'!$B58,'Bottom-up tagging'!$E:$E,'Analysis of bottom-up tags'!L$6)</f>
        <v>0</v>
      </c>
      <c r="N58" s="101">
        <f t="shared" si="72"/>
        <v>0</v>
      </c>
      <c r="O58" s="101">
        <f t="shared" si="73"/>
        <v>0</v>
      </c>
      <c r="P58" s="101">
        <f t="shared" si="74"/>
        <v>4.975950918811806E-3</v>
      </c>
      <c r="Q58" s="101">
        <f t="shared" si="75"/>
        <v>0</v>
      </c>
      <c r="R58" s="101">
        <f t="shared" si="76"/>
        <v>0</v>
      </c>
      <c r="S58" s="101">
        <f t="shared" si="77"/>
        <v>0.12268520575007964</v>
      </c>
      <c r="T58" s="101">
        <f t="shared" si="78"/>
        <v>1.5771569248574752E-3</v>
      </c>
      <c r="U58" s="101">
        <f t="shared" si="79"/>
        <v>0.17662332013005122</v>
      </c>
      <c r="V58" s="101">
        <f t="shared" si="80"/>
        <v>2.7988460812742214E-2</v>
      </c>
      <c r="W58" s="101">
        <f t="shared" si="81"/>
        <v>0</v>
      </c>
    </row>
    <row r="59" spans="2:23">
      <c r="B59" s="64" t="s">
        <v>10992</v>
      </c>
      <c r="C59" s="22">
        <f>SUMIFS('Bottom-up tagging'!$I:$I,'Bottom-up tagging'!$Y:$Y,'Analysis of bottom-up tags'!$B59,'Bottom-up tagging'!$E:$E,'Analysis of bottom-up tags'!C$6)</f>
        <v>0</v>
      </c>
      <c r="D59" s="22">
        <f>SUMIFS('Bottom-up tagging'!$I:$I,'Bottom-up tagging'!$Y:$Y,'Analysis of bottom-up tags'!$B59,'Bottom-up tagging'!$E:$E,'Analysis of bottom-up tags'!D$6)</f>
        <v>0</v>
      </c>
      <c r="E59" s="22">
        <f>SUMIFS('Bottom-up tagging'!$I:$I,'Bottom-up tagging'!$Y:$Y,'Analysis of bottom-up tags'!$B59,'Bottom-up tagging'!$E:$E,'Analysis of bottom-up tags'!E$6)</f>
        <v>0</v>
      </c>
      <c r="F59" s="22">
        <f>SUMIFS('Bottom-up tagging'!$I:$I,'Bottom-up tagging'!$Y:$Y,'Analysis of bottom-up tags'!$B59,'Bottom-up tagging'!$E:$E,'Analysis of bottom-up tags'!F$6)</f>
        <v>0</v>
      </c>
      <c r="G59" s="22">
        <f>SUMIFS('Bottom-up tagging'!$I:$I,'Bottom-up tagging'!$Y:$Y,'Analysis of bottom-up tags'!$B59,'Bottom-up tagging'!$E:$E,'Analysis of bottom-up tags'!G$6)</f>
        <v>0</v>
      </c>
      <c r="H59" s="22">
        <f>SUMIFS('Bottom-up tagging'!$I:$I,'Bottom-up tagging'!$Y:$Y,'Analysis of bottom-up tags'!$B59,'Bottom-up tagging'!$E:$E,'Analysis of bottom-up tags'!H$6)</f>
        <v>0</v>
      </c>
      <c r="I59" s="22">
        <f>SUMIFS('Bottom-up tagging'!$I:$I,'Bottom-up tagging'!$Y:$Y,'Analysis of bottom-up tags'!$B59,'Bottom-up tagging'!$E:$E,'Analysis of bottom-up tags'!I$6)</f>
        <v>0</v>
      </c>
      <c r="J59" s="22">
        <f>SUMIFS('Bottom-up tagging'!$I:$I,'Bottom-up tagging'!$Y:$Y,'Analysis of bottom-up tags'!$B59,'Bottom-up tagging'!$E:$E,'Analysis of bottom-up tags'!J$6)</f>
        <v>0</v>
      </c>
      <c r="K59" s="22">
        <f>SUMIFS('Bottom-up tagging'!$I:$I,'Bottom-up tagging'!$Y:$Y,'Analysis of bottom-up tags'!$B59,'Bottom-up tagging'!$E:$E,'Analysis of bottom-up tags'!K$6)</f>
        <v>1112127.5201809809</v>
      </c>
      <c r="L59" s="22">
        <f>SUMIFS('Bottom-up tagging'!$I:$I,'Bottom-up tagging'!$Y:$Y,'Analysis of bottom-up tags'!$B59,'Bottom-up tagging'!$E:$E,'Analysis of bottom-up tags'!L$6)</f>
        <v>0</v>
      </c>
      <c r="N59" s="101">
        <f t="shared" si="72"/>
        <v>0</v>
      </c>
      <c r="O59" s="101">
        <f t="shared" si="73"/>
        <v>0</v>
      </c>
      <c r="P59" s="101">
        <f t="shared" si="74"/>
        <v>0</v>
      </c>
      <c r="Q59" s="101">
        <f t="shared" si="75"/>
        <v>0</v>
      </c>
      <c r="R59" s="101">
        <f t="shared" si="76"/>
        <v>0</v>
      </c>
      <c r="S59" s="101">
        <f t="shared" si="77"/>
        <v>0</v>
      </c>
      <c r="T59" s="101">
        <f t="shared" si="78"/>
        <v>0</v>
      </c>
      <c r="U59" s="101">
        <f t="shared" si="79"/>
        <v>0</v>
      </c>
      <c r="V59" s="101">
        <f t="shared" si="80"/>
        <v>1.0190395225884289E-3</v>
      </c>
      <c r="W59" s="101">
        <f t="shared" si="81"/>
        <v>0</v>
      </c>
    </row>
    <row r="60" spans="2:23">
      <c r="B60" s="64" t="s">
        <v>10974</v>
      </c>
      <c r="C60" s="22">
        <f>SUMIFS('Bottom-up tagging'!$I:$I,'Bottom-up tagging'!$Y:$Y,'Analysis of bottom-up tags'!$B60,'Bottom-up tagging'!$E:$E,'Analysis of bottom-up tags'!C$6)</f>
        <v>2324277</v>
      </c>
      <c r="D60" s="22">
        <f>SUMIFS('Bottom-up tagging'!$I:$I,'Bottom-up tagging'!$Y:$Y,'Analysis of bottom-up tags'!$B60,'Bottom-up tagging'!$E:$E,'Analysis of bottom-up tags'!D$6)</f>
        <v>2712942.4522731523</v>
      </c>
      <c r="E60" s="22">
        <f>SUMIFS('Bottom-up tagging'!$I:$I,'Bottom-up tagging'!$Y:$Y,'Analysis of bottom-up tags'!$B60,'Bottom-up tagging'!$E:$E,'Analysis of bottom-up tags'!E$6)</f>
        <v>4301987.8929409944</v>
      </c>
      <c r="F60" s="22">
        <f>SUMIFS('Bottom-up tagging'!$I:$I,'Bottom-up tagging'!$Y:$Y,'Analysis of bottom-up tags'!$B60,'Bottom-up tagging'!$E:$E,'Analysis of bottom-up tags'!F$6)</f>
        <v>3974243.2795100589</v>
      </c>
      <c r="G60" s="22">
        <f>SUMIFS('Bottom-up tagging'!$I:$I,'Bottom-up tagging'!$Y:$Y,'Analysis of bottom-up tags'!$B60,'Bottom-up tagging'!$E:$E,'Analysis of bottom-up tags'!G$6)</f>
        <v>8926700.6338830702</v>
      </c>
      <c r="H60" s="22">
        <f>SUMIFS('Bottom-up tagging'!$I:$I,'Bottom-up tagging'!$Y:$Y,'Analysis of bottom-up tags'!$B60,'Bottom-up tagging'!$E:$E,'Analysis of bottom-up tags'!H$6)</f>
        <v>15762512.6242551</v>
      </c>
      <c r="I60" s="22">
        <f>SUMIFS('Bottom-up tagging'!$I:$I,'Bottom-up tagging'!$Y:$Y,'Analysis of bottom-up tags'!$B60,'Bottom-up tagging'!$E:$E,'Analysis of bottom-up tags'!I$6)</f>
        <v>24728419.904289946</v>
      </c>
      <c r="J60" s="22">
        <f>SUMIFS('Bottom-up tagging'!$I:$I,'Bottom-up tagging'!$Y:$Y,'Analysis of bottom-up tags'!$B60,'Bottom-up tagging'!$E:$E,'Analysis of bottom-up tags'!J$6)</f>
        <v>66759622.955020897</v>
      </c>
      <c r="K60" s="22">
        <f>SUMIFS('Bottom-up tagging'!$I:$I,'Bottom-up tagging'!$Y:$Y,'Analysis of bottom-up tags'!$B60,'Bottom-up tagging'!$E:$E,'Analysis of bottom-up tags'!K$6)</f>
        <v>36702786.50183785</v>
      </c>
      <c r="L60" s="22">
        <f>SUMIFS('Bottom-up tagging'!$I:$I,'Bottom-up tagging'!$Y:$Y,'Analysis of bottom-up tags'!$B60,'Bottom-up tagging'!$E:$E,'Analysis of bottom-up tags'!L$6)</f>
        <v>62107034.686467282</v>
      </c>
      <c r="N60" s="101">
        <f t="shared" si="72"/>
        <v>2.4819039880522312E-2</v>
      </c>
      <c r="O60" s="101">
        <f t="shared" si="73"/>
        <v>3.3573773173412917E-2</v>
      </c>
      <c r="P60" s="101">
        <f t="shared" si="74"/>
        <v>0.55805757717363114</v>
      </c>
      <c r="Q60" s="101">
        <f t="shared" si="75"/>
        <v>0.10988464169889001</v>
      </c>
      <c r="R60" s="101">
        <f t="shared" si="76"/>
        <v>0.21934683838379856</v>
      </c>
      <c r="S60" s="101">
        <f t="shared" si="77"/>
        <v>7.8876781142161526E-2</v>
      </c>
      <c r="T60" s="101">
        <f t="shared" si="78"/>
        <v>6.7546445545700246E-2</v>
      </c>
      <c r="U60" s="101">
        <f t="shared" si="79"/>
        <v>0.32023795346762951</v>
      </c>
      <c r="V60" s="101">
        <f t="shared" si="80"/>
        <v>3.3630666767792396E-2</v>
      </c>
      <c r="W60" s="101">
        <f t="shared" si="81"/>
        <v>0.22954743490653576</v>
      </c>
    </row>
    <row r="61" spans="2:23">
      <c r="B61" s="64" t="s">
        <v>11165</v>
      </c>
      <c r="C61" s="22">
        <f>SUMIFS('Bottom-up tagging'!$I:$I,'Bottom-up tagging'!$Y:$Y,'Analysis of bottom-up tags'!$B61,'Bottom-up tagging'!$E:$E,'Analysis of bottom-up tags'!C$6)</f>
        <v>0</v>
      </c>
      <c r="D61" s="22">
        <f>SUMIFS('Bottom-up tagging'!$I:$I,'Bottom-up tagging'!$Y:$Y,'Analysis of bottom-up tags'!$B61,'Bottom-up tagging'!$E:$E,'Analysis of bottom-up tags'!D$6)</f>
        <v>0</v>
      </c>
      <c r="E61" s="22">
        <f>SUMIFS('Bottom-up tagging'!$I:$I,'Bottom-up tagging'!$Y:$Y,'Analysis of bottom-up tags'!$B61,'Bottom-up tagging'!$E:$E,'Analysis of bottom-up tags'!E$6)</f>
        <v>0</v>
      </c>
      <c r="F61" s="22">
        <f>SUMIFS('Bottom-up tagging'!$I:$I,'Bottom-up tagging'!$Y:$Y,'Analysis of bottom-up tags'!$B61,'Bottom-up tagging'!$E:$E,'Analysis of bottom-up tags'!F$6)</f>
        <v>0</v>
      </c>
      <c r="G61" s="22">
        <f>SUMIFS('Bottom-up tagging'!$I:$I,'Bottom-up tagging'!$Y:$Y,'Analysis of bottom-up tags'!$B61,'Bottom-up tagging'!$E:$E,'Analysis of bottom-up tags'!G$6)</f>
        <v>0</v>
      </c>
      <c r="H61" s="22">
        <f>SUMIFS('Bottom-up tagging'!$I:$I,'Bottom-up tagging'!$Y:$Y,'Analysis of bottom-up tags'!$B61,'Bottom-up tagging'!$E:$E,'Analysis of bottom-up tags'!H$6)</f>
        <v>0</v>
      </c>
      <c r="I61" s="22">
        <f>SUMIFS('Bottom-up tagging'!$I:$I,'Bottom-up tagging'!$Y:$Y,'Analysis of bottom-up tags'!$B61,'Bottom-up tagging'!$E:$E,'Analysis of bottom-up tags'!I$6)</f>
        <v>65518.525007271208</v>
      </c>
      <c r="J61" s="22">
        <f>SUMIFS('Bottom-up tagging'!$I:$I,'Bottom-up tagging'!$Y:$Y,'Analysis of bottom-up tags'!$B61,'Bottom-up tagging'!$E:$E,'Analysis of bottom-up tags'!J$6)</f>
        <v>5585111.0716889938</v>
      </c>
      <c r="K61" s="22">
        <f>SUMIFS('Bottom-up tagging'!$I:$I,'Bottom-up tagging'!$Y:$Y,'Analysis of bottom-up tags'!$B61,'Bottom-up tagging'!$E:$E,'Analysis of bottom-up tags'!K$6)</f>
        <v>0</v>
      </c>
      <c r="L61" s="22">
        <f>SUMIFS('Bottom-up tagging'!$I:$I,'Bottom-up tagging'!$Y:$Y,'Analysis of bottom-up tags'!$B61,'Bottom-up tagging'!$E:$E,'Analysis of bottom-up tags'!L$6)</f>
        <v>0</v>
      </c>
      <c r="N61" s="101">
        <f t="shared" si="72"/>
        <v>0</v>
      </c>
      <c r="O61" s="101">
        <f t="shared" si="73"/>
        <v>0</v>
      </c>
      <c r="P61" s="101">
        <f t="shared" si="74"/>
        <v>0</v>
      </c>
      <c r="Q61" s="101">
        <f t="shared" si="75"/>
        <v>0</v>
      </c>
      <c r="R61" s="101">
        <f t="shared" si="76"/>
        <v>0</v>
      </c>
      <c r="S61" s="101">
        <f t="shared" si="77"/>
        <v>0</v>
      </c>
      <c r="T61" s="101">
        <f t="shared" si="78"/>
        <v>1.7896588212134375E-4</v>
      </c>
      <c r="U61" s="101">
        <f t="shared" si="79"/>
        <v>2.6791112057240385E-2</v>
      </c>
      <c r="V61" s="101">
        <f t="shared" si="80"/>
        <v>0</v>
      </c>
      <c r="W61" s="101">
        <f t="shared" si="81"/>
        <v>0</v>
      </c>
    </row>
    <row r="62" spans="2:23">
      <c r="B62" s="64" t="s">
        <v>10978</v>
      </c>
      <c r="C62" s="22">
        <f>SUMIFS('Bottom-up tagging'!$I:$I,'Bottom-up tagging'!$Y:$Y,'Analysis of bottom-up tags'!$B62,'Bottom-up tagging'!$E:$E,'Analysis of bottom-up tags'!C$6)</f>
        <v>0</v>
      </c>
      <c r="D62" s="22">
        <f>SUMIFS('Bottom-up tagging'!$I:$I,'Bottom-up tagging'!$Y:$Y,'Analysis of bottom-up tags'!$B62,'Bottom-up tagging'!$E:$E,'Analysis of bottom-up tags'!D$6)</f>
        <v>0</v>
      </c>
      <c r="E62" s="22">
        <f>SUMIFS('Bottom-up tagging'!$I:$I,'Bottom-up tagging'!$Y:$Y,'Analysis of bottom-up tags'!$B62,'Bottom-up tagging'!$E:$E,'Analysis of bottom-up tags'!E$6)</f>
        <v>0</v>
      </c>
      <c r="F62" s="22">
        <f>SUMIFS('Bottom-up tagging'!$I:$I,'Bottom-up tagging'!$Y:$Y,'Analysis of bottom-up tags'!$B62,'Bottom-up tagging'!$E:$E,'Analysis of bottom-up tags'!F$6)</f>
        <v>0</v>
      </c>
      <c r="G62" s="22">
        <f>SUMIFS('Bottom-up tagging'!$I:$I,'Bottom-up tagging'!$Y:$Y,'Analysis of bottom-up tags'!$B62,'Bottom-up tagging'!$E:$E,'Analysis of bottom-up tags'!G$6)</f>
        <v>0</v>
      </c>
      <c r="H62" s="22">
        <f>SUMIFS('Bottom-up tagging'!$I:$I,'Bottom-up tagging'!$Y:$Y,'Analysis of bottom-up tags'!$B62,'Bottom-up tagging'!$E:$E,'Analysis of bottom-up tags'!H$6)</f>
        <v>0</v>
      </c>
      <c r="I62" s="22">
        <f>SUMIFS('Bottom-up tagging'!$I:$I,'Bottom-up tagging'!$Y:$Y,'Analysis of bottom-up tags'!$B62,'Bottom-up tagging'!$E:$E,'Analysis of bottom-up tags'!I$6)</f>
        <v>1185604.8741468757</v>
      </c>
      <c r="J62" s="22">
        <f>SUMIFS('Bottom-up tagging'!$I:$I,'Bottom-up tagging'!$Y:$Y,'Analysis of bottom-up tags'!$B62,'Bottom-up tagging'!$E:$E,'Analysis of bottom-up tags'!J$6)</f>
        <v>4590286.0131628066</v>
      </c>
      <c r="K62" s="22">
        <f>SUMIFS('Bottom-up tagging'!$I:$I,'Bottom-up tagging'!$Y:$Y,'Analysis of bottom-up tags'!$B62,'Bottom-up tagging'!$E:$E,'Analysis of bottom-up tags'!K$6)</f>
        <v>1332941.3764825384</v>
      </c>
      <c r="L62" s="22">
        <f>SUMIFS('Bottom-up tagging'!$I:$I,'Bottom-up tagging'!$Y:$Y,'Analysis of bottom-up tags'!$B62,'Bottom-up tagging'!$E:$E,'Analysis of bottom-up tags'!L$6)</f>
        <v>2635571.0569686214</v>
      </c>
      <c r="N62" s="101">
        <f t="shared" si="72"/>
        <v>0</v>
      </c>
      <c r="O62" s="101">
        <f t="shared" si="73"/>
        <v>0</v>
      </c>
      <c r="P62" s="101">
        <f t="shared" si="74"/>
        <v>0</v>
      </c>
      <c r="Q62" s="101">
        <f t="shared" si="75"/>
        <v>0</v>
      </c>
      <c r="R62" s="101">
        <f t="shared" si="76"/>
        <v>0</v>
      </c>
      <c r="S62" s="101">
        <f t="shared" si="77"/>
        <v>0</v>
      </c>
      <c r="T62" s="101">
        <f t="shared" si="78"/>
        <v>3.2385164672970343E-3</v>
      </c>
      <c r="U62" s="101">
        <f t="shared" si="79"/>
        <v>2.2019054836135591E-2</v>
      </c>
      <c r="V62" s="101">
        <f t="shared" si="80"/>
        <v>1.2213706785244238E-3</v>
      </c>
      <c r="W62" s="101">
        <f t="shared" si="81"/>
        <v>9.7410636121205343E-3</v>
      </c>
    </row>
    <row r="63" spans="2:23">
      <c r="B63" s="64" t="s">
        <v>11167</v>
      </c>
      <c r="C63" s="22">
        <f>SUMIFS('Bottom-up tagging'!$I:$I,'Bottom-up tagging'!$Y:$Y,'Analysis of bottom-up tags'!$B63,'Bottom-up tagging'!$E:$E,'Analysis of bottom-up tags'!C$6)</f>
        <v>900000</v>
      </c>
      <c r="D63" s="22">
        <f>SUMIFS('Bottom-up tagging'!$I:$I,'Bottom-up tagging'!$Y:$Y,'Analysis of bottom-up tags'!$B63,'Bottom-up tagging'!$E:$E,'Analysis of bottom-up tags'!D$6)</f>
        <v>5630995.6116927871</v>
      </c>
      <c r="E63" s="22">
        <f>SUMIFS('Bottom-up tagging'!$I:$I,'Bottom-up tagging'!$Y:$Y,'Analysis of bottom-up tags'!$B63,'Bottom-up tagging'!$E:$E,'Analysis of bottom-up tags'!E$6)</f>
        <v>0</v>
      </c>
      <c r="F63" s="22">
        <f>SUMIFS('Bottom-up tagging'!$I:$I,'Bottom-up tagging'!$Y:$Y,'Analysis of bottom-up tags'!$B63,'Bottom-up tagging'!$E:$E,'Analysis of bottom-up tags'!F$6)</f>
        <v>9388642.9753001761</v>
      </c>
      <c r="G63" s="22">
        <f>SUMIFS('Bottom-up tagging'!$I:$I,'Bottom-up tagging'!$Y:$Y,'Analysis of bottom-up tags'!$B63,'Bottom-up tagging'!$E:$E,'Analysis of bottom-up tags'!G$6)</f>
        <v>388278.50961539807</v>
      </c>
      <c r="H63" s="22">
        <f>SUMIFS('Bottom-up tagging'!$I:$I,'Bottom-up tagging'!$Y:$Y,'Analysis of bottom-up tags'!$B63,'Bottom-up tagging'!$E:$E,'Analysis of bottom-up tags'!H$6)</f>
        <v>815959.10545243358</v>
      </c>
      <c r="I63" s="22">
        <f>SUMIFS('Bottom-up tagging'!$I:$I,'Bottom-up tagging'!$Y:$Y,'Analysis of bottom-up tags'!$B63,'Bottom-up tagging'!$E:$E,'Analysis of bottom-up tags'!I$6)</f>
        <v>649668.00897846196</v>
      </c>
      <c r="J63" s="22">
        <f>SUMIFS('Bottom-up tagging'!$I:$I,'Bottom-up tagging'!$Y:$Y,'Analysis of bottom-up tags'!$B63,'Bottom-up tagging'!$E:$E,'Analysis of bottom-up tags'!J$6)</f>
        <v>107714.96848105863</v>
      </c>
      <c r="K63" s="22">
        <f>SUMIFS('Bottom-up tagging'!$I:$I,'Bottom-up tagging'!$Y:$Y,'Analysis of bottom-up tags'!$B63,'Bottom-up tagging'!$E:$E,'Analysis of bottom-up tags'!K$6)</f>
        <v>1739022.1329641549</v>
      </c>
      <c r="L63" s="22">
        <f>SUMIFS('Bottom-up tagging'!$I:$I,'Bottom-up tagging'!$Y:$Y,'Analysis of bottom-up tags'!$B63,'Bottom-up tagging'!$E:$E,'Analysis of bottom-up tags'!L$6)</f>
        <v>5289334.6314272108</v>
      </c>
      <c r="N63" s="101">
        <f t="shared" si="72"/>
        <v>9.6103587879026817E-3</v>
      </c>
      <c r="O63" s="101">
        <f t="shared" si="73"/>
        <v>6.9685875293466162E-2</v>
      </c>
      <c r="P63" s="101">
        <f t="shared" si="74"/>
        <v>0</v>
      </c>
      <c r="Q63" s="101">
        <f t="shared" si="75"/>
        <v>0.25958845415896215</v>
      </c>
      <c r="R63" s="101">
        <f t="shared" si="76"/>
        <v>9.5407773812017475E-3</v>
      </c>
      <c r="S63" s="101">
        <f t="shared" si="77"/>
        <v>4.0831198246077229E-3</v>
      </c>
      <c r="T63" s="101">
        <f t="shared" si="78"/>
        <v>1.7745883061308862E-3</v>
      </c>
      <c r="U63" s="101">
        <f t="shared" si="79"/>
        <v>5.1669586401716127E-4</v>
      </c>
      <c r="V63" s="101">
        <f t="shared" si="80"/>
        <v>1.5934614079670629E-3</v>
      </c>
      <c r="W63" s="101">
        <f t="shared" si="81"/>
        <v>1.954936672046555E-2</v>
      </c>
    </row>
    <row r="64" spans="2:23">
      <c r="B64" s="64" t="s">
        <v>10999</v>
      </c>
      <c r="C64" s="22">
        <f>SUMIFS('Bottom-up tagging'!$I:$I,'Bottom-up tagging'!$Y:$Y,'Analysis of bottom-up tags'!$B64,'Bottom-up tagging'!$E:$E,'Analysis of bottom-up tags'!C$6)</f>
        <v>0</v>
      </c>
      <c r="D64" s="22">
        <f>SUMIFS('Bottom-up tagging'!$I:$I,'Bottom-up tagging'!$Y:$Y,'Analysis of bottom-up tags'!$B64,'Bottom-up tagging'!$E:$E,'Analysis of bottom-up tags'!D$6)</f>
        <v>0</v>
      </c>
      <c r="E64" s="22">
        <f>SUMIFS('Bottom-up tagging'!$I:$I,'Bottom-up tagging'!$Y:$Y,'Analysis of bottom-up tags'!$B64,'Bottom-up tagging'!$E:$E,'Analysis of bottom-up tags'!E$6)</f>
        <v>0</v>
      </c>
      <c r="F64" s="22">
        <f>SUMIFS('Bottom-up tagging'!$I:$I,'Bottom-up tagging'!$Y:$Y,'Analysis of bottom-up tags'!$B64,'Bottom-up tagging'!$E:$E,'Analysis of bottom-up tags'!F$6)</f>
        <v>1756051.4783322401</v>
      </c>
      <c r="G64" s="22">
        <f>SUMIFS('Bottom-up tagging'!$I:$I,'Bottom-up tagging'!$Y:$Y,'Analysis of bottom-up tags'!$B64,'Bottom-up tagging'!$E:$E,'Analysis of bottom-up tags'!G$6)</f>
        <v>0</v>
      </c>
      <c r="H64" s="22">
        <f>SUMIFS('Bottom-up tagging'!$I:$I,'Bottom-up tagging'!$Y:$Y,'Analysis of bottom-up tags'!$B64,'Bottom-up tagging'!$E:$E,'Analysis of bottom-up tags'!H$6)</f>
        <v>1621007.7990423506</v>
      </c>
      <c r="I64" s="22">
        <f>SUMIFS('Bottom-up tagging'!$I:$I,'Bottom-up tagging'!$Y:$Y,'Analysis of bottom-up tags'!$B64,'Bottom-up tagging'!$E:$E,'Analysis of bottom-up tags'!I$6)</f>
        <v>32837.863083854318</v>
      </c>
      <c r="J64" s="22">
        <f>SUMIFS('Bottom-up tagging'!$I:$I,'Bottom-up tagging'!$Y:$Y,'Analysis of bottom-up tags'!$B64,'Bottom-up tagging'!$E:$E,'Analysis of bottom-up tags'!J$6)</f>
        <v>1481506.5219078052</v>
      </c>
      <c r="K64" s="22">
        <f>SUMIFS('Bottom-up tagging'!$I:$I,'Bottom-up tagging'!$Y:$Y,'Analysis of bottom-up tags'!$B64,'Bottom-up tagging'!$E:$E,'Analysis of bottom-up tags'!K$6)</f>
        <v>13286842.960052026</v>
      </c>
      <c r="L64" s="22">
        <f>SUMIFS('Bottom-up tagging'!$I:$I,'Bottom-up tagging'!$Y:$Y,'Analysis of bottom-up tags'!$B64,'Bottom-up tagging'!$E:$E,'Analysis of bottom-up tags'!L$6)</f>
        <v>463815.42325553735</v>
      </c>
      <c r="N64" s="101">
        <f t="shared" si="72"/>
        <v>0</v>
      </c>
      <c r="O64" s="101">
        <f t="shared" si="73"/>
        <v>0</v>
      </c>
      <c r="P64" s="101">
        <f t="shared" si="74"/>
        <v>0</v>
      </c>
      <c r="Q64" s="101">
        <f t="shared" si="75"/>
        <v>4.855341606695316E-2</v>
      </c>
      <c r="R64" s="101">
        <f t="shared" si="76"/>
        <v>0</v>
      </c>
      <c r="S64" s="101">
        <f t="shared" si="77"/>
        <v>8.1116431398159019E-3</v>
      </c>
      <c r="T64" s="101">
        <f t="shared" si="78"/>
        <v>8.969764098214493E-5</v>
      </c>
      <c r="U64" s="101">
        <f t="shared" si="79"/>
        <v>7.1066101877829708E-3</v>
      </c>
      <c r="V64" s="101">
        <f t="shared" si="80"/>
        <v>1.2174699268763224E-2</v>
      </c>
      <c r="W64" s="101">
        <f t="shared" si="81"/>
        <v>1.7142605699318051E-3</v>
      </c>
    </row>
    <row r="65" spans="2:24">
      <c r="B65" s="64" t="s">
        <v>11112</v>
      </c>
      <c r="C65" s="22">
        <f>SUMIFS('Bottom-up tagging'!$I:$I,'Bottom-up tagging'!$Y:$Y,'Analysis of bottom-up tags'!$B65,'Bottom-up tagging'!$E:$E,'Analysis of bottom-up tags'!C$6)</f>
        <v>0</v>
      </c>
      <c r="D65" s="22">
        <f>SUMIFS('Bottom-up tagging'!$I:$I,'Bottom-up tagging'!$Y:$Y,'Analysis of bottom-up tags'!$B65,'Bottom-up tagging'!$E:$E,'Analysis of bottom-up tags'!D$6)</f>
        <v>0</v>
      </c>
      <c r="E65" s="22">
        <f>SUMIFS('Bottom-up tagging'!$I:$I,'Bottom-up tagging'!$Y:$Y,'Analysis of bottom-up tags'!$B65,'Bottom-up tagging'!$E:$E,'Analysis of bottom-up tags'!E$6)</f>
        <v>0</v>
      </c>
      <c r="F65" s="22">
        <f>SUMIFS('Bottom-up tagging'!$I:$I,'Bottom-up tagging'!$Y:$Y,'Analysis of bottom-up tags'!$B65,'Bottom-up tagging'!$E:$E,'Analysis of bottom-up tags'!F$6)</f>
        <v>8024300.1143394513</v>
      </c>
      <c r="G65" s="22">
        <f>SUMIFS('Bottom-up tagging'!$I:$I,'Bottom-up tagging'!$Y:$Y,'Analysis of bottom-up tags'!$B65,'Bottom-up tagging'!$E:$E,'Analysis of bottom-up tags'!G$6)</f>
        <v>66069.870512712238</v>
      </c>
      <c r="H65" s="22">
        <f>SUMIFS('Bottom-up tagging'!$I:$I,'Bottom-up tagging'!$Y:$Y,'Analysis of bottom-up tags'!$B65,'Bottom-up tagging'!$E:$E,'Analysis of bottom-up tags'!H$6)</f>
        <v>0</v>
      </c>
      <c r="I65" s="22">
        <f>SUMIFS('Bottom-up tagging'!$I:$I,'Bottom-up tagging'!$Y:$Y,'Analysis of bottom-up tags'!$B65,'Bottom-up tagging'!$E:$E,'Analysis of bottom-up tags'!I$6)</f>
        <v>0</v>
      </c>
      <c r="J65" s="22">
        <f>SUMIFS('Bottom-up tagging'!$I:$I,'Bottom-up tagging'!$Y:$Y,'Analysis of bottom-up tags'!$B65,'Bottom-up tagging'!$E:$E,'Analysis of bottom-up tags'!J$6)</f>
        <v>0</v>
      </c>
      <c r="K65" s="22">
        <f>SUMIFS('Bottom-up tagging'!$I:$I,'Bottom-up tagging'!$Y:$Y,'Analysis of bottom-up tags'!$B65,'Bottom-up tagging'!$E:$E,'Analysis of bottom-up tags'!K$6)</f>
        <v>0</v>
      </c>
      <c r="L65" s="22">
        <f>SUMIFS('Bottom-up tagging'!$I:$I,'Bottom-up tagging'!$Y:$Y,'Analysis of bottom-up tags'!$B65,'Bottom-up tagging'!$E:$E,'Analysis of bottom-up tags'!L$6)</f>
        <v>0</v>
      </c>
      <c r="N65" s="101">
        <f t="shared" si="72"/>
        <v>0</v>
      </c>
      <c r="O65" s="101">
        <f t="shared" si="73"/>
        <v>0</v>
      </c>
      <c r="P65" s="101">
        <f t="shared" si="74"/>
        <v>0</v>
      </c>
      <c r="Q65" s="101">
        <f t="shared" si="75"/>
        <v>0.22186546744497576</v>
      </c>
      <c r="R65" s="101">
        <f t="shared" si="76"/>
        <v>1.6234684911894874E-3</v>
      </c>
      <c r="S65" s="101">
        <f t="shared" si="77"/>
        <v>0</v>
      </c>
      <c r="T65" s="101">
        <f t="shared" si="78"/>
        <v>0</v>
      </c>
      <c r="U65" s="101">
        <f t="shared" si="79"/>
        <v>0</v>
      </c>
      <c r="V65" s="101">
        <f t="shared" si="80"/>
        <v>0</v>
      </c>
      <c r="W65" s="101">
        <f t="shared" si="81"/>
        <v>0</v>
      </c>
    </row>
    <row r="66" spans="2:24">
      <c r="B66" s="64" t="s">
        <v>11087</v>
      </c>
      <c r="C66" s="22">
        <f>SUMIFS('Bottom-up tagging'!$I:$I,'Bottom-up tagging'!$Y:$Y,'Analysis of bottom-up tags'!$B66,'Bottom-up tagging'!$E:$E,'Analysis of bottom-up tags'!C$6)</f>
        <v>0</v>
      </c>
      <c r="D66" s="22">
        <f>SUMIFS('Bottom-up tagging'!$I:$I,'Bottom-up tagging'!$Y:$Y,'Analysis of bottom-up tags'!$B66,'Bottom-up tagging'!$E:$E,'Analysis of bottom-up tags'!D$6)</f>
        <v>0</v>
      </c>
      <c r="E66" s="22">
        <f>SUMIFS('Bottom-up tagging'!$I:$I,'Bottom-up tagging'!$Y:$Y,'Analysis of bottom-up tags'!$B66,'Bottom-up tagging'!$E:$E,'Analysis of bottom-up tags'!E$6)</f>
        <v>0</v>
      </c>
      <c r="F66" s="22">
        <f>SUMIFS('Bottom-up tagging'!$I:$I,'Bottom-up tagging'!$Y:$Y,'Analysis of bottom-up tags'!$B66,'Bottom-up tagging'!$E:$E,'Analysis of bottom-up tags'!F$6)</f>
        <v>0</v>
      </c>
      <c r="G66" s="22">
        <f>SUMIFS('Bottom-up tagging'!$I:$I,'Bottom-up tagging'!$Y:$Y,'Analysis of bottom-up tags'!$B66,'Bottom-up tagging'!$E:$E,'Analysis of bottom-up tags'!G$6)</f>
        <v>0</v>
      </c>
      <c r="H66" s="22">
        <f>SUMIFS('Bottom-up tagging'!$I:$I,'Bottom-up tagging'!$Y:$Y,'Analysis of bottom-up tags'!$B66,'Bottom-up tagging'!$E:$E,'Analysis of bottom-up tags'!H$6)</f>
        <v>0</v>
      </c>
      <c r="I66" s="22">
        <f>SUMIFS('Bottom-up tagging'!$I:$I,'Bottom-up tagging'!$Y:$Y,'Analysis of bottom-up tags'!$B66,'Bottom-up tagging'!$E:$E,'Analysis of bottom-up tags'!I$6)</f>
        <v>267649.44056967529</v>
      </c>
      <c r="J66" s="22">
        <f>SUMIFS('Bottom-up tagging'!$I:$I,'Bottom-up tagging'!$Y:$Y,'Analysis of bottom-up tags'!$B66,'Bottom-up tagging'!$E:$E,'Analysis of bottom-up tags'!J$6)</f>
        <v>7754748.3286185153</v>
      </c>
      <c r="K66" s="22">
        <f>SUMIFS('Bottom-up tagging'!$I:$I,'Bottom-up tagging'!$Y:$Y,'Analysis of bottom-up tags'!$B66,'Bottom-up tagging'!$E:$E,'Analysis of bottom-up tags'!K$6)</f>
        <v>260653.16846921665</v>
      </c>
      <c r="L66" s="22">
        <f>SUMIFS('Bottom-up tagging'!$I:$I,'Bottom-up tagging'!$Y:$Y,'Analysis of bottom-up tags'!$B66,'Bottom-up tagging'!$E:$E,'Analysis of bottom-up tags'!L$6)</f>
        <v>1417261.6387775613</v>
      </c>
      <c r="N66" s="101">
        <f t="shared" si="72"/>
        <v>0</v>
      </c>
      <c r="O66" s="101">
        <f t="shared" si="73"/>
        <v>0</v>
      </c>
      <c r="P66" s="101">
        <f t="shared" si="74"/>
        <v>0</v>
      </c>
      <c r="Q66" s="101">
        <f t="shared" si="75"/>
        <v>0</v>
      </c>
      <c r="R66" s="101">
        <f t="shared" si="76"/>
        <v>0</v>
      </c>
      <c r="S66" s="101">
        <f t="shared" si="77"/>
        <v>0</v>
      </c>
      <c r="T66" s="101">
        <f t="shared" si="78"/>
        <v>7.3109274400667877E-4</v>
      </c>
      <c r="U66" s="101">
        <f t="shared" si="79"/>
        <v>3.7198603354702493E-2</v>
      </c>
      <c r="V66" s="101">
        <f t="shared" si="80"/>
        <v>2.3883581292440922E-4</v>
      </c>
      <c r="W66" s="101">
        <f t="shared" si="81"/>
        <v>5.2381952449536201E-3</v>
      </c>
    </row>
    <row r="67" spans="2:24">
      <c r="B67" s="64" t="s">
        <v>11116</v>
      </c>
      <c r="C67" s="22">
        <f>SUMIFS('Bottom-up tagging'!$I:$I,'Bottom-up tagging'!$Y:$Y,'Analysis of bottom-up tags'!$B67,'Bottom-up tagging'!$E:$E,'Analysis of bottom-up tags'!C$6)</f>
        <v>0</v>
      </c>
      <c r="D67" s="22">
        <f>SUMIFS('Bottom-up tagging'!$I:$I,'Bottom-up tagging'!$Y:$Y,'Analysis of bottom-up tags'!$B67,'Bottom-up tagging'!$E:$E,'Analysis of bottom-up tags'!D$6)</f>
        <v>0</v>
      </c>
      <c r="E67" s="22">
        <f>SUMIFS('Bottom-up tagging'!$I:$I,'Bottom-up tagging'!$Y:$Y,'Analysis of bottom-up tags'!$B67,'Bottom-up tagging'!$E:$E,'Analysis of bottom-up tags'!E$6)</f>
        <v>0</v>
      </c>
      <c r="F67" s="22">
        <f>SUMIFS('Bottom-up tagging'!$I:$I,'Bottom-up tagging'!$Y:$Y,'Analysis of bottom-up tags'!$B67,'Bottom-up tagging'!$E:$E,'Analysis of bottom-up tags'!F$6)</f>
        <v>0</v>
      </c>
      <c r="G67" s="22">
        <f>SUMIFS('Bottom-up tagging'!$I:$I,'Bottom-up tagging'!$Y:$Y,'Analysis of bottom-up tags'!$B67,'Bottom-up tagging'!$E:$E,'Analysis of bottom-up tags'!G$6)</f>
        <v>0</v>
      </c>
      <c r="H67" s="22">
        <f>SUMIFS('Bottom-up tagging'!$I:$I,'Bottom-up tagging'!$Y:$Y,'Analysis of bottom-up tags'!$B67,'Bottom-up tagging'!$E:$E,'Analysis of bottom-up tags'!H$6)</f>
        <v>0</v>
      </c>
      <c r="I67" s="22">
        <f>SUMIFS('Bottom-up tagging'!$I:$I,'Bottom-up tagging'!$Y:$Y,'Analysis of bottom-up tags'!$B67,'Bottom-up tagging'!$E:$E,'Analysis of bottom-up tags'!I$6)</f>
        <v>0</v>
      </c>
      <c r="J67" s="22">
        <f>SUMIFS('Bottom-up tagging'!$I:$I,'Bottom-up tagging'!$Y:$Y,'Analysis of bottom-up tags'!$B67,'Bottom-up tagging'!$E:$E,'Analysis of bottom-up tags'!J$6)</f>
        <v>11724.636763068134</v>
      </c>
      <c r="K67" s="22">
        <f>SUMIFS('Bottom-up tagging'!$I:$I,'Bottom-up tagging'!$Y:$Y,'Analysis of bottom-up tags'!$B67,'Bottom-up tagging'!$E:$E,'Analysis of bottom-up tags'!K$6)</f>
        <v>0</v>
      </c>
      <c r="L67" s="22">
        <f>SUMIFS('Bottom-up tagging'!$I:$I,'Bottom-up tagging'!$Y:$Y,'Analysis of bottom-up tags'!$B67,'Bottom-up tagging'!$E:$E,'Analysis of bottom-up tags'!L$6)</f>
        <v>7225142.528076957</v>
      </c>
      <c r="N67" s="101">
        <f t="shared" si="72"/>
        <v>0</v>
      </c>
      <c r="O67" s="101">
        <f t="shared" si="73"/>
        <v>0</v>
      </c>
      <c r="P67" s="101">
        <f t="shared" si="74"/>
        <v>0</v>
      </c>
      <c r="Q67" s="101">
        <f t="shared" si="75"/>
        <v>0</v>
      </c>
      <c r="R67" s="101">
        <f t="shared" si="76"/>
        <v>0</v>
      </c>
      <c r="S67" s="101">
        <f t="shared" si="77"/>
        <v>0</v>
      </c>
      <c r="T67" s="101">
        <f t="shared" si="78"/>
        <v>0</v>
      </c>
      <c r="U67" s="101">
        <f t="shared" si="79"/>
        <v>5.6241684958076707E-5</v>
      </c>
      <c r="V67" s="101">
        <f t="shared" si="80"/>
        <v>0</v>
      </c>
      <c r="W67" s="101">
        <f t="shared" si="81"/>
        <v>2.6704107554430829E-2</v>
      </c>
    </row>
    <row r="68" spans="2:24">
      <c r="B68" s="64" t="s">
        <v>11166</v>
      </c>
      <c r="C68" s="22">
        <f>SUMIFS('Bottom-up tagging'!$I:$I,'Bottom-up tagging'!$Y:$Y,'Analysis of bottom-up tags'!$B68,'Bottom-up tagging'!$E:$E,'Analysis of bottom-up tags'!C$6)</f>
        <v>3118850</v>
      </c>
      <c r="D68" s="22">
        <f>SUMIFS('Bottom-up tagging'!$I:$I,'Bottom-up tagging'!$Y:$Y,'Analysis of bottom-up tags'!$B68,'Bottom-up tagging'!$E:$E,'Analysis of bottom-up tags'!D$6)</f>
        <v>0</v>
      </c>
      <c r="E68" s="22">
        <f>SUMIFS('Bottom-up tagging'!$I:$I,'Bottom-up tagging'!$Y:$Y,'Analysis of bottom-up tags'!$B68,'Bottom-up tagging'!$E:$E,'Analysis of bottom-up tags'!E$6)</f>
        <v>772782.78122835862</v>
      </c>
      <c r="F68" s="22">
        <f>SUMIFS('Bottom-up tagging'!$I:$I,'Bottom-up tagging'!$Y:$Y,'Analysis of bottom-up tags'!$B68,'Bottom-up tagging'!$E:$E,'Analysis of bottom-up tags'!F$6)</f>
        <v>0</v>
      </c>
      <c r="G68" s="22">
        <f>SUMIFS('Bottom-up tagging'!$I:$I,'Bottom-up tagging'!$Y:$Y,'Analysis of bottom-up tags'!$B68,'Bottom-up tagging'!$E:$E,'Analysis of bottom-up tags'!G$6)</f>
        <v>0</v>
      </c>
      <c r="H68" s="22">
        <f>SUMIFS('Bottom-up tagging'!$I:$I,'Bottom-up tagging'!$Y:$Y,'Analysis of bottom-up tags'!$B68,'Bottom-up tagging'!$E:$E,'Analysis of bottom-up tags'!H$6)</f>
        <v>5035386.6455755383</v>
      </c>
      <c r="I68" s="22">
        <f>SUMIFS('Bottom-up tagging'!$I:$I,'Bottom-up tagging'!$Y:$Y,'Analysis of bottom-up tags'!$B68,'Bottom-up tagging'!$E:$E,'Analysis of bottom-up tags'!I$6)</f>
        <v>0</v>
      </c>
      <c r="J68" s="22">
        <f>SUMIFS('Bottom-up tagging'!$I:$I,'Bottom-up tagging'!$Y:$Y,'Analysis of bottom-up tags'!$B68,'Bottom-up tagging'!$E:$E,'Analysis of bottom-up tags'!J$6)</f>
        <v>0</v>
      </c>
      <c r="K68" s="22">
        <f>SUMIFS('Bottom-up tagging'!$I:$I,'Bottom-up tagging'!$Y:$Y,'Analysis of bottom-up tags'!$B68,'Bottom-up tagging'!$E:$E,'Analysis of bottom-up tags'!K$6)</f>
        <v>0</v>
      </c>
      <c r="L68" s="22">
        <f>SUMIFS('Bottom-up tagging'!$I:$I,'Bottom-up tagging'!$Y:$Y,'Analysis of bottom-up tags'!$B68,'Bottom-up tagging'!$E:$E,'Analysis of bottom-up tags'!L$6)</f>
        <v>0</v>
      </c>
      <c r="N68" s="101">
        <f t="shared" si="72"/>
        <v>3.3303630561833643E-2</v>
      </c>
      <c r="O68" s="101">
        <f t="shared" si="73"/>
        <v>0</v>
      </c>
      <c r="P68" s="101">
        <f t="shared" si="74"/>
        <v>0.10024604840972134</v>
      </c>
      <c r="Q68" s="101">
        <f t="shared" si="75"/>
        <v>0</v>
      </c>
      <c r="R68" s="101">
        <f t="shared" si="76"/>
        <v>0</v>
      </c>
      <c r="S68" s="101">
        <f t="shared" si="77"/>
        <v>2.5197447886452947E-2</v>
      </c>
      <c r="T68" s="101">
        <f t="shared" si="78"/>
        <v>0</v>
      </c>
      <c r="U68" s="101">
        <f t="shared" si="79"/>
        <v>0</v>
      </c>
      <c r="V68" s="101">
        <f t="shared" si="80"/>
        <v>0</v>
      </c>
      <c r="W68" s="101">
        <f t="shared" si="81"/>
        <v>0</v>
      </c>
    </row>
    <row r="69" spans="2:24">
      <c r="B69" t="s">
        <v>10997</v>
      </c>
      <c r="C69" s="22">
        <f>SUMIFS('Bottom-up tagging'!$I:$I,'Bottom-up tagging'!$Y:$Y,'Analysis of bottom-up tags'!$B69,'Bottom-up tagging'!$E:$E,'Analysis of bottom-up tags'!C$6)</f>
        <v>0</v>
      </c>
      <c r="D69" s="22">
        <f>SUMIFS('Bottom-up tagging'!$I:$I,'Bottom-up tagging'!$Y:$Y,'Analysis of bottom-up tags'!$B69,'Bottom-up tagging'!$E:$E,'Analysis of bottom-up tags'!D$6)</f>
        <v>0</v>
      </c>
      <c r="E69" s="22">
        <f>SUMIFS('Bottom-up tagging'!$I:$I,'Bottom-up tagging'!$Y:$Y,'Analysis of bottom-up tags'!$B69,'Bottom-up tagging'!$E:$E,'Analysis of bottom-up tags'!E$6)</f>
        <v>0</v>
      </c>
      <c r="F69" s="22">
        <f>SUMIFS('Bottom-up tagging'!$I:$I,'Bottom-up tagging'!$Y:$Y,'Analysis of bottom-up tags'!$B69,'Bottom-up tagging'!$E:$E,'Analysis of bottom-up tags'!F$6)</f>
        <v>0</v>
      </c>
      <c r="G69" s="22">
        <f>SUMIFS('Bottom-up tagging'!$I:$I,'Bottom-up tagging'!$Y:$Y,'Analysis of bottom-up tags'!$B69,'Bottom-up tagging'!$E:$E,'Analysis of bottom-up tags'!G$6)</f>
        <v>0</v>
      </c>
      <c r="H69" s="22">
        <f>SUMIFS('Bottom-up tagging'!$I:$I,'Bottom-up tagging'!$Y:$Y,'Analysis of bottom-up tags'!$B69,'Bottom-up tagging'!$E:$E,'Analysis of bottom-up tags'!H$6)</f>
        <v>0</v>
      </c>
      <c r="I69" s="22">
        <f>SUMIFS('Bottom-up tagging'!$I:$I,'Bottom-up tagging'!$Y:$Y,'Analysis of bottom-up tags'!$B69,'Bottom-up tagging'!$E:$E,'Analysis of bottom-up tags'!I$6)</f>
        <v>66058.335053016286</v>
      </c>
      <c r="J69" s="22">
        <f>SUMIFS('Bottom-up tagging'!$I:$I,'Bottom-up tagging'!$Y:$Y,'Analysis of bottom-up tags'!$B69,'Bottom-up tagging'!$E:$E,'Analysis of bottom-up tags'!J$6)</f>
        <v>642131.7386165217</v>
      </c>
      <c r="K69" s="22">
        <f>SUMIFS('Bottom-up tagging'!$I:$I,'Bottom-up tagging'!$Y:$Y,'Analysis of bottom-up tags'!$B69,'Bottom-up tagging'!$E:$E,'Analysis of bottom-up tags'!K$6)</f>
        <v>1778379.7578600692</v>
      </c>
      <c r="L69" s="22">
        <f>SUMIFS('Bottom-up tagging'!$I:$I,'Bottom-up tagging'!$Y:$Y,'Analysis of bottom-up tags'!$B69,'Bottom-up tagging'!$E:$E,'Analysis of bottom-up tags'!L$6)</f>
        <v>1324952.2177658167</v>
      </c>
      <c r="M69" s="22"/>
      <c r="N69" s="101">
        <f t="shared" ref="N69" si="82">C69/C$7</f>
        <v>0</v>
      </c>
      <c r="O69" s="101">
        <f t="shared" ref="O69" si="83">D69/D$7</f>
        <v>0</v>
      </c>
      <c r="P69" s="101">
        <f t="shared" ref="P69" si="84">E69/E$7</f>
        <v>0</v>
      </c>
      <c r="Q69" s="101">
        <f t="shared" ref="Q69" si="85">F69/F$7</f>
        <v>0</v>
      </c>
      <c r="R69" s="101">
        <f t="shared" ref="R69" si="86">G69/G$7</f>
        <v>0</v>
      </c>
      <c r="S69" s="101">
        <f t="shared" ref="S69" si="87">H69/H$7</f>
        <v>0</v>
      </c>
      <c r="T69" s="101">
        <f t="shared" ref="T69" si="88">I69/I$7</f>
        <v>1.8044038999532304E-4</v>
      </c>
      <c r="U69" s="101">
        <f t="shared" ref="U69" si="89">J69/J$7</f>
        <v>3.0802294070730696E-3</v>
      </c>
      <c r="V69" s="101">
        <f t="shared" ref="V69" si="90">K69/K$7</f>
        <v>1.6295246961748938E-3</v>
      </c>
      <c r="W69" s="101">
        <f t="shared" ref="W69" si="91">L69/L$7</f>
        <v>4.8970198705709416E-3</v>
      </c>
    </row>
    <row r="70" spans="2:24">
      <c r="B70" s="170" t="s">
        <v>10473</v>
      </c>
      <c r="C70" s="140"/>
      <c r="D70" s="140"/>
      <c r="E70" s="140"/>
      <c r="F70" s="140"/>
      <c r="G70" s="140"/>
      <c r="H70" s="140"/>
      <c r="I70" s="140"/>
      <c r="J70" s="140"/>
      <c r="K70" s="140"/>
      <c r="L70" s="140"/>
      <c r="M70" s="140"/>
      <c r="N70" s="171">
        <f t="shared" ref="N70:W70" si="92">SUM(N71:N74)</f>
        <v>1</v>
      </c>
      <c r="O70" s="171">
        <f t="shared" si="92"/>
        <v>0.99999999999999989</v>
      </c>
      <c r="P70" s="171">
        <f t="shared" si="92"/>
        <v>0.99999999999999989</v>
      </c>
      <c r="Q70" s="171">
        <f t="shared" si="92"/>
        <v>1</v>
      </c>
      <c r="R70" s="171">
        <f t="shared" si="92"/>
        <v>0.99999999999999967</v>
      </c>
      <c r="S70" s="171">
        <f t="shared" si="92"/>
        <v>1.0000000000000002</v>
      </c>
      <c r="T70" s="171">
        <f t="shared" si="92"/>
        <v>1.0000000000000002</v>
      </c>
      <c r="U70" s="171">
        <f t="shared" si="92"/>
        <v>0.99999999999999922</v>
      </c>
      <c r="V70" s="171">
        <f t="shared" si="92"/>
        <v>0.99999999999999967</v>
      </c>
      <c r="W70" s="171">
        <f t="shared" si="92"/>
        <v>0.99999999999999956</v>
      </c>
    </row>
    <row r="71" spans="2:24">
      <c r="B71" s="64" t="s">
        <v>10972</v>
      </c>
      <c r="C71" s="22">
        <f>SUMIFS('Bottom-up tagging'!$I:$I,'Bottom-up tagging'!$AA:$AA,'Analysis of bottom-up tags'!$B71,'Bottom-up tagging'!$E:$E,'Analysis of bottom-up tags'!C$6)</f>
        <v>3838899</v>
      </c>
      <c r="D71" s="22">
        <f>SUMIFS('Bottom-up tagging'!$I:$I,'Bottom-up tagging'!$AA:$AA,'Analysis of bottom-up tags'!$B71,'Bottom-up tagging'!$E:$E,'Analysis of bottom-up tags'!D$6)</f>
        <v>27766916.955424942</v>
      </c>
      <c r="E71" s="22">
        <f>SUMIFS('Bottom-up tagging'!$I:$I,'Bottom-up tagging'!$AA:$AA,'Analysis of bottom-up tags'!$B71,'Bottom-up tagging'!$E:$E,'Analysis of bottom-up tags'!E$6)</f>
        <v>4301987.8929409944</v>
      </c>
      <c r="F71" s="22">
        <f>SUMIFS('Bottom-up tagging'!$I:$I,'Bottom-up tagging'!$AA:$AA,'Analysis of bottom-up tags'!$B71,'Bottom-up tagging'!$E:$E,'Analysis of bottom-up tags'!F$6)</f>
        <v>11898932.129288796</v>
      </c>
      <c r="G71" s="22">
        <f>SUMIFS('Bottom-up tagging'!$I:$I,'Bottom-up tagging'!$AA:$AA,'Analysis of bottom-up tags'!$B71,'Bottom-up tagging'!$E:$E,'Analysis of bottom-up tags'!G$6)</f>
        <v>33944627.115147136</v>
      </c>
      <c r="H71" s="22">
        <f>SUMIFS('Bottom-up tagging'!$I:$I,'Bottom-up tagging'!$AA:$AA,'Analysis of bottom-up tags'!$B71,'Bottom-up tagging'!$E:$E,'Analysis of bottom-up tags'!H$6)</f>
        <v>138965475.4103817</v>
      </c>
      <c r="I71" s="22">
        <f>SUMIFS('Bottom-up tagging'!$I:$I,'Bottom-up tagging'!$AA:$AA,'Analysis of bottom-up tags'!$B71,'Bottom-up tagging'!$E:$E,'Analysis of bottom-up tags'!I$6)</f>
        <v>318735714.78707635</v>
      </c>
      <c r="J71" s="22">
        <f>SUMIFS('Bottom-up tagging'!$I:$I,'Bottom-up tagging'!$AA:$AA,'Analysis of bottom-up tags'!$B71,'Bottom-up tagging'!$E:$E,'Analysis of bottom-up tags'!J$6)</f>
        <v>88207868.021501362</v>
      </c>
      <c r="K71" s="22">
        <f>SUMIFS('Bottom-up tagging'!$I:$I,'Bottom-up tagging'!$AA:$AA,'Analysis of bottom-up tags'!$B71,'Bottom-up tagging'!$E:$E,'Analysis of bottom-up tags'!K$6)</f>
        <v>1008903034.2970921</v>
      </c>
      <c r="L71" s="22">
        <f>SUMIFS('Bottom-up tagging'!$I:$I,'Bottom-up tagging'!$AA:$AA,'Analysis of bottom-up tags'!$B71,'Bottom-up tagging'!$E:$E,'Analysis of bottom-up tags'!L$6)</f>
        <v>183564775.90425816</v>
      </c>
      <c r="N71" s="101">
        <f t="shared" ref="N71:N74" si="93">C71/C$7</f>
        <v>4.0992440822800902E-2</v>
      </c>
      <c r="O71" s="101">
        <f t="shared" ref="O71:O74" si="94">D71/D$7</f>
        <v>0.34362696149537336</v>
      </c>
      <c r="P71" s="101">
        <f t="shared" ref="P71:P74" si="95">E71/E$7</f>
        <v>0.55805757717363114</v>
      </c>
      <c r="Q71" s="101">
        <f t="shared" ref="Q71:Q74" si="96">F71/F$7</f>
        <v>0.32899593750775574</v>
      </c>
      <c r="R71" s="101">
        <f t="shared" ref="R71:R74" si="97">G71/G$7</f>
        <v>0.83408718889519495</v>
      </c>
      <c r="S71" s="101">
        <f t="shared" ref="S71:S74" si="98">H71/H$7</f>
        <v>0.69539353601495402</v>
      </c>
      <c r="T71" s="101">
        <f t="shared" ref="T71:T74" si="99">I71/I$7</f>
        <v>0.87063648569798491</v>
      </c>
      <c r="U71" s="101">
        <f t="shared" ref="U71:U74" si="100">J71/J$7</f>
        <v>0.42312262838842024</v>
      </c>
      <c r="V71" s="101">
        <f t="shared" ref="V71:V74" si="101">K71/K$7</f>
        <v>0.92445519758455164</v>
      </c>
      <c r="W71" s="101">
        <f t="shared" ref="W71:W74" si="102">L71/L$7</f>
        <v>0.67845492319402045</v>
      </c>
    </row>
    <row r="72" spans="2:24">
      <c r="B72" s="64" t="s">
        <v>10982</v>
      </c>
      <c r="C72" s="22">
        <f>SUMIFS('Bottom-up tagging'!$I:$I,'Bottom-up tagging'!$AA:$AA,'Analysis of bottom-up tags'!$B72,'Bottom-up tagging'!$E:$E,'Analysis of bottom-up tags'!C$6)</f>
        <v>89810050</v>
      </c>
      <c r="D72" s="22">
        <f>SUMIFS('Bottom-up tagging'!$I:$I,'Bottom-up tagging'!$AA:$AA,'Analysis of bottom-up tags'!$B72,'Bottom-up tagging'!$E:$E,'Analysis of bottom-up tags'!D$6)</f>
        <v>52974070.666165121</v>
      </c>
      <c r="E72" s="22">
        <f>SUMIFS('Bottom-up tagging'!$I:$I,'Bottom-up tagging'!$AA:$AA,'Analysis of bottom-up tags'!$B72,'Bottom-up tagging'!$E:$E,'Analysis of bottom-up tags'!E$6)</f>
        <v>811141.69164225075</v>
      </c>
      <c r="F72" s="22">
        <f>SUMIFS('Bottom-up tagging'!$I:$I,'Bottom-up tagging'!$AA:$AA,'Analysis of bottom-up tags'!$B72,'Bottom-up tagging'!$E:$E,'Analysis of bottom-up tags'!F$6)</f>
        <v>14488129.831613526</v>
      </c>
      <c r="G72" s="22">
        <f>SUMIFS('Bottom-up tagging'!$I:$I,'Bottom-up tagging'!$AA:$AA,'Analysis of bottom-up tags'!$B72,'Bottom-up tagging'!$E:$E,'Analysis of bottom-up tags'!G$6)</f>
        <v>5804453.0658668382</v>
      </c>
      <c r="H72" s="22">
        <f>SUMIFS('Bottom-up tagging'!$I:$I,'Bottom-up tagging'!$AA:$AA,'Analysis of bottom-up tags'!$B72,'Bottom-up tagging'!$E:$E,'Analysis of bottom-up tags'!H$6)</f>
        <v>50001618.528373107</v>
      </c>
      <c r="I72" s="22">
        <f>SUMIFS('Bottom-up tagging'!$I:$I,'Bottom-up tagging'!$AA:$AA,'Analysis of bottom-up tags'!$B72,'Bottom-up tagging'!$E:$E,'Analysis of bottom-up tags'!I$6)</f>
        <v>43152876.905975908</v>
      </c>
      <c r="J72" s="22">
        <f>SUMIFS('Bottom-up tagging'!$I:$I,'Bottom-up tagging'!$AA:$AA,'Analysis of bottom-up tags'!$B72,'Bottom-up tagging'!$E:$E,'Analysis of bottom-up tags'!J$6)</f>
        <v>92816540.395239487</v>
      </c>
      <c r="K72" s="22">
        <f>SUMIFS('Bottom-up tagging'!$I:$I,'Bottom-up tagging'!$AA:$AA,'Analysis of bottom-up tags'!$B72,'Bottom-up tagging'!$E:$E,'Analysis of bottom-up tags'!K$6)</f>
        <v>64350948.732815325</v>
      </c>
      <c r="L72" s="22">
        <f>SUMIFS('Bottom-up tagging'!$I:$I,'Bottom-up tagging'!$AA:$AA,'Analysis of bottom-up tags'!$B72,'Bottom-up tagging'!$E:$E,'Analysis of bottom-up tags'!L$6)</f>
        <v>72685076.540675893</v>
      </c>
      <c r="N72" s="101">
        <f t="shared" si="93"/>
        <v>0.95900755917719904</v>
      </c>
      <c r="O72" s="101">
        <f t="shared" si="94"/>
        <v>0.6555758052029268</v>
      </c>
      <c r="P72" s="101">
        <f t="shared" si="95"/>
        <v>0.10522199932853316</v>
      </c>
      <c r="Q72" s="101">
        <f t="shared" si="96"/>
        <v>0.4005851789803152</v>
      </c>
      <c r="R72" s="101">
        <f t="shared" si="97"/>
        <v>0.14262698848804195</v>
      </c>
      <c r="S72" s="101">
        <f t="shared" si="98"/>
        <v>0.25021180413504773</v>
      </c>
      <c r="T72" s="101">
        <f t="shared" si="99"/>
        <v>0.11787342100107807</v>
      </c>
      <c r="U72" s="101">
        <f t="shared" si="100"/>
        <v>0.4452298804045538</v>
      </c>
      <c r="V72" s="101">
        <f t="shared" si="101"/>
        <v>5.8964605123816315E-2</v>
      </c>
      <c r="W72" s="101">
        <f t="shared" si="102"/>
        <v>0.26864384944678177</v>
      </c>
    </row>
    <row r="73" spans="2:24">
      <c r="B73" s="64" t="s">
        <v>10980</v>
      </c>
      <c r="C73" s="22">
        <f>SUMIFS('Bottom-up tagging'!$I:$I,'Bottom-up tagging'!$AA:$AA,'Analysis of bottom-up tags'!$B73,'Bottom-up tagging'!$E:$E,'Analysis of bottom-up tags'!C$6)</f>
        <v>0</v>
      </c>
      <c r="D73" s="22">
        <f>SUMIFS('Bottom-up tagging'!$I:$I,'Bottom-up tagging'!$AA:$AA,'Analysis of bottom-up tags'!$B73,'Bottom-up tagging'!$E:$E,'Analysis of bottom-up tags'!D$6)</f>
        <v>0</v>
      </c>
      <c r="E73" s="22">
        <f>SUMIFS('Bottom-up tagging'!$I:$I,'Bottom-up tagging'!$AA:$AA,'Analysis of bottom-up tags'!$B73,'Bottom-up tagging'!$E:$E,'Analysis of bottom-up tags'!E$6)</f>
        <v>1781204.8926253945</v>
      </c>
      <c r="F73" s="22">
        <f>SUMIFS('Bottom-up tagging'!$I:$I,'Bottom-up tagging'!$AA:$AA,'Analysis of bottom-up tags'!$B73,'Bottom-up tagging'!$E:$E,'Analysis of bottom-up tags'!F$6)</f>
        <v>9780351.5926716924</v>
      </c>
      <c r="G73" s="22">
        <f>SUMIFS('Bottom-up tagging'!$I:$I,'Bottom-up tagging'!$AA:$AA,'Analysis of bottom-up tags'!$B73,'Bottom-up tagging'!$E:$E,'Analysis of bottom-up tags'!G$6)</f>
        <v>338389.77978849091</v>
      </c>
      <c r="H73" s="22">
        <f>SUMIFS('Bottom-up tagging'!$I:$I,'Bottom-up tagging'!$AA:$AA,'Analysis of bottom-up tags'!$B73,'Bottom-up tagging'!$E:$E,'Analysis of bottom-up tags'!H$6)</f>
        <v>10381276.220591413</v>
      </c>
      <c r="I73" s="22">
        <f>SUMIFS('Bottom-up tagging'!$I:$I,'Bottom-up tagging'!$AA:$AA,'Analysis of bottom-up tags'!$B73,'Bottom-up tagging'!$E:$E,'Analysis of bottom-up tags'!I$6)</f>
        <v>1298027.2117406174</v>
      </c>
      <c r="J73" s="22">
        <f>SUMIFS('Bottom-up tagging'!$I:$I,'Bottom-up tagging'!$AA:$AA,'Analysis of bottom-up tags'!$B73,'Bottom-up tagging'!$E:$E,'Analysis of bottom-up tags'!J$6)</f>
        <v>13790021.241051352</v>
      </c>
      <c r="K73" s="22">
        <f>SUMIFS('Bottom-up tagging'!$I:$I,'Bottom-up tagging'!$AA:$AA,'Analysis of bottom-up tags'!$B73,'Bottom-up tagging'!$E:$E,'Analysis of bottom-up tags'!K$6)</f>
        <v>15731911.856715547</v>
      </c>
      <c r="L73" s="22">
        <f>SUMIFS('Bottom-up tagging'!$I:$I,'Bottom-up tagging'!$AA:$AA,'Analysis of bottom-up tags'!$B73,'Bottom-up tagging'!$E:$E,'Analysis of bottom-up tags'!L$6)</f>
        <v>5066820.6304718107</v>
      </c>
      <c r="N73" s="101">
        <f t="shared" si="93"/>
        <v>0</v>
      </c>
      <c r="O73" s="101">
        <f t="shared" si="94"/>
        <v>0</v>
      </c>
      <c r="P73" s="101">
        <f t="shared" si="95"/>
        <v>0.23105943381649105</v>
      </c>
      <c r="Q73" s="101">
        <f t="shared" si="96"/>
        <v>0.27041888351192894</v>
      </c>
      <c r="R73" s="101">
        <f t="shared" si="97"/>
        <v>8.3149117890500956E-3</v>
      </c>
      <c r="S73" s="101">
        <f t="shared" si="98"/>
        <v>5.1948675439466054E-2</v>
      </c>
      <c r="T73" s="101">
        <f t="shared" si="99"/>
        <v>3.5456015675091436E-3</v>
      </c>
      <c r="U73" s="101">
        <f t="shared" si="100"/>
        <v>6.6149088102021664E-2</v>
      </c>
      <c r="V73" s="101">
        <f t="shared" si="101"/>
        <v>1.4415109469876078E-2</v>
      </c>
      <c r="W73" s="101">
        <f t="shared" si="102"/>
        <v>1.8726955565143848E-2</v>
      </c>
    </row>
    <row r="74" spans="2:24">
      <c r="B74" s="64" t="s">
        <v>10985</v>
      </c>
      <c r="C74" s="22">
        <f>SUMIFS('Bottom-up tagging'!$I:$I,'Bottom-up tagging'!$AA:$AA,'Analysis of bottom-up tags'!$B74,'Bottom-up tagging'!$E:$E,'Analysis of bottom-up tags'!C$6)</f>
        <v>0</v>
      </c>
      <c r="D74" s="22">
        <f>SUMIFS('Bottom-up tagging'!$I:$I,'Bottom-up tagging'!$AA:$AA,'Analysis of bottom-up tags'!$B74,'Bottom-up tagging'!$E:$E,'Analysis of bottom-up tags'!D$6)</f>
        <v>64420.762521266013</v>
      </c>
      <c r="E74" s="22">
        <f>SUMIFS('Bottom-up tagging'!$I:$I,'Bottom-up tagging'!$AA:$AA,'Analysis of bottom-up tags'!$B74,'Bottom-up tagging'!$E:$E,'Analysis of bottom-up tags'!E$6)</f>
        <v>814525.80693816161</v>
      </c>
      <c r="F74" s="22">
        <f>SUMIFS('Bottom-up tagging'!$I:$I,'Bottom-up tagging'!$AA:$AA,'Analysis of bottom-up tags'!$B74,'Bottom-up tagging'!$E:$E,'Analysis of bottom-up tags'!F$6)</f>
        <v>0</v>
      </c>
      <c r="G74" s="22">
        <f>SUMIFS('Bottom-up tagging'!$I:$I,'Bottom-up tagging'!$AA:$AA,'Analysis of bottom-up tags'!$B74,'Bottom-up tagging'!$E:$E,'Analysis of bottom-up tags'!G$6)</f>
        <v>609267.22336300183</v>
      </c>
      <c r="H74" s="22">
        <f>SUMIFS('Bottom-up tagging'!$I:$I,'Bottom-up tagging'!$AA:$AA,'Analysis of bottom-up tags'!$B74,'Bottom-up tagging'!$E:$E,'Analysis of bottom-up tags'!H$6)</f>
        <v>488798.59942889045</v>
      </c>
      <c r="I74" s="22">
        <f>SUMIFS('Bottom-up tagging'!$I:$I,'Bottom-up tagging'!$AA:$AA,'Analysis of bottom-up tags'!$B74,'Bottom-up tagging'!$E:$E,'Analysis of bottom-up tags'!I$6)</f>
        <v>2908439.1624641428</v>
      </c>
      <c r="J74" s="22">
        <f>SUMIFS('Bottom-up tagging'!$I:$I,'Bottom-up tagging'!$AA:$AA,'Analysis of bottom-up tags'!$B74,'Bottom-up tagging'!$E:$E,'Analysis of bottom-up tags'!J$6)</f>
        <v>13654373.718348168</v>
      </c>
      <c r="K74" s="22">
        <f>SUMIFS('Bottom-up tagging'!$I:$I,'Bottom-up tagging'!$AA:$AA,'Analysis of bottom-up tags'!$B74,'Bottom-up tagging'!$E:$E,'Analysis of bottom-up tags'!K$6)</f>
        <v>2362865.9112916561</v>
      </c>
      <c r="L74" s="22">
        <f>SUMIFS('Bottom-up tagging'!$I:$I,'Bottom-up tagging'!$AA:$AA,'Analysis of bottom-up tags'!$B74,'Bottom-up tagging'!$E:$E,'Analysis of bottom-up tags'!L$6)</f>
        <v>9246292.3167154677</v>
      </c>
      <c r="N74" s="101">
        <f t="shared" si="93"/>
        <v>0</v>
      </c>
      <c r="O74" s="101">
        <f t="shared" si="94"/>
        <v>7.9723330169980289E-4</v>
      </c>
      <c r="P74" s="101">
        <f t="shared" si="95"/>
        <v>0.10566098968134448</v>
      </c>
      <c r="Q74" s="101">
        <f t="shared" si="96"/>
        <v>0</v>
      </c>
      <c r="R74" s="101">
        <f t="shared" si="97"/>
        <v>1.497091082771272E-2</v>
      </c>
      <c r="S74" s="101">
        <f t="shared" si="98"/>
        <v>2.4459844105323711E-3</v>
      </c>
      <c r="T74" s="101">
        <f t="shared" si="99"/>
        <v>7.9444917334279344E-3</v>
      </c>
      <c r="U74" s="101">
        <f t="shared" si="100"/>
        <v>6.5498403105003503E-2</v>
      </c>
      <c r="V74" s="101">
        <f t="shared" si="101"/>
        <v>2.1650878217556228E-3</v>
      </c>
      <c r="W74" s="101">
        <f t="shared" si="102"/>
        <v>3.4174271794053572E-2</v>
      </c>
    </row>
    <row r="76" spans="2:24">
      <c r="B76" s="170" t="s">
        <v>10468</v>
      </c>
      <c r="C76" s="140"/>
      <c r="D76" s="140"/>
      <c r="E76" s="140"/>
      <c r="F76" s="140"/>
      <c r="G76" s="140"/>
      <c r="H76" s="140"/>
      <c r="I76" s="140"/>
      <c r="J76" s="140"/>
      <c r="K76" s="140"/>
      <c r="L76" s="140"/>
      <c r="M76" s="140"/>
      <c r="N76" s="171">
        <f t="shared" ref="N76:W76" si="103">SUM(N77:N118)</f>
        <v>1.0000000000000002</v>
      </c>
      <c r="O76" s="171">
        <f t="shared" si="103"/>
        <v>0.99999999999999989</v>
      </c>
      <c r="P76" s="171">
        <f t="shared" si="103"/>
        <v>0.99999999999999989</v>
      </c>
      <c r="Q76" s="171">
        <f t="shared" si="103"/>
        <v>0.99999999999999989</v>
      </c>
      <c r="R76" s="171">
        <f t="shared" si="103"/>
        <v>0.99999999999999978</v>
      </c>
      <c r="S76" s="171">
        <f t="shared" si="103"/>
        <v>1.0000000000000004</v>
      </c>
      <c r="T76" s="171">
        <f t="shared" si="103"/>
        <v>1.0000000000000002</v>
      </c>
      <c r="U76" s="171">
        <f t="shared" si="103"/>
        <v>0.99999999999999944</v>
      </c>
      <c r="V76" s="171">
        <f t="shared" si="103"/>
        <v>0.99999999999999956</v>
      </c>
      <c r="W76" s="171">
        <f t="shared" si="103"/>
        <v>1.0000000000000002</v>
      </c>
    </row>
    <row r="77" spans="2:24">
      <c r="B77" s="64" t="s">
        <v>10821</v>
      </c>
      <c r="C77" s="22">
        <f>SUMIFS('Bottom-up tagging'!$I:$I,'Bottom-up tagging'!$P:$P,'Analysis of bottom-up tags'!$B77,'Bottom-up tagging'!$E:$E,'Analysis of bottom-up tags'!C$6)</f>
        <v>1514622</v>
      </c>
      <c r="D77" s="22">
        <f>SUMIFS('Bottom-up tagging'!$I:$I,'Bottom-up tagging'!$P:$P,'Analysis of bottom-up tags'!$B77,'Bottom-up tagging'!$E:$E,'Analysis of bottom-up tags'!D$6)</f>
        <v>26413094.126794811</v>
      </c>
      <c r="E77" s="22">
        <f>SUMIFS('Bottom-up tagging'!$I:$I,'Bottom-up tagging'!$P:$P,'Analysis of bottom-up tags'!$B77,'Bottom-up tagging'!$E:$E,'Analysis of bottom-up tags'!E$6)</f>
        <v>0</v>
      </c>
      <c r="F77" s="22">
        <f>SUMIFS('Bottom-up tagging'!$I:$I,'Bottom-up tagging'!$P:$P,'Analysis of bottom-up tags'!$B77,'Bottom-up tagging'!$E:$E,'Analysis of bottom-up tags'!F$6)</f>
        <v>8983231.2503920663</v>
      </c>
      <c r="G77" s="22">
        <f>SUMIFS('Bottom-up tagging'!$I:$I,'Bottom-up tagging'!$P:$P,'Analysis of bottom-up tags'!$B77,'Bottom-up tagging'!$E:$E,'Analysis of bottom-up tags'!G$6)</f>
        <v>30184407.670109056</v>
      </c>
      <c r="H77" s="22">
        <f>SUMIFS('Bottom-up tagging'!$I:$I,'Bottom-up tagging'!$P:$P,'Analysis of bottom-up tags'!$B77,'Bottom-up tagging'!$E:$E,'Analysis of bottom-up tags'!H$6)</f>
        <v>130173068.89799522</v>
      </c>
      <c r="I77" s="22">
        <f>SUMIFS('Bottom-up tagging'!$I:$I,'Bottom-up tagging'!$P:$P,'Analysis of bottom-up tags'!$B77,'Bottom-up tagging'!$E:$E,'Analysis of bottom-up tags'!I$6)</f>
        <v>306764208.96162504</v>
      </c>
      <c r="J77" s="22">
        <f>SUMIFS('Bottom-up tagging'!$I:$I,'Bottom-up tagging'!$P:$P,'Analysis of bottom-up tags'!$B77,'Bottom-up tagging'!$E:$E,'Analysis of bottom-up tags'!J$6)</f>
        <v>46910815.502055392</v>
      </c>
      <c r="K77" s="22">
        <f>SUMIFS('Bottom-up tagging'!$I:$I,'Bottom-up tagging'!$P:$P,'Analysis of bottom-up tags'!$B77,'Bottom-up tagging'!$E:$E,'Analysis of bottom-up tags'!K$6)</f>
        <v>999475238.79860318</v>
      </c>
      <c r="L77" s="22">
        <f>SUMIFS('Bottom-up tagging'!$I:$I,'Bottom-up tagging'!$P:$P,'Analysis of bottom-up tags'!$B77,'Bottom-up tagging'!$E:$E,'Analysis of bottom-up tags'!L$6)</f>
        <v>155167349.94846863</v>
      </c>
      <c r="N77" s="101">
        <f t="shared" ref="N77:N112" si="104">C77/C$7</f>
        <v>1.6173400942278593E-2</v>
      </c>
      <c r="O77" s="101">
        <f t="shared" ref="O77:O112" si="105">D77/D$7</f>
        <v>0.32687284991171933</v>
      </c>
      <c r="P77" s="101">
        <f t="shared" ref="P77:P112" si="106">E77/E$7</f>
        <v>0</v>
      </c>
      <c r="Q77" s="101">
        <f t="shared" ref="Q77:Q112" si="107">F77/F$7</f>
        <v>0.24837914486435136</v>
      </c>
      <c r="R77" s="101">
        <f t="shared" ref="R77:R112" si="108">G77/G$7</f>
        <v>0.74169109758148821</v>
      </c>
      <c r="S77" s="101">
        <f t="shared" ref="S77:S112" si="109">H77/H$7</f>
        <v>0.65139568232738565</v>
      </c>
      <c r="T77" s="101">
        <f t="shared" ref="T77:T112" si="110">I77/I$7</f>
        <v>0.83793594642096481</v>
      </c>
      <c r="U77" s="101">
        <f t="shared" ref="U77:U112" si="111">J77/J$7</f>
        <v>0.22502559012349749</v>
      </c>
      <c r="V77" s="101">
        <f t="shared" ref="V77:V112" si="112">K77/K$7</f>
        <v>0.91581653335809854</v>
      </c>
      <c r="W77" s="101">
        <f t="shared" ref="W77:W112" si="113">L77/L$7</f>
        <v>0.57349811243969673</v>
      </c>
      <c r="X77" s="101"/>
    </row>
    <row r="78" spans="2:24">
      <c r="B78" s="64" t="s">
        <v>10993</v>
      </c>
      <c r="C78" s="22">
        <f>SUMIFS('Bottom-up tagging'!$I:$I,'Bottom-up tagging'!$P:$P,'Analysis of bottom-up tags'!$B78,'Bottom-up tagging'!$E:$E,'Analysis of bottom-up tags'!C$6)</f>
        <v>85791200</v>
      </c>
      <c r="D78" s="22">
        <f>SUMIFS('Bottom-up tagging'!$I:$I,'Bottom-up tagging'!$P:$P,'Analysis of bottom-up tags'!$B78,'Bottom-up tagging'!$E:$E,'Analysis of bottom-up tags'!D$6)</f>
        <v>45983955.430829309</v>
      </c>
      <c r="E78" s="22">
        <f>SUMIFS('Bottom-up tagging'!$I:$I,'Bottom-up tagging'!$P:$P,'Analysis of bottom-up tags'!$B78,'Bottom-up tagging'!$E:$E,'Analysis of bottom-up tags'!E$6)</f>
        <v>0</v>
      </c>
      <c r="F78" s="22">
        <f>SUMIFS('Bottom-up tagging'!$I:$I,'Bottom-up tagging'!$P:$P,'Analysis of bottom-up tags'!$B78,'Bottom-up tagging'!$E:$E,'Analysis of bottom-up tags'!F$6)</f>
        <v>3360515.9032044937</v>
      </c>
      <c r="G78" s="22">
        <f>SUMIFS('Bottom-up tagging'!$I:$I,'Bottom-up tagging'!$P:$P,'Analysis of bottom-up tags'!$B78,'Bottom-up tagging'!$E:$E,'Analysis of bottom-up tags'!G$6)</f>
        <v>12448.209018269661</v>
      </c>
      <c r="H78" s="22">
        <f>SUMIFS('Bottom-up tagging'!$I:$I,'Bottom-up tagging'!$P:$P,'Analysis of bottom-up tags'!$B78,'Bottom-up tagging'!$E:$E,'Analysis of bottom-up tags'!H$6)</f>
        <v>341208.89507658011</v>
      </c>
      <c r="I78" s="22">
        <f>SUMIFS('Bottom-up tagging'!$I:$I,'Bottom-up tagging'!$P:$P,'Analysis of bottom-up tags'!$B78,'Bottom-up tagging'!$E:$E,'Analysis of bottom-up tags'!I$6)</f>
        <v>538988.56369998143</v>
      </c>
      <c r="J78" s="22">
        <f>SUMIFS('Bottom-up tagging'!$I:$I,'Bottom-up tagging'!$P:$P,'Analysis of bottom-up tags'!$B78,'Bottom-up tagging'!$E:$E,'Analysis of bottom-up tags'!J$6)</f>
        <v>0</v>
      </c>
      <c r="K78" s="22">
        <f>SUMIFS('Bottom-up tagging'!$I:$I,'Bottom-up tagging'!$P:$P,'Analysis of bottom-up tags'!$B78,'Bottom-up tagging'!$E:$E,'Analysis of bottom-up tags'!K$6)</f>
        <v>148374.65028828519</v>
      </c>
      <c r="L78" s="22">
        <f>SUMIFS('Bottom-up tagging'!$I:$I,'Bottom-up tagging'!$P:$P,'Analysis of bottom-up tags'!$B78,'Bottom-up tagging'!$E:$E,'Analysis of bottom-up tags'!L$6)</f>
        <v>21199235.484253068</v>
      </c>
      <c r="N78" s="101">
        <f t="shared" si="104"/>
        <v>0.91609356982746282</v>
      </c>
      <c r="O78" s="101">
        <f t="shared" si="105"/>
        <v>0.56907026831970176</v>
      </c>
      <c r="P78" s="101">
        <f t="shared" si="106"/>
        <v>0</v>
      </c>
      <c r="Q78" s="101">
        <f t="shared" si="107"/>
        <v>9.2915571588403273E-2</v>
      </c>
      <c r="R78" s="101">
        <f t="shared" si="108"/>
        <v>3.0587732284132797E-4</v>
      </c>
      <c r="S78" s="101">
        <f t="shared" si="109"/>
        <v>1.7074345938540387E-3</v>
      </c>
      <c r="T78" s="101">
        <f t="shared" si="110"/>
        <v>1.4722639703073004E-3</v>
      </c>
      <c r="U78" s="101">
        <f t="shared" si="111"/>
        <v>0</v>
      </c>
      <c r="V78" s="101">
        <f t="shared" si="112"/>
        <v>1.3595530193281607E-4</v>
      </c>
      <c r="W78" s="101">
        <f t="shared" si="113"/>
        <v>7.8352317929135065E-2</v>
      </c>
      <c r="X78" s="101"/>
    </row>
    <row r="79" spans="2:24">
      <c r="B79" s="64" t="s">
        <v>10720</v>
      </c>
      <c r="C79" s="22">
        <f>SUMIFS('Bottom-up tagging'!$I:$I,'Bottom-up tagging'!$P:$P,'Analysis of bottom-up tags'!$B79,'Bottom-up tagging'!$E:$E,'Analysis of bottom-up tags'!C$6)</f>
        <v>0</v>
      </c>
      <c r="D79" s="22">
        <f>SUMIFS('Bottom-up tagging'!$I:$I,'Bottom-up tagging'!$P:$P,'Analysis of bottom-up tags'!$B79,'Bottom-up tagging'!$E:$E,'Analysis of bottom-up tags'!D$6)</f>
        <v>0</v>
      </c>
      <c r="E79" s="22">
        <f>SUMIFS('Bottom-up tagging'!$I:$I,'Bottom-up tagging'!$P:$P,'Analysis of bottom-up tags'!$B79,'Bottom-up tagging'!$E:$E,'Analysis of bottom-up tags'!E$6)</f>
        <v>0</v>
      </c>
      <c r="F79" s="22">
        <f>SUMIFS('Bottom-up tagging'!$I:$I,'Bottom-up tagging'!$P:$P,'Analysis of bottom-up tags'!$B79,'Bottom-up tagging'!$E:$E,'Analysis of bottom-up tags'!F$6)</f>
        <v>0</v>
      </c>
      <c r="G79" s="22">
        <f>SUMIFS('Bottom-up tagging'!$I:$I,'Bottom-up tagging'!$P:$P,'Analysis of bottom-up tags'!$B79,'Bottom-up tagging'!$E:$E,'Analysis of bottom-up tags'!G$6)</f>
        <v>0</v>
      </c>
      <c r="H79" s="22">
        <f>SUMIFS('Bottom-up tagging'!$I:$I,'Bottom-up tagging'!$P:$P,'Analysis of bottom-up tags'!$B79,'Bottom-up tagging'!$E:$E,'Analysis of bottom-up tags'!H$6)</f>
        <v>0</v>
      </c>
      <c r="I79" s="22">
        <f>SUMIFS('Bottom-up tagging'!$I:$I,'Bottom-up tagging'!$P:$P,'Analysis of bottom-up tags'!$B79,'Bottom-up tagging'!$E:$E,'Analysis of bottom-up tags'!I$6)</f>
        <v>0</v>
      </c>
      <c r="J79" s="22">
        <f>SUMIFS('Bottom-up tagging'!$I:$I,'Bottom-up tagging'!$P:$P,'Analysis of bottom-up tags'!$B79,'Bottom-up tagging'!$E:$E,'Analysis of bottom-up tags'!J$6)</f>
        <v>7598992.0578318257</v>
      </c>
      <c r="K79" s="22">
        <f>SUMIFS('Bottom-up tagging'!$I:$I,'Bottom-up tagging'!$P:$P,'Analysis of bottom-up tags'!$B79,'Bottom-up tagging'!$E:$E,'Analysis of bottom-up tags'!K$6)</f>
        <v>0</v>
      </c>
      <c r="L79" s="22">
        <f>SUMIFS('Bottom-up tagging'!$I:$I,'Bottom-up tagging'!$P:$P,'Analysis of bottom-up tags'!$B79,'Bottom-up tagging'!$E:$E,'Analysis of bottom-up tags'!L$6)</f>
        <v>1267430.6793892544</v>
      </c>
      <c r="N79" s="101">
        <f t="shared" si="104"/>
        <v>0</v>
      </c>
      <c r="O79" s="101">
        <f t="shared" si="105"/>
        <v>0</v>
      </c>
      <c r="P79" s="101">
        <f t="shared" si="106"/>
        <v>0</v>
      </c>
      <c r="Q79" s="101">
        <f t="shared" si="107"/>
        <v>0</v>
      </c>
      <c r="R79" s="101">
        <f t="shared" si="108"/>
        <v>0</v>
      </c>
      <c r="S79" s="101">
        <f t="shared" si="109"/>
        <v>0</v>
      </c>
      <c r="T79" s="101">
        <f t="shared" si="110"/>
        <v>0</v>
      </c>
      <c r="U79" s="101">
        <f t="shared" si="111"/>
        <v>3.6451459090120812E-2</v>
      </c>
      <c r="V79" s="101">
        <f t="shared" si="112"/>
        <v>0</v>
      </c>
      <c r="W79" s="101">
        <f t="shared" si="113"/>
        <v>4.6844204178217545E-3</v>
      </c>
      <c r="X79" s="101"/>
    </row>
    <row r="80" spans="2:24">
      <c r="B80" s="64" t="s">
        <v>10718</v>
      </c>
      <c r="C80" s="22">
        <f>SUMIFS('Bottom-up tagging'!$I:$I,'Bottom-up tagging'!$P:$P,'Analysis of bottom-up tags'!$B80,'Bottom-up tagging'!$E:$E,'Analysis of bottom-up tags'!C$6)</f>
        <v>0</v>
      </c>
      <c r="D80" s="22">
        <f>SUMIFS('Bottom-up tagging'!$I:$I,'Bottom-up tagging'!$P:$P,'Analysis of bottom-up tags'!$B80,'Bottom-up tagging'!$E:$E,'Analysis of bottom-up tags'!D$6)</f>
        <v>0</v>
      </c>
      <c r="E80" s="22">
        <f>SUMIFS('Bottom-up tagging'!$I:$I,'Bottom-up tagging'!$P:$P,'Analysis of bottom-up tags'!$B80,'Bottom-up tagging'!$E:$E,'Analysis of bottom-up tags'!E$6)</f>
        <v>0</v>
      </c>
      <c r="F80" s="22">
        <f>SUMIFS('Bottom-up tagging'!$I:$I,'Bottom-up tagging'!$P:$P,'Analysis of bottom-up tags'!$B80,'Bottom-up tagging'!$E:$E,'Analysis of bottom-up tags'!F$6)</f>
        <v>0</v>
      </c>
      <c r="G80" s="22">
        <f>SUMIFS('Bottom-up tagging'!$I:$I,'Bottom-up tagging'!$P:$P,'Analysis of bottom-up tags'!$B80,'Bottom-up tagging'!$E:$E,'Analysis of bottom-up tags'!G$6)</f>
        <v>0</v>
      </c>
      <c r="H80" s="22">
        <f>SUMIFS('Bottom-up tagging'!$I:$I,'Bottom-up tagging'!$P:$P,'Analysis of bottom-up tags'!$B80,'Bottom-up tagging'!$E:$E,'Analysis of bottom-up tags'!H$6)</f>
        <v>24127412.172466926</v>
      </c>
      <c r="I80" s="22">
        <f>SUMIFS('Bottom-up tagging'!$I:$I,'Bottom-up tagging'!$P:$P,'Analysis of bottom-up tags'!$B80,'Bottom-up tagging'!$E:$E,'Analysis of bottom-up tags'!I$6)</f>
        <v>577389.35598687385</v>
      </c>
      <c r="J80" s="22">
        <f>SUMIFS('Bottom-up tagging'!$I:$I,'Bottom-up tagging'!$P:$P,'Analysis of bottom-up tags'!$B80,'Bottom-up tagging'!$E:$E,'Analysis of bottom-up tags'!J$6)</f>
        <v>36820452.195832774</v>
      </c>
      <c r="K80" s="22">
        <f>SUMIFS('Bottom-up tagging'!$I:$I,'Bottom-up tagging'!$P:$P,'Analysis of bottom-up tags'!$B80,'Bottom-up tagging'!$E:$E,'Analysis of bottom-up tags'!K$6)</f>
        <v>27734772.121646345</v>
      </c>
      <c r="L80" s="22">
        <f>SUMIFS('Bottom-up tagging'!$I:$I,'Bottom-up tagging'!$P:$P,'Analysis of bottom-up tags'!$B80,'Bottom-up tagging'!$E:$E,'Analysis of bottom-up tags'!L$6)</f>
        <v>0</v>
      </c>
      <c r="N80" s="101">
        <f t="shared" si="104"/>
        <v>0</v>
      </c>
      <c r="O80" s="101">
        <f t="shared" si="105"/>
        <v>0</v>
      </c>
      <c r="P80" s="101">
        <f t="shared" si="106"/>
        <v>0</v>
      </c>
      <c r="Q80" s="101">
        <f t="shared" si="107"/>
        <v>0</v>
      </c>
      <c r="R80" s="101">
        <f t="shared" si="108"/>
        <v>0</v>
      </c>
      <c r="S80" s="101">
        <f t="shared" si="109"/>
        <v>0.12073535830359618</v>
      </c>
      <c r="T80" s="101">
        <f t="shared" si="110"/>
        <v>1.5771569248574752E-3</v>
      </c>
      <c r="U80" s="101">
        <f t="shared" si="111"/>
        <v>0.17662332013005122</v>
      </c>
      <c r="V80" s="101">
        <f t="shared" si="112"/>
        <v>2.5413298771117577E-2</v>
      </c>
      <c r="W80" s="101">
        <f t="shared" si="113"/>
        <v>0</v>
      </c>
      <c r="X80" s="101"/>
    </row>
    <row r="81" spans="2:24">
      <c r="B81" s="64" t="s">
        <v>10712</v>
      </c>
      <c r="C81" s="22">
        <f>SUMIFS('Bottom-up tagging'!$I:$I,'Bottom-up tagging'!$P:$P,'Analysis of bottom-up tags'!$B81,'Bottom-up tagging'!$E:$E,'Analysis of bottom-up tags'!C$6)</f>
        <v>0</v>
      </c>
      <c r="D81" s="22">
        <f>SUMIFS('Bottom-up tagging'!$I:$I,'Bottom-up tagging'!$P:$P,'Analysis of bottom-up tags'!$B81,'Bottom-up tagging'!$E:$E,'Analysis of bottom-up tags'!D$6)</f>
        <v>0</v>
      </c>
      <c r="E81" s="22">
        <f>SUMIFS('Bottom-up tagging'!$I:$I,'Bottom-up tagging'!$P:$P,'Analysis of bottom-up tags'!$B81,'Bottom-up tagging'!$E:$E,'Analysis of bottom-up tags'!E$6)</f>
        <v>0</v>
      </c>
      <c r="F81" s="22">
        <f>SUMIFS('Bottom-up tagging'!$I:$I,'Bottom-up tagging'!$P:$P,'Analysis of bottom-up tags'!$B81,'Bottom-up tagging'!$E:$E,'Analysis of bottom-up tags'!F$6)</f>
        <v>0</v>
      </c>
      <c r="G81" s="22">
        <f>SUMIFS('Bottom-up tagging'!$I:$I,'Bottom-up tagging'!$P:$P,'Analysis of bottom-up tags'!$B81,'Bottom-up tagging'!$E:$E,'Analysis of bottom-up tags'!G$6)</f>
        <v>0</v>
      </c>
      <c r="H81" s="22">
        <f>SUMIFS('Bottom-up tagging'!$I:$I,'Bottom-up tagging'!$P:$P,'Analysis of bottom-up tags'!$B81,'Bottom-up tagging'!$E:$E,'Analysis of bottom-up tags'!H$6)</f>
        <v>0</v>
      </c>
      <c r="I81" s="22">
        <f>SUMIFS('Bottom-up tagging'!$I:$I,'Bottom-up tagging'!$P:$P,'Analysis of bottom-up tags'!$B81,'Bottom-up tagging'!$E:$E,'Analysis of bottom-up tags'!I$6)</f>
        <v>0</v>
      </c>
      <c r="J81" s="22">
        <f>SUMIFS('Bottom-up tagging'!$I:$I,'Bottom-up tagging'!$P:$P,'Analysis of bottom-up tags'!$B81,'Bottom-up tagging'!$E:$E,'Analysis of bottom-up tags'!J$6)</f>
        <v>0</v>
      </c>
      <c r="K81" s="22">
        <f>SUMIFS('Bottom-up tagging'!$I:$I,'Bottom-up tagging'!$P:$P,'Analysis of bottom-up tags'!$B81,'Bottom-up tagging'!$E:$E,'Analysis of bottom-up tags'!K$6)</f>
        <v>1112127.5201809809</v>
      </c>
      <c r="L81" s="22">
        <f>SUMIFS('Bottom-up tagging'!$I:$I,'Bottom-up tagging'!$P:$P,'Analysis of bottom-up tags'!$B81,'Bottom-up tagging'!$E:$E,'Analysis of bottom-up tags'!L$6)</f>
        <v>0</v>
      </c>
      <c r="N81" s="101">
        <f t="shared" si="104"/>
        <v>0</v>
      </c>
      <c r="O81" s="101">
        <f t="shared" si="105"/>
        <v>0</v>
      </c>
      <c r="P81" s="101">
        <f t="shared" si="106"/>
        <v>0</v>
      </c>
      <c r="Q81" s="101">
        <f t="shared" si="107"/>
        <v>0</v>
      </c>
      <c r="R81" s="101">
        <f t="shared" si="108"/>
        <v>0</v>
      </c>
      <c r="S81" s="101">
        <f t="shared" si="109"/>
        <v>0</v>
      </c>
      <c r="T81" s="101">
        <f t="shared" si="110"/>
        <v>0</v>
      </c>
      <c r="U81" s="101">
        <f t="shared" si="111"/>
        <v>0</v>
      </c>
      <c r="V81" s="101">
        <f t="shared" si="112"/>
        <v>1.0190395225884289E-3</v>
      </c>
      <c r="W81" s="101">
        <f t="shared" si="113"/>
        <v>0</v>
      </c>
      <c r="X81" s="101"/>
    </row>
    <row r="82" spans="2:24">
      <c r="B82" s="64" t="s">
        <v>10766</v>
      </c>
      <c r="C82" s="22">
        <f>SUMIFS('Bottom-up tagging'!$I:$I,'Bottom-up tagging'!$P:$P,'Analysis of bottom-up tags'!$B82,'Bottom-up tagging'!$E:$E,'Analysis of bottom-up tags'!C$6)</f>
        <v>0</v>
      </c>
      <c r="D82" s="22">
        <f>SUMIFS('Bottom-up tagging'!$I:$I,'Bottom-up tagging'!$P:$P,'Analysis of bottom-up tags'!$B82,'Bottom-up tagging'!$E:$E,'Analysis of bottom-up tags'!D$6)</f>
        <v>0</v>
      </c>
      <c r="E82" s="22">
        <f>SUMIFS('Bottom-up tagging'!$I:$I,'Bottom-up tagging'!$P:$P,'Analysis of bottom-up tags'!$B82,'Bottom-up tagging'!$E:$E,'Analysis of bottom-up tags'!E$6)</f>
        <v>0</v>
      </c>
      <c r="F82" s="22">
        <f>SUMIFS('Bottom-up tagging'!$I:$I,'Bottom-up tagging'!$P:$P,'Analysis of bottom-up tags'!$B82,'Bottom-up tagging'!$E:$E,'Analysis of bottom-up tags'!F$6)</f>
        <v>420439.62393090705</v>
      </c>
      <c r="G82" s="22">
        <f>SUMIFS('Bottom-up tagging'!$I:$I,'Bottom-up tagging'!$P:$P,'Analysis of bottom-up tags'!$B82,'Bottom-up tagging'!$E:$E,'Analysis of bottom-up tags'!G$6)</f>
        <v>237245.1583881813</v>
      </c>
      <c r="H82" s="22">
        <f>SUMIFS('Bottom-up tagging'!$I:$I,'Bottom-up tagging'!$P:$P,'Analysis of bottom-up tags'!$B82,'Bottom-up tagging'!$E:$E,'Analysis of bottom-up tags'!H$6)</f>
        <v>239305.30937794707</v>
      </c>
      <c r="I82" s="22">
        <f>SUMIFS('Bottom-up tagging'!$I:$I,'Bottom-up tagging'!$P:$P,'Analysis of bottom-up tags'!$B82,'Bottom-up tagging'!$E:$E,'Analysis of bottom-up tags'!I$6)</f>
        <v>1064913.8588444705</v>
      </c>
      <c r="J82" s="22">
        <f>SUMIFS('Bottom-up tagging'!$I:$I,'Bottom-up tagging'!$P:$P,'Analysis of bottom-up tags'!$B82,'Bottom-up tagging'!$E:$E,'Analysis of bottom-up tags'!J$6)</f>
        <v>0</v>
      </c>
      <c r="K82" s="22">
        <f>SUMIFS('Bottom-up tagging'!$I:$I,'Bottom-up tagging'!$P:$P,'Analysis of bottom-up tags'!$B82,'Bottom-up tagging'!$E:$E,'Analysis of bottom-up tags'!K$6)</f>
        <v>1068095.631006862</v>
      </c>
      <c r="L82" s="22">
        <f>SUMIFS('Bottom-up tagging'!$I:$I,'Bottom-up tagging'!$P:$P,'Analysis of bottom-up tags'!$B82,'Bottom-up tagging'!$E:$E,'Analysis of bottom-up tags'!L$6)</f>
        <v>381048.6863870339</v>
      </c>
      <c r="N82" s="101">
        <f t="shared" si="104"/>
        <v>0</v>
      </c>
      <c r="O82" s="101">
        <f t="shared" si="105"/>
        <v>0</v>
      </c>
      <c r="P82" s="101">
        <f t="shared" si="106"/>
        <v>0</v>
      </c>
      <c r="Q82" s="101">
        <f t="shared" si="107"/>
        <v>1.1624818659153461E-2</v>
      </c>
      <c r="R82" s="101">
        <f t="shared" si="108"/>
        <v>5.829586713907129E-3</v>
      </c>
      <c r="S82" s="101">
        <f t="shared" si="109"/>
        <v>1.1975015001679406E-3</v>
      </c>
      <c r="T82" s="101">
        <f t="shared" si="110"/>
        <v>2.908845217596E-3</v>
      </c>
      <c r="U82" s="101">
        <f t="shared" si="111"/>
        <v>0</v>
      </c>
      <c r="V82" s="101">
        <f t="shared" si="112"/>
        <v>9.7869321831267576E-4</v>
      </c>
      <c r="W82" s="101">
        <f t="shared" si="113"/>
        <v>1.4083549307451881E-3</v>
      </c>
      <c r="X82" s="101"/>
    </row>
    <row r="83" spans="2:24">
      <c r="B83" s="64" t="s">
        <v>10842</v>
      </c>
      <c r="C83" s="22">
        <f>SUMIFS('Bottom-up tagging'!$I:$I,'Bottom-up tagging'!$P:$P,'Analysis of bottom-up tags'!$B83,'Bottom-up tagging'!$E:$E,'Analysis of bottom-up tags'!C$6)</f>
        <v>2324277</v>
      </c>
      <c r="D83" s="22">
        <f>SUMIFS('Bottom-up tagging'!$I:$I,'Bottom-up tagging'!$P:$P,'Analysis of bottom-up tags'!$B83,'Bottom-up tagging'!$E:$E,'Analysis of bottom-up tags'!D$6)</f>
        <v>1353822.8286301319</v>
      </c>
      <c r="E83" s="22">
        <f>SUMIFS('Bottom-up tagging'!$I:$I,'Bottom-up tagging'!$P:$P,'Analysis of bottom-up tags'!$B83,'Bottom-up tagging'!$E:$E,'Analysis of bottom-up tags'!E$6)</f>
        <v>4301987.8929409944</v>
      </c>
      <c r="F83" s="22">
        <f>SUMIFS('Bottom-up tagging'!$I:$I,'Bottom-up tagging'!$P:$P,'Analysis of bottom-up tags'!$B83,'Bottom-up tagging'!$E:$E,'Analysis of bottom-up tags'!F$6)</f>
        <v>2915700.8788967305</v>
      </c>
      <c r="G83" s="22">
        <f>SUMIFS('Bottom-up tagging'!$I:$I,'Bottom-up tagging'!$P:$P,'Analysis of bottom-up tags'!$B83,'Bottom-up tagging'!$E:$E,'Analysis of bottom-up tags'!G$6)</f>
        <v>3760219.4450380821</v>
      </c>
      <c r="H83" s="22">
        <f>SUMIFS('Bottom-up tagging'!$I:$I,'Bottom-up tagging'!$P:$P,'Analysis of bottom-up tags'!$B83,'Bottom-up tagging'!$E:$E,'Analysis of bottom-up tags'!H$6)</f>
        <v>8792406.5123865381</v>
      </c>
      <c r="I83" s="22">
        <f>SUMIFS('Bottom-up tagging'!$I:$I,'Bottom-up tagging'!$P:$P,'Analysis of bottom-up tags'!$B83,'Bottom-up tagging'!$E:$E,'Analysis of bottom-up tags'!I$6)</f>
        <v>11971505.825451324</v>
      </c>
      <c r="J83" s="22">
        <f>SUMIFS('Bottom-up tagging'!$I:$I,'Bottom-up tagging'!$P:$P,'Analysis of bottom-up tags'!$B83,'Bottom-up tagging'!$E:$E,'Analysis of bottom-up tags'!J$6)</f>
        <v>41297052.519446</v>
      </c>
      <c r="K83" s="22">
        <f>SUMIFS('Bottom-up tagging'!$I:$I,'Bottom-up tagging'!$P:$P,'Analysis of bottom-up tags'!$B83,'Bottom-up tagging'!$E:$E,'Analysis of bottom-up tags'!K$6)</f>
        <v>9427795.4984888081</v>
      </c>
      <c r="L83" s="22">
        <f>SUMIFS('Bottom-up tagging'!$I:$I,'Bottom-up tagging'!$P:$P,'Analysis of bottom-up tags'!$B83,'Bottom-up tagging'!$E:$E,'Analysis of bottom-up tags'!L$6)</f>
        <v>28397425.955789566</v>
      </c>
      <c r="N83" s="101">
        <f t="shared" si="104"/>
        <v>2.4819039880522312E-2</v>
      </c>
      <c r="O83" s="101">
        <f t="shared" si="105"/>
        <v>1.6754111583654002E-2</v>
      </c>
      <c r="P83" s="101">
        <f t="shared" si="106"/>
        <v>0.55805757717363114</v>
      </c>
      <c r="Q83" s="101">
        <f t="shared" si="107"/>
        <v>8.0616792643404406E-2</v>
      </c>
      <c r="R83" s="101">
        <f t="shared" si="108"/>
        <v>9.2396091313706838E-2</v>
      </c>
      <c r="S83" s="101">
        <f t="shared" si="109"/>
        <v>4.3997853687568589E-2</v>
      </c>
      <c r="T83" s="101">
        <f t="shared" si="110"/>
        <v>3.2700539277020185E-2</v>
      </c>
      <c r="U83" s="101">
        <f t="shared" si="111"/>
        <v>0.19809703826492289</v>
      </c>
      <c r="V83" s="101">
        <f t="shared" si="112"/>
        <v>8.6386642264530428E-3</v>
      </c>
      <c r="W83" s="101">
        <f t="shared" si="113"/>
        <v>0.10495681075432386</v>
      </c>
      <c r="X83" s="101"/>
    </row>
    <row r="84" spans="2:24">
      <c r="B84" s="64" t="s">
        <v>10846</v>
      </c>
      <c r="C84" s="22">
        <f>SUMIFS('Bottom-up tagging'!$I:$I,'Bottom-up tagging'!$P:$P,'Analysis of bottom-up tags'!$B84,'Bottom-up tagging'!$E:$E,'Analysis of bottom-up tags'!C$6)</f>
        <v>0</v>
      </c>
      <c r="D84" s="22">
        <f>SUMIFS('Bottom-up tagging'!$I:$I,'Bottom-up tagging'!$P:$P,'Analysis of bottom-up tags'!$B84,'Bottom-up tagging'!$E:$E,'Analysis of bottom-up tags'!D$6)</f>
        <v>956811.51565334632</v>
      </c>
      <c r="E84" s="22">
        <f>SUMIFS('Bottom-up tagging'!$I:$I,'Bottom-up tagging'!$P:$P,'Analysis of bottom-up tags'!$B84,'Bottom-up tagging'!$E:$E,'Analysis of bottom-up tags'!E$6)</f>
        <v>0</v>
      </c>
      <c r="F84" s="22">
        <f>SUMIFS('Bottom-up tagging'!$I:$I,'Bottom-up tagging'!$P:$P,'Analysis of bottom-up tags'!$B84,'Bottom-up tagging'!$E:$E,'Analysis of bottom-up tags'!F$6)</f>
        <v>49015.634818431106</v>
      </c>
      <c r="G84" s="22">
        <f>SUMIFS('Bottom-up tagging'!$I:$I,'Bottom-up tagging'!$P:$P,'Analysis of bottom-up tags'!$B84,'Bottom-up tagging'!$E:$E,'Analysis of bottom-up tags'!G$6)</f>
        <v>3889386.8983987654</v>
      </c>
      <c r="H84" s="22">
        <f>SUMIFS('Bottom-up tagging'!$I:$I,'Bottom-up tagging'!$P:$P,'Analysis of bottom-up tags'!$B84,'Bottom-up tagging'!$E:$E,'Analysis of bottom-up tags'!H$6)</f>
        <v>822431.77267548128</v>
      </c>
      <c r="I84" s="22">
        <f>SUMIFS('Bottom-up tagging'!$I:$I,'Bottom-up tagging'!$P:$P,'Analysis of bottom-up tags'!$B84,'Bottom-up tagging'!$E:$E,'Analysis of bottom-up tags'!I$6)</f>
        <v>11192841.168016871</v>
      </c>
      <c r="J84" s="22">
        <f>SUMIFS('Bottom-up tagging'!$I:$I,'Bottom-up tagging'!$P:$P,'Analysis of bottom-up tags'!$B84,'Bottom-up tagging'!$E:$E,'Analysis of bottom-up tags'!J$6)</f>
        <v>22627664.123637605</v>
      </c>
      <c r="K84" s="22">
        <f>SUMIFS('Bottom-up tagging'!$I:$I,'Bottom-up tagging'!$P:$P,'Analysis of bottom-up tags'!$B84,'Bottom-up tagging'!$E:$E,'Analysis of bottom-up tags'!K$6)</f>
        <v>24610924.392276403</v>
      </c>
      <c r="L84" s="22">
        <f>SUMIFS('Bottom-up tagging'!$I:$I,'Bottom-up tagging'!$P:$P,'Analysis of bottom-up tags'!$B84,'Bottom-up tagging'!$E:$E,'Analysis of bottom-up tags'!L$6)</f>
        <v>28761604.570497878</v>
      </c>
      <c r="N84" s="101">
        <f t="shared" si="104"/>
        <v>0</v>
      </c>
      <c r="O84" s="101">
        <f t="shared" si="105"/>
        <v>1.1840934100662042E-2</v>
      </c>
      <c r="P84" s="101">
        <f t="shared" si="106"/>
        <v>0</v>
      </c>
      <c r="Q84" s="101">
        <f t="shared" si="107"/>
        <v>1.3552430213408899E-3</v>
      </c>
      <c r="R84" s="101">
        <f t="shared" si="108"/>
        <v>9.5569993260100239E-2</v>
      </c>
      <c r="S84" s="101">
        <f t="shared" si="109"/>
        <v>4.1155095310034372E-3</v>
      </c>
      <c r="T84" s="101">
        <f t="shared" si="110"/>
        <v>3.0573592626755929E-2</v>
      </c>
      <c r="U84" s="101">
        <f t="shared" si="111"/>
        <v>0.10854220754944557</v>
      </c>
      <c r="V84" s="101">
        <f t="shared" si="112"/>
        <v>2.2550925310331302E-2</v>
      </c>
      <c r="W84" s="101">
        <f t="shared" si="113"/>
        <v>0.10630281394504332</v>
      </c>
      <c r="X84" s="101"/>
    </row>
    <row r="85" spans="2:24">
      <c r="B85" s="64" t="s">
        <v>10776</v>
      </c>
      <c r="C85" s="22">
        <f>SUMIFS('Bottom-up tagging'!$I:$I,'Bottom-up tagging'!$P:$P,'Analysis of bottom-up tags'!$B85,'Bottom-up tagging'!$E:$E,'Analysis of bottom-up tags'!C$6)</f>
        <v>0</v>
      </c>
      <c r="D85" s="22">
        <f>SUMIFS('Bottom-up tagging'!$I:$I,'Bottom-up tagging'!$P:$P,'Analysis of bottom-up tags'!$B85,'Bottom-up tagging'!$E:$E,'Analysis of bottom-up tags'!D$6)</f>
        <v>0</v>
      </c>
      <c r="E85" s="22">
        <f>SUMIFS('Bottom-up tagging'!$I:$I,'Bottom-up tagging'!$P:$P,'Analysis of bottom-up tags'!$B85,'Bottom-up tagging'!$E:$E,'Analysis of bottom-up tags'!E$6)</f>
        <v>0</v>
      </c>
      <c r="F85" s="22">
        <f>SUMIFS('Bottom-up tagging'!$I:$I,'Bottom-up tagging'!$P:$P,'Analysis of bottom-up tags'!$B85,'Bottom-up tagging'!$E:$E,'Analysis of bottom-up tags'!F$6)</f>
        <v>0</v>
      </c>
      <c r="G85" s="22">
        <f>SUMIFS('Bottom-up tagging'!$I:$I,'Bottom-up tagging'!$P:$P,'Analysis of bottom-up tags'!$B85,'Bottom-up tagging'!$E:$E,'Analysis of bottom-up tags'!G$6)</f>
        <v>0</v>
      </c>
      <c r="H85" s="22">
        <f>SUMIFS('Bottom-up tagging'!$I:$I,'Bottom-up tagging'!$P:$P,'Analysis of bottom-up tags'!$B85,'Bottom-up tagging'!$E:$E,'Analysis of bottom-up tags'!H$6)</f>
        <v>0</v>
      </c>
      <c r="I85" s="22">
        <f>SUMIFS('Bottom-up tagging'!$I:$I,'Bottom-up tagging'!$P:$P,'Analysis of bottom-up tags'!$B85,'Bottom-up tagging'!$E:$E,'Analysis of bottom-up tags'!I$6)</f>
        <v>0</v>
      </c>
      <c r="J85" s="22">
        <f>SUMIFS('Bottom-up tagging'!$I:$I,'Bottom-up tagging'!$P:$P,'Analysis of bottom-up tags'!$B85,'Bottom-up tagging'!$E:$E,'Analysis of bottom-up tags'!J$6)</f>
        <v>5585111.0716889938</v>
      </c>
      <c r="K85" s="22">
        <f>SUMIFS('Bottom-up tagging'!$I:$I,'Bottom-up tagging'!$P:$P,'Analysis of bottom-up tags'!$B85,'Bottom-up tagging'!$E:$E,'Analysis of bottom-up tags'!K$6)</f>
        <v>0</v>
      </c>
      <c r="L85" s="22">
        <f>SUMIFS('Bottom-up tagging'!$I:$I,'Bottom-up tagging'!$P:$P,'Analysis of bottom-up tags'!$B85,'Bottom-up tagging'!$E:$E,'Analysis of bottom-up tags'!L$6)</f>
        <v>0</v>
      </c>
      <c r="N85" s="101">
        <f t="shared" si="104"/>
        <v>0</v>
      </c>
      <c r="O85" s="101">
        <f t="shared" si="105"/>
        <v>0</v>
      </c>
      <c r="P85" s="101">
        <f t="shared" si="106"/>
        <v>0</v>
      </c>
      <c r="Q85" s="101">
        <f t="shared" si="107"/>
        <v>0</v>
      </c>
      <c r="R85" s="101">
        <f t="shared" si="108"/>
        <v>0</v>
      </c>
      <c r="S85" s="101">
        <f t="shared" si="109"/>
        <v>0</v>
      </c>
      <c r="T85" s="101">
        <f t="shared" si="110"/>
        <v>0</v>
      </c>
      <c r="U85" s="101">
        <f t="shared" si="111"/>
        <v>2.6791112057240385E-2</v>
      </c>
      <c r="V85" s="101">
        <f t="shared" si="112"/>
        <v>0</v>
      </c>
      <c r="W85" s="101">
        <f t="shared" si="113"/>
        <v>0</v>
      </c>
      <c r="X85" s="101"/>
    </row>
    <row r="86" spans="2:24">
      <c r="B86" s="64" t="s">
        <v>10517</v>
      </c>
      <c r="C86" s="22">
        <f>SUMIFS('Bottom-up tagging'!$I:$I,'Bottom-up tagging'!$P:$P,'Analysis of bottom-up tags'!$B86,'Bottom-up tagging'!$E:$E,'Analysis of bottom-up tags'!C$6)</f>
        <v>0</v>
      </c>
      <c r="D86" s="22">
        <f>SUMIFS('Bottom-up tagging'!$I:$I,'Bottom-up tagging'!$P:$P,'Analysis of bottom-up tags'!$B86,'Bottom-up tagging'!$E:$E,'Analysis of bottom-up tags'!D$6)</f>
        <v>0</v>
      </c>
      <c r="E86" s="22">
        <f>SUMIFS('Bottom-up tagging'!$I:$I,'Bottom-up tagging'!$P:$P,'Analysis of bottom-up tags'!$B86,'Bottom-up tagging'!$E:$E,'Analysis of bottom-up tags'!E$6)</f>
        <v>0</v>
      </c>
      <c r="F86" s="22">
        <f>SUMIFS('Bottom-up tagging'!$I:$I,'Bottom-up tagging'!$P:$P,'Analysis of bottom-up tags'!$B86,'Bottom-up tagging'!$E:$E,'Analysis of bottom-up tags'!F$6)</f>
        <v>0</v>
      </c>
      <c r="G86" s="22">
        <f>SUMIFS('Bottom-up tagging'!$I:$I,'Bottom-up tagging'!$P:$P,'Analysis of bottom-up tags'!$B86,'Bottom-up tagging'!$E:$E,'Analysis of bottom-up tags'!G$6)</f>
        <v>0</v>
      </c>
      <c r="H86" s="22">
        <f>SUMIFS('Bottom-up tagging'!$I:$I,'Bottom-up tagging'!$P:$P,'Analysis of bottom-up tags'!$B86,'Bottom-up tagging'!$E:$E,'Analysis of bottom-up tags'!H$6)</f>
        <v>8760268.4215490632</v>
      </c>
      <c r="I86" s="22">
        <f>SUMIFS('Bottom-up tagging'!$I:$I,'Bottom-up tagging'!$P:$P,'Analysis of bottom-up tags'!$B86,'Bottom-up tagging'!$E:$E,'Analysis of bottom-up tags'!I$6)</f>
        <v>26871871.303622216</v>
      </c>
      <c r="J86" s="22">
        <f>SUMIFS('Bottom-up tagging'!$I:$I,'Bottom-up tagging'!$P:$P,'Analysis of bottom-up tags'!$B86,'Bottom-up tagging'!$E:$E,'Analysis of bottom-up tags'!J$6)</f>
        <v>2798848.0542441164</v>
      </c>
      <c r="K86" s="22">
        <f>SUMIFS('Bottom-up tagging'!$I:$I,'Bottom-up tagging'!$P:$P,'Analysis of bottom-up tags'!$B86,'Bottom-up tagging'!$E:$E,'Analysis of bottom-up tags'!K$6)</f>
        <v>307473.00860479451</v>
      </c>
      <c r="L86" s="22">
        <f>SUMIFS('Bottom-up tagging'!$I:$I,'Bottom-up tagging'!$P:$P,'Analysis of bottom-up tags'!$B86,'Bottom-up tagging'!$E:$E,'Analysis of bottom-up tags'!L$6)</f>
        <v>1602380.3176871079</v>
      </c>
      <c r="N86" s="101">
        <f t="shared" si="104"/>
        <v>0</v>
      </c>
      <c r="O86" s="101">
        <f t="shared" si="105"/>
        <v>0</v>
      </c>
      <c r="P86" s="101">
        <f t="shared" si="106"/>
        <v>0</v>
      </c>
      <c r="Q86" s="101">
        <f t="shared" si="107"/>
        <v>0</v>
      </c>
      <c r="R86" s="101">
        <f t="shared" si="108"/>
        <v>0</v>
      </c>
      <c r="S86" s="101">
        <f t="shared" si="109"/>
        <v>4.3837032299650157E-2</v>
      </c>
      <c r="T86" s="101">
        <f t="shared" si="110"/>
        <v>7.3401349489632992E-2</v>
      </c>
      <c r="U86" s="101">
        <f t="shared" si="111"/>
        <v>1.3425740489305497E-2</v>
      </c>
      <c r="V86" s="101">
        <f t="shared" si="112"/>
        <v>2.8173670933569629E-4</v>
      </c>
      <c r="W86" s="101">
        <f t="shared" si="113"/>
        <v>5.9223933895195544E-3</v>
      </c>
      <c r="X86" s="101"/>
    </row>
    <row r="87" spans="2:24">
      <c r="B87" s="64" t="s">
        <v>10759</v>
      </c>
      <c r="C87" s="22">
        <f>SUMIFS('Bottom-up tagging'!$I:$I,'Bottom-up tagging'!$P:$P,'Analysis of bottom-up tags'!$B87,'Bottom-up tagging'!$E:$E,'Analysis of bottom-up tags'!C$6)</f>
        <v>0</v>
      </c>
      <c r="D87" s="22">
        <f>SUMIFS('Bottom-up tagging'!$I:$I,'Bottom-up tagging'!$P:$P,'Analysis of bottom-up tags'!$B87,'Bottom-up tagging'!$E:$E,'Analysis of bottom-up tags'!D$6)</f>
        <v>0</v>
      </c>
      <c r="E87" s="22">
        <f>SUMIFS('Bottom-up tagging'!$I:$I,'Bottom-up tagging'!$P:$P,'Analysis of bottom-up tags'!$B87,'Bottom-up tagging'!$E:$E,'Analysis of bottom-up tags'!E$6)</f>
        <v>0</v>
      </c>
      <c r="F87" s="22">
        <f>SUMIFS('Bottom-up tagging'!$I:$I,'Bottom-up tagging'!$P:$P,'Analysis of bottom-up tags'!$B87,'Bottom-up tagging'!$E:$E,'Analysis of bottom-up tags'!F$6)</f>
        <v>0</v>
      </c>
      <c r="G87" s="22">
        <f>SUMIFS('Bottom-up tagging'!$I:$I,'Bottom-up tagging'!$P:$P,'Analysis of bottom-up tags'!$B87,'Bottom-up tagging'!$E:$E,'Analysis of bottom-up tags'!G$6)</f>
        <v>0</v>
      </c>
      <c r="H87" s="22">
        <f>SUMIFS('Bottom-up tagging'!$I:$I,'Bottom-up tagging'!$P:$P,'Analysis of bottom-up tags'!$B87,'Bottom-up tagging'!$E:$E,'Analysis of bottom-up tags'!H$6)</f>
        <v>0</v>
      </c>
      <c r="I87" s="22">
        <f>SUMIFS('Bottom-up tagging'!$I:$I,'Bottom-up tagging'!$P:$P,'Analysis of bottom-up tags'!$B87,'Bottom-up tagging'!$E:$E,'Analysis of bottom-up tags'!I$6)</f>
        <v>1185604.8741468757</v>
      </c>
      <c r="J87" s="22">
        <f>SUMIFS('Bottom-up tagging'!$I:$I,'Bottom-up tagging'!$P:$P,'Analysis of bottom-up tags'!$B87,'Bottom-up tagging'!$E:$E,'Analysis of bottom-up tags'!J$6)</f>
        <v>4590286.0131628066</v>
      </c>
      <c r="K87" s="22">
        <f>SUMIFS('Bottom-up tagging'!$I:$I,'Bottom-up tagging'!$P:$P,'Analysis of bottom-up tags'!$B87,'Bottom-up tagging'!$E:$E,'Analysis of bottom-up tags'!K$6)</f>
        <v>1332941.3764825384</v>
      </c>
      <c r="L87" s="22">
        <f>SUMIFS('Bottom-up tagging'!$I:$I,'Bottom-up tagging'!$P:$P,'Analysis of bottom-up tags'!$B87,'Bottom-up tagging'!$E:$E,'Analysis of bottom-up tags'!L$6)</f>
        <v>2635571.0569686214</v>
      </c>
      <c r="N87" s="101">
        <f t="shared" si="104"/>
        <v>0</v>
      </c>
      <c r="O87" s="101">
        <f t="shared" si="105"/>
        <v>0</v>
      </c>
      <c r="P87" s="101">
        <f t="shared" si="106"/>
        <v>0</v>
      </c>
      <c r="Q87" s="101">
        <f t="shared" si="107"/>
        <v>0</v>
      </c>
      <c r="R87" s="101">
        <f t="shared" si="108"/>
        <v>0</v>
      </c>
      <c r="S87" s="101">
        <f t="shared" si="109"/>
        <v>0</v>
      </c>
      <c r="T87" s="101">
        <f t="shared" si="110"/>
        <v>3.2385164672970343E-3</v>
      </c>
      <c r="U87" s="101">
        <f t="shared" si="111"/>
        <v>2.2019054836135591E-2</v>
      </c>
      <c r="V87" s="101">
        <f t="shared" si="112"/>
        <v>1.2213706785244238E-3</v>
      </c>
      <c r="W87" s="101">
        <f t="shared" si="113"/>
        <v>9.7410636121205343E-3</v>
      </c>
      <c r="X87" s="101"/>
    </row>
    <row r="88" spans="2:24">
      <c r="B88" s="64" t="s">
        <v>10852</v>
      </c>
      <c r="C88" s="22">
        <f>SUMIFS('Bottom-up tagging'!$I:$I,'Bottom-up tagging'!$P:$P,'Analysis of bottom-up tags'!$B88,'Bottom-up tagging'!$E:$E,'Analysis of bottom-up tags'!C$6)</f>
        <v>0</v>
      </c>
      <c r="D88" s="22">
        <f>SUMIFS('Bottom-up tagging'!$I:$I,'Bottom-up tagging'!$P:$P,'Analysis of bottom-up tags'!$B88,'Bottom-up tagging'!$E:$E,'Analysis of bottom-up tags'!D$6)</f>
        <v>0</v>
      </c>
      <c r="E88" s="22">
        <f>SUMIFS('Bottom-up tagging'!$I:$I,'Bottom-up tagging'!$P:$P,'Analysis of bottom-up tags'!$B88,'Bottom-up tagging'!$E:$E,'Analysis of bottom-up tags'!E$6)</f>
        <v>0</v>
      </c>
      <c r="F88" s="22">
        <f>SUMIFS('Bottom-up tagging'!$I:$I,'Bottom-up tagging'!$P:$P,'Analysis of bottom-up tags'!$B88,'Bottom-up tagging'!$E:$E,'Analysis of bottom-up tags'!F$6)</f>
        <v>0</v>
      </c>
      <c r="G88" s="22">
        <f>SUMIFS('Bottom-up tagging'!$I:$I,'Bottom-up tagging'!$P:$P,'Analysis of bottom-up tags'!$B88,'Bottom-up tagging'!$E:$E,'Analysis of bottom-up tags'!G$6)</f>
        <v>0</v>
      </c>
      <c r="H88" s="22">
        <f>SUMIFS('Bottom-up tagging'!$I:$I,'Bottom-up tagging'!$P:$P,'Analysis of bottom-up tags'!$B88,'Bottom-up tagging'!$E:$E,'Analysis of bottom-up tags'!H$6)</f>
        <v>0</v>
      </c>
      <c r="I88" s="22">
        <f>SUMIFS('Bottom-up tagging'!$I:$I,'Bottom-up tagging'!$P:$P,'Analysis of bottom-up tags'!$B88,'Bottom-up tagging'!$E:$E,'Analysis of bottom-up tags'!I$6)</f>
        <v>343852.06775995769</v>
      </c>
      <c r="J88" s="22">
        <f>SUMIFS('Bottom-up tagging'!$I:$I,'Bottom-up tagging'!$P:$P,'Analysis of bottom-up tags'!$B88,'Bottom-up tagging'!$E:$E,'Analysis of bottom-up tags'!J$6)</f>
        <v>11920691.67909272</v>
      </c>
      <c r="K88" s="22">
        <f>SUMIFS('Bottom-up tagging'!$I:$I,'Bottom-up tagging'!$P:$P,'Analysis of bottom-up tags'!$B88,'Bottom-up tagging'!$E:$E,'Analysis of bottom-up tags'!K$6)</f>
        <v>1228787.3556456894</v>
      </c>
      <c r="L88" s="22">
        <f>SUMIFS('Bottom-up tagging'!$I:$I,'Bottom-up tagging'!$P:$P,'Analysis of bottom-up tags'!$B88,'Bottom-up tagging'!$E:$E,'Analysis of bottom-up tags'!L$6)</f>
        <v>4166046.6840776564</v>
      </c>
      <c r="N88" s="101">
        <f t="shared" si="104"/>
        <v>0</v>
      </c>
      <c r="O88" s="101">
        <f t="shared" si="105"/>
        <v>0</v>
      </c>
      <c r="P88" s="101">
        <f t="shared" si="106"/>
        <v>0</v>
      </c>
      <c r="Q88" s="101">
        <f t="shared" si="107"/>
        <v>0</v>
      </c>
      <c r="R88" s="101">
        <f t="shared" si="108"/>
        <v>0</v>
      </c>
      <c r="S88" s="101">
        <f t="shared" si="109"/>
        <v>0</v>
      </c>
      <c r="T88" s="101">
        <f t="shared" si="110"/>
        <v>9.3924258244640671E-4</v>
      </c>
      <c r="U88" s="101">
        <f t="shared" si="111"/>
        <v>5.7182137020205373E-2</v>
      </c>
      <c r="V88" s="101">
        <f t="shared" si="112"/>
        <v>1.1259346230872056E-3</v>
      </c>
      <c r="W88" s="101">
        <f t="shared" si="113"/>
        <v>1.539769745663413E-2</v>
      </c>
      <c r="X88" s="101"/>
    </row>
    <row r="89" spans="2:24">
      <c r="B89" s="64" t="s">
        <v>10768</v>
      </c>
      <c r="C89" s="22">
        <f>SUMIFS('Bottom-up tagging'!$I:$I,'Bottom-up tagging'!$P:$P,'Analysis of bottom-up tags'!$B89,'Bottom-up tagging'!$E:$E,'Analysis of bottom-up tags'!C$6)</f>
        <v>900000</v>
      </c>
      <c r="D89" s="22">
        <f>SUMIFS('Bottom-up tagging'!$I:$I,'Bottom-up tagging'!$P:$P,'Analysis of bottom-up tags'!$B89,'Bottom-up tagging'!$E:$E,'Analysis of bottom-up tags'!D$6)</f>
        <v>5630995.6116927871</v>
      </c>
      <c r="E89" s="22">
        <f>SUMIFS('Bottom-up tagging'!$I:$I,'Bottom-up tagging'!$P:$P,'Analysis of bottom-up tags'!$B89,'Bottom-up tagging'!$E:$E,'Analysis of bottom-up tags'!E$6)</f>
        <v>0</v>
      </c>
      <c r="F89" s="22">
        <f>SUMIFS('Bottom-up tagging'!$I:$I,'Bottom-up tagging'!$P:$P,'Analysis of bottom-up tags'!$B89,'Bottom-up tagging'!$E:$E,'Analysis of bottom-up tags'!F$6)</f>
        <v>9388642.9753001761</v>
      </c>
      <c r="G89" s="22">
        <f>SUMIFS('Bottom-up tagging'!$I:$I,'Bottom-up tagging'!$P:$P,'Analysis of bottom-up tags'!$B89,'Bottom-up tagging'!$E:$E,'Analysis of bottom-up tags'!G$6)</f>
        <v>388278.50961539807</v>
      </c>
      <c r="H89" s="22">
        <f>SUMIFS('Bottom-up tagging'!$I:$I,'Bottom-up tagging'!$P:$P,'Analysis of bottom-up tags'!$B89,'Bottom-up tagging'!$E:$E,'Analysis of bottom-up tags'!H$6)</f>
        <v>815959.10545243358</v>
      </c>
      <c r="I89" s="22">
        <f>SUMIFS('Bottom-up tagging'!$I:$I,'Bottom-up tagging'!$P:$P,'Analysis of bottom-up tags'!$B89,'Bottom-up tagging'!$E:$E,'Analysis of bottom-up tags'!I$6)</f>
        <v>649668.00897846196</v>
      </c>
      <c r="J89" s="22">
        <f>SUMIFS('Bottom-up tagging'!$I:$I,'Bottom-up tagging'!$P:$P,'Analysis of bottom-up tags'!$B89,'Bottom-up tagging'!$E:$E,'Analysis of bottom-up tags'!J$6)</f>
        <v>84528.760723875588</v>
      </c>
      <c r="K89" s="22">
        <f>SUMIFS('Bottom-up tagging'!$I:$I,'Bottom-up tagging'!$P:$P,'Analysis of bottom-up tags'!$B89,'Bottom-up tagging'!$E:$E,'Analysis of bottom-up tags'!K$6)</f>
        <v>1739022.1329641549</v>
      </c>
      <c r="L89" s="22">
        <f>SUMIFS('Bottom-up tagging'!$I:$I,'Bottom-up tagging'!$P:$P,'Analysis of bottom-up tags'!$B89,'Bottom-up tagging'!$E:$E,'Analysis of bottom-up tags'!L$6)</f>
        <v>5230500.6205519373</v>
      </c>
      <c r="N89" s="101">
        <f t="shared" si="104"/>
        <v>9.6103587879026817E-3</v>
      </c>
      <c r="O89" s="101">
        <f t="shared" si="105"/>
        <v>6.9685875293466162E-2</v>
      </c>
      <c r="P89" s="101">
        <f t="shared" si="106"/>
        <v>0</v>
      </c>
      <c r="Q89" s="101">
        <f t="shared" si="107"/>
        <v>0.25958845415896215</v>
      </c>
      <c r="R89" s="101">
        <f t="shared" si="108"/>
        <v>9.5407773812017475E-3</v>
      </c>
      <c r="S89" s="101">
        <f t="shared" si="109"/>
        <v>4.0831198246077229E-3</v>
      </c>
      <c r="T89" s="101">
        <f t="shared" si="110"/>
        <v>1.7745883061308862E-3</v>
      </c>
      <c r="U89" s="101">
        <f t="shared" si="111"/>
        <v>4.0547438923684058E-4</v>
      </c>
      <c r="V89" s="101">
        <f t="shared" si="112"/>
        <v>1.5934614079670629E-3</v>
      </c>
      <c r="W89" s="101">
        <f t="shared" si="113"/>
        <v>1.9331916372854203E-2</v>
      </c>
      <c r="X89" s="101"/>
    </row>
    <row r="90" spans="2:24">
      <c r="B90" s="64" t="s">
        <v>10870</v>
      </c>
      <c r="C90" s="22">
        <f>SUMIFS('Bottom-up tagging'!$I:$I,'Bottom-up tagging'!$P:$P,'Analysis of bottom-up tags'!$B90,'Bottom-up tagging'!$E:$E,'Analysis of bottom-up tags'!C$6)</f>
        <v>0</v>
      </c>
      <c r="D90" s="22">
        <f>SUMIFS('Bottom-up tagging'!$I:$I,'Bottom-up tagging'!$P:$P,'Analysis of bottom-up tags'!$B90,'Bottom-up tagging'!$E:$E,'Analysis of bottom-up tags'!D$6)</f>
        <v>0</v>
      </c>
      <c r="E90" s="22">
        <f>SUMIFS('Bottom-up tagging'!$I:$I,'Bottom-up tagging'!$P:$P,'Analysis of bottom-up tags'!$B90,'Bottom-up tagging'!$E:$E,'Analysis of bottom-up tags'!E$6)</f>
        <v>0</v>
      </c>
      <c r="F90" s="22">
        <f>SUMIFS('Bottom-up tagging'!$I:$I,'Bottom-up tagging'!$P:$P,'Analysis of bottom-up tags'!$B90,'Bottom-up tagging'!$E:$E,'Analysis of bottom-up tags'!F$6)</f>
        <v>1756051.4783322401</v>
      </c>
      <c r="G90" s="22">
        <f>SUMIFS('Bottom-up tagging'!$I:$I,'Bottom-up tagging'!$P:$P,'Analysis of bottom-up tags'!$B90,'Bottom-up tagging'!$E:$E,'Analysis of bottom-up tags'!G$6)</f>
        <v>0</v>
      </c>
      <c r="H90" s="22">
        <f>SUMIFS('Bottom-up tagging'!$I:$I,'Bottom-up tagging'!$P:$P,'Analysis of bottom-up tags'!$B90,'Bottom-up tagging'!$E:$E,'Analysis of bottom-up tags'!H$6)</f>
        <v>1621007.7990423506</v>
      </c>
      <c r="I90" s="22">
        <f>SUMIFS('Bottom-up tagging'!$I:$I,'Bottom-up tagging'!$P:$P,'Analysis of bottom-up tags'!$B90,'Bottom-up tagging'!$E:$E,'Analysis of bottom-up tags'!I$6)</f>
        <v>0</v>
      </c>
      <c r="J90" s="22">
        <f>SUMIFS('Bottom-up tagging'!$I:$I,'Bottom-up tagging'!$P:$P,'Analysis of bottom-up tags'!$B90,'Bottom-up tagging'!$E:$E,'Analysis of bottom-up tags'!J$6)</f>
        <v>1405736.5841796196</v>
      </c>
      <c r="K90" s="22">
        <f>SUMIFS('Bottom-up tagging'!$I:$I,'Bottom-up tagging'!$P:$P,'Analysis of bottom-up tags'!$B90,'Bottom-up tagging'!$E:$E,'Analysis of bottom-up tags'!K$6)</f>
        <v>13210020.593990354</v>
      </c>
      <c r="L90" s="22">
        <f>SUMIFS('Bottom-up tagging'!$I:$I,'Bottom-up tagging'!$P:$P,'Analysis of bottom-up tags'!$B90,'Bottom-up tagging'!$E:$E,'Analysis of bottom-up tags'!L$6)</f>
        <v>463815.42325553735</v>
      </c>
      <c r="N90" s="101">
        <f t="shared" si="104"/>
        <v>0</v>
      </c>
      <c r="O90" s="101">
        <f t="shared" si="105"/>
        <v>0</v>
      </c>
      <c r="P90" s="101">
        <f t="shared" si="106"/>
        <v>0</v>
      </c>
      <c r="Q90" s="101">
        <f t="shared" si="107"/>
        <v>4.855341606695316E-2</v>
      </c>
      <c r="R90" s="101">
        <f t="shared" si="108"/>
        <v>0</v>
      </c>
      <c r="S90" s="101">
        <f t="shared" si="109"/>
        <v>8.1116431398159019E-3</v>
      </c>
      <c r="T90" s="101">
        <f t="shared" si="110"/>
        <v>0</v>
      </c>
      <c r="U90" s="101">
        <f t="shared" si="111"/>
        <v>6.7431508283915609E-3</v>
      </c>
      <c r="V90" s="101">
        <f t="shared" si="112"/>
        <v>1.2104307136732483E-2</v>
      </c>
      <c r="W90" s="101">
        <f t="shared" si="113"/>
        <v>1.7142605699318051E-3</v>
      </c>
      <c r="X90" s="101"/>
    </row>
    <row r="91" spans="2:24">
      <c r="B91" s="64" t="s">
        <v>10765</v>
      </c>
      <c r="C91" s="22">
        <f>SUMIFS('Bottom-up tagging'!$I:$I,'Bottom-up tagging'!$P:$P,'Analysis of bottom-up tags'!$B91,'Bottom-up tagging'!$E:$E,'Analysis of bottom-up tags'!C$6)</f>
        <v>0</v>
      </c>
      <c r="D91" s="22">
        <f>SUMIFS('Bottom-up tagging'!$I:$I,'Bottom-up tagging'!$P:$P,'Analysis of bottom-up tags'!$B91,'Bottom-up tagging'!$E:$E,'Analysis of bottom-up tags'!D$6)</f>
        <v>0</v>
      </c>
      <c r="E91" s="22">
        <f>SUMIFS('Bottom-up tagging'!$I:$I,'Bottom-up tagging'!$P:$P,'Analysis of bottom-up tags'!$B91,'Bottom-up tagging'!$E:$E,'Analysis of bottom-up tags'!E$6)</f>
        <v>0</v>
      </c>
      <c r="F91" s="22">
        <f>SUMIFS('Bottom-up tagging'!$I:$I,'Bottom-up tagging'!$P:$P,'Analysis of bottom-up tags'!$B91,'Bottom-up tagging'!$E:$E,'Analysis of bottom-up tags'!F$6)</f>
        <v>259988.92856462111</v>
      </c>
      <c r="G91" s="22">
        <f>SUMIFS('Bottom-up tagging'!$I:$I,'Bottom-up tagging'!$P:$P,'Analysis of bottom-up tags'!$B91,'Bottom-up tagging'!$E:$E,'Analysis of bottom-up tags'!G$6)</f>
        <v>0</v>
      </c>
      <c r="H91" s="22">
        <f>SUMIFS('Bottom-up tagging'!$I:$I,'Bottom-up tagging'!$P:$P,'Analysis of bottom-up tags'!$B91,'Bottom-up tagging'!$E:$E,'Analysis of bottom-up tags'!H$6)</f>
        <v>3322319.873789269</v>
      </c>
      <c r="I91" s="22">
        <f>SUMIFS('Bottom-up tagging'!$I:$I,'Bottom-up tagging'!$P:$P,'Analysis of bottom-up tags'!$B91,'Bottom-up tagging'!$E:$E,'Analysis of bottom-up tags'!I$6)</f>
        <v>15571.892622623858</v>
      </c>
      <c r="J91" s="22">
        <f>SUMIFS('Bottom-up tagging'!$I:$I,'Bottom-up tagging'!$P:$P,'Analysis of bottom-up tags'!$B91,'Bottom-up tagging'!$E:$E,'Analysis of bottom-up tags'!J$6)</f>
        <v>7309382.9947789246</v>
      </c>
      <c r="K91" s="22">
        <f>SUMIFS('Bottom-up tagging'!$I:$I,'Bottom-up tagging'!$P:$P,'Analysis of bottom-up tags'!$B91,'Bottom-up tagging'!$E:$E,'Analysis of bottom-up tags'!K$6)</f>
        <v>0</v>
      </c>
      <c r="L91" s="22">
        <f>SUMIFS('Bottom-up tagging'!$I:$I,'Bottom-up tagging'!$P:$P,'Analysis of bottom-up tags'!$B91,'Bottom-up tagging'!$E:$E,'Analysis of bottom-up tags'!L$6)</f>
        <v>1908498.935608089</v>
      </c>
      <c r="N91" s="101">
        <f t="shared" si="104"/>
        <v>0</v>
      </c>
      <c r="O91" s="101">
        <f t="shared" si="105"/>
        <v>0</v>
      </c>
      <c r="P91" s="101">
        <f t="shared" si="106"/>
        <v>0</v>
      </c>
      <c r="Q91" s="101">
        <f t="shared" si="107"/>
        <v>7.1884855183107039E-3</v>
      </c>
      <c r="R91" s="101">
        <f t="shared" si="108"/>
        <v>0</v>
      </c>
      <c r="S91" s="101">
        <f t="shared" si="109"/>
        <v>1.6625134825642301E-2</v>
      </c>
      <c r="T91" s="101">
        <f t="shared" si="110"/>
        <v>4.2535107424922065E-5</v>
      </c>
      <c r="U91" s="101">
        <f t="shared" si="111"/>
        <v>3.5062238936492553E-2</v>
      </c>
      <c r="V91" s="101">
        <f t="shared" si="112"/>
        <v>0</v>
      </c>
      <c r="W91" s="101">
        <f t="shared" si="113"/>
        <v>7.053806986636697E-3</v>
      </c>
      <c r="X91" s="101"/>
    </row>
    <row r="92" spans="2:24">
      <c r="B92" s="64" t="s">
        <v>10735</v>
      </c>
      <c r="C92" s="22">
        <f>SUMIFS('Bottom-up tagging'!$I:$I,'Bottom-up tagging'!$P:$P,'Analysis of bottom-up tags'!$B92,'Bottom-up tagging'!$E:$E,'Analysis of bottom-up tags'!C$6)</f>
        <v>0</v>
      </c>
      <c r="D92" s="22">
        <f>SUMIFS('Bottom-up tagging'!$I:$I,'Bottom-up tagging'!$P:$P,'Analysis of bottom-up tags'!$B92,'Bottom-up tagging'!$E:$E,'Analysis of bottom-up tags'!D$6)</f>
        <v>0</v>
      </c>
      <c r="E92" s="22">
        <f>SUMIFS('Bottom-up tagging'!$I:$I,'Bottom-up tagging'!$P:$P,'Analysis of bottom-up tags'!$B92,'Bottom-up tagging'!$E:$E,'Analysis of bottom-up tags'!E$6)</f>
        <v>0</v>
      </c>
      <c r="F92" s="22">
        <f>SUMIFS('Bottom-up tagging'!$I:$I,'Bottom-up tagging'!$P:$P,'Analysis of bottom-up tags'!$B92,'Bottom-up tagging'!$E:$E,'Analysis of bottom-up tags'!F$6)</f>
        <v>0</v>
      </c>
      <c r="G92" s="22">
        <f>SUMIFS('Bottom-up tagging'!$I:$I,'Bottom-up tagging'!$P:$P,'Analysis of bottom-up tags'!$B92,'Bottom-up tagging'!$E:$E,'Analysis of bottom-up tags'!G$6)</f>
        <v>149777.65852712057</v>
      </c>
      <c r="H92" s="22">
        <f>SUMIFS('Bottom-up tagging'!$I:$I,'Bottom-up tagging'!$P:$P,'Analysis of bottom-up tags'!$B92,'Bottom-up tagging'!$E:$E,'Analysis of bottom-up tags'!H$6)</f>
        <v>8760268.4215490632</v>
      </c>
      <c r="I92" s="22">
        <f>SUMIFS('Bottom-up tagging'!$I:$I,'Bottom-up tagging'!$P:$P,'Analysis of bottom-up tags'!$B92,'Bottom-up tagging'!$E:$E,'Analysis of bottom-up tags'!I$6)</f>
        <v>14065.949502616168</v>
      </c>
      <c r="J92" s="22">
        <f>SUMIFS('Bottom-up tagging'!$I:$I,'Bottom-up tagging'!$P:$P,'Analysis of bottom-up tags'!$B92,'Bottom-up tagging'!$E:$E,'Analysis of bottom-up tags'!J$6)</f>
        <v>52724.458313632807</v>
      </c>
      <c r="K92" s="22">
        <f>SUMIFS('Bottom-up tagging'!$I:$I,'Bottom-up tagging'!$P:$P,'Analysis of bottom-up tags'!$B92,'Bottom-up tagging'!$E:$E,'Analysis of bottom-up tags'!K$6)</f>
        <v>0</v>
      </c>
      <c r="L92" s="22">
        <f>SUMIFS('Bottom-up tagging'!$I:$I,'Bottom-up tagging'!$P:$P,'Analysis of bottom-up tags'!$B92,'Bottom-up tagging'!$E:$E,'Analysis of bottom-up tags'!L$6)</f>
        <v>0</v>
      </c>
      <c r="N92" s="101">
        <f t="shared" si="104"/>
        <v>0</v>
      </c>
      <c r="O92" s="101">
        <f t="shared" si="105"/>
        <v>0</v>
      </c>
      <c r="P92" s="101">
        <f t="shared" si="106"/>
        <v>0</v>
      </c>
      <c r="Q92" s="101">
        <f t="shared" si="107"/>
        <v>0</v>
      </c>
      <c r="R92" s="101">
        <f t="shared" si="108"/>
        <v>3.6803357932438112E-3</v>
      </c>
      <c r="S92" s="101">
        <f t="shared" si="109"/>
        <v>4.3837032299650157E-2</v>
      </c>
      <c r="T92" s="101">
        <f t="shared" si="110"/>
        <v>3.8421577108620919E-5</v>
      </c>
      <c r="U92" s="101">
        <f t="shared" si="111"/>
        <v>2.5291294169565504E-4</v>
      </c>
      <c r="V92" s="101">
        <f t="shared" si="112"/>
        <v>0</v>
      </c>
      <c r="W92" s="101">
        <f t="shared" si="113"/>
        <v>0</v>
      </c>
      <c r="X92" s="101"/>
    </row>
    <row r="93" spans="2:24">
      <c r="B93" s="64" t="s">
        <v>10709</v>
      </c>
      <c r="C93" s="22">
        <f>SUMIFS('Bottom-up tagging'!$I:$I,'Bottom-up tagging'!$P:$P,'Analysis of bottom-up tags'!$B93,'Bottom-up tagging'!$E:$E,'Analysis of bottom-up tags'!C$6)</f>
        <v>0</v>
      </c>
      <c r="D93" s="22">
        <f>SUMIFS('Bottom-up tagging'!$I:$I,'Bottom-up tagging'!$P:$P,'Analysis of bottom-up tags'!$B93,'Bottom-up tagging'!$E:$E,'Analysis of bottom-up tags'!D$6)</f>
        <v>0</v>
      </c>
      <c r="E93" s="22">
        <f>SUMIFS('Bottom-up tagging'!$I:$I,'Bottom-up tagging'!$P:$P,'Analysis of bottom-up tags'!$B93,'Bottom-up tagging'!$E:$E,'Analysis of bottom-up tags'!E$6)</f>
        <v>0</v>
      </c>
      <c r="F93" s="22">
        <f>SUMIFS('Bottom-up tagging'!$I:$I,'Bottom-up tagging'!$P:$P,'Analysis of bottom-up tags'!$B93,'Bottom-up tagging'!$E:$E,'Analysis of bottom-up tags'!F$6)</f>
        <v>8024300.1143394513</v>
      </c>
      <c r="G93" s="22">
        <f>SUMIFS('Bottom-up tagging'!$I:$I,'Bottom-up tagging'!$P:$P,'Analysis of bottom-up tags'!$B93,'Bottom-up tagging'!$E:$E,'Analysis of bottom-up tags'!G$6)</f>
        <v>66069.870512712238</v>
      </c>
      <c r="H93" s="22">
        <f>SUMIFS('Bottom-up tagging'!$I:$I,'Bottom-up tagging'!$P:$P,'Analysis of bottom-up tags'!$B93,'Bottom-up tagging'!$E:$E,'Analysis of bottom-up tags'!H$6)</f>
        <v>0</v>
      </c>
      <c r="I93" s="22">
        <f>SUMIFS('Bottom-up tagging'!$I:$I,'Bottom-up tagging'!$P:$P,'Analysis of bottom-up tags'!$B93,'Bottom-up tagging'!$E:$E,'Analysis of bottom-up tags'!I$6)</f>
        <v>0</v>
      </c>
      <c r="J93" s="22">
        <f>SUMIFS('Bottom-up tagging'!$I:$I,'Bottom-up tagging'!$P:$P,'Analysis of bottom-up tags'!$B93,'Bottom-up tagging'!$E:$E,'Analysis of bottom-up tags'!J$6)</f>
        <v>0</v>
      </c>
      <c r="K93" s="22">
        <f>SUMIFS('Bottom-up tagging'!$I:$I,'Bottom-up tagging'!$P:$P,'Analysis of bottom-up tags'!$B93,'Bottom-up tagging'!$E:$E,'Analysis of bottom-up tags'!K$6)</f>
        <v>0</v>
      </c>
      <c r="L93" s="22">
        <f>SUMIFS('Bottom-up tagging'!$I:$I,'Bottom-up tagging'!$P:$P,'Analysis of bottom-up tags'!$B93,'Bottom-up tagging'!$E:$E,'Analysis of bottom-up tags'!L$6)</f>
        <v>0</v>
      </c>
      <c r="N93" s="101">
        <f t="shared" si="104"/>
        <v>0</v>
      </c>
      <c r="O93" s="101">
        <f t="shared" si="105"/>
        <v>0</v>
      </c>
      <c r="P93" s="101">
        <f t="shared" si="106"/>
        <v>0</v>
      </c>
      <c r="Q93" s="101">
        <f t="shared" si="107"/>
        <v>0.22186546744497576</v>
      </c>
      <c r="R93" s="101">
        <f t="shared" si="108"/>
        <v>1.6234684911894874E-3</v>
      </c>
      <c r="S93" s="101">
        <f t="shared" si="109"/>
        <v>0</v>
      </c>
      <c r="T93" s="101">
        <f t="shared" si="110"/>
        <v>0</v>
      </c>
      <c r="U93" s="101">
        <f t="shared" si="111"/>
        <v>0</v>
      </c>
      <c r="V93" s="101">
        <f t="shared" si="112"/>
        <v>0</v>
      </c>
      <c r="W93" s="101">
        <f t="shared" si="113"/>
        <v>0</v>
      </c>
      <c r="X93" s="101"/>
    </row>
    <row r="94" spans="2:24">
      <c r="B94" s="64" t="s">
        <v>10774</v>
      </c>
      <c r="C94" s="22">
        <f>SUMIFS('Bottom-up tagging'!$I:$I,'Bottom-up tagging'!$P:$P,'Analysis of bottom-up tags'!$B94,'Bottom-up tagging'!$E:$E,'Analysis of bottom-up tags'!C$6)</f>
        <v>0</v>
      </c>
      <c r="D94" s="22">
        <f>SUMIFS('Bottom-up tagging'!$I:$I,'Bottom-up tagging'!$P:$P,'Analysis of bottom-up tags'!$B94,'Bottom-up tagging'!$E:$E,'Analysis of bottom-up tags'!D$6)</f>
        <v>0</v>
      </c>
      <c r="E94" s="22">
        <f>SUMIFS('Bottom-up tagging'!$I:$I,'Bottom-up tagging'!$P:$P,'Analysis of bottom-up tags'!$B94,'Bottom-up tagging'!$E:$E,'Analysis of bottom-up tags'!E$6)</f>
        <v>0</v>
      </c>
      <c r="F94" s="22">
        <f>SUMIFS('Bottom-up tagging'!$I:$I,'Bottom-up tagging'!$P:$P,'Analysis of bottom-up tags'!$B94,'Bottom-up tagging'!$E:$E,'Analysis of bottom-up tags'!F$6)</f>
        <v>0</v>
      </c>
      <c r="G94" s="22">
        <f>SUMIFS('Bottom-up tagging'!$I:$I,'Bottom-up tagging'!$P:$P,'Analysis of bottom-up tags'!$B94,'Bottom-up tagging'!$E:$E,'Analysis of bottom-up tags'!G$6)</f>
        <v>0</v>
      </c>
      <c r="H94" s="22">
        <f>SUMIFS('Bottom-up tagging'!$I:$I,'Bottom-up tagging'!$P:$P,'Analysis of bottom-up tags'!$B94,'Bottom-up tagging'!$E:$E,'Analysis of bottom-up tags'!H$6)</f>
        <v>0</v>
      </c>
      <c r="I94" s="22">
        <f>SUMIFS('Bottom-up tagging'!$I:$I,'Bottom-up tagging'!$P:$P,'Analysis of bottom-up tags'!$B94,'Bottom-up tagging'!$E:$E,'Analysis of bottom-up tags'!I$6)</f>
        <v>267649.44056967529</v>
      </c>
      <c r="J94" s="22">
        <f>SUMIFS('Bottom-up tagging'!$I:$I,'Bottom-up tagging'!$P:$P,'Analysis of bottom-up tags'!$B94,'Bottom-up tagging'!$E:$E,'Analysis of bottom-up tags'!J$6)</f>
        <v>7754748.3286185153</v>
      </c>
      <c r="K94" s="22">
        <f>SUMIFS('Bottom-up tagging'!$I:$I,'Bottom-up tagging'!$P:$P,'Analysis of bottom-up tags'!$B94,'Bottom-up tagging'!$E:$E,'Analysis of bottom-up tags'!K$6)</f>
        <v>260653.16846921665</v>
      </c>
      <c r="L94" s="22">
        <f>SUMIFS('Bottom-up tagging'!$I:$I,'Bottom-up tagging'!$P:$P,'Analysis of bottom-up tags'!$B94,'Bottom-up tagging'!$E:$E,'Analysis of bottom-up tags'!L$6)</f>
        <v>1417261.6387775613</v>
      </c>
      <c r="N94" s="101">
        <f t="shared" si="104"/>
        <v>0</v>
      </c>
      <c r="O94" s="101">
        <f t="shared" si="105"/>
        <v>0</v>
      </c>
      <c r="P94" s="101">
        <f t="shared" si="106"/>
        <v>0</v>
      </c>
      <c r="Q94" s="101">
        <f t="shared" si="107"/>
        <v>0</v>
      </c>
      <c r="R94" s="101">
        <f t="shared" si="108"/>
        <v>0</v>
      </c>
      <c r="S94" s="101">
        <f t="shared" si="109"/>
        <v>0</v>
      </c>
      <c r="T94" s="101">
        <f t="shared" si="110"/>
        <v>7.3109274400667877E-4</v>
      </c>
      <c r="U94" s="101">
        <f t="shared" si="111"/>
        <v>3.7198603354702493E-2</v>
      </c>
      <c r="V94" s="101">
        <f t="shared" si="112"/>
        <v>2.3883581292440922E-4</v>
      </c>
      <c r="W94" s="101">
        <f t="shared" si="113"/>
        <v>5.2381952449536201E-3</v>
      </c>
      <c r="X94" s="101"/>
    </row>
    <row r="95" spans="2:24">
      <c r="B95" s="64" t="s">
        <v>10748</v>
      </c>
      <c r="C95" s="22">
        <f>SUMIFS('Bottom-up tagging'!$I:$I,'Bottom-up tagging'!$P:$P,'Analysis of bottom-up tags'!$B95,'Bottom-up tagging'!$E:$E,'Analysis of bottom-up tags'!C$6)</f>
        <v>0</v>
      </c>
      <c r="D95" s="22">
        <f>SUMIFS('Bottom-up tagging'!$I:$I,'Bottom-up tagging'!$P:$P,'Analysis of bottom-up tags'!$B95,'Bottom-up tagging'!$E:$E,'Analysis of bottom-up tags'!D$6)</f>
        <v>0</v>
      </c>
      <c r="E95" s="22">
        <f>SUMIFS('Bottom-up tagging'!$I:$I,'Bottom-up tagging'!$P:$P,'Analysis of bottom-up tags'!$B95,'Bottom-up tagging'!$E:$E,'Analysis of bottom-up tags'!E$6)</f>
        <v>0</v>
      </c>
      <c r="F95" s="22">
        <f>SUMIFS('Bottom-up tagging'!$I:$I,'Bottom-up tagging'!$P:$P,'Analysis of bottom-up tags'!$B95,'Bottom-up tagging'!$E:$E,'Analysis of bottom-up tags'!F$6)</f>
        <v>0</v>
      </c>
      <c r="G95" s="22">
        <f>SUMIFS('Bottom-up tagging'!$I:$I,'Bottom-up tagging'!$P:$P,'Analysis of bottom-up tags'!$B95,'Bottom-up tagging'!$E:$E,'Analysis of bottom-up tags'!G$6)</f>
        <v>0</v>
      </c>
      <c r="H95" s="22">
        <f>SUMIFS('Bottom-up tagging'!$I:$I,'Bottom-up tagging'!$P:$P,'Analysis of bottom-up tags'!$B95,'Bottom-up tagging'!$E:$E,'Analysis of bottom-up tags'!H$6)</f>
        <v>0</v>
      </c>
      <c r="I95" s="22">
        <f>SUMIFS('Bottom-up tagging'!$I:$I,'Bottom-up tagging'!$P:$P,'Analysis of bottom-up tags'!$B95,'Bottom-up tagging'!$E:$E,'Analysis of bottom-up tags'!I$6)</f>
        <v>0</v>
      </c>
      <c r="J95" s="22">
        <f>SUMIFS('Bottom-up tagging'!$I:$I,'Bottom-up tagging'!$P:$P,'Analysis of bottom-up tags'!$B95,'Bottom-up tagging'!$E:$E,'Analysis of bottom-up tags'!J$6)</f>
        <v>0</v>
      </c>
      <c r="K95" s="22">
        <f>SUMIFS('Bottom-up tagging'!$I:$I,'Bottom-up tagging'!$P:$P,'Analysis of bottom-up tags'!$B95,'Bottom-up tagging'!$E:$E,'Analysis of bottom-up tags'!K$6)</f>
        <v>0</v>
      </c>
      <c r="L95" s="22">
        <f>SUMIFS('Bottom-up tagging'!$I:$I,'Bottom-up tagging'!$P:$P,'Analysis of bottom-up tags'!$B95,'Bottom-up tagging'!$E:$E,'Analysis of bottom-up tags'!L$6)</f>
        <v>7225142.528076957</v>
      </c>
      <c r="N95" s="101">
        <f t="shared" si="104"/>
        <v>0</v>
      </c>
      <c r="O95" s="101">
        <f t="shared" si="105"/>
        <v>0</v>
      </c>
      <c r="P95" s="101">
        <f t="shared" si="106"/>
        <v>0</v>
      </c>
      <c r="Q95" s="101">
        <f t="shared" si="107"/>
        <v>0</v>
      </c>
      <c r="R95" s="101">
        <f t="shared" si="108"/>
        <v>0</v>
      </c>
      <c r="S95" s="101">
        <f t="shared" si="109"/>
        <v>0</v>
      </c>
      <c r="T95" s="101">
        <f t="shared" si="110"/>
        <v>0</v>
      </c>
      <c r="U95" s="101">
        <f t="shared" si="111"/>
        <v>0</v>
      </c>
      <c r="V95" s="101">
        <f t="shared" si="112"/>
        <v>0</v>
      </c>
      <c r="W95" s="101">
        <f t="shared" si="113"/>
        <v>2.6704107554430829E-2</v>
      </c>
      <c r="X95" s="101"/>
    </row>
    <row r="96" spans="2:24">
      <c r="B96" s="64" t="s">
        <v>10819</v>
      </c>
      <c r="C96" s="22">
        <f>SUMIFS('Bottom-up tagging'!$I:$I,'Bottom-up tagging'!$P:$P,'Analysis of bottom-up tags'!$B96,'Bottom-up tagging'!$E:$E,'Analysis of bottom-up tags'!C$6)</f>
        <v>0</v>
      </c>
      <c r="D96" s="22">
        <f>SUMIFS('Bottom-up tagging'!$I:$I,'Bottom-up tagging'!$P:$P,'Analysis of bottom-up tags'!$B96,'Bottom-up tagging'!$E:$E,'Analysis of bottom-up tags'!D$6)</f>
        <v>64420.762521266013</v>
      </c>
      <c r="E96" s="22">
        <f>SUMIFS('Bottom-up tagging'!$I:$I,'Bottom-up tagging'!$P:$P,'Analysis of bottom-up tags'!$B96,'Bottom-up tagging'!$E:$E,'Analysis of bottom-up tags'!E$6)</f>
        <v>814525.80693816161</v>
      </c>
      <c r="F96" s="22">
        <f>SUMIFS('Bottom-up tagging'!$I:$I,'Bottom-up tagging'!$P:$P,'Analysis of bottom-up tags'!$B96,'Bottom-up tagging'!$E:$E,'Analysis of bottom-up tags'!F$6)</f>
        <v>0</v>
      </c>
      <c r="G96" s="22">
        <f>SUMIFS('Bottom-up tagging'!$I:$I,'Bottom-up tagging'!$P:$P,'Analysis of bottom-up tags'!$B96,'Bottom-up tagging'!$E:$E,'Analysis of bottom-up tags'!G$6)</f>
        <v>609267.22336300183</v>
      </c>
      <c r="H96" s="22">
        <f>SUMIFS('Bottom-up tagging'!$I:$I,'Bottom-up tagging'!$P:$P,'Analysis of bottom-up tags'!$B96,'Bottom-up tagging'!$E:$E,'Analysis of bottom-up tags'!H$6)</f>
        <v>488798.59942889045</v>
      </c>
      <c r="I96" s="22">
        <f>SUMIFS('Bottom-up tagging'!$I:$I,'Bottom-up tagging'!$P:$P,'Analysis of bottom-up tags'!$B96,'Bottom-up tagging'!$E:$E,'Analysis of bottom-up tags'!I$6)</f>
        <v>2908439.1624641428</v>
      </c>
      <c r="J96" s="22">
        <f>SUMIFS('Bottom-up tagging'!$I:$I,'Bottom-up tagging'!$P:$P,'Analysis of bottom-up tags'!$B96,'Bottom-up tagging'!$E:$E,'Analysis of bottom-up tags'!J$6)</f>
        <v>8057538.009896107</v>
      </c>
      <c r="K96" s="22">
        <f>SUMIFS('Bottom-up tagging'!$I:$I,'Bottom-up tagging'!$P:$P,'Analysis of bottom-up tags'!$B96,'Bottom-up tagging'!$E:$E,'Analysis of bottom-up tags'!K$6)</f>
        <v>1488265.7493408944</v>
      </c>
      <c r="L96" s="22">
        <f>SUMIFS('Bottom-up tagging'!$I:$I,'Bottom-up tagging'!$P:$P,'Analysis of bottom-up tags'!$B96,'Bottom-up tagging'!$E:$E,'Analysis of bottom-up tags'!L$6)</f>
        <v>2021149.7886385124</v>
      </c>
      <c r="N96" s="101">
        <f t="shared" si="104"/>
        <v>0</v>
      </c>
      <c r="O96" s="101">
        <f t="shared" si="105"/>
        <v>7.9723330169980289E-4</v>
      </c>
      <c r="P96" s="101">
        <f t="shared" si="106"/>
        <v>0.10566098968134448</v>
      </c>
      <c r="Q96" s="101">
        <f t="shared" si="107"/>
        <v>0</v>
      </c>
      <c r="R96" s="101">
        <f t="shared" si="108"/>
        <v>1.497091082771272E-2</v>
      </c>
      <c r="S96" s="101">
        <f t="shared" si="109"/>
        <v>2.4459844105323711E-3</v>
      </c>
      <c r="T96" s="101">
        <f t="shared" si="110"/>
        <v>7.9444917334279344E-3</v>
      </c>
      <c r="U96" s="101">
        <f t="shared" si="111"/>
        <v>3.8651049362805043E-2</v>
      </c>
      <c r="V96" s="101">
        <f t="shared" si="112"/>
        <v>1.363693992975062E-3</v>
      </c>
      <c r="W96" s="101">
        <f t="shared" si="113"/>
        <v>7.4701642396227466E-3</v>
      </c>
      <c r="X96" s="101"/>
    </row>
    <row r="97" spans="2:24">
      <c r="B97" s="64" t="s">
        <v>10706</v>
      </c>
      <c r="C97" s="22">
        <f>SUMIFS('Bottom-up tagging'!$I:$I,'Bottom-up tagging'!$P:$P,'Analysis of bottom-up tags'!$B97,'Bottom-up tagging'!$E:$E,'Analysis of bottom-up tags'!C$6)</f>
        <v>3118850</v>
      </c>
      <c r="D97" s="22">
        <f>SUMIFS('Bottom-up tagging'!$I:$I,'Bottom-up tagging'!$P:$P,'Analysis of bottom-up tags'!$B97,'Bottom-up tagging'!$E:$E,'Analysis of bottom-up tags'!D$6)</f>
        <v>0</v>
      </c>
      <c r="E97" s="22">
        <f>SUMIFS('Bottom-up tagging'!$I:$I,'Bottom-up tagging'!$P:$P,'Analysis of bottom-up tags'!$B97,'Bottom-up tagging'!$E:$E,'Analysis of bottom-up tags'!E$6)</f>
        <v>772782.78122835862</v>
      </c>
      <c r="F97" s="22">
        <f>SUMIFS('Bottom-up tagging'!$I:$I,'Bottom-up tagging'!$P:$P,'Analysis of bottom-up tags'!$B97,'Bottom-up tagging'!$E:$E,'Analysis of bottom-up tags'!F$6)</f>
        <v>0</v>
      </c>
      <c r="G97" s="22">
        <f>SUMIFS('Bottom-up tagging'!$I:$I,'Bottom-up tagging'!$P:$P,'Analysis of bottom-up tags'!$B97,'Bottom-up tagging'!$E:$E,'Analysis of bottom-up tags'!G$6)</f>
        <v>0</v>
      </c>
      <c r="H97" s="22">
        <f>SUMIFS('Bottom-up tagging'!$I:$I,'Bottom-up tagging'!$P:$P,'Analysis of bottom-up tags'!$B97,'Bottom-up tagging'!$E:$E,'Analysis of bottom-up tags'!H$6)</f>
        <v>5035386.6455755383</v>
      </c>
      <c r="I97" s="22">
        <f>SUMIFS('Bottom-up tagging'!$I:$I,'Bottom-up tagging'!$P:$P,'Analysis of bottom-up tags'!$B97,'Bottom-up tagging'!$E:$E,'Analysis of bottom-up tags'!I$6)</f>
        <v>0</v>
      </c>
      <c r="J97" s="22">
        <f>SUMIFS('Bottom-up tagging'!$I:$I,'Bottom-up tagging'!$P:$P,'Analysis of bottom-up tags'!$B97,'Bottom-up tagging'!$E:$E,'Analysis of bottom-up tags'!J$6)</f>
        <v>0</v>
      </c>
      <c r="K97" s="22">
        <f>SUMIFS('Bottom-up tagging'!$I:$I,'Bottom-up tagging'!$P:$P,'Analysis of bottom-up tags'!$B97,'Bottom-up tagging'!$E:$E,'Analysis of bottom-up tags'!K$6)</f>
        <v>0</v>
      </c>
      <c r="L97" s="22">
        <f>SUMIFS('Bottom-up tagging'!$I:$I,'Bottom-up tagging'!$P:$P,'Analysis of bottom-up tags'!$B97,'Bottom-up tagging'!$E:$E,'Analysis of bottom-up tags'!L$6)</f>
        <v>0</v>
      </c>
      <c r="N97" s="101">
        <f t="shared" si="104"/>
        <v>3.3303630561833643E-2</v>
      </c>
      <c r="O97" s="101">
        <f t="shared" si="105"/>
        <v>0</v>
      </c>
      <c r="P97" s="101">
        <f t="shared" si="106"/>
        <v>0.10024604840972134</v>
      </c>
      <c r="Q97" s="101">
        <f t="shared" si="107"/>
        <v>0</v>
      </c>
      <c r="R97" s="101">
        <f t="shared" si="108"/>
        <v>0</v>
      </c>
      <c r="S97" s="101">
        <f t="shared" si="109"/>
        <v>2.5197447886452947E-2</v>
      </c>
      <c r="T97" s="101">
        <f t="shared" si="110"/>
        <v>0</v>
      </c>
      <c r="U97" s="101">
        <f t="shared" si="111"/>
        <v>0</v>
      </c>
      <c r="V97" s="101">
        <f t="shared" si="112"/>
        <v>0</v>
      </c>
      <c r="W97" s="101">
        <f t="shared" si="113"/>
        <v>0</v>
      </c>
      <c r="X97" s="101"/>
    </row>
    <row r="98" spans="2:24">
      <c r="B98" s="64" t="s">
        <v>10784</v>
      </c>
      <c r="C98" s="22">
        <f>SUMIFS('Bottom-up tagging'!$I:$I,'Bottom-up tagging'!$P:$P,'Analysis of bottom-up tags'!$B98,'Bottom-up tagging'!$E:$E,'Analysis of bottom-up tags'!C$6)</f>
        <v>0</v>
      </c>
      <c r="D98" s="22">
        <f>SUMIFS('Bottom-up tagging'!$I:$I,'Bottom-up tagging'!$P:$P,'Analysis of bottom-up tags'!$B98,'Bottom-up tagging'!$E:$E,'Analysis of bottom-up tags'!D$6)</f>
        <v>402308.10798967391</v>
      </c>
      <c r="E98" s="22">
        <f>SUMIFS('Bottom-up tagging'!$I:$I,'Bottom-up tagging'!$P:$P,'Analysis of bottom-up tags'!$B98,'Bottom-up tagging'!$E:$E,'Analysis of bottom-up tags'!E$6)</f>
        <v>0</v>
      </c>
      <c r="F98" s="22">
        <f>SUMIFS('Bottom-up tagging'!$I:$I,'Bottom-up tagging'!$P:$P,'Analysis of bottom-up tags'!$B98,'Bottom-up tagging'!$E:$E,'Analysis of bottom-up tags'!F$6)</f>
        <v>0</v>
      </c>
      <c r="G98" s="22">
        <f>SUMIFS('Bottom-up tagging'!$I:$I,'Bottom-up tagging'!$P:$P,'Analysis of bottom-up tags'!$B98,'Bottom-up tagging'!$E:$E,'Analysis of bottom-up tags'!G$6)</f>
        <v>0</v>
      </c>
      <c r="H98" s="22">
        <f>SUMIFS('Bottom-up tagging'!$I:$I,'Bottom-up tagging'!$P:$P,'Analysis of bottom-up tags'!$B98,'Bottom-up tagging'!$E:$E,'Analysis of bottom-up tags'!H$6)</f>
        <v>4029723.4739125688</v>
      </c>
      <c r="I98" s="22">
        <f>SUMIFS('Bottom-up tagging'!$I:$I,'Bottom-up tagging'!$P:$P,'Analysis of bottom-up tags'!$B98,'Bottom-up tagging'!$E:$E,'Analysis of bottom-up tags'!I$6)</f>
        <v>1442677.4271556004</v>
      </c>
      <c r="J98" s="22">
        <f>SUMIFS('Bottom-up tagging'!$I:$I,'Bottom-up tagging'!$P:$P,'Analysis of bottom-up tags'!$B98,'Bottom-up tagging'!$E:$E,'Analysis of bottom-up tags'!J$6)</f>
        <v>390457.86008124577</v>
      </c>
      <c r="K98" s="22">
        <f>SUMIFS('Bottom-up tagging'!$I:$I,'Bottom-up tagging'!$P:$P,'Analysis of bottom-up tags'!$B98,'Bottom-up tagging'!$E:$E,'Analysis of bottom-up tags'!K$6)</f>
        <v>2381979.7590894005</v>
      </c>
      <c r="L98" s="22">
        <f>SUMIFS('Bottom-up tagging'!$I:$I,'Bottom-up tagging'!$P:$P,'Analysis of bottom-up tags'!$B98,'Bottom-up tagging'!$E:$E,'Analysis of bottom-up tags'!L$6)</f>
        <v>18394.225997565529</v>
      </c>
      <c r="N98" s="101">
        <f t="shared" si="104"/>
        <v>0</v>
      </c>
      <c r="O98" s="101">
        <f t="shared" si="105"/>
        <v>4.978727489096872E-3</v>
      </c>
      <c r="P98" s="101">
        <f t="shared" si="106"/>
        <v>0</v>
      </c>
      <c r="Q98" s="101">
        <f t="shared" si="107"/>
        <v>0</v>
      </c>
      <c r="R98" s="101">
        <f t="shared" si="108"/>
        <v>0</v>
      </c>
      <c r="S98" s="101">
        <f t="shared" si="109"/>
        <v>2.0165034857839072E-2</v>
      </c>
      <c r="T98" s="101">
        <f t="shared" si="110"/>
        <v>3.9407181150491232E-3</v>
      </c>
      <c r="U98" s="101">
        <f t="shared" si="111"/>
        <v>1.8729798116447292E-3</v>
      </c>
      <c r="V98" s="101">
        <f t="shared" si="112"/>
        <v>2.1826017902360287E-3</v>
      </c>
      <c r="W98" s="101">
        <f t="shared" si="113"/>
        <v>6.7985010331724998E-5</v>
      </c>
      <c r="X98" s="101"/>
    </row>
    <row r="99" spans="2:24">
      <c r="B99" s="64" t="s">
        <v>10793</v>
      </c>
      <c r="C99" s="22">
        <f>SUMIFS('Bottom-up tagging'!$I:$I,'Bottom-up tagging'!$P:$P,'Analysis of bottom-up tags'!$B99,'Bottom-up tagging'!$E:$E,'Analysis of bottom-up tags'!C$6)</f>
        <v>0</v>
      </c>
      <c r="D99" s="22">
        <f>SUMIFS('Bottom-up tagging'!$I:$I,'Bottom-up tagging'!$P:$P,'Analysis of bottom-up tags'!$B99,'Bottom-up tagging'!$E:$E,'Analysis of bottom-up tags'!D$6)</f>
        <v>0</v>
      </c>
      <c r="E99" s="22">
        <f>SUMIFS('Bottom-up tagging'!$I:$I,'Bottom-up tagging'!$P:$P,'Analysis of bottom-up tags'!$B99,'Bottom-up tagging'!$E:$E,'Analysis of bottom-up tags'!E$6)</f>
        <v>0</v>
      </c>
      <c r="F99" s="22">
        <f>SUMIFS('Bottom-up tagging'!$I:$I,'Bottom-up tagging'!$P:$P,'Analysis of bottom-up tags'!$B99,'Bottom-up tagging'!$E:$E,'Analysis of bottom-up tags'!F$6)</f>
        <v>0</v>
      </c>
      <c r="G99" s="22">
        <f>SUMIFS('Bottom-up tagging'!$I:$I,'Bottom-up tagging'!$P:$P,'Analysis of bottom-up tags'!$B99,'Bottom-up tagging'!$E:$E,'Analysis of bottom-up tags'!G$6)</f>
        <v>0</v>
      </c>
      <c r="H99" s="22">
        <f>SUMIFS('Bottom-up tagging'!$I:$I,'Bottom-up tagging'!$P:$P,'Analysis of bottom-up tags'!$B99,'Bottom-up tagging'!$E:$E,'Analysis of bottom-up tags'!H$6)</f>
        <v>389651.99321678438</v>
      </c>
      <c r="I99" s="22">
        <f>SUMIFS('Bottom-up tagging'!$I:$I,'Bottom-up tagging'!$P:$P,'Analysis of bottom-up tags'!$B99,'Bottom-up tagging'!$E:$E,'Analysis of bottom-up tags'!I$6)</f>
        <v>0</v>
      </c>
      <c r="J99" s="22">
        <f>SUMIFS('Bottom-up tagging'!$I:$I,'Bottom-up tagging'!$P:$P,'Analysis of bottom-up tags'!$B99,'Bottom-up tagging'!$E:$E,'Analysis of bottom-up tags'!J$6)</f>
        <v>0</v>
      </c>
      <c r="K99" s="22">
        <f>SUMIFS('Bottom-up tagging'!$I:$I,'Bottom-up tagging'!$P:$P,'Analysis of bottom-up tags'!$B99,'Bottom-up tagging'!$E:$E,'Analysis of bottom-up tags'!K$6)</f>
        <v>2810399.9029808752</v>
      </c>
      <c r="L99" s="22">
        <f>SUMIFS('Bottom-up tagging'!$I:$I,'Bottom-up tagging'!$P:$P,'Analysis of bottom-up tags'!$B99,'Bottom-up tagging'!$E:$E,'Analysis of bottom-up tags'!L$6)</f>
        <v>0</v>
      </c>
      <c r="N99" s="101">
        <f t="shared" si="104"/>
        <v>0</v>
      </c>
      <c r="O99" s="101">
        <f t="shared" si="105"/>
        <v>0</v>
      </c>
      <c r="P99" s="101">
        <f t="shared" si="106"/>
        <v>0</v>
      </c>
      <c r="Q99" s="101">
        <f t="shared" si="107"/>
        <v>0</v>
      </c>
      <c r="R99" s="101">
        <f t="shared" si="108"/>
        <v>0</v>
      </c>
      <c r="S99" s="101">
        <f t="shared" si="109"/>
        <v>1.9498474464834726E-3</v>
      </c>
      <c r="T99" s="101">
        <f t="shared" si="110"/>
        <v>0</v>
      </c>
      <c r="U99" s="101">
        <f t="shared" si="111"/>
        <v>0</v>
      </c>
      <c r="V99" s="101">
        <f t="shared" si="112"/>
        <v>2.5751620416246358E-3</v>
      </c>
      <c r="W99" s="101">
        <f t="shared" si="113"/>
        <v>0</v>
      </c>
      <c r="X99" s="101"/>
    </row>
    <row r="100" spans="2:24">
      <c r="B100" s="64" t="s">
        <v>10715</v>
      </c>
      <c r="C100" s="22">
        <f>SUMIFS('Bottom-up tagging'!$I:$I,'Bottom-up tagging'!$P:$P,'Analysis of bottom-up tags'!$B100,'Bottom-up tagging'!$E:$E,'Analysis of bottom-up tags'!C$6)</f>
        <v>0</v>
      </c>
      <c r="D100" s="22">
        <f>SUMIFS('Bottom-up tagging'!$I:$I,'Bottom-up tagging'!$P:$P,'Analysis of bottom-up tags'!$B100,'Bottom-up tagging'!$E:$E,'Analysis of bottom-up tags'!D$6)</f>
        <v>0</v>
      </c>
      <c r="E100" s="22">
        <f>SUMIFS('Bottom-up tagging'!$I:$I,'Bottom-up tagging'!$P:$P,'Analysis of bottom-up tags'!$B100,'Bottom-up tagging'!$E:$E,'Analysis of bottom-up tags'!E$6)</f>
        <v>0</v>
      </c>
      <c r="F100" s="22">
        <f>SUMIFS('Bottom-up tagging'!$I:$I,'Bottom-up tagging'!$P:$P,'Analysis of bottom-up tags'!$B100,'Bottom-up tagging'!$E:$E,'Analysis of bottom-up tags'!F$6)</f>
        <v>1009526.7657948977</v>
      </c>
      <c r="G100" s="22">
        <f>SUMIFS('Bottom-up tagging'!$I:$I,'Bottom-up tagging'!$P:$P,'Analysis of bottom-up tags'!$B100,'Bottom-up tagging'!$E:$E,'Analysis of bottom-up tags'!G$6)</f>
        <v>1277094.2904462232</v>
      </c>
      <c r="H100" s="22">
        <f>SUMIFS('Bottom-up tagging'!$I:$I,'Bottom-up tagging'!$P:$P,'Analysis of bottom-up tags'!$B100,'Bottom-up tagging'!$E:$E,'Analysis of bottom-up tags'!H$6)</f>
        <v>1594104.5607725938</v>
      </c>
      <c r="I100" s="22">
        <f>SUMIFS('Bottom-up tagging'!$I:$I,'Bottom-up tagging'!$P:$P,'Analysis of bottom-up tags'!$B100,'Bottom-up tagging'!$E:$E,'Analysis of bottom-up tags'!I$6)</f>
        <v>0</v>
      </c>
      <c r="J100" s="22">
        <f>SUMIFS('Bottom-up tagging'!$I:$I,'Bottom-up tagging'!$P:$P,'Analysis of bottom-up tags'!$B100,'Bottom-up tagging'!$E:$E,'Analysis of bottom-up tags'!J$6)</f>
        <v>0</v>
      </c>
      <c r="K100" s="22">
        <f>SUMIFS('Bottom-up tagging'!$I:$I,'Bottom-up tagging'!$P:$P,'Analysis of bottom-up tags'!$B100,'Bottom-up tagging'!$E:$E,'Analysis of bottom-up tags'!K$6)</f>
        <v>176501.38324214891</v>
      </c>
      <c r="L100" s="22">
        <f>SUMIFS('Bottom-up tagging'!$I:$I,'Bottom-up tagging'!$P:$P,'Analysis of bottom-up tags'!$B100,'Bottom-up tagging'!$E:$E,'Analysis of bottom-up tags'!L$6)</f>
        <v>2677884.1139903031</v>
      </c>
      <c r="N100" s="101">
        <f t="shared" si="104"/>
        <v>0</v>
      </c>
      <c r="O100" s="101">
        <f t="shared" si="105"/>
        <v>0</v>
      </c>
      <c r="P100" s="101">
        <f t="shared" si="106"/>
        <v>0</v>
      </c>
      <c r="Q100" s="101">
        <f t="shared" si="107"/>
        <v>2.7912606034144721E-2</v>
      </c>
      <c r="R100" s="101">
        <f t="shared" si="108"/>
        <v>3.1380753809991495E-2</v>
      </c>
      <c r="S100" s="101">
        <f t="shared" si="109"/>
        <v>7.9770173420383537E-3</v>
      </c>
      <c r="T100" s="101">
        <f t="shared" si="110"/>
        <v>0</v>
      </c>
      <c r="U100" s="101">
        <f t="shared" si="111"/>
        <v>0</v>
      </c>
      <c r="V100" s="101">
        <f t="shared" si="112"/>
        <v>1.6172775338389893E-4</v>
      </c>
      <c r="W100" s="101">
        <f t="shared" si="113"/>
        <v>9.897452558258666E-3</v>
      </c>
      <c r="X100" s="101"/>
    </row>
    <row r="101" spans="2:24">
      <c r="B101" s="64" t="s">
        <v>10963</v>
      </c>
      <c r="C101" s="22">
        <f>SUMIFS('Bottom-up tagging'!$I:$I,'Bottom-up tagging'!$P:$P,'Analysis of bottom-up tags'!$B101,'Bottom-up tagging'!$E:$E,'Analysis of bottom-up tags'!C$6)</f>
        <v>0</v>
      </c>
      <c r="D101" s="22">
        <f>SUMIFS('Bottom-up tagging'!$I:$I,'Bottom-up tagging'!$P:$P,'Analysis of bottom-up tags'!$B101,'Bottom-up tagging'!$E:$E,'Analysis of bottom-up tags'!D$6)</f>
        <v>0</v>
      </c>
      <c r="E101" s="22">
        <f>SUMIFS('Bottom-up tagging'!$I:$I,'Bottom-up tagging'!$P:$P,'Analysis of bottom-up tags'!$B101,'Bottom-up tagging'!$E:$E,'Analysis of bottom-up tags'!E$6)</f>
        <v>0</v>
      </c>
      <c r="F101" s="22">
        <f>SUMIFS('Bottom-up tagging'!$I:$I,'Bottom-up tagging'!$P:$P,'Analysis of bottom-up tags'!$B101,'Bottom-up tagging'!$E:$E,'Analysis of bottom-up tags'!F$6)</f>
        <v>0</v>
      </c>
      <c r="G101" s="22">
        <f>SUMIFS('Bottom-up tagging'!$I:$I,'Bottom-up tagging'!$P:$P,'Analysis of bottom-up tags'!$B101,'Bottom-up tagging'!$E:$E,'Analysis of bottom-up tags'!G$6)</f>
        <v>0</v>
      </c>
      <c r="H101" s="22">
        <f>SUMIFS('Bottom-up tagging'!$I:$I,'Bottom-up tagging'!$P:$P,'Analysis of bottom-up tags'!$B101,'Bottom-up tagging'!$E:$E,'Analysis of bottom-up tags'!H$6)</f>
        <v>0</v>
      </c>
      <c r="I101" s="22">
        <f>SUMIFS('Bottom-up tagging'!$I:$I,'Bottom-up tagging'!$P:$P,'Analysis of bottom-up tags'!$B101,'Bottom-up tagging'!$E:$E,'Analysis of bottom-up tags'!I$6)</f>
        <v>0</v>
      </c>
      <c r="J101" s="22">
        <f>SUMIFS('Bottom-up tagging'!$I:$I,'Bottom-up tagging'!$P:$P,'Analysis of bottom-up tags'!$B101,'Bottom-up tagging'!$E:$E,'Analysis of bottom-up tags'!J$6)</f>
        <v>11724.636763068134</v>
      </c>
      <c r="K101" s="22">
        <f>SUMIFS('Bottom-up tagging'!$I:$I,'Bottom-up tagging'!$P:$P,'Analysis of bottom-up tags'!$B101,'Bottom-up tagging'!$E:$E,'Analysis of bottom-up tags'!K$6)</f>
        <v>0</v>
      </c>
      <c r="L101" s="22">
        <f>SUMIFS('Bottom-up tagging'!$I:$I,'Bottom-up tagging'!$P:$P,'Analysis of bottom-up tags'!$B101,'Bottom-up tagging'!$E:$E,'Analysis of bottom-up tags'!L$6)</f>
        <v>0</v>
      </c>
      <c r="N101" s="101">
        <f t="shared" si="104"/>
        <v>0</v>
      </c>
      <c r="O101" s="101">
        <f t="shared" si="105"/>
        <v>0</v>
      </c>
      <c r="P101" s="101">
        <f t="shared" si="106"/>
        <v>0</v>
      </c>
      <c r="Q101" s="101">
        <f t="shared" si="107"/>
        <v>0</v>
      </c>
      <c r="R101" s="101">
        <f t="shared" si="108"/>
        <v>0</v>
      </c>
      <c r="S101" s="101">
        <f t="shared" si="109"/>
        <v>0</v>
      </c>
      <c r="T101" s="101">
        <f t="shared" si="110"/>
        <v>0</v>
      </c>
      <c r="U101" s="101">
        <f t="shared" si="111"/>
        <v>5.6241684958076707E-5</v>
      </c>
      <c r="V101" s="101">
        <f t="shared" si="112"/>
        <v>0</v>
      </c>
      <c r="W101" s="101">
        <f t="shared" si="113"/>
        <v>0</v>
      </c>
      <c r="X101" s="101"/>
    </row>
    <row r="102" spans="2:24">
      <c r="B102" s="64" t="s">
        <v>10770</v>
      </c>
      <c r="C102" s="22">
        <f>SUMIFS('Bottom-up tagging'!$I:$I,'Bottom-up tagging'!$P:$P,'Analysis of bottom-up tags'!$B102,'Bottom-up tagging'!$E:$E,'Analysis of bottom-up tags'!C$6)</f>
        <v>0</v>
      </c>
      <c r="D102" s="22">
        <f>SUMIFS('Bottom-up tagging'!$I:$I,'Bottom-up tagging'!$P:$P,'Analysis of bottom-up tags'!$B102,'Bottom-up tagging'!$E:$E,'Analysis of bottom-up tags'!D$6)</f>
        <v>0</v>
      </c>
      <c r="E102" s="22">
        <f>SUMIFS('Bottom-up tagging'!$I:$I,'Bottom-up tagging'!$P:$P,'Analysis of bottom-up tags'!$B102,'Bottom-up tagging'!$E:$E,'Analysis of bottom-up tags'!E$6)</f>
        <v>0</v>
      </c>
      <c r="F102" s="22">
        <f>SUMIFS('Bottom-up tagging'!$I:$I,'Bottom-up tagging'!$P:$P,'Analysis of bottom-up tags'!$B102,'Bottom-up tagging'!$E:$E,'Analysis of bottom-up tags'!F$6)</f>
        <v>0</v>
      </c>
      <c r="G102" s="22">
        <f>SUMIFS('Bottom-up tagging'!$I:$I,'Bottom-up tagging'!$P:$P,'Analysis of bottom-up tags'!$B102,'Bottom-up tagging'!$E:$E,'Analysis of bottom-up tags'!G$6)</f>
        <v>0</v>
      </c>
      <c r="H102" s="22">
        <f>SUMIFS('Bottom-up tagging'!$I:$I,'Bottom-up tagging'!$P:$P,'Analysis of bottom-up tags'!$B102,'Bottom-up tagging'!$E:$E,'Analysis of bottom-up tags'!H$6)</f>
        <v>523846.30450791755</v>
      </c>
      <c r="I102" s="22">
        <f>SUMIFS('Bottom-up tagging'!$I:$I,'Bottom-up tagging'!$P:$P,'Analysis of bottom-up tags'!$B102,'Bottom-up tagging'!$E:$E,'Analysis of bottom-up tags'!I$6)</f>
        <v>121395.4836661529</v>
      </c>
      <c r="J102" s="22">
        <f>SUMIFS('Bottom-up tagging'!$I:$I,'Bottom-up tagging'!$P:$P,'Analysis of bottom-up tags'!$B102,'Bottom-up tagging'!$E:$E,'Analysis of bottom-up tags'!J$6)</f>
        <v>2444448.4518560395</v>
      </c>
      <c r="K102" s="22">
        <f>SUMIFS('Bottom-up tagging'!$I:$I,'Bottom-up tagging'!$P:$P,'Analysis of bottom-up tags'!$B102,'Bottom-up tagging'!$E:$E,'Analysis of bottom-up tags'!K$6)</f>
        <v>105585.46874107617</v>
      </c>
      <c r="L102" s="22">
        <f>SUMIFS('Bottom-up tagging'!$I:$I,'Bottom-up tagging'!$P:$P,'Analysis of bottom-up tags'!$B102,'Bottom-up tagging'!$E:$E,'Analysis of bottom-up tags'!L$6)</f>
        <v>2251725.8201919971</v>
      </c>
      <c r="N102" s="101">
        <f t="shared" si="104"/>
        <v>0</v>
      </c>
      <c r="O102" s="101">
        <f t="shared" si="105"/>
        <v>0</v>
      </c>
      <c r="P102" s="101">
        <f t="shared" si="106"/>
        <v>0</v>
      </c>
      <c r="Q102" s="101">
        <f t="shared" si="107"/>
        <v>0</v>
      </c>
      <c r="R102" s="101">
        <f t="shared" si="108"/>
        <v>0</v>
      </c>
      <c r="S102" s="101">
        <f t="shared" si="109"/>
        <v>2.6213657237120704E-3</v>
      </c>
      <c r="T102" s="101">
        <f t="shared" si="110"/>
        <v>3.3159552687501937E-4</v>
      </c>
      <c r="U102" s="101">
        <f t="shared" si="111"/>
        <v>1.1725727841616273E-2</v>
      </c>
      <c r="V102" s="101">
        <f t="shared" si="112"/>
        <v>9.6747687388108402E-5</v>
      </c>
      <c r="W102" s="101">
        <f t="shared" si="113"/>
        <v>8.3223726385782924E-3</v>
      </c>
      <c r="X102" s="101"/>
    </row>
    <row r="103" spans="2:24">
      <c r="B103" s="64" t="s">
        <v>10965</v>
      </c>
      <c r="C103" s="22">
        <f>SUMIFS('Bottom-up tagging'!$I:$I,'Bottom-up tagging'!$P:$P,'Analysis of bottom-up tags'!$B103,'Bottom-up tagging'!$E:$E,'Analysis of bottom-up tags'!C$6)</f>
        <v>0</v>
      </c>
      <c r="D103" s="22">
        <f>SUMIFS('Bottom-up tagging'!$I:$I,'Bottom-up tagging'!$P:$P,'Analysis of bottom-up tags'!$B103,'Bottom-up tagging'!$E:$E,'Analysis of bottom-up tags'!D$6)</f>
        <v>0</v>
      </c>
      <c r="E103" s="22">
        <f>SUMIFS('Bottom-up tagging'!$I:$I,'Bottom-up tagging'!$P:$P,'Analysis of bottom-up tags'!$B103,'Bottom-up tagging'!$E:$E,'Analysis of bottom-up tags'!E$6)</f>
        <v>0</v>
      </c>
      <c r="F103" s="22">
        <f>SUMIFS('Bottom-up tagging'!$I:$I,'Bottom-up tagging'!$P:$P,'Analysis of bottom-up tags'!$B103,'Bottom-up tagging'!$E:$E,'Analysis of bottom-up tags'!F$6)</f>
        <v>0</v>
      </c>
      <c r="G103" s="22">
        <f>SUMIFS('Bottom-up tagging'!$I:$I,'Bottom-up tagging'!$P:$P,'Analysis of bottom-up tags'!$B103,'Bottom-up tagging'!$E:$E,'Analysis of bottom-up tags'!G$6)</f>
        <v>0</v>
      </c>
      <c r="H103" s="22">
        <f>SUMIFS('Bottom-up tagging'!$I:$I,'Bottom-up tagging'!$P:$P,'Analysis of bottom-up tags'!$B103,'Bottom-up tagging'!$E:$E,'Analysis of bottom-up tags'!H$6)</f>
        <v>0</v>
      </c>
      <c r="I103" s="22">
        <f>SUMIFS('Bottom-up tagging'!$I:$I,'Bottom-up tagging'!$P:$P,'Analysis of bottom-up tags'!$B103,'Bottom-up tagging'!$E:$E,'Analysis of bottom-up tags'!I$6)</f>
        <v>66058.335053016286</v>
      </c>
      <c r="J103" s="22">
        <f>SUMIFS('Bottom-up tagging'!$I:$I,'Bottom-up tagging'!$P:$P,'Analysis of bottom-up tags'!$B103,'Bottom-up tagging'!$E:$E,'Analysis of bottom-up tags'!J$6)</f>
        <v>642131.7386165217</v>
      </c>
      <c r="K103" s="22">
        <f>SUMIFS('Bottom-up tagging'!$I:$I,'Bottom-up tagging'!$P:$P,'Analysis of bottom-up tags'!$B103,'Bottom-up tagging'!$E:$E,'Analysis of bottom-up tags'!K$6)</f>
        <v>1778379.7578600692</v>
      </c>
      <c r="L103" s="22">
        <f>SUMIFS('Bottom-up tagging'!$I:$I,'Bottom-up tagging'!$P:$P,'Analysis of bottom-up tags'!$B103,'Bottom-up tagging'!$E:$E,'Analysis of bottom-up tags'!L$6)</f>
        <v>1324952.2177658167</v>
      </c>
      <c r="N103" s="101">
        <f t="shared" si="104"/>
        <v>0</v>
      </c>
      <c r="O103" s="101">
        <f t="shared" si="105"/>
        <v>0</v>
      </c>
      <c r="P103" s="101">
        <f t="shared" si="106"/>
        <v>0</v>
      </c>
      <c r="Q103" s="101">
        <f t="shared" si="107"/>
        <v>0</v>
      </c>
      <c r="R103" s="101">
        <f t="shared" si="108"/>
        <v>0</v>
      </c>
      <c r="S103" s="101">
        <f t="shared" si="109"/>
        <v>0</v>
      </c>
      <c r="T103" s="101">
        <f t="shared" si="110"/>
        <v>1.8044038999532304E-4</v>
      </c>
      <c r="U103" s="101">
        <f t="shared" si="111"/>
        <v>3.0802294070730696E-3</v>
      </c>
      <c r="V103" s="101">
        <f t="shared" si="112"/>
        <v>1.6295246961748938E-3</v>
      </c>
      <c r="W103" s="101">
        <f t="shared" si="113"/>
        <v>4.8970198705709416E-3</v>
      </c>
      <c r="X103" s="101"/>
    </row>
    <row r="104" spans="2:24">
      <c r="B104" s="64" t="s">
        <v>10813</v>
      </c>
      <c r="C104" s="22">
        <f>SUMIFS('Bottom-up tagging'!$I:$I,'Bottom-up tagging'!$P:$P,'Analysis of bottom-up tags'!$B104,'Bottom-up tagging'!$E:$E,'Analysis of bottom-up tags'!C$6)</f>
        <v>0</v>
      </c>
      <c r="D104" s="22">
        <f>SUMIFS('Bottom-up tagging'!$I:$I,'Bottom-up tagging'!$P:$P,'Analysis of bottom-up tags'!$B104,'Bottom-up tagging'!$E:$E,'Analysis of bottom-up tags'!D$6)</f>
        <v>0</v>
      </c>
      <c r="E104" s="22">
        <f>SUMIFS('Bottom-up tagging'!$I:$I,'Bottom-up tagging'!$P:$P,'Analysis of bottom-up tags'!$B104,'Bottom-up tagging'!$E:$E,'Analysis of bottom-up tags'!E$6)</f>
        <v>1781204.8926253945</v>
      </c>
      <c r="F104" s="22">
        <f>SUMIFS('Bottom-up tagging'!$I:$I,'Bottom-up tagging'!$P:$P,'Analysis of bottom-up tags'!$B104,'Bottom-up tagging'!$E:$E,'Analysis of bottom-up tags'!F$6)</f>
        <v>0</v>
      </c>
      <c r="G104" s="22">
        <f>SUMIFS('Bottom-up tagging'!$I:$I,'Bottom-up tagging'!$P:$P,'Analysis of bottom-up tags'!$B104,'Bottom-up tagging'!$E:$E,'Analysis of bottom-up tags'!G$6)</f>
        <v>122542.25074865809</v>
      </c>
      <c r="H104" s="22">
        <f>SUMIFS('Bottom-up tagging'!$I:$I,'Bottom-up tagging'!$P:$P,'Analysis of bottom-up tags'!$B104,'Bottom-up tagging'!$E:$E,'Analysis of bottom-up tags'!H$6)</f>
        <v>0</v>
      </c>
      <c r="I104" s="22">
        <f>SUMIFS('Bottom-up tagging'!$I:$I,'Bottom-up tagging'!$P:$P,'Analysis of bottom-up tags'!$B104,'Bottom-up tagging'!$E:$E,'Analysis of bottom-up tags'!I$6)</f>
        <v>0</v>
      </c>
      <c r="J104" s="22">
        <f>SUMIFS('Bottom-up tagging'!$I:$I,'Bottom-up tagging'!$P:$P,'Analysis of bottom-up tags'!$B104,'Bottom-up tagging'!$E:$E,'Analysis of bottom-up tags'!J$6)</f>
        <v>66512.189835282537</v>
      </c>
      <c r="K104" s="22">
        <f>SUMIFS('Bottom-up tagging'!$I:$I,'Bottom-up tagging'!$P:$P,'Analysis of bottom-up tags'!$B104,'Bottom-up tagging'!$E:$E,'Analysis of bottom-up tags'!K$6)</f>
        <v>0</v>
      </c>
      <c r="L104" s="22">
        <f>SUMIFS('Bottom-up tagging'!$I:$I,'Bottom-up tagging'!$P:$P,'Analysis of bottom-up tags'!$B104,'Bottom-up tagging'!$E:$E,'Analysis of bottom-up tags'!L$6)</f>
        <v>0</v>
      </c>
      <c r="N104" s="101">
        <f t="shared" si="104"/>
        <v>0</v>
      </c>
      <c r="O104" s="101">
        <f t="shared" si="105"/>
        <v>0</v>
      </c>
      <c r="P104" s="101">
        <f t="shared" si="106"/>
        <v>0.23105943381649105</v>
      </c>
      <c r="Q104" s="101">
        <f t="shared" si="107"/>
        <v>0</v>
      </c>
      <c r="R104" s="101">
        <f t="shared" si="108"/>
        <v>3.0111075046167961E-3</v>
      </c>
      <c r="S104" s="101">
        <f t="shared" si="109"/>
        <v>0</v>
      </c>
      <c r="T104" s="101">
        <f t="shared" si="110"/>
        <v>0</v>
      </c>
      <c r="U104" s="101">
        <f t="shared" si="111"/>
        <v>3.1905104628664514E-4</v>
      </c>
      <c r="V104" s="101">
        <f t="shared" si="112"/>
        <v>0</v>
      </c>
      <c r="W104" s="101">
        <f t="shared" si="113"/>
        <v>0</v>
      </c>
      <c r="X104" s="101"/>
    </row>
    <row r="105" spans="2:24">
      <c r="B105" s="64" t="s">
        <v>10961</v>
      </c>
      <c r="C105" s="22">
        <f>SUMIFS('Bottom-up tagging'!$I:$I,'Bottom-up tagging'!$P:$P,'Analysis of bottom-up tags'!$B105,'Bottom-up tagging'!$E:$E,'Analysis of bottom-up tags'!C$6)</f>
        <v>0</v>
      </c>
      <c r="D105" s="22">
        <f>SUMIFS('Bottom-up tagging'!$I:$I,'Bottom-up tagging'!$P:$P,'Analysis of bottom-up tags'!$B105,'Bottom-up tagging'!$E:$E,'Analysis of bottom-up tags'!D$6)</f>
        <v>0</v>
      </c>
      <c r="E105" s="22">
        <f>SUMIFS('Bottom-up tagging'!$I:$I,'Bottom-up tagging'!$P:$P,'Analysis of bottom-up tags'!$B105,'Bottom-up tagging'!$E:$E,'Analysis of bottom-up tags'!E$6)</f>
        <v>0</v>
      </c>
      <c r="F105" s="22">
        <f>SUMIFS('Bottom-up tagging'!$I:$I,'Bottom-up tagging'!$P:$P,'Analysis of bottom-up tags'!$B105,'Bottom-up tagging'!$E:$E,'Analysis of bottom-up tags'!F$6)</f>
        <v>0</v>
      </c>
      <c r="G105" s="22">
        <f>SUMIFS('Bottom-up tagging'!$I:$I,'Bottom-up tagging'!$P:$P,'Analysis of bottom-up tags'!$B105,'Bottom-up tagging'!$E:$E,'Analysis of bottom-up tags'!G$6)</f>
        <v>0</v>
      </c>
      <c r="H105" s="22">
        <f>SUMIFS('Bottom-up tagging'!$I:$I,'Bottom-up tagging'!$P:$P,'Analysis of bottom-up tags'!$B105,'Bottom-up tagging'!$E:$E,'Analysis of bottom-up tags'!H$6)</f>
        <v>0</v>
      </c>
      <c r="I105" s="22">
        <f>SUMIFS('Bottom-up tagging'!$I:$I,'Bottom-up tagging'!$P:$P,'Analysis of bottom-up tags'!$B105,'Bottom-up tagging'!$E:$E,'Analysis of bottom-up tags'!I$6)</f>
        <v>0</v>
      </c>
      <c r="J105" s="22">
        <f>SUMIFS('Bottom-up tagging'!$I:$I,'Bottom-up tagging'!$P:$P,'Analysis of bottom-up tags'!$B105,'Bottom-up tagging'!$E:$E,'Analysis of bottom-up tags'!J$6)</f>
        <v>0</v>
      </c>
      <c r="K105" s="22">
        <f>SUMIFS('Bottom-up tagging'!$I:$I,'Bottom-up tagging'!$P:$P,'Analysis of bottom-up tags'!$B105,'Bottom-up tagging'!$E:$E,'Analysis of bottom-up tags'!K$6)</f>
        <v>0</v>
      </c>
      <c r="L105" s="22">
        <f>SUMIFS('Bottom-up tagging'!$I:$I,'Bottom-up tagging'!$P:$P,'Analysis of bottom-up tags'!$B105,'Bottom-up tagging'!$E:$E,'Analysis of bottom-up tags'!L$6)</f>
        <v>1686709.2140146377</v>
      </c>
      <c r="N105" s="101">
        <f t="shared" si="104"/>
        <v>0</v>
      </c>
      <c r="O105" s="101">
        <f t="shared" si="105"/>
        <v>0</v>
      </c>
      <c r="P105" s="101">
        <f t="shared" si="106"/>
        <v>0</v>
      </c>
      <c r="Q105" s="101">
        <f t="shared" si="107"/>
        <v>0</v>
      </c>
      <c r="R105" s="101">
        <f t="shared" si="108"/>
        <v>0</v>
      </c>
      <c r="S105" s="101">
        <f t="shared" si="109"/>
        <v>0</v>
      </c>
      <c r="T105" s="101">
        <f t="shared" si="110"/>
        <v>0</v>
      </c>
      <c r="U105" s="101">
        <f t="shared" si="111"/>
        <v>0</v>
      </c>
      <c r="V105" s="101">
        <f t="shared" si="112"/>
        <v>0</v>
      </c>
      <c r="W105" s="101">
        <f t="shared" si="113"/>
        <v>6.2340727659091263E-3</v>
      </c>
      <c r="X105" s="101"/>
    </row>
    <row r="106" spans="2:24">
      <c r="B106" s="64" t="s">
        <v>10848</v>
      </c>
      <c r="C106" s="22">
        <f>SUMIFS('Bottom-up tagging'!$I:$I,'Bottom-up tagging'!$P:$P,'Analysis of bottom-up tags'!$B106,'Bottom-up tagging'!$E:$E,'Analysis of bottom-up tags'!C$6)</f>
        <v>0</v>
      </c>
      <c r="D106" s="22">
        <f>SUMIFS('Bottom-up tagging'!$I:$I,'Bottom-up tagging'!$P:$P,'Analysis of bottom-up tags'!$B106,'Bottom-up tagging'!$E:$E,'Analysis of bottom-up tags'!D$6)</f>
        <v>0</v>
      </c>
      <c r="E106" s="22">
        <f>SUMIFS('Bottom-up tagging'!$I:$I,'Bottom-up tagging'!$P:$P,'Analysis of bottom-up tags'!$B106,'Bottom-up tagging'!$E:$E,'Analysis of bottom-up tags'!E$6)</f>
        <v>0</v>
      </c>
      <c r="F106" s="22">
        <f>SUMIFS('Bottom-up tagging'!$I:$I,'Bottom-up tagging'!$P:$P,'Analysis of bottom-up tags'!$B106,'Bottom-up tagging'!$E:$E,'Analysis of bottom-up tags'!F$6)</f>
        <v>0</v>
      </c>
      <c r="G106" s="22">
        <f>SUMIFS('Bottom-up tagging'!$I:$I,'Bottom-up tagging'!$P:$P,'Analysis of bottom-up tags'!$B106,'Bottom-up tagging'!$E:$E,'Analysis of bottom-up tags'!G$6)</f>
        <v>0</v>
      </c>
      <c r="H106" s="22">
        <f>SUMIFS('Bottom-up tagging'!$I:$I,'Bottom-up tagging'!$P:$P,'Analysis of bottom-up tags'!$B106,'Bottom-up tagging'!$E:$E,'Analysis of bottom-up tags'!H$6)</f>
        <v>0</v>
      </c>
      <c r="I106" s="22">
        <f>SUMIFS('Bottom-up tagging'!$I:$I,'Bottom-up tagging'!$P:$P,'Analysis of bottom-up tags'!$B106,'Bottom-up tagging'!$E:$E,'Analysis of bottom-up tags'!I$6)</f>
        <v>0</v>
      </c>
      <c r="J106" s="22">
        <f>SUMIFS('Bottom-up tagging'!$I:$I,'Bottom-up tagging'!$P:$P,'Analysis of bottom-up tags'!$B106,'Bottom-up tagging'!$E:$E,'Analysis of bottom-up tags'!J$6)</f>
        <v>0</v>
      </c>
      <c r="K106" s="22">
        <f>SUMIFS('Bottom-up tagging'!$I:$I,'Bottom-up tagging'!$P:$P,'Analysis of bottom-up tags'!$B106,'Bottom-up tagging'!$E:$E,'Analysis of bottom-up tags'!K$6)</f>
        <v>874600.16195076192</v>
      </c>
      <c r="L106" s="22">
        <f>SUMIFS('Bottom-up tagging'!$I:$I,'Bottom-up tagging'!$P:$P,'Analysis of bottom-up tags'!$B106,'Bottom-up tagging'!$E:$E,'Analysis of bottom-up tags'!L$6)</f>
        <v>0</v>
      </c>
      <c r="N106" s="101">
        <f t="shared" si="104"/>
        <v>0</v>
      </c>
      <c r="O106" s="101">
        <f t="shared" si="105"/>
        <v>0</v>
      </c>
      <c r="P106" s="101">
        <f t="shared" si="106"/>
        <v>0</v>
      </c>
      <c r="Q106" s="101">
        <f t="shared" si="107"/>
        <v>0</v>
      </c>
      <c r="R106" s="101">
        <f t="shared" si="108"/>
        <v>0</v>
      </c>
      <c r="S106" s="101">
        <f t="shared" si="109"/>
        <v>0</v>
      </c>
      <c r="T106" s="101">
        <f t="shared" si="110"/>
        <v>0</v>
      </c>
      <c r="U106" s="101">
        <f t="shared" si="111"/>
        <v>0</v>
      </c>
      <c r="V106" s="101">
        <f t="shared" si="112"/>
        <v>8.0139382878056118E-4</v>
      </c>
      <c r="W106" s="101">
        <f t="shared" si="113"/>
        <v>0</v>
      </c>
      <c r="X106" s="101"/>
    </row>
    <row r="107" spans="2:24">
      <c r="B107" s="64" t="s">
        <v>10728</v>
      </c>
      <c r="C107" s="22">
        <f>SUMIFS('Bottom-up tagging'!$I:$I,'Bottom-up tagging'!$P:$P,'Analysis of bottom-up tags'!$B107,'Bottom-up tagging'!$E:$E,'Analysis of bottom-up tags'!C$6)</f>
        <v>0</v>
      </c>
      <c r="D107" s="22">
        <f>SUMIFS('Bottom-up tagging'!$I:$I,'Bottom-up tagging'!$P:$P,'Analysis of bottom-up tags'!$B107,'Bottom-up tagging'!$E:$E,'Analysis of bottom-up tags'!D$6)</f>
        <v>0</v>
      </c>
      <c r="E107" s="22">
        <f>SUMIFS('Bottom-up tagging'!$I:$I,'Bottom-up tagging'!$P:$P,'Analysis of bottom-up tags'!$B107,'Bottom-up tagging'!$E:$E,'Analysis of bottom-up tags'!E$6)</f>
        <v>0</v>
      </c>
      <c r="F107" s="22">
        <f>SUMIFS('Bottom-up tagging'!$I:$I,'Bottom-up tagging'!$P:$P,'Analysis of bottom-up tags'!$B107,'Bottom-up tagging'!$E:$E,'Analysis of bottom-up tags'!F$6)</f>
        <v>0</v>
      </c>
      <c r="G107" s="22">
        <f>SUMIFS('Bottom-up tagging'!$I:$I,'Bottom-up tagging'!$P:$P,'Analysis of bottom-up tags'!$B107,'Bottom-up tagging'!$E:$E,'Analysis of bottom-up tags'!G$6)</f>
        <v>0</v>
      </c>
      <c r="H107" s="22">
        <f>SUMIFS('Bottom-up tagging'!$I:$I,'Bottom-up tagging'!$P:$P,'Analysis of bottom-up tags'!$B107,'Bottom-up tagging'!$E:$E,'Analysis of bottom-up tags'!H$6)</f>
        <v>0</v>
      </c>
      <c r="I107" s="22">
        <f>SUMIFS('Bottom-up tagging'!$I:$I,'Bottom-up tagging'!$P:$P,'Analysis of bottom-up tags'!$B107,'Bottom-up tagging'!$E:$E,'Analysis of bottom-up tags'!I$6)</f>
        <v>0</v>
      </c>
      <c r="J107" s="22">
        <f>SUMIFS('Bottom-up tagging'!$I:$I,'Bottom-up tagging'!$P:$P,'Analysis of bottom-up tags'!$B107,'Bottom-up tagging'!$E:$E,'Analysis of bottom-up tags'!J$6)</f>
        <v>0</v>
      </c>
      <c r="K107" s="22">
        <f>SUMIFS('Bottom-up tagging'!$I:$I,'Bottom-up tagging'!$P:$P,'Analysis of bottom-up tags'!$B107,'Bottom-up tagging'!$E:$E,'Analysis of bottom-up tags'!K$6)</f>
        <v>0</v>
      </c>
      <c r="L107" s="22">
        <f>SUMIFS('Bottom-up tagging'!$I:$I,'Bottom-up tagging'!$P:$P,'Analysis of bottom-up tags'!$B107,'Bottom-up tagging'!$E:$E,'Analysis of bottom-up tags'!L$6)</f>
        <v>700003.47085839673</v>
      </c>
      <c r="N107" s="101">
        <f t="shared" si="104"/>
        <v>0</v>
      </c>
      <c r="O107" s="101">
        <f t="shared" si="105"/>
        <v>0</v>
      </c>
      <c r="P107" s="101">
        <f t="shared" si="106"/>
        <v>0</v>
      </c>
      <c r="Q107" s="101">
        <f t="shared" si="107"/>
        <v>0</v>
      </c>
      <c r="R107" s="101">
        <f t="shared" si="108"/>
        <v>0</v>
      </c>
      <c r="S107" s="101">
        <f t="shared" si="109"/>
        <v>0</v>
      </c>
      <c r="T107" s="101">
        <f t="shared" si="110"/>
        <v>0</v>
      </c>
      <c r="U107" s="101">
        <f t="shared" si="111"/>
        <v>0</v>
      </c>
      <c r="V107" s="101">
        <f t="shared" si="112"/>
        <v>0</v>
      </c>
      <c r="W107" s="101">
        <f t="shared" si="113"/>
        <v>2.5872109652697508E-3</v>
      </c>
      <c r="X107" s="101"/>
    </row>
    <row r="108" spans="2:24">
      <c r="B108" s="64" t="s">
        <v>10861</v>
      </c>
      <c r="C108" s="22">
        <f>SUMIFS('Bottom-up tagging'!$I:$I,'Bottom-up tagging'!$P:$P,'Analysis of bottom-up tags'!$B108,'Bottom-up tagging'!$E:$E,'Analysis of bottom-up tags'!C$6)</f>
        <v>0</v>
      </c>
      <c r="D108" s="22">
        <f>SUMIFS('Bottom-up tagging'!$I:$I,'Bottom-up tagging'!$P:$P,'Analysis of bottom-up tags'!$B108,'Bottom-up tagging'!$E:$E,'Analysis of bottom-up tags'!D$6)</f>
        <v>0</v>
      </c>
      <c r="E108" s="22">
        <f>SUMIFS('Bottom-up tagging'!$I:$I,'Bottom-up tagging'!$P:$P,'Analysis of bottom-up tags'!$B108,'Bottom-up tagging'!$E:$E,'Analysis of bottom-up tags'!E$6)</f>
        <v>0</v>
      </c>
      <c r="F108" s="22">
        <f>SUMIFS('Bottom-up tagging'!$I:$I,'Bottom-up tagging'!$P:$P,'Analysis of bottom-up tags'!$B108,'Bottom-up tagging'!$E:$E,'Analysis of bottom-up tags'!F$6)</f>
        <v>0</v>
      </c>
      <c r="G108" s="22">
        <f>SUMIFS('Bottom-up tagging'!$I:$I,'Bottom-up tagging'!$P:$P,'Analysis of bottom-up tags'!$B108,'Bottom-up tagging'!$E:$E,'Analysis of bottom-up tags'!G$6)</f>
        <v>0</v>
      </c>
      <c r="H108" s="22">
        <f>SUMIFS('Bottom-up tagging'!$I:$I,'Bottom-up tagging'!$P:$P,'Analysis of bottom-up tags'!$B108,'Bottom-up tagging'!$E:$E,'Analysis of bottom-up tags'!H$6)</f>
        <v>0</v>
      </c>
      <c r="I108" s="22">
        <f>SUMIFS('Bottom-up tagging'!$I:$I,'Bottom-up tagging'!$P:$P,'Analysis of bottom-up tags'!$B108,'Bottom-up tagging'!$E:$E,'Analysis of bottom-up tags'!I$6)</f>
        <v>0</v>
      </c>
      <c r="J108" s="22">
        <f>SUMIFS('Bottom-up tagging'!$I:$I,'Bottom-up tagging'!$P:$P,'Analysis of bottom-up tags'!$B108,'Bottom-up tagging'!$E:$E,'Analysis of bottom-up tags'!J$6)</f>
        <v>0</v>
      </c>
      <c r="K108" s="22">
        <f>SUMIFS('Bottom-up tagging'!$I:$I,'Bottom-up tagging'!$P:$P,'Analysis of bottom-up tags'!$B108,'Bottom-up tagging'!$E:$E,'Analysis of bottom-up tags'!K$6)</f>
        <v>0</v>
      </c>
      <c r="L108" s="22">
        <f>SUMIFS('Bottom-up tagging'!$I:$I,'Bottom-up tagging'!$P:$P,'Analysis of bottom-up tags'!$B108,'Bottom-up tagging'!$E:$E,'Analysis of bottom-up tags'!L$6)</f>
        <v>0</v>
      </c>
      <c r="N108" s="101">
        <f t="shared" si="104"/>
        <v>0</v>
      </c>
      <c r="O108" s="101">
        <f t="shared" si="105"/>
        <v>0</v>
      </c>
      <c r="P108" s="101">
        <f t="shared" si="106"/>
        <v>0</v>
      </c>
      <c r="Q108" s="101">
        <f t="shared" si="107"/>
        <v>0</v>
      </c>
      <c r="R108" s="101">
        <f t="shared" si="108"/>
        <v>0</v>
      </c>
      <c r="S108" s="101">
        <f t="shared" si="109"/>
        <v>0</v>
      </c>
      <c r="T108" s="101">
        <f t="shared" si="110"/>
        <v>0</v>
      </c>
      <c r="U108" s="101">
        <f t="shared" si="111"/>
        <v>0</v>
      </c>
      <c r="V108" s="101">
        <f t="shared" si="112"/>
        <v>0</v>
      </c>
      <c r="W108" s="101">
        <f t="shared" si="113"/>
        <v>0</v>
      </c>
      <c r="X108" s="101"/>
    </row>
    <row r="109" spans="2:24">
      <c r="B109" s="64" t="s">
        <v>10780</v>
      </c>
      <c r="C109" s="22">
        <f>SUMIFS('Bottom-up tagging'!$I:$I,'Bottom-up tagging'!$P:$P,'Analysis of bottom-up tags'!$B109,'Bottom-up tagging'!$E:$E,'Analysis of bottom-up tags'!C$6)</f>
        <v>0</v>
      </c>
      <c r="D109" s="22">
        <f>SUMIFS('Bottom-up tagging'!$I:$I,'Bottom-up tagging'!$P:$P,'Analysis of bottom-up tags'!$B109,'Bottom-up tagging'!$E:$E,'Analysis of bottom-up tags'!D$6)</f>
        <v>0</v>
      </c>
      <c r="E109" s="22">
        <f>SUMIFS('Bottom-up tagging'!$I:$I,'Bottom-up tagging'!$P:$P,'Analysis of bottom-up tags'!$B109,'Bottom-up tagging'!$E:$E,'Analysis of bottom-up tags'!E$6)</f>
        <v>0</v>
      </c>
      <c r="F109" s="22">
        <f>SUMIFS('Bottom-up tagging'!$I:$I,'Bottom-up tagging'!$P:$P,'Analysis of bottom-up tags'!$B109,'Bottom-up tagging'!$E:$E,'Analysis of bottom-up tags'!F$6)</f>
        <v>0</v>
      </c>
      <c r="G109" s="22">
        <f>SUMIFS('Bottom-up tagging'!$I:$I,'Bottom-up tagging'!$P:$P,'Analysis of bottom-up tags'!$B109,'Bottom-up tagging'!$E:$E,'Analysis of bottom-up tags'!G$6)</f>
        <v>0</v>
      </c>
      <c r="H109" s="22">
        <f>SUMIFS('Bottom-up tagging'!$I:$I,'Bottom-up tagging'!$P:$P,'Analysis of bottom-up tags'!$B109,'Bottom-up tagging'!$E:$E,'Analysis of bottom-up tags'!H$6)</f>
        <v>0</v>
      </c>
      <c r="I109" s="22">
        <f>SUMIFS('Bottom-up tagging'!$I:$I,'Bottom-up tagging'!$P:$P,'Analysis of bottom-up tags'!$B109,'Bottom-up tagging'!$E:$E,'Analysis of bottom-up tags'!I$6)</f>
        <v>32837.863083854318</v>
      </c>
      <c r="J109" s="22">
        <f>SUMIFS('Bottom-up tagging'!$I:$I,'Bottom-up tagging'!$P:$P,'Analysis of bottom-up tags'!$B109,'Bottom-up tagging'!$E:$E,'Analysis of bottom-up tags'!J$6)</f>
        <v>75769.937728185629</v>
      </c>
      <c r="K109" s="22">
        <f>SUMIFS('Bottom-up tagging'!$I:$I,'Bottom-up tagging'!$P:$P,'Analysis of bottom-up tags'!$B109,'Bottom-up tagging'!$E:$E,'Analysis of bottom-up tags'!K$6)</f>
        <v>76822.36606167171</v>
      </c>
      <c r="L109" s="22">
        <f>SUMIFS('Bottom-up tagging'!$I:$I,'Bottom-up tagging'!$P:$P,'Analysis of bottom-up tags'!$B109,'Bottom-up tagging'!$E:$E,'Analysis of bottom-up tags'!L$6)</f>
        <v>0</v>
      </c>
      <c r="N109" s="101">
        <f t="shared" si="104"/>
        <v>0</v>
      </c>
      <c r="O109" s="101">
        <f t="shared" si="105"/>
        <v>0</v>
      </c>
      <c r="P109" s="101">
        <f t="shared" si="106"/>
        <v>0</v>
      </c>
      <c r="Q109" s="101">
        <f t="shared" si="107"/>
        <v>0</v>
      </c>
      <c r="R109" s="101">
        <f t="shared" si="108"/>
        <v>0</v>
      </c>
      <c r="S109" s="101">
        <f t="shared" si="109"/>
        <v>0</v>
      </c>
      <c r="T109" s="101">
        <f t="shared" si="110"/>
        <v>8.969764098214493E-5</v>
      </c>
      <c r="U109" s="101">
        <f t="shared" si="111"/>
        <v>3.6345935939140894E-4</v>
      </c>
      <c r="V109" s="101">
        <f t="shared" si="112"/>
        <v>7.0392132030740358E-5</v>
      </c>
      <c r="W109" s="101">
        <f t="shared" si="113"/>
        <v>0</v>
      </c>
      <c r="X109" s="101"/>
    </row>
    <row r="110" spans="2:24">
      <c r="B110" s="64" t="s">
        <v>10857</v>
      </c>
      <c r="C110" s="22">
        <f>SUMIFS('Bottom-up tagging'!$I:$I,'Bottom-up tagging'!$P:$P,'Analysis of bottom-up tags'!$B110,'Bottom-up tagging'!$E:$E,'Analysis of bottom-up tags'!C$6)</f>
        <v>0</v>
      </c>
      <c r="D110" s="22">
        <f>SUMIFS('Bottom-up tagging'!$I:$I,'Bottom-up tagging'!$P:$P,'Analysis of bottom-up tags'!$B110,'Bottom-up tagging'!$E:$E,'Analysis of bottom-up tags'!D$6)</f>
        <v>0</v>
      </c>
      <c r="E110" s="22">
        <f>SUMIFS('Bottom-up tagging'!$I:$I,'Bottom-up tagging'!$P:$P,'Analysis of bottom-up tags'!$B110,'Bottom-up tagging'!$E:$E,'Analysis of bottom-up tags'!E$6)</f>
        <v>0</v>
      </c>
      <c r="F110" s="22">
        <f>SUMIFS('Bottom-up tagging'!$I:$I,'Bottom-up tagging'!$P:$P,'Analysis of bottom-up tags'!$B110,'Bottom-up tagging'!$E:$E,'Analysis of bottom-up tags'!F$6)</f>
        <v>0</v>
      </c>
      <c r="G110" s="22">
        <f>SUMIFS('Bottom-up tagging'!$I:$I,'Bottom-up tagging'!$P:$P,'Analysis of bottom-up tags'!$B110,'Bottom-up tagging'!$E:$E,'Analysis of bottom-up tags'!G$6)</f>
        <v>0</v>
      </c>
      <c r="H110" s="22">
        <f>SUMIFS('Bottom-up tagging'!$I:$I,'Bottom-up tagging'!$P:$P,'Analysis of bottom-up tags'!$B110,'Bottom-up tagging'!$E:$E,'Analysis of bottom-up tags'!H$6)</f>
        <v>0</v>
      </c>
      <c r="I110" s="22">
        <f>SUMIFS('Bottom-up tagging'!$I:$I,'Bottom-up tagging'!$P:$P,'Analysis of bottom-up tags'!$B110,'Bottom-up tagging'!$E:$E,'Analysis of bottom-up tags'!I$6)</f>
        <v>65518.525007271208</v>
      </c>
      <c r="J110" s="22">
        <f>SUMIFS('Bottom-up tagging'!$I:$I,'Bottom-up tagging'!$P:$P,'Analysis of bottom-up tags'!$B110,'Bottom-up tagging'!$E:$E,'Analysis of bottom-up tags'!J$6)</f>
        <v>0</v>
      </c>
      <c r="K110" s="22">
        <f>SUMIFS('Bottom-up tagging'!$I:$I,'Bottom-up tagging'!$P:$P,'Analysis of bottom-up tags'!$B110,'Bottom-up tagging'!$E:$E,'Analysis of bottom-up tags'!K$6)</f>
        <v>0</v>
      </c>
      <c r="L110" s="22">
        <f>SUMIFS('Bottom-up tagging'!$I:$I,'Bottom-up tagging'!$P:$P,'Analysis of bottom-up tags'!$B110,'Bottom-up tagging'!$E:$E,'Analysis of bottom-up tags'!L$6)</f>
        <v>0</v>
      </c>
      <c r="N110" s="101">
        <f t="shared" si="104"/>
        <v>0</v>
      </c>
      <c r="O110" s="101">
        <f t="shared" si="105"/>
        <v>0</v>
      </c>
      <c r="P110" s="101">
        <f t="shared" si="106"/>
        <v>0</v>
      </c>
      <c r="Q110" s="101">
        <f t="shared" si="107"/>
        <v>0</v>
      </c>
      <c r="R110" s="101">
        <f t="shared" si="108"/>
        <v>0</v>
      </c>
      <c r="S110" s="101">
        <f t="shared" si="109"/>
        <v>0</v>
      </c>
      <c r="T110" s="101">
        <f t="shared" si="110"/>
        <v>1.7896588212134375E-4</v>
      </c>
      <c r="U110" s="101">
        <f t="shared" si="111"/>
        <v>0</v>
      </c>
      <c r="V110" s="101">
        <f t="shared" si="112"/>
        <v>0</v>
      </c>
      <c r="W110" s="101">
        <f t="shared" si="113"/>
        <v>0</v>
      </c>
      <c r="X110" s="101"/>
    </row>
    <row r="111" spans="2:24">
      <c r="B111" s="64" t="s">
        <v>10966</v>
      </c>
      <c r="C111" s="22">
        <f>SUMIFS('Bottom-up tagging'!$I:$I,'Bottom-up tagging'!$P:$P,'Analysis of bottom-up tags'!$B111,'Bottom-up tagging'!$E:$E,'Analysis of bottom-up tags'!C$6)</f>
        <v>0</v>
      </c>
      <c r="D111" s="22">
        <f>SUMIFS('Bottom-up tagging'!$I:$I,'Bottom-up tagging'!$P:$P,'Analysis of bottom-up tags'!$B111,'Bottom-up tagging'!$E:$E,'Analysis of bottom-up tags'!D$6)</f>
        <v>0</v>
      </c>
      <c r="E111" s="22">
        <f>SUMIFS('Bottom-up tagging'!$I:$I,'Bottom-up tagging'!$P:$P,'Analysis of bottom-up tags'!$B111,'Bottom-up tagging'!$E:$E,'Analysis of bottom-up tags'!E$6)</f>
        <v>0</v>
      </c>
      <c r="F111" s="22">
        <f>SUMIFS('Bottom-up tagging'!$I:$I,'Bottom-up tagging'!$P:$P,'Analysis of bottom-up tags'!$B111,'Bottom-up tagging'!$E:$E,'Analysis of bottom-up tags'!F$6)</f>
        <v>0</v>
      </c>
      <c r="G111" s="22">
        <f>SUMIFS('Bottom-up tagging'!$I:$I,'Bottom-up tagging'!$P:$P,'Analysis of bottom-up tags'!$B111,'Bottom-up tagging'!$E:$E,'Analysis of bottom-up tags'!G$6)</f>
        <v>0</v>
      </c>
      <c r="H111" s="22">
        <f>SUMIFS('Bottom-up tagging'!$I:$I,'Bottom-up tagging'!$P:$P,'Analysis of bottom-up tags'!$B111,'Bottom-up tagging'!$E:$E,'Analysis of bottom-up tags'!H$6)</f>
        <v>0</v>
      </c>
      <c r="I111" s="22">
        <f>SUMIFS('Bottom-up tagging'!$I:$I,'Bottom-up tagging'!$P:$P,'Analysis of bottom-up tags'!$B111,'Bottom-up tagging'!$E:$E,'Analysis of bottom-up tags'!I$6)</f>
        <v>0</v>
      </c>
      <c r="J111" s="22">
        <f>SUMIFS('Bottom-up tagging'!$I:$I,'Bottom-up tagging'!$P:$P,'Analysis of bottom-up tags'!$B111,'Bottom-up tagging'!$E:$E,'Analysis of bottom-up tags'!J$6)</f>
        <v>23186.207757183041</v>
      </c>
      <c r="K111" s="22">
        <f>SUMIFS('Bottom-up tagging'!$I:$I,'Bottom-up tagging'!$P:$P,'Analysis of bottom-up tags'!$B111,'Bottom-up tagging'!$E:$E,'Analysis of bottom-up tags'!K$6)</f>
        <v>0</v>
      </c>
      <c r="L111" s="22">
        <f>SUMIFS('Bottom-up tagging'!$I:$I,'Bottom-up tagging'!$P:$P,'Analysis of bottom-up tags'!$B111,'Bottom-up tagging'!$E:$E,'Analysis of bottom-up tags'!L$6)</f>
        <v>58834.010875273656</v>
      </c>
      <c r="N111" s="101">
        <f t="shared" si="104"/>
        <v>0</v>
      </c>
      <c r="O111" s="101">
        <f t="shared" si="105"/>
        <v>0</v>
      </c>
      <c r="P111" s="101">
        <f t="shared" si="106"/>
        <v>0</v>
      </c>
      <c r="Q111" s="101">
        <f t="shared" si="107"/>
        <v>0</v>
      </c>
      <c r="R111" s="101">
        <f t="shared" si="108"/>
        <v>0</v>
      </c>
      <c r="S111" s="101">
        <f t="shared" si="109"/>
        <v>0</v>
      </c>
      <c r="T111" s="101">
        <f t="shared" si="110"/>
        <v>0</v>
      </c>
      <c r="U111" s="101">
        <f t="shared" si="111"/>
        <v>1.1122147478032066E-4</v>
      </c>
      <c r="V111" s="101">
        <f t="shared" si="112"/>
        <v>0</v>
      </c>
      <c r="W111" s="101">
        <f t="shared" si="113"/>
        <v>2.1745034761134701E-4</v>
      </c>
      <c r="X111" s="101"/>
    </row>
    <row r="112" spans="2:24">
      <c r="B112" s="64" t="s">
        <v>10850</v>
      </c>
      <c r="C112" s="22">
        <f>SUMIFS('Bottom-up tagging'!$I:$I,'Bottom-up tagging'!$P:$P,'Analysis of bottom-up tags'!$B112,'Bottom-up tagging'!$E:$E,'Analysis of bottom-up tags'!C$6)</f>
        <v>0</v>
      </c>
      <c r="D112" s="22">
        <f>SUMIFS('Bottom-up tagging'!$I:$I,'Bottom-up tagging'!$P:$P,'Analysis of bottom-up tags'!$B112,'Bottom-up tagging'!$E:$E,'Analysis of bottom-up tags'!D$6)</f>
        <v>0</v>
      </c>
      <c r="E112" s="22">
        <f>SUMIFS('Bottom-up tagging'!$I:$I,'Bottom-up tagging'!$P:$P,'Analysis of bottom-up tags'!$B112,'Bottom-up tagging'!$E:$E,'Analysis of bottom-up tags'!E$6)</f>
        <v>38358.910413892125</v>
      </c>
      <c r="F112" s="22">
        <f>SUMIFS('Bottom-up tagging'!$I:$I,'Bottom-up tagging'!$P:$P,'Analysis of bottom-up tags'!$B112,'Bottom-up tagging'!$E:$E,'Analysis of bottom-up tags'!F$6)</f>
        <v>0</v>
      </c>
      <c r="G112" s="22">
        <f>SUMIFS('Bottom-up tagging'!$I:$I,'Bottom-up tagging'!$P:$P,'Analysis of bottom-up tags'!$B112,'Bottom-up tagging'!$E:$E,'Analysis of bottom-up tags'!G$6)</f>
        <v>0</v>
      </c>
      <c r="H112" s="22">
        <f>SUMIFS('Bottom-up tagging'!$I:$I,'Bottom-up tagging'!$P:$P,'Analysis of bottom-up tags'!$B112,'Bottom-up tagging'!$E:$E,'Analysis of bottom-up tags'!H$6)</f>
        <v>0</v>
      </c>
      <c r="I112" s="22">
        <f>SUMIFS('Bottom-up tagging'!$I:$I,'Bottom-up tagging'!$P:$P,'Analysis of bottom-up tags'!$B112,'Bottom-up tagging'!$E:$E,'Analysis of bottom-up tags'!I$6)</f>
        <v>0</v>
      </c>
      <c r="J112" s="22">
        <f>SUMIFS('Bottom-up tagging'!$I:$I,'Bottom-up tagging'!$P:$P,'Analysis of bottom-up tags'!$B112,'Bottom-up tagging'!$E:$E,'Analysis of bottom-up tags'!J$6)</f>
        <v>0</v>
      </c>
      <c r="K112" s="22">
        <f>SUMIFS('Bottom-up tagging'!$I:$I,'Bottom-up tagging'!$P:$P,'Analysis of bottom-up tags'!$B112,'Bottom-up tagging'!$E:$E,'Analysis of bottom-up tags'!K$6)</f>
        <v>0</v>
      </c>
      <c r="L112" s="22">
        <f>SUMIFS('Bottom-up tagging'!$I:$I,'Bottom-up tagging'!$P:$P,'Analysis of bottom-up tags'!$B112,'Bottom-up tagging'!$E:$E,'Analysis of bottom-up tags'!L$6)</f>
        <v>0</v>
      </c>
      <c r="N112" s="101">
        <f t="shared" si="104"/>
        <v>0</v>
      </c>
      <c r="O112" s="101">
        <f t="shared" si="105"/>
        <v>0</v>
      </c>
      <c r="P112" s="101">
        <f t="shared" si="106"/>
        <v>4.975950918811806E-3</v>
      </c>
      <c r="Q112" s="101">
        <f t="shared" si="107"/>
        <v>0</v>
      </c>
      <c r="R112" s="101">
        <f t="shared" si="108"/>
        <v>0</v>
      </c>
      <c r="S112" s="101">
        <f t="shared" si="109"/>
        <v>0</v>
      </c>
      <c r="T112" s="101">
        <f t="shared" si="110"/>
        <v>0</v>
      </c>
      <c r="U112" s="101">
        <f t="shared" si="111"/>
        <v>0</v>
      </c>
      <c r="V112" s="101">
        <f t="shared" si="112"/>
        <v>0</v>
      </c>
      <c r="W112" s="101">
        <f t="shared" si="113"/>
        <v>0</v>
      </c>
      <c r="X112" s="101"/>
    </row>
    <row r="113" spans="2:23">
      <c r="B113" s="175" t="s">
        <v>10737</v>
      </c>
      <c r="C113" s="22">
        <f>SUMIFS('Bottom-up tagging'!$I:$I,'Bottom-up tagging'!$P:$P,'Analysis of bottom-up tags'!$B113,'Bottom-up tagging'!$E:$E,'Analysis of bottom-up tags'!C$6)</f>
        <v>0</v>
      </c>
      <c r="D113" s="22">
        <f>SUMIFS('Bottom-up tagging'!$I:$I,'Bottom-up tagging'!$P:$P,'Analysis of bottom-up tags'!$B113,'Bottom-up tagging'!$E:$E,'Analysis of bottom-up tags'!D$6)</f>
        <v>0</v>
      </c>
      <c r="E113" s="22">
        <f>SUMIFS('Bottom-up tagging'!$I:$I,'Bottom-up tagging'!$P:$P,'Analysis of bottom-up tags'!$B113,'Bottom-up tagging'!$E:$E,'Analysis of bottom-up tags'!E$6)</f>
        <v>0</v>
      </c>
      <c r="F113" s="22">
        <f>SUMIFS('Bottom-up tagging'!$I:$I,'Bottom-up tagging'!$P:$P,'Analysis of bottom-up tags'!$B113,'Bottom-up tagging'!$E:$E,'Analysis of bottom-up tags'!F$6)</f>
        <v>0</v>
      </c>
      <c r="G113" s="22">
        <f>SUMIFS('Bottom-up tagging'!$I:$I,'Bottom-up tagging'!$P:$P,'Analysis of bottom-up tags'!$B113,'Bottom-up tagging'!$E:$E,'Analysis of bottom-up tags'!G$6)</f>
        <v>0</v>
      </c>
      <c r="H113" s="22">
        <f>SUMIFS('Bottom-up tagging'!$I:$I,'Bottom-up tagging'!$P:$P,'Analysis of bottom-up tags'!$B113,'Bottom-up tagging'!$E:$E,'Analysis of bottom-up tags'!H$6)</f>
        <v>0</v>
      </c>
      <c r="I113" s="22">
        <f>SUMIFS('Bottom-up tagging'!$I:$I,'Bottom-up tagging'!$P:$P,'Analysis of bottom-up tags'!$B113,'Bottom-up tagging'!$E:$E,'Analysis of bottom-up tags'!I$6)</f>
        <v>0</v>
      </c>
      <c r="J113" s="22">
        <f>SUMIFS('Bottom-up tagging'!$I:$I,'Bottom-up tagging'!$P:$P,'Analysis of bottom-up tags'!$B113,'Bottom-up tagging'!$E:$E,'Analysis of bottom-up tags'!J$6)</f>
        <v>0</v>
      </c>
      <c r="K113" s="22">
        <f>SUMIFS('Bottom-up tagging'!$I:$I,'Bottom-up tagging'!$P:$P,'Analysis of bottom-up tags'!$B113,'Bottom-up tagging'!$E:$E,'Analysis of bottom-up tags'!K$6)</f>
        <v>0</v>
      </c>
      <c r="L113" s="22">
        <f>SUMIFS('Bottom-up tagging'!$I:$I,'Bottom-up tagging'!$P:$P,'Analysis of bottom-up tags'!$B113,'Bottom-up tagging'!$E:$E,'Analysis of bottom-up tags'!L$6)</f>
        <v>0</v>
      </c>
      <c r="N113" s="101">
        <f t="shared" ref="N113:N118" si="114">C113/C$7</f>
        <v>0</v>
      </c>
      <c r="O113" s="101">
        <f t="shared" ref="O113:O118" si="115">D113/D$7</f>
        <v>0</v>
      </c>
      <c r="P113" s="101">
        <f t="shared" ref="P113:P118" si="116">E113/E$7</f>
        <v>0</v>
      </c>
      <c r="Q113" s="101">
        <f t="shared" ref="Q113:Q118" si="117">F113/F$7</f>
        <v>0</v>
      </c>
      <c r="R113" s="101">
        <f t="shared" ref="R113:R118" si="118">G113/G$7</f>
        <v>0</v>
      </c>
      <c r="S113" s="101">
        <f t="shared" ref="S113:S118" si="119">H113/H$7</f>
        <v>0</v>
      </c>
      <c r="T113" s="101">
        <f t="shared" ref="T113:T118" si="120">I113/I$7</f>
        <v>0</v>
      </c>
      <c r="U113" s="101">
        <f t="shared" ref="U113:U118" si="121">J113/J$7</f>
        <v>0</v>
      </c>
      <c r="V113" s="101">
        <f t="shared" ref="V113:V118" si="122">K113/K$7</f>
        <v>0</v>
      </c>
      <c r="W113" s="101">
        <f t="shared" ref="W113:W118" si="123">L113/L$7</f>
        <v>0</v>
      </c>
    </row>
    <row r="114" spans="2:23">
      <c r="B114" s="175" t="s">
        <v>10733</v>
      </c>
      <c r="C114" s="22">
        <f>SUMIFS('Bottom-up tagging'!$I:$I,'Bottom-up tagging'!$P:$P,'Analysis of bottom-up tags'!$B114,'Bottom-up tagging'!$E:$E,'Analysis of bottom-up tags'!C$6)</f>
        <v>0</v>
      </c>
      <c r="D114" s="22">
        <f>SUMIFS('Bottom-up tagging'!$I:$I,'Bottom-up tagging'!$P:$P,'Analysis of bottom-up tags'!$B114,'Bottom-up tagging'!$E:$E,'Analysis of bottom-up tags'!D$6)</f>
        <v>0</v>
      </c>
      <c r="E114" s="22">
        <f>SUMIFS('Bottom-up tagging'!$I:$I,'Bottom-up tagging'!$P:$P,'Analysis of bottom-up tags'!$B114,'Bottom-up tagging'!$E:$E,'Analysis of bottom-up tags'!E$6)</f>
        <v>0</v>
      </c>
      <c r="F114" s="22">
        <f>SUMIFS('Bottom-up tagging'!$I:$I,'Bottom-up tagging'!$P:$P,'Analysis of bottom-up tags'!$B114,'Bottom-up tagging'!$E:$E,'Analysis of bottom-up tags'!F$6)</f>
        <v>0</v>
      </c>
      <c r="G114" s="22">
        <f>SUMIFS('Bottom-up tagging'!$I:$I,'Bottom-up tagging'!$P:$P,'Analysis of bottom-up tags'!$B114,'Bottom-up tagging'!$E:$E,'Analysis of bottom-up tags'!G$6)</f>
        <v>0</v>
      </c>
      <c r="H114" s="22">
        <f>SUMIFS('Bottom-up tagging'!$I:$I,'Bottom-up tagging'!$P:$P,'Analysis of bottom-up tags'!$B114,'Bottom-up tagging'!$E:$E,'Analysis of bottom-up tags'!H$6)</f>
        <v>0</v>
      </c>
      <c r="I114" s="22">
        <f>SUMIFS('Bottom-up tagging'!$I:$I,'Bottom-up tagging'!$P:$P,'Analysis of bottom-up tags'!$B114,'Bottom-up tagging'!$E:$E,'Analysis of bottom-up tags'!I$6)</f>
        <v>0</v>
      </c>
      <c r="J114" s="22">
        <f>SUMIFS('Bottom-up tagging'!$I:$I,'Bottom-up tagging'!$P:$P,'Analysis of bottom-up tags'!$B114,'Bottom-up tagging'!$E:$E,'Analysis of bottom-up tags'!J$6)</f>
        <v>0</v>
      </c>
      <c r="K114" s="22">
        <f>SUMIFS('Bottom-up tagging'!$I:$I,'Bottom-up tagging'!$P:$P,'Analysis of bottom-up tags'!$B114,'Bottom-up tagging'!$E:$E,'Analysis of bottom-up tags'!K$6)</f>
        <v>0</v>
      </c>
      <c r="L114" s="22">
        <f>SUMIFS('Bottom-up tagging'!$I:$I,'Bottom-up tagging'!$P:$P,'Analysis of bottom-up tags'!$B114,'Bottom-up tagging'!$E:$E,'Analysis of bottom-up tags'!L$6)</f>
        <v>0</v>
      </c>
      <c r="N114" s="101">
        <f t="shared" si="114"/>
        <v>0</v>
      </c>
      <c r="O114" s="101">
        <f t="shared" si="115"/>
        <v>0</v>
      </c>
      <c r="P114" s="101">
        <f t="shared" si="116"/>
        <v>0</v>
      </c>
      <c r="Q114" s="101">
        <f t="shared" si="117"/>
        <v>0</v>
      </c>
      <c r="R114" s="101">
        <f t="shared" si="118"/>
        <v>0</v>
      </c>
      <c r="S114" s="101">
        <f t="shared" si="119"/>
        <v>0</v>
      </c>
      <c r="T114" s="101">
        <f t="shared" si="120"/>
        <v>0</v>
      </c>
      <c r="U114" s="101">
        <f t="shared" si="121"/>
        <v>0</v>
      </c>
      <c r="V114" s="101">
        <f t="shared" si="122"/>
        <v>0</v>
      </c>
      <c r="W114" s="101">
        <f t="shared" si="123"/>
        <v>0</v>
      </c>
    </row>
    <row r="115" spans="2:23">
      <c r="B115" s="175" t="s">
        <v>10763</v>
      </c>
      <c r="C115" s="22">
        <f>SUMIFS('Bottom-up tagging'!$I:$I,'Bottom-up tagging'!$P:$P,'Analysis of bottom-up tags'!$B115,'Bottom-up tagging'!$E:$E,'Analysis of bottom-up tags'!C$6)</f>
        <v>0</v>
      </c>
      <c r="D115" s="22">
        <f>SUMIFS('Bottom-up tagging'!$I:$I,'Bottom-up tagging'!$P:$P,'Analysis of bottom-up tags'!$B115,'Bottom-up tagging'!$E:$E,'Analysis of bottom-up tags'!D$6)</f>
        <v>0</v>
      </c>
      <c r="E115" s="22">
        <f>SUMIFS('Bottom-up tagging'!$I:$I,'Bottom-up tagging'!$P:$P,'Analysis of bottom-up tags'!$B115,'Bottom-up tagging'!$E:$E,'Analysis of bottom-up tags'!E$6)</f>
        <v>0</v>
      </c>
      <c r="F115" s="22">
        <f>SUMIFS('Bottom-up tagging'!$I:$I,'Bottom-up tagging'!$P:$P,'Analysis of bottom-up tags'!$B115,'Bottom-up tagging'!$E:$E,'Analysis of bottom-up tags'!F$6)</f>
        <v>0</v>
      </c>
      <c r="G115" s="22">
        <f>SUMIFS('Bottom-up tagging'!$I:$I,'Bottom-up tagging'!$P:$P,'Analysis of bottom-up tags'!$B115,'Bottom-up tagging'!$E:$E,'Analysis of bottom-up tags'!G$6)</f>
        <v>0</v>
      </c>
      <c r="H115" s="22">
        <f>SUMIFS('Bottom-up tagging'!$I:$I,'Bottom-up tagging'!$P:$P,'Analysis of bottom-up tags'!$B115,'Bottom-up tagging'!$E:$E,'Analysis of bottom-up tags'!H$6)</f>
        <v>0</v>
      </c>
      <c r="I115" s="22">
        <f>SUMIFS('Bottom-up tagging'!$I:$I,'Bottom-up tagging'!$P:$P,'Analysis of bottom-up tags'!$B115,'Bottom-up tagging'!$E:$E,'Analysis of bottom-up tags'!I$6)</f>
        <v>0</v>
      </c>
      <c r="J115" s="22">
        <f>SUMIFS('Bottom-up tagging'!$I:$I,'Bottom-up tagging'!$P:$P,'Analysis of bottom-up tags'!$B115,'Bottom-up tagging'!$E:$E,'Analysis of bottom-up tags'!J$6)</f>
        <v>0</v>
      </c>
      <c r="K115" s="22">
        <f>SUMIFS('Bottom-up tagging'!$I:$I,'Bottom-up tagging'!$P:$P,'Analysis of bottom-up tags'!$B115,'Bottom-up tagging'!$E:$E,'Analysis of bottom-up tags'!K$6)</f>
        <v>0</v>
      </c>
      <c r="L115" s="22">
        <f>SUMIFS('Bottom-up tagging'!$I:$I,'Bottom-up tagging'!$P:$P,'Analysis of bottom-up tags'!$B115,'Bottom-up tagging'!$E:$E,'Analysis of bottom-up tags'!L$6)</f>
        <v>0</v>
      </c>
      <c r="N115" s="101">
        <f t="shared" si="114"/>
        <v>0</v>
      </c>
      <c r="O115" s="101">
        <f t="shared" si="115"/>
        <v>0</v>
      </c>
      <c r="P115" s="101">
        <f t="shared" si="116"/>
        <v>0</v>
      </c>
      <c r="Q115" s="101">
        <f t="shared" si="117"/>
        <v>0</v>
      </c>
      <c r="R115" s="101">
        <f t="shared" si="118"/>
        <v>0</v>
      </c>
      <c r="S115" s="101">
        <f t="shared" si="119"/>
        <v>0</v>
      </c>
      <c r="T115" s="101">
        <f t="shared" si="120"/>
        <v>0</v>
      </c>
      <c r="U115" s="101">
        <f t="shared" si="121"/>
        <v>0</v>
      </c>
      <c r="V115" s="101">
        <f t="shared" si="122"/>
        <v>0</v>
      </c>
      <c r="W115" s="101">
        <f t="shared" si="123"/>
        <v>0</v>
      </c>
    </row>
    <row r="116" spans="2:23">
      <c r="B116" s="175" t="s">
        <v>10722</v>
      </c>
      <c r="C116" s="22">
        <f>SUMIFS('Bottom-up tagging'!$I:$I,'Bottom-up tagging'!$P:$P,'Analysis of bottom-up tags'!$B116,'Bottom-up tagging'!$E:$E,'Analysis of bottom-up tags'!C$6)</f>
        <v>0</v>
      </c>
      <c r="D116" s="22">
        <f>SUMIFS('Bottom-up tagging'!$I:$I,'Bottom-up tagging'!$P:$P,'Analysis of bottom-up tags'!$B116,'Bottom-up tagging'!$E:$E,'Analysis of bottom-up tags'!D$6)</f>
        <v>0</v>
      </c>
      <c r="E116" s="22">
        <f>SUMIFS('Bottom-up tagging'!$I:$I,'Bottom-up tagging'!$P:$P,'Analysis of bottom-up tags'!$B116,'Bottom-up tagging'!$E:$E,'Analysis of bottom-up tags'!E$6)</f>
        <v>0</v>
      </c>
      <c r="F116" s="22">
        <f>SUMIFS('Bottom-up tagging'!$I:$I,'Bottom-up tagging'!$P:$P,'Analysis of bottom-up tags'!$B116,'Bottom-up tagging'!$E:$E,'Analysis of bottom-up tags'!F$6)</f>
        <v>0</v>
      </c>
      <c r="G116" s="22">
        <f>SUMIFS('Bottom-up tagging'!$I:$I,'Bottom-up tagging'!$P:$P,'Analysis of bottom-up tags'!$B116,'Bottom-up tagging'!$E:$E,'Analysis of bottom-up tags'!G$6)</f>
        <v>0</v>
      </c>
      <c r="H116" s="22">
        <f>SUMIFS('Bottom-up tagging'!$I:$I,'Bottom-up tagging'!$P:$P,'Analysis of bottom-up tags'!$B116,'Bottom-up tagging'!$E:$E,'Analysis of bottom-up tags'!H$6)</f>
        <v>0</v>
      </c>
      <c r="I116" s="22">
        <f>SUMIFS('Bottom-up tagging'!$I:$I,'Bottom-up tagging'!$P:$P,'Analysis of bottom-up tags'!$B116,'Bottom-up tagging'!$E:$E,'Analysis of bottom-up tags'!I$6)</f>
        <v>0</v>
      </c>
      <c r="J116" s="22">
        <f>SUMIFS('Bottom-up tagging'!$I:$I,'Bottom-up tagging'!$P:$P,'Analysis of bottom-up tags'!$B116,'Bottom-up tagging'!$E:$E,'Analysis of bottom-up tags'!J$6)</f>
        <v>0</v>
      </c>
      <c r="K116" s="22">
        <f>SUMIFS('Bottom-up tagging'!$I:$I,'Bottom-up tagging'!$P:$P,'Analysis of bottom-up tags'!$B116,'Bottom-up tagging'!$E:$E,'Analysis of bottom-up tags'!K$6)</f>
        <v>0</v>
      </c>
      <c r="L116" s="22">
        <f>SUMIFS('Bottom-up tagging'!$I:$I,'Bottom-up tagging'!$P:$P,'Analysis of bottom-up tags'!$B116,'Bottom-up tagging'!$E:$E,'Analysis of bottom-up tags'!L$6)</f>
        <v>0</v>
      </c>
      <c r="N116" s="101">
        <f t="shared" si="114"/>
        <v>0</v>
      </c>
      <c r="O116" s="101">
        <f t="shared" si="115"/>
        <v>0</v>
      </c>
      <c r="P116" s="101">
        <f t="shared" si="116"/>
        <v>0</v>
      </c>
      <c r="Q116" s="101">
        <f t="shared" si="117"/>
        <v>0</v>
      </c>
      <c r="R116" s="101">
        <f t="shared" si="118"/>
        <v>0</v>
      </c>
      <c r="S116" s="101">
        <f t="shared" si="119"/>
        <v>0</v>
      </c>
      <c r="T116" s="101">
        <f t="shared" si="120"/>
        <v>0</v>
      </c>
      <c r="U116" s="101">
        <f t="shared" si="121"/>
        <v>0</v>
      </c>
      <c r="V116" s="101">
        <f t="shared" si="122"/>
        <v>0</v>
      </c>
      <c r="W116" s="101">
        <f t="shared" si="123"/>
        <v>0</v>
      </c>
    </row>
    <row r="117" spans="2:23">
      <c r="B117" s="175" t="s">
        <v>10731</v>
      </c>
      <c r="C117" s="22">
        <f>SUMIFS('Bottom-up tagging'!$I:$I,'Bottom-up tagging'!$P:$P,'Analysis of bottom-up tags'!$B117,'Bottom-up tagging'!$E:$E,'Analysis of bottom-up tags'!C$6)</f>
        <v>0</v>
      </c>
      <c r="D117" s="22">
        <f>SUMIFS('Bottom-up tagging'!$I:$I,'Bottom-up tagging'!$P:$P,'Analysis of bottom-up tags'!$B117,'Bottom-up tagging'!$E:$E,'Analysis of bottom-up tags'!D$6)</f>
        <v>0</v>
      </c>
      <c r="E117" s="22">
        <f>SUMIFS('Bottom-up tagging'!$I:$I,'Bottom-up tagging'!$P:$P,'Analysis of bottom-up tags'!$B117,'Bottom-up tagging'!$E:$E,'Analysis of bottom-up tags'!E$6)</f>
        <v>0</v>
      </c>
      <c r="F117" s="22">
        <f>SUMIFS('Bottom-up tagging'!$I:$I,'Bottom-up tagging'!$P:$P,'Analysis of bottom-up tags'!$B117,'Bottom-up tagging'!$E:$E,'Analysis of bottom-up tags'!F$6)</f>
        <v>0</v>
      </c>
      <c r="G117" s="22">
        <f>SUMIFS('Bottom-up tagging'!$I:$I,'Bottom-up tagging'!$P:$P,'Analysis of bottom-up tags'!$B117,'Bottom-up tagging'!$E:$E,'Analysis of bottom-up tags'!G$6)</f>
        <v>0</v>
      </c>
      <c r="H117" s="22">
        <f>SUMIFS('Bottom-up tagging'!$I:$I,'Bottom-up tagging'!$P:$P,'Analysis of bottom-up tags'!$B117,'Bottom-up tagging'!$E:$E,'Analysis of bottom-up tags'!H$6)</f>
        <v>0</v>
      </c>
      <c r="I117" s="22">
        <f>SUMIFS('Bottom-up tagging'!$I:$I,'Bottom-up tagging'!$P:$P,'Analysis of bottom-up tags'!$B117,'Bottom-up tagging'!$E:$E,'Analysis of bottom-up tags'!I$6)</f>
        <v>0</v>
      </c>
      <c r="J117" s="22">
        <f>SUMIFS('Bottom-up tagging'!$I:$I,'Bottom-up tagging'!$P:$P,'Analysis of bottom-up tags'!$B117,'Bottom-up tagging'!$E:$E,'Analysis of bottom-up tags'!J$6)</f>
        <v>0</v>
      </c>
      <c r="K117" s="22">
        <f>SUMIFS('Bottom-up tagging'!$I:$I,'Bottom-up tagging'!$P:$P,'Analysis of bottom-up tags'!$B117,'Bottom-up tagging'!$E:$E,'Analysis of bottom-up tags'!K$6)</f>
        <v>0</v>
      </c>
      <c r="L117" s="22">
        <f>SUMIFS('Bottom-up tagging'!$I:$I,'Bottom-up tagging'!$P:$P,'Analysis of bottom-up tags'!$B117,'Bottom-up tagging'!$E:$E,'Analysis of bottom-up tags'!L$6)</f>
        <v>0</v>
      </c>
      <c r="N117" s="101">
        <f t="shared" si="114"/>
        <v>0</v>
      </c>
      <c r="O117" s="101">
        <f t="shared" si="115"/>
        <v>0</v>
      </c>
      <c r="P117" s="101">
        <f t="shared" si="116"/>
        <v>0</v>
      </c>
      <c r="Q117" s="101">
        <f t="shared" si="117"/>
        <v>0</v>
      </c>
      <c r="R117" s="101">
        <f t="shared" si="118"/>
        <v>0</v>
      </c>
      <c r="S117" s="101">
        <f t="shared" si="119"/>
        <v>0</v>
      </c>
      <c r="T117" s="101">
        <f t="shared" si="120"/>
        <v>0</v>
      </c>
      <c r="U117" s="101">
        <f t="shared" si="121"/>
        <v>0</v>
      </c>
      <c r="V117" s="101">
        <f t="shared" si="122"/>
        <v>0</v>
      </c>
      <c r="W117" s="101">
        <f t="shared" si="123"/>
        <v>0</v>
      </c>
    </row>
    <row r="118" spans="2:23">
      <c r="B118" s="175" t="s">
        <v>10645</v>
      </c>
      <c r="C118" s="22">
        <f>SUMIFS('Bottom-up tagging'!$I:$I,'Bottom-up tagging'!$P:$P,'Analysis of bottom-up tags'!$B118,'Bottom-up tagging'!$E:$E,'Analysis of bottom-up tags'!C$6)</f>
        <v>0</v>
      </c>
      <c r="D118" s="22">
        <f>SUMIFS('Bottom-up tagging'!$I:$I,'Bottom-up tagging'!$P:$P,'Analysis of bottom-up tags'!$B118,'Bottom-up tagging'!$E:$E,'Analysis of bottom-up tags'!D$6)</f>
        <v>0</v>
      </c>
      <c r="E118" s="22">
        <f>SUMIFS('Bottom-up tagging'!$I:$I,'Bottom-up tagging'!$P:$P,'Analysis of bottom-up tags'!$B118,'Bottom-up tagging'!$E:$E,'Analysis of bottom-up tags'!E$6)</f>
        <v>0</v>
      </c>
      <c r="F118" s="22">
        <f>SUMIFS('Bottom-up tagging'!$I:$I,'Bottom-up tagging'!$P:$P,'Analysis of bottom-up tags'!$B118,'Bottom-up tagging'!$E:$E,'Analysis of bottom-up tags'!F$6)</f>
        <v>0</v>
      </c>
      <c r="G118" s="22">
        <f>SUMIFS('Bottom-up tagging'!$I:$I,'Bottom-up tagging'!$P:$P,'Analysis of bottom-up tags'!$B118,'Bottom-up tagging'!$E:$E,'Analysis of bottom-up tags'!G$6)</f>
        <v>0</v>
      </c>
      <c r="H118" s="22">
        <f>SUMIFS('Bottom-up tagging'!$I:$I,'Bottom-up tagging'!$P:$P,'Analysis of bottom-up tags'!$B118,'Bottom-up tagging'!$E:$E,'Analysis of bottom-up tags'!H$6)</f>
        <v>0</v>
      </c>
      <c r="I118" s="22">
        <f>SUMIFS('Bottom-up tagging'!$I:$I,'Bottom-up tagging'!$P:$P,'Analysis of bottom-up tags'!$B118,'Bottom-up tagging'!$E:$E,'Analysis of bottom-up tags'!I$6)</f>
        <v>0</v>
      </c>
      <c r="J118" s="22">
        <f>SUMIFS('Bottom-up tagging'!$I:$I,'Bottom-up tagging'!$P:$P,'Analysis of bottom-up tags'!$B118,'Bottom-up tagging'!$E:$E,'Analysis of bottom-up tags'!J$6)</f>
        <v>0</v>
      </c>
      <c r="K118" s="22">
        <f>SUMIFS('Bottom-up tagging'!$I:$I,'Bottom-up tagging'!$P:$P,'Analysis of bottom-up tags'!$B118,'Bottom-up tagging'!$E:$E,'Analysis of bottom-up tags'!K$6)</f>
        <v>0</v>
      </c>
      <c r="L118" s="22">
        <f>SUMIFS('Bottom-up tagging'!$I:$I,'Bottom-up tagging'!$P:$P,'Analysis of bottom-up tags'!$B118,'Bottom-up tagging'!$E:$E,'Analysis of bottom-up tags'!L$6)</f>
        <v>0</v>
      </c>
      <c r="N118" s="101">
        <f t="shared" si="114"/>
        <v>0</v>
      </c>
      <c r="O118" s="101">
        <f t="shared" si="115"/>
        <v>0</v>
      </c>
      <c r="P118" s="101">
        <f t="shared" si="116"/>
        <v>0</v>
      </c>
      <c r="Q118" s="101">
        <f t="shared" si="117"/>
        <v>0</v>
      </c>
      <c r="R118" s="101">
        <f t="shared" si="118"/>
        <v>0</v>
      </c>
      <c r="S118" s="101">
        <f t="shared" si="119"/>
        <v>0</v>
      </c>
      <c r="T118" s="101">
        <f t="shared" si="120"/>
        <v>0</v>
      </c>
      <c r="U118" s="101">
        <f t="shared" si="121"/>
        <v>0</v>
      </c>
      <c r="V118" s="101">
        <f t="shared" si="122"/>
        <v>0</v>
      </c>
      <c r="W118" s="101">
        <f t="shared" si="123"/>
        <v>0</v>
      </c>
    </row>
    <row r="121" spans="2:23">
      <c r="B121" s="170" t="s">
        <v>2</v>
      </c>
      <c r="C121" s="140"/>
      <c r="D121" s="140"/>
      <c r="E121" s="140"/>
      <c r="F121" s="140"/>
      <c r="G121" s="140"/>
      <c r="H121" s="140"/>
      <c r="I121" s="140"/>
      <c r="J121" s="140"/>
      <c r="K121" s="140"/>
      <c r="L121" s="140"/>
      <c r="M121" s="140"/>
      <c r="N121" s="171">
        <f>SUM(N122:N153)</f>
        <v>1</v>
      </c>
      <c r="O121" s="171">
        <f t="shared" ref="O121:W121" si="124">SUM(O122:O153)</f>
        <v>1</v>
      </c>
      <c r="P121" s="171">
        <f t="shared" si="124"/>
        <v>0.99999999999999989</v>
      </c>
      <c r="Q121" s="171">
        <f t="shared" si="124"/>
        <v>0.99999999999999989</v>
      </c>
      <c r="R121" s="171">
        <f t="shared" si="124"/>
        <v>0.99999999999999967</v>
      </c>
      <c r="S121" s="171">
        <f t="shared" si="124"/>
        <v>1.0000000000000002</v>
      </c>
      <c r="T121" s="171">
        <f t="shared" si="124"/>
        <v>0.99999999999999989</v>
      </c>
      <c r="U121" s="171">
        <f t="shared" si="124"/>
        <v>0.99999999999999967</v>
      </c>
      <c r="V121" s="171">
        <f t="shared" si="124"/>
        <v>0.99999999999999956</v>
      </c>
      <c r="W121" s="171">
        <f t="shared" si="124"/>
        <v>0.99999999999999989</v>
      </c>
    </row>
    <row r="122" spans="2:23">
      <c r="B122" s="22" t="s">
        <v>2057</v>
      </c>
      <c r="C122" s="22">
        <f>SUMIFS('Bottom-up tagging'!$I:$I,'Bottom-up tagging'!$D:$D,'Analysis of bottom-up tags'!$B122,'Bottom-up tagging'!$E:$E,'Analysis of bottom-up tags'!C$6)</f>
        <v>1514622</v>
      </c>
      <c r="D122" s="22">
        <f>SUMIFS('Bottom-up tagging'!$I:$I,'Bottom-up tagging'!$D:$D,'Analysis of bottom-up tags'!$B122,'Bottom-up tagging'!$E:$E,'Analysis of bottom-up tags'!D$6)</f>
        <v>26413094.126794811</v>
      </c>
      <c r="E122" s="22">
        <f>SUMIFS('Bottom-up tagging'!$I:$I,'Bottom-up tagging'!$D:$D,'Analysis of bottom-up tags'!$B122,'Bottom-up tagging'!$E:$E,'Analysis of bottom-up tags'!E$6)</f>
        <v>1781204.8926253945</v>
      </c>
      <c r="F122" s="22">
        <f>SUMIFS('Bottom-up tagging'!$I:$I,'Bottom-up tagging'!$D:$D,'Analysis of bottom-up tags'!$B122,'Bottom-up tagging'!$E:$E,'Analysis of bottom-up tags'!F$6)</f>
        <v>8850390.5668591987</v>
      </c>
      <c r="G122" s="22">
        <f>SUMIFS('Bottom-up tagging'!$I:$I,'Bottom-up tagging'!$D:$D,'Analysis of bottom-up tags'!$B122,'Bottom-up tagging'!$E:$E,'Analysis of bottom-up tags'!G$6)</f>
        <v>28575012.969809018</v>
      </c>
      <c r="H122" s="22">
        <f>SUMIFS('Bottom-up tagging'!$I:$I,'Bottom-up tagging'!$D:$D,'Analysis of bottom-up tags'!$B122,'Bottom-up tagging'!$E:$E,'Analysis of bottom-up tags'!H$6)</f>
        <v>175687822.69376117</v>
      </c>
      <c r="I122" s="22">
        <f>SUMIFS('Bottom-up tagging'!$I:$I,'Bottom-up tagging'!$D:$D,'Analysis of bottom-up tags'!$B122,'Bottom-up tagging'!$E:$E,'Analysis of bottom-up tags'!I$6)</f>
        <v>333808305.38196629</v>
      </c>
      <c r="J122" s="22">
        <f>SUMIFS('Bottom-up tagging'!$I:$I,'Bottom-up tagging'!$D:$D,'Analysis of bottom-up tags'!$B122,'Bottom-up tagging'!$E:$E,'Analysis of bottom-up tags'!J$6)</f>
        <v>99795160.155939832</v>
      </c>
      <c r="K122" s="22">
        <f>SUMIFS('Bottom-up tagging'!$I:$I,'Bottom-up tagging'!$D:$D,'Analysis of bottom-up tags'!$B122,'Bottom-up tagging'!$E:$E,'Analysis of bottom-up tags'!K$6)</f>
        <v>957516348.48455274</v>
      </c>
      <c r="L122" s="22">
        <f>SUMIFS('Bottom-up tagging'!$I:$I,'Bottom-up tagging'!$D:$D,'Analysis of bottom-up tags'!$B122,'Bottom-up tagging'!$E:$E,'Analysis of bottom-up tags'!L$6)</f>
        <v>17660799.001515701</v>
      </c>
      <c r="N122" s="101">
        <f t="shared" ref="N122" si="125">C122/C$7</f>
        <v>1.6173400942278593E-2</v>
      </c>
      <c r="O122" s="101">
        <f t="shared" ref="O122" si="126">D122/D$7</f>
        <v>0.32687284991171933</v>
      </c>
      <c r="P122" s="101">
        <f t="shared" ref="P122" si="127">E122/E$7</f>
        <v>0.23105943381649105</v>
      </c>
      <c r="Q122" s="101">
        <f t="shared" ref="Q122" si="128">F122/F$7</f>
        <v>0.24470620642389326</v>
      </c>
      <c r="R122" s="101">
        <f t="shared" ref="R122" si="129">G122/G$7</f>
        <v>0.70214505994665222</v>
      </c>
      <c r="S122" s="101">
        <f t="shared" ref="S122" si="130">H122/H$7</f>
        <v>0.87915488287284149</v>
      </c>
      <c r="T122" s="101">
        <f t="shared" ref="T122" si="131">I122/I$7</f>
        <v>0.91180773415586736</v>
      </c>
      <c r="U122" s="101">
        <f t="shared" ref="U122" si="132">J122/J$7</f>
        <v>0.47870548753464709</v>
      </c>
      <c r="V122" s="101">
        <f t="shared" ref="V122" si="133">K122/K$7</f>
        <v>0.87736971248722206</v>
      </c>
      <c r="W122" s="101">
        <f t="shared" ref="W122" si="134">L122/L$7</f>
        <v>6.52742661063027E-2</v>
      </c>
    </row>
    <row r="123" spans="2:23">
      <c r="B123" s="22" t="s">
        <v>3994</v>
      </c>
      <c r="C123" s="22">
        <f>SUMIFS('Bottom-up tagging'!$I:$I,'Bottom-up tagging'!$D:$D,'Analysis of bottom-up tags'!$B123,'Bottom-up tagging'!$E:$E,'Analysis of bottom-up tags'!C$6)</f>
        <v>89884327</v>
      </c>
      <c r="D123" s="22">
        <f>SUMIFS('Bottom-up tagging'!$I:$I,'Bottom-up tagging'!$D:$D,'Analysis of bottom-up tags'!$B123,'Bottom-up tagging'!$E:$E,'Analysis of bottom-up tags'!D$6)</f>
        <v>54353521.82948871</v>
      </c>
      <c r="E123" s="22">
        <f>SUMIFS('Bottom-up tagging'!$I:$I,'Bottom-up tagging'!$D:$D,'Analysis of bottom-up tags'!$B123,'Bottom-up tagging'!$E:$E,'Analysis of bottom-up tags'!E$6)</f>
        <v>4651531.26743971</v>
      </c>
      <c r="F123" s="22">
        <f>SUMIFS('Bottom-up tagging'!$I:$I,'Bottom-up tagging'!$D:$D,'Analysis of bottom-up tags'!$B123,'Bottom-up tagging'!$E:$E,'Analysis of bottom-up tags'!F$6)</f>
        <v>27004472.46903076</v>
      </c>
      <c r="G123" s="22">
        <f>SUMIFS('Bottom-up tagging'!$I:$I,'Bottom-up tagging'!$D:$D,'Analysis of bottom-up tags'!$B123,'Bottom-up tagging'!$E:$E,'Analysis of bottom-up tags'!G$6)</f>
        <v>9599825.0512267761</v>
      </c>
      <c r="H123" s="22">
        <f>SUMIFS('Bottom-up tagging'!$I:$I,'Bottom-up tagging'!$D:$D,'Analysis of bottom-up tags'!$B123,'Bottom-up tagging'!$E:$E,'Analysis of bottom-up tags'!H$6)</f>
        <v>22875649.48084392</v>
      </c>
      <c r="I123" s="22">
        <f>SUMIFS('Bottom-up tagging'!$I:$I,'Bottom-up tagging'!$D:$D,'Analysis of bottom-up tags'!$B123,'Bottom-up tagging'!$E:$E,'Analysis of bottom-up tags'!I$6)</f>
        <v>20088531.491338786</v>
      </c>
      <c r="J123" s="22">
        <f>SUMIFS('Bottom-up tagging'!$I:$I,'Bottom-up tagging'!$D:$D,'Analysis of bottom-up tags'!$B123,'Bottom-up tagging'!$E:$E,'Analysis of bottom-up tags'!J$6)</f>
        <v>62957648.506373368</v>
      </c>
      <c r="K123" s="22">
        <f>SUMIFS('Bottom-up tagging'!$I:$I,'Bottom-up tagging'!$D:$D,'Analysis of bottom-up tags'!$B123,'Bottom-up tagging'!$E:$E,'Analysis of bottom-up tags'!K$6)</f>
        <v>99651840.931459084</v>
      </c>
      <c r="L123" s="22">
        <f>SUMIFS('Bottom-up tagging'!$I:$I,'Bottom-up tagging'!$D:$D,'Analysis of bottom-up tags'!$B123,'Bottom-up tagging'!$E:$E,'Analysis of bottom-up tags'!L$6)</f>
        <v>206239675.31600669</v>
      </c>
      <c r="N123" s="101">
        <f t="shared" ref="N123:N149" si="135">C123/C$7</f>
        <v>0.95980070208796475</v>
      </c>
      <c r="O123" s="101">
        <f t="shared" ref="O123:O149" si="136">D123/D$7</f>
        <v>0.67264707791732636</v>
      </c>
      <c r="P123" s="101">
        <f t="shared" ref="P123:P149" si="137">E123/E$7</f>
        <v>0.60340064497024803</v>
      </c>
      <c r="Q123" s="101">
        <f t="shared" ref="Q123:Q149" si="138">F123/F$7</f>
        <v>0.74665202224177885</v>
      </c>
      <c r="R123" s="101">
        <f t="shared" ref="R123:R149" si="139">G123/G$7</f>
        <v>0.2358868478272487</v>
      </c>
      <c r="S123" s="101">
        <f t="shared" ref="S123:S149" si="140">H123/H$7</f>
        <v>0.11447144504162429</v>
      </c>
      <c r="T123" s="101">
        <f t="shared" ref="T123:T149" si="141">I123/I$7</f>
        <v>5.487244650991227E-2</v>
      </c>
      <c r="U123" s="101">
        <f t="shared" ref="U123:U149" si="142">J123/J$7</f>
        <v>0.30200033523854791</v>
      </c>
      <c r="V123" s="101">
        <f t="shared" ref="V123:V149" si="143">K123/K$7</f>
        <v>9.1310719827638678E-2</v>
      </c>
      <c r="W123" s="101">
        <f t="shared" ref="W123:W149" si="144">L123/L$7</f>
        <v>0.76226129107177587</v>
      </c>
    </row>
    <row r="124" spans="2:23">
      <c r="B124" s="22" t="s">
        <v>5333</v>
      </c>
      <c r="C124" s="22">
        <f>SUMIFS('Bottom-up tagging'!$I:$I,'Bottom-up tagging'!$D:$D,'Analysis of bottom-up tags'!$B124,'Bottom-up tagging'!$E:$E,'Analysis of bottom-up tags'!C$6)</f>
        <v>0</v>
      </c>
      <c r="D124" s="22">
        <f>SUMIFS('Bottom-up tagging'!$I:$I,'Bottom-up tagging'!$D:$D,'Analysis of bottom-up tags'!$B124,'Bottom-up tagging'!$E:$E,'Analysis of bottom-up tags'!D$6)</f>
        <v>0</v>
      </c>
      <c r="E124" s="22">
        <f>SUMIFS('Bottom-up tagging'!$I:$I,'Bottom-up tagging'!$D:$D,'Analysis of bottom-up tags'!$B124,'Bottom-up tagging'!$E:$E,'Analysis of bottom-up tags'!E$6)</f>
        <v>0</v>
      </c>
      <c r="F124" s="22">
        <f>SUMIFS('Bottom-up tagging'!$I:$I,'Bottom-up tagging'!$D:$D,'Analysis of bottom-up tags'!$B124,'Bottom-up tagging'!$E:$E,'Analysis of bottom-up tags'!F$6)</f>
        <v>0</v>
      </c>
      <c r="G124" s="22">
        <f>SUMIFS('Bottom-up tagging'!$I:$I,'Bottom-up tagging'!$D:$D,'Analysis of bottom-up tags'!$B124,'Bottom-up tagging'!$E:$E,'Analysis of bottom-up tags'!G$6)</f>
        <v>0</v>
      </c>
      <c r="H124" s="22">
        <f>SUMIFS('Bottom-up tagging'!$I:$I,'Bottom-up tagging'!$D:$D,'Analysis of bottom-up tags'!$B124,'Bottom-up tagging'!$E:$E,'Analysis of bottom-up tags'!H$6)</f>
        <v>420392.06433430378</v>
      </c>
      <c r="I124" s="22">
        <f>SUMIFS('Bottom-up tagging'!$I:$I,'Bottom-up tagging'!$D:$D,'Analysis of bottom-up tags'!$B124,'Bottom-up tagging'!$E:$E,'Analysis of bottom-up tags'!I$6)</f>
        <v>265980.51768130943</v>
      </c>
      <c r="J124" s="22">
        <f>SUMIFS('Bottom-up tagging'!$I:$I,'Bottom-up tagging'!$D:$D,'Analysis of bottom-up tags'!$B124,'Bottom-up tagging'!$E:$E,'Analysis of bottom-up tags'!J$6)</f>
        <v>7609124.0472422689</v>
      </c>
      <c r="K124" s="22">
        <f>SUMIFS('Bottom-up tagging'!$I:$I,'Bottom-up tagging'!$D:$D,'Analysis of bottom-up tags'!$B124,'Bottom-up tagging'!$E:$E,'Analysis of bottom-up tags'!K$6)</f>
        <v>933127.8752001567</v>
      </c>
      <c r="L124" s="22">
        <f>SUMIFS('Bottom-up tagging'!$I:$I,'Bottom-up tagging'!$D:$D,'Analysis of bottom-up tags'!$B124,'Bottom-up tagging'!$E:$E,'Analysis of bottom-up tags'!L$6)</f>
        <v>1267430.6793892544</v>
      </c>
      <c r="N124" s="101">
        <f t="shared" si="135"/>
        <v>0</v>
      </c>
      <c r="O124" s="101">
        <f t="shared" si="136"/>
        <v>0</v>
      </c>
      <c r="P124" s="101">
        <f t="shared" si="137"/>
        <v>0</v>
      </c>
      <c r="Q124" s="101">
        <f t="shared" si="138"/>
        <v>0</v>
      </c>
      <c r="R124" s="101">
        <f t="shared" si="139"/>
        <v>0</v>
      </c>
      <c r="S124" s="101">
        <f t="shared" si="140"/>
        <v>2.1036730401327998E-3</v>
      </c>
      <c r="T124" s="101">
        <f t="shared" si="141"/>
        <v>7.2653402940075996E-4</v>
      </c>
      <c r="U124" s="101">
        <f t="shared" si="142"/>
        <v>3.6500061035574308E-2</v>
      </c>
      <c r="V124" s="101">
        <f t="shared" si="143"/>
        <v>8.5502261854214349E-4</v>
      </c>
      <c r="W124" s="101">
        <f t="shared" si="144"/>
        <v>4.6844204178217545E-3</v>
      </c>
    </row>
    <row r="125" spans="2:23">
      <c r="B125" s="22" t="s">
        <v>5208</v>
      </c>
      <c r="C125" s="22">
        <f>SUMIFS('Bottom-up tagging'!$I:$I,'Bottom-up tagging'!$D:$D,'Analysis of bottom-up tags'!$B125,'Bottom-up tagging'!$E:$E,'Analysis of bottom-up tags'!C$6)</f>
        <v>0</v>
      </c>
      <c r="D125" s="22">
        <f>SUMIFS('Bottom-up tagging'!$I:$I,'Bottom-up tagging'!$D:$D,'Analysis of bottom-up tags'!$B125,'Bottom-up tagging'!$E:$E,'Analysis of bottom-up tags'!D$6)</f>
        <v>0</v>
      </c>
      <c r="E125" s="22">
        <f>SUMIFS('Bottom-up tagging'!$I:$I,'Bottom-up tagging'!$D:$D,'Analysis of bottom-up tags'!$B125,'Bottom-up tagging'!$E:$E,'Analysis of bottom-up tags'!E$6)</f>
        <v>0</v>
      </c>
      <c r="F125" s="22">
        <f>SUMIFS('Bottom-up tagging'!$I:$I,'Bottom-up tagging'!$D:$D,'Analysis of bottom-up tags'!$B125,'Bottom-up tagging'!$E:$E,'Analysis of bottom-up tags'!F$6)</f>
        <v>0</v>
      </c>
      <c r="G125" s="22">
        <f>SUMIFS('Bottom-up tagging'!$I:$I,'Bottom-up tagging'!$D:$D,'Analysis of bottom-up tags'!$B125,'Bottom-up tagging'!$E:$E,'Analysis of bottom-up tags'!G$6)</f>
        <v>1350862.3218716388</v>
      </c>
      <c r="H125" s="22">
        <f>SUMIFS('Bottom-up tagging'!$I:$I,'Bottom-up tagging'!$D:$D,'Analysis of bottom-up tags'!$B125,'Bottom-up tagging'!$E:$E,'Analysis of bottom-up tags'!H$6)</f>
        <v>34289.604244613765</v>
      </c>
      <c r="I125" s="22">
        <f>SUMIFS('Bottom-up tagging'!$I:$I,'Bottom-up tagging'!$D:$D,'Analysis of bottom-up tags'!$B125,'Bottom-up tagging'!$E:$E,'Analysis of bottom-up tags'!I$6)</f>
        <v>1535106.1337631308</v>
      </c>
      <c r="J125" s="22">
        <f>SUMIFS('Bottom-up tagging'!$I:$I,'Bottom-up tagging'!$D:$D,'Analysis of bottom-up tags'!$B125,'Bottom-up tagging'!$E:$E,'Analysis of bottom-up tags'!J$6)</f>
        <v>802535.15137156029</v>
      </c>
      <c r="K125" s="22">
        <f>SUMIFS('Bottom-up tagging'!$I:$I,'Bottom-up tagging'!$D:$D,'Analysis of bottom-up tags'!$B125,'Bottom-up tagging'!$E:$E,'Analysis of bottom-up tags'!K$6)</f>
        <v>4976819.5462629553</v>
      </c>
      <c r="L125" s="22">
        <f>SUMIFS('Bottom-up tagging'!$I:$I,'Bottom-up tagging'!$D:$D,'Analysis of bottom-up tags'!$B125,'Bottom-up tagging'!$E:$E,'Analysis of bottom-up tags'!L$6)</f>
        <v>3877832.9184743427</v>
      </c>
      <c r="N125" s="101">
        <f t="shared" si="135"/>
        <v>0</v>
      </c>
      <c r="O125" s="101">
        <f t="shared" si="136"/>
        <v>0</v>
      </c>
      <c r="P125" s="101">
        <f t="shared" si="137"/>
        <v>0</v>
      </c>
      <c r="Q125" s="101">
        <f t="shared" si="138"/>
        <v>0</v>
      </c>
      <c r="R125" s="101">
        <f t="shared" si="139"/>
        <v>3.3193381468361059E-2</v>
      </c>
      <c r="S125" s="101">
        <f t="shared" si="140"/>
        <v>1.7158772043055214E-4</v>
      </c>
      <c r="T125" s="101">
        <f t="shared" si="141"/>
        <v>4.1931899924229771E-3</v>
      </c>
      <c r="U125" s="101">
        <f t="shared" si="142"/>
        <v>3.849665457730599E-3</v>
      </c>
      <c r="V125" s="101">
        <f t="shared" si="143"/>
        <v>4.5602466645257066E-3</v>
      </c>
      <c r="W125" s="101">
        <f t="shared" si="144"/>
        <v>1.4332460146030252E-2</v>
      </c>
    </row>
    <row r="126" spans="2:23">
      <c r="B126" s="22" t="s">
        <v>11148</v>
      </c>
      <c r="C126" s="22">
        <f>SUMIFS('Bottom-up tagging'!$I:$I,'Bottom-up tagging'!$D:$D,'Analysis of bottom-up tags'!$B126,'Bottom-up tagging'!$E:$E,'Analysis of bottom-up tags'!C$6)</f>
        <v>0</v>
      </c>
      <c r="D126" s="22">
        <f>SUMIFS('Bottom-up tagging'!$I:$I,'Bottom-up tagging'!$D:$D,'Analysis of bottom-up tags'!$B126,'Bottom-up tagging'!$E:$E,'Analysis of bottom-up tags'!D$6)</f>
        <v>0</v>
      </c>
      <c r="E126" s="22">
        <f>SUMIFS('Bottom-up tagging'!$I:$I,'Bottom-up tagging'!$D:$D,'Analysis of bottom-up tags'!$B126,'Bottom-up tagging'!$E:$E,'Analysis of bottom-up tags'!E$6)</f>
        <v>0</v>
      </c>
      <c r="F126" s="22">
        <f>SUMIFS('Bottom-up tagging'!$I:$I,'Bottom-up tagging'!$D:$D,'Analysis of bottom-up tags'!$B126,'Bottom-up tagging'!$E:$E,'Analysis of bottom-up tags'!F$6)</f>
        <v>0</v>
      </c>
      <c r="G126" s="22">
        <f>SUMIFS('Bottom-up tagging'!$I:$I,'Bottom-up tagging'!$D:$D,'Analysis of bottom-up tags'!$B126,'Bottom-up tagging'!$E:$E,'Analysis of bottom-up tags'!G$6)</f>
        <v>0</v>
      </c>
      <c r="H126" s="22">
        <f>SUMIFS('Bottom-up tagging'!$I:$I,'Bottom-up tagging'!$D:$D,'Analysis of bottom-up tags'!$B126,'Bottom-up tagging'!$E:$E,'Analysis of bottom-up tags'!H$6)</f>
        <v>0</v>
      </c>
      <c r="I126" s="22">
        <f>SUMIFS('Bottom-up tagging'!$I:$I,'Bottom-up tagging'!$D:$D,'Analysis of bottom-up tags'!$B126,'Bottom-up tagging'!$E:$E,'Analysis of bottom-up tags'!I$6)</f>
        <v>1268768.2135310194</v>
      </c>
      <c r="J126" s="22">
        <f>SUMIFS('Bottom-up tagging'!$I:$I,'Bottom-up tagging'!$D:$D,'Analysis of bottom-up tags'!$B126,'Bottom-up tagging'!$E:$E,'Analysis of bottom-up tags'!J$6)</f>
        <v>4590892.5526774563</v>
      </c>
      <c r="K126" s="22">
        <f>SUMIFS('Bottom-up tagging'!$I:$I,'Bottom-up tagging'!$D:$D,'Analysis of bottom-up tags'!$B126,'Bottom-up tagging'!$E:$E,'Analysis of bottom-up tags'!K$6)</f>
        <v>11852958.318831263</v>
      </c>
      <c r="L126" s="22">
        <f>SUMIFS('Bottom-up tagging'!$I:$I,'Bottom-up tagging'!$D:$D,'Analysis of bottom-up tags'!$B126,'Bottom-up tagging'!$E:$E,'Analysis of bottom-up tags'!L$6)</f>
        <v>0</v>
      </c>
      <c r="N126" s="101">
        <f t="shared" si="135"/>
        <v>0</v>
      </c>
      <c r="O126" s="101">
        <f t="shared" si="136"/>
        <v>0</v>
      </c>
      <c r="P126" s="101">
        <f t="shared" si="137"/>
        <v>0</v>
      </c>
      <c r="Q126" s="101">
        <f t="shared" si="138"/>
        <v>0</v>
      </c>
      <c r="R126" s="101">
        <f t="shared" si="139"/>
        <v>0</v>
      </c>
      <c r="S126" s="101">
        <f t="shared" si="140"/>
        <v>0</v>
      </c>
      <c r="T126" s="101">
        <f t="shared" si="141"/>
        <v>3.465679706875279E-3</v>
      </c>
      <c r="U126" s="101">
        <f t="shared" si="142"/>
        <v>2.202196433388694E-2</v>
      </c>
      <c r="V126" s="101">
        <f t="shared" si="143"/>
        <v>1.0860834542172605E-2</v>
      </c>
      <c r="W126" s="101">
        <f t="shared" si="144"/>
        <v>0</v>
      </c>
    </row>
    <row r="127" spans="2:23">
      <c r="B127" s="22" t="s">
        <v>5391</v>
      </c>
      <c r="C127" s="22">
        <f>SUMIFS('Bottom-up tagging'!$I:$I,'Bottom-up tagging'!$D:$D,'Analysis of bottom-up tags'!$B127,'Bottom-up tagging'!$E:$E,'Analysis of bottom-up tags'!C$6)</f>
        <v>1000000</v>
      </c>
      <c r="D127" s="22">
        <f>SUMIFS('Bottom-up tagging'!$I:$I,'Bottom-up tagging'!$D:$D,'Analysis of bottom-up tags'!$B127,'Bottom-up tagging'!$E:$E,'Analysis of bottom-up tags'!D$6)</f>
        <v>0</v>
      </c>
      <c r="E127" s="22">
        <f>SUMIFS('Bottom-up tagging'!$I:$I,'Bottom-up tagging'!$D:$D,'Analysis of bottom-up tags'!$B127,'Bottom-up tagging'!$E:$E,'Analysis of bottom-up tags'!E$6)</f>
        <v>1237765.2136678048</v>
      </c>
      <c r="F127" s="22">
        <f>SUMIFS('Bottom-up tagging'!$I:$I,'Bottom-up tagging'!$D:$D,'Analysis of bottom-up tags'!$B127,'Bottom-up tagging'!$E:$E,'Analysis of bottom-up tags'!F$6)</f>
        <v>184386.10369195833</v>
      </c>
      <c r="G127" s="22">
        <f>SUMIFS('Bottom-up tagging'!$I:$I,'Bottom-up tagging'!$D:$D,'Analysis of bottom-up tags'!$B127,'Bottom-up tagging'!$E:$E,'Analysis of bottom-up tags'!G$6)</f>
        <v>66069.870512712238</v>
      </c>
      <c r="H127" s="22">
        <f>SUMIFS('Bottom-up tagging'!$I:$I,'Bottom-up tagging'!$D:$D,'Analysis of bottom-up tags'!$B127,'Bottom-up tagging'!$E:$E,'Analysis of bottom-up tags'!H$6)</f>
        <v>164972.20088543891</v>
      </c>
      <c r="I127" s="22">
        <f>SUMIFS('Bottom-up tagging'!$I:$I,'Bottom-up tagging'!$D:$D,'Analysis of bottom-up tags'!$B127,'Bottom-up tagging'!$E:$E,'Analysis of bottom-up tags'!I$6)</f>
        <v>345727.62449319381</v>
      </c>
      <c r="J127" s="22">
        <f>SUMIFS('Bottom-up tagging'!$I:$I,'Bottom-up tagging'!$D:$D,'Analysis of bottom-up tags'!$B127,'Bottom-up tagging'!$E:$E,'Analysis of bottom-up tags'!J$6)</f>
        <v>12629174.465345291</v>
      </c>
      <c r="K127" s="22">
        <f>SUMIFS('Bottom-up tagging'!$I:$I,'Bottom-up tagging'!$D:$D,'Analysis of bottom-up tags'!$B127,'Bottom-up tagging'!$E:$E,'Analysis of bottom-up tags'!K$6)</f>
        <v>6721753.2945308806</v>
      </c>
      <c r="L127" s="22">
        <f>SUMIFS('Bottom-up tagging'!$I:$I,'Bottom-up tagging'!$D:$D,'Analysis of bottom-up tags'!$B127,'Bottom-up tagging'!$E:$E,'Analysis of bottom-up tags'!L$6)</f>
        <v>20103258.385612793</v>
      </c>
      <c r="N127" s="101">
        <f t="shared" si="135"/>
        <v>1.0678176431002979E-2</v>
      </c>
      <c r="O127" s="101">
        <f t="shared" si="136"/>
        <v>0</v>
      </c>
      <c r="P127" s="101">
        <f t="shared" si="137"/>
        <v>0.16056397029444899</v>
      </c>
      <c r="Q127" s="101">
        <f t="shared" si="138"/>
        <v>5.0981279990848982E-3</v>
      </c>
      <c r="R127" s="101">
        <f t="shared" si="139"/>
        <v>1.6234684911894874E-3</v>
      </c>
      <c r="S127" s="101">
        <f t="shared" si="140"/>
        <v>8.2553311733803668E-4</v>
      </c>
      <c r="T127" s="101">
        <f t="shared" si="141"/>
        <v>9.4436572380520529E-4</v>
      </c>
      <c r="U127" s="101">
        <f t="shared" si="142"/>
        <v>6.0580644493643761E-2</v>
      </c>
      <c r="V127" s="101">
        <f t="shared" si="143"/>
        <v>6.1591248700520107E-3</v>
      </c>
      <c r="W127" s="101">
        <f t="shared" si="144"/>
        <v>7.4301589489446748E-2</v>
      </c>
    </row>
    <row r="128" spans="2:23">
      <c r="B128" s="22" t="s">
        <v>7086</v>
      </c>
      <c r="C128" s="22">
        <f>SUMIFS('Bottom-up tagging'!$I:$I,'Bottom-up tagging'!$D:$D,'Analysis of bottom-up tags'!$B128,'Bottom-up tagging'!$E:$E,'Analysis of bottom-up tags'!C$6)</f>
        <v>0</v>
      </c>
      <c r="D128" s="22">
        <f>SUMIFS('Bottom-up tagging'!$I:$I,'Bottom-up tagging'!$D:$D,'Analysis of bottom-up tags'!$B128,'Bottom-up tagging'!$E:$E,'Analysis of bottom-up tags'!D$6)</f>
        <v>0</v>
      </c>
      <c r="E128" s="22">
        <f>SUMIFS('Bottom-up tagging'!$I:$I,'Bottom-up tagging'!$D:$D,'Analysis of bottom-up tags'!$B128,'Bottom-up tagging'!$E:$E,'Analysis of bottom-up tags'!E$6)</f>
        <v>0</v>
      </c>
      <c r="F128" s="22">
        <f>SUMIFS('Bottom-up tagging'!$I:$I,'Bottom-up tagging'!$D:$D,'Analysis of bottom-up tags'!$B128,'Bottom-up tagging'!$E:$E,'Analysis of bottom-up tags'!F$6)</f>
        <v>0</v>
      </c>
      <c r="G128" s="22">
        <f>SUMIFS('Bottom-up tagging'!$I:$I,'Bottom-up tagging'!$D:$D,'Analysis of bottom-up tags'!$B128,'Bottom-up tagging'!$E:$E,'Analysis of bottom-up tags'!G$6)</f>
        <v>0</v>
      </c>
      <c r="H128" s="22">
        <f>SUMIFS('Bottom-up tagging'!$I:$I,'Bottom-up tagging'!$D:$D,'Analysis of bottom-up tags'!$B128,'Bottom-up tagging'!$E:$E,'Analysis of bottom-up tags'!H$6)</f>
        <v>0</v>
      </c>
      <c r="I128" s="22">
        <f>SUMIFS('Bottom-up tagging'!$I:$I,'Bottom-up tagging'!$D:$D,'Analysis of bottom-up tags'!$B128,'Bottom-up tagging'!$E:$E,'Analysis of bottom-up tags'!I$6)</f>
        <v>1183729.3174136395</v>
      </c>
      <c r="J128" s="22">
        <f>SUMIFS('Bottom-up tagging'!$I:$I,'Bottom-up tagging'!$D:$D,'Analysis of bottom-up tags'!$B128,'Bottom-up tagging'!$E:$E,'Analysis of bottom-up tags'!J$6)</f>
        <v>4590286.0131628066</v>
      </c>
      <c r="K128" s="22">
        <f>SUMIFS('Bottom-up tagging'!$I:$I,'Bottom-up tagging'!$D:$D,'Analysis of bottom-up tags'!$B128,'Bottom-up tagging'!$E:$E,'Analysis of bottom-up tags'!K$6)</f>
        <v>0</v>
      </c>
      <c r="L128" s="22">
        <f>SUMIFS('Bottom-up tagging'!$I:$I,'Bottom-up tagging'!$D:$D,'Analysis of bottom-up tags'!$B128,'Bottom-up tagging'!$E:$E,'Analysis of bottom-up tags'!L$6)</f>
        <v>1681676.496441975</v>
      </c>
      <c r="N128" s="101">
        <f t="shared" si="135"/>
        <v>0</v>
      </c>
      <c r="O128" s="101">
        <f t="shared" si="136"/>
        <v>0</v>
      </c>
      <c r="P128" s="101">
        <f t="shared" si="137"/>
        <v>0</v>
      </c>
      <c r="Q128" s="101">
        <f t="shared" si="138"/>
        <v>0</v>
      </c>
      <c r="R128" s="101">
        <f t="shared" si="139"/>
        <v>0</v>
      </c>
      <c r="S128" s="101">
        <f t="shared" si="140"/>
        <v>0</v>
      </c>
      <c r="T128" s="101">
        <f t="shared" si="141"/>
        <v>3.2333933259382354E-3</v>
      </c>
      <c r="U128" s="101">
        <f t="shared" si="142"/>
        <v>2.2019054836135591E-2</v>
      </c>
      <c r="V128" s="101">
        <f t="shared" si="143"/>
        <v>0</v>
      </c>
      <c r="W128" s="101">
        <f t="shared" si="144"/>
        <v>6.2154718551548811E-3</v>
      </c>
    </row>
    <row r="129" spans="2:23">
      <c r="B129" s="22" t="s">
        <v>6213</v>
      </c>
      <c r="C129" s="22">
        <f>SUMIFS('Bottom-up tagging'!$I:$I,'Bottom-up tagging'!$D:$D,'Analysis of bottom-up tags'!$B129,'Bottom-up tagging'!$E:$E,'Analysis of bottom-up tags'!C$6)</f>
        <v>0</v>
      </c>
      <c r="D129" s="22">
        <f>SUMIFS('Bottom-up tagging'!$I:$I,'Bottom-up tagging'!$D:$D,'Analysis of bottom-up tags'!$B129,'Bottom-up tagging'!$E:$E,'Analysis of bottom-up tags'!D$6)</f>
        <v>0</v>
      </c>
      <c r="E129" s="22">
        <f>SUMIFS('Bottom-up tagging'!$I:$I,'Bottom-up tagging'!$D:$D,'Analysis of bottom-up tags'!$B129,'Bottom-up tagging'!$E:$E,'Analysis of bottom-up tags'!E$6)</f>
        <v>0</v>
      </c>
      <c r="F129" s="22">
        <f>SUMIFS('Bottom-up tagging'!$I:$I,'Bottom-up tagging'!$D:$D,'Analysis of bottom-up tags'!$B129,'Bottom-up tagging'!$E:$E,'Analysis of bottom-up tags'!F$6)</f>
        <v>0</v>
      </c>
      <c r="G129" s="22">
        <f>SUMIFS('Bottom-up tagging'!$I:$I,'Bottom-up tagging'!$D:$D,'Analysis of bottom-up tags'!$B129,'Bottom-up tagging'!$E:$E,'Analysis of bottom-up tags'!G$6)</f>
        <v>60332.578884975344</v>
      </c>
      <c r="H129" s="22">
        <f>SUMIFS('Bottom-up tagging'!$I:$I,'Bottom-up tagging'!$D:$D,'Analysis of bottom-up tags'!$B129,'Bottom-up tagging'!$E:$E,'Analysis of bottom-up tags'!H$6)</f>
        <v>0</v>
      </c>
      <c r="I129" s="22">
        <f>SUMIFS('Bottom-up tagging'!$I:$I,'Bottom-up tagging'!$D:$D,'Analysis of bottom-up tags'!$B129,'Bottom-up tagging'!$E:$E,'Analysis of bottom-up tags'!I$6)</f>
        <v>6331458.3912394457</v>
      </c>
      <c r="J129" s="22">
        <f>SUMIFS('Bottom-up tagging'!$I:$I,'Bottom-up tagging'!$D:$D,'Analysis of bottom-up tags'!$B129,'Bottom-up tagging'!$E:$E,'Analysis of bottom-up tags'!J$6)</f>
        <v>12986004.486387063</v>
      </c>
      <c r="K129" s="22">
        <f>SUMIFS('Bottom-up tagging'!$I:$I,'Bottom-up tagging'!$D:$D,'Analysis of bottom-up tags'!$B129,'Bottom-up tagging'!$E:$E,'Analysis of bottom-up tags'!K$6)</f>
        <v>177588.21366738592</v>
      </c>
      <c r="L129" s="22">
        <f>SUMIFS('Bottom-up tagging'!$I:$I,'Bottom-up tagging'!$D:$D,'Analysis of bottom-up tags'!$B129,'Bottom-up tagging'!$E:$E,'Analysis of bottom-up tags'!L$6)</f>
        <v>829156.28283455002</v>
      </c>
      <c r="N129" s="101">
        <f t="shared" si="135"/>
        <v>0</v>
      </c>
      <c r="O129" s="101">
        <f t="shared" si="136"/>
        <v>0</v>
      </c>
      <c r="P129" s="101">
        <f t="shared" si="137"/>
        <v>0</v>
      </c>
      <c r="Q129" s="101">
        <f t="shared" si="138"/>
        <v>0</v>
      </c>
      <c r="R129" s="101">
        <f t="shared" si="139"/>
        <v>1.4824917931860614E-3</v>
      </c>
      <c r="S129" s="101">
        <f t="shared" si="140"/>
        <v>0</v>
      </c>
      <c r="T129" s="101">
        <f t="shared" si="141"/>
        <v>1.7294574869886021E-2</v>
      </c>
      <c r="U129" s="101">
        <f t="shared" si="142"/>
        <v>6.2292315569905193E-2</v>
      </c>
      <c r="V129" s="101">
        <f t="shared" si="143"/>
        <v>1.6272361324490468E-4</v>
      </c>
      <c r="W129" s="101">
        <f t="shared" si="144"/>
        <v>3.0645594146001122E-3</v>
      </c>
    </row>
    <row r="130" spans="2:23">
      <c r="B130" s="22" t="s">
        <v>5277</v>
      </c>
      <c r="C130" s="22">
        <f>SUMIFS('Bottom-up tagging'!$I:$I,'Bottom-up tagging'!$D:$D,'Analysis of bottom-up tags'!$B130,'Bottom-up tagging'!$E:$E,'Analysis of bottom-up tags'!C$6)</f>
        <v>0</v>
      </c>
      <c r="D130" s="22">
        <f>SUMIFS('Bottom-up tagging'!$I:$I,'Bottom-up tagging'!$D:$D,'Analysis of bottom-up tags'!$B130,'Bottom-up tagging'!$E:$E,'Analysis of bottom-up tags'!D$6)</f>
        <v>0</v>
      </c>
      <c r="E130" s="22">
        <f>SUMIFS('Bottom-up tagging'!$I:$I,'Bottom-up tagging'!$D:$D,'Analysis of bottom-up tags'!$B130,'Bottom-up tagging'!$E:$E,'Analysis of bottom-up tags'!E$6)</f>
        <v>0</v>
      </c>
      <c r="F130" s="22">
        <f>SUMIFS('Bottom-up tagging'!$I:$I,'Bottom-up tagging'!$D:$D,'Analysis of bottom-up tags'!$B130,'Bottom-up tagging'!$E:$E,'Analysis of bottom-up tags'!F$6)</f>
        <v>128164.41399209356</v>
      </c>
      <c r="G130" s="22">
        <f>SUMIFS('Bottom-up tagging'!$I:$I,'Bottom-up tagging'!$D:$D,'Analysis of bottom-up tags'!$B130,'Bottom-up tagging'!$E:$E,'Analysis of bottom-up tags'!G$6)</f>
        <v>0</v>
      </c>
      <c r="H130" s="22">
        <f>SUMIFS('Bottom-up tagging'!$I:$I,'Bottom-up tagging'!$D:$D,'Analysis of bottom-up tags'!$B130,'Bottom-up tagging'!$E:$E,'Analysis of bottom-up tags'!H$6)</f>
        <v>389651.99321678438</v>
      </c>
      <c r="I130" s="22">
        <f>SUMIFS('Bottom-up tagging'!$I:$I,'Bottom-up tagging'!$D:$D,'Analysis of bottom-up tags'!$B130,'Bottom-up tagging'!$E:$E,'Analysis of bottom-up tags'!I$6)</f>
        <v>148346.22552815927</v>
      </c>
      <c r="J130" s="22">
        <f>SUMIFS('Bottom-up tagging'!$I:$I,'Bottom-up tagging'!$D:$D,'Analysis of bottom-up tags'!$B130,'Bottom-up tagging'!$E:$E,'Analysis of bottom-up tags'!J$6)</f>
        <v>0</v>
      </c>
      <c r="K130" s="22">
        <f>SUMIFS('Bottom-up tagging'!$I:$I,'Bottom-up tagging'!$D:$D,'Analysis of bottom-up tags'!$B130,'Bottom-up tagging'!$E:$E,'Analysis of bottom-up tags'!K$6)</f>
        <v>2810399.9029808752</v>
      </c>
      <c r="L130" s="22">
        <f>SUMIFS('Bottom-up tagging'!$I:$I,'Bottom-up tagging'!$D:$D,'Analysis of bottom-up tags'!$B130,'Bottom-up tagging'!$E:$E,'Analysis of bottom-up tags'!L$6)</f>
        <v>7606549.9072075747</v>
      </c>
      <c r="N130" s="101">
        <f t="shared" si="135"/>
        <v>0</v>
      </c>
      <c r="O130" s="101">
        <f t="shared" si="136"/>
        <v>0</v>
      </c>
      <c r="P130" s="101">
        <f t="shared" si="137"/>
        <v>0</v>
      </c>
      <c r="Q130" s="101">
        <f t="shared" si="138"/>
        <v>3.5436433352428239E-3</v>
      </c>
      <c r="R130" s="101">
        <f t="shared" si="139"/>
        <v>0</v>
      </c>
      <c r="S130" s="101">
        <f t="shared" si="140"/>
        <v>1.9498474464834726E-3</v>
      </c>
      <c r="T130" s="101">
        <f t="shared" si="141"/>
        <v>4.052123137398536E-4</v>
      </c>
      <c r="U130" s="101">
        <f t="shared" si="142"/>
        <v>0</v>
      </c>
      <c r="V130" s="101">
        <f t="shared" si="143"/>
        <v>2.5751620416246358E-3</v>
      </c>
      <c r="W130" s="101">
        <f t="shared" si="144"/>
        <v>2.8113788212601663E-2</v>
      </c>
    </row>
    <row r="131" spans="2:23">
      <c r="B131" s="22" t="s">
        <v>7133</v>
      </c>
      <c r="C131" s="22">
        <f>SUMIFS('Bottom-up tagging'!$I:$I,'Bottom-up tagging'!$D:$D,'Analysis of bottom-up tags'!$B131,'Bottom-up tagging'!$E:$E,'Analysis of bottom-up tags'!C$6)</f>
        <v>0</v>
      </c>
      <c r="D131" s="22">
        <f>SUMIFS('Bottom-up tagging'!$I:$I,'Bottom-up tagging'!$D:$D,'Analysis of bottom-up tags'!$B131,'Bottom-up tagging'!$E:$E,'Analysis of bottom-up tags'!D$6)</f>
        <v>0</v>
      </c>
      <c r="E131" s="22">
        <f>SUMIFS('Bottom-up tagging'!$I:$I,'Bottom-up tagging'!$D:$D,'Analysis of bottom-up tags'!$B131,'Bottom-up tagging'!$E:$E,'Analysis of bottom-up tags'!E$6)</f>
        <v>0</v>
      </c>
      <c r="F131" s="22">
        <f>SUMIFS('Bottom-up tagging'!$I:$I,'Bottom-up tagging'!$D:$D,'Analysis of bottom-up tags'!$B131,'Bottom-up tagging'!$E:$E,'Analysis of bottom-up tags'!F$6)</f>
        <v>0</v>
      </c>
      <c r="G131" s="22">
        <f>SUMIFS('Bottom-up tagging'!$I:$I,'Bottom-up tagging'!$D:$D,'Analysis of bottom-up tags'!$B131,'Bottom-up tagging'!$E:$E,'Analysis of bottom-up tags'!G$6)</f>
        <v>0</v>
      </c>
      <c r="H131" s="22">
        <f>SUMIFS('Bottom-up tagging'!$I:$I,'Bottom-up tagging'!$D:$D,'Analysis of bottom-up tags'!$B131,'Bottom-up tagging'!$E:$E,'Analysis of bottom-up tags'!H$6)</f>
        <v>0</v>
      </c>
      <c r="I131" s="22">
        <f>SUMIFS('Bottom-up tagging'!$I:$I,'Bottom-up tagging'!$D:$D,'Analysis of bottom-up tags'!$B131,'Bottom-up tagging'!$E:$E,'Analysis of bottom-up tags'!I$6)</f>
        <v>0</v>
      </c>
      <c r="J131" s="22">
        <f>SUMIFS('Bottom-up tagging'!$I:$I,'Bottom-up tagging'!$D:$D,'Analysis of bottom-up tags'!$B131,'Bottom-up tagging'!$E:$E,'Analysis of bottom-up tags'!J$6)</f>
        <v>0</v>
      </c>
      <c r="K131" s="22">
        <f>SUMIFS('Bottom-up tagging'!$I:$I,'Bottom-up tagging'!$D:$D,'Analysis of bottom-up tags'!$B131,'Bottom-up tagging'!$E:$E,'Analysis of bottom-up tags'!K$6)</f>
        <v>2449088.1517501213</v>
      </c>
      <c r="L131" s="22">
        <f>SUMIFS('Bottom-up tagging'!$I:$I,'Bottom-up tagging'!$D:$D,'Analysis of bottom-up tags'!$B131,'Bottom-up tagging'!$E:$E,'Analysis of bottom-up tags'!L$6)</f>
        <v>0</v>
      </c>
      <c r="N131" s="101">
        <f t="shared" si="135"/>
        <v>0</v>
      </c>
      <c r="O131" s="101">
        <f t="shared" si="136"/>
        <v>0</v>
      </c>
      <c r="P131" s="101">
        <f t="shared" si="137"/>
        <v>0</v>
      </c>
      <c r="Q131" s="101">
        <f t="shared" si="138"/>
        <v>0</v>
      </c>
      <c r="R131" s="101">
        <f t="shared" si="139"/>
        <v>0</v>
      </c>
      <c r="S131" s="101">
        <f t="shared" si="140"/>
        <v>0</v>
      </c>
      <c r="T131" s="101">
        <f t="shared" si="141"/>
        <v>0</v>
      </c>
      <c r="U131" s="101">
        <f t="shared" si="142"/>
        <v>0</v>
      </c>
      <c r="V131" s="101">
        <f t="shared" si="143"/>
        <v>2.2440930339807466E-3</v>
      </c>
      <c r="W131" s="101">
        <f t="shared" si="144"/>
        <v>0</v>
      </c>
    </row>
    <row r="132" spans="2:23">
      <c r="B132" s="22" t="s">
        <v>5416</v>
      </c>
      <c r="C132" s="22">
        <f>SUMIFS('Bottom-up tagging'!$I:$I,'Bottom-up tagging'!$D:$D,'Analysis of bottom-up tags'!$B132,'Bottom-up tagging'!$E:$E,'Analysis of bottom-up tags'!C$6)</f>
        <v>0</v>
      </c>
      <c r="D132" s="22">
        <f>SUMIFS('Bottom-up tagging'!$I:$I,'Bottom-up tagging'!$D:$D,'Analysis of bottom-up tags'!$B132,'Bottom-up tagging'!$E:$E,'Analysis of bottom-up tags'!D$6)</f>
        <v>0</v>
      </c>
      <c r="E132" s="22">
        <f>SUMIFS('Bottom-up tagging'!$I:$I,'Bottom-up tagging'!$D:$D,'Analysis of bottom-up tags'!$B132,'Bottom-up tagging'!$E:$E,'Analysis of bottom-up tags'!E$6)</f>
        <v>0</v>
      </c>
      <c r="F132" s="22">
        <f>SUMIFS('Bottom-up tagging'!$I:$I,'Bottom-up tagging'!$D:$D,'Analysis of bottom-up tags'!$B132,'Bottom-up tagging'!$E:$E,'Analysis of bottom-up tags'!F$6)</f>
        <v>0</v>
      </c>
      <c r="G132" s="22">
        <f>SUMIFS('Bottom-up tagging'!$I:$I,'Bottom-up tagging'!$D:$D,'Analysis of bottom-up tags'!$B132,'Bottom-up tagging'!$E:$E,'Analysis of bottom-up tags'!G$6)</f>
        <v>0</v>
      </c>
      <c r="H132" s="22">
        <f>SUMIFS('Bottom-up tagging'!$I:$I,'Bottom-up tagging'!$D:$D,'Analysis of bottom-up tags'!$B132,'Bottom-up tagging'!$E:$E,'Analysis of bottom-up tags'!H$6)</f>
        <v>0</v>
      </c>
      <c r="I132" s="22">
        <f>SUMIFS('Bottom-up tagging'!$I:$I,'Bottom-up tagging'!$D:$D,'Analysis of bottom-up tags'!$B132,'Bottom-up tagging'!$E:$E,'Analysis of bottom-up tags'!I$6)</f>
        <v>0</v>
      </c>
      <c r="J132" s="22">
        <f>SUMIFS('Bottom-up tagging'!$I:$I,'Bottom-up tagging'!$D:$D,'Analysis of bottom-up tags'!$B132,'Bottom-up tagging'!$E:$E,'Analysis of bottom-up tags'!J$6)</f>
        <v>0</v>
      </c>
      <c r="K132" s="22">
        <f>SUMIFS('Bottom-up tagging'!$I:$I,'Bottom-up tagging'!$D:$D,'Analysis of bottom-up tags'!$B132,'Bottom-up tagging'!$E:$E,'Analysis of bottom-up tags'!K$6)</f>
        <v>233773.99728823258</v>
      </c>
      <c r="L132" s="22">
        <f>SUMIFS('Bottom-up tagging'!$I:$I,'Bottom-up tagging'!$D:$D,'Analysis of bottom-up tags'!$B132,'Bottom-up tagging'!$E:$E,'Analysis of bottom-up tags'!L$6)</f>
        <v>7225142.528076957</v>
      </c>
      <c r="N132" s="101">
        <f t="shared" si="135"/>
        <v>0</v>
      </c>
      <c r="O132" s="101">
        <f t="shared" si="136"/>
        <v>0</v>
      </c>
      <c r="P132" s="101">
        <f t="shared" si="137"/>
        <v>0</v>
      </c>
      <c r="Q132" s="101">
        <f t="shared" si="138"/>
        <v>0</v>
      </c>
      <c r="R132" s="101">
        <f t="shared" si="139"/>
        <v>0</v>
      </c>
      <c r="S132" s="101">
        <f t="shared" si="140"/>
        <v>0</v>
      </c>
      <c r="T132" s="101">
        <f t="shared" si="141"/>
        <v>0</v>
      </c>
      <c r="U132" s="101">
        <f t="shared" si="142"/>
        <v>0</v>
      </c>
      <c r="V132" s="101">
        <f t="shared" si="143"/>
        <v>2.1420649904556083E-4</v>
      </c>
      <c r="W132" s="101">
        <f t="shared" si="144"/>
        <v>2.6704107554430829E-2</v>
      </c>
    </row>
    <row r="133" spans="2:23">
      <c r="B133" s="22" t="s">
        <v>6297</v>
      </c>
      <c r="C133" s="22">
        <f>SUMIFS('Bottom-up tagging'!$I:$I,'Bottom-up tagging'!$D:$D,'Analysis of bottom-up tags'!$B133,'Bottom-up tagging'!$E:$E,'Analysis of bottom-up tags'!C$6)</f>
        <v>0</v>
      </c>
      <c r="D133" s="22">
        <f>SUMIFS('Bottom-up tagging'!$I:$I,'Bottom-up tagging'!$D:$D,'Analysis of bottom-up tags'!$B133,'Bottom-up tagging'!$E:$E,'Analysis of bottom-up tags'!D$6)</f>
        <v>0</v>
      </c>
      <c r="E133" s="22">
        <f>SUMIFS('Bottom-up tagging'!$I:$I,'Bottom-up tagging'!$D:$D,'Analysis of bottom-up tags'!$B133,'Bottom-up tagging'!$E:$E,'Analysis of bottom-up tags'!E$6)</f>
        <v>0</v>
      </c>
      <c r="F133" s="22">
        <f>SUMIFS('Bottom-up tagging'!$I:$I,'Bottom-up tagging'!$D:$D,'Analysis of bottom-up tags'!$B133,'Bottom-up tagging'!$E:$E,'Analysis of bottom-up tags'!F$6)</f>
        <v>0</v>
      </c>
      <c r="G133" s="22">
        <f>SUMIFS('Bottom-up tagging'!$I:$I,'Bottom-up tagging'!$D:$D,'Analysis of bottom-up tags'!$B133,'Bottom-up tagging'!$E:$E,'Analysis of bottom-up tags'!G$6)</f>
        <v>0</v>
      </c>
      <c r="H133" s="22">
        <f>SUMIFS('Bottom-up tagging'!$I:$I,'Bottom-up tagging'!$D:$D,'Analysis of bottom-up tags'!$B133,'Bottom-up tagging'!$E:$E,'Analysis of bottom-up tags'!H$6)</f>
        <v>0</v>
      </c>
      <c r="I133" s="22">
        <f>SUMIFS('Bottom-up tagging'!$I:$I,'Bottom-up tagging'!$D:$D,'Analysis of bottom-up tags'!$B133,'Bottom-up tagging'!$E:$E,'Analysis of bottom-up tags'!I$6)</f>
        <v>0</v>
      </c>
      <c r="J133" s="22">
        <f>SUMIFS('Bottom-up tagging'!$I:$I,'Bottom-up tagging'!$D:$D,'Analysis of bottom-up tags'!$B133,'Bottom-up tagging'!$E:$E,'Analysis of bottom-up tags'!J$6)</f>
        <v>434472.53561871388</v>
      </c>
      <c r="K133" s="22">
        <f>SUMIFS('Bottom-up tagging'!$I:$I,'Bottom-up tagging'!$D:$D,'Analysis of bottom-up tags'!$B133,'Bottom-up tagging'!$E:$E,'Analysis of bottom-up tags'!K$6)</f>
        <v>1290358.9116314629</v>
      </c>
      <c r="L133" s="22">
        <f>SUMIFS('Bottom-up tagging'!$I:$I,'Bottom-up tagging'!$D:$D,'Analysis of bottom-up tags'!$B133,'Bottom-up tagging'!$E:$E,'Analysis of bottom-up tags'!L$6)</f>
        <v>1340803.256342931</v>
      </c>
      <c r="N133" s="101">
        <f t="shared" si="135"/>
        <v>0</v>
      </c>
      <c r="O133" s="101">
        <f t="shared" si="136"/>
        <v>0</v>
      </c>
      <c r="P133" s="101">
        <f t="shared" si="137"/>
        <v>0</v>
      </c>
      <c r="Q133" s="101">
        <f t="shared" si="138"/>
        <v>0</v>
      </c>
      <c r="R133" s="101">
        <f t="shared" si="139"/>
        <v>0</v>
      </c>
      <c r="S133" s="101">
        <f t="shared" si="140"/>
        <v>0</v>
      </c>
      <c r="T133" s="101">
        <f t="shared" si="141"/>
        <v>0</v>
      </c>
      <c r="U133" s="101">
        <f t="shared" si="142"/>
        <v>2.0841129635823471E-3</v>
      </c>
      <c r="V133" s="101">
        <f t="shared" si="143"/>
        <v>1.1823524779448562E-3</v>
      </c>
      <c r="W133" s="101">
        <f t="shared" si="144"/>
        <v>4.9556052669652399E-3</v>
      </c>
    </row>
    <row r="134" spans="2:23">
      <c r="B134" s="22" t="s">
        <v>6632</v>
      </c>
      <c r="C134" s="22">
        <f>SUMIFS('Bottom-up tagging'!$I:$I,'Bottom-up tagging'!$D:$D,'Analysis of bottom-up tags'!$B134,'Bottom-up tagging'!$E:$E,'Analysis of bottom-up tags'!C$6)</f>
        <v>0</v>
      </c>
      <c r="D134" s="22">
        <f>SUMIFS('Bottom-up tagging'!$I:$I,'Bottom-up tagging'!$D:$D,'Analysis of bottom-up tags'!$B134,'Bottom-up tagging'!$E:$E,'Analysis of bottom-up tags'!D$6)</f>
        <v>0</v>
      </c>
      <c r="E134" s="22">
        <f>SUMIFS('Bottom-up tagging'!$I:$I,'Bottom-up tagging'!$D:$D,'Analysis of bottom-up tags'!$B134,'Bottom-up tagging'!$E:$E,'Analysis of bottom-up tags'!E$6)</f>
        <v>0</v>
      </c>
      <c r="F134" s="22">
        <f>SUMIFS('Bottom-up tagging'!$I:$I,'Bottom-up tagging'!$D:$D,'Analysis of bottom-up tags'!$B134,'Bottom-up tagging'!$E:$E,'Analysis of bottom-up tags'!F$6)</f>
        <v>0</v>
      </c>
      <c r="G134" s="22">
        <f>SUMIFS('Bottom-up tagging'!$I:$I,'Bottom-up tagging'!$D:$D,'Analysis of bottom-up tags'!$B134,'Bottom-up tagging'!$E:$E,'Analysis of bottom-up tags'!G$6)</f>
        <v>348283.96188066964</v>
      </c>
      <c r="H134" s="22">
        <f>SUMIFS('Bottom-up tagging'!$I:$I,'Bottom-up tagging'!$D:$D,'Analysis of bottom-up tags'!$B134,'Bottom-up tagging'!$E:$E,'Analysis of bottom-up tags'!H$6)</f>
        <v>0</v>
      </c>
      <c r="I134" s="22">
        <f>SUMIFS('Bottom-up tagging'!$I:$I,'Bottom-up tagging'!$D:$D,'Analysis of bottom-up tags'!$B134,'Bottom-up tagging'!$E:$E,'Analysis of bottom-up tags'!I$6)</f>
        <v>26673.248530072124</v>
      </c>
      <c r="J134" s="22">
        <f>SUMIFS('Bottom-up tagging'!$I:$I,'Bottom-up tagging'!$D:$D,'Analysis of bottom-up tags'!$B134,'Bottom-up tagging'!$E:$E,'Analysis of bottom-up tags'!J$6)</f>
        <v>1900127.6321057952</v>
      </c>
      <c r="K134" s="22">
        <f>SUMIFS('Bottom-up tagging'!$I:$I,'Bottom-up tagging'!$D:$D,'Analysis of bottom-up tags'!$B134,'Bottom-up tagging'!$E:$E,'Analysis of bottom-up tags'!K$6)</f>
        <v>0</v>
      </c>
      <c r="L134" s="22">
        <f>SUMIFS('Bottom-up tagging'!$I:$I,'Bottom-up tagging'!$D:$D,'Analysis of bottom-up tags'!$B134,'Bottom-up tagging'!$E:$E,'Analysis of bottom-up tags'!L$6)</f>
        <v>0</v>
      </c>
      <c r="N134" s="101">
        <f t="shared" si="135"/>
        <v>0</v>
      </c>
      <c r="O134" s="101">
        <f t="shared" si="136"/>
        <v>0</v>
      </c>
      <c r="P134" s="101">
        <f t="shared" si="137"/>
        <v>0</v>
      </c>
      <c r="Q134" s="101">
        <f t="shared" si="138"/>
        <v>0</v>
      </c>
      <c r="R134" s="101">
        <f t="shared" si="139"/>
        <v>8.5580315764523258E-3</v>
      </c>
      <c r="S134" s="101">
        <f t="shared" si="140"/>
        <v>0</v>
      </c>
      <c r="T134" s="101">
        <f t="shared" si="141"/>
        <v>7.2858805226406142E-5</v>
      </c>
      <c r="U134" s="101">
        <f t="shared" si="142"/>
        <v>9.1146857531358896E-3</v>
      </c>
      <c r="V134" s="101">
        <f t="shared" si="143"/>
        <v>0</v>
      </c>
      <c r="W134" s="101">
        <f t="shared" si="144"/>
        <v>0</v>
      </c>
    </row>
    <row r="135" spans="2:23">
      <c r="B135" s="22" t="s">
        <v>3468</v>
      </c>
      <c r="C135" s="22">
        <f>SUMIFS('Bottom-up tagging'!$I:$I,'Bottom-up tagging'!$D:$D,'Analysis of bottom-up tags'!$B135,'Bottom-up tagging'!$E:$E,'Analysis of bottom-up tags'!C$6)</f>
        <v>0</v>
      </c>
      <c r="D135" s="22">
        <f>SUMIFS('Bottom-up tagging'!$I:$I,'Bottom-up tagging'!$D:$D,'Analysis of bottom-up tags'!$B135,'Bottom-up tagging'!$E:$E,'Analysis of bottom-up tags'!D$6)</f>
        <v>0</v>
      </c>
      <c r="E135" s="22">
        <f>SUMIFS('Bottom-up tagging'!$I:$I,'Bottom-up tagging'!$D:$D,'Analysis of bottom-up tags'!$B135,'Bottom-up tagging'!$E:$E,'Analysis of bottom-up tags'!E$6)</f>
        <v>0</v>
      </c>
      <c r="F135" s="22">
        <f>SUMIFS('Bottom-up tagging'!$I:$I,'Bottom-up tagging'!$D:$D,'Analysis of bottom-up tags'!$B135,'Bottom-up tagging'!$E:$E,'Analysis of bottom-up tags'!F$6)</f>
        <v>0</v>
      </c>
      <c r="G135" s="22">
        <f>SUMIFS('Bottom-up tagging'!$I:$I,'Bottom-up tagging'!$D:$D,'Analysis of bottom-up tags'!$B135,'Bottom-up tagging'!$E:$E,'Analysis of bottom-up tags'!G$6)</f>
        <v>0</v>
      </c>
      <c r="H135" s="22">
        <f>SUMIFS('Bottom-up tagging'!$I:$I,'Bottom-up tagging'!$D:$D,'Analysis of bottom-up tags'!$B135,'Bottom-up tagging'!$E:$E,'Analysis of bottom-up tags'!H$6)</f>
        <v>0</v>
      </c>
      <c r="I135" s="22">
        <f>SUMIFS('Bottom-up tagging'!$I:$I,'Bottom-up tagging'!$D:$D,'Analysis of bottom-up tags'!$B135,'Bottom-up tagging'!$E:$E,'Analysis of bottom-up tags'!I$6)</f>
        <v>32837.863083854318</v>
      </c>
      <c r="J135" s="22">
        <f>SUMIFS('Bottom-up tagging'!$I:$I,'Bottom-up tagging'!$D:$D,'Analysis of bottom-up tags'!$B135,'Bottom-up tagging'!$E:$E,'Analysis of bottom-up tags'!J$6)</f>
        <v>75769.937728185629</v>
      </c>
      <c r="K135" s="22">
        <f>SUMIFS('Bottom-up tagging'!$I:$I,'Bottom-up tagging'!$D:$D,'Analysis of bottom-up tags'!$B135,'Bottom-up tagging'!$E:$E,'Analysis of bottom-up tags'!K$6)</f>
        <v>1142042.9363587978</v>
      </c>
      <c r="L135" s="22">
        <f>SUMIFS('Bottom-up tagging'!$I:$I,'Bottom-up tagging'!$D:$D,'Analysis of bottom-up tags'!$B135,'Bottom-up tagging'!$E:$E,'Analysis of bottom-up tags'!L$6)</f>
        <v>0</v>
      </c>
      <c r="N135" s="101">
        <f t="shared" si="135"/>
        <v>0</v>
      </c>
      <c r="O135" s="101">
        <f t="shared" si="136"/>
        <v>0</v>
      </c>
      <c r="P135" s="101">
        <f t="shared" si="137"/>
        <v>0</v>
      </c>
      <c r="Q135" s="101">
        <f t="shared" si="138"/>
        <v>0</v>
      </c>
      <c r="R135" s="101">
        <f t="shared" si="139"/>
        <v>0</v>
      </c>
      <c r="S135" s="101">
        <f t="shared" si="140"/>
        <v>0</v>
      </c>
      <c r="T135" s="101">
        <f t="shared" si="141"/>
        <v>8.969764098214493E-5</v>
      </c>
      <c r="U135" s="101">
        <f t="shared" si="142"/>
        <v>3.6345935939140894E-4</v>
      </c>
      <c r="V135" s="101">
        <f t="shared" si="143"/>
        <v>1.0464509397745767E-3</v>
      </c>
      <c r="W135" s="101">
        <f t="shared" si="144"/>
        <v>0</v>
      </c>
    </row>
    <row r="136" spans="2:23">
      <c r="B136" s="22" t="s">
        <v>1028</v>
      </c>
      <c r="C136" s="22">
        <f>SUMIFS('Bottom-up tagging'!$I:$I,'Bottom-up tagging'!$D:$D,'Analysis of bottom-up tags'!$B136,'Bottom-up tagging'!$E:$E,'Analysis of bottom-up tags'!C$6)</f>
        <v>0</v>
      </c>
      <c r="D136" s="22">
        <f>SUMIFS('Bottom-up tagging'!$I:$I,'Bottom-up tagging'!$D:$D,'Analysis of bottom-up tags'!$B136,'Bottom-up tagging'!$E:$E,'Analysis of bottom-up tags'!D$6)</f>
        <v>0</v>
      </c>
      <c r="E136" s="22">
        <f>SUMIFS('Bottom-up tagging'!$I:$I,'Bottom-up tagging'!$D:$D,'Analysis of bottom-up tags'!$B136,'Bottom-up tagging'!$E:$E,'Analysis of bottom-up tags'!E$6)</f>
        <v>0</v>
      </c>
      <c r="F136" s="22">
        <f>SUMIFS('Bottom-up tagging'!$I:$I,'Bottom-up tagging'!$D:$D,'Analysis of bottom-up tags'!$B136,'Bottom-up tagging'!$E:$E,'Analysis of bottom-up tags'!F$6)</f>
        <v>0</v>
      </c>
      <c r="G136" s="22">
        <f>SUMIFS('Bottom-up tagging'!$I:$I,'Bottom-up tagging'!$D:$D,'Analysis of bottom-up tags'!$B136,'Bottom-up tagging'!$E:$E,'Analysis of bottom-up tags'!G$6)</f>
        <v>0</v>
      </c>
      <c r="H136" s="22">
        <f>SUMIFS('Bottom-up tagging'!$I:$I,'Bottom-up tagging'!$D:$D,'Analysis of bottom-up tags'!$B136,'Bottom-up tagging'!$E:$E,'Analysis of bottom-up tags'!H$6)</f>
        <v>0</v>
      </c>
      <c r="I136" s="22">
        <f>SUMIFS('Bottom-up tagging'!$I:$I,'Bottom-up tagging'!$D:$D,'Analysis of bottom-up tags'!$B136,'Bottom-up tagging'!$E:$E,'Analysis of bottom-up tags'!I$6)</f>
        <v>0</v>
      </c>
      <c r="J136" s="22">
        <f>SUMIFS('Bottom-up tagging'!$I:$I,'Bottom-up tagging'!$D:$D,'Analysis of bottom-up tags'!$B136,'Bottom-up tagging'!$E:$E,'Analysis of bottom-up tags'!J$6)</f>
        <v>0</v>
      </c>
      <c r="K136" s="22">
        <f>SUMIFS('Bottom-up tagging'!$I:$I,'Bottom-up tagging'!$D:$D,'Analysis of bottom-up tags'!$B136,'Bottom-up tagging'!$E:$E,'Analysis of bottom-up tags'!K$6)</f>
        <v>89205.95214966801</v>
      </c>
      <c r="L136" s="22">
        <f>SUMIFS('Bottom-up tagging'!$I:$I,'Bottom-up tagging'!$D:$D,'Analysis of bottom-up tags'!$B136,'Bottom-up tagging'!$E:$E,'Analysis of bottom-up tags'!L$6)</f>
        <v>1775483.383173303</v>
      </c>
      <c r="N136" s="101">
        <f t="shared" si="135"/>
        <v>0</v>
      </c>
      <c r="O136" s="101">
        <f t="shared" si="136"/>
        <v>0</v>
      </c>
      <c r="P136" s="101">
        <f t="shared" si="137"/>
        <v>0</v>
      </c>
      <c r="Q136" s="101">
        <f t="shared" si="138"/>
        <v>0</v>
      </c>
      <c r="R136" s="101">
        <f t="shared" si="139"/>
        <v>0</v>
      </c>
      <c r="S136" s="101">
        <f t="shared" si="140"/>
        <v>0</v>
      </c>
      <c r="T136" s="101">
        <f t="shared" si="141"/>
        <v>0</v>
      </c>
      <c r="U136" s="101">
        <f t="shared" si="142"/>
        <v>0</v>
      </c>
      <c r="V136" s="101">
        <f t="shared" si="143"/>
        <v>8.1739179402601876E-5</v>
      </c>
      <c r="W136" s="101">
        <f t="shared" si="144"/>
        <v>6.5621818588517122E-3</v>
      </c>
    </row>
    <row r="137" spans="2:23">
      <c r="B137" s="22" t="s">
        <v>5524</v>
      </c>
      <c r="C137" s="22">
        <f>SUMIFS('Bottom-up tagging'!$I:$I,'Bottom-up tagging'!$D:$D,'Analysis of bottom-up tags'!$B137,'Bottom-up tagging'!$E:$E,'Analysis of bottom-up tags'!C$6)</f>
        <v>1250000</v>
      </c>
      <c r="D137" s="22">
        <f>SUMIFS('Bottom-up tagging'!$I:$I,'Bottom-up tagging'!$D:$D,'Analysis of bottom-up tags'!$B137,'Bottom-up tagging'!$E:$E,'Analysis of bottom-up tags'!D$6)</f>
        <v>0</v>
      </c>
      <c r="E137" s="22">
        <f>SUMIFS('Bottom-up tagging'!$I:$I,'Bottom-up tagging'!$D:$D,'Analysis of bottom-up tags'!$B137,'Bottom-up tagging'!$E:$E,'Analysis of bottom-up tags'!E$6)</f>
        <v>0</v>
      </c>
      <c r="F137" s="22">
        <f>SUMIFS('Bottom-up tagging'!$I:$I,'Bottom-up tagging'!$D:$D,'Analysis of bottom-up tags'!$B137,'Bottom-up tagging'!$E:$E,'Analysis of bottom-up tags'!F$6)</f>
        <v>0</v>
      </c>
      <c r="G137" s="22">
        <f>SUMIFS('Bottom-up tagging'!$I:$I,'Bottom-up tagging'!$D:$D,'Analysis of bottom-up tags'!$B137,'Bottom-up tagging'!$E:$E,'Analysis of bottom-up tags'!G$6)</f>
        <v>611554.61158157233</v>
      </c>
      <c r="H137" s="22">
        <f>SUMIFS('Bottom-up tagging'!$I:$I,'Bottom-up tagging'!$D:$D,'Analysis of bottom-up tags'!$B137,'Bottom-up tagging'!$E:$E,'Analysis of bottom-up tags'!H$6)</f>
        <v>0</v>
      </c>
      <c r="I137" s="22">
        <f>SUMIFS('Bottom-up tagging'!$I:$I,'Bottom-up tagging'!$D:$D,'Analysis of bottom-up tags'!$B137,'Bottom-up tagging'!$E:$E,'Analysis of bottom-up tags'!I$6)</f>
        <v>301405.81634927803</v>
      </c>
      <c r="J137" s="22">
        <f>SUMIFS('Bottom-up tagging'!$I:$I,'Bottom-up tagging'!$D:$D,'Analysis of bottom-up tags'!$B137,'Bottom-up tagging'!$E:$E,'Analysis of bottom-up tags'!J$6)</f>
        <v>39510.839910643925</v>
      </c>
      <c r="K137" s="22">
        <f>SUMIFS('Bottom-up tagging'!$I:$I,'Bottom-up tagging'!$D:$D,'Analysis of bottom-up tags'!$B137,'Bottom-up tagging'!$E:$E,'Analysis of bottom-up tags'!K$6)</f>
        <v>558754.6758218921</v>
      </c>
      <c r="L137" s="22">
        <f>SUMIFS('Bottom-up tagging'!$I:$I,'Bottom-up tagging'!$D:$D,'Analysis of bottom-up tags'!$B137,'Bottom-up tagging'!$E:$E,'Analysis of bottom-up tags'!L$6)</f>
        <v>0</v>
      </c>
      <c r="N137" s="101">
        <f t="shared" si="135"/>
        <v>1.3347720538753724E-2</v>
      </c>
      <c r="O137" s="101">
        <f t="shared" si="136"/>
        <v>0</v>
      </c>
      <c r="P137" s="101">
        <f t="shared" si="137"/>
        <v>0</v>
      </c>
      <c r="Q137" s="101">
        <f t="shared" si="138"/>
        <v>0</v>
      </c>
      <c r="R137" s="101">
        <f t="shared" si="139"/>
        <v>1.5027116518311928E-2</v>
      </c>
      <c r="S137" s="101">
        <f t="shared" si="140"/>
        <v>0</v>
      </c>
      <c r="T137" s="101">
        <f t="shared" si="141"/>
        <v>8.2329933089100968E-4</v>
      </c>
      <c r="U137" s="101">
        <f t="shared" si="142"/>
        <v>1.8952878929973259E-4</v>
      </c>
      <c r="V137" s="101">
        <f t="shared" si="143"/>
        <v>5.1198544030358478E-4</v>
      </c>
      <c r="W137" s="101">
        <f t="shared" si="144"/>
        <v>0</v>
      </c>
    </row>
    <row r="138" spans="2:23">
      <c r="B138" s="22" t="s">
        <v>5844</v>
      </c>
      <c r="C138" s="22">
        <f>SUMIFS('Bottom-up tagging'!$I:$I,'Bottom-up tagging'!$D:$D,'Analysis of bottom-up tags'!$B138,'Bottom-up tagging'!$E:$E,'Analysis of bottom-up tags'!C$6)</f>
        <v>0</v>
      </c>
      <c r="D138" s="22">
        <f>SUMIFS('Bottom-up tagging'!$I:$I,'Bottom-up tagging'!$D:$D,'Analysis of bottom-up tags'!$B138,'Bottom-up tagging'!$E:$E,'Analysis of bottom-up tags'!D$6)</f>
        <v>0</v>
      </c>
      <c r="E138" s="22">
        <f>SUMIFS('Bottom-up tagging'!$I:$I,'Bottom-up tagging'!$D:$D,'Analysis of bottom-up tags'!$B138,'Bottom-up tagging'!$E:$E,'Analysis of bottom-up tags'!E$6)</f>
        <v>0</v>
      </c>
      <c r="F138" s="22">
        <f>SUMIFS('Bottom-up tagging'!$I:$I,'Bottom-up tagging'!$D:$D,'Analysis of bottom-up tags'!$B138,'Bottom-up tagging'!$E:$E,'Analysis of bottom-up tags'!F$6)</f>
        <v>0</v>
      </c>
      <c r="G138" s="22">
        <f>SUMIFS('Bottom-up tagging'!$I:$I,'Bottom-up tagging'!$D:$D,'Analysis of bottom-up tags'!$B138,'Bottom-up tagging'!$E:$E,'Analysis of bottom-up tags'!G$6)</f>
        <v>0</v>
      </c>
      <c r="H138" s="22">
        <f>SUMIFS('Bottom-up tagging'!$I:$I,'Bottom-up tagging'!$D:$D,'Analysis of bottom-up tags'!$B138,'Bottom-up tagging'!$E:$E,'Analysis of bottom-up tags'!H$6)</f>
        <v>10288.399665908395</v>
      </c>
      <c r="I138" s="22">
        <f>SUMIFS('Bottom-up tagging'!$I:$I,'Bottom-up tagging'!$D:$D,'Analysis of bottom-up tags'!$B138,'Bottom-up tagging'!$E:$E,'Analysis of bottom-up tags'!I$6)</f>
        <v>678359.12100495398</v>
      </c>
      <c r="J138" s="22">
        <f>SUMIFS('Bottom-up tagging'!$I:$I,'Bottom-up tagging'!$D:$D,'Analysis of bottom-up tags'!$B138,'Bottom-up tagging'!$E:$E,'Analysis of bottom-up tags'!J$6)</f>
        <v>11724.636763068134</v>
      </c>
      <c r="K138" s="22">
        <f>SUMIFS('Bottom-up tagging'!$I:$I,'Bottom-up tagging'!$D:$D,'Analysis of bottom-up tags'!$B138,'Bottom-up tagging'!$E:$E,'Analysis of bottom-up tags'!K$6)</f>
        <v>0</v>
      </c>
      <c r="L138" s="22">
        <f>SUMIFS('Bottom-up tagging'!$I:$I,'Bottom-up tagging'!$D:$D,'Analysis of bottom-up tags'!$B138,'Bottom-up tagging'!$E:$E,'Analysis of bottom-up tags'!L$6)</f>
        <v>700003.47085839673</v>
      </c>
      <c r="N138" s="101">
        <f t="shared" si="135"/>
        <v>0</v>
      </c>
      <c r="O138" s="101">
        <f t="shared" si="136"/>
        <v>0</v>
      </c>
      <c r="P138" s="101">
        <f t="shared" si="137"/>
        <v>0</v>
      </c>
      <c r="Q138" s="101">
        <f t="shared" si="138"/>
        <v>0</v>
      </c>
      <c r="R138" s="101">
        <f t="shared" si="139"/>
        <v>0</v>
      </c>
      <c r="S138" s="101">
        <f t="shared" si="140"/>
        <v>5.1483914277866883E-5</v>
      </c>
      <c r="T138" s="101">
        <f t="shared" si="141"/>
        <v>1.8529589680512145E-3</v>
      </c>
      <c r="U138" s="101">
        <f t="shared" si="142"/>
        <v>5.6241684958076707E-5</v>
      </c>
      <c r="V138" s="101">
        <f t="shared" si="143"/>
        <v>0</v>
      </c>
      <c r="W138" s="101">
        <f t="shared" si="144"/>
        <v>2.5872109652697508E-3</v>
      </c>
    </row>
    <row r="139" spans="2:23">
      <c r="B139" s="22" t="s">
        <v>1258</v>
      </c>
      <c r="C139" s="22">
        <f>SUMIFS('Bottom-up tagging'!$I:$I,'Bottom-up tagging'!$D:$D,'Analysis of bottom-up tags'!$B139,'Bottom-up tagging'!$E:$E,'Analysis of bottom-up tags'!C$6)</f>
        <v>0</v>
      </c>
      <c r="D139" s="22">
        <f>SUMIFS('Bottom-up tagging'!$I:$I,'Bottom-up tagging'!$D:$D,'Analysis of bottom-up tags'!$B139,'Bottom-up tagging'!$E:$E,'Analysis of bottom-up tags'!D$6)</f>
        <v>38792.427827813102</v>
      </c>
      <c r="E139" s="22">
        <f>SUMIFS('Bottom-up tagging'!$I:$I,'Bottom-up tagging'!$D:$D,'Analysis of bottom-up tags'!$B139,'Bottom-up tagging'!$E:$E,'Analysis of bottom-up tags'!E$6)</f>
        <v>38358.910413892125</v>
      </c>
      <c r="F139" s="22">
        <f>SUMIFS('Bottom-up tagging'!$I:$I,'Bottom-up tagging'!$D:$D,'Analysis of bottom-up tags'!$B139,'Bottom-up tagging'!$E:$E,'Analysis of bottom-up tags'!F$6)</f>
        <v>0</v>
      </c>
      <c r="G139" s="22">
        <f>SUMIFS('Bottom-up tagging'!$I:$I,'Bottom-up tagging'!$D:$D,'Analysis of bottom-up tags'!$B139,'Bottom-up tagging'!$E:$E,'Analysis of bottom-up tags'!G$6)</f>
        <v>35517.594525361019</v>
      </c>
      <c r="H139" s="22">
        <f>SUMIFS('Bottom-up tagging'!$I:$I,'Bottom-up tagging'!$D:$D,'Analysis of bottom-up tags'!$B139,'Bottom-up tagging'!$E:$E,'Analysis of bottom-up tags'!H$6)</f>
        <v>27919.035436111135</v>
      </c>
      <c r="I139" s="22">
        <f>SUMIFS('Bottom-up tagging'!$I:$I,'Bottom-up tagging'!$D:$D,'Analysis of bottom-up tags'!$B139,'Bottom-up tagging'!$E:$E,'Analysis of bottom-up tags'!I$6)</f>
        <v>60737.438776225434</v>
      </c>
      <c r="J139" s="22">
        <f>SUMIFS('Bottom-up tagging'!$I:$I,'Bottom-up tagging'!$D:$D,'Analysis of bottom-up tags'!$B139,'Bottom-up tagging'!$E:$E,'Analysis of bottom-up tags'!J$6)</f>
        <v>46372.415514366083</v>
      </c>
      <c r="K139" s="22">
        <f>SUMIFS('Bottom-up tagging'!$I:$I,'Bottom-up tagging'!$D:$D,'Analysis of bottom-up tags'!$B139,'Bottom-up tagging'!$E:$E,'Analysis of bottom-up tags'!K$6)</f>
        <v>226515.23236480006</v>
      </c>
      <c r="L139" s="22">
        <f>SUMIFS('Bottom-up tagging'!$I:$I,'Bottom-up tagging'!$D:$D,'Analysis of bottom-up tags'!$B139,'Bottom-up tagging'!$E:$E,'Analysis of bottom-up tags'!L$6)</f>
        <v>132376.52446936572</v>
      </c>
      <c r="N139" s="101">
        <f t="shared" si="135"/>
        <v>0</v>
      </c>
      <c r="O139" s="101">
        <f t="shared" si="136"/>
        <v>4.8007217095434926E-4</v>
      </c>
      <c r="P139" s="101">
        <f t="shared" si="137"/>
        <v>4.975950918811806E-3</v>
      </c>
      <c r="Q139" s="101">
        <f t="shared" si="138"/>
        <v>0</v>
      </c>
      <c r="R139" s="101">
        <f t="shared" si="139"/>
        <v>8.7273813536040449E-4</v>
      </c>
      <c r="S139" s="101">
        <f t="shared" si="140"/>
        <v>1.397089220665071E-4</v>
      </c>
      <c r="T139" s="101">
        <f t="shared" si="141"/>
        <v>1.6590619686832016E-4</v>
      </c>
      <c r="U139" s="101">
        <f t="shared" si="142"/>
        <v>2.2244294956064132E-4</v>
      </c>
      <c r="V139" s="101">
        <f t="shared" si="143"/>
        <v>2.0755531183192855E-4</v>
      </c>
      <c r="W139" s="101">
        <f t="shared" si="144"/>
        <v>4.8926328212553071E-4</v>
      </c>
    </row>
    <row r="140" spans="2:23">
      <c r="B140" s="22" t="s">
        <v>5818</v>
      </c>
      <c r="C140" s="22">
        <f>SUMIFS('Bottom-up tagging'!$I:$I,'Bottom-up tagging'!$D:$D,'Analysis of bottom-up tags'!$B140,'Bottom-up tagging'!$E:$E,'Analysis of bottom-up tags'!C$6)</f>
        <v>0</v>
      </c>
      <c r="D140" s="22">
        <f>SUMIFS('Bottom-up tagging'!$I:$I,'Bottom-up tagging'!$D:$D,'Analysis of bottom-up tags'!$B140,'Bottom-up tagging'!$E:$E,'Analysis of bottom-up tags'!D$6)</f>
        <v>0</v>
      </c>
      <c r="E140" s="22">
        <f>SUMIFS('Bottom-up tagging'!$I:$I,'Bottom-up tagging'!$D:$D,'Analysis of bottom-up tags'!$B140,'Bottom-up tagging'!$E:$E,'Analysis of bottom-up tags'!E$6)</f>
        <v>0</v>
      </c>
      <c r="F140" s="22">
        <f>SUMIFS('Bottom-up tagging'!$I:$I,'Bottom-up tagging'!$D:$D,'Analysis of bottom-up tags'!$B140,'Bottom-up tagging'!$E:$E,'Analysis of bottom-up tags'!F$6)</f>
        <v>0</v>
      </c>
      <c r="G140" s="22">
        <f>SUMIFS('Bottom-up tagging'!$I:$I,'Bottom-up tagging'!$D:$D,'Analysis of bottom-up tags'!$B140,'Bottom-up tagging'!$E:$E,'Analysis of bottom-up tags'!G$6)</f>
        <v>0</v>
      </c>
      <c r="H140" s="22">
        <f>SUMIFS('Bottom-up tagging'!$I:$I,'Bottom-up tagging'!$D:$D,'Analysis of bottom-up tags'!$B140,'Bottom-up tagging'!$E:$E,'Analysis of bottom-up tags'!H$6)</f>
        <v>0</v>
      </c>
      <c r="I140" s="22">
        <f>SUMIFS('Bottom-up tagging'!$I:$I,'Bottom-up tagging'!$D:$D,'Analysis of bottom-up tags'!$B140,'Bottom-up tagging'!$E:$E,'Analysis of bottom-up tags'!I$6)</f>
        <v>0</v>
      </c>
      <c r="J140" s="22">
        <f>SUMIFS('Bottom-up tagging'!$I:$I,'Bottom-up tagging'!$D:$D,'Analysis of bottom-up tags'!$B140,'Bottom-up tagging'!$E:$E,'Analysis of bottom-up tags'!J$6)</f>
        <v>0</v>
      </c>
      <c r="K140" s="22">
        <f>SUMIFS('Bottom-up tagging'!$I:$I,'Bottom-up tagging'!$D:$D,'Analysis of bottom-up tags'!$B140,'Bottom-up tagging'!$E:$E,'Analysis of bottom-up tags'!K$6)</f>
        <v>613557.50743224565</v>
      </c>
      <c r="L140" s="22">
        <f>SUMIFS('Bottom-up tagging'!$I:$I,'Bottom-up tagging'!$D:$D,'Analysis of bottom-up tags'!$B140,'Bottom-up tagging'!$E:$E,'Analysis of bottom-up tags'!L$6)</f>
        <v>0</v>
      </c>
      <c r="N140" s="101">
        <f t="shared" si="135"/>
        <v>0</v>
      </c>
      <c r="O140" s="101">
        <f t="shared" si="136"/>
        <v>0</v>
      </c>
      <c r="P140" s="101">
        <f t="shared" si="137"/>
        <v>0</v>
      </c>
      <c r="Q140" s="101">
        <f t="shared" si="138"/>
        <v>0</v>
      </c>
      <c r="R140" s="101">
        <f t="shared" si="139"/>
        <v>0</v>
      </c>
      <c r="S140" s="101">
        <f t="shared" si="140"/>
        <v>0</v>
      </c>
      <c r="T140" s="101">
        <f t="shared" si="141"/>
        <v>0</v>
      </c>
      <c r="U140" s="101">
        <f t="shared" si="142"/>
        <v>0</v>
      </c>
      <c r="V140" s="101">
        <f t="shared" si="143"/>
        <v>5.6220113081326725E-4</v>
      </c>
      <c r="W140" s="101">
        <f t="shared" si="144"/>
        <v>0</v>
      </c>
    </row>
    <row r="141" spans="2:23">
      <c r="B141" s="22" t="s">
        <v>1740</v>
      </c>
      <c r="C141" s="22">
        <f>SUMIFS('Bottom-up tagging'!$I:$I,'Bottom-up tagging'!$D:$D,'Analysis of bottom-up tags'!$B141,'Bottom-up tagging'!$E:$E,'Analysis of bottom-up tags'!C$6)</f>
        <v>0</v>
      </c>
      <c r="D141" s="22">
        <f>SUMIFS('Bottom-up tagging'!$I:$I,'Bottom-up tagging'!$D:$D,'Analysis of bottom-up tags'!$B141,'Bottom-up tagging'!$E:$E,'Analysis of bottom-up tags'!D$6)</f>
        <v>0</v>
      </c>
      <c r="E141" s="22">
        <f>SUMIFS('Bottom-up tagging'!$I:$I,'Bottom-up tagging'!$D:$D,'Analysis of bottom-up tags'!$B141,'Bottom-up tagging'!$E:$E,'Analysis of bottom-up tags'!E$6)</f>
        <v>0</v>
      </c>
      <c r="F141" s="22">
        <f>SUMIFS('Bottom-up tagging'!$I:$I,'Bottom-up tagging'!$D:$D,'Analysis of bottom-up tags'!$B141,'Bottom-up tagging'!$E:$E,'Analysis of bottom-up tags'!F$6)</f>
        <v>0</v>
      </c>
      <c r="G141" s="22">
        <f>SUMIFS('Bottom-up tagging'!$I:$I,'Bottom-up tagging'!$D:$D,'Analysis of bottom-up tags'!$B141,'Bottom-up tagging'!$E:$E,'Analysis of bottom-up tags'!G$6)</f>
        <v>0</v>
      </c>
      <c r="H141" s="22">
        <f>SUMIFS('Bottom-up tagging'!$I:$I,'Bottom-up tagging'!$D:$D,'Analysis of bottom-up tags'!$B141,'Bottom-up tagging'!$E:$E,'Analysis of bottom-up tags'!H$6)</f>
        <v>0</v>
      </c>
      <c r="I141" s="22">
        <f>SUMIFS('Bottom-up tagging'!$I:$I,'Bottom-up tagging'!$D:$D,'Analysis of bottom-up tags'!$B141,'Bottom-up tagging'!$E:$E,'Analysis of bottom-up tags'!I$6)</f>
        <v>0</v>
      </c>
      <c r="J141" s="22">
        <f>SUMIFS('Bottom-up tagging'!$I:$I,'Bottom-up tagging'!$D:$D,'Analysis of bottom-up tags'!$B141,'Bottom-up tagging'!$E:$E,'Analysis of bottom-up tags'!J$6)</f>
        <v>0</v>
      </c>
      <c r="K141" s="22">
        <f>SUMIFS('Bottom-up tagging'!$I:$I,'Bottom-up tagging'!$D:$D,'Analysis of bottom-up tags'!$B141,'Bottom-up tagging'!$E:$E,'Analysis of bottom-up tags'!K$6)</f>
        <v>10592.508189967517</v>
      </c>
      <c r="L141" s="22">
        <f>SUMIFS('Bottom-up tagging'!$I:$I,'Bottom-up tagging'!$D:$D,'Analysis of bottom-up tags'!$B141,'Bottom-up tagging'!$E:$E,'Analysis of bottom-up tags'!L$6)</f>
        <v>0</v>
      </c>
      <c r="N141" s="101">
        <f t="shared" si="135"/>
        <v>0</v>
      </c>
      <c r="O141" s="101">
        <f t="shared" si="136"/>
        <v>0</v>
      </c>
      <c r="P141" s="101">
        <f t="shared" si="137"/>
        <v>0</v>
      </c>
      <c r="Q141" s="101">
        <f t="shared" si="138"/>
        <v>0</v>
      </c>
      <c r="R141" s="101">
        <f t="shared" si="139"/>
        <v>0</v>
      </c>
      <c r="S141" s="101">
        <f t="shared" si="140"/>
        <v>0</v>
      </c>
      <c r="T141" s="101">
        <f t="shared" si="141"/>
        <v>0</v>
      </c>
      <c r="U141" s="101">
        <f t="shared" si="142"/>
        <v>0</v>
      </c>
      <c r="V141" s="101">
        <f t="shared" si="143"/>
        <v>9.7058874032376637E-6</v>
      </c>
      <c r="W141" s="101">
        <f t="shared" si="144"/>
        <v>0</v>
      </c>
    </row>
    <row r="142" spans="2:23">
      <c r="B142" s="22" t="s">
        <v>9288</v>
      </c>
      <c r="C142" s="22">
        <f>SUMIFS('Bottom-up tagging'!$I:$I,'Bottom-up tagging'!$D:$D,'Analysis of bottom-up tags'!$B142,'Bottom-up tagging'!$E:$E,'Analysis of bottom-up tags'!C$6)</f>
        <v>0</v>
      </c>
      <c r="D142" s="22">
        <f>SUMIFS('Bottom-up tagging'!$I:$I,'Bottom-up tagging'!$D:$D,'Analysis of bottom-up tags'!$B142,'Bottom-up tagging'!$E:$E,'Analysis of bottom-up tags'!D$6)</f>
        <v>0</v>
      </c>
      <c r="E142" s="22">
        <f>SUMIFS('Bottom-up tagging'!$I:$I,'Bottom-up tagging'!$D:$D,'Analysis of bottom-up tags'!$B142,'Bottom-up tagging'!$E:$E,'Analysis of bottom-up tags'!E$6)</f>
        <v>0</v>
      </c>
      <c r="F142" s="22">
        <f>SUMIFS('Bottom-up tagging'!$I:$I,'Bottom-up tagging'!$D:$D,'Analysis of bottom-up tags'!$B142,'Bottom-up tagging'!$E:$E,'Analysis of bottom-up tags'!F$6)</f>
        <v>0</v>
      </c>
      <c r="G142" s="22">
        <f>SUMIFS('Bottom-up tagging'!$I:$I,'Bottom-up tagging'!$D:$D,'Analysis of bottom-up tags'!$B142,'Bottom-up tagging'!$E:$E,'Analysis of bottom-up tags'!G$6)</f>
        <v>0</v>
      </c>
      <c r="H142" s="22">
        <f>SUMIFS('Bottom-up tagging'!$I:$I,'Bottom-up tagging'!$D:$D,'Analysis of bottom-up tags'!$B142,'Bottom-up tagging'!$E:$E,'Analysis of bottom-up tags'!H$6)</f>
        <v>135530.68100692623</v>
      </c>
      <c r="I142" s="22">
        <f>SUMIFS('Bottom-up tagging'!$I:$I,'Bottom-up tagging'!$D:$D,'Analysis of bottom-up tags'!$B142,'Bottom-up tagging'!$E:$E,'Analysis of bottom-up tags'!I$6)</f>
        <v>19091.282557617189</v>
      </c>
      <c r="J142" s="22">
        <f>SUMIFS('Bottom-up tagging'!$I:$I,'Bottom-up tagging'!$D:$D,'Analysis of bottom-up tags'!$B142,'Bottom-up tagging'!$E:$E,'Analysis of bottom-up tags'!J$6)</f>
        <v>0</v>
      </c>
      <c r="K142" s="22">
        <f>SUMIFS('Bottom-up tagging'!$I:$I,'Bottom-up tagging'!$D:$D,'Analysis of bottom-up tags'!$B142,'Bottom-up tagging'!$E:$E,'Analysis of bottom-up tags'!K$6)</f>
        <v>0</v>
      </c>
      <c r="L142" s="22">
        <f>SUMIFS('Bottom-up tagging'!$I:$I,'Bottom-up tagging'!$D:$D,'Analysis of bottom-up tags'!$B142,'Bottom-up tagging'!$E:$E,'Analysis of bottom-up tags'!L$6)</f>
        <v>0</v>
      </c>
      <c r="N142" s="101">
        <f t="shared" si="135"/>
        <v>0</v>
      </c>
      <c r="O142" s="101">
        <f t="shared" si="136"/>
        <v>0</v>
      </c>
      <c r="P142" s="101">
        <f t="shared" si="137"/>
        <v>0</v>
      </c>
      <c r="Q142" s="101">
        <f t="shared" si="138"/>
        <v>0</v>
      </c>
      <c r="R142" s="101">
        <f t="shared" si="139"/>
        <v>0</v>
      </c>
      <c r="S142" s="101">
        <f t="shared" si="140"/>
        <v>6.7820557030872622E-4</v>
      </c>
      <c r="T142" s="101">
        <f t="shared" si="141"/>
        <v>5.2148430132891452E-5</v>
      </c>
      <c r="U142" s="101">
        <f t="shared" si="142"/>
        <v>0</v>
      </c>
      <c r="V142" s="101">
        <f t="shared" si="143"/>
        <v>0</v>
      </c>
      <c r="W142" s="101">
        <f t="shared" si="144"/>
        <v>0</v>
      </c>
    </row>
    <row r="143" spans="2:23">
      <c r="B143" s="22" t="s">
        <v>7148</v>
      </c>
      <c r="C143" s="22">
        <f>SUMIFS('Bottom-up tagging'!$I:$I,'Bottom-up tagging'!$D:$D,'Analysis of bottom-up tags'!$B143,'Bottom-up tagging'!$E:$E,'Analysis of bottom-up tags'!C$6)</f>
        <v>0</v>
      </c>
      <c r="D143" s="22">
        <f>SUMIFS('Bottom-up tagging'!$I:$I,'Bottom-up tagging'!$D:$D,'Analysis of bottom-up tags'!$B143,'Bottom-up tagging'!$E:$E,'Analysis of bottom-up tags'!D$6)</f>
        <v>0</v>
      </c>
      <c r="E143" s="22">
        <f>SUMIFS('Bottom-up tagging'!$I:$I,'Bottom-up tagging'!$D:$D,'Analysis of bottom-up tags'!$B143,'Bottom-up tagging'!$E:$E,'Analysis of bottom-up tags'!E$6)</f>
        <v>0</v>
      </c>
      <c r="F143" s="22">
        <f>SUMIFS('Bottom-up tagging'!$I:$I,'Bottom-up tagging'!$D:$D,'Analysis of bottom-up tags'!$B143,'Bottom-up tagging'!$E:$E,'Analysis of bottom-up tags'!F$6)</f>
        <v>0</v>
      </c>
      <c r="G143" s="22">
        <f>SUMIFS('Bottom-up tagging'!$I:$I,'Bottom-up tagging'!$D:$D,'Analysis of bottom-up tags'!$B143,'Bottom-up tagging'!$E:$E,'Analysis of bottom-up tags'!G$6)</f>
        <v>0</v>
      </c>
      <c r="H143" s="22">
        <f>SUMIFS('Bottom-up tagging'!$I:$I,'Bottom-up tagging'!$D:$D,'Analysis of bottom-up tags'!$B143,'Bottom-up tagging'!$E:$E,'Analysis of bottom-up tags'!H$6)</f>
        <v>0</v>
      </c>
      <c r="I143" s="22">
        <f>SUMIFS('Bottom-up tagging'!$I:$I,'Bottom-up tagging'!$D:$D,'Analysis of bottom-up tags'!$B143,'Bottom-up tagging'!$E:$E,'Analysis of bottom-up tags'!I$6)</f>
        <v>0</v>
      </c>
      <c r="J143" s="22">
        <f>SUMIFS('Bottom-up tagging'!$I:$I,'Bottom-up tagging'!$D:$D,'Analysis of bottom-up tags'!$B143,'Bottom-up tagging'!$E:$E,'Analysis of bottom-up tags'!J$6)</f>
        <v>0</v>
      </c>
      <c r="K143" s="22">
        <f>SUMIFS('Bottom-up tagging'!$I:$I,'Bottom-up tagging'!$D:$D,'Analysis of bottom-up tags'!$B143,'Bottom-up tagging'!$E:$E,'Analysis of bottom-up tags'!K$6)</f>
        <v>0</v>
      </c>
      <c r="L143" s="22">
        <f>SUMIFS('Bottom-up tagging'!$I:$I,'Bottom-up tagging'!$D:$D,'Analysis of bottom-up tags'!$B143,'Bottom-up tagging'!$E:$E,'Analysis of bottom-up tags'!L$6)</f>
        <v>91005.396812606239</v>
      </c>
      <c r="N143" s="101">
        <f t="shared" si="135"/>
        <v>0</v>
      </c>
      <c r="O143" s="101">
        <f t="shared" si="136"/>
        <v>0</v>
      </c>
      <c r="P143" s="101">
        <f t="shared" si="137"/>
        <v>0</v>
      </c>
      <c r="Q143" s="101">
        <f t="shared" si="138"/>
        <v>0</v>
      </c>
      <c r="R143" s="101">
        <f t="shared" si="139"/>
        <v>0</v>
      </c>
      <c r="S143" s="101">
        <f t="shared" si="140"/>
        <v>0</v>
      </c>
      <c r="T143" s="101">
        <f t="shared" si="141"/>
        <v>0</v>
      </c>
      <c r="U143" s="101">
        <f t="shared" si="142"/>
        <v>0</v>
      </c>
      <c r="V143" s="101">
        <f t="shared" si="143"/>
        <v>0</v>
      </c>
      <c r="W143" s="101">
        <f t="shared" si="144"/>
        <v>3.3635570441325536E-4</v>
      </c>
    </row>
    <row r="144" spans="2:23">
      <c r="B144" s="22" t="s">
        <v>6393</v>
      </c>
      <c r="C144" s="22">
        <f>SUMIFS('Bottom-up tagging'!$I:$I,'Bottom-up tagging'!$D:$D,'Analysis of bottom-up tags'!$B144,'Bottom-up tagging'!$E:$E,'Analysis of bottom-up tags'!C$6)</f>
        <v>0</v>
      </c>
      <c r="D144" s="22">
        <f>SUMIFS('Bottom-up tagging'!$I:$I,'Bottom-up tagging'!$D:$D,'Analysis of bottom-up tags'!$B144,'Bottom-up tagging'!$E:$E,'Analysis of bottom-up tags'!D$6)</f>
        <v>0</v>
      </c>
      <c r="E144" s="22">
        <f>SUMIFS('Bottom-up tagging'!$I:$I,'Bottom-up tagging'!$D:$D,'Analysis of bottom-up tags'!$B144,'Bottom-up tagging'!$E:$E,'Analysis of bottom-up tags'!E$6)</f>
        <v>0</v>
      </c>
      <c r="F144" s="22">
        <f>SUMIFS('Bottom-up tagging'!$I:$I,'Bottom-up tagging'!$D:$D,'Analysis of bottom-up tags'!$B144,'Bottom-up tagging'!$E:$E,'Analysis of bottom-up tags'!F$6)</f>
        <v>0</v>
      </c>
      <c r="G144" s="22">
        <f>SUMIFS('Bottom-up tagging'!$I:$I,'Bottom-up tagging'!$D:$D,'Analysis of bottom-up tags'!$B144,'Bottom-up tagging'!$E:$E,'Analysis of bottom-up tags'!G$6)</f>
        <v>0</v>
      </c>
      <c r="H144" s="22">
        <f>SUMIFS('Bottom-up tagging'!$I:$I,'Bottom-up tagging'!$D:$D,'Analysis of bottom-up tags'!$B144,'Bottom-up tagging'!$E:$E,'Analysis of bottom-up tags'!H$6)</f>
        <v>0</v>
      </c>
      <c r="I144" s="22">
        <f>SUMIFS('Bottom-up tagging'!$I:$I,'Bottom-up tagging'!$D:$D,'Analysis of bottom-up tags'!$B144,'Bottom-up tagging'!$E:$E,'Analysis of bottom-up tags'!I$6)</f>
        <v>0</v>
      </c>
      <c r="J144" s="22">
        <f>SUMIFS('Bottom-up tagging'!$I:$I,'Bottom-up tagging'!$D:$D,'Analysis of bottom-up tags'!$B144,'Bottom-up tagging'!$E:$E,'Analysis of bottom-up tags'!J$6)</f>
        <v>0</v>
      </c>
      <c r="K144" s="22">
        <f>SUMIFS('Bottom-up tagging'!$I:$I,'Bottom-up tagging'!$D:$D,'Analysis of bottom-up tags'!$B144,'Bottom-up tagging'!$E:$E,'Analysis of bottom-up tags'!K$6)</f>
        <v>94034.357441961765</v>
      </c>
      <c r="L144" s="22">
        <f>SUMIFS('Bottom-up tagging'!$I:$I,'Bottom-up tagging'!$D:$D,'Analysis of bottom-up tags'!$B144,'Bottom-up tagging'!$E:$E,'Analysis of bottom-up tags'!L$6)</f>
        <v>0</v>
      </c>
      <c r="N144" s="101">
        <f t="shared" si="135"/>
        <v>0</v>
      </c>
      <c r="O144" s="101">
        <f t="shared" si="136"/>
        <v>0</v>
      </c>
      <c r="P144" s="101">
        <f t="shared" si="137"/>
        <v>0</v>
      </c>
      <c r="Q144" s="101">
        <f t="shared" si="138"/>
        <v>0</v>
      </c>
      <c r="R144" s="101">
        <f t="shared" si="139"/>
        <v>0</v>
      </c>
      <c r="S144" s="101">
        <f t="shared" si="140"/>
        <v>0</v>
      </c>
      <c r="T144" s="101">
        <f t="shared" si="141"/>
        <v>0</v>
      </c>
      <c r="U144" s="101">
        <f t="shared" si="142"/>
        <v>0</v>
      </c>
      <c r="V144" s="101">
        <f t="shared" si="143"/>
        <v>8.6163434476446067E-5</v>
      </c>
      <c r="W144" s="101">
        <f t="shared" si="144"/>
        <v>0</v>
      </c>
    </row>
    <row r="145" spans="2:23">
      <c r="B145" s="22" t="s">
        <v>9462</v>
      </c>
      <c r="C145" s="22">
        <f>SUMIFS('Bottom-up tagging'!$I:$I,'Bottom-up tagging'!$D:$D,'Analysis of bottom-up tags'!$B145,'Bottom-up tagging'!$E:$E,'Analysis of bottom-up tags'!C$6)</f>
        <v>0</v>
      </c>
      <c r="D145" s="22">
        <f>SUMIFS('Bottom-up tagging'!$I:$I,'Bottom-up tagging'!$D:$D,'Analysis of bottom-up tags'!$B145,'Bottom-up tagging'!$E:$E,'Analysis of bottom-up tags'!D$6)</f>
        <v>0</v>
      </c>
      <c r="E145" s="22">
        <f>SUMIFS('Bottom-up tagging'!$I:$I,'Bottom-up tagging'!$D:$D,'Analysis of bottom-up tags'!$B145,'Bottom-up tagging'!$E:$E,'Analysis of bottom-up tags'!E$6)</f>
        <v>0</v>
      </c>
      <c r="F145" s="22">
        <f>SUMIFS('Bottom-up tagging'!$I:$I,'Bottom-up tagging'!$D:$D,'Analysis of bottom-up tags'!$B145,'Bottom-up tagging'!$E:$E,'Analysis of bottom-up tags'!F$6)</f>
        <v>0</v>
      </c>
      <c r="G145" s="22">
        <f>SUMIFS('Bottom-up tagging'!$I:$I,'Bottom-up tagging'!$D:$D,'Analysis of bottom-up tags'!$B145,'Bottom-up tagging'!$E:$E,'Analysis of bottom-up tags'!G$6)</f>
        <v>0</v>
      </c>
      <c r="H145" s="22">
        <f>SUMIFS('Bottom-up tagging'!$I:$I,'Bottom-up tagging'!$D:$D,'Analysis of bottom-up tags'!$B145,'Bottom-up tagging'!$E:$E,'Analysis of bottom-up tags'!H$6)</f>
        <v>81897.627609053467</v>
      </c>
      <c r="I145" s="22">
        <f>SUMIFS('Bottom-up tagging'!$I:$I,'Bottom-up tagging'!$D:$D,'Analysis of bottom-up tags'!$B145,'Bottom-up tagging'!$E:$E,'Analysis of bottom-up tags'!I$6)</f>
        <v>0</v>
      </c>
      <c r="J145" s="22">
        <f>SUMIFS('Bottom-up tagging'!$I:$I,'Bottom-up tagging'!$D:$D,'Analysis of bottom-up tags'!$B145,'Bottom-up tagging'!$E:$E,'Analysis of bottom-up tags'!J$6)</f>
        <v>0</v>
      </c>
      <c r="K145" s="22">
        <f>SUMIFS('Bottom-up tagging'!$I:$I,'Bottom-up tagging'!$D:$D,'Analysis of bottom-up tags'!$B145,'Bottom-up tagging'!$E:$E,'Analysis of bottom-up tags'!K$6)</f>
        <v>0</v>
      </c>
      <c r="L145" s="22">
        <f>SUMIFS('Bottom-up tagging'!$I:$I,'Bottom-up tagging'!$D:$D,'Analysis of bottom-up tags'!$B145,'Bottom-up tagging'!$E:$E,'Analysis of bottom-up tags'!L$6)</f>
        <v>0</v>
      </c>
      <c r="N145" s="101">
        <f t="shared" si="135"/>
        <v>0</v>
      </c>
      <c r="O145" s="101">
        <f t="shared" si="136"/>
        <v>0</v>
      </c>
      <c r="P145" s="101">
        <f t="shared" si="137"/>
        <v>0</v>
      </c>
      <c r="Q145" s="101">
        <f t="shared" si="138"/>
        <v>0</v>
      </c>
      <c r="R145" s="101">
        <f t="shared" si="139"/>
        <v>0</v>
      </c>
      <c r="S145" s="101">
        <f t="shared" si="140"/>
        <v>4.0982179700470382E-4</v>
      </c>
      <c r="T145" s="101">
        <f t="shared" si="141"/>
        <v>0</v>
      </c>
      <c r="U145" s="101">
        <f t="shared" si="142"/>
        <v>0</v>
      </c>
      <c r="V145" s="101">
        <f t="shared" si="143"/>
        <v>0</v>
      </c>
      <c r="W145" s="101">
        <f t="shared" si="144"/>
        <v>0</v>
      </c>
    </row>
    <row r="146" spans="2:23">
      <c r="B146" s="22" t="s">
        <v>6313</v>
      </c>
      <c r="C146" s="22">
        <f>SUMIFS('Bottom-up tagging'!$I:$I,'Bottom-up tagging'!$D:$D,'Analysis of bottom-up tags'!$B146,'Bottom-up tagging'!$E:$E,'Analysis of bottom-up tags'!C$6)</f>
        <v>0</v>
      </c>
      <c r="D146" s="22">
        <f>SUMIFS('Bottom-up tagging'!$I:$I,'Bottom-up tagging'!$D:$D,'Analysis of bottom-up tags'!$B146,'Bottom-up tagging'!$E:$E,'Analysis of bottom-up tags'!D$6)</f>
        <v>0</v>
      </c>
      <c r="E146" s="22">
        <f>SUMIFS('Bottom-up tagging'!$I:$I,'Bottom-up tagging'!$D:$D,'Analysis of bottom-up tags'!$B146,'Bottom-up tagging'!$E:$E,'Analysis of bottom-up tags'!E$6)</f>
        <v>0</v>
      </c>
      <c r="F146" s="22">
        <f>SUMIFS('Bottom-up tagging'!$I:$I,'Bottom-up tagging'!$D:$D,'Analysis of bottom-up tags'!$B146,'Bottom-up tagging'!$E:$E,'Analysis of bottom-up tags'!F$6)</f>
        <v>0</v>
      </c>
      <c r="G146" s="22">
        <f>SUMIFS('Bottom-up tagging'!$I:$I,'Bottom-up tagging'!$D:$D,'Analysis of bottom-up tags'!$B146,'Bottom-up tagging'!$E:$E,'Analysis of bottom-up tags'!G$6)</f>
        <v>0</v>
      </c>
      <c r="H146" s="22">
        <f>SUMIFS('Bottom-up tagging'!$I:$I,'Bottom-up tagging'!$D:$D,'Analysis of bottom-up tags'!$B146,'Bottom-up tagging'!$E:$E,'Analysis of bottom-up tags'!H$6)</f>
        <v>0</v>
      </c>
      <c r="I146" s="22">
        <f>SUMIFS('Bottom-up tagging'!$I:$I,'Bottom-up tagging'!$D:$D,'Analysis of bottom-up tags'!$B146,'Bottom-up tagging'!$E:$E,'Analysis of bottom-up tags'!I$6)</f>
        <v>0</v>
      </c>
      <c r="J146" s="22">
        <f>SUMIFS('Bottom-up tagging'!$I:$I,'Bottom-up tagging'!$D:$D,'Analysis of bottom-up tags'!$B146,'Bottom-up tagging'!$E:$E,'Analysis of bottom-up tags'!J$6)</f>
        <v>0</v>
      </c>
      <c r="K146" s="22">
        <f>SUMIFS('Bottom-up tagging'!$I:$I,'Bottom-up tagging'!$D:$D,'Analysis of bottom-up tags'!$B146,'Bottom-up tagging'!$E:$E,'Analysis of bottom-up tags'!K$6)</f>
        <v>0</v>
      </c>
      <c r="L146" s="22">
        <f>SUMIFS('Bottom-up tagging'!$I:$I,'Bottom-up tagging'!$D:$D,'Analysis of bottom-up tags'!$B146,'Bottom-up tagging'!$E:$E,'Analysis of bottom-up tags'!L$6)</f>
        <v>0</v>
      </c>
      <c r="N146" s="101">
        <f t="shared" si="135"/>
        <v>0</v>
      </c>
      <c r="O146" s="101">
        <f t="shared" si="136"/>
        <v>0</v>
      </c>
      <c r="P146" s="101">
        <f t="shared" si="137"/>
        <v>0</v>
      </c>
      <c r="Q146" s="101">
        <f t="shared" si="138"/>
        <v>0</v>
      </c>
      <c r="R146" s="101">
        <f t="shared" si="139"/>
        <v>0</v>
      </c>
      <c r="S146" s="101">
        <f t="shared" si="140"/>
        <v>0</v>
      </c>
      <c r="T146" s="101">
        <f t="shared" si="141"/>
        <v>0</v>
      </c>
      <c r="U146" s="101">
        <f t="shared" si="142"/>
        <v>0</v>
      </c>
      <c r="V146" s="101">
        <f t="shared" si="143"/>
        <v>0</v>
      </c>
      <c r="W146" s="101">
        <f t="shared" si="144"/>
        <v>0</v>
      </c>
    </row>
    <row r="147" spans="2:23">
      <c r="B147" s="22" t="s">
        <v>9855</v>
      </c>
      <c r="C147" s="22">
        <f>SUMIFS('Bottom-up tagging'!$I:$I,'Bottom-up tagging'!$D:$D,'Analysis of bottom-up tags'!$B147,'Bottom-up tagging'!$E:$E,'Analysis of bottom-up tags'!C$6)</f>
        <v>0</v>
      </c>
      <c r="D147" s="22">
        <f>SUMIFS('Bottom-up tagging'!$I:$I,'Bottom-up tagging'!$D:$D,'Analysis of bottom-up tags'!$B147,'Bottom-up tagging'!$E:$E,'Analysis of bottom-up tags'!D$6)</f>
        <v>0</v>
      </c>
      <c r="E147" s="22">
        <f>SUMIFS('Bottom-up tagging'!$I:$I,'Bottom-up tagging'!$D:$D,'Analysis of bottom-up tags'!$B147,'Bottom-up tagging'!$E:$E,'Analysis of bottom-up tags'!E$6)</f>
        <v>0</v>
      </c>
      <c r="F147" s="22">
        <f>SUMIFS('Bottom-up tagging'!$I:$I,'Bottom-up tagging'!$D:$D,'Analysis of bottom-up tags'!$B147,'Bottom-up tagging'!$E:$E,'Analysis of bottom-up tags'!F$6)</f>
        <v>0</v>
      </c>
      <c r="G147" s="22">
        <f>SUMIFS('Bottom-up tagging'!$I:$I,'Bottom-up tagging'!$D:$D,'Analysis of bottom-up tags'!$B147,'Bottom-up tagging'!$E:$E,'Analysis of bottom-up tags'!G$6)</f>
        <v>49278.22387274784</v>
      </c>
      <c r="H147" s="22">
        <f>SUMIFS('Bottom-up tagging'!$I:$I,'Bottom-up tagging'!$D:$D,'Analysis of bottom-up tags'!$B147,'Bottom-up tagging'!$E:$E,'Analysis of bottom-up tags'!H$6)</f>
        <v>0</v>
      </c>
      <c r="I147" s="22">
        <f>SUMIFS('Bottom-up tagging'!$I:$I,'Bottom-up tagging'!$D:$D,'Analysis of bottom-up tags'!$B147,'Bottom-up tagging'!$E:$E,'Analysis of bottom-up tags'!I$6)</f>
        <v>0</v>
      </c>
      <c r="J147" s="22">
        <f>SUMIFS('Bottom-up tagging'!$I:$I,'Bottom-up tagging'!$D:$D,'Analysis of bottom-up tags'!$B147,'Bottom-up tagging'!$E:$E,'Analysis of bottom-up tags'!J$6)</f>
        <v>0</v>
      </c>
      <c r="K147" s="22">
        <f>SUMIFS('Bottom-up tagging'!$I:$I,'Bottom-up tagging'!$D:$D,'Analysis of bottom-up tags'!$B147,'Bottom-up tagging'!$E:$E,'Analysis of bottom-up tags'!K$6)</f>
        <v>0</v>
      </c>
      <c r="L147" s="22">
        <f>SUMIFS('Bottom-up tagging'!$I:$I,'Bottom-up tagging'!$D:$D,'Analysis of bottom-up tags'!$B147,'Bottom-up tagging'!$E:$E,'Analysis of bottom-up tags'!L$6)</f>
        <v>0</v>
      </c>
      <c r="N147" s="101">
        <f t="shared" si="135"/>
        <v>0</v>
      </c>
      <c r="O147" s="101">
        <f t="shared" si="136"/>
        <v>0</v>
      </c>
      <c r="P147" s="101">
        <f t="shared" si="137"/>
        <v>0</v>
      </c>
      <c r="Q147" s="101">
        <f t="shared" si="138"/>
        <v>0</v>
      </c>
      <c r="R147" s="101">
        <f t="shared" si="139"/>
        <v>1.2108642432376937E-3</v>
      </c>
      <c r="S147" s="101">
        <f t="shared" si="140"/>
        <v>0</v>
      </c>
      <c r="T147" s="101">
        <f t="shared" si="141"/>
        <v>0</v>
      </c>
      <c r="U147" s="101">
        <f t="shared" si="142"/>
        <v>0</v>
      </c>
      <c r="V147" s="101">
        <f t="shared" si="143"/>
        <v>0</v>
      </c>
      <c r="W147" s="101">
        <f t="shared" si="144"/>
        <v>0</v>
      </c>
    </row>
    <row r="148" spans="2:23">
      <c r="B148" s="22" t="s">
        <v>6281</v>
      </c>
      <c r="C148" s="22">
        <f>SUMIFS('Bottom-up tagging'!$I:$I,'Bottom-up tagging'!$D:$D,'Analysis of bottom-up tags'!$B148,'Bottom-up tagging'!$E:$E,'Analysis of bottom-up tags'!C$6)</f>
        <v>0</v>
      </c>
      <c r="D148" s="22">
        <f>SUMIFS('Bottom-up tagging'!$I:$I,'Bottom-up tagging'!$D:$D,'Analysis of bottom-up tags'!$B148,'Bottom-up tagging'!$E:$E,'Analysis of bottom-up tags'!D$6)</f>
        <v>0</v>
      </c>
      <c r="E148" s="22">
        <f>SUMIFS('Bottom-up tagging'!$I:$I,'Bottom-up tagging'!$D:$D,'Analysis of bottom-up tags'!$B148,'Bottom-up tagging'!$E:$E,'Analysis of bottom-up tags'!E$6)</f>
        <v>0</v>
      </c>
      <c r="F148" s="22">
        <f>SUMIFS('Bottom-up tagging'!$I:$I,'Bottom-up tagging'!$D:$D,'Analysis of bottom-up tags'!$B148,'Bottom-up tagging'!$E:$E,'Analysis of bottom-up tags'!F$6)</f>
        <v>0</v>
      </c>
      <c r="G148" s="22">
        <f>SUMIFS('Bottom-up tagging'!$I:$I,'Bottom-up tagging'!$D:$D,'Analysis of bottom-up tags'!$B148,'Bottom-up tagging'!$E:$E,'Analysis of bottom-up tags'!G$6)</f>
        <v>0</v>
      </c>
      <c r="H148" s="22">
        <f>SUMIFS('Bottom-up tagging'!$I:$I,'Bottom-up tagging'!$D:$D,'Analysis of bottom-up tags'!$B148,'Bottom-up tagging'!$E:$E,'Analysis of bottom-up tags'!H$6)</f>
        <v>0</v>
      </c>
      <c r="I148" s="22">
        <f>SUMIFS('Bottom-up tagging'!$I:$I,'Bottom-up tagging'!$D:$D,'Analysis of bottom-up tags'!$B148,'Bottom-up tagging'!$E:$E,'Analysis of bottom-up tags'!I$6)</f>
        <v>0</v>
      </c>
      <c r="J148" s="22">
        <f>SUMIFS('Bottom-up tagging'!$I:$I,'Bottom-up tagging'!$D:$D,'Analysis of bottom-up tags'!$B148,'Bottom-up tagging'!$E:$E,'Analysis of bottom-up tags'!J$6)</f>
        <v>0</v>
      </c>
      <c r="K148" s="22">
        <f>SUMIFS('Bottom-up tagging'!$I:$I,'Bottom-up tagging'!$D:$D,'Analysis of bottom-up tags'!$B148,'Bottom-up tagging'!$E:$E,'Analysis of bottom-up tags'!K$6)</f>
        <v>0</v>
      </c>
      <c r="L148" s="22">
        <f>SUMIFS('Bottom-up tagging'!$I:$I,'Bottom-up tagging'!$D:$D,'Analysis of bottom-up tags'!$B148,'Bottom-up tagging'!$E:$E,'Analysis of bottom-up tags'!L$6)</f>
        <v>31771.844904885911</v>
      </c>
      <c r="N148" s="101">
        <f t="shared" si="135"/>
        <v>0</v>
      </c>
      <c r="O148" s="101">
        <f t="shared" si="136"/>
        <v>0</v>
      </c>
      <c r="P148" s="101">
        <f t="shared" si="137"/>
        <v>0</v>
      </c>
      <c r="Q148" s="101">
        <f t="shared" si="138"/>
        <v>0</v>
      </c>
      <c r="R148" s="101">
        <f t="shared" si="139"/>
        <v>0</v>
      </c>
      <c r="S148" s="101">
        <f t="shared" si="140"/>
        <v>0</v>
      </c>
      <c r="T148" s="101">
        <f t="shared" si="141"/>
        <v>0</v>
      </c>
      <c r="U148" s="101">
        <f t="shared" si="142"/>
        <v>0</v>
      </c>
      <c r="V148" s="101">
        <f t="shared" si="143"/>
        <v>0</v>
      </c>
      <c r="W148" s="101">
        <f t="shared" si="144"/>
        <v>1.1742865420934317E-4</v>
      </c>
    </row>
    <row r="149" spans="2:23">
      <c r="B149" s="22" t="s">
        <v>10098</v>
      </c>
      <c r="C149" s="22">
        <f>SUMIFS('Bottom-up tagging'!$I:$I,'Bottom-up tagging'!$D:$D,'Analysis of bottom-up tags'!$B149,'Bottom-up tagging'!$E:$E,'Analysis of bottom-up tags'!C$6)</f>
        <v>0</v>
      </c>
      <c r="D149" s="22">
        <f>SUMIFS('Bottom-up tagging'!$I:$I,'Bottom-up tagging'!$D:$D,'Analysis of bottom-up tags'!$B149,'Bottom-up tagging'!$E:$E,'Analysis of bottom-up tags'!D$6)</f>
        <v>0</v>
      </c>
      <c r="E149" s="22">
        <f>SUMIFS('Bottom-up tagging'!$I:$I,'Bottom-up tagging'!$D:$D,'Analysis of bottom-up tags'!$B149,'Bottom-up tagging'!$E:$E,'Analysis of bottom-up tags'!E$6)</f>
        <v>0</v>
      </c>
      <c r="F149" s="22">
        <f>SUMIFS('Bottom-up tagging'!$I:$I,'Bottom-up tagging'!$D:$D,'Analysis of bottom-up tags'!$B149,'Bottom-up tagging'!$E:$E,'Analysis of bottom-up tags'!F$6)</f>
        <v>0</v>
      </c>
      <c r="G149" s="22">
        <f>SUMIFS('Bottom-up tagging'!$I:$I,'Bottom-up tagging'!$D:$D,'Analysis of bottom-up tags'!$B149,'Bottom-up tagging'!$E:$E,'Analysis of bottom-up tags'!G$6)</f>
        <v>0</v>
      </c>
      <c r="H149" s="22">
        <f>SUMIFS('Bottom-up tagging'!$I:$I,'Bottom-up tagging'!$D:$D,'Analysis of bottom-up tags'!$B149,'Bottom-up tagging'!$E:$E,'Analysis of bottom-up tags'!H$6)</f>
        <v>8754.9777708922811</v>
      </c>
      <c r="I149" s="22">
        <f>SUMIFS('Bottom-up tagging'!$I:$I,'Bottom-up tagging'!$D:$D,'Analysis of bottom-up tags'!$B149,'Bottom-up tagging'!$E:$E,'Analysis of bottom-up tags'!I$6)</f>
        <v>0</v>
      </c>
      <c r="J149" s="22">
        <f>SUMIFS('Bottom-up tagging'!$I:$I,'Bottom-up tagging'!$D:$D,'Analysis of bottom-up tags'!$B149,'Bottom-up tagging'!$E:$E,'Analysis of bottom-up tags'!J$6)</f>
        <v>0</v>
      </c>
      <c r="K149" s="22">
        <f>SUMIFS('Bottom-up tagging'!$I:$I,'Bottom-up tagging'!$D:$D,'Analysis of bottom-up tags'!$B149,'Bottom-up tagging'!$E:$E,'Analysis of bottom-up tags'!K$6)</f>
        <v>0</v>
      </c>
      <c r="L149" s="22">
        <f>SUMIFS('Bottom-up tagging'!$I:$I,'Bottom-up tagging'!$D:$D,'Analysis of bottom-up tags'!$B149,'Bottom-up tagging'!$E:$E,'Analysis of bottom-up tags'!L$6)</f>
        <v>0</v>
      </c>
      <c r="N149" s="101">
        <f t="shared" si="135"/>
        <v>0</v>
      </c>
      <c r="O149" s="101">
        <f t="shared" si="136"/>
        <v>0</v>
      </c>
      <c r="P149" s="101">
        <f t="shared" si="137"/>
        <v>0</v>
      </c>
      <c r="Q149" s="101">
        <f t="shared" si="138"/>
        <v>0</v>
      </c>
      <c r="R149" s="101">
        <f t="shared" si="139"/>
        <v>0</v>
      </c>
      <c r="S149" s="101">
        <f t="shared" si="140"/>
        <v>4.3810557491737083E-5</v>
      </c>
      <c r="T149" s="101">
        <f t="shared" si="141"/>
        <v>0</v>
      </c>
      <c r="U149" s="101">
        <f t="shared" si="142"/>
        <v>0</v>
      </c>
      <c r="V149" s="101">
        <f t="shared" si="143"/>
        <v>0</v>
      </c>
      <c r="W149" s="101">
        <f t="shared" si="144"/>
        <v>0</v>
      </c>
    </row>
    <row r="150" spans="2:23">
      <c r="B150" s="22"/>
      <c r="C150" s="22"/>
      <c r="D150" s="22"/>
      <c r="E150" s="22"/>
      <c r="F150" s="22"/>
      <c r="G150" s="22"/>
      <c r="H150" s="22"/>
      <c r="I150" s="22"/>
      <c r="J150" s="22"/>
      <c r="K150" s="22"/>
      <c r="L150" s="22"/>
      <c r="N150" s="101"/>
      <c r="O150" s="101"/>
      <c r="P150" s="101"/>
      <c r="Q150" s="101"/>
      <c r="R150" s="101"/>
      <c r="S150" s="101"/>
      <c r="T150" s="101"/>
      <c r="U150" s="101"/>
      <c r="V150" s="101"/>
      <c r="W150" s="101"/>
    </row>
    <row r="151" spans="2:23">
      <c r="B151" s="22"/>
      <c r="C151" s="22"/>
      <c r="D151" s="22"/>
      <c r="E151" s="22"/>
      <c r="F151" s="22"/>
      <c r="G151" s="22"/>
      <c r="H151" s="22"/>
      <c r="I151" s="22"/>
      <c r="J151" s="22"/>
      <c r="K151" s="22"/>
      <c r="L151" s="22"/>
      <c r="N151" s="101"/>
      <c r="O151" s="101"/>
      <c r="P151" s="101"/>
      <c r="Q151" s="101"/>
      <c r="R151" s="101"/>
      <c r="S151" s="101"/>
      <c r="T151" s="101"/>
      <c r="U151" s="101"/>
      <c r="V151" s="101"/>
      <c r="W151" s="101"/>
    </row>
    <row r="152" spans="2:23">
      <c r="B152" s="22"/>
      <c r="C152" s="22"/>
      <c r="D152" s="22"/>
      <c r="E152" s="22"/>
      <c r="F152" s="22"/>
      <c r="G152" s="22"/>
      <c r="H152" s="22"/>
      <c r="I152" s="22"/>
      <c r="J152" s="22"/>
      <c r="K152" s="22"/>
      <c r="L152" s="22"/>
      <c r="N152" s="101"/>
      <c r="O152" s="101"/>
      <c r="P152" s="101"/>
      <c r="Q152" s="101"/>
      <c r="R152" s="101"/>
      <c r="S152" s="101"/>
      <c r="T152" s="101"/>
      <c r="U152" s="101"/>
      <c r="V152" s="101"/>
      <c r="W152" s="101"/>
    </row>
    <row r="153" spans="2:23">
      <c r="B153" s="22"/>
      <c r="C153" s="22"/>
      <c r="D153" s="22"/>
      <c r="E153" s="22"/>
      <c r="F153" s="22"/>
      <c r="G153" s="22"/>
      <c r="H153" s="22"/>
      <c r="I153" s="22"/>
      <c r="J153" s="22"/>
      <c r="K153" s="22"/>
      <c r="L153" s="22"/>
      <c r="N153" s="101"/>
      <c r="O153" s="101"/>
      <c r="P153" s="101"/>
      <c r="Q153" s="101"/>
      <c r="R153" s="101"/>
      <c r="S153" s="101"/>
      <c r="T153" s="101"/>
      <c r="U153" s="101"/>
      <c r="V153" s="101"/>
      <c r="W153" s="101"/>
    </row>
    <row r="154" spans="2:23">
      <c r="B154" s="22"/>
    </row>
    <row r="156" spans="2:23">
      <c r="B156" s="170" t="s">
        <v>11127</v>
      </c>
      <c r="C156" s="140"/>
      <c r="D156" s="140"/>
      <c r="E156" s="140"/>
      <c r="F156" s="140"/>
      <c r="G156" s="140"/>
      <c r="H156" s="140"/>
      <c r="I156" s="140"/>
      <c r="J156" s="140"/>
      <c r="K156" s="140"/>
      <c r="L156" s="140"/>
      <c r="M156" s="140"/>
      <c r="N156" s="171"/>
      <c r="O156" s="171"/>
      <c r="P156" s="171"/>
      <c r="Q156" s="171"/>
      <c r="R156" s="171"/>
      <c r="S156" s="171"/>
      <c r="T156" s="171"/>
      <c r="U156" s="171"/>
      <c r="V156" s="171"/>
      <c r="W156" s="171"/>
    </row>
    <row r="157" spans="2:23">
      <c r="B157" t="s">
        <v>11083</v>
      </c>
      <c r="C157" s="22">
        <f>SUMIFS('Bottom-up tagging'!$AP:$AP,'Bottom-up tagging'!$AM:$AM,1,'Bottom-up tagging'!$E:$E,'Analysis of bottom-up tags'!C$6)</f>
        <v>0</v>
      </c>
      <c r="D157" s="22">
        <f>SUMIFS('Bottom-up tagging'!$AP:$AP,'Bottom-up tagging'!$AM:$AM,1,'Bottom-up tagging'!$E:$E,'Analysis of bottom-up tags'!D$6)</f>
        <v>0</v>
      </c>
      <c r="E157" s="22">
        <f>SUMIFS('Bottom-up tagging'!$AP:$AP,'Bottom-up tagging'!$AM:$AM,1,'Bottom-up tagging'!$E:$E,'Analysis of bottom-up tags'!E$6)</f>
        <v>0</v>
      </c>
      <c r="F157" s="22">
        <f>SUMIFS('Bottom-up tagging'!$AP:$AP,'Bottom-up tagging'!$AM:$AM,1,'Bottom-up tagging'!$E:$E,'Analysis of bottom-up tags'!F$6)</f>
        <v>0</v>
      </c>
      <c r="G157" s="22">
        <f>SUMIFS('Bottom-up tagging'!$AP:$AP,'Bottom-up tagging'!$AM:$AM,1,'Bottom-up tagging'!$E:$E,'Analysis of bottom-up tags'!G$6)</f>
        <v>0</v>
      </c>
      <c r="H157" s="22">
        <f>SUMIFS('Bottom-up tagging'!$AP:$AP,'Bottom-up tagging'!$AM:$AM,1,'Bottom-up tagging'!$E:$E,'Analysis of bottom-up tags'!H$6)</f>
        <v>0</v>
      </c>
      <c r="I157" s="22">
        <f>SUMIFS('Bottom-up tagging'!$AP:$AP,'Bottom-up tagging'!$AM:$AM,1,'Bottom-up tagging'!$E:$E,'Analysis of bottom-up tags'!I$6)</f>
        <v>1185604.8741468757</v>
      </c>
      <c r="J157" s="22">
        <f>SUMIFS('Bottom-up tagging'!$AP:$AP,'Bottom-up tagging'!$AM:$AM,1,'Bottom-up tagging'!$E:$E,'Analysis of bottom-up tags'!J$6)</f>
        <v>4590286.0131628066</v>
      </c>
      <c r="K157" s="22">
        <f>SUMIFS('Bottom-up tagging'!$AP:$AP,'Bottom-up tagging'!$AM:$AM,1,'Bottom-up tagging'!$E:$E,'Analysis of bottom-up tags'!K$6)</f>
        <v>1332941.3764825384</v>
      </c>
      <c r="L157" s="22">
        <f>SUMIFS('Bottom-up tagging'!$AP:$AP,'Bottom-up tagging'!$AM:$AM,1,'Bottom-up tagging'!$E:$E,'Analysis of bottom-up tags'!L$6)</f>
        <v>2635571.0569686214</v>
      </c>
      <c r="N157" s="101">
        <f>C157/C7</f>
        <v>0</v>
      </c>
      <c r="O157" s="101">
        <f t="shared" ref="O157:V157" si="145">D157/D7</f>
        <v>0</v>
      </c>
      <c r="P157" s="101">
        <f t="shared" si="145"/>
        <v>0</v>
      </c>
      <c r="Q157" s="101">
        <f t="shared" si="145"/>
        <v>0</v>
      </c>
      <c r="R157" s="101">
        <f t="shared" si="145"/>
        <v>0</v>
      </c>
      <c r="S157" s="101">
        <f t="shared" si="145"/>
        <v>0</v>
      </c>
      <c r="T157" s="101">
        <f t="shared" si="145"/>
        <v>3.2385164672970343E-3</v>
      </c>
      <c r="U157" s="101">
        <f t="shared" si="145"/>
        <v>2.2019054836135591E-2</v>
      </c>
      <c r="V157" s="101">
        <f t="shared" si="145"/>
        <v>1.2213706785244238E-3</v>
      </c>
      <c r="W157" s="101">
        <f>L157/L7</f>
        <v>9.7410636121205343E-3</v>
      </c>
    </row>
    <row r="158" spans="2:23">
      <c r="B158" t="s">
        <v>11084</v>
      </c>
      <c r="C158" s="22">
        <f>SUMIFS('Bottom-up tagging'!$AQ:$AQ,'Bottom-up tagging'!$AN:$AN,1,'Bottom-up tagging'!$E:$E,'Analysis of bottom-up tags'!C$6)</f>
        <v>35533472</v>
      </c>
      <c r="D158" s="22">
        <f>SUMIFS('Bottom-up tagging'!$AQ:$AQ,'Bottom-up tagging'!$AN:$AN,1,'Bottom-up tagging'!$E:$E,'Analysis of bottom-up tags'!D$6)</f>
        <v>78092465.93183817</v>
      </c>
      <c r="E158" s="22">
        <f>SUMIFS('Bottom-up tagging'!$AQ:$AQ,'Bottom-up tagging'!$AN:$AN,1,'Bottom-up tagging'!$E:$E,'Analysis of bottom-up tags'!E$6)</f>
        <v>3368513.4807919152</v>
      </c>
      <c r="F158" s="22">
        <f>SUMIFS('Bottom-up tagging'!$AQ:$AQ,'Bottom-up tagging'!$AN:$AN,1,'Bottom-up tagging'!$E:$E,'Analysis of bottom-up tags'!F$6)</f>
        <v>29756690.243236192</v>
      </c>
      <c r="G158" s="22">
        <f>SUMIFS('Bottom-up tagging'!$AQ:$AQ,'Bottom-up tagging'!$AN:$AN,1,'Bottom-up tagging'!$E:$E,'Analysis of bottom-up tags'!G$6)</f>
        <v>31383013.733367097</v>
      </c>
      <c r="H158" s="22">
        <f>SUMIFS('Bottom-up tagging'!$AQ:$AQ,'Bottom-up tagging'!$AN:$AN,1,'Bottom-up tagging'!$E:$E,'Analysis of bottom-up tags'!H$6)</f>
        <v>101813348.45733242</v>
      </c>
      <c r="I158" s="22">
        <f>SUMIFS('Bottom-up tagging'!$AQ:$AQ,'Bottom-up tagging'!$AN:$AN,1,'Bottom-up tagging'!$E:$E,'Analysis of bottom-up tags'!I$6)</f>
        <v>339394209.80235684</v>
      </c>
      <c r="J158" s="22">
        <f>SUMIFS('Bottom-up tagging'!$AQ:$AQ,'Bottom-up tagging'!$AN:$AN,1,'Bottom-up tagging'!$E:$E,'Analysis of bottom-up tags'!J$6)</f>
        <v>88278641.284904793</v>
      </c>
      <c r="K158" s="22">
        <f>SUMIFS('Bottom-up tagging'!$AQ:$AQ,'Bottom-up tagging'!$AN:$AN,1,'Bottom-up tagging'!$E:$E,'Analysis of bottom-up tags'!K$6)</f>
        <v>1009485210.5119212</v>
      </c>
      <c r="L158" s="22">
        <f>SUMIFS('Bottom-up tagging'!$AQ:$AQ,'Bottom-up tagging'!$AN:$AN,1,'Bottom-up tagging'!$E:$E,'Analysis of bottom-up tags'!L$6)</f>
        <v>195373454.27953422</v>
      </c>
      <c r="N158" s="101">
        <f>C158/C7</f>
        <v>0.37943268322210427</v>
      </c>
      <c r="O158" s="101">
        <f t="shared" ref="O158:W158" si="146">D158/D7</f>
        <v>0.96642622682658696</v>
      </c>
      <c r="P158" s="101">
        <f t="shared" si="146"/>
        <v>0.43696647190755694</v>
      </c>
      <c r="Q158" s="101">
        <f t="shared" si="146"/>
        <v>0.82274863805669274</v>
      </c>
      <c r="R158" s="101">
        <f t="shared" si="146"/>
        <v>0.77114323910905025</v>
      </c>
      <c r="S158" s="101">
        <f t="shared" si="146"/>
        <v>0.50948153984423217</v>
      </c>
      <c r="T158" s="101">
        <f t="shared" si="146"/>
        <v>0.92706580524232363</v>
      </c>
      <c r="U158" s="101">
        <f t="shared" si="146"/>
        <v>0.42346211929668692</v>
      </c>
      <c r="V158" s="101">
        <f t="shared" si="146"/>
        <v>0.92498864411946446</v>
      </c>
      <c r="W158" s="101">
        <f t="shared" si="146"/>
        <v>0.72209976704085654</v>
      </c>
    </row>
    <row r="159" spans="2:23">
      <c r="B159" t="s">
        <v>11085</v>
      </c>
      <c r="C159" s="22">
        <f>SUMIFS('Bottom-up tagging'!$AR:$AR,'Bottom-up tagging'!$AO:$AO,1,'Bottom-up tagging'!$E:$E,'Analysis of bottom-up tags'!C$6)</f>
        <v>0</v>
      </c>
      <c r="D159" s="22">
        <f>SUMIFS('Bottom-up tagging'!$AR:$AR,'Bottom-up tagging'!$AO:$AO,1,'Bottom-up tagging'!$E:$E,'Analysis of bottom-up tags'!D$6)</f>
        <v>0</v>
      </c>
      <c r="E159" s="22">
        <f>SUMIFS('Bottom-up tagging'!$AR:$AR,'Bottom-up tagging'!$AO:$AO,1,'Bottom-up tagging'!$E:$E,'Analysis of bottom-up tags'!E$6)</f>
        <v>0</v>
      </c>
      <c r="F159" s="22">
        <f>SUMIFS('Bottom-up tagging'!$AR:$AR,'Bottom-up tagging'!$AO:$AO,1,'Bottom-up tagging'!$E:$E,'Analysis of bottom-up tags'!F$6)</f>
        <v>0</v>
      </c>
      <c r="G159" s="22">
        <f>SUMIFS('Bottom-up tagging'!$AR:$AR,'Bottom-up tagging'!$AO:$AO,1,'Bottom-up tagging'!$E:$E,'Analysis of bottom-up tags'!G$6)</f>
        <v>0</v>
      </c>
      <c r="H159" s="22">
        <f>SUMIFS('Bottom-up tagging'!$AR:$AR,'Bottom-up tagging'!$AO:$AO,1,'Bottom-up tagging'!$E:$E,'Analysis of bottom-up tags'!H$6)</f>
        <v>0</v>
      </c>
      <c r="I159" s="22">
        <f>SUMIFS('Bottom-up tagging'!$AR:$AR,'Bottom-up tagging'!$AO:$AO,1,'Bottom-up tagging'!$E:$E,'Analysis of bottom-up tags'!I$6)</f>
        <v>1251123.3991541469</v>
      </c>
      <c r="J159" s="22">
        <f>SUMIFS('Bottom-up tagging'!$AR:$AR,'Bottom-up tagging'!$AO:$AO,1,'Bottom-up tagging'!$E:$E,'Analysis of bottom-up tags'!J$6)</f>
        <v>10175397.084851801</v>
      </c>
      <c r="K159" s="22">
        <f>SUMIFS('Bottom-up tagging'!$AR:$AR,'Bottom-up tagging'!$AO:$AO,1,'Bottom-up tagging'!$E:$E,'Analysis of bottom-up tags'!K$6)</f>
        <v>1332941.3764825384</v>
      </c>
      <c r="L159" s="22">
        <f>SUMIFS('Bottom-up tagging'!$AR:$AR,'Bottom-up tagging'!$AO:$AO,1,'Bottom-up tagging'!$E:$E,'Analysis of bottom-up tags'!L$6)</f>
        <v>2635571.0569686214</v>
      </c>
      <c r="N159" s="101">
        <f>C159/C7</f>
        <v>0</v>
      </c>
      <c r="O159" s="101">
        <f t="shared" ref="O159:W159" si="147">D159/D7</f>
        <v>0</v>
      </c>
      <c r="P159" s="101">
        <f t="shared" si="147"/>
        <v>0</v>
      </c>
      <c r="Q159" s="101">
        <f t="shared" si="147"/>
        <v>0</v>
      </c>
      <c r="R159" s="101">
        <f t="shared" si="147"/>
        <v>0</v>
      </c>
      <c r="S159" s="101">
        <f t="shared" si="147"/>
        <v>0</v>
      </c>
      <c r="T159" s="185">
        <f t="shared" si="147"/>
        <v>3.4174823494183778E-3</v>
      </c>
      <c r="U159" s="101">
        <f t="shared" si="147"/>
        <v>4.8810166893375979E-2</v>
      </c>
      <c r="V159" s="185">
        <f t="shared" si="147"/>
        <v>1.2213706785244238E-3</v>
      </c>
      <c r="W159" s="101">
        <f t="shared" si="147"/>
        <v>9.7410636121205343E-3</v>
      </c>
    </row>
    <row r="162" spans="2:23">
      <c r="B162" s="170" t="s">
        <v>11135</v>
      </c>
      <c r="C162" s="140"/>
      <c r="D162" s="140"/>
      <c r="E162" s="140"/>
      <c r="F162" s="140"/>
      <c r="G162" s="140"/>
      <c r="H162" s="140"/>
      <c r="I162" s="140"/>
      <c r="J162" s="140"/>
      <c r="K162" s="140"/>
      <c r="L162" s="140"/>
      <c r="M162" s="140"/>
      <c r="N162" s="171"/>
      <c r="O162" s="171"/>
      <c r="P162" s="171"/>
      <c r="Q162" s="171"/>
      <c r="R162" s="171"/>
      <c r="S162" s="171"/>
      <c r="T162" s="171"/>
      <c r="U162" s="171"/>
      <c r="V162" s="171"/>
      <c r="W162" s="171"/>
    </row>
    <row r="163" spans="2:23">
      <c r="B163" s="64" t="s">
        <v>10621</v>
      </c>
      <c r="C163" s="22">
        <f>SUMIFS('Bottom-up tagging'!$BE:$BE,'Bottom-up tagging'!$AS:$AS,'Analysis of bottom-up tags'!$B163,'Bottom-up tagging'!$E:$E,'Analysis of bottom-up tags'!C$6)+SUMIFS('Bottom-up tagging'!$BF:$BF,'Bottom-up tagging'!$AT:$AT,'Analysis of bottom-up tags'!$B163,'Bottom-up tagging'!$E:$E,'Analysis of bottom-up tags'!C$6)+SUMIFS('Bottom-up tagging'!$BG:$BG,'Bottom-up tagging'!$AU:$AU,'Analysis of bottom-up tags'!$B163,'Bottom-up tagging'!$E:$E,'Analysis of bottom-up tags'!C$6)+SUMIFS('Bottom-up tagging'!$BH:$BH,'Bottom-up tagging'!$AV:$AV,'Analysis of bottom-up tags'!$B163,'Bottom-up tagging'!$E:$E,'Analysis of bottom-up tags'!C$6)</f>
        <v>0</v>
      </c>
      <c r="D163" s="22">
        <f>SUMIFS('Bottom-up tagging'!$BE:$BE,'Bottom-up tagging'!$AS:$AS,'Analysis of bottom-up tags'!$B163,'Bottom-up tagging'!$E:$E,'Analysis of bottom-up tags'!D$6)+SUMIFS('Bottom-up tagging'!$BF:$BF,'Bottom-up tagging'!$AT:$AT,'Analysis of bottom-up tags'!$B163,'Bottom-up tagging'!$E:$E,'Analysis of bottom-up tags'!D$6)+SUMIFS('Bottom-up tagging'!$BG:$BG,'Bottom-up tagging'!$AU:$AU,'Analysis of bottom-up tags'!$B163,'Bottom-up tagging'!$E:$E,'Analysis of bottom-up tags'!D$6)+SUMIFS('Bottom-up tagging'!$BH:$BH,'Bottom-up tagging'!$AV:$AV,'Analysis of bottom-up tags'!$B163,'Bottom-up tagging'!$E:$E,'Analysis of bottom-up tags'!D$6)</f>
        <v>0</v>
      </c>
      <c r="E163" s="22">
        <f>SUMIFS('Bottom-up tagging'!$BE:$BE,'Bottom-up tagging'!$AS:$AS,'Analysis of bottom-up tags'!$B163,'Bottom-up tagging'!$E:$E,'Analysis of bottom-up tags'!E$6)+SUMIFS('Bottom-up tagging'!$BF:$BF,'Bottom-up tagging'!$AT:$AT,'Analysis of bottom-up tags'!$B163,'Bottom-up tagging'!$E:$E,'Analysis of bottom-up tags'!E$6)+SUMIFS('Bottom-up tagging'!$BG:$BG,'Bottom-up tagging'!$AU:$AU,'Analysis of bottom-up tags'!$B163,'Bottom-up tagging'!$E:$E,'Analysis of bottom-up tags'!E$6)+SUMIFS('Bottom-up tagging'!$BH:$BH,'Bottom-up tagging'!$AV:$AV,'Analysis of bottom-up tags'!$B163,'Bottom-up tagging'!$E:$E,'Analysis of bottom-up tags'!E$6)</f>
        <v>0</v>
      </c>
      <c r="F163" s="22">
        <f>SUMIFS('Bottom-up tagging'!$BE:$BE,'Bottom-up tagging'!$AS:$AS,'Analysis of bottom-up tags'!$B163,'Bottom-up tagging'!$E:$E,'Analysis of bottom-up tags'!F$6)+SUMIFS('Bottom-up tagging'!$BF:$BF,'Bottom-up tagging'!$AT:$AT,'Analysis of bottom-up tags'!$B163,'Bottom-up tagging'!$E:$E,'Analysis of bottom-up tags'!F$6)+SUMIFS('Bottom-up tagging'!$BG:$BG,'Bottom-up tagging'!$AU:$AU,'Analysis of bottom-up tags'!$B163,'Bottom-up tagging'!$E:$E,'Analysis of bottom-up tags'!F$6)+SUMIFS('Bottom-up tagging'!$BH:$BH,'Bottom-up tagging'!$AV:$AV,'Analysis of bottom-up tags'!$B163,'Bottom-up tagging'!$E:$E,'Analysis of bottom-up tags'!F$6)</f>
        <v>0</v>
      </c>
      <c r="G163" s="22">
        <f>SUMIFS('Bottom-up tagging'!$BE:$BE,'Bottom-up tagging'!$AS:$AS,'Analysis of bottom-up tags'!$B163,'Bottom-up tagging'!$E:$E,'Analysis of bottom-up tags'!G$6)+SUMIFS('Bottom-up tagging'!$BF:$BF,'Bottom-up tagging'!$AT:$AT,'Analysis of bottom-up tags'!$B163,'Bottom-up tagging'!$E:$E,'Analysis of bottom-up tags'!G$6)+SUMIFS('Bottom-up tagging'!$BG:$BG,'Bottom-up tagging'!$AU:$AU,'Analysis of bottom-up tags'!$B163,'Bottom-up tagging'!$E:$E,'Analysis of bottom-up tags'!G$6)+SUMIFS('Bottom-up tagging'!$BH:$BH,'Bottom-up tagging'!$AV:$AV,'Analysis of bottom-up tags'!$B163,'Bottom-up tagging'!$E:$E,'Analysis of bottom-up tags'!G$6)</f>
        <v>0</v>
      </c>
      <c r="H163" s="22">
        <f>SUMIFS('Bottom-up tagging'!$BE:$BE,'Bottom-up tagging'!$AS:$AS,'Analysis of bottom-up tags'!$B163,'Bottom-up tagging'!$E:$E,'Analysis of bottom-up tags'!H$6)+SUMIFS('Bottom-up tagging'!$BF:$BF,'Bottom-up tagging'!$AT:$AT,'Analysis of bottom-up tags'!$B163,'Bottom-up tagging'!$E:$E,'Analysis of bottom-up tags'!H$6)+SUMIFS('Bottom-up tagging'!$BG:$BG,'Bottom-up tagging'!$AU:$AU,'Analysis of bottom-up tags'!$B163,'Bottom-up tagging'!$E:$E,'Analysis of bottom-up tags'!H$6)+SUMIFS('Bottom-up tagging'!$BH:$BH,'Bottom-up tagging'!$AV:$AV,'Analysis of bottom-up tags'!$B163,'Bottom-up tagging'!$E:$E,'Analysis of bottom-up tags'!H$6)</f>
        <v>0</v>
      </c>
      <c r="I163" s="22">
        <f>SUMIFS('Bottom-up tagging'!$BE:$BE,'Bottom-up tagging'!$AS:$AS,'Analysis of bottom-up tags'!$B163,'Bottom-up tagging'!$E:$E,'Analysis of bottom-up tags'!I$6)+SUMIFS('Bottom-up tagging'!$BF:$BF,'Bottom-up tagging'!$AT:$AT,'Analysis of bottom-up tags'!$B163,'Bottom-up tagging'!$E:$E,'Analysis of bottom-up tags'!I$6)+SUMIFS('Bottom-up tagging'!$BG:$BG,'Bottom-up tagging'!$AU:$AU,'Analysis of bottom-up tags'!$B163,'Bottom-up tagging'!$E:$E,'Analysis of bottom-up tags'!I$6)+SUMIFS('Bottom-up tagging'!$BH:$BH,'Bottom-up tagging'!$AV:$AV,'Analysis of bottom-up tags'!$B163,'Bottom-up tagging'!$E:$E,'Analysis of bottom-up tags'!I$6)</f>
        <v>0</v>
      </c>
      <c r="J163" s="22">
        <f>SUMIFS('Bottom-up tagging'!$BE:$BE,'Bottom-up tagging'!$AS:$AS,'Analysis of bottom-up tags'!$B163,'Bottom-up tagging'!$E:$E,'Analysis of bottom-up tags'!J$6)+SUMIFS('Bottom-up tagging'!$BF:$BF,'Bottom-up tagging'!$AT:$AT,'Analysis of bottom-up tags'!$B163,'Bottom-up tagging'!$E:$E,'Analysis of bottom-up tags'!J$6)+SUMIFS('Bottom-up tagging'!$BG:$BG,'Bottom-up tagging'!$AU:$AU,'Analysis of bottom-up tags'!$B163,'Bottom-up tagging'!$E:$E,'Analysis of bottom-up tags'!J$6)+SUMIFS('Bottom-up tagging'!$BH:$BH,'Bottom-up tagging'!$AV:$AV,'Analysis of bottom-up tags'!$B163,'Bottom-up tagging'!$E:$E,'Analysis of bottom-up tags'!J$6)</f>
        <v>0</v>
      </c>
      <c r="K163" s="22">
        <f>SUMIFS('Bottom-up tagging'!$BE:$BE,'Bottom-up tagging'!$AS:$AS,'Analysis of bottom-up tags'!$B163,'Bottom-up tagging'!$E:$E,'Analysis of bottom-up tags'!K$6)+SUMIFS('Bottom-up tagging'!$BF:$BF,'Bottom-up tagging'!$AT:$AT,'Analysis of bottom-up tags'!$B163,'Bottom-up tagging'!$E:$E,'Analysis of bottom-up tags'!K$6)+SUMIFS('Bottom-up tagging'!$BG:$BG,'Bottom-up tagging'!$AU:$AU,'Analysis of bottom-up tags'!$B163,'Bottom-up tagging'!$E:$E,'Analysis of bottom-up tags'!K$6)+SUMIFS('Bottom-up tagging'!$BH:$BH,'Bottom-up tagging'!$AV:$AV,'Analysis of bottom-up tags'!$B163,'Bottom-up tagging'!$E:$E,'Analysis of bottom-up tags'!K$6)</f>
        <v>0</v>
      </c>
      <c r="L163" s="22">
        <f>SUMIFS('Bottom-up tagging'!$BE:$BE,'Bottom-up tagging'!$AS:$AS,'Analysis of bottom-up tags'!$B163,'Bottom-up tagging'!$E:$E,'Analysis of bottom-up tags'!L$6)+SUMIFS('Bottom-up tagging'!$BF:$BF,'Bottom-up tagging'!$AT:$AT,'Analysis of bottom-up tags'!$B163,'Bottom-up tagging'!$E:$E,'Analysis of bottom-up tags'!L$6)+SUMIFS('Bottom-up tagging'!$BG:$BG,'Bottom-up tagging'!$AU:$AU,'Analysis of bottom-up tags'!$B163,'Bottom-up tagging'!$E:$E,'Analysis of bottom-up tags'!L$6)+SUMIFS('Bottom-up tagging'!$BH:$BH,'Bottom-up tagging'!$AV:$AV,'Analysis of bottom-up tags'!$B163,'Bottom-up tagging'!$E:$E,'Analysis of bottom-up tags'!L$6)</f>
        <v>0</v>
      </c>
      <c r="N163" s="101">
        <f>C$163/C$7</f>
        <v>0</v>
      </c>
      <c r="O163" s="101">
        <f t="shared" ref="O163:W163" si="148">D$163/D$7</f>
        <v>0</v>
      </c>
      <c r="P163" s="101">
        <f t="shared" si="148"/>
        <v>0</v>
      </c>
      <c r="Q163" s="101">
        <f t="shared" si="148"/>
        <v>0</v>
      </c>
      <c r="R163" s="101">
        <f t="shared" si="148"/>
        <v>0</v>
      </c>
      <c r="S163" s="101">
        <f t="shared" si="148"/>
        <v>0</v>
      </c>
      <c r="T163" s="101">
        <f t="shared" si="148"/>
        <v>0</v>
      </c>
      <c r="U163" s="101">
        <f t="shared" si="148"/>
        <v>0</v>
      </c>
      <c r="V163" s="101">
        <f t="shared" si="148"/>
        <v>0</v>
      </c>
      <c r="W163" s="101">
        <f t="shared" si="148"/>
        <v>0</v>
      </c>
    </row>
    <row r="164" spans="2:23">
      <c r="B164" s="64" t="s">
        <v>11108</v>
      </c>
      <c r="C164" s="22">
        <f>SUMIFS('Bottom-up tagging'!$BE:$BE,'Bottom-up tagging'!$AS:$AS,'Analysis of bottom-up tags'!$B164,'Bottom-up tagging'!$E:$E,'Analysis of bottom-up tags'!C$6)+SUMIFS('Bottom-up tagging'!$BF:$BF,'Bottom-up tagging'!$AT:$AT,'Analysis of bottom-up tags'!$B164,'Bottom-up tagging'!$E:$E,'Analysis of bottom-up tags'!C$6)+SUMIFS('Bottom-up tagging'!$BG:$BG,'Bottom-up tagging'!$AU:$AU,'Analysis of bottom-up tags'!$B164,'Bottom-up tagging'!$E:$E,'Analysis of bottom-up tags'!C$6)+SUMIFS('Bottom-up tagging'!$BH:$BH,'Bottom-up tagging'!$AV:$AV,'Analysis of bottom-up tags'!$B164,'Bottom-up tagging'!$E:$E,'Analysis of bottom-up tags'!C$6)</f>
        <v>0</v>
      </c>
      <c r="D164" s="22">
        <f>SUMIFS('Bottom-up tagging'!$BE:$BE,'Bottom-up tagging'!$AS:$AS,'Analysis of bottom-up tags'!$B164,'Bottom-up tagging'!$E:$E,'Analysis of bottom-up tags'!D$6)+SUMIFS('Bottom-up tagging'!$BF:$BF,'Bottom-up tagging'!$AT:$AT,'Analysis of bottom-up tags'!$B164,'Bottom-up tagging'!$E:$E,'Analysis of bottom-up tags'!D$6)+SUMIFS('Bottom-up tagging'!$BG:$BG,'Bottom-up tagging'!$AU:$AU,'Analysis of bottom-up tags'!$B164,'Bottom-up tagging'!$E:$E,'Analysis of bottom-up tags'!D$6)+SUMIFS('Bottom-up tagging'!$BH:$BH,'Bottom-up tagging'!$AV:$AV,'Analysis of bottom-up tags'!$B164,'Bottom-up tagging'!$E:$E,'Analysis of bottom-up tags'!D$6)</f>
        <v>0</v>
      </c>
      <c r="E164" s="22">
        <f>SUMIFS('Bottom-up tagging'!$BE:$BE,'Bottom-up tagging'!$AS:$AS,'Analysis of bottom-up tags'!$B164,'Bottom-up tagging'!$E:$E,'Analysis of bottom-up tags'!E$6)+SUMIFS('Bottom-up tagging'!$BF:$BF,'Bottom-up tagging'!$AT:$AT,'Analysis of bottom-up tags'!$B164,'Bottom-up tagging'!$E:$E,'Analysis of bottom-up tags'!E$6)+SUMIFS('Bottom-up tagging'!$BG:$BG,'Bottom-up tagging'!$AU:$AU,'Analysis of bottom-up tags'!$B164,'Bottom-up tagging'!$E:$E,'Analysis of bottom-up tags'!E$6)+SUMIFS('Bottom-up tagging'!$BH:$BH,'Bottom-up tagging'!$AV:$AV,'Analysis of bottom-up tags'!$B164,'Bottom-up tagging'!$E:$E,'Analysis of bottom-up tags'!E$6)</f>
        <v>0</v>
      </c>
      <c r="F164" s="22">
        <f>SUMIFS('Bottom-up tagging'!$BE:$BE,'Bottom-up tagging'!$AS:$AS,'Analysis of bottom-up tags'!$B164,'Bottom-up tagging'!$E:$E,'Analysis of bottom-up tags'!F$6)+SUMIFS('Bottom-up tagging'!$BF:$BF,'Bottom-up tagging'!$AT:$AT,'Analysis of bottom-up tags'!$B164,'Bottom-up tagging'!$E:$E,'Analysis of bottom-up tags'!F$6)+SUMIFS('Bottom-up tagging'!$BG:$BG,'Bottom-up tagging'!$AU:$AU,'Analysis of bottom-up tags'!$B164,'Bottom-up tagging'!$E:$E,'Analysis of bottom-up tags'!F$6)+SUMIFS('Bottom-up tagging'!$BH:$BH,'Bottom-up tagging'!$AV:$AV,'Analysis of bottom-up tags'!$B164,'Bottom-up tagging'!$E:$E,'Analysis of bottom-up tags'!F$6)</f>
        <v>0</v>
      </c>
      <c r="G164" s="22">
        <f>SUMIFS('Bottom-up tagging'!$BE:$BE,'Bottom-up tagging'!$AS:$AS,'Analysis of bottom-up tags'!$B164,'Bottom-up tagging'!$E:$E,'Analysis of bottom-up tags'!G$6)+SUMIFS('Bottom-up tagging'!$BF:$BF,'Bottom-up tagging'!$AT:$AT,'Analysis of bottom-up tags'!$B164,'Bottom-up tagging'!$E:$E,'Analysis of bottom-up tags'!G$6)+SUMIFS('Bottom-up tagging'!$BG:$BG,'Bottom-up tagging'!$AU:$AU,'Analysis of bottom-up tags'!$B164,'Bottom-up tagging'!$E:$E,'Analysis of bottom-up tags'!G$6)+SUMIFS('Bottom-up tagging'!$BH:$BH,'Bottom-up tagging'!$AV:$AV,'Analysis of bottom-up tags'!$B164,'Bottom-up tagging'!$E:$E,'Analysis of bottom-up tags'!G$6)</f>
        <v>0</v>
      </c>
      <c r="H164" s="22">
        <f>SUMIFS('Bottom-up tagging'!$BE:$BE,'Bottom-up tagging'!$AS:$AS,'Analysis of bottom-up tags'!$B164,'Bottom-up tagging'!$E:$E,'Analysis of bottom-up tags'!H$6)+SUMIFS('Bottom-up tagging'!$BF:$BF,'Bottom-up tagging'!$AT:$AT,'Analysis of bottom-up tags'!$B164,'Bottom-up tagging'!$E:$E,'Analysis of bottom-up tags'!H$6)+SUMIFS('Bottom-up tagging'!$BG:$BG,'Bottom-up tagging'!$AU:$AU,'Analysis of bottom-up tags'!$B164,'Bottom-up tagging'!$E:$E,'Analysis of bottom-up tags'!H$6)+SUMIFS('Bottom-up tagging'!$BH:$BH,'Bottom-up tagging'!$AV:$AV,'Analysis of bottom-up tags'!$B164,'Bottom-up tagging'!$E:$E,'Analysis of bottom-up tags'!H$6)</f>
        <v>0</v>
      </c>
      <c r="I164" s="22">
        <f>SUMIFS('Bottom-up tagging'!$BE:$BE,'Bottom-up tagging'!$AS:$AS,'Analysis of bottom-up tags'!$B164,'Bottom-up tagging'!$E:$E,'Analysis of bottom-up tags'!I$6)+SUMIFS('Bottom-up tagging'!$BF:$BF,'Bottom-up tagging'!$AT:$AT,'Analysis of bottom-up tags'!$B164,'Bottom-up tagging'!$E:$E,'Analysis of bottom-up tags'!I$6)+SUMIFS('Bottom-up tagging'!$BG:$BG,'Bottom-up tagging'!$AU:$AU,'Analysis of bottom-up tags'!$B164,'Bottom-up tagging'!$E:$E,'Analysis of bottom-up tags'!I$6)+SUMIFS('Bottom-up tagging'!$BH:$BH,'Bottom-up tagging'!$AV:$AV,'Analysis of bottom-up tags'!$B164,'Bottom-up tagging'!$E:$E,'Analysis of bottom-up tags'!I$6)</f>
        <v>1185604.8741468757</v>
      </c>
      <c r="J164" s="22">
        <f>SUMIFS('Bottom-up tagging'!$BE:$BE,'Bottom-up tagging'!$AS:$AS,'Analysis of bottom-up tags'!$B164,'Bottom-up tagging'!$E:$E,'Analysis of bottom-up tags'!J$6)+SUMIFS('Bottom-up tagging'!$BF:$BF,'Bottom-up tagging'!$AT:$AT,'Analysis of bottom-up tags'!$B164,'Bottom-up tagging'!$E:$E,'Analysis of bottom-up tags'!J$6)+SUMIFS('Bottom-up tagging'!$BG:$BG,'Bottom-up tagging'!$AU:$AU,'Analysis of bottom-up tags'!$B164,'Bottom-up tagging'!$E:$E,'Analysis of bottom-up tags'!J$6)+SUMIFS('Bottom-up tagging'!$BH:$BH,'Bottom-up tagging'!$AV:$AV,'Analysis of bottom-up tags'!$B164,'Bottom-up tagging'!$E:$E,'Analysis of bottom-up tags'!J$6)</f>
        <v>4590286.0131628066</v>
      </c>
      <c r="K164" s="22">
        <f>SUMIFS('Bottom-up tagging'!$BE:$BE,'Bottom-up tagging'!$AS:$AS,'Analysis of bottom-up tags'!$B164,'Bottom-up tagging'!$E:$E,'Analysis of bottom-up tags'!K$6)+SUMIFS('Bottom-up tagging'!$BF:$BF,'Bottom-up tagging'!$AT:$AT,'Analysis of bottom-up tags'!$B164,'Bottom-up tagging'!$E:$E,'Analysis of bottom-up tags'!K$6)+SUMIFS('Bottom-up tagging'!$BG:$BG,'Bottom-up tagging'!$AU:$AU,'Analysis of bottom-up tags'!$B164,'Bottom-up tagging'!$E:$E,'Analysis of bottom-up tags'!K$6)+SUMIFS('Bottom-up tagging'!$BH:$BH,'Bottom-up tagging'!$AV:$AV,'Analysis of bottom-up tags'!$B164,'Bottom-up tagging'!$E:$E,'Analysis of bottom-up tags'!K$6)</f>
        <v>1332941.3764825384</v>
      </c>
      <c r="L164" s="22">
        <f>SUMIFS('Bottom-up tagging'!$BE:$BE,'Bottom-up tagging'!$AS:$AS,'Analysis of bottom-up tags'!$B164,'Bottom-up tagging'!$E:$E,'Analysis of bottom-up tags'!L$6)+SUMIFS('Bottom-up tagging'!$BF:$BF,'Bottom-up tagging'!$AT:$AT,'Analysis of bottom-up tags'!$B164,'Bottom-up tagging'!$E:$E,'Analysis of bottom-up tags'!L$6)+SUMIFS('Bottom-up tagging'!$BG:$BG,'Bottom-up tagging'!$AU:$AU,'Analysis of bottom-up tags'!$B164,'Bottom-up tagging'!$E:$E,'Analysis of bottom-up tags'!L$6)+SUMIFS('Bottom-up tagging'!$BH:$BH,'Bottom-up tagging'!$AV:$AV,'Analysis of bottom-up tags'!$B164,'Bottom-up tagging'!$E:$E,'Analysis of bottom-up tags'!L$6)</f>
        <v>2635571.0569686214</v>
      </c>
      <c r="N164" s="101">
        <f>C$164/C$7</f>
        <v>0</v>
      </c>
      <c r="O164" s="101">
        <f t="shared" ref="O164:W164" si="149">D$164/D$7</f>
        <v>0</v>
      </c>
      <c r="P164" s="101">
        <f t="shared" si="149"/>
        <v>0</v>
      </c>
      <c r="Q164" s="101">
        <f t="shared" si="149"/>
        <v>0</v>
      </c>
      <c r="R164" s="101">
        <f t="shared" si="149"/>
        <v>0</v>
      </c>
      <c r="S164" s="101">
        <f t="shared" si="149"/>
        <v>0</v>
      </c>
      <c r="T164" s="101">
        <f t="shared" si="149"/>
        <v>3.2385164672970343E-3</v>
      </c>
      <c r="U164" s="101">
        <f t="shared" si="149"/>
        <v>2.2019054836135591E-2</v>
      </c>
      <c r="V164" s="101">
        <f t="shared" si="149"/>
        <v>1.2213706785244238E-3</v>
      </c>
      <c r="W164" s="101">
        <f t="shared" si="149"/>
        <v>9.7410636121205343E-3</v>
      </c>
    </row>
    <row r="165" spans="2:23">
      <c r="B165" s="64" t="s">
        <v>11109</v>
      </c>
      <c r="C165" s="22">
        <f>SUMIFS('Bottom-up tagging'!$BE:$BE,'Bottom-up tagging'!$AS:$AS,'Analysis of bottom-up tags'!$B165,'Bottom-up tagging'!$E:$E,'Analysis of bottom-up tags'!C$6)+SUMIFS('Bottom-up tagging'!$BF:$BF,'Bottom-up tagging'!$AT:$AT,'Analysis of bottom-up tags'!$B165,'Bottom-up tagging'!$E:$E,'Analysis of bottom-up tags'!C$6)+SUMIFS('Bottom-up tagging'!$BG:$BG,'Bottom-up tagging'!$AU:$AU,'Analysis of bottom-up tags'!$B165,'Bottom-up tagging'!$E:$E,'Analysis of bottom-up tags'!C$6)+SUMIFS('Bottom-up tagging'!$BH:$BH,'Bottom-up tagging'!$AV:$AV,'Analysis of bottom-up tags'!$B165,'Bottom-up tagging'!$E:$E,'Analysis of bottom-up tags'!C$6)</f>
        <v>0</v>
      </c>
      <c r="D165" s="22">
        <f>SUMIFS('Bottom-up tagging'!$BE:$BE,'Bottom-up tagging'!$AS:$AS,'Analysis of bottom-up tags'!$B165,'Bottom-up tagging'!$E:$E,'Analysis of bottom-up tags'!D$6)+SUMIFS('Bottom-up tagging'!$BF:$BF,'Bottom-up tagging'!$AT:$AT,'Analysis of bottom-up tags'!$B165,'Bottom-up tagging'!$E:$E,'Analysis of bottom-up tags'!D$6)+SUMIFS('Bottom-up tagging'!$BG:$BG,'Bottom-up tagging'!$AU:$AU,'Analysis of bottom-up tags'!$B165,'Bottom-up tagging'!$E:$E,'Analysis of bottom-up tags'!D$6)+SUMIFS('Bottom-up tagging'!$BH:$BH,'Bottom-up tagging'!$AV:$AV,'Analysis of bottom-up tags'!$B165,'Bottom-up tagging'!$E:$E,'Analysis of bottom-up tags'!D$6)</f>
        <v>0</v>
      </c>
      <c r="E165" s="22">
        <f>SUMIFS('Bottom-up tagging'!$BE:$BE,'Bottom-up tagging'!$AS:$AS,'Analysis of bottom-up tags'!$B165,'Bottom-up tagging'!$E:$E,'Analysis of bottom-up tags'!E$6)+SUMIFS('Bottom-up tagging'!$BF:$BF,'Bottom-up tagging'!$AT:$AT,'Analysis of bottom-up tags'!$B165,'Bottom-up tagging'!$E:$E,'Analysis of bottom-up tags'!E$6)+SUMIFS('Bottom-up tagging'!$BG:$BG,'Bottom-up tagging'!$AU:$AU,'Analysis of bottom-up tags'!$B165,'Bottom-up tagging'!$E:$E,'Analysis of bottom-up tags'!E$6)+SUMIFS('Bottom-up tagging'!$BH:$BH,'Bottom-up tagging'!$AV:$AV,'Analysis of bottom-up tags'!$B165,'Bottom-up tagging'!$E:$E,'Analysis of bottom-up tags'!E$6)</f>
        <v>0</v>
      </c>
      <c r="F165" s="22">
        <f>SUMIFS('Bottom-up tagging'!$BE:$BE,'Bottom-up tagging'!$AS:$AS,'Analysis of bottom-up tags'!$B165,'Bottom-up tagging'!$E:$E,'Analysis of bottom-up tags'!F$6)+SUMIFS('Bottom-up tagging'!$BF:$BF,'Bottom-up tagging'!$AT:$AT,'Analysis of bottom-up tags'!$B165,'Bottom-up tagging'!$E:$E,'Analysis of bottom-up tags'!F$6)+SUMIFS('Bottom-up tagging'!$BG:$BG,'Bottom-up tagging'!$AU:$AU,'Analysis of bottom-up tags'!$B165,'Bottom-up tagging'!$E:$E,'Analysis of bottom-up tags'!F$6)+SUMIFS('Bottom-up tagging'!$BH:$BH,'Bottom-up tagging'!$AV:$AV,'Analysis of bottom-up tags'!$B165,'Bottom-up tagging'!$E:$E,'Analysis of bottom-up tags'!F$6)</f>
        <v>0</v>
      </c>
      <c r="G165" s="22">
        <f>SUMIFS('Bottom-up tagging'!$BE:$BE,'Bottom-up tagging'!$AS:$AS,'Analysis of bottom-up tags'!$B165,'Bottom-up tagging'!$E:$E,'Analysis of bottom-up tags'!G$6)+SUMIFS('Bottom-up tagging'!$BF:$BF,'Bottom-up tagging'!$AT:$AT,'Analysis of bottom-up tags'!$B165,'Bottom-up tagging'!$E:$E,'Analysis of bottom-up tags'!G$6)+SUMIFS('Bottom-up tagging'!$BG:$BG,'Bottom-up tagging'!$AU:$AU,'Analysis of bottom-up tags'!$B165,'Bottom-up tagging'!$E:$E,'Analysis of bottom-up tags'!G$6)+SUMIFS('Bottom-up tagging'!$BH:$BH,'Bottom-up tagging'!$AV:$AV,'Analysis of bottom-up tags'!$B165,'Bottom-up tagging'!$E:$E,'Analysis of bottom-up tags'!G$6)</f>
        <v>0</v>
      </c>
      <c r="H165" s="22">
        <f>SUMIFS('Bottom-up tagging'!$BE:$BE,'Bottom-up tagging'!$AS:$AS,'Analysis of bottom-up tags'!$B165,'Bottom-up tagging'!$E:$E,'Analysis of bottom-up tags'!H$6)+SUMIFS('Bottom-up tagging'!$BF:$BF,'Bottom-up tagging'!$AT:$AT,'Analysis of bottom-up tags'!$B165,'Bottom-up tagging'!$E:$E,'Analysis of bottom-up tags'!H$6)+SUMIFS('Bottom-up tagging'!$BG:$BG,'Bottom-up tagging'!$AU:$AU,'Analysis of bottom-up tags'!$B165,'Bottom-up tagging'!$E:$E,'Analysis of bottom-up tags'!H$6)+SUMIFS('Bottom-up tagging'!$BH:$BH,'Bottom-up tagging'!$AV:$AV,'Analysis of bottom-up tags'!$B165,'Bottom-up tagging'!$E:$E,'Analysis of bottom-up tags'!H$6)</f>
        <v>0</v>
      </c>
      <c r="I165" s="22">
        <f>SUMIFS('Bottom-up tagging'!$BE:$BE,'Bottom-up tagging'!$AS:$AS,'Analysis of bottom-up tags'!$B165,'Bottom-up tagging'!$E:$E,'Analysis of bottom-up tags'!I$6)+SUMIFS('Bottom-up tagging'!$BF:$BF,'Bottom-up tagging'!$AT:$AT,'Analysis of bottom-up tags'!$B165,'Bottom-up tagging'!$E:$E,'Analysis of bottom-up tags'!I$6)+SUMIFS('Bottom-up tagging'!$BG:$BG,'Bottom-up tagging'!$AU:$AU,'Analysis of bottom-up tags'!$B165,'Bottom-up tagging'!$E:$E,'Analysis of bottom-up tags'!I$6)+SUMIFS('Bottom-up tagging'!$BH:$BH,'Bottom-up tagging'!$AV:$AV,'Analysis of bottom-up tags'!$B165,'Bottom-up tagging'!$E:$E,'Analysis of bottom-up tags'!I$6)</f>
        <v>0</v>
      </c>
      <c r="J165" s="22">
        <f>SUMIFS('Bottom-up tagging'!$BE:$BE,'Bottom-up tagging'!$AS:$AS,'Analysis of bottom-up tags'!$B165,'Bottom-up tagging'!$E:$E,'Analysis of bottom-up tags'!J$6)+SUMIFS('Bottom-up tagging'!$BF:$BF,'Bottom-up tagging'!$AT:$AT,'Analysis of bottom-up tags'!$B165,'Bottom-up tagging'!$E:$E,'Analysis of bottom-up tags'!J$6)+SUMIFS('Bottom-up tagging'!$BG:$BG,'Bottom-up tagging'!$AU:$AU,'Analysis of bottom-up tags'!$B165,'Bottom-up tagging'!$E:$E,'Analysis of bottom-up tags'!J$6)+SUMIFS('Bottom-up tagging'!$BH:$BH,'Bottom-up tagging'!$AV:$AV,'Analysis of bottom-up tags'!$B165,'Bottom-up tagging'!$E:$E,'Analysis of bottom-up tags'!J$6)</f>
        <v>0</v>
      </c>
      <c r="K165" s="22">
        <f>SUMIFS('Bottom-up tagging'!$BE:$BE,'Bottom-up tagging'!$AS:$AS,'Analysis of bottom-up tags'!$B165,'Bottom-up tagging'!$E:$E,'Analysis of bottom-up tags'!K$6)+SUMIFS('Bottom-up tagging'!$BF:$BF,'Bottom-up tagging'!$AT:$AT,'Analysis of bottom-up tags'!$B165,'Bottom-up tagging'!$E:$E,'Analysis of bottom-up tags'!K$6)+SUMIFS('Bottom-up tagging'!$BG:$BG,'Bottom-up tagging'!$AU:$AU,'Analysis of bottom-up tags'!$B165,'Bottom-up tagging'!$E:$E,'Analysis of bottom-up tags'!K$6)+SUMIFS('Bottom-up tagging'!$BH:$BH,'Bottom-up tagging'!$AV:$AV,'Analysis of bottom-up tags'!$B165,'Bottom-up tagging'!$E:$E,'Analysis of bottom-up tags'!K$6)</f>
        <v>0</v>
      </c>
      <c r="L165" s="22">
        <f>SUMIFS('Bottom-up tagging'!$BE:$BE,'Bottom-up tagging'!$AS:$AS,'Analysis of bottom-up tags'!$B165,'Bottom-up tagging'!$E:$E,'Analysis of bottom-up tags'!L$6)+SUMIFS('Bottom-up tagging'!$BF:$BF,'Bottom-up tagging'!$AT:$AT,'Analysis of bottom-up tags'!$B165,'Bottom-up tagging'!$E:$E,'Analysis of bottom-up tags'!L$6)+SUMIFS('Bottom-up tagging'!$BG:$BG,'Bottom-up tagging'!$AU:$AU,'Analysis of bottom-up tags'!$B165,'Bottom-up tagging'!$E:$E,'Analysis of bottom-up tags'!L$6)+SUMIFS('Bottom-up tagging'!$BH:$BH,'Bottom-up tagging'!$AV:$AV,'Analysis of bottom-up tags'!$B165,'Bottom-up tagging'!$E:$E,'Analysis of bottom-up tags'!L$6)</f>
        <v>0</v>
      </c>
      <c r="N165" s="101">
        <f>C$165/C$7</f>
        <v>0</v>
      </c>
      <c r="O165" s="101">
        <f t="shared" ref="O165:W165" si="150">D$165/D$7</f>
        <v>0</v>
      </c>
      <c r="P165" s="101">
        <f t="shared" si="150"/>
        <v>0</v>
      </c>
      <c r="Q165" s="101">
        <f t="shared" si="150"/>
        <v>0</v>
      </c>
      <c r="R165" s="101">
        <f t="shared" si="150"/>
        <v>0</v>
      </c>
      <c r="S165" s="101">
        <f t="shared" si="150"/>
        <v>0</v>
      </c>
      <c r="T165" s="101">
        <f t="shared" si="150"/>
        <v>0</v>
      </c>
      <c r="U165" s="101">
        <f t="shared" si="150"/>
        <v>0</v>
      </c>
      <c r="V165" s="101">
        <f t="shared" si="150"/>
        <v>0</v>
      </c>
      <c r="W165" s="101">
        <f t="shared" si="150"/>
        <v>0</v>
      </c>
    </row>
    <row r="166" spans="2:23">
      <c r="B166" s="64" t="s">
        <v>11110</v>
      </c>
      <c r="C166" s="22">
        <f>SUMIFS('Bottom-up tagging'!$BE:$BE,'Bottom-up tagging'!$AS:$AS,'Analysis of bottom-up tags'!$B166,'Bottom-up tagging'!$E:$E,'Analysis of bottom-up tags'!C$6)+SUMIFS('Bottom-up tagging'!$BF:$BF,'Bottom-up tagging'!$AT:$AT,'Analysis of bottom-up tags'!$B166,'Bottom-up tagging'!$E:$E,'Analysis of bottom-up tags'!C$6)+SUMIFS('Bottom-up tagging'!$BG:$BG,'Bottom-up tagging'!$AU:$AU,'Analysis of bottom-up tags'!$B166,'Bottom-up tagging'!$E:$E,'Analysis of bottom-up tags'!C$6)+SUMIFS('Bottom-up tagging'!$BH:$BH,'Bottom-up tagging'!$AV:$AV,'Analysis of bottom-up tags'!$B166,'Bottom-up tagging'!$E:$E,'Analysis of bottom-up tags'!C$6)</f>
        <v>0</v>
      </c>
      <c r="D166" s="22">
        <f>SUMIFS('Bottom-up tagging'!$BE:$BE,'Bottom-up tagging'!$AS:$AS,'Analysis of bottom-up tags'!$B166,'Bottom-up tagging'!$E:$E,'Analysis of bottom-up tags'!D$6)+SUMIFS('Bottom-up tagging'!$BF:$BF,'Bottom-up tagging'!$AT:$AT,'Analysis of bottom-up tags'!$B166,'Bottom-up tagging'!$E:$E,'Analysis of bottom-up tags'!D$6)+SUMIFS('Bottom-up tagging'!$BG:$BG,'Bottom-up tagging'!$AU:$AU,'Analysis of bottom-up tags'!$B166,'Bottom-up tagging'!$E:$E,'Analysis of bottom-up tags'!D$6)+SUMIFS('Bottom-up tagging'!$BH:$BH,'Bottom-up tagging'!$AV:$AV,'Analysis of bottom-up tags'!$B166,'Bottom-up tagging'!$E:$E,'Analysis of bottom-up tags'!D$6)</f>
        <v>0</v>
      </c>
      <c r="E166" s="22">
        <f>SUMIFS('Bottom-up tagging'!$BE:$BE,'Bottom-up tagging'!$AS:$AS,'Analysis of bottom-up tags'!$B166,'Bottom-up tagging'!$E:$E,'Analysis of bottom-up tags'!E$6)+SUMIFS('Bottom-up tagging'!$BF:$BF,'Bottom-up tagging'!$AT:$AT,'Analysis of bottom-up tags'!$B166,'Bottom-up tagging'!$E:$E,'Analysis of bottom-up tags'!E$6)+SUMIFS('Bottom-up tagging'!$BG:$BG,'Bottom-up tagging'!$AU:$AU,'Analysis of bottom-up tags'!$B166,'Bottom-up tagging'!$E:$E,'Analysis of bottom-up tags'!E$6)+SUMIFS('Bottom-up tagging'!$BH:$BH,'Bottom-up tagging'!$AV:$AV,'Analysis of bottom-up tags'!$B166,'Bottom-up tagging'!$E:$E,'Analysis of bottom-up tags'!E$6)</f>
        <v>0</v>
      </c>
      <c r="F166" s="22">
        <f>SUMIFS('Bottom-up tagging'!$BE:$BE,'Bottom-up tagging'!$AS:$AS,'Analysis of bottom-up tags'!$B166,'Bottom-up tagging'!$E:$E,'Analysis of bottom-up tags'!F$6)+SUMIFS('Bottom-up tagging'!$BF:$BF,'Bottom-up tagging'!$AT:$AT,'Analysis of bottom-up tags'!$B166,'Bottom-up tagging'!$E:$E,'Analysis of bottom-up tags'!F$6)+SUMIFS('Bottom-up tagging'!$BG:$BG,'Bottom-up tagging'!$AU:$AU,'Analysis of bottom-up tags'!$B166,'Bottom-up tagging'!$E:$E,'Analysis of bottom-up tags'!F$6)+SUMIFS('Bottom-up tagging'!$BH:$BH,'Bottom-up tagging'!$AV:$AV,'Analysis of bottom-up tags'!$B166,'Bottom-up tagging'!$E:$E,'Analysis of bottom-up tags'!F$6)</f>
        <v>0</v>
      </c>
      <c r="G166" s="22">
        <f>SUMIFS('Bottom-up tagging'!$BE:$BE,'Bottom-up tagging'!$AS:$AS,'Analysis of bottom-up tags'!$B166,'Bottom-up tagging'!$E:$E,'Analysis of bottom-up tags'!G$6)+SUMIFS('Bottom-up tagging'!$BF:$BF,'Bottom-up tagging'!$AT:$AT,'Analysis of bottom-up tags'!$B166,'Bottom-up tagging'!$E:$E,'Analysis of bottom-up tags'!G$6)+SUMIFS('Bottom-up tagging'!$BG:$BG,'Bottom-up tagging'!$AU:$AU,'Analysis of bottom-up tags'!$B166,'Bottom-up tagging'!$E:$E,'Analysis of bottom-up tags'!G$6)+SUMIFS('Bottom-up tagging'!$BH:$BH,'Bottom-up tagging'!$AV:$AV,'Analysis of bottom-up tags'!$B166,'Bottom-up tagging'!$E:$E,'Analysis of bottom-up tags'!G$6)</f>
        <v>0</v>
      </c>
      <c r="H166" s="22">
        <f>SUMIFS('Bottom-up tagging'!$BE:$BE,'Bottom-up tagging'!$AS:$AS,'Analysis of bottom-up tags'!$B166,'Bottom-up tagging'!$E:$E,'Analysis of bottom-up tags'!H$6)+SUMIFS('Bottom-up tagging'!$BF:$BF,'Bottom-up tagging'!$AT:$AT,'Analysis of bottom-up tags'!$B166,'Bottom-up tagging'!$E:$E,'Analysis of bottom-up tags'!H$6)+SUMIFS('Bottom-up tagging'!$BG:$BG,'Bottom-up tagging'!$AU:$AU,'Analysis of bottom-up tags'!$B166,'Bottom-up tagging'!$E:$E,'Analysis of bottom-up tags'!H$6)+SUMIFS('Bottom-up tagging'!$BH:$BH,'Bottom-up tagging'!$AV:$AV,'Analysis of bottom-up tags'!$B166,'Bottom-up tagging'!$E:$E,'Analysis of bottom-up tags'!H$6)</f>
        <v>0</v>
      </c>
      <c r="I166" s="22">
        <f>SUMIFS('Bottom-up tagging'!$BE:$BE,'Bottom-up tagging'!$AS:$AS,'Analysis of bottom-up tags'!$B166,'Bottom-up tagging'!$E:$E,'Analysis of bottom-up tags'!I$6)+SUMIFS('Bottom-up tagging'!$BF:$BF,'Bottom-up tagging'!$AT:$AT,'Analysis of bottom-up tags'!$B166,'Bottom-up tagging'!$E:$E,'Analysis of bottom-up tags'!I$6)+SUMIFS('Bottom-up tagging'!$BG:$BG,'Bottom-up tagging'!$AU:$AU,'Analysis of bottom-up tags'!$B166,'Bottom-up tagging'!$E:$E,'Analysis of bottom-up tags'!I$6)+SUMIFS('Bottom-up tagging'!$BH:$BH,'Bottom-up tagging'!$AV:$AV,'Analysis of bottom-up tags'!$B166,'Bottom-up tagging'!$E:$E,'Analysis of bottom-up tags'!I$6)</f>
        <v>0</v>
      </c>
      <c r="J166" s="22">
        <f>SUMIFS('Bottom-up tagging'!$BE:$BE,'Bottom-up tagging'!$AS:$AS,'Analysis of bottom-up tags'!$B166,'Bottom-up tagging'!$E:$E,'Analysis of bottom-up tags'!J$6)+SUMIFS('Bottom-up tagging'!$BF:$BF,'Bottom-up tagging'!$AT:$AT,'Analysis of bottom-up tags'!$B166,'Bottom-up tagging'!$E:$E,'Analysis of bottom-up tags'!J$6)+SUMIFS('Bottom-up tagging'!$BG:$BG,'Bottom-up tagging'!$AU:$AU,'Analysis of bottom-up tags'!$B166,'Bottom-up tagging'!$E:$E,'Analysis of bottom-up tags'!J$6)+SUMIFS('Bottom-up tagging'!$BH:$BH,'Bottom-up tagging'!$AV:$AV,'Analysis of bottom-up tags'!$B166,'Bottom-up tagging'!$E:$E,'Analysis of bottom-up tags'!J$6)</f>
        <v>0</v>
      </c>
      <c r="K166" s="22">
        <f>SUMIFS('Bottom-up tagging'!$BE:$BE,'Bottom-up tagging'!$AS:$AS,'Analysis of bottom-up tags'!$B166,'Bottom-up tagging'!$E:$E,'Analysis of bottom-up tags'!K$6)+SUMIFS('Bottom-up tagging'!$BF:$BF,'Bottom-up tagging'!$AT:$AT,'Analysis of bottom-up tags'!$B166,'Bottom-up tagging'!$E:$E,'Analysis of bottom-up tags'!K$6)+SUMIFS('Bottom-up tagging'!$BG:$BG,'Bottom-up tagging'!$AU:$AU,'Analysis of bottom-up tags'!$B166,'Bottom-up tagging'!$E:$E,'Analysis of bottom-up tags'!K$6)+SUMIFS('Bottom-up tagging'!$BH:$BH,'Bottom-up tagging'!$AV:$AV,'Analysis of bottom-up tags'!$B166,'Bottom-up tagging'!$E:$E,'Analysis of bottom-up tags'!K$6)</f>
        <v>0</v>
      </c>
      <c r="L166" s="22">
        <f>SUMIFS('Bottom-up tagging'!$BE:$BE,'Bottom-up tagging'!$AS:$AS,'Analysis of bottom-up tags'!$B166,'Bottom-up tagging'!$E:$E,'Analysis of bottom-up tags'!L$6)+SUMIFS('Bottom-up tagging'!$BF:$BF,'Bottom-up tagging'!$AT:$AT,'Analysis of bottom-up tags'!$B166,'Bottom-up tagging'!$E:$E,'Analysis of bottom-up tags'!L$6)+SUMIFS('Bottom-up tagging'!$BG:$BG,'Bottom-up tagging'!$AU:$AU,'Analysis of bottom-up tags'!$B166,'Bottom-up tagging'!$E:$E,'Analysis of bottom-up tags'!L$6)+SUMIFS('Bottom-up tagging'!$BH:$BH,'Bottom-up tagging'!$AV:$AV,'Analysis of bottom-up tags'!$B166,'Bottom-up tagging'!$E:$E,'Analysis of bottom-up tags'!L$6)</f>
        <v>0</v>
      </c>
      <c r="N166" s="101">
        <f>C$166/C$7</f>
        <v>0</v>
      </c>
      <c r="O166" s="101">
        <f t="shared" ref="O166:W166" si="151">D$166/D$7</f>
        <v>0</v>
      </c>
      <c r="P166" s="101">
        <f t="shared" si="151"/>
        <v>0</v>
      </c>
      <c r="Q166" s="101">
        <f t="shared" si="151"/>
        <v>0</v>
      </c>
      <c r="R166" s="101">
        <f t="shared" si="151"/>
        <v>0</v>
      </c>
      <c r="S166" s="101">
        <f t="shared" si="151"/>
        <v>0</v>
      </c>
      <c r="T166" s="101">
        <f t="shared" si="151"/>
        <v>0</v>
      </c>
      <c r="U166" s="101">
        <f t="shared" si="151"/>
        <v>0</v>
      </c>
      <c r="V166" s="101">
        <f t="shared" si="151"/>
        <v>0</v>
      </c>
      <c r="W166" s="101">
        <f t="shared" si="151"/>
        <v>0</v>
      </c>
    </row>
    <row r="167" spans="2:23">
      <c r="B167" s="64" t="s">
        <v>10558</v>
      </c>
      <c r="C167" s="22">
        <f>SUMIFS('Bottom-up tagging'!$BE:$BE,'Bottom-up tagging'!$AS:$AS,'Analysis of bottom-up tags'!$B167,'Bottom-up tagging'!$E:$E,'Analysis of bottom-up tags'!C$6)+SUMIFS('Bottom-up tagging'!$BF:$BF,'Bottom-up tagging'!$AT:$AT,'Analysis of bottom-up tags'!$B167,'Bottom-up tagging'!$E:$E,'Analysis of bottom-up tags'!C$6)+SUMIFS('Bottom-up tagging'!$BG:$BG,'Bottom-up tagging'!$AU:$AU,'Analysis of bottom-up tags'!$B167,'Bottom-up tagging'!$E:$E,'Analysis of bottom-up tags'!C$6)+SUMIFS('Bottom-up tagging'!$BH:$BH,'Bottom-up tagging'!$AV:$AV,'Analysis of bottom-up tags'!$B167,'Bottom-up tagging'!$E:$E,'Analysis of bottom-up tags'!C$6)</f>
        <v>0</v>
      </c>
      <c r="D167" s="22">
        <f>SUMIFS('Bottom-up tagging'!$BE:$BE,'Bottom-up tagging'!$AS:$AS,'Analysis of bottom-up tags'!$B167,'Bottom-up tagging'!$E:$E,'Analysis of bottom-up tags'!D$6)+SUMIFS('Bottom-up tagging'!$BF:$BF,'Bottom-up tagging'!$AT:$AT,'Analysis of bottom-up tags'!$B167,'Bottom-up tagging'!$E:$E,'Analysis of bottom-up tags'!D$6)+SUMIFS('Bottom-up tagging'!$BG:$BG,'Bottom-up tagging'!$AU:$AU,'Analysis of bottom-up tags'!$B167,'Bottom-up tagging'!$E:$E,'Analysis of bottom-up tags'!D$6)+SUMIFS('Bottom-up tagging'!$BH:$BH,'Bottom-up tagging'!$AV:$AV,'Analysis of bottom-up tags'!$B167,'Bottom-up tagging'!$E:$E,'Analysis of bottom-up tags'!D$6)</f>
        <v>0</v>
      </c>
      <c r="E167" s="22">
        <f>SUMIFS('Bottom-up tagging'!$BE:$BE,'Bottom-up tagging'!$AS:$AS,'Analysis of bottom-up tags'!$B167,'Bottom-up tagging'!$E:$E,'Analysis of bottom-up tags'!E$6)+SUMIFS('Bottom-up tagging'!$BF:$BF,'Bottom-up tagging'!$AT:$AT,'Analysis of bottom-up tags'!$B167,'Bottom-up tagging'!$E:$E,'Analysis of bottom-up tags'!E$6)+SUMIFS('Bottom-up tagging'!$BG:$BG,'Bottom-up tagging'!$AU:$AU,'Analysis of bottom-up tags'!$B167,'Bottom-up tagging'!$E:$E,'Analysis of bottom-up tags'!E$6)+SUMIFS('Bottom-up tagging'!$BH:$BH,'Bottom-up tagging'!$AV:$AV,'Analysis of bottom-up tags'!$B167,'Bottom-up tagging'!$E:$E,'Analysis of bottom-up tags'!E$6)</f>
        <v>0</v>
      </c>
      <c r="F167" s="22">
        <f>SUMIFS('Bottom-up tagging'!$BE:$BE,'Bottom-up tagging'!$AS:$AS,'Analysis of bottom-up tags'!$B167,'Bottom-up tagging'!$E:$E,'Analysis of bottom-up tags'!F$6)+SUMIFS('Bottom-up tagging'!$BF:$BF,'Bottom-up tagging'!$AT:$AT,'Analysis of bottom-up tags'!$B167,'Bottom-up tagging'!$E:$E,'Analysis of bottom-up tags'!F$6)+SUMIFS('Bottom-up tagging'!$BG:$BG,'Bottom-up tagging'!$AU:$AU,'Analysis of bottom-up tags'!$B167,'Bottom-up tagging'!$E:$E,'Analysis of bottom-up tags'!F$6)+SUMIFS('Bottom-up tagging'!$BH:$BH,'Bottom-up tagging'!$AV:$AV,'Analysis of bottom-up tags'!$B167,'Bottom-up tagging'!$E:$E,'Analysis of bottom-up tags'!F$6)</f>
        <v>0</v>
      </c>
      <c r="G167" s="22">
        <f>SUMIFS('Bottom-up tagging'!$BE:$BE,'Bottom-up tagging'!$AS:$AS,'Analysis of bottom-up tags'!$B167,'Bottom-up tagging'!$E:$E,'Analysis of bottom-up tags'!G$6)+SUMIFS('Bottom-up tagging'!$BF:$BF,'Bottom-up tagging'!$AT:$AT,'Analysis of bottom-up tags'!$B167,'Bottom-up tagging'!$E:$E,'Analysis of bottom-up tags'!G$6)+SUMIFS('Bottom-up tagging'!$BG:$BG,'Bottom-up tagging'!$AU:$AU,'Analysis of bottom-up tags'!$B167,'Bottom-up tagging'!$E:$E,'Analysis of bottom-up tags'!G$6)+SUMIFS('Bottom-up tagging'!$BH:$BH,'Bottom-up tagging'!$AV:$AV,'Analysis of bottom-up tags'!$B167,'Bottom-up tagging'!$E:$E,'Analysis of bottom-up tags'!G$6)</f>
        <v>0</v>
      </c>
      <c r="H167" s="22">
        <f>SUMIFS('Bottom-up tagging'!$BE:$BE,'Bottom-up tagging'!$AS:$AS,'Analysis of bottom-up tags'!$B167,'Bottom-up tagging'!$E:$E,'Analysis of bottom-up tags'!H$6)+SUMIFS('Bottom-up tagging'!$BF:$BF,'Bottom-up tagging'!$AT:$AT,'Analysis of bottom-up tags'!$B167,'Bottom-up tagging'!$E:$E,'Analysis of bottom-up tags'!H$6)+SUMIFS('Bottom-up tagging'!$BG:$BG,'Bottom-up tagging'!$AU:$AU,'Analysis of bottom-up tags'!$B167,'Bottom-up tagging'!$E:$E,'Analysis of bottom-up tags'!H$6)+SUMIFS('Bottom-up tagging'!$BH:$BH,'Bottom-up tagging'!$AV:$AV,'Analysis of bottom-up tags'!$B167,'Bottom-up tagging'!$E:$E,'Analysis of bottom-up tags'!H$6)</f>
        <v>0</v>
      </c>
      <c r="I167" s="22">
        <f>SUMIFS('Bottom-up tagging'!$BE:$BE,'Bottom-up tagging'!$AS:$AS,'Analysis of bottom-up tags'!$B167,'Bottom-up tagging'!$E:$E,'Analysis of bottom-up tags'!I$6)+SUMIFS('Bottom-up tagging'!$BF:$BF,'Bottom-up tagging'!$AT:$AT,'Analysis of bottom-up tags'!$B167,'Bottom-up tagging'!$E:$E,'Analysis of bottom-up tags'!I$6)+SUMIFS('Bottom-up tagging'!$BG:$BG,'Bottom-up tagging'!$AU:$AU,'Analysis of bottom-up tags'!$B167,'Bottom-up tagging'!$E:$E,'Analysis of bottom-up tags'!I$6)+SUMIFS('Bottom-up tagging'!$BH:$BH,'Bottom-up tagging'!$AV:$AV,'Analysis of bottom-up tags'!$B167,'Bottom-up tagging'!$E:$E,'Analysis of bottom-up tags'!I$6)</f>
        <v>0</v>
      </c>
      <c r="J167" s="22">
        <f>SUMIFS('Bottom-up tagging'!$BE:$BE,'Bottom-up tagging'!$AS:$AS,'Analysis of bottom-up tags'!$B167,'Bottom-up tagging'!$E:$E,'Analysis of bottom-up tags'!J$6)+SUMIFS('Bottom-up tagging'!$BF:$BF,'Bottom-up tagging'!$AT:$AT,'Analysis of bottom-up tags'!$B167,'Bottom-up tagging'!$E:$E,'Analysis of bottom-up tags'!J$6)+SUMIFS('Bottom-up tagging'!$BG:$BG,'Bottom-up tagging'!$AU:$AU,'Analysis of bottom-up tags'!$B167,'Bottom-up tagging'!$E:$E,'Analysis of bottom-up tags'!J$6)+SUMIFS('Bottom-up tagging'!$BH:$BH,'Bottom-up tagging'!$AV:$AV,'Analysis of bottom-up tags'!$B167,'Bottom-up tagging'!$E:$E,'Analysis of bottom-up tags'!J$6)</f>
        <v>0</v>
      </c>
      <c r="K167" s="22">
        <f>SUMIFS('Bottom-up tagging'!$BE:$BE,'Bottom-up tagging'!$AS:$AS,'Analysis of bottom-up tags'!$B167,'Bottom-up tagging'!$E:$E,'Analysis of bottom-up tags'!K$6)+SUMIFS('Bottom-up tagging'!$BF:$BF,'Bottom-up tagging'!$AT:$AT,'Analysis of bottom-up tags'!$B167,'Bottom-up tagging'!$E:$E,'Analysis of bottom-up tags'!K$6)+SUMIFS('Bottom-up tagging'!$BG:$BG,'Bottom-up tagging'!$AU:$AU,'Analysis of bottom-up tags'!$B167,'Bottom-up tagging'!$E:$E,'Analysis of bottom-up tags'!K$6)+SUMIFS('Bottom-up tagging'!$BH:$BH,'Bottom-up tagging'!$AV:$AV,'Analysis of bottom-up tags'!$B167,'Bottom-up tagging'!$E:$E,'Analysis of bottom-up tags'!K$6)</f>
        <v>0</v>
      </c>
      <c r="L167" s="22">
        <f>SUMIFS('Bottom-up tagging'!$BE:$BE,'Bottom-up tagging'!$AS:$AS,'Analysis of bottom-up tags'!$B167,'Bottom-up tagging'!$E:$E,'Analysis of bottom-up tags'!L$6)+SUMIFS('Bottom-up tagging'!$BF:$BF,'Bottom-up tagging'!$AT:$AT,'Analysis of bottom-up tags'!$B167,'Bottom-up tagging'!$E:$E,'Analysis of bottom-up tags'!L$6)+SUMIFS('Bottom-up tagging'!$BG:$BG,'Bottom-up tagging'!$AU:$AU,'Analysis of bottom-up tags'!$B167,'Bottom-up tagging'!$E:$E,'Analysis of bottom-up tags'!L$6)+SUMIFS('Bottom-up tagging'!$BH:$BH,'Bottom-up tagging'!$AV:$AV,'Analysis of bottom-up tags'!$B167,'Bottom-up tagging'!$E:$E,'Analysis of bottom-up tags'!L$6)</f>
        <v>0</v>
      </c>
      <c r="N167" s="101">
        <f>C$167/C$7</f>
        <v>0</v>
      </c>
      <c r="O167" s="101">
        <f t="shared" ref="O167:W167" si="152">D$167/D$7</f>
        <v>0</v>
      </c>
      <c r="P167" s="101">
        <f t="shared" si="152"/>
        <v>0</v>
      </c>
      <c r="Q167" s="101">
        <f t="shared" si="152"/>
        <v>0</v>
      </c>
      <c r="R167" s="101">
        <f t="shared" si="152"/>
        <v>0</v>
      </c>
      <c r="S167" s="101">
        <f t="shared" si="152"/>
        <v>0</v>
      </c>
      <c r="T167" s="101">
        <f t="shared" si="152"/>
        <v>0</v>
      </c>
      <c r="U167" s="101">
        <f t="shared" si="152"/>
        <v>0</v>
      </c>
      <c r="V167" s="101">
        <f t="shared" si="152"/>
        <v>0</v>
      </c>
      <c r="W167" s="101">
        <f t="shared" si="152"/>
        <v>0</v>
      </c>
    </row>
    <row r="168" spans="2:23">
      <c r="B168" s="64" t="s">
        <v>11111</v>
      </c>
      <c r="C168" s="22">
        <f>SUMIFS('Bottom-up tagging'!$BE:$BE,'Bottom-up tagging'!$AS:$AS,'Analysis of bottom-up tags'!$B168,'Bottom-up tagging'!$E:$E,'Analysis of bottom-up tags'!C$6)+SUMIFS('Bottom-up tagging'!$BF:$BF,'Bottom-up tagging'!$AT:$AT,'Analysis of bottom-up tags'!$B168,'Bottom-up tagging'!$E:$E,'Analysis of bottom-up tags'!C$6)+SUMIFS('Bottom-up tagging'!$BG:$BG,'Bottom-up tagging'!$AU:$AU,'Analysis of bottom-up tags'!$B168,'Bottom-up tagging'!$E:$E,'Analysis of bottom-up tags'!C$6)+SUMIFS('Bottom-up tagging'!$BH:$BH,'Bottom-up tagging'!$AV:$AV,'Analysis of bottom-up tags'!$B168,'Bottom-up tagging'!$E:$E,'Analysis of bottom-up tags'!C$6)</f>
        <v>0</v>
      </c>
      <c r="D168" s="22">
        <f>SUMIFS('Bottom-up tagging'!$BE:$BE,'Bottom-up tagging'!$AS:$AS,'Analysis of bottom-up tags'!$B168,'Bottom-up tagging'!$E:$E,'Analysis of bottom-up tags'!D$6)+SUMIFS('Bottom-up tagging'!$BF:$BF,'Bottom-up tagging'!$AT:$AT,'Analysis of bottom-up tags'!$B168,'Bottom-up tagging'!$E:$E,'Analysis of bottom-up tags'!D$6)+SUMIFS('Bottom-up tagging'!$BG:$BG,'Bottom-up tagging'!$AU:$AU,'Analysis of bottom-up tags'!$B168,'Bottom-up tagging'!$E:$E,'Analysis of bottom-up tags'!D$6)+SUMIFS('Bottom-up tagging'!$BH:$BH,'Bottom-up tagging'!$AV:$AV,'Analysis of bottom-up tags'!$B168,'Bottom-up tagging'!$E:$E,'Analysis of bottom-up tags'!D$6)</f>
        <v>0</v>
      </c>
      <c r="E168" s="22">
        <f>SUMIFS('Bottom-up tagging'!$BE:$BE,'Bottom-up tagging'!$AS:$AS,'Analysis of bottom-up tags'!$B168,'Bottom-up tagging'!$E:$E,'Analysis of bottom-up tags'!E$6)+SUMIFS('Bottom-up tagging'!$BF:$BF,'Bottom-up tagging'!$AT:$AT,'Analysis of bottom-up tags'!$B168,'Bottom-up tagging'!$E:$E,'Analysis of bottom-up tags'!E$6)+SUMIFS('Bottom-up tagging'!$BG:$BG,'Bottom-up tagging'!$AU:$AU,'Analysis of bottom-up tags'!$B168,'Bottom-up tagging'!$E:$E,'Analysis of bottom-up tags'!E$6)+SUMIFS('Bottom-up tagging'!$BH:$BH,'Bottom-up tagging'!$AV:$AV,'Analysis of bottom-up tags'!$B168,'Bottom-up tagging'!$E:$E,'Analysis of bottom-up tags'!E$6)</f>
        <v>0</v>
      </c>
      <c r="F168" s="22">
        <f>SUMIFS('Bottom-up tagging'!$BE:$BE,'Bottom-up tagging'!$AS:$AS,'Analysis of bottom-up tags'!$B168,'Bottom-up tagging'!$E:$E,'Analysis of bottom-up tags'!F$6)+SUMIFS('Bottom-up tagging'!$BF:$BF,'Bottom-up tagging'!$AT:$AT,'Analysis of bottom-up tags'!$B168,'Bottom-up tagging'!$E:$E,'Analysis of bottom-up tags'!F$6)+SUMIFS('Bottom-up tagging'!$BG:$BG,'Bottom-up tagging'!$AU:$AU,'Analysis of bottom-up tags'!$B168,'Bottom-up tagging'!$E:$E,'Analysis of bottom-up tags'!F$6)+SUMIFS('Bottom-up tagging'!$BH:$BH,'Bottom-up tagging'!$AV:$AV,'Analysis of bottom-up tags'!$B168,'Bottom-up tagging'!$E:$E,'Analysis of bottom-up tags'!F$6)</f>
        <v>0</v>
      </c>
      <c r="G168" s="22">
        <f>SUMIFS('Bottom-up tagging'!$BE:$BE,'Bottom-up tagging'!$AS:$AS,'Analysis of bottom-up tags'!$B168,'Bottom-up tagging'!$E:$E,'Analysis of bottom-up tags'!G$6)+SUMIFS('Bottom-up tagging'!$BF:$BF,'Bottom-up tagging'!$AT:$AT,'Analysis of bottom-up tags'!$B168,'Bottom-up tagging'!$E:$E,'Analysis of bottom-up tags'!G$6)+SUMIFS('Bottom-up tagging'!$BG:$BG,'Bottom-up tagging'!$AU:$AU,'Analysis of bottom-up tags'!$B168,'Bottom-up tagging'!$E:$E,'Analysis of bottom-up tags'!G$6)+SUMIFS('Bottom-up tagging'!$BH:$BH,'Bottom-up tagging'!$AV:$AV,'Analysis of bottom-up tags'!$B168,'Bottom-up tagging'!$E:$E,'Analysis of bottom-up tags'!G$6)</f>
        <v>0</v>
      </c>
      <c r="H168" s="22">
        <f>SUMIFS('Bottom-up tagging'!$BE:$BE,'Bottom-up tagging'!$AS:$AS,'Analysis of bottom-up tags'!$B168,'Bottom-up tagging'!$E:$E,'Analysis of bottom-up tags'!H$6)+SUMIFS('Bottom-up tagging'!$BF:$BF,'Bottom-up tagging'!$AT:$AT,'Analysis of bottom-up tags'!$B168,'Bottom-up tagging'!$E:$E,'Analysis of bottom-up tags'!H$6)+SUMIFS('Bottom-up tagging'!$BG:$BG,'Bottom-up tagging'!$AU:$AU,'Analysis of bottom-up tags'!$B168,'Bottom-up tagging'!$E:$E,'Analysis of bottom-up tags'!H$6)+SUMIFS('Bottom-up tagging'!$BH:$BH,'Bottom-up tagging'!$AV:$AV,'Analysis of bottom-up tags'!$B168,'Bottom-up tagging'!$E:$E,'Analysis of bottom-up tags'!H$6)</f>
        <v>0</v>
      </c>
      <c r="I168" s="22">
        <f>SUMIFS('Bottom-up tagging'!$BE:$BE,'Bottom-up tagging'!$AS:$AS,'Analysis of bottom-up tags'!$B168,'Bottom-up tagging'!$E:$E,'Analysis of bottom-up tags'!I$6)+SUMIFS('Bottom-up tagging'!$BF:$BF,'Bottom-up tagging'!$AT:$AT,'Analysis of bottom-up tags'!$B168,'Bottom-up tagging'!$E:$E,'Analysis of bottom-up tags'!I$6)+SUMIFS('Bottom-up tagging'!$BG:$BG,'Bottom-up tagging'!$AU:$AU,'Analysis of bottom-up tags'!$B168,'Bottom-up tagging'!$E:$E,'Analysis of bottom-up tags'!I$6)+SUMIFS('Bottom-up tagging'!$BH:$BH,'Bottom-up tagging'!$AV:$AV,'Analysis of bottom-up tags'!$B168,'Bottom-up tagging'!$E:$E,'Analysis of bottom-up tags'!I$6)</f>
        <v>0</v>
      </c>
      <c r="J168" s="22">
        <f>SUMIFS('Bottom-up tagging'!$BE:$BE,'Bottom-up tagging'!$AS:$AS,'Analysis of bottom-up tags'!$B168,'Bottom-up tagging'!$E:$E,'Analysis of bottom-up tags'!J$6)+SUMIFS('Bottom-up tagging'!$BF:$BF,'Bottom-up tagging'!$AT:$AT,'Analysis of bottom-up tags'!$B168,'Bottom-up tagging'!$E:$E,'Analysis of bottom-up tags'!J$6)+SUMIFS('Bottom-up tagging'!$BG:$BG,'Bottom-up tagging'!$AU:$AU,'Analysis of bottom-up tags'!$B168,'Bottom-up tagging'!$E:$E,'Analysis of bottom-up tags'!J$6)+SUMIFS('Bottom-up tagging'!$BH:$BH,'Bottom-up tagging'!$AV:$AV,'Analysis of bottom-up tags'!$B168,'Bottom-up tagging'!$E:$E,'Analysis of bottom-up tags'!J$6)</f>
        <v>0</v>
      </c>
      <c r="K168" s="22">
        <f>SUMIFS('Bottom-up tagging'!$BE:$BE,'Bottom-up tagging'!$AS:$AS,'Analysis of bottom-up tags'!$B168,'Bottom-up tagging'!$E:$E,'Analysis of bottom-up tags'!K$6)+SUMIFS('Bottom-up tagging'!$BF:$BF,'Bottom-up tagging'!$AT:$AT,'Analysis of bottom-up tags'!$B168,'Bottom-up tagging'!$E:$E,'Analysis of bottom-up tags'!K$6)+SUMIFS('Bottom-up tagging'!$BG:$BG,'Bottom-up tagging'!$AU:$AU,'Analysis of bottom-up tags'!$B168,'Bottom-up tagging'!$E:$E,'Analysis of bottom-up tags'!K$6)+SUMIFS('Bottom-up tagging'!$BH:$BH,'Bottom-up tagging'!$AV:$AV,'Analysis of bottom-up tags'!$B168,'Bottom-up tagging'!$E:$E,'Analysis of bottom-up tags'!K$6)</f>
        <v>0</v>
      </c>
      <c r="L168" s="22">
        <f>SUMIFS('Bottom-up tagging'!$BE:$BE,'Bottom-up tagging'!$AS:$AS,'Analysis of bottom-up tags'!$B168,'Bottom-up tagging'!$E:$E,'Analysis of bottom-up tags'!L$6)+SUMIFS('Bottom-up tagging'!$BF:$BF,'Bottom-up tagging'!$AT:$AT,'Analysis of bottom-up tags'!$B168,'Bottom-up tagging'!$E:$E,'Analysis of bottom-up tags'!L$6)+SUMIFS('Bottom-up tagging'!$BG:$BG,'Bottom-up tagging'!$AU:$AU,'Analysis of bottom-up tags'!$B168,'Bottom-up tagging'!$E:$E,'Analysis of bottom-up tags'!L$6)+SUMIFS('Bottom-up tagging'!$BH:$BH,'Bottom-up tagging'!$AV:$AV,'Analysis of bottom-up tags'!$B168,'Bottom-up tagging'!$E:$E,'Analysis of bottom-up tags'!L$6)</f>
        <v>0</v>
      </c>
      <c r="N168" s="101">
        <f>C$168/C$7</f>
        <v>0</v>
      </c>
      <c r="O168" s="101">
        <f t="shared" ref="O168:W168" si="153">D$168/D$7</f>
        <v>0</v>
      </c>
      <c r="P168" s="101">
        <f t="shared" si="153"/>
        <v>0</v>
      </c>
      <c r="Q168" s="101">
        <f t="shared" si="153"/>
        <v>0</v>
      </c>
      <c r="R168" s="101">
        <f t="shared" si="153"/>
        <v>0</v>
      </c>
      <c r="S168" s="101">
        <f t="shared" si="153"/>
        <v>0</v>
      </c>
      <c r="T168" s="101">
        <f t="shared" si="153"/>
        <v>0</v>
      </c>
      <c r="U168" s="101">
        <f t="shared" si="153"/>
        <v>0</v>
      </c>
      <c r="V168" s="101">
        <f t="shared" si="153"/>
        <v>0</v>
      </c>
      <c r="W168" s="101">
        <f t="shared" si="153"/>
        <v>0</v>
      </c>
    </row>
    <row r="169" spans="2:23">
      <c r="B169" s="191" t="s">
        <v>11042</v>
      </c>
      <c r="C169" s="192">
        <f>SUM(C163:C168)</f>
        <v>0</v>
      </c>
      <c r="D169" s="192">
        <f t="shared" ref="D169:L169" si="154">SUM(D163:D168)</f>
        <v>0</v>
      </c>
      <c r="E169" s="192">
        <f t="shared" si="154"/>
        <v>0</v>
      </c>
      <c r="F169" s="192">
        <f t="shared" si="154"/>
        <v>0</v>
      </c>
      <c r="G169" s="192">
        <f t="shared" si="154"/>
        <v>0</v>
      </c>
      <c r="H169" s="192">
        <f t="shared" si="154"/>
        <v>0</v>
      </c>
      <c r="I169" s="192">
        <f t="shared" si="154"/>
        <v>1185604.8741468757</v>
      </c>
      <c r="J169" s="192">
        <f t="shared" si="154"/>
        <v>4590286.0131628066</v>
      </c>
      <c r="K169" s="192">
        <f t="shared" si="154"/>
        <v>1332941.3764825384</v>
      </c>
      <c r="L169" s="192">
        <f t="shared" si="154"/>
        <v>2635571.0569686214</v>
      </c>
      <c r="M169" s="192"/>
      <c r="N169" s="193">
        <f>C$169/C$7</f>
        <v>0</v>
      </c>
      <c r="O169" s="193">
        <f t="shared" ref="O169:W169" si="155">D$169/D$7</f>
        <v>0</v>
      </c>
      <c r="P169" s="193">
        <f t="shared" si="155"/>
        <v>0</v>
      </c>
      <c r="Q169" s="193">
        <f t="shared" si="155"/>
        <v>0</v>
      </c>
      <c r="R169" s="193">
        <f t="shared" si="155"/>
        <v>0</v>
      </c>
      <c r="S169" s="193">
        <f t="shared" si="155"/>
        <v>0</v>
      </c>
      <c r="T169" s="193">
        <f>I$169/I$7</f>
        <v>3.2385164672970343E-3</v>
      </c>
      <c r="U169" s="193">
        <f t="shared" si="155"/>
        <v>2.2019054836135591E-2</v>
      </c>
      <c r="V169" s="193">
        <f t="shared" si="155"/>
        <v>1.2213706785244238E-3</v>
      </c>
      <c r="W169" s="193">
        <f t="shared" si="155"/>
        <v>9.7410636121205343E-3</v>
      </c>
    </row>
    <row r="172" spans="2:23">
      <c r="B172" s="170" t="s">
        <v>11133</v>
      </c>
      <c r="C172" s="140"/>
      <c r="D172" s="140"/>
      <c r="E172" s="140"/>
      <c r="F172" s="140"/>
      <c r="G172" s="140"/>
      <c r="H172" s="140"/>
      <c r="I172" s="140"/>
      <c r="J172" s="140"/>
      <c r="K172" s="140"/>
      <c r="L172" s="140"/>
      <c r="M172" s="140"/>
      <c r="N172" s="171"/>
      <c r="O172" s="171"/>
      <c r="P172" s="171"/>
      <c r="Q172" s="171"/>
      <c r="R172" s="171"/>
      <c r="S172" s="171"/>
      <c r="T172" s="171"/>
      <c r="U172" s="171"/>
      <c r="V172" s="171"/>
      <c r="W172" s="171"/>
    </row>
    <row r="173" spans="2:23">
      <c r="B173" s="64" t="s">
        <v>10621</v>
      </c>
      <c r="C173" s="22">
        <f>SUMIFS('Bottom-up tagging'!$BI:$BI,'Bottom-up tagging'!$AS:$AS,'Analysis of bottom-up tags'!$B173,'Bottom-up tagging'!$E:$E,'Analysis of bottom-up tags'!C$6)+SUMIFS('Bottom-up tagging'!$BJ:$BJ,'Bottom-up tagging'!$AT:$AT,'Analysis of bottom-up tags'!$B173,'Bottom-up tagging'!$E:$E,'Analysis of bottom-up tags'!C$6)+SUMIFS('Bottom-up tagging'!$BK:$BK,'Bottom-up tagging'!$AU:$AU,'Analysis of bottom-up tags'!$B173,'Bottom-up tagging'!$E:$E,'Analysis of bottom-up tags'!C$6)+SUMIFS('Bottom-up tagging'!$BL:$BL,'Bottom-up tagging'!$AV:$AV,'Analysis of bottom-up tags'!$B173,'Bottom-up tagging'!$E:$E,'Analysis of bottom-up tags'!C$6)</f>
        <v>0</v>
      </c>
      <c r="D173" s="22">
        <f>SUMIFS('Bottom-up tagging'!$BI:$BI,'Bottom-up tagging'!$AS:$AS,'Analysis of bottom-up tags'!$B173,'Bottom-up tagging'!$E:$E,'Analysis of bottom-up tags'!D$6)+SUMIFS('Bottom-up tagging'!$BJ:$BJ,'Bottom-up tagging'!$AT:$AT,'Analysis of bottom-up tags'!$B173,'Bottom-up tagging'!$E:$E,'Analysis of bottom-up tags'!D$6)+SUMIFS('Bottom-up tagging'!$BK:$BK,'Bottom-up tagging'!$AU:$AU,'Analysis of bottom-up tags'!$B173,'Bottom-up tagging'!$E:$E,'Analysis of bottom-up tags'!D$6)+SUMIFS('Bottom-up tagging'!$BL:$BL,'Bottom-up tagging'!$AV:$AV,'Analysis of bottom-up tags'!$B173,'Bottom-up tagging'!$E:$E,'Analysis of bottom-up tags'!D$6)</f>
        <v>0</v>
      </c>
      <c r="E173" s="22">
        <f>SUMIFS('Bottom-up tagging'!$BI:$BI,'Bottom-up tagging'!$AS:$AS,'Analysis of bottom-up tags'!$B173,'Bottom-up tagging'!$E:$E,'Analysis of bottom-up tags'!E$6)+SUMIFS('Bottom-up tagging'!$BJ:$BJ,'Bottom-up tagging'!$AT:$AT,'Analysis of bottom-up tags'!$B173,'Bottom-up tagging'!$E:$E,'Analysis of bottom-up tags'!E$6)+SUMIFS('Bottom-up tagging'!$BK:$BK,'Bottom-up tagging'!$AU:$AU,'Analysis of bottom-up tags'!$B173,'Bottom-up tagging'!$E:$E,'Analysis of bottom-up tags'!E$6)+SUMIFS('Bottom-up tagging'!$BL:$BL,'Bottom-up tagging'!$AV:$AV,'Analysis of bottom-up tags'!$B173,'Bottom-up tagging'!$E:$E,'Analysis of bottom-up tags'!E$6)</f>
        <v>0</v>
      </c>
      <c r="F173" s="22">
        <f>SUMIFS('Bottom-up tagging'!$BI:$BI,'Bottom-up tagging'!$AS:$AS,'Analysis of bottom-up tags'!$B173,'Bottom-up tagging'!$E:$E,'Analysis of bottom-up tags'!F$6)+SUMIFS('Bottom-up tagging'!$BJ:$BJ,'Bottom-up tagging'!$AT:$AT,'Analysis of bottom-up tags'!$B173,'Bottom-up tagging'!$E:$E,'Analysis of bottom-up tags'!F$6)+SUMIFS('Bottom-up tagging'!$BK:$BK,'Bottom-up tagging'!$AU:$AU,'Analysis of bottom-up tags'!$B173,'Bottom-up tagging'!$E:$E,'Analysis of bottom-up tags'!F$6)+SUMIFS('Bottom-up tagging'!$BL:$BL,'Bottom-up tagging'!$AV:$AV,'Analysis of bottom-up tags'!$B173,'Bottom-up tagging'!$E:$E,'Analysis of bottom-up tags'!F$6)</f>
        <v>0</v>
      </c>
      <c r="G173" s="22">
        <f>SUMIFS('Bottom-up tagging'!$BI:$BI,'Bottom-up tagging'!$AS:$AS,'Analysis of bottom-up tags'!$B173,'Bottom-up tagging'!$E:$E,'Analysis of bottom-up tags'!G$6)+SUMIFS('Bottom-up tagging'!$BJ:$BJ,'Bottom-up tagging'!$AT:$AT,'Analysis of bottom-up tags'!$B173,'Bottom-up tagging'!$E:$E,'Analysis of bottom-up tags'!G$6)+SUMIFS('Bottom-up tagging'!$BK:$BK,'Bottom-up tagging'!$AU:$AU,'Analysis of bottom-up tags'!$B173,'Bottom-up tagging'!$E:$E,'Analysis of bottom-up tags'!G$6)+SUMIFS('Bottom-up tagging'!$BL:$BL,'Bottom-up tagging'!$AV:$AV,'Analysis of bottom-up tags'!$B173,'Bottom-up tagging'!$E:$E,'Analysis of bottom-up tags'!G$6)</f>
        <v>2295111.4034610558</v>
      </c>
      <c r="H173" s="22">
        <f>SUMIFS('Bottom-up tagging'!$BI:$BI,'Bottom-up tagging'!$AS:$AS,'Analysis of bottom-up tags'!$B173,'Bottom-up tagging'!$E:$E,'Analysis of bottom-up tags'!H$6)+SUMIFS('Bottom-up tagging'!$BJ:$BJ,'Bottom-up tagging'!$AT:$AT,'Analysis of bottom-up tags'!$B173,'Bottom-up tagging'!$E:$E,'Analysis of bottom-up tags'!H$6)+SUMIFS('Bottom-up tagging'!$BK:$BK,'Bottom-up tagging'!$AU:$AU,'Analysis of bottom-up tags'!$B173,'Bottom-up tagging'!$E:$E,'Analysis of bottom-up tags'!H$6)+SUMIFS('Bottom-up tagging'!$BL:$BL,'Bottom-up tagging'!$AV:$AV,'Analysis of bottom-up tags'!$B173,'Bottom-up tagging'!$E:$E,'Analysis of bottom-up tags'!H$6)</f>
        <v>684176.96372298186</v>
      </c>
      <c r="I173" s="22">
        <f>SUMIFS('Bottom-up tagging'!$BI:$BI,'Bottom-up tagging'!$AS:$AS,'Analysis of bottom-up tags'!$B173,'Bottom-up tagging'!$E:$E,'Analysis of bottom-up tags'!I$6)+SUMIFS('Bottom-up tagging'!$BJ:$BJ,'Bottom-up tagging'!$AT:$AT,'Analysis of bottom-up tags'!$B173,'Bottom-up tagging'!$E:$E,'Analysis of bottom-up tags'!I$6)+SUMIFS('Bottom-up tagging'!$BK:$BK,'Bottom-up tagging'!$AU:$AU,'Analysis of bottom-up tags'!$B173,'Bottom-up tagging'!$E:$E,'Analysis of bottom-up tags'!I$6)+SUMIFS('Bottom-up tagging'!$BL:$BL,'Bottom-up tagging'!$AV:$AV,'Analysis of bottom-up tags'!$B173,'Bottom-up tagging'!$E:$E,'Analysis of bottom-up tags'!I$6)</f>
        <v>199970406.17829308</v>
      </c>
      <c r="J173" s="22">
        <f>SUMIFS('Bottom-up tagging'!$BI:$BI,'Bottom-up tagging'!$AS:$AS,'Analysis of bottom-up tags'!$B173,'Bottom-up tagging'!$E:$E,'Analysis of bottom-up tags'!J$6)+SUMIFS('Bottom-up tagging'!$BJ:$BJ,'Bottom-up tagging'!$AT:$AT,'Analysis of bottom-up tags'!$B173,'Bottom-up tagging'!$E:$E,'Analysis of bottom-up tags'!J$6)+SUMIFS('Bottom-up tagging'!$BK:$BK,'Bottom-up tagging'!$AU:$AU,'Analysis of bottom-up tags'!$B173,'Bottom-up tagging'!$E:$E,'Analysis of bottom-up tags'!J$6)+SUMIFS('Bottom-up tagging'!$BL:$BL,'Bottom-up tagging'!$AV:$AV,'Analysis of bottom-up tags'!$B173,'Bottom-up tagging'!$E:$E,'Analysis of bottom-up tags'!J$6)</f>
        <v>2793782.0595388953</v>
      </c>
      <c r="K173" s="22">
        <f>SUMIFS('Bottom-up tagging'!$BI:$BI,'Bottom-up tagging'!$AS:$AS,'Analysis of bottom-up tags'!$B173,'Bottom-up tagging'!$E:$E,'Analysis of bottom-up tags'!K$6)+SUMIFS('Bottom-up tagging'!$BJ:$BJ,'Bottom-up tagging'!$AT:$AT,'Analysis of bottom-up tags'!$B173,'Bottom-up tagging'!$E:$E,'Analysis of bottom-up tags'!K$6)+SUMIFS('Bottom-up tagging'!$BK:$BK,'Bottom-up tagging'!$AU:$AU,'Analysis of bottom-up tags'!$B173,'Bottom-up tagging'!$E:$E,'Analysis of bottom-up tags'!K$6)+SUMIFS('Bottom-up tagging'!$BL:$BL,'Bottom-up tagging'!$AV:$AV,'Analysis of bottom-up tags'!$B173,'Bottom-up tagging'!$E:$E,'Analysis of bottom-up tags'!K$6)</f>
        <v>842000344.98206496</v>
      </c>
      <c r="L173" s="22">
        <f>SUMIFS('Bottom-up tagging'!$BI:$BI,'Bottom-up tagging'!$AS:$AS,'Analysis of bottom-up tags'!$B173,'Bottom-up tagging'!$E:$E,'Analysis of bottom-up tags'!L$6)+SUMIFS('Bottom-up tagging'!$BJ:$BJ,'Bottom-up tagging'!$AT:$AT,'Analysis of bottom-up tags'!$B173,'Bottom-up tagging'!$E:$E,'Analysis of bottom-up tags'!L$6)+SUMIFS('Bottom-up tagging'!$BK:$BK,'Bottom-up tagging'!$AU:$AU,'Analysis of bottom-up tags'!$B173,'Bottom-up tagging'!$E:$E,'Analysis of bottom-up tags'!L$6)+SUMIFS('Bottom-up tagging'!$BL:$BL,'Bottom-up tagging'!$AV:$AV,'Analysis of bottom-up tags'!$B173,'Bottom-up tagging'!$E:$E,'Analysis of bottom-up tags'!L$6)</f>
        <v>5601375.4169948436</v>
      </c>
      <c r="M173" s="22"/>
      <c r="N173" s="101">
        <f>C$173/C$7</f>
        <v>0</v>
      </c>
      <c r="O173" s="101">
        <f t="shared" ref="O173:W173" si="156">D$173/D$7</f>
        <v>0</v>
      </c>
      <c r="P173" s="101">
        <f t="shared" si="156"/>
        <v>0</v>
      </c>
      <c r="Q173" s="101">
        <f t="shared" si="156"/>
        <v>0</v>
      </c>
      <c r="R173" s="101">
        <f t="shared" si="156"/>
        <v>5.6395464655433138E-2</v>
      </c>
      <c r="S173" s="101">
        <f t="shared" si="156"/>
        <v>3.4236722226026776E-3</v>
      </c>
      <c r="T173" s="101">
        <f t="shared" si="156"/>
        <v>0.54622536352718432</v>
      </c>
      <c r="U173" s="101">
        <f t="shared" si="156"/>
        <v>1.340143951657875E-2</v>
      </c>
      <c r="V173" s="101">
        <f t="shared" si="156"/>
        <v>0.7715227022079133</v>
      </c>
      <c r="W173" s="101">
        <f t="shared" si="156"/>
        <v>2.0702668633443173E-2</v>
      </c>
    </row>
    <row r="174" spans="2:23">
      <c r="B174" s="64" t="s">
        <v>11108</v>
      </c>
      <c r="C174" s="22">
        <f>SUMIFS('Bottom-up tagging'!$BI:$BI,'Bottom-up tagging'!$AS:$AS,'Analysis of bottom-up tags'!$B174,'Bottom-up tagging'!$E:$E,'Analysis of bottom-up tags'!C$6)+SUMIFS('Bottom-up tagging'!$BJ:$BJ,'Bottom-up tagging'!$AT:$AT,'Analysis of bottom-up tags'!$B174,'Bottom-up tagging'!$E:$E,'Analysis of bottom-up tags'!C$6)+SUMIFS('Bottom-up tagging'!$BK:$BK,'Bottom-up tagging'!$AU:$AU,'Analysis of bottom-up tags'!$B174,'Bottom-up tagging'!$E:$E,'Analysis of bottom-up tags'!C$6)+SUMIFS('Bottom-up tagging'!$BL:$BL,'Bottom-up tagging'!$AV:$AV,'Analysis of bottom-up tags'!$B174,'Bottom-up tagging'!$E:$E,'Analysis of bottom-up tags'!C$6)</f>
        <v>35533472</v>
      </c>
      <c r="D174" s="22">
        <f>SUMIFS('Bottom-up tagging'!$BI:$BI,'Bottom-up tagging'!$AS:$AS,'Analysis of bottom-up tags'!$B174,'Bottom-up tagging'!$E:$E,'Analysis of bottom-up tags'!D$6)+SUMIFS('Bottom-up tagging'!$BJ:$BJ,'Bottom-up tagging'!$AT:$AT,'Analysis of bottom-up tags'!$B174,'Bottom-up tagging'!$E:$E,'Analysis of bottom-up tags'!D$6)+SUMIFS('Bottom-up tagging'!$BK:$BK,'Bottom-up tagging'!$AU:$AU,'Analysis of bottom-up tags'!$B174,'Bottom-up tagging'!$E:$E,'Analysis of bottom-up tags'!D$6)+SUMIFS('Bottom-up tagging'!$BL:$BL,'Bottom-up tagging'!$AV:$AV,'Analysis of bottom-up tags'!$B174,'Bottom-up tagging'!$E:$E,'Analysis of bottom-up tags'!D$6)</f>
        <v>78092465.93183817</v>
      </c>
      <c r="E174" s="22">
        <f>SUMIFS('Bottom-up tagging'!$BI:$BI,'Bottom-up tagging'!$AS:$AS,'Analysis of bottom-up tags'!$B174,'Bottom-up tagging'!$E:$E,'Analysis of bottom-up tags'!E$6)+SUMIFS('Bottom-up tagging'!$BJ:$BJ,'Bottom-up tagging'!$AT:$AT,'Analysis of bottom-up tags'!$B174,'Bottom-up tagging'!$E:$E,'Analysis of bottom-up tags'!E$6)+SUMIFS('Bottom-up tagging'!$BK:$BK,'Bottom-up tagging'!$AU:$AU,'Analysis of bottom-up tags'!$B174,'Bottom-up tagging'!$E:$E,'Analysis of bottom-up tags'!E$6)+SUMIFS('Bottom-up tagging'!$BL:$BL,'Bottom-up tagging'!$AV:$AV,'Analysis of bottom-up tags'!$B174,'Bottom-up tagging'!$E:$E,'Analysis of bottom-up tags'!E$6)</f>
        <v>3368513.4807919152</v>
      </c>
      <c r="F174" s="22">
        <f>SUMIFS('Bottom-up tagging'!$BI:$BI,'Bottom-up tagging'!$AS:$AS,'Analysis of bottom-up tags'!$B174,'Bottom-up tagging'!$E:$E,'Analysis of bottom-up tags'!F$6)+SUMIFS('Bottom-up tagging'!$BJ:$BJ,'Bottom-up tagging'!$AT:$AT,'Analysis of bottom-up tags'!$B174,'Bottom-up tagging'!$E:$E,'Analysis of bottom-up tags'!F$6)+SUMIFS('Bottom-up tagging'!$BK:$BK,'Bottom-up tagging'!$AU:$AU,'Analysis of bottom-up tags'!$B174,'Bottom-up tagging'!$E:$E,'Analysis of bottom-up tags'!F$6)+SUMIFS('Bottom-up tagging'!$BL:$BL,'Bottom-up tagging'!$AV:$AV,'Analysis of bottom-up tags'!$B174,'Bottom-up tagging'!$E:$E,'Analysis of bottom-up tags'!F$6)</f>
        <v>29756690.243236192</v>
      </c>
      <c r="G174" s="22">
        <f>SUMIFS('Bottom-up tagging'!$BI:$BI,'Bottom-up tagging'!$AS:$AS,'Analysis of bottom-up tags'!$B174,'Bottom-up tagging'!$E:$E,'Analysis of bottom-up tags'!G$6)+SUMIFS('Bottom-up tagging'!$BJ:$BJ,'Bottom-up tagging'!$AT:$AT,'Analysis of bottom-up tags'!$B174,'Bottom-up tagging'!$E:$E,'Analysis of bottom-up tags'!G$6)+SUMIFS('Bottom-up tagging'!$BK:$BK,'Bottom-up tagging'!$AU:$AU,'Analysis of bottom-up tags'!$B174,'Bottom-up tagging'!$E:$E,'Analysis of bottom-up tags'!G$6)+SUMIFS('Bottom-up tagging'!$BL:$BL,'Bottom-up tagging'!$AV:$AV,'Analysis of bottom-up tags'!$B174,'Bottom-up tagging'!$E:$E,'Analysis of bottom-up tags'!G$6)</f>
        <v>29087902.329906043</v>
      </c>
      <c r="H174" s="22">
        <f>SUMIFS('Bottom-up tagging'!$BI:$BI,'Bottom-up tagging'!$AS:$AS,'Analysis of bottom-up tags'!$B174,'Bottom-up tagging'!$E:$E,'Analysis of bottom-up tags'!H$6)+SUMIFS('Bottom-up tagging'!$BJ:$BJ,'Bottom-up tagging'!$AT:$AT,'Analysis of bottom-up tags'!$B174,'Bottom-up tagging'!$E:$E,'Analysis of bottom-up tags'!H$6)+SUMIFS('Bottom-up tagging'!$BK:$BK,'Bottom-up tagging'!$AU:$AU,'Analysis of bottom-up tags'!$B174,'Bottom-up tagging'!$E:$E,'Analysis of bottom-up tags'!H$6)+SUMIFS('Bottom-up tagging'!$BL:$BL,'Bottom-up tagging'!$AV:$AV,'Analysis of bottom-up tags'!$B174,'Bottom-up tagging'!$E:$E,'Analysis of bottom-up tags'!H$6)</f>
        <v>89772219.01167427</v>
      </c>
      <c r="I174" s="22">
        <f>SUMIFS('Bottom-up tagging'!$BI:$BI,'Bottom-up tagging'!$AS:$AS,'Analysis of bottom-up tags'!$B174,'Bottom-up tagging'!$E:$E,'Analysis of bottom-up tags'!I$6)+SUMIFS('Bottom-up tagging'!$BJ:$BJ,'Bottom-up tagging'!$AT:$AT,'Analysis of bottom-up tags'!$B174,'Bottom-up tagging'!$E:$E,'Analysis of bottom-up tags'!I$6)+SUMIFS('Bottom-up tagging'!$BK:$BK,'Bottom-up tagging'!$AU:$AU,'Analysis of bottom-up tags'!$B174,'Bottom-up tagging'!$E:$E,'Analysis of bottom-up tags'!I$6)+SUMIFS('Bottom-up tagging'!$BL:$BL,'Bottom-up tagging'!$AV:$AV,'Analysis of bottom-up tags'!$B174,'Bottom-up tagging'!$E:$E,'Analysis of bottom-up tags'!I$6)</f>
        <v>119575718.75639518</v>
      </c>
      <c r="J174" s="22">
        <f>SUMIFS('Bottom-up tagging'!$BI:$BI,'Bottom-up tagging'!$AS:$AS,'Analysis of bottom-up tags'!$B174,'Bottom-up tagging'!$E:$E,'Analysis of bottom-up tags'!J$6)+SUMIFS('Bottom-up tagging'!$BJ:$BJ,'Bottom-up tagging'!$AT:$AT,'Analysis of bottom-up tags'!$B174,'Bottom-up tagging'!$E:$E,'Analysis of bottom-up tags'!J$6)+SUMIFS('Bottom-up tagging'!$BK:$BK,'Bottom-up tagging'!$AU:$AU,'Analysis of bottom-up tags'!$B174,'Bottom-up tagging'!$E:$E,'Analysis of bottom-up tags'!J$6)+SUMIFS('Bottom-up tagging'!$BL:$BL,'Bottom-up tagging'!$AV:$AV,'Analysis of bottom-up tags'!$B174,'Bottom-up tagging'!$E:$E,'Analysis of bottom-up tags'!J$6)</f>
        <v>67647324.678046182</v>
      </c>
      <c r="K174" s="22">
        <f>SUMIFS('Bottom-up tagging'!$BI:$BI,'Bottom-up tagging'!$AS:$AS,'Analysis of bottom-up tags'!$B174,'Bottom-up tagging'!$E:$E,'Analysis of bottom-up tags'!K$6)+SUMIFS('Bottom-up tagging'!$BJ:$BJ,'Bottom-up tagging'!$AT:$AT,'Analysis of bottom-up tags'!$B174,'Bottom-up tagging'!$E:$E,'Analysis of bottom-up tags'!K$6)+SUMIFS('Bottom-up tagging'!$BK:$BK,'Bottom-up tagging'!$AU:$AU,'Analysis of bottom-up tags'!$B174,'Bottom-up tagging'!$E:$E,'Analysis of bottom-up tags'!K$6)+SUMIFS('Bottom-up tagging'!$BL:$BL,'Bottom-up tagging'!$AV:$AV,'Analysis of bottom-up tags'!$B174,'Bottom-up tagging'!$E:$E,'Analysis of bottom-up tags'!K$6)</f>
        <v>103896612.61530693</v>
      </c>
      <c r="L174" s="22">
        <f>SUMIFS('Bottom-up tagging'!$BI:$BI,'Bottom-up tagging'!$AS:$AS,'Analysis of bottom-up tags'!$B174,'Bottom-up tagging'!$E:$E,'Analysis of bottom-up tags'!L$6)+SUMIFS('Bottom-up tagging'!$BJ:$BJ,'Bottom-up tagging'!$AT:$AT,'Analysis of bottom-up tags'!$B174,'Bottom-up tagging'!$E:$E,'Analysis of bottom-up tags'!L$6)+SUMIFS('Bottom-up tagging'!$BK:$BK,'Bottom-up tagging'!$AU:$AU,'Analysis of bottom-up tags'!$B174,'Bottom-up tagging'!$E:$E,'Analysis of bottom-up tags'!L$6)+SUMIFS('Bottom-up tagging'!$BL:$BL,'Bottom-up tagging'!$AV:$AV,'Analysis of bottom-up tags'!$B174,'Bottom-up tagging'!$E:$E,'Analysis of bottom-up tags'!L$6)</f>
        <v>165772089.12084618</v>
      </c>
      <c r="M174" s="22"/>
      <c r="N174" s="101">
        <f>C$174/C$7</f>
        <v>0.37943268322210427</v>
      </c>
      <c r="O174" s="101">
        <f t="shared" ref="O174:W174" si="157">D$174/D$7</f>
        <v>0.96642622682658696</v>
      </c>
      <c r="P174" s="101">
        <f t="shared" si="157"/>
        <v>0.43696647190755694</v>
      </c>
      <c r="Q174" s="101">
        <f t="shared" si="157"/>
        <v>0.82274863805669274</v>
      </c>
      <c r="R174" s="101">
        <f t="shared" si="157"/>
        <v>0.71474777445361715</v>
      </c>
      <c r="S174" s="101">
        <f t="shared" si="157"/>
        <v>0.44922683587475648</v>
      </c>
      <c r="T174" s="101">
        <f t="shared" si="157"/>
        <v>0.32662478261158984</v>
      </c>
      <c r="U174" s="101">
        <f t="shared" si="157"/>
        <v>0.32449615281759941</v>
      </c>
      <c r="V174" s="101">
        <f t="shared" si="157"/>
        <v>9.5200192960630911E-2</v>
      </c>
      <c r="W174" s="101">
        <f t="shared" si="157"/>
        <v>0.61269320019684159</v>
      </c>
    </row>
    <row r="175" spans="2:23">
      <c r="B175" s="64" t="s">
        <v>11109</v>
      </c>
      <c r="C175" s="22">
        <f>SUMIFS('Bottom-up tagging'!$BI:$BI,'Bottom-up tagging'!$AS:$AS,'Analysis of bottom-up tags'!$B175,'Bottom-up tagging'!$E:$E,'Analysis of bottom-up tags'!C$6)+SUMIFS('Bottom-up tagging'!$BJ:$BJ,'Bottom-up tagging'!$AT:$AT,'Analysis of bottom-up tags'!$B175,'Bottom-up tagging'!$E:$E,'Analysis of bottom-up tags'!C$6)+SUMIFS('Bottom-up tagging'!$BK:$BK,'Bottom-up tagging'!$AU:$AU,'Analysis of bottom-up tags'!$B175,'Bottom-up tagging'!$E:$E,'Analysis of bottom-up tags'!C$6)+SUMIFS('Bottom-up tagging'!$BL:$BL,'Bottom-up tagging'!$AV:$AV,'Analysis of bottom-up tags'!$B175,'Bottom-up tagging'!$E:$E,'Analysis of bottom-up tags'!C$6)</f>
        <v>0</v>
      </c>
      <c r="D175" s="22">
        <f>SUMIFS('Bottom-up tagging'!$BI:$BI,'Bottom-up tagging'!$AS:$AS,'Analysis of bottom-up tags'!$B175,'Bottom-up tagging'!$E:$E,'Analysis of bottom-up tags'!D$6)+SUMIFS('Bottom-up tagging'!$BJ:$BJ,'Bottom-up tagging'!$AT:$AT,'Analysis of bottom-up tags'!$B175,'Bottom-up tagging'!$E:$E,'Analysis of bottom-up tags'!D$6)+SUMIFS('Bottom-up tagging'!$BK:$BK,'Bottom-up tagging'!$AU:$AU,'Analysis of bottom-up tags'!$B175,'Bottom-up tagging'!$E:$E,'Analysis of bottom-up tags'!D$6)+SUMIFS('Bottom-up tagging'!$BL:$BL,'Bottom-up tagging'!$AV:$AV,'Analysis of bottom-up tags'!$B175,'Bottom-up tagging'!$E:$E,'Analysis of bottom-up tags'!D$6)</f>
        <v>0</v>
      </c>
      <c r="E175" s="22">
        <f>SUMIFS('Bottom-up tagging'!$BI:$BI,'Bottom-up tagging'!$AS:$AS,'Analysis of bottom-up tags'!$B175,'Bottom-up tagging'!$E:$E,'Analysis of bottom-up tags'!E$6)+SUMIFS('Bottom-up tagging'!$BJ:$BJ,'Bottom-up tagging'!$AT:$AT,'Analysis of bottom-up tags'!$B175,'Bottom-up tagging'!$E:$E,'Analysis of bottom-up tags'!E$6)+SUMIFS('Bottom-up tagging'!$BK:$BK,'Bottom-up tagging'!$AU:$AU,'Analysis of bottom-up tags'!$B175,'Bottom-up tagging'!$E:$E,'Analysis of bottom-up tags'!E$6)+SUMIFS('Bottom-up tagging'!$BL:$BL,'Bottom-up tagging'!$AV:$AV,'Analysis of bottom-up tags'!$B175,'Bottom-up tagging'!$E:$E,'Analysis of bottom-up tags'!E$6)</f>
        <v>0</v>
      </c>
      <c r="F175" s="22">
        <f>SUMIFS('Bottom-up tagging'!$BI:$BI,'Bottom-up tagging'!$AS:$AS,'Analysis of bottom-up tags'!$B175,'Bottom-up tagging'!$E:$E,'Analysis of bottom-up tags'!F$6)+SUMIFS('Bottom-up tagging'!$BJ:$BJ,'Bottom-up tagging'!$AT:$AT,'Analysis of bottom-up tags'!$B175,'Bottom-up tagging'!$E:$E,'Analysis of bottom-up tags'!F$6)+SUMIFS('Bottom-up tagging'!$BK:$BK,'Bottom-up tagging'!$AU:$AU,'Analysis of bottom-up tags'!$B175,'Bottom-up tagging'!$E:$E,'Analysis of bottom-up tags'!F$6)+SUMIFS('Bottom-up tagging'!$BL:$BL,'Bottom-up tagging'!$AV:$AV,'Analysis of bottom-up tags'!$B175,'Bottom-up tagging'!$E:$E,'Analysis of bottom-up tags'!F$6)</f>
        <v>0</v>
      </c>
      <c r="G175" s="22">
        <f>SUMIFS('Bottom-up tagging'!$BI:$BI,'Bottom-up tagging'!$AS:$AS,'Analysis of bottom-up tags'!$B175,'Bottom-up tagging'!$E:$E,'Analysis of bottom-up tags'!G$6)+SUMIFS('Bottom-up tagging'!$BJ:$BJ,'Bottom-up tagging'!$AT:$AT,'Analysis of bottom-up tags'!$B175,'Bottom-up tagging'!$E:$E,'Analysis of bottom-up tags'!G$6)+SUMIFS('Bottom-up tagging'!$BK:$BK,'Bottom-up tagging'!$AU:$AU,'Analysis of bottom-up tags'!$B175,'Bottom-up tagging'!$E:$E,'Analysis of bottom-up tags'!G$6)+SUMIFS('Bottom-up tagging'!$BL:$BL,'Bottom-up tagging'!$AV:$AV,'Analysis of bottom-up tags'!$B175,'Bottom-up tagging'!$E:$E,'Analysis of bottom-up tags'!G$6)</f>
        <v>0</v>
      </c>
      <c r="H175" s="22">
        <f>SUMIFS('Bottom-up tagging'!$BI:$BI,'Bottom-up tagging'!$AS:$AS,'Analysis of bottom-up tags'!$B175,'Bottom-up tagging'!$E:$E,'Analysis of bottom-up tags'!H$6)+SUMIFS('Bottom-up tagging'!$BJ:$BJ,'Bottom-up tagging'!$AT:$AT,'Analysis of bottom-up tags'!$B175,'Bottom-up tagging'!$E:$E,'Analysis of bottom-up tags'!H$6)+SUMIFS('Bottom-up tagging'!$BK:$BK,'Bottom-up tagging'!$AU:$AU,'Analysis of bottom-up tags'!$B175,'Bottom-up tagging'!$E:$E,'Analysis of bottom-up tags'!H$6)+SUMIFS('Bottom-up tagging'!$BL:$BL,'Bottom-up tagging'!$AV:$AV,'Analysis of bottom-up tags'!$B175,'Bottom-up tagging'!$E:$E,'Analysis of bottom-up tags'!H$6)</f>
        <v>761267.32583261351</v>
      </c>
      <c r="I175" s="22">
        <f>SUMIFS('Bottom-up tagging'!$BI:$BI,'Bottom-up tagging'!$AS:$AS,'Analysis of bottom-up tags'!$B175,'Bottom-up tagging'!$E:$E,'Analysis of bottom-up tags'!I$6)+SUMIFS('Bottom-up tagging'!$BJ:$BJ,'Bottom-up tagging'!$AT:$AT,'Analysis of bottom-up tags'!$B175,'Bottom-up tagging'!$E:$E,'Analysis of bottom-up tags'!I$6)+SUMIFS('Bottom-up tagging'!$BK:$BK,'Bottom-up tagging'!$AU:$AU,'Analysis of bottom-up tags'!$B175,'Bottom-up tagging'!$E:$E,'Analysis of bottom-up tags'!I$6)+SUMIFS('Bottom-up tagging'!$BL:$BL,'Bottom-up tagging'!$AV:$AV,'Analysis of bottom-up tags'!$B175,'Bottom-up tagging'!$E:$E,'Analysis of bottom-up tags'!I$6)</f>
        <v>17408685.477254845</v>
      </c>
      <c r="J175" s="22">
        <f>SUMIFS('Bottom-up tagging'!$BI:$BI,'Bottom-up tagging'!$AS:$AS,'Analysis of bottom-up tags'!$B175,'Bottom-up tagging'!$E:$E,'Analysis of bottom-up tags'!J$6)+SUMIFS('Bottom-up tagging'!$BJ:$BJ,'Bottom-up tagging'!$AT:$AT,'Analysis of bottom-up tags'!$B175,'Bottom-up tagging'!$E:$E,'Analysis of bottom-up tags'!J$6)+SUMIFS('Bottom-up tagging'!$BK:$BK,'Bottom-up tagging'!$AU:$AU,'Analysis of bottom-up tags'!$B175,'Bottom-up tagging'!$E:$E,'Analysis of bottom-up tags'!J$6)+SUMIFS('Bottom-up tagging'!$BL:$BL,'Bottom-up tagging'!$AV:$AV,'Analysis of bottom-up tags'!$B175,'Bottom-up tagging'!$E:$E,'Analysis of bottom-up tags'!J$6)</f>
        <v>8435252.2936605942</v>
      </c>
      <c r="K175" s="22">
        <f>SUMIFS('Bottom-up tagging'!$BI:$BI,'Bottom-up tagging'!$AS:$AS,'Analysis of bottom-up tags'!$B175,'Bottom-up tagging'!$E:$E,'Analysis of bottom-up tags'!K$6)+SUMIFS('Bottom-up tagging'!$BJ:$BJ,'Bottom-up tagging'!$AT:$AT,'Analysis of bottom-up tags'!$B175,'Bottom-up tagging'!$E:$E,'Analysis of bottom-up tags'!K$6)+SUMIFS('Bottom-up tagging'!$BK:$BK,'Bottom-up tagging'!$AU:$AU,'Analysis of bottom-up tags'!$B175,'Bottom-up tagging'!$E:$E,'Analysis of bottom-up tags'!K$6)+SUMIFS('Bottom-up tagging'!$BL:$BL,'Bottom-up tagging'!$AV:$AV,'Analysis of bottom-up tags'!$B175,'Bottom-up tagging'!$E:$E,'Analysis of bottom-up tags'!K$6)</f>
        <v>25163965.116946764</v>
      </c>
      <c r="L175" s="22">
        <f>SUMIFS('Bottom-up tagging'!$BI:$BI,'Bottom-up tagging'!$AS:$AS,'Analysis of bottom-up tags'!$B175,'Bottom-up tagging'!$E:$E,'Analysis of bottom-up tags'!L$6)+SUMIFS('Bottom-up tagging'!$BJ:$BJ,'Bottom-up tagging'!$AT:$AT,'Analysis of bottom-up tags'!$B175,'Bottom-up tagging'!$E:$E,'Analysis of bottom-up tags'!L$6)+SUMIFS('Bottom-up tagging'!$BK:$BK,'Bottom-up tagging'!$AU:$AU,'Analysis of bottom-up tags'!$B175,'Bottom-up tagging'!$E:$E,'Analysis of bottom-up tags'!L$6)+SUMIFS('Bottom-up tagging'!$BL:$BL,'Bottom-up tagging'!$AV:$AV,'Analysis of bottom-up tags'!$B175,'Bottom-up tagging'!$E:$E,'Analysis of bottom-up tags'!L$6)</f>
        <v>0</v>
      </c>
      <c r="M175" s="22"/>
      <c r="N175" s="101">
        <f>C$175/C$7</f>
        <v>0</v>
      </c>
      <c r="O175" s="101">
        <f t="shared" ref="O175:W175" si="158">D$175/D$7</f>
        <v>0</v>
      </c>
      <c r="P175" s="101">
        <f t="shared" si="158"/>
        <v>0</v>
      </c>
      <c r="Q175" s="101">
        <f t="shared" si="158"/>
        <v>0</v>
      </c>
      <c r="R175" s="101">
        <f t="shared" si="158"/>
        <v>0</v>
      </c>
      <c r="S175" s="101">
        <f t="shared" si="158"/>
        <v>3.8094381068395984E-3</v>
      </c>
      <c r="T175" s="101">
        <f t="shared" si="158"/>
        <v>4.7552364047636547E-2</v>
      </c>
      <c r="U175" s="101">
        <f t="shared" si="158"/>
        <v>4.0462899757911772E-2</v>
      </c>
      <c r="V175" s="101">
        <f t="shared" si="158"/>
        <v>2.305767507221862E-2</v>
      </c>
      <c r="W175" s="101">
        <f t="shared" si="158"/>
        <v>0</v>
      </c>
    </row>
    <row r="176" spans="2:23">
      <c r="B176" s="64" t="s">
        <v>11110</v>
      </c>
      <c r="C176" s="22">
        <f>SUMIFS('Bottom-up tagging'!$BI:$BI,'Bottom-up tagging'!$AS:$AS,'Analysis of bottom-up tags'!$B176,'Bottom-up tagging'!$E:$E,'Analysis of bottom-up tags'!C$6)+SUMIFS('Bottom-up tagging'!$BJ:$BJ,'Bottom-up tagging'!$AT:$AT,'Analysis of bottom-up tags'!$B176,'Bottom-up tagging'!$E:$E,'Analysis of bottom-up tags'!C$6)+SUMIFS('Bottom-up tagging'!$BK:$BK,'Bottom-up tagging'!$AU:$AU,'Analysis of bottom-up tags'!$B176,'Bottom-up tagging'!$E:$E,'Analysis of bottom-up tags'!C$6)+SUMIFS('Bottom-up tagging'!$BL:$BL,'Bottom-up tagging'!$AV:$AV,'Analysis of bottom-up tags'!$B176,'Bottom-up tagging'!$E:$E,'Analysis of bottom-up tags'!C$6)</f>
        <v>0</v>
      </c>
      <c r="D176" s="22">
        <f>SUMIFS('Bottom-up tagging'!$BI:$BI,'Bottom-up tagging'!$AS:$AS,'Analysis of bottom-up tags'!$B176,'Bottom-up tagging'!$E:$E,'Analysis of bottom-up tags'!D$6)+SUMIFS('Bottom-up tagging'!$BJ:$BJ,'Bottom-up tagging'!$AT:$AT,'Analysis of bottom-up tags'!$B176,'Bottom-up tagging'!$E:$E,'Analysis of bottom-up tags'!D$6)+SUMIFS('Bottom-up tagging'!$BK:$BK,'Bottom-up tagging'!$AU:$AU,'Analysis of bottom-up tags'!$B176,'Bottom-up tagging'!$E:$E,'Analysis of bottom-up tags'!D$6)+SUMIFS('Bottom-up tagging'!$BL:$BL,'Bottom-up tagging'!$AV:$AV,'Analysis of bottom-up tags'!$B176,'Bottom-up tagging'!$E:$E,'Analysis of bottom-up tags'!D$6)</f>
        <v>0</v>
      </c>
      <c r="E176" s="22">
        <f>SUMIFS('Bottom-up tagging'!$BI:$BI,'Bottom-up tagging'!$AS:$AS,'Analysis of bottom-up tags'!$B176,'Bottom-up tagging'!$E:$E,'Analysis of bottom-up tags'!E$6)+SUMIFS('Bottom-up tagging'!$BJ:$BJ,'Bottom-up tagging'!$AT:$AT,'Analysis of bottom-up tags'!$B176,'Bottom-up tagging'!$E:$E,'Analysis of bottom-up tags'!E$6)+SUMIFS('Bottom-up tagging'!$BK:$BK,'Bottom-up tagging'!$AU:$AU,'Analysis of bottom-up tags'!$B176,'Bottom-up tagging'!$E:$E,'Analysis of bottom-up tags'!E$6)+SUMIFS('Bottom-up tagging'!$BL:$BL,'Bottom-up tagging'!$AV:$AV,'Analysis of bottom-up tags'!$B176,'Bottom-up tagging'!$E:$E,'Analysis of bottom-up tags'!E$6)</f>
        <v>0</v>
      </c>
      <c r="F176" s="22">
        <f>SUMIFS('Bottom-up tagging'!$BI:$BI,'Bottom-up tagging'!$AS:$AS,'Analysis of bottom-up tags'!$B176,'Bottom-up tagging'!$E:$E,'Analysis of bottom-up tags'!F$6)+SUMIFS('Bottom-up tagging'!$BJ:$BJ,'Bottom-up tagging'!$AT:$AT,'Analysis of bottom-up tags'!$B176,'Bottom-up tagging'!$E:$E,'Analysis of bottom-up tags'!F$6)+SUMIFS('Bottom-up tagging'!$BK:$BK,'Bottom-up tagging'!$AU:$AU,'Analysis of bottom-up tags'!$B176,'Bottom-up tagging'!$E:$E,'Analysis of bottom-up tags'!F$6)+SUMIFS('Bottom-up tagging'!$BL:$BL,'Bottom-up tagging'!$AV:$AV,'Analysis of bottom-up tags'!$B176,'Bottom-up tagging'!$E:$E,'Analysis of bottom-up tags'!F$6)</f>
        <v>0</v>
      </c>
      <c r="G176" s="22">
        <f>SUMIFS('Bottom-up tagging'!$BI:$BI,'Bottom-up tagging'!$AS:$AS,'Analysis of bottom-up tags'!$B176,'Bottom-up tagging'!$E:$E,'Analysis of bottom-up tags'!G$6)+SUMIFS('Bottom-up tagging'!$BJ:$BJ,'Bottom-up tagging'!$AT:$AT,'Analysis of bottom-up tags'!$B176,'Bottom-up tagging'!$E:$E,'Analysis of bottom-up tags'!G$6)+SUMIFS('Bottom-up tagging'!$BK:$BK,'Bottom-up tagging'!$AU:$AU,'Analysis of bottom-up tags'!$B176,'Bottom-up tagging'!$E:$E,'Analysis of bottom-up tags'!G$6)+SUMIFS('Bottom-up tagging'!$BL:$BL,'Bottom-up tagging'!$AV:$AV,'Analysis of bottom-up tags'!$B176,'Bottom-up tagging'!$E:$E,'Analysis of bottom-up tags'!G$6)</f>
        <v>0</v>
      </c>
      <c r="H176" s="22">
        <f>SUMIFS('Bottom-up tagging'!$BI:$BI,'Bottom-up tagging'!$AS:$AS,'Analysis of bottom-up tags'!$B176,'Bottom-up tagging'!$E:$E,'Analysis of bottom-up tags'!H$6)+SUMIFS('Bottom-up tagging'!$BJ:$BJ,'Bottom-up tagging'!$AT:$AT,'Analysis of bottom-up tags'!$B176,'Bottom-up tagging'!$E:$E,'Analysis of bottom-up tags'!H$6)+SUMIFS('Bottom-up tagging'!$BK:$BK,'Bottom-up tagging'!$AU:$AU,'Analysis of bottom-up tags'!$B176,'Bottom-up tagging'!$E:$E,'Analysis of bottom-up tags'!H$6)+SUMIFS('Bottom-up tagging'!$BL:$BL,'Bottom-up tagging'!$AV:$AV,'Analysis of bottom-up tags'!$B176,'Bottom-up tagging'!$E:$E,'Analysis of bottom-up tags'!H$6)</f>
        <v>10595685.156102542</v>
      </c>
      <c r="I176" s="22">
        <f>SUMIFS('Bottom-up tagging'!$BI:$BI,'Bottom-up tagging'!$AS:$AS,'Analysis of bottom-up tags'!$B176,'Bottom-up tagging'!$E:$E,'Analysis of bottom-up tags'!I$6)+SUMIFS('Bottom-up tagging'!$BJ:$BJ,'Bottom-up tagging'!$AT:$AT,'Analysis of bottom-up tags'!$B176,'Bottom-up tagging'!$E:$E,'Analysis of bottom-up tags'!I$6)+SUMIFS('Bottom-up tagging'!$BK:$BK,'Bottom-up tagging'!$AU:$AU,'Analysis of bottom-up tags'!$B176,'Bottom-up tagging'!$E:$E,'Analysis of bottom-up tags'!I$6)+SUMIFS('Bottom-up tagging'!$BL:$BL,'Bottom-up tagging'!$AV:$AV,'Analysis of bottom-up tags'!$B176,'Bottom-up tagging'!$E:$E,'Analysis of bottom-up tags'!I$6)</f>
        <v>2439399.3904138957</v>
      </c>
      <c r="J176" s="22">
        <f>SUMIFS('Bottom-up tagging'!$BI:$BI,'Bottom-up tagging'!$AS:$AS,'Analysis of bottom-up tags'!$B176,'Bottom-up tagging'!$E:$E,'Analysis of bottom-up tags'!J$6)+SUMIFS('Bottom-up tagging'!$BJ:$BJ,'Bottom-up tagging'!$AT:$AT,'Analysis of bottom-up tags'!$B176,'Bottom-up tagging'!$E:$E,'Analysis of bottom-up tags'!J$6)+SUMIFS('Bottom-up tagging'!$BK:$BK,'Bottom-up tagging'!$AU:$AU,'Analysis of bottom-up tags'!$B176,'Bottom-up tagging'!$E:$E,'Analysis of bottom-up tags'!J$6)+SUMIFS('Bottom-up tagging'!$BL:$BL,'Bottom-up tagging'!$AV:$AV,'Analysis of bottom-up tags'!$B176,'Bottom-up tagging'!$E:$E,'Analysis of bottom-up tags'!J$6)</f>
        <v>9402282.2536591459</v>
      </c>
      <c r="K176" s="22">
        <f>SUMIFS('Bottom-up tagging'!$BI:$BI,'Bottom-up tagging'!$AS:$AS,'Analysis of bottom-up tags'!$B176,'Bottom-up tagging'!$E:$E,'Analysis of bottom-up tags'!K$6)+SUMIFS('Bottom-up tagging'!$BJ:$BJ,'Bottom-up tagging'!$AT:$AT,'Analysis of bottom-up tags'!$B176,'Bottom-up tagging'!$E:$E,'Analysis of bottom-up tags'!K$6)+SUMIFS('Bottom-up tagging'!$BK:$BK,'Bottom-up tagging'!$AU:$AU,'Analysis of bottom-up tags'!$B176,'Bottom-up tagging'!$E:$E,'Analysis of bottom-up tags'!K$6)+SUMIFS('Bottom-up tagging'!$BL:$BL,'Bottom-up tagging'!$AV:$AV,'Analysis of bottom-up tags'!$B176,'Bottom-up tagging'!$E:$E,'Analysis of bottom-up tags'!K$6)</f>
        <v>38424287.797602668</v>
      </c>
      <c r="L176" s="22">
        <f>SUMIFS('Bottom-up tagging'!$BI:$BI,'Bottom-up tagging'!$AS:$AS,'Analysis of bottom-up tags'!$B176,'Bottom-up tagging'!$E:$E,'Analysis of bottom-up tags'!L$6)+SUMIFS('Bottom-up tagging'!$BJ:$BJ,'Bottom-up tagging'!$AT:$AT,'Analysis of bottom-up tags'!$B176,'Bottom-up tagging'!$E:$E,'Analysis of bottom-up tags'!L$6)+SUMIFS('Bottom-up tagging'!$BK:$BK,'Bottom-up tagging'!$AU:$AU,'Analysis of bottom-up tags'!$B176,'Bottom-up tagging'!$E:$E,'Analysis of bottom-up tags'!L$6)+SUMIFS('Bottom-up tagging'!$BL:$BL,'Bottom-up tagging'!$AV:$AV,'Analysis of bottom-up tags'!$B176,'Bottom-up tagging'!$E:$E,'Analysis of bottom-up tags'!L$6)</f>
        <v>23999989.741693202</v>
      </c>
      <c r="M176" s="22"/>
      <c r="N176" s="101">
        <f>C$176/C$7</f>
        <v>0</v>
      </c>
      <c r="O176" s="101">
        <f t="shared" ref="O176:W176" si="159">D$176/D$7</f>
        <v>0</v>
      </c>
      <c r="P176" s="101">
        <f t="shared" si="159"/>
        <v>0</v>
      </c>
      <c r="Q176" s="101">
        <f t="shared" si="159"/>
        <v>0</v>
      </c>
      <c r="R176" s="101">
        <f t="shared" si="159"/>
        <v>0</v>
      </c>
      <c r="S176" s="101">
        <f t="shared" si="159"/>
        <v>5.3021593640033358E-2</v>
      </c>
      <c r="T176" s="101">
        <f t="shared" si="159"/>
        <v>6.6632950559134358E-3</v>
      </c>
      <c r="U176" s="101">
        <f t="shared" si="159"/>
        <v>4.5101627204597108E-2</v>
      </c>
      <c r="V176" s="101">
        <f t="shared" si="159"/>
        <v>3.5208073878701819E-2</v>
      </c>
      <c r="W176" s="101">
        <f t="shared" si="159"/>
        <v>8.8703898210571813E-2</v>
      </c>
    </row>
    <row r="177" spans="2:23">
      <c r="B177" s="64" t="s">
        <v>10558</v>
      </c>
      <c r="C177" s="22">
        <f>SUMIFS('Bottom-up tagging'!$BI:$BI,'Bottom-up tagging'!$AS:$AS,'Analysis of bottom-up tags'!$B177,'Bottom-up tagging'!$E:$E,'Analysis of bottom-up tags'!C$6)+SUMIFS('Bottom-up tagging'!$BJ:$BJ,'Bottom-up tagging'!$AT:$AT,'Analysis of bottom-up tags'!$B177,'Bottom-up tagging'!$E:$E,'Analysis of bottom-up tags'!C$6)+SUMIFS('Bottom-up tagging'!$BK:$BK,'Bottom-up tagging'!$AU:$AU,'Analysis of bottom-up tags'!$B177,'Bottom-up tagging'!$E:$E,'Analysis of bottom-up tags'!C$6)+SUMIFS('Bottom-up tagging'!$BL:$BL,'Bottom-up tagging'!$AV:$AV,'Analysis of bottom-up tags'!$B177,'Bottom-up tagging'!$E:$E,'Analysis of bottom-up tags'!C$6)</f>
        <v>0</v>
      </c>
      <c r="D177" s="22">
        <f>SUMIFS('Bottom-up tagging'!$BI:$BI,'Bottom-up tagging'!$AS:$AS,'Analysis of bottom-up tags'!$B177,'Bottom-up tagging'!$E:$E,'Analysis of bottom-up tags'!D$6)+SUMIFS('Bottom-up tagging'!$BJ:$BJ,'Bottom-up tagging'!$AT:$AT,'Analysis of bottom-up tags'!$B177,'Bottom-up tagging'!$E:$E,'Analysis of bottom-up tags'!D$6)+SUMIFS('Bottom-up tagging'!$BK:$BK,'Bottom-up tagging'!$AU:$AU,'Analysis of bottom-up tags'!$B177,'Bottom-up tagging'!$E:$E,'Analysis of bottom-up tags'!D$6)+SUMIFS('Bottom-up tagging'!$BL:$BL,'Bottom-up tagging'!$AV:$AV,'Analysis of bottom-up tags'!$B177,'Bottom-up tagging'!$E:$E,'Analysis of bottom-up tags'!D$6)</f>
        <v>0</v>
      </c>
      <c r="E177" s="22">
        <f>SUMIFS('Bottom-up tagging'!$BI:$BI,'Bottom-up tagging'!$AS:$AS,'Analysis of bottom-up tags'!$B177,'Bottom-up tagging'!$E:$E,'Analysis of bottom-up tags'!E$6)+SUMIFS('Bottom-up tagging'!$BJ:$BJ,'Bottom-up tagging'!$AT:$AT,'Analysis of bottom-up tags'!$B177,'Bottom-up tagging'!$E:$E,'Analysis of bottom-up tags'!E$6)+SUMIFS('Bottom-up tagging'!$BK:$BK,'Bottom-up tagging'!$AU:$AU,'Analysis of bottom-up tags'!$B177,'Bottom-up tagging'!$E:$E,'Analysis of bottom-up tags'!E$6)+SUMIFS('Bottom-up tagging'!$BL:$BL,'Bottom-up tagging'!$AV:$AV,'Analysis of bottom-up tags'!$B177,'Bottom-up tagging'!$E:$E,'Analysis of bottom-up tags'!E$6)</f>
        <v>0</v>
      </c>
      <c r="F177" s="22">
        <f>SUMIFS('Bottom-up tagging'!$BI:$BI,'Bottom-up tagging'!$AS:$AS,'Analysis of bottom-up tags'!$B177,'Bottom-up tagging'!$E:$E,'Analysis of bottom-up tags'!F$6)+SUMIFS('Bottom-up tagging'!$BJ:$BJ,'Bottom-up tagging'!$AT:$AT,'Analysis of bottom-up tags'!$B177,'Bottom-up tagging'!$E:$E,'Analysis of bottom-up tags'!F$6)+SUMIFS('Bottom-up tagging'!$BK:$BK,'Bottom-up tagging'!$AU:$AU,'Analysis of bottom-up tags'!$B177,'Bottom-up tagging'!$E:$E,'Analysis of bottom-up tags'!F$6)+SUMIFS('Bottom-up tagging'!$BL:$BL,'Bottom-up tagging'!$AV:$AV,'Analysis of bottom-up tags'!$B177,'Bottom-up tagging'!$E:$E,'Analysis of bottom-up tags'!F$6)</f>
        <v>0</v>
      </c>
      <c r="G177" s="22">
        <f>SUMIFS('Bottom-up tagging'!$BI:$BI,'Bottom-up tagging'!$AS:$AS,'Analysis of bottom-up tags'!$B177,'Bottom-up tagging'!$E:$E,'Analysis of bottom-up tags'!G$6)+SUMIFS('Bottom-up tagging'!$BJ:$BJ,'Bottom-up tagging'!$AT:$AT,'Analysis of bottom-up tags'!$B177,'Bottom-up tagging'!$E:$E,'Analysis of bottom-up tags'!G$6)+SUMIFS('Bottom-up tagging'!$BK:$BK,'Bottom-up tagging'!$AU:$AU,'Analysis of bottom-up tags'!$B177,'Bottom-up tagging'!$E:$E,'Analysis of bottom-up tags'!G$6)+SUMIFS('Bottom-up tagging'!$BL:$BL,'Bottom-up tagging'!$AV:$AV,'Analysis of bottom-up tags'!$B177,'Bottom-up tagging'!$E:$E,'Analysis of bottom-up tags'!G$6)</f>
        <v>0</v>
      </c>
      <c r="H177" s="22">
        <f>SUMIFS('Bottom-up tagging'!$BI:$BI,'Bottom-up tagging'!$AS:$AS,'Analysis of bottom-up tags'!$B177,'Bottom-up tagging'!$E:$E,'Analysis of bottom-up tags'!H$6)+SUMIFS('Bottom-up tagging'!$BJ:$BJ,'Bottom-up tagging'!$AT:$AT,'Analysis of bottom-up tags'!$B177,'Bottom-up tagging'!$E:$E,'Analysis of bottom-up tags'!H$6)+SUMIFS('Bottom-up tagging'!$BK:$BK,'Bottom-up tagging'!$AU:$AU,'Analysis of bottom-up tags'!$B177,'Bottom-up tagging'!$E:$E,'Analysis of bottom-up tags'!H$6)+SUMIFS('Bottom-up tagging'!$BL:$BL,'Bottom-up tagging'!$AV:$AV,'Analysis of bottom-up tags'!$B177,'Bottom-up tagging'!$E:$E,'Analysis of bottom-up tags'!H$6)</f>
        <v>0</v>
      </c>
      <c r="I177" s="22">
        <f>SUMIFS('Bottom-up tagging'!$BI:$BI,'Bottom-up tagging'!$AS:$AS,'Analysis of bottom-up tags'!$B177,'Bottom-up tagging'!$E:$E,'Analysis of bottom-up tags'!I$6)+SUMIFS('Bottom-up tagging'!$BJ:$BJ,'Bottom-up tagging'!$AT:$AT,'Analysis of bottom-up tags'!$B177,'Bottom-up tagging'!$E:$E,'Analysis of bottom-up tags'!I$6)+SUMIFS('Bottom-up tagging'!$BK:$BK,'Bottom-up tagging'!$AU:$AU,'Analysis of bottom-up tags'!$B177,'Bottom-up tagging'!$E:$E,'Analysis of bottom-up tags'!I$6)+SUMIFS('Bottom-up tagging'!$BL:$BL,'Bottom-up tagging'!$AV:$AV,'Analysis of bottom-up tags'!$B177,'Bottom-up tagging'!$E:$E,'Analysis of bottom-up tags'!I$6)</f>
        <v>0</v>
      </c>
      <c r="J177" s="22">
        <f>SUMIFS('Bottom-up tagging'!$BI:$BI,'Bottom-up tagging'!$AS:$AS,'Analysis of bottom-up tags'!$B177,'Bottom-up tagging'!$E:$E,'Analysis of bottom-up tags'!J$6)+SUMIFS('Bottom-up tagging'!$BJ:$BJ,'Bottom-up tagging'!$AT:$AT,'Analysis of bottom-up tags'!$B177,'Bottom-up tagging'!$E:$E,'Analysis of bottom-up tags'!J$6)+SUMIFS('Bottom-up tagging'!$BK:$BK,'Bottom-up tagging'!$AU:$AU,'Analysis of bottom-up tags'!$B177,'Bottom-up tagging'!$E:$E,'Analysis of bottom-up tags'!J$6)+SUMIFS('Bottom-up tagging'!$BL:$BL,'Bottom-up tagging'!$AV:$AV,'Analysis of bottom-up tags'!$B177,'Bottom-up tagging'!$E:$E,'Analysis of bottom-up tags'!J$6)</f>
        <v>0</v>
      </c>
      <c r="K177" s="22">
        <f>SUMIFS('Bottom-up tagging'!$BI:$BI,'Bottom-up tagging'!$AS:$AS,'Analysis of bottom-up tags'!$B177,'Bottom-up tagging'!$E:$E,'Analysis of bottom-up tags'!K$6)+SUMIFS('Bottom-up tagging'!$BJ:$BJ,'Bottom-up tagging'!$AT:$AT,'Analysis of bottom-up tags'!$B177,'Bottom-up tagging'!$E:$E,'Analysis of bottom-up tags'!K$6)+SUMIFS('Bottom-up tagging'!$BK:$BK,'Bottom-up tagging'!$AU:$AU,'Analysis of bottom-up tags'!$B177,'Bottom-up tagging'!$E:$E,'Analysis of bottom-up tags'!K$6)+SUMIFS('Bottom-up tagging'!$BL:$BL,'Bottom-up tagging'!$AV:$AV,'Analysis of bottom-up tags'!$B177,'Bottom-up tagging'!$E:$E,'Analysis of bottom-up tags'!K$6)</f>
        <v>0</v>
      </c>
      <c r="L177" s="22">
        <f>SUMIFS('Bottom-up tagging'!$BI:$BI,'Bottom-up tagging'!$AS:$AS,'Analysis of bottom-up tags'!$B177,'Bottom-up tagging'!$E:$E,'Analysis of bottom-up tags'!L$6)+SUMIFS('Bottom-up tagging'!$BJ:$BJ,'Bottom-up tagging'!$AT:$AT,'Analysis of bottom-up tags'!$B177,'Bottom-up tagging'!$E:$E,'Analysis of bottom-up tags'!L$6)+SUMIFS('Bottom-up tagging'!$BK:$BK,'Bottom-up tagging'!$AU:$AU,'Analysis of bottom-up tags'!$B177,'Bottom-up tagging'!$E:$E,'Analysis of bottom-up tags'!L$6)+SUMIFS('Bottom-up tagging'!$BL:$BL,'Bottom-up tagging'!$AV:$AV,'Analysis of bottom-up tags'!$B177,'Bottom-up tagging'!$E:$E,'Analysis of bottom-up tags'!L$6)</f>
        <v>0</v>
      </c>
      <c r="M177" s="22"/>
      <c r="N177" s="101">
        <f>C$177/C$7</f>
        <v>0</v>
      </c>
      <c r="O177" s="101">
        <f t="shared" ref="O177:W177" si="160">D$177/D$7</f>
        <v>0</v>
      </c>
      <c r="P177" s="101">
        <f t="shared" si="160"/>
        <v>0</v>
      </c>
      <c r="Q177" s="101">
        <f t="shared" si="160"/>
        <v>0</v>
      </c>
      <c r="R177" s="101">
        <f t="shared" si="160"/>
        <v>0</v>
      </c>
      <c r="S177" s="101">
        <f t="shared" si="160"/>
        <v>0</v>
      </c>
      <c r="T177" s="101">
        <f t="shared" si="160"/>
        <v>0</v>
      </c>
      <c r="U177" s="101">
        <f t="shared" si="160"/>
        <v>0</v>
      </c>
      <c r="V177" s="101">
        <f t="shared" si="160"/>
        <v>0</v>
      </c>
      <c r="W177" s="101">
        <f t="shared" si="160"/>
        <v>0</v>
      </c>
    </row>
    <row r="178" spans="2:23">
      <c r="B178" s="64" t="s">
        <v>11111</v>
      </c>
      <c r="C178" s="22">
        <f>SUMIFS('Bottom-up tagging'!$BI:$BI,'Bottom-up tagging'!$AS:$AS,'Analysis of bottom-up tags'!$B178,'Bottom-up tagging'!$E:$E,'Analysis of bottom-up tags'!C$6)+SUMIFS('Bottom-up tagging'!$BJ:$BJ,'Bottom-up tagging'!$AT:$AT,'Analysis of bottom-up tags'!$B178,'Bottom-up tagging'!$E:$E,'Analysis of bottom-up tags'!C$6)+SUMIFS('Bottom-up tagging'!$BK:$BK,'Bottom-up tagging'!$AU:$AU,'Analysis of bottom-up tags'!$B178,'Bottom-up tagging'!$E:$E,'Analysis of bottom-up tags'!C$6)+SUMIFS('Bottom-up tagging'!$BL:$BL,'Bottom-up tagging'!$AV:$AV,'Analysis of bottom-up tags'!$B178,'Bottom-up tagging'!$E:$E,'Analysis of bottom-up tags'!C$6)</f>
        <v>0</v>
      </c>
      <c r="D178" s="22">
        <f>SUMIFS('Bottom-up tagging'!$BI:$BI,'Bottom-up tagging'!$AS:$AS,'Analysis of bottom-up tags'!$B178,'Bottom-up tagging'!$E:$E,'Analysis of bottom-up tags'!D$6)+SUMIFS('Bottom-up tagging'!$BJ:$BJ,'Bottom-up tagging'!$AT:$AT,'Analysis of bottom-up tags'!$B178,'Bottom-up tagging'!$E:$E,'Analysis of bottom-up tags'!D$6)+SUMIFS('Bottom-up tagging'!$BK:$BK,'Bottom-up tagging'!$AU:$AU,'Analysis of bottom-up tags'!$B178,'Bottom-up tagging'!$E:$E,'Analysis of bottom-up tags'!D$6)+SUMIFS('Bottom-up tagging'!$BL:$BL,'Bottom-up tagging'!$AV:$AV,'Analysis of bottom-up tags'!$B178,'Bottom-up tagging'!$E:$E,'Analysis of bottom-up tags'!D$6)</f>
        <v>0</v>
      </c>
      <c r="E178" s="22">
        <f>SUMIFS('Bottom-up tagging'!$BI:$BI,'Bottom-up tagging'!$AS:$AS,'Analysis of bottom-up tags'!$B178,'Bottom-up tagging'!$E:$E,'Analysis of bottom-up tags'!E$6)+SUMIFS('Bottom-up tagging'!$BJ:$BJ,'Bottom-up tagging'!$AT:$AT,'Analysis of bottom-up tags'!$B178,'Bottom-up tagging'!$E:$E,'Analysis of bottom-up tags'!E$6)+SUMIFS('Bottom-up tagging'!$BK:$BK,'Bottom-up tagging'!$AU:$AU,'Analysis of bottom-up tags'!$B178,'Bottom-up tagging'!$E:$E,'Analysis of bottom-up tags'!E$6)+SUMIFS('Bottom-up tagging'!$BL:$BL,'Bottom-up tagging'!$AV:$AV,'Analysis of bottom-up tags'!$B178,'Bottom-up tagging'!$E:$E,'Analysis of bottom-up tags'!E$6)</f>
        <v>0</v>
      </c>
      <c r="F178" s="22">
        <f>SUMIFS('Bottom-up tagging'!$BI:$BI,'Bottom-up tagging'!$AS:$AS,'Analysis of bottom-up tags'!$B178,'Bottom-up tagging'!$E:$E,'Analysis of bottom-up tags'!F$6)+SUMIFS('Bottom-up tagging'!$BJ:$BJ,'Bottom-up tagging'!$AT:$AT,'Analysis of bottom-up tags'!$B178,'Bottom-up tagging'!$E:$E,'Analysis of bottom-up tags'!F$6)+SUMIFS('Bottom-up tagging'!$BK:$BK,'Bottom-up tagging'!$AU:$AU,'Analysis of bottom-up tags'!$B178,'Bottom-up tagging'!$E:$E,'Analysis of bottom-up tags'!F$6)+SUMIFS('Bottom-up tagging'!$BL:$BL,'Bottom-up tagging'!$AV:$AV,'Analysis of bottom-up tags'!$B178,'Bottom-up tagging'!$E:$E,'Analysis of bottom-up tags'!F$6)</f>
        <v>0</v>
      </c>
      <c r="G178" s="22">
        <f>SUMIFS('Bottom-up tagging'!$BI:$BI,'Bottom-up tagging'!$AS:$AS,'Analysis of bottom-up tags'!$B178,'Bottom-up tagging'!$E:$E,'Analysis of bottom-up tags'!G$6)+SUMIFS('Bottom-up tagging'!$BJ:$BJ,'Bottom-up tagging'!$AT:$AT,'Analysis of bottom-up tags'!$B178,'Bottom-up tagging'!$E:$E,'Analysis of bottom-up tags'!G$6)+SUMIFS('Bottom-up tagging'!$BK:$BK,'Bottom-up tagging'!$AU:$AU,'Analysis of bottom-up tags'!$B178,'Bottom-up tagging'!$E:$E,'Analysis of bottom-up tags'!G$6)+SUMIFS('Bottom-up tagging'!$BL:$BL,'Bottom-up tagging'!$AV:$AV,'Analysis of bottom-up tags'!$B178,'Bottom-up tagging'!$E:$E,'Analysis of bottom-up tags'!G$6)</f>
        <v>0</v>
      </c>
      <c r="H178" s="22">
        <f>SUMIFS('Bottom-up tagging'!$BI:$BI,'Bottom-up tagging'!$AS:$AS,'Analysis of bottom-up tags'!$B178,'Bottom-up tagging'!$E:$E,'Analysis of bottom-up tags'!H$6)+SUMIFS('Bottom-up tagging'!$BJ:$BJ,'Bottom-up tagging'!$AT:$AT,'Analysis of bottom-up tags'!$B178,'Bottom-up tagging'!$E:$E,'Analysis of bottom-up tags'!H$6)+SUMIFS('Bottom-up tagging'!$BK:$BK,'Bottom-up tagging'!$AU:$AU,'Analysis of bottom-up tags'!$B178,'Bottom-up tagging'!$E:$E,'Analysis of bottom-up tags'!H$6)+SUMIFS('Bottom-up tagging'!$BL:$BL,'Bottom-up tagging'!$AV:$AV,'Analysis of bottom-up tags'!$B178,'Bottom-up tagging'!$E:$E,'Analysis of bottom-up tags'!H$6)</f>
        <v>0</v>
      </c>
      <c r="I178" s="22">
        <f>SUMIFS('Bottom-up tagging'!$BI:$BI,'Bottom-up tagging'!$AS:$AS,'Analysis of bottom-up tags'!$B178,'Bottom-up tagging'!$E:$E,'Analysis of bottom-up tags'!I$6)+SUMIFS('Bottom-up tagging'!$BJ:$BJ,'Bottom-up tagging'!$AT:$AT,'Analysis of bottom-up tags'!$B178,'Bottom-up tagging'!$E:$E,'Analysis of bottom-up tags'!I$6)+SUMIFS('Bottom-up tagging'!$BK:$BK,'Bottom-up tagging'!$AU:$AU,'Analysis of bottom-up tags'!$B178,'Bottom-up tagging'!$E:$E,'Analysis of bottom-up tags'!I$6)+SUMIFS('Bottom-up tagging'!$BL:$BL,'Bottom-up tagging'!$AV:$AV,'Analysis of bottom-up tags'!$B178,'Bottom-up tagging'!$E:$E,'Analysis of bottom-up tags'!I$6)</f>
        <v>0</v>
      </c>
      <c r="J178" s="22">
        <f>SUMIFS('Bottom-up tagging'!$BI:$BI,'Bottom-up tagging'!$AS:$AS,'Analysis of bottom-up tags'!$B178,'Bottom-up tagging'!$E:$E,'Analysis of bottom-up tags'!J$6)+SUMIFS('Bottom-up tagging'!$BJ:$BJ,'Bottom-up tagging'!$AT:$AT,'Analysis of bottom-up tags'!$B178,'Bottom-up tagging'!$E:$E,'Analysis of bottom-up tags'!J$6)+SUMIFS('Bottom-up tagging'!$BK:$BK,'Bottom-up tagging'!$AU:$AU,'Analysis of bottom-up tags'!$B178,'Bottom-up tagging'!$E:$E,'Analysis of bottom-up tags'!J$6)+SUMIFS('Bottom-up tagging'!$BL:$BL,'Bottom-up tagging'!$AV:$AV,'Analysis of bottom-up tags'!$B178,'Bottom-up tagging'!$E:$E,'Analysis of bottom-up tags'!J$6)</f>
        <v>0</v>
      </c>
      <c r="K178" s="22">
        <f>SUMIFS('Bottom-up tagging'!$BI:$BI,'Bottom-up tagging'!$AS:$AS,'Analysis of bottom-up tags'!$B178,'Bottom-up tagging'!$E:$E,'Analysis of bottom-up tags'!K$6)+SUMIFS('Bottom-up tagging'!$BJ:$BJ,'Bottom-up tagging'!$AT:$AT,'Analysis of bottom-up tags'!$B178,'Bottom-up tagging'!$E:$E,'Analysis of bottom-up tags'!K$6)+SUMIFS('Bottom-up tagging'!$BK:$BK,'Bottom-up tagging'!$AU:$AU,'Analysis of bottom-up tags'!$B178,'Bottom-up tagging'!$E:$E,'Analysis of bottom-up tags'!K$6)+SUMIFS('Bottom-up tagging'!$BL:$BL,'Bottom-up tagging'!$AV:$AV,'Analysis of bottom-up tags'!$B178,'Bottom-up tagging'!$E:$E,'Analysis of bottom-up tags'!K$6)</f>
        <v>0</v>
      </c>
      <c r="L178" s="22">
        <f>SUMIFS('Bottom-up tagging'!$BI:$BI,'Bottom-up tagging'!$AS:$AS,'Analysis of bottom-up tags'!$B178,'Bottom-up tagging'!$E:$E,'Analysis of bottom-up tags'!L$6)+SUMIFS('Bottom-up tagging'!$BJ:$BJ,'Bottom-up tagging'!$AT:$AT,'Analysis of bottom-up tags'!$B178,'Bottom-up tagging'!$E:$E,'Analysis of bottom-up tags'!L$6)+SUMIFS('Bottom-up tagging'!$BK:$BK,'Bottom-up tagging'!$AU:$AU,'Analysis of bottom-up tags'!$B178,'Bottom-up tagging'!$E:$E,'Analysis of bottom-up tags'!L$6)+SUMIFS('Bottom-up tagging'!$BL:$BL,'Bottom-up tagging'!$AV:$AV,'Analysis of bottom-up tags'!$B178,'Bottom-up tagging'!$E:$E,'Analysis of bottom-up tags'!L$6)</f>
        <v>0</v>
      </c>
      <c r="M178" s="22"/>
      <c r="N178" s="101">
        <f>C$178/C$7</f>
        <v>0</v>
      </c>
      <c r="O178" s="101">
        <f t="shared" ref="O178:W178" si="161">D$178/D$7</f>
        <v>0</v>
      </c>
      <c r="P178" s="101">
        <f t="shared" si="161"/>
        <v>0</v>
      </c>
      <c r="Q178" s="101">
        <f t="shared" si="161"/>
        <v>0</v>
      </c>
      <c r="R178" s="101">
        <f t="shared" si="161"/>
        <v>0</v>
      </c>
      <c r="S178" s="101">
        <f t="shared" si="161"/>
        <v>0</v>
      </c>
      <c r="T178" s="101">
        <f t="shared" si="161"/>
        <v>0</v>
      </c>
      <c r="U178" s="101">
        <f t="shared" si="161"/>
        <v>0</v>
      </c>
      <c r="V178" s="101">
        <f t="shared" si="161"/>
        <v>0</v>
      </c>
      <c r="W178" s="101">
        <f t="shared" si="161"/>
        <v>0</v>
      </c>
    </row>
    <row r="179" spans="2:23">
      <c r="B179" s="191" t="s">
        <v>11042</v>
      </c>
      <c r="C179" s="192">
        <f>SUM(C173:C178)</f>
        <v>35533472</v>
      </c>
      <c r="D179" s="192">
        <f t="shared" ref="D179" si="162">SUM(D173:D178)</f>
        <v>78092465.93183817</v>
      </c>
      <c r="E179" s="192">
        <f t="shared" ref="E179" si="163">SUM(E173:E178)</f>
        <v>3368513.4807919152</v>
      </c>
      <c r="F179" s="192">
        <f t="shared" ref="F179" si="164">SUM(F173:F178)</f>
        <v>29756690.243236192</v>
      </c>
      <c r="G179" s="192">
        <f t="shared" ref="G179" si="165">SUM(G173:G178)</f>
        <v>31383013.7333671</v>
      </c>
      <c r="H179" s="192">
        <f t="shared" ref="H179" si="166">SUM(H173:H178)</f>
        <v>101813348.45733242</v>
      </c>
      <c r="I179" s="192">
        <f t="shared" ref="I179" si="167">SUM(I173:I178)</f>
        <v>339394209.80235702</v>
      </c>
      <c r="J179" s="192">
        <f t="shared" ref="J179" si="168">SUM(J173:J178)</f>
        <v>88278641.284904823</v>
      </c>
      <c r="K179" s="192">
        <f t="shared" ref="K179" si="169">SUM(K173:K178)</f>
        <v>1009485210.5119214</v>
      </c>
      <c r="L179" s="192">
        <f t="shared" ref="L179" si="170">SUM(L173:L178)</f>
        <v>195373454.27953422</v>
      </c>
      <c r="M179" s="192"/>
      <c r="N179" s="193">
        <f>C$179/C$7</f>
        <v>0.37943268322210427</v>
      </c>
      <c r="O179" s="193">
        <f t="shared" ref="O179:W179" si="171">D$179/D$7</f>
        <v>0.96642622682658696</v>
      </c>
      <c r="P179" s="193">
        <f t="shared" si="171"/>
        <v>0.43696647190755694</v>
      </c>
      <c r="Q179" s="193">
        <f t="shared" si="171"/>
        <v>0.82274863805669274</v>
      </c>
      <c r="R179" s="193">
        <f t="shared" si="171"/>
        <v>0.77114323910905036</v>
      </c>
      <c r="S179" s="193">
        <f t="shared" si="171"/>
        <v>0.50948153984423217</v>
      </c>
      <c r="T179" s="193">
        <f t="shared" si="171"/>
        <v>0.92706580524232418</v>
      </c>
      <c r="U179" s="193">
        <f t="shared" si="171"/>
        <v>0.42346211929668709</v>
      </c>
      <c r="V179" s="193">
        <f t="shared" si="171"/>
        <v>0.92498864411946469</v>
      </c>
      <c r="W179" s="193">
        <f t="shared" si="171"/>
        <v>0.72209976704085654</v>
      </c>
    </row>
    <row r="182" spans="2:23">
      <c r="B182" s="170" t="s">
        <v>11134</v>
      </c>
      <c r="C182" s="140"/>
      <c r="D182" s="140"/>
      <c r="E182" s="140"/>
      <c r="F182" s="140"/>
      <c r="G182" s="140"/>
      <c r="H182" s="140"/>
      <c r="I182" s="140"/>
      <c r="J182" s="140"/>
      <c r="K182" s="140"/>
      <c r="L182" s="140"/>
      <c r="M182" s="140"/>
      <c r="N182" s="171"/>
      <c r="O182" s="171"/>
      <c r="P182" s="171"/>
      <c r="Q182" s="171"/>
      <c r="R182" s="171"/>
      <c r="S182" s="171"/>
      <c r="T182" s="171"/>
      <c r="U182" s="171"/>
      <c r="V182" s="171"/>
      <c r="W182" s="171"/>
    </row>
    <row r="183" spans="2:23">
      <c r="B183" s="64" t="s">
        <v>10621</v>
      </c>
      <c r="C183" s="22">
        <f>SUMIFS('Bottom-up tagging'!$BM:$BM,'Bottom-up tagging'!$AS:$AS,'Analysis of bottom-up tags'!$B183,'Bottom-up tagging'!$E:$E,'Analysis of bottom-up tags'!C$6)+SUMIFS('Bottom-up tagging'!$BN:$BN,'Bottom-up tagging'!$AT:$AT,'Analysis of bottom-up tags'!$B183,'Bottom-up tagging'!$E:$E,'Analysis of bottom-up tags'!C$6)+SUMIFS('Bottom-up tagging'!$BO:$BO,'Bottom-up tagging'!$AU:$AU,'Analysis of bottom-up tags'!$B183,'Bottom-up tagging'!$E:$E,'Analysis of bottom-up tags'!C$6)+SUMIFS('Bottom-up tagging'!$BP:$BP,'Bottom-up tagging'!$AV:$AV,'Analysis of bottom-up tags'!$B183,'Bottom-up tagging'!$E:$E,'Analysis of bottom-up tags'!C$6)</f>
        <v>0</v>
      </c>
      <c r="D183" s="22">
        <f>SUMIFS('Bottom-up tagging'!$BM:$BM,'Bottom-up tagging'!$AS:$AS,'Analysis of bottom-up tags'!$B183,'Bottom-up tagging'!$E:$E,'Analysis of bottom-up tags'!D$6)+SUMIFS('Bottom-up tagging'!$BN:$BN,'Bottom-up tagging'!$AT:$AT,'Analysis of bottom-up tags'!$B183,'Bottom-up tagging'!$E:$E,'Analysis of bottom-up tags'!D$6)+SUMIFS('Bottom-up tagging'!$BO:$BO,'Bottom-up tagging'!$AU:$AU,'Analysis of bottom-up tags'!$B183,'Bottom-up tagging'!$E:$E,'Analysis of bottom-up tags'!D$6)+SUMIFS('Bottom-up tagging'!$BP:$BP,'Bottom-up tagging'!$AV:$AV,'Analysis of bottom-up tags'!$B183,'Bottom-up tagging'!$E:$E,'Analysis of bottom-up tags'!D$6)</f>
        <v>0</v>
      </c>
      <c r="E183" s="22">
        <f>SUMIFS('Bottom-up tagging'!$BM:$BM,'Bottom-up tagging'!$AS:$AS,'Analysis of bottom-up tags'!$B183,'Bottom-up tagging'!$E:$E,'Analysis of bottom-up tags'!E$6)+SUMIFS('Bottom-up tagging'!$BN:$BN,'Bottom-up tagging'!$AT:$AT,'Analysis of bottom-up tags'!$B183,'Bottom-up tagging'!$E:$E,'Analysis of bottom-up tags'!E$6)+SUMIFS('Bottom-up tagging'!$BO:$BO,'Bottom-up tagging'!$AU:$AU,'Analysis of bottom-up tags'!$B183,'Bottom-up tagging'!$E:$E,'Analysis of bottom-up tags'!E$6)+SUMIFS('Bottom-up tagging'!$BP:$BP,'Bottom-up tagging'!$AV:$AV,'Analysis of bottom-up tags'!$B183,'Bottom-up tagging'!$E:$E,'Analysis of bottom-up tags'!E$6)</f>
        <v>0</v>
      </c>
      <c r="F183" s="22">
        <f>SUMIFS('Bottom-up tagging'!$BM:$BM,'Bottom-up tagging'!$AS:$AS,'Analysis of bottom-up tags'!$B183,'Bottom-up tagging'!$E:$E,'Analysis of bottom-up tags'!F$6)+SUMIFS('Bottom-up tagging'!$BN:$BN,'Bottom-up tagging'!$AT:$AT,'Analysis of bottom-up tags'!$B183,'Bottom-up tagging'!$E:$E,'Analysis of bottom-up tags'!F$6)+SUMIFS('Bottom-up tagging'!$BO:$BO,'Bottom-up tagging'!$AU:$AU,'Analysis of bottom-up tags'!$B183,'Bottom-up tagging'!$E:$E,'Analysis of bottom-up tags'!F$6)+SUMIFS('Bottom-up tagging'!$BP:$BP,'Bottom-up tagging'!$AV:$AV,'Analysis of bottom-up tags'!$B183,'Bottom-up tagging'!$E:$E,'Analysis of bottom-up tags'!F$6)</f>
        <v>0</v>
      </c>
      <c r="G183" s="22">
        <f>SUMIFS('Bottom-up tagging'!$BM:$BM,'Bottom-up tagging'!$AS:$AS,'Analysis of bottom-up tags'!$B183,'Bottom-up tagging'!$E:$E,'Analysis of bottom-up tags'!G$6)+SUMIFS('Bottom-up tagging'!$BN:$BN,'Bottom-up tagging'!$AT:$AT,'Analysis of bottom-up tags'!$B183,'Bottom-up tagging'!$E:$E,'Analysis of bottom-up tags'!G$6)+SUMIFS('Bottom-up tagging'!$BO:$BO,'Bottom-up tagging'!$AU:$AU,'Analysis of bottom-up tags'!$B183,'Bottom-up tagging'!$E:$E,'Analysis of bottom-up tags'!G$6)+SUMIFS('Bottom-up tagging'!$BP:$BP,'Bottom-up tagging'!$AV:$AV,'Analysis of bottom-up tags'!$B183,'Bottom-up tagging'!$E:$E,'Analysis of bottom-up tags'!G$6)</f>
        <v>0</v>
      </c>
      <c r="H183" s="22">
        <f>SUMIFS('Bottom-up tagging'!$BM:$BM,'Bottom-up tagging'!$AS:$AS,'Analysis of bottom-up tags'!$B183,'Bottom-up tagging'!$E:$E,'Analysis of bottom-up tags'!H$6)+SUMIFS('Bottom-up tagging'!$BN:$BN,'Bottom-up tagging'!$AT:$AT,'Analysis of bottom-up tags'!$B183,'Bottom-up tagging'!$E:$E,'Analysis of bottom-up tags'!H$6)+SUMIFS('Bottom-up tagging'!$BO:$BO,'Bottom-up tagging'!$AU:$AU,'Analysis of bottom-up tags'!$B183,'Bottom-up tagging'!$E:$E,'Analysis of bottom-up tags'!H$6)+SUMIFS('Bottom-up tagging'!$BP:$BP,'Bottom-up tagging'!$AV:$AV,'Analysis of bottom-up tags'!$B183,'Bottom-up tagging'!$E:$E,'Analysis of bottom-up tags'!H$6)</f>
        <v>0</v>
      </c>
      <c r="I183" s="22">
        <f>SUMIFS('Bottom-up tagging'!$BM:$BM,'Bottom-up tagging'!$AS:$AS,'Analysis of bottom-up tags'!$B183,'Bottom-up tagging'!$E:$E,'Analysis of bottom-up tags'!I$6)+SUMIFS('Bottom-up tagging'!$BN:$BN,'Bottom-up tagging'!$AT:$AT,'Analysis of bottom-up tags'!$B183,'Bottom-up tagging'!$E:$E,'Analysis of bottom-up tags'!I$6)+SUMIFS('Bottom-up tagging'!$BO:$BO,'Bottom-up tagging'!$AU:$AU,'Analysis of bottom-up tags'!$B183,'Bottom-up tagging'!$E:$E,'Analysis of bottom-up tags'!I$6)+SUMIFS('Bottom-up tagging'!$BP:$BP,'Bottom-up tagging'!$AV:$AV,'Analysis of bottom-up tags'!$B183,'Bottom-up tagging'!$E:$E,'Analysis of bottom-up tags'!I$6)</f>
        <v>0</v>
      </c>
      <c r="J183" s="22">
        <f>SUMIFS('Bottom-up tagging'!$BM:$BM,'Bottom-up tagging'!$AS:$AS,'Analysis of bottom-up tags'!$B183,'Bottom-up tagging'!$E:$E,'Analysis of bottom-up tags'!J$6)+SUMIFS('Bottom-up tagging'!$BN:$BN,'Bottom-up tagging'!$AT:$AT,'Analysis of bottom-up tags'!$B183,'Bottom-up tagging'!$E:$E,'Analysis of bottom-up tags'!J$6)+SUMIFS('Bottom-up tagging'!$BO:$BO,'Bottom-up tagging'!$AU:$AU,'Analysis of bottom-up tags'!$B183,'Bottom-up tagging'!$E:$E,'Analysis of bottom-up tags'!J$6)+SUMIFS('Bottom-up tagging'!$BP:$BP,'Bottom-up tagging'!$AV:$AV,'Analysis of bottom-up tags'!$B183,'Bottom-up tagging'!$E:$E,'Analysis of bottom-up tags'!J$6)</f>
        <v>0</v>
      </c>
      <c r="K183" s="22">
        <f>SUMIFS('Bottom-up tagging'!$BM:$BM,'Bottom-up tagging'!$AS:$AS,'Analysis of bottom-up tags'!$B183,'Bottom-up tagging'!$E:$E,'Analysis of bottom-up tags'!K$6)+SUMIFS('Bottom-up tagging'!$BN:$BN,'Bottom-up tagging'!$AT:$AT,'Analysis of bottom-up tags'!$B183,'Bottom-up tagging'!$E:$E,'Analysis of bottom-up tags'!K$6)+SUMIFS('Bottom-up tagging'!$BO:$BO,'Bottom-up tagging'!$AU:$AU,'Analysis of bottom-up tags'!$B183,'Bottom-up tagging'!$E:$E,'Analysis of bottom-up tags'!K$6)+SUMIFS('Bottom-up tagging'!$BP:$BP,'Bottom-up tagging'!$AV:$AV,'Analysis of bottom-up tags'!$B183,'Bottom-up tagging'!$E:$E,'Analysis of bottom-up tags'!K$6)</f>
        <v>0</v>
      </c>
      <c r="L183" s="22">
        <f>SUMIFS('Bottom-up tagging'!$BM:$BM,'Bottom-up tagging'!$AS:$AS,'Analysis of bottom-up tags'!$B183,'Bottom-up tagging'!$E:$E,'Analysis of bottom-up tags'!L$6)+SUMIFS('Bottom-up tagging'!$BN:$BN,'Bottom-up tagging'!$AT:$AT,'Analysis of bottom-up tags'!$B183,'Bottom-up tagging'!$E:$E,'Analysis of bottom-up tags'!L$6)+SUMIFS('Bottom-up tagging'!$BO:$BO,'Bottom-up tagging'!$AU:$AU,'Analysis of bottom-up tags'!$B183,'Bottom-up tagging'!$E:$E,'Analysis of bottom-up tags'!L$6)+SUMIFS('Bottom-up tagging'!$BP:$BP,'Bottom-up tagging'!$AV:$AV,'Analysis of bottom-up tags'!$B183,'Bottom-up tagging'!$E:$E,'Analysis of bottom-up tags'!L$6)</f>
        <v>0</v>
      </c>
      <c r="M183" s="22"/>
      <c r="N183" s="101">
        <f>C$183/C$7</f>
        <v>0</v>
      </c>
      <c r="O183" s="101">
        <f t="shared" ref="O183:V183" si="172">D$183/D$7</f>
        <v>0</v>
      </c>
      <c r="P183" s="101">
        <f t="shared" si="172"/>
        <v>0</v>
      </c>
      <c r="Q183" s="101">
        <f t="shared" si="172"/>
        <v>0</v>
      </c>
      <c r="R183" s="101">
        <f t="shared" si="172"/>
        <v>0</v>
      </c>
      <c r="S183" s="101">
        <f t="shared" si="172"/>
        <v>0</v>
      </c>
      <c r="T183" s="101">
        <f t="shared" si="172"/>
        <v>0</v>
      </c>
      <c r="U183" s="101">
        <f t="shared" si="172"/>
        <v>0</v>
      </c>
      <c r="V183" s="101">
        <f t="shared" si="172"/>
        <v>0</v>
      </c>
      <c r="W183" s="101">
        <f t="shared" ref="W183" si="173">L$163/L$7</f>
        <v>0</v>
      </c>
    </row>
    <row r="184" spans="2:23">
      <c r="B184" s="64" t="s">
        <v>11108</v>
      </c>
      <c r="C184" s="22">
        <f>SUMIFS('Bottom-up tagging'!$BM:$BM,'Bottom-up tagging'!$AS:$AS,'Analysis of bottom-up tags'!$B184,'Bottom-up tagging'!$E:$E,'Analysis of bottom-up tags'!C$6)+SUMIFS('Bottom-up tagging'!$BN:$BN,'Bottom-up tagging'!$AT:$AT,'Analysis of bottom-up tags'!$B184,'Bottom-up tagging'!$E:$E,'Analysis of bottom-up tags'!C$6)+SUMIFS('Bottom-up tagging'!$BO:$BO,'Bottom-up tagging'!$AU:$AU,'Analysis of bottom-up tags'!$B184,'Bottom-up tagging'!$E:$E,'Analysis of bottom-up tags'!C$6)+SUMIFS('Bottom-up tagging'!$BP:$BP,'Bottom-up tagging'!$AV:$AV,'Analysis of bottom-up tags'!$B184,'Bottom-up tagging'!$E:$E,'Analysis of bottom-up tags'!C$6)</f>
        <v>0</v>
      </c>
      <c r="D184" s="22">
        <f>SUMIFS('Bottom-up tagging'!$BM:$BM,'Bottom-up tagging'!$AS:$AS,'Analysis of bottom-up tags'!$B184,'Bottom-up tagging'!$E:$E,'Analysis of bottom-up tags'!D$6)+SUMIFS('Bottom-up tagging'!$BN:$BN,'Bottom-up tagging'!$AT:$AT,'Analysis of bottom-up tags'!$B184,'Bottom-up tagging'!$E:$E,'Analysis of bottom-up tags'!D$6)+SUMIFS('Bottom-up tagging'!$BO:$BO,'Bottom-up tagging'!$AU:$AU,'Analysis of bottom-up tags'!$B184,'Bottom-up tagging'!$E:$E,'Analysis of bottom-up tags'!D$6)+SUMIFS('Bottom-up tagging'!$BP:$BP,'Bottom-up tagging'!$AV:$AV,'Analysis of bottom-up tags'!$B184,'Bottom-up tagging'!$E:$E,'Analysis of bottom-up tags'!D$6)</f>
        <v>0</v>
      </c>
      <c r="E184" s="22">
        <f>SUMIFS('Bottom-up tagging'!$BM:$BM,'Bottom-up tagging'!$AS:$AS,'Analysis of bottom-up tags'!$B184,'Bottom-up tagging'!$E:$E,'Analysis of bottom-up tags'!E$6)+SUMIFS('Bottom-up tagging'!$BN:$BN,'Bottom-up tagging'!$AT:$AT,'Analysis of bottom-up tags'!$B184,'Bottom-up tagging'!$E:$E,'Analysis of bottom-up tags'!E$6)+SUMIFS('Bottom-up tagging'!$BO:$BO,'Bottom-up tagging'!$AU:$AU,'Analysis of bottom-up tags'!$B184,'Bottom-up tagging'!$E:$E,'Analysis of bottom-up tags'!E$6)+SUMIFS('Bottom-up tagging'!$BP:$BP,'Bottom-up tagging'!$AV:$AV,'Analysis of bottom-up tags'!$B184,'Bottom-up tagging'!$E:$E,'Analysis of bottom-up tags'!E$6)</f>
        <v>0</v>
      </c>
      <c r="F184" s="22">
        <f>SUMIFS('Bottom-up tagging'!$BM:$BM,'Bottom-up tagging'!$AS:$AS,'Analysis of bottom-up tags'!$B184,'Bottom-up tagging'!$E:$E,'Analysis of bottom-up tags'!F$6)+SUMIFS('Bottom-up tagging'!$BN:$BN,'Bottom-up tagging'!$AT:$AT,'Analysis of bottom-up tags'!$B184,'Bottom-up tagging'!$E:$E,'Analysis of bottom-up tags'!F$6)+SUMIFS('Bottom-up tagging'!$BO:$BO,'Bottom-up tagging'!$AU:$AU,'Analysis of bottom-up tags'!$B184,'Bottom-up tagging'!$E:$E,'Analysis of bottom-up tags'!F$6)+SUMIFS('Bottom-up tagging'!$BP:$BP,'Bottom-up tagging'!$AV:$AV,'Analysis of bottom-up tags'!$B184,'Bottom-up tagging'!$E:$E,'Analysis of bottom-up tags'!F$6)</f>
        <v>0</v>
      </c>
      <c r="G184" s="22">
        <f>SUMIFS('Bottom-up tagging'!$BM:$BM,'Bottom-up tagging'!$AS:$AS,'Analysis of bottom-up tags'!$B184,'Bottom-up tagging'!$E:$E,'Analysis of bottom-up tags'!G$6)+SUMIFS('Bottom-up tagging'!$BN:$BN,'Bottom-up tagging'!$AT:$AT,'Analysis of bottom-up tags'!$B184,'Bottom-up tagging'!$E:$E,'Analysis of bottom-up tags'!G$6)+SUMIFS('Bottom-up tagging'!$BO:$BO,'Bottom-up tagging'!$AU:$AU,'Analysis of bottom-up tags'!$B184,'Bottom-up tagging'!$E:$E,'Analysis of bottom-up tags'!G$6)+SUMIFS('Bottom-up tagging'!$BP:$BP,'Bottom-up tagging'!$AV:$AV,'Analysis of bottom-up tags'!$B184,'Bottom-up tagging'!$E:$E,'Analysis of bottom-up tags'!G$6)</f>
        <v>0</v>
      </c>
      <c r="H184" s="22">
        <f>SUMIFS('Bottom-up tagging'!$BM:$BM,'Bottom-up tagging'!$AS:$AS,'Analysis of bottom-up tags'!$B184,'Bottom-up tagging'!$E:$E,'Analysis of bottom-up tags'!H$6)+SUMIFS('Bottom-up tagging'!$BN:$BN,'Bottom-up tagging'!$AT:$AT,'Analysis of bottom-up tags'!$B184,'Bottom-up tagging'!$E:$E,'Analysis of bottom-up tags'!H$6)+SUMIFS('Bottom-up tagging'!$BO:$BO,'Bottom-up tagging'!$AU:$AU,'Analysis of bottom-up tags'!$B184,'Bottom-up tagging'!$E:$E,'Analysis of bottom-up tags'!H$6)+SUMIFS('Bottom-up tagging'!$BP:$BP,'Bottom-up tagging'!$AV:$AV,'Analysis of bottom-up tags'!$B184,'Bottom-up tagging'!$E:$E,'Analysis of bottom-up tags'!H$6)</f>
        <v>0</v>
      </c>
      <c r="I184" s="22">
        <f>SUMIFS('Bottom-up tagging'!$BM:$BM,'Bottom-up tagging'!$AS:$AS,'Analysis of bottom-up tags'!$B184,'Bottom-up tagging'!$E:$E,'Analysis of bottom-up tags'!I$6)+SUMIFS('Bottom-up tagging'!$BN:$BN,'Bottom-up tagging'!$AT:$AT,'Analysis of bottom-up tags'!$B184,'Bottom-up tagging'!$E:$E,'Analysis of bottom-up tags'!I$6)+SUMIFS('Bottom-up tagging'!$BO:$BO,'Bottom-up tagging'!$AU:$AU,'Analysis of bottom-up tags'!$B184,'Bottom-up tagging'!$E:$E,'Analysis of bottom-up tags'!I$6)+SUMIFS('Bottom-up tagging'!$BP:$BP,'Bottom-up tagging'!$AV:$AV,'Analysis of bottom-up tags'!$B184,'Bottom-up tagging'!$E:$E,'Analysis of bottom-up tags'!I$6)</f>
        <v>1251123.3991541469</v>
      </c>
      <c r="J184" s="22">
        <f>SUMIFS('Bottom-up tagging'!$BM:$BM,'Bottom-up tagging'!$AS:$AS,'Analysis of bottom-up tags'!$B184,'Bottom-up tagging'!$E:$E,'Analysis of bottom-up tags'!J$6)+SUMIFS('Bottom-up tagging'!$BN:$BN,'Bottom-up tagging'!$AT:$AT,'Analysis of bottom-up tags'!$B184,'Bottom-up tagging'!$E:$E,'Analysis of bottom-up tags'!J$6)+SUMIFS('Bottom-up tagging'!$BO:$BO,'Bottom-up tagging'!$AU:$AU,'Analysis of bottom-up tags'!$B184,'Bottom-up tagging'!$E:$E,'Analysis of bottom-up tags'!J$6)+SUMIFS('Bottom-up tagging'!$BP:$BP,'Bottom-up tagging'!$AV:$AV,'Analysis of bottom-up tags'!$B184,'Bottom-up tagging'!$E:$E,'Analysis of bottom-up tags'!J$6)</f>
        <v>10175397.084851801</v>
      </c>
      <c r="K184" s="22">
        <f>SUMIFS('Bottom-up tagging'!$BM:$BM,'Bottom-up tagging'!$AS:$AS,'Analysis of bottom-up tags'!$B184,'Bottom-up tagging'!$E:$E,'Analysis of bottom-up tags'!K$6)+SUMIFS('Bottom-up tagging'!$BN:$BN,'Bottom-up tagging'!$AT:$AT,'Analysis of bottom-up tags'!$B184,'Bottom-up tagging'!$E:$E,'Analysis of bottom-up tags'!K$6)+SUMIFS('Bottom-up tagging'!$BO:$BO,'Bottom-up tagging'!$AU:$AU,'Analysis of bottom-up tags'!$B184,'Bottom-up tagging'!$E:$E,'Analysis of bottom-up tags'!K$6)+SUMIFS('Bottom-up tagging'!$BP:$BP,'Bottom-up tagging'!$AV:$AV,'Analysis of bottom-up tags'!$B184,'Bottom-up tagging'!$E:$E,'Analysis of bottom-up tags'!K$6)</f>
        <v>1332941.3764825384</v>
      </c>
      <c r="L184" s="22">
        <f>SUMIFS('Bottom-up tagging'!$BM:$BM,'Bottom-up tagging'!$AS:$AS,'Analysis of bottom-up tags'!$B184,'Bottom-up tagging'!$E:$E,'Analysis of bottom-up tags'!L$6)+SUMIFS('Bottom-up tagging'!$BN:$BN,'Bottom-up tagging'!$AT:$AT,'Analysis of bottom-up tags'!$B184,'Bottom-up tagging'!$E:$E,'Analysis of bottom-up tags'!L$6)+SUMIFS('Bottom-up tagging'!$BO:$BO,'Bottom-up tagging'!$AU:$AU,'Analysis of bottom-up tags'!$B184,'Bottom-up tagging'!$E:$E,'Analysis of bottom-up tags'!L$6)+SUMIFS('Bottom-up tagging'!$BP:$BP,'Bottom-up tagging'!$AV:$AV,'Analysis of bottom-up tags'!$B184,'Bottom-up tagging'!$E:$E,'Analysis of bottom-up tags'!L$6)</f>
        <v>2635571.0569686214</v>
      </c>
      <c r="M184" s="22"/>
      <c r="N184" s="101">
        <f>C$184/C$7</f>
        <v>0</v>
      </c>
      <c r="O184" s="101">
        <f t="shared" ref="O184:V184" si="174">D$184/D$7</f>
        <v>0</v>
      </c>
      <c r="P184" s="101">
        <f t="shared" si="174"/>
        <v>0</v>
      </c>
      <c r="Q184" s="101">
        <f t="shared" si="174"/>
        <v>0</v>
      </c>
      <c r="R184" s="101">
        <f t="shared" si="174"/>
        <v>0</v>
      </c>
      <c r="S184" s="101">
        <f t="shared" si="174"/>
        <v>0</v>
      </c>
      <c r="T184" s="101">
        <f t="shared" si="174"/>
        <v>3.4174823494183778E-3</v>
      </c>
      <c r="U184" s="101">
        <f t="shared" si="174"/>
        <v>4.8810166893375979E-2</v>
      </c>
      <c r="V184" s="101">
        <f t="shared" si="174"/>
        <v>1.2213706785244238E-3</v>
      </c>
      <c r="W184" s="101">
        <f t="shared" ref="W184" si="175">L$164/L$7</f>
        <v>9.7410636121205343E-3</v>
      </c>
    </row>
    <row r="185" spans="2:23">
      <c r="B185" s="64" t="s">
        <v>11109</v>
      </c>
      <c r="C185" s="22">
        <f>SUMIFS('Bottom-up tagging'!$BM:$BM,'Bottom-up tagging'!$AS:$AS,'Analysis of bottom-up tags'!$B185,'Bottom-up tagging'!$E:$E,'Analysis of bottom-up tags'!C$6)+SUMIFS('Bottom-up tagging'!$BN:$BN,'Bottom-up tagging'!$AT:$AT,'Analysis of bottom-up tags'!$B185,'Bottom-up tagging'!$E:$E,'Analysis of bottom-up tags'!C$6)+SUMIFS('Bottom-up tagging'!$BO:$BO,'Bottom-up tagging'!$AU:$AU,'Analysis of bottom-up tags'!$B185,'Bottom-up tagging'!$E:$E,'Analysis of bottom-up tags'!C$6)+SUMIFS('Bottom-up tagging'!$BP:$BP,'Bottom-up tagging'!$AV:$AV,'Analysis of bottom-up tags'!$B185,'Bottom-up tagging'!$E:$E,'Analysis of bottom-up tags'!C$6)</f>
        <v>0</v>
      </c>
      <c r="D185" s="22">
        <f>SUMIFS('Bottom-up tagging'!$BM:$BM,'Bottom-up tagging'!$AS:$AS,'Analysis of bottom-up tags'!$B185,'Bottom-up tagging'!$E:$E,'Analysis of bottom-up tags'!D$6)+SUMIFS('Bottom-up tagging'!$BN:$BN,'Bottom-up tagging'!$AT:$AT,'Analysis of bottom-up tags'!$B185,'Bottom-up tagging'!$E:$E,'Analysis of bottom-up tags'!D$6)+SUMIFS('Bottom-up tagging'!$BO:$BO,'Bottom-up tagging'!$AU:$AU,'Analysis of bottom-up tags'!$B185,'Bottom-up tagging'!$E:$E,'Analysis of bottom-up tags'!D$6)+SUMIFS('Bottom-up tagging'!$BP:$BP,'Bottom-up tagging'!$AV:$AV,'Analysis of bottom-up tags'!$B185,'Bottom-up tagging'!$E:$E,'Analysis of bottom-up tags'!D$6)</f>
        <v>0</v>
      </c>
      <c r="E185" s="22">
        <f>SUMIFS('Bottom-up tagging'!$BM:$BM,'Bottom-up tagging'!$AS:$AS,'Analysis of bottom-up tags'!$B185,'Bottom-up tagging'!$E:$E,'Analysis of bottom-up tags'!E$6)+SUMIFS('Bottom-up tagging'!$BN:$BN,'Bottom-up tagging'!$AT:$AT,'Analysis of bottom-up tags'!$B185,'Bottom-up tagging'!$E:$E,'Analysis of bottom-up tags'!E$6)+SUMIFS('Bottom-up tagging'!$BO:$BO,'Bottom-up tagging'!$AU:$AU,'Analysis of bottom-up tags'!$B185,'Bottom-up tagging'!$E:$E,'Analysis of bottom-up tags'!E$6)+SUMIFS('Bottom-up tagging'!$BP:$BP,'Bottom-up tagging'!$AV:$AV,'Analysis of bottom-up tags'!$B185,'Bottom-up tagging'!$E:$E,'Analysis of bottom-up tags'!E$6)</f>
        <v>0</v>
      </c>
      <c r="F185" s="22">
        <f>SUMIFS('Bottom-up tagging'!$BM:$BM,'Bottom-up tagging'!$AS:$AS,'Analysis of bottom-up tags'!$B185,'Bottom-up tagging'!$E:$E,'Analysis of bottom-up tags'!F$6)+SUMIFS('Bottom-up tagging'!$BN:$BN,'Bottom-up tagging'!$AT:$AT,'Analysis of bottom-up tags'!$B185,'Bottom-up tagging'!$E:$E,'Analysis of bottom-up tags'!F$6)+SUMIFS('Bottom-up tagging'!$BO:$BO,'Bottom-up tagging'!$AU:$AU,'Analysis of bottom-up tags'!$B185,'Bottom-up tagging'!$E:$E,'Analysis of bottom-up tags'!F$6)+SUMIFS('Bottom-up tagging'!$BP:$BP,'Bottom-up tagging'!$AV:$AV,'Analysis of bottom-up tags'!$B185,'Bottom-up tagging'!$E:$E,'Analysis of bottom-up tags'!F$6)</f>
        <v>0</v>
      </c>
      <c r="G185" s="22">
        <f>SUMIFS('Bottom-up tagging'!$BM:$BM,'Bottom-up tagging'!$AS:$AS,'Analysis of bottom-up tags'!$B185,'Bottom-up tagging'!$E:$E,'Analysis of bottom-up tags'!G$6)+SUMIFS('Bottom-up tagging'!$BN:$BN,'Bottom-up tagging'!$AT:$AT,'Analysis of bottom-up tags'!$B185,'Bottom-up tagging'!$E:$E,'Analysis of bottom-up tags'!G$6)+SUMIFS('Bottom-up tagging'!$BO:$BO,'Bottom-up tagging'!$AU:$AU,'Analysis of bottom-up tags'!$B185,'Bottom-up tagging'!$E:$E,'Analysis of bottom-up tags'!G$6)+SUMIFS('Bottom-up tagging'!$BP:$BP,'Bottom-up tagging'!$AV:$AV,'Analysis of bottom-up tags'!$B185,'Bottom-up tagging'!$E:$E,'Analysis of bottom-up tags'!G$6)</f>
        <v>0</v>
      </c>
      <c r="H185" s="22">
        <f>SUMIFS('Bottom-up tagging'!$BM:$BM,'Bottom-up tagging'!$AS:$AS,'Analysis of bottom-up tags'!$B185,'Bottom-up tagging'!$E:$E,'Analysis of bottom-up tags'!H$6)+SUMIFS('Bottom-up tagging'!$BN:$BN,'Bottom-up tagging'!$AT:$AT,'Analysis of bottom-up tags'!$B185,'Bottom-up tagging'!$E:$E,'Analysis of bottom-up tags'!H$6)+SUMIFS('Bottom-up tagging'!$BO:$BO,'Bottom-up tagging'!$AU:$AU,'Analysis of bottom-up tags'!$B185,'Bottom-up tagging'!$E:$E,'Analysis of bottom-up tags'!H$6)+SUMIFS('Bottom-up tagging'!$BP:$BP,'Bottom-up tagging'!$AV:$AV,'Analysis of bottom-up tags'!$B185,'Bottom-up tagging'!$E:$E,'Analysis of bottom-up tags'!H$6)</f>
        <v>0</v>
      </c>
      <c r="I185" s="22">
        <f>SUMIFS('Bottom-up tagging'!$BM:$BM,'Bottom-up tagging'!$AS:$AS,'Analysis of bottom-up tags'!$B185,'Bottom-up tagging'!$E:$E,'Analysis of bottom-up tags'!I$6)+SUMIFS('Bottom-up tagging'!$BN:$BN,'Bottom-up tagging'!$AT:$AT,'Analysis of bottom-up tags'!$B185,'Bottom-up tagging'!$E:$E,'Analysis of bottom-up tags'!I$6)+SUMIFS('Bottom-up tagging'!$BO:$BO,'Bottom-up tagging'!$AU:$AU,'Analysis of bottom-up tags'!$B185,'Bottom-up tagging'!$E:$E,'Analysis of bottom-up tags'!I$6)+SUMIFS('Bottom-up tagging'!$BP:$BP,'Bottom-up tagging'!$AV:$AV,'Analysis of bottom-up tags'!$B185,'Bottom-up tagging'!$E:$E,'Analysis of bottom-up tags'!I$6)</f>
        <v>0</v>
      </c>
      <c r="J185" s="22">
        <f>SUMIFS('Bottom-up tagging'!$BM:$BM,'Bottom-up tagging'!$AS:$AS,'Analysis of bottom-up tags'!$B185,'Bottom-up tagging'!$E:$E,'Analysis of bottom-up tags'!J$6)+SUMIFS('Bottom-up tagging'!$BN:$BN,'Bottom-up tagging'!$AT:$AT,'Analysis of bottom-up tags'!$B185,'Bottom-up tagging'!$E:$E,'Analysis of bottom-up tags'!J$6)+SUMIFS('Bottom-up tagging'!$BO:$BO,'Bottom-up tagging'!$AU:$AU,'Analysis of bottom-up tags'!$B185,'Bottom-up tagging'!$E:$E,'Analysis of bottom-up tags'!J$6)+SUMIFS('Bottom-up tagging'!$BP:$BP,'Bottom-up tagging'!$AV:$AV,'Analysis of bottom-up tags'!$B185,'Bottom-up tagging'!$E:$E,'Analysis of bottom-up tags'!J$6)</f>
        <v>0</v>
      </c>
      <c r="K185" s="22">
        <f>SUMIFS('Bottom-up tagging'!$BM:$BM,'Bottom-up tagging'!$AS:$AS,'Analysis of bottom-up tags'!$B185,'Bottom-up tagging'!$E:$E,'Analysis of bottom-up tags'!K$6)+SUMIFS('Bottom-up tagging'!$BN:$BN,'Bottom-up tagging'!$AT:$AT,'Analysis of bottom-up tags'!$B185,'Bottom-up tagging'!$E:$E,'Analysis of bottom-up tags'!K$6)+SUMIFS('Bottom-up tagging'!$BO:$BO,'Bottom-up tagging'!$AU:$AU,'Analysis of bottom-up tags'!$B185,'Bottom-up tagging'!$E:$E,'Analysis of bottom-up tags'!K$6)+SUMIFS('Bottom-up tagging'!$BP:$BP,'Bottom-up tagging'!$AV:$AV,'Analysis of bottom-up tags'!$B185,'Bottom-up tagging'!$E:$E,'Analysis of bottom-up tags'!K$6)</f>
        <v>0</v>
      </c>
      <c r="L185" s="22">
        <f>SUMIFS('Bottom-up tagging'!$BM:$BM,'Bottom-up tagging'!$AS:$AS,'Analysis of bottom-up tags'!$B185,'Bottom-up tagging'!$E:$E,'Analysis of bottom-up tags'!L$6)+SUMIFS('Bottom-up tagging'!$BN:$BN,'Bottom-up tagging'!$AT:$AT,'Analysis of bottom-up tags'!$B185,'Bottom-up tagging'!$E:$E,'Analysis of bottom-up tags'!L$6)+SUMIFS('Bottom-up tagging'!$BO:$BO,'Bottom-up tagging'!$AU:$AU,'Analysis of bottom-up tags'!$B185,'Bottom-up tagging'!$E:$E,'Analysis of bottom-up tags'!L$6)+SUMIFS('Bottom-up tagging'!$BP:$BP,'Bottom-up tagging'!$AV:$AV,'Analysis of bottom-up tags'!$B185,'Bottom-up tagging'!$E:$E,'Analysis of bottom-up tags'!L$6)</f>
        <v>0</v>
      </c>
      <c r="M185" s="22"/>
      <c r="N185" s="101">
        <f>C$185/C$7</f>
        <v>0</v>
      </c>
      <c r="O185" s="101">
        <f t="shared" ref="O185:V185" si="176">D$185/D$7</f>
        <v>0</v>
      </c>
      <c r="P185" s="101">
        <f t="shared" si="176"/>
        <v>0</v>
      </c>
      <c r="Q185" s="101">
        <f t="shared" si="176"/>
        <v>0</v>
      </c>
      <c r="R185" s="101">
        <f t="shared" si="176"/>
        <v>0</v>
      </c>
      <c r="S185" s="101">
        <f t="shared" si="176"/>
        <v>0</v>
      </c>
      <c r="T185" s="101">
        <f t="shared" si="176"/>
        <v>0</v>
      </c>
      <c r="U185" s="101">
        <f t="shared" si="176"/>
        <v>0</v>
      </c>
      <c r="V185" s="101">
        <f t="shared" si="176"/>
        <v>0</v>
      </c>
      <c r="W185" s="101">
        <f t="shared" ref="W185" si="177">L$165/L$7</f>
        <v>0</v>
      </c>
    </row>
    <row r="186" spans="2:23">
      <c r="B186" s="64" t="s">
        <v>11110</v>
      </c>
      <c r="C186" s="22">
        <f>SUMIFS('Bottom-up tagging'!$BM:$BM,'Bottom-up tagging'!$AS:$AS,'Analysis of bottom-up tags'!$B186,'Bottom-up tagging'!$E:$E,'Analysis of bottom-up tags'!C$6)+SUMIFS('Bottom-up tagging'!$BN:$BN,'Bottom-up tagging'!$AT:$AT,'Analysis of bottom-up tags'!$B186,'Bottom-up tagging'!$E:$E,'Analysis of bottom-up tags'!C$6)+SUMIFS('Bottom-up tagging'!$BO:$BO,'Bottom-up tagging'!$AU:$AU,'Analysis of bottom-up tags'!$B186,'Bottom-up tagging'!$E:$E,'Analysis of bottom-up tags'!C$6)+SUMIFS('Bottom-up tagging'!$BP:$BP,'Bottom-up tagging'!$AV:$AV,'Analysis of bottom-up tags'!$B186,'Bottom-up tagging'!$E:$E,'Analysis of bottom-up tags'!C$6)</f>
        <v>0</v>
      </c>
      <c r="D186" s="22">
        <f>SUMIFS('Bottom-up tagging'!$BM:$BM,'Bottom-up tagging'!$AS:$AS,'Analysis of bottom-up tags'!$B186,'Bottom-up tagging'!$E:$E,'Analysis of bottom-up tags'!D$6)+SUMIFS('Bottom-up tagging'!$BN:$BN,'Bottom-up tagging'!$AT:$AT,'Analysis of bottom-up tags'!$B186,'Bottom-up tagging'!$E:$E,'Analysis of bottom-up tags'!D$6)+SUMIFS('Bottom-up tagging'!$BO:$BO,'Bottom-up tagging'!$AU:$AU,'Analysis of bottom-up tags'!$B186,'Bottom-up tagging'!$E:$E,'Analysis of bottom-up tags'!D$6)+SUMIFS('Bottom-up tagging'!$BP:$BP,'Bottom-up tagging'!$AV:$AV,'Analysis of bottom-up tags'!$B186,'Bottom-up tagging'!$E:$E,'Analysis of bottom-up tags'!D$6)</f>
        <v>0</v>
      </c>
      <c r="E186" s="22">
        <f>SUMIFS('Bottom-up tagging'!$BM:$BM,'Bottom-up tagging'!$AS:$AS,'Analysis of bottom-up tags'!$B186,'Bottom-up tagging'!$E:$E,'Analysis of bottom-up tags'!E$6)+SUMIFS('Bottom-up tagging'!$BN:$BN,'Bottom-up tagging'!$AT:$AT,'Analysis of bottom-up tags'!$B186,'Bottom-up tagging'!$E:$E,'Analysis of bottom-up tags'!E$6)+SUMIFS('Bottom-up tagging'!$BO:$BO,'Bottom-up tagging'!$AU:$AU,'Analysis of bottom-up tags'!$B186,'Bottom-up tagging'!$E:$E,'Analysis of bottom-up tags'!E$6)+SUMIFS('Bottom-up tagging'!$BP:$BP,'Bottom-up tagging'!$AV:$AV,'Analysis of bottom-up tags'!$B186,'Bottom-up tagging'!$E:$E,'Analysis of bottom-up tags'!E$6)</f>
        <v>0</v>
      </c>
      <c r="F186" s="22">
        <f>SUMIFS('Bottom-up tagging'!$BM:$BM,'Bottom-up tagging'!$AS:$AS,'Analysis of bottom-up tags'!$B186,'Bottom-up tagging'!$E:$E,'Analysis of bottom-up tags'!F$6)+SUMIFS('Bottom-up tagging'!$BN:$BN,'Bottom-up tagging'!$AT:$AT,'Analysis of bottom-up tags'!$B186,'Bottom-up tagging'!$E:$E,'Analysis of bottom-up tags'!F$6)+SUMIFS('Bottom-up tagging'!$BO:$BO,'Bottom-up tagging'!$AU:$AU,'Analysis of bottom-up tags'!$B186,'Bottom-up tagging'!$E:$E,'Analysis of bottom-up tags'!F$6)+SUMIFS('Bottom-up tagging'!$BP:$BP,'Bottom-up tagging'!$AV:$AV,'Analysis of bottom-up tags'!$B186,'Bottom-up tagging'!$E:$E,'Analysis of bottom-up tags'!F$6)</f>
        <v>0</v>
      </c>
      <c r="G186" s="22">
        <f>SUMIFS('Bottom-up tagging'!$BM:$BM,'Bottom-up tagging'!$AS:$AS,'Analysis of bottom-up tags'!$B186,'Bottom-up tagging'!$E:$E,'Analysis of bottom-up tags'!G$6)+SUMIFS('Bottom-up tagging'!$BN:$BN,'Bottom-up tagging'!$AT:$AT,'Analysis of bottom-up tags'!$B186,'Bottom-up tagging'!$E:$E,'Analysis of bottom-up tags'!G$6)+SUMIFS('Bottom-up tagging'!$BO:$BO,'Bottom-up tagging'!$AU:$AU,'Analysis of bottom-up tags'!$B186,'Bottom-up tagging'!$E:$E,'Analysis of bottom-up tags'!G$6)+SUMIFS('Bottom-up tagging'!$BP:$BP,'Bottom-up tagging'!$AV:$AV,'Analysis of bottom-up tags'!$B186,'Bottom-up tagging'!$E:$E,'Analysis of bottom-up tags'!G$6)</f>
        <v>0</v>
      </c>
      <c r="H186" s="22">
        <f>SUMIFS('Bottom-up tagging'!$BM:$BM,'Bottom-up tagging'!$AS:$AS,'Analysis of bottom-up tags'!$B186,'Bottom-up tagging'!$E:$E,'Analysis of bottom-up tags'!H$6)+SUMIFS('Bottom-up tagging'!$BN:$BN,'Bottom-up tagging'!$AT:$AT,'Analysis of bottom-up tags'!$B186,'Bottom-up tagging'!$E:$E,'Analysis of bottom-up tags'!H$6)+SUMIFS('Bottom-up tagging'!$BO:$BO,'Bottom-up tagging'!$AU:$AU,'Analysis of bottom-up tags'!$B186,'Bottom-up tagging'!$E:$E,'Analysis of bottom-up tags'!H$6)+SUMIFS('Bottom-up tagging'!$BP:$BP,'Bottom-up tagging'!$AV:$AV,'Analysis of bottom-up tags'!$B186,'Bottom-up tagging'!$E:$E,'Analysis of bottom-up tags'!H$6)</f>
        <v>0</v>
      </c>
      <c r="I186" s="22">
        <f>SUMIFS('Bottom-up tagging'!$BM:$BM,'Bottom-up tagging'!$AS:$AS,'Analysis of bottom-up tags'!$B186,'Bottom-up tagging'!$E:$E,'Analysis of bottom-up tags'!I$6)+SUMIFS('Bottom-up tagging'!$BN:$BN,'Bottom-up tagging'!$AT:$AT,'Analysis of bottom-up tags'!$B186,'Bottom-up tagging'!$E:$E,'Analysis of bottom-up tags'!I$6)+SUMIFS('Bottom-up tagging'!$BO:$BO,'Bottom-up tagging'!$AU:$AU,'Analysis of bottom-up tags'!$B186,'Bottom-up tagging'!$E:$E,'Analysis of bottom-up tags'!I$6)+SUMIFS('Bottom-up tagging'!$BP:$BP,'Bottom-up tagging'!$AV:$AV,'Analysis of bottom-up tags'!$B186,'Bottom-up tagging'!$E:$E,'Analysis of bottom-up tags'!I$6)</f>
        <v>0</v>
      </c>
      <c r="J186" s="22">
        <f>SUMIFS('Bottom-up tagging'!$BM:$BM,'Bottom-up tagging'!$AS:$AS,'Analysis of bottom-up tags'!$B186,'Bottom-up tagging'!$E:$E,'Analysis of bottom-up tags'!J$6)+SUMIFS('Bottom-up tagging'!$BN:$BN,'Bottom-up tagging'!$AT:$AT,'Analysis of bottom-up tags'!$B186,'Bottom-up tagging'!$E:$E,'Analysis of bottom-up tags'!J$6)+SUMIFS('Bottom-up tagging'!$BO:$BO,'Bottom-up tagging'!$AU:$AU,'Analysis of bottom-up tags'!$B186,'Bottom-up tagging'!$E:$E,'Analysis of bottom-up tags'!J$6)+SUMIFS('Bottom-up tagging'!$BP:$BP,'Bottom-up tagging'!$AV:$AV,'Analysis of bottom-up tags'!$B186,'Bottom-up tagging'!$E:$E,'Analysis of bottom-up tags'!J$6)</f>
        <v>0</v>
      </c>
      <c r="K186" s="22">
        <f>SUMIFS('Bottom-up tagging'!$BM:$BM,'Bottom-up tagging'!$AS:$AS,'Analysis of bottom-up tags'!$B186,'Bottom-up tagging'!$E:$E,'Analysis of bottom-up tags'!K$6)+SUMIFS('Bottom-up tagging'!$BN:$BN,'Bottom-up tagging'!$AT:$AT,'Analysis of bottom-up tags'!$B186,'Bottom-up tagging'!$E:$E,'Analysis of bottom-up tags'!K$6)+SUMIFS('Bottom-up tagging'!$BO:$BO,'Bottom-up tagging'!$AU:$AU,'Analysis of bottom-up tags'!$B186,'Bottom-up tagging'!$E:$E,'Analysis of bottom-up tags'!K$6)+SUMIFS('Bottom-up tagging'!$BP:$BP,'Bottom-up tagging'!$AV:$AV,'Analysis of bottom-up tags'!$B186,'Bottom-up tagging'!$E:$E,'Analysis of bottom-up tags'!K$6)</f>
        <v>0</v>
      </c>
      <c r="L186" s="22">
        <f>SUMIFS('Bottom-up tagging'!$BM:$BM,'Bottom-up tagging'!$AS:$AS,'Analysis of bottom-up tags'!$B186,'Bottom-up tagging'!$E:$E,'Analysis of bottom-up tags'!L$6)+SUMIFS('Bottom-up tagging'!$BN:$BN,'Bottom-up tagging'!$AT:$AT,'Analysis of bottom-up tags'!$B186,'Bottom-up tagging'!$E:$E,'Analysis of bottom-up tags'!L$6)+SUMIFS('Bottom-up tagging'!$BO:$BO,'Bottom-up tagging'!$AU:$AU,'Analysis of bottom-up tags'!$B186,'Bottom-up tagging'!$E:$E,'Analysis of bottom-up tags'!L$6)+SUMIFS('Bottom-up tagging'!$BP:$BP,'Bottom-up tagging'!$AV:$AV,'Analysis of bottom-up tags'!$B186,'Bottom-up tagging'!$E:$E,'Analysis of bottom-up tags'!L$6)</f>
        <v>0</v>
      </c>
      <c r="M186" s="22"/>
      <c r="N186" s="101">
        <f>C$186/C$7</f>
        <v>0</v>
      </c>
      <c r="O186" s="101">
        <f t="shared" ref="O186:V186" si="178">D$186/D$7</f>
        <v>0</v>
      </c>
      <c r="P186" s="101">
        <f t="shared" si="178"/>
        <v>0</v>
      </c>
      <c r="Q186" s="101">
        <f t="shared" si="178"/>
        <v>0</v>
      </c>
      <c r="R186" s="101">
        <f t="shared" si="178"/>
        <v>0</v>
      </c>
      <c r="S186" s="101">
        <f t="shared" si="178"/>
        <v>0</v>
      </c>
      <c r="T186" s="101">
        <f t="shared" si="178"/>
        <v>0</v>
      </c>
      <c r="U186" s="101">
        <f t="shared" si="178"/>
        <v>0</v>
      </c>
      <c r="V186" s="101">
        <f t="shared" si="178"/>
        <v>0</v>
      </c>
      <c r="W186" s="101">
        <f t="shared" ref="W186" si="179">L$166/L$7</f>
        <v>0</v>
      </c>
    </row>
    <row r="187" spans="2:23">
      <c r="B187" s="64" t="s">
        <v>10558</v>
      </c>
      <c r="C187" s="22">
        <f>SUMIFS('Bottom-up tagging'!$BM:$BM,'Bottom-up tagging'!$AS:$AS,'Analysis of bottom-up tags'!$B187,'Bottom-up tagging'!$E:$E,'Analysis of bottom-up tags'!C$6)+SUMIFS('Bottom-up tagging'!$BN:$BN,'Bottom-up tagging'!$AT:$AT,'Analysis of bottom-up tags'!$B187,'Bottom-up tagging'!$E:$E,'Analysis of bottom-up tags'!C$6)+SUMIFS('Bottom-up tagging'!$BO:$BO,'Bottom-up tagging'!$AU:$AU,'Analysis of bottom-up tags'!$B187,'Bottom-up tagging'!$E:$E,'Analysis of bottom-up tags'!C$6)+SUMIFS('Bottom-up tagging'!$BP:$BP,'Bottom-up tagging'!$AV:$AV,'Analysis of bottom-up tags'!$B187,'Bottom-up tagging'!$E:$E,'Analysis of bottom-up tags'!C$6)</f>
        <v>0</v>
      </c>
      <c r="D187" s="22">
        <f>SUMIFS('Bottom-up tagging'!$BM:$BM,'Bottom-up tagging'!$AS:$AS,'Analysis of bottom-up tags'!$B187,'Bottom-up tagging'!$E:$E,'Analysis of bottom-up tags'!D$6)+SUMIFS('Bottom-up tagging'!$BN:$BN,'Bottom-up tagging'!$AT:$AT,'Analysis of bottom-up tags'!$B187,'Bottom-up tagging'!$E:$E,'Analysis of bottom-up tags'!D$6)+SUMIFS('Bottom-up tagging'!$BO:$BO,'Bottom-up tagging'!$AU:$AU,'Analysis of bottom-up tags'!$B187,'Bottom-up tagging'!$E:$E,'Analysis of bottom-up tags'!D$6)+SUMIFS('Bottom-up tagging'!$BP:$BP,'Bottom-up tagging'!$AV:$AV,'Analysis of bottom-up tags'!$B187,'Bottom-up tagging'!$E:$E,'Analysis of bottom-up tags'!D$6)</f>
        <v>0</v>
      </c>
      <c r="E187" s="22">
        <f>SUMIFS('Bottom-up tagging'!$BM:$BM,'Bottom-up tagging'!$AS:$AS,'Analysis of bottom-up tags'!$B187,'Bottom-up tagging'!$E:$E,'Analysis of bottom-up tags'!E$6)+SUMIFS('Bottom-up tagging'!$BN:$BN,'Bottom-up tagging'!$AT:$AT,'Analysis of bottom-up tags'!$B187,'Bottom-up tagging'!$E:$E,'Analysis of bottom-up tags'!E$6)+SUMIFS('Bottom-up tagging'!$BO:$BO,'Bottom-up tagging'!$AU:$AU,'Analysis of bottom-up tags'!$B187,'Bottom-up tagging'!$E:$E,'Analysis of bottom-up tags'!E$6)+SUMIFS('Bottom-up tagging'!$BP:$BP,'Bottom-up tagging'!$AV:$AV,'Analysis of bottom-up tags'!$B187,'Bottom-up tagging'!$E:$E,'Analysis of bottom-up tags'!E$6)</f>
        <v>0</v>
      </c>
      <c r="F187" s="22">
        <f>SUMIFS('Bottom-up tagging'!$BM:$BM,'Bottom-up tagging'!$AS:$AS,'Analysis of bottom-up tags'!$B187,'Bottom-up tagging'!$E:$E,'Analysis of bottom-up tags'!F$6)+SUMIFS('Bottom-up tagging'!$BN:$BN,'Bottom-up tagging'!$AT:$AT,'Analysis of bottom-up tags'!$B187,'Bottom-up tagging'!$E:$E,'Analysis of bottom-up tags'!F$6)+SUMIFS('Bottom-up tagging'!$BO:$BO,'Bottom-up tagging'!$AU:$AU,'Analysis of bottom-up tags'!$B187,'Bottom-up tagging'!$E:$E,'Analysis of bottom-up tags'!F$6)+SUMIFS('Bottom-up tagging'!$BP:$BP,'Bottom-up tagging'!$AV:$AV,'Analysis of bottom-up tags'!$B187,'Bottom-up tagging'!$E:$E,'Analysis of bottom-up tags'!F$6)</f>
        <v>0</v>
      </c>
      <c r="G187" s="22">
        <f>SUMIFS('Bottom-up tagging'!$BM:$BM,'Bottom-up tagging'!$AS:$AS,'Analysis of bottom-up tags'!$B187,'Bottom-up tagging'!$E:$E,'Analysis of bottom-up tags'!G$6)+SUMIFS('Bottom-up tagging'!$BN:$BN,'Bottom-up tagging'!$AT:$AT,'Analysis of bottom-up tags'!$B187,'Bottom-up tagging'!$E:$E,'Analysis of bottom-up tags'!G$6)+SUMIFS('Bottom-up tagging'!$BO:$BO,'Bottom-up tagging'!$AU:$AU,'Analysis of bottom-up tags'!$B187,'Bottom-up tagging'!$E:$E,'Analysis of bottom-up tags'!G$6)+SUMIFS('Bottom-up tagging'!$BP:$BP,'Bottom-up tagging'!$AV:$AV,'Analysis of bottom-up tags'!$B187,'Bottom-up tagging'!$E:$E,'Analysis of bottom-up tags'!G$6)</f>
        <v>0</v>
      </c>
      <c r="H187" s="22">
        <f>SUMIFS('Bottom-up tagging'!$BM:$BM,'Bottom-up tagging'!$AS:$AS,'Analysis of bottom-up tags'!$B187,'Bottom-up tagging'!$E:$E,'Analysis of bottom-up tags'!H$6)+SUMIFS('Bottom-up tagging'!$BN:$BN,'Bottom-up tagging'!$AT:$AT,'Analysis of bottom-up tags'!$B187,'Bottom-up tagging'!$E:$E,'Analysis of bottom-up tags'!H$6)+SUMIFS('Bottom-up tagging'!$BO:$BO,'Bottom-up tagging'!$AU:$AU,'Analysis of bottom-up tags'!$B187,'Bottom-up tagging'!$E:$E,'Analysis of bottom-up tags'!H$6)+SUMIFS('Bottom-up tagging'!$BP:$BP,'Bottom-up tagging'!$AV:$AV,'Analysis of bottom-up tags'!$B187,'Bottom-up tagging'!$E:$E,'Analysis of bottom-up tags'!H$6)</f>
        <v>0</v>
      </c>
      <c r="I187" s="22">
        <f>SUMIFS('Bottom-up tagging'!$BM:$BM,'Bottom-up tagging'!$AS:$AS,'Analysis of bottom-up tags'!$B187,'Bottom-up tagging'!$E:$E,'Analysis of bottom-up tags'!I$6)+SUMIFS('Bottom-up tagging'!$BN:$BN,'Bottom-up tagging'!$AT:$AT,'Analysis of bottom-up tags'!$B187,'Bottom-up tagging'!$E:$E,'Analysis of bottom-up tags'!I$6)+SUMIFS('Bottom-up tagging'!$BO:$BO,'Bottom-up tagging'!$AU:$AU,'Analysis of bottom-up tags'!$B187,'Bottom-up tagging'!$E:$E,'Analysis of bottom-up tags'!I$6)+SUMIFS('Bottom-up tagging'!$BP:$BP,'Bottom-up tagging'!$AV:$AV,'Analysis of bottom-up tags'!$B187,'Bottom-up tagging'!$E:$E,'Analysis of bottom-up tags'!I$6)</f>
        <v>0</v>
      </c>
      <c r="J187" s="22">
        <f>SUMIFS('Bottom-up tagging'!$BM:$BM,'Bottom-up tagging'!$AS:$AS,'Analysis of bottom-up tags'!$B187,'Bottom-up tagging'!$E:$E,'Analysis of bottom-up tags'!J$6)+SUMIFS('Bottom-up tagging'!$BN:$BN,'Bottom-up tagging'!$AT:$AT,'Analysis of bottom-up tags'!$B187,'Bottom-up tagging'!$E:$E,'Analysis of bottom-up tags'!J$6)+SUMIFS('Bottom-up tagging'!$BO:$BO,'Bottom-up tagging'!$AU:$AU,'Analysis of bottom-up tags'!$B187,'Bottom-up tagging'!$E:$E,'Analysis of bottom-up tags'!J$6)+SUMIFS('Bottom-up tagging'!$BP:$BP,'Bottom-up tagging'!$AV:$AV,'Analysis of bottom-up tags'!$B187,'Bottom-up tagging'!$E:$E,'Analysis of bottom-up tags'!J$6)</f>
        <v>0</v>
      </c>
      <c r="K187" s="22">
        <f>SUMIFS('Bottom-up tagging'!$BM:$BM,'Bottom-up tagging'!$AS:$AS,'Analysis of bottom-up tags'!$B187,'Bottom-up tagging'!$E:$E,'Analysis of bottom-up tags'!K$6)+SUMIFS('Bottom-up tagging'!$BN:$BN,'Bottom-up tagging'!$AT:$AT,'Analysis of bottom-up tags'!$B187,'Bottom-up tagging'!$E:$E,'Analysis of bottom-up tags'!K$6)+SUMIFS('Bottom-up tagging'!$BO:$BO,'Bottom-up tagging'!$AU:$AU,'Analysis of bottom-up tags'!$B187,'Bottom-up tagging'!$E:$E,'Analysis of bottom-up tags'!K$6)+SUMIFS('Bottom-up tagging'!$BP:$BP,'Bottom-up tagging'!$AV:$AV,'Analysis of bottom-up tags'!$B187,'Bottom-up tagging'!$E:$E,'Analysis of bottom-up tags'!K$6)</f>
        <v>0</v>
      </c>
      <c r="L187" s="22">
        <f>SUMIFS('Bottom-up tagging'!$BM:$BM,'Bottom-up tagging'!$AS:$AS,'Analysis of bottom-up tags'!$B187,'Bottom-up tagging'!$E:$E,'Analysis of bottom-up tags'!L$6)+SUMIFS('Bottom-up tagging'!$BN:$BN,'Bottom-up tagging'!$AT:$AT,'Analysis of bottom-up tags'!$B187,'Bottom-up tagging'!$E:$E,'Analysis of bottom-up tags'!L$6)+SUMIFS('Bottom-up tagging'!$BO:$BO,'Bottom-up tagging'!$AU:$AU,'Analysis of bottom-up tags'!$B187,'Bottom-up tagging'!$E:$E,'Analysis of bottom-up tags'!L$6)+SUMIFS('Bottom-up tagging'!$BP:$BP,'Bottom-up tagging'!$AV:$AV,'Analysis of bottom-up tags'!$B187,'Bottom-up tagging'!$E:$E,'Analysis of bottom-up tags'!L$6)</f>
        <v>0</v>
      </c>
      <c r="M187" s="22"/>
      <c r="N187" s="101">
        <f>C$187/C$7</f>
        <v>0</v>
      </c>
      <c r="O187" s="101">
        <f t="shared" ref="O187:V187" si="180">D$187/D$7</f>
        <v>0</v>
      </c>
      <c r="P187" s="101">
        <f t="shared" si="180"/>
        <v>0</v>
      </c>
      <c r="Q187" s="101">
        <f t="shared" si="180"/>
        <v>0</v>
      </c>
      <c r="R187" s="101">
        <f t="shared" si="180"/>
        <v>0</v>
      </c>
      <c r="S187" s="101">
        <f t="shared" si="180"/>
        <v>0</v>
      </c>
      <c r="T187" s="101">
        <f t="shared" si="180"/>
        <v>0</v>
      </c>
      <c r="U187" s="101">
        <f t="shared" si="180"/>
        <v>0</v>
      </c>
      <c r="V187" s="101">
        <f t="shared" si="180"/>
        <v>0</v>
      </c>
      <c r="W187" s="101">
        <f t="shared" ref="W187" si="181">L$167/L$7</f>
        <v>0</v>
      </c>
    </row>
    <row r="188" spans="2:23">
      <c r="B188" s="64" t="s">
        <v>11111</v>
      </c>
      <c r="C188" s="22">
        <f>SUMIFS('Bottom-up tagging'!$BM:$BM,'Bottom-up tagging'!$AS:$AS,'Analysis of bottom-up tags'!$B188,'Bottom-up tagging'!$E:$E,'Analysis of bottom-up tags'!C$6)+SUMIFS('Bottom-up tagging'!$BN:$BN,'Bottom-up tagging'!$AT:$AT,'Analysis of bottom-up tags'!$B188,'Bottom-up tagging'!$E:$E,'Analysis of bottom-up tags'!C$6)+SUMIFS('Bottom-up tagging'!$BO:$BO,'Bottom-up tagging'!$AU:$AU,'Analysis of bottom-up tags'!$B188,'Bottom-up tagging'!$E:$E,'Analysis of bottom-up tags'!C$6)+SUMIFS('Bottom-up tagging'!$BP:$BP,'Bottom-up tagging'!$AV:$AV,'Analysis of bottom-up tags'!$B188,'Bottom-up tagging'!$E:$E,'Analysis of bottom-up tags'!C$6)</f>
        <v>0</v>
      </c>
      <c r="D188" s="22">
        <f>SUMIFS('Bottom-up tagging'!$BM:$BM,'Bottom-up tagging'!$AS:$AS,'Analysis of bottom-up tags'!$B188,'Bottom-up tagging'!$E:$E,'Analysis of bottom-up tags'!D$6)+SUMIFS('Bottom-up tagging'!$BN:$BN,'Bottom-up tagging'!$AT:$AT,'Analysis of bottom-up tags'!$B188,'Bottom-up tagging'!$E:$E,'Analysis of bottom-up tags'!D$6)+SUMIFS('Bottom-up tagging'!$BO:$BO,'Bottom-up tagging'!$AU:$AU,'Analysis of bottom-up tags'!$B188,'Bottom-up tagging'!$E:$E,'Analysis of bottom-up tags'!D$6)+SUMIFS('Bottom-up tagging'!$BP:$BP,'Bottom-up tagging'!$AV:$AV,'Analysis of bottom-up tags'!$B188,'Bottom-up tagging'!$E:$E,'Analysis of bottom-up tags'!D$6)</f>
        <v>0</v>
      </c>
      <c r="E188" s="22">
        <f>SUMIFS('Bottom-up tagging'!$BM:$BM,'Bottom-up tagging'!$AS:$AS,'Analysis of bottom-up tags'!$B188,'Bottom-up tagging'!$E:$E,'Analysis of bottom-up tags'!E$6)+SUMIFS('Bottom-up tagging'!$BN:$BN,'Bottom-up tagging'!$AT:$AT,'Analysis of bottom-up tags'!$B188,'Bottom-up tagging'!$E:$E,'Analysis of bottom-up tags'!E$6)+SUMIFS('Bottom-up tagging'!$BO:$BO,'Bottom-up tagging'!$AU:$AU,'Analysis of bottom-up tags'!$B188,'Bottom-up tagging'!$E:$E,'Analysis of bottom-up tags'!E$6)+SUMIFS('Bottom-up tagging'!$BP:$BP,'Bottom-up tagging'!$AV:$AV,'Analysis of bottom-up tags'!$B188,'Bottom-up tagging'!$E:$E,'Analysis of bottom-up tags'!E$6)</f>
        <v>0</v>
      </c>
      <c r="F188" s="22">
        <f>SUMIFS('Bottom-up tagging'!$BM:$BM,'Bottom-up tagging'!$AS:$AS,'Analysis of bottom-up tags'!$B188,'Bottom-up tagging'!$E:$E,'Analysis of bottom-up tags'!F$6)+SUMIFS('Bottom-up tagging'!$BN:$BN,'Bottom-up tagging'!$AT:$AT,'Analysis of bottom-up tags'!$B188,'Bottom-up tagging'!$E:$E,'Analysis of bottom-up tags'!F$6)+SUMIFS('Bottom-up tagging'!$BO:$BO,'Bottom-up tagging'!$AU:$AU,'Analysis of bottom-up tags'!$B188,'Bottom-up tagging'!$E:$E,'Analysis of bottom-up tags'!F$6)+SUMIFS('Bottom-up tagging'!$BP:$BP,'Bottom-up tagging'!$AV:$AV,'Analysis of bottom-up tags'!$B188,'Bottom-up tagging'!$E:$E,'Analysis of bottom-up tags'!F$6)</f>
        <v>0</v>
      </c>
      <c r="G188" s="22">
        <f>SUMIFS('Bottom-up tagging'!$BM:$BM,'Bottom-up tagging'!$AS:$AS,'Analysis of bottom-up tags'!$B188,'Bottom-up tagging'!$E:$E,'Analysis of bottom-up tags'!G$6)+SUMIFS('Bottom-up tagging'!$BN:$BN,'Bottom-up tagging'!$AT:$AT,'Analysis of bottom-up tags'!$B188,'Bottom-up tagging'!$E:$E,'Analysis of bottom-up tags'!G$6)+SUMIFS('Bottom-up tagging'!$BO:$BO,'Bottom-up tagging'!$AU:$AU,'Analysis of bottom-up tags'!$B188,'Bottom-up tagging'!$E:$E,'Analysis of bottom-up tags'!G$6)+SUMIFS('Bottom-up tagging'!$BP:$BP,'Bottom-up tagging'!$AV:$AV,'Analysis of bottom-up tags'!$B188,'Bottom-up tagging'!$E:$E,'Analysis of bottom-up tags'!G$6)</f>
        <v>0</v>
      </c>
      <c r="H188" s="22">
        <f>SUMIFS('Bottom-up tagging'!$BM:$BM,'Bottom-up tagging'!$AS:$AS,'Analysis of bottom-up tags'!$B188,'Bottom-up tagging'!$E:$E,'Analysis of bottom-up tags'!H$6)+SUMIFS('Bottom-up tagging'!$BN:$BN,'Bottom-up tagging'!$AT:$AT,'Analysis of bottom-up tags'!$B188,'Bottom-up tagging'!$E:$E,'Analysis of bottom-up tags'!H$6)+SUMIFS('Bottom-up tagging'!$BO:$BO,'Bottom-up tagging'!$AU:$AU,'Analysis of bottom-up tags'!$B188,'Bottom-up tagging'!$E:$E,'Analysis of bottom-up tags'!H$6)+SUMIFS('Bottom-up tagging'!$BP:$BP,'Bottom-up tagging'!$AV:$AV,'Analysis of bottom-up tags'!$B188,'Bottom-up tagging'!$E:$E,'Analysis of bottom-up tags'!H$6)</f>
        <v>0</v>
      </c>
      <c r="I188" s="22">
        <f>SUMIFS('Bottom-up tagging'!$BM:$BM,'Bottom-up tagging'!$AS:$AS,'Analysis of bottom-up tags'!$B188,'Bottom-up tagging'!$E:$E,'Analysis of bottom-up tags'!I$6)+SUMIFS('Bottom-up tagging'!$BN:$BN,'Bottom-up tagging'!$AT:$AT,'Analysis of bottom-up tags'!$B188,'Bottom-up tagging'!$E:$E,'Analysis of bottom-up tags'!I$6)+SUMIFS('Bottom-up tagging'!$BO:$BO,'Bottom-up tagging'!$AU:$AU,'Analysis of bottom-up tags'!$B188,'Bottom-up tagging'!$E:$E,'Analysis of bottom-up tags'!I$6)+SUMIFS('Bottom-up tagging'!$BP:$BP,'Bottom-up tagging'!$AV:$AV,'Analysis of bottom-up tags'!$B188,'Bottom-up tagging'!$E:$E,'Analysis of bottom-up tags'!I$6)</f>
        <v>0</v>
      </c>
      <c r="J188" s="22">
        <f>SUMIFS('Bottom-up tagging'!$BM:$BM,'Bottom-up tagging'!$AS:$AS,'Analysis of bottom-up tags'!$B188,'Bottom-up tagging'!$E:$E,'Analysis of bottom-up tags'!J$6)+SUMIFS('Bottom-up tagging'!$BN:$BN,'Bottom-up tagging'!$AT:$AT,'Analysis of bottom-up tags'!$B188,'Bottom-up tagging'!$E:$E,'Analysis of bottom-up tags'!J$6)+SUMIFS('Bottom-up tagging'!$BO:$BO,'Bottom-up tagging'!$AU:$AU,'Analysis of bottom-up tags'!$B188,'Bottom-up tagging'!$E:$E,'Analysis of bottom-up tags'!J$6)+SUMIFS('Bottom-up tagging'!$BP:$BP,'Bottom-up tagging'!$AV:$AV,'Analysis of bottom-up tags'!$B188,'Bottom-up tagging'!$E:$E,'Analysis of bottom-up tags'!J$6)</f>
        <v>0</v>
      </c>
      <c r="K188" s="22">
        <f>SUMIFS('Bottom-up tagging'!$BM:$BM,'Bottom-up tagging'!$AS:$AS,'Analysis of bottom-up tags'!$B188,'Bottom-up tagging'!$E:$E,'Analysis of bottom-up tags'!K$6)+SUMIFS('Bottom-up tagging'!$BN:$BN,'Bottom-up tagging'!$AT:$AT,'Analysis of bottom-up tags'!$B188,'Bottom-up tagging'!$E:$E,'Analysis of bottom-up tags'!K$6)+SUMIFS('Bottom-up tagging'!$BO:$BO,'Bottom-up tagging'!$AU:$AU,'Analysis of bottom-up tags'!$B188,'Bottom-up tagging'!$E:$E,'Analysis of bottom-up tags'!K$6)+SUMIFS('Bottom-up tagging'!$BP:$BP,'Bottom-up tagging'!$AV:$AV,'Analysis of bottom-up tags'!$B188,'Bottom-up tagging'!$E:$E,'Analysis of bottom-up tags'!K$6)</f>
        <v>0</v>
      </c>
      <c r="L188" s="22">
        <f>SUMIFS('Bottom-up tagging'!$BM:$BM,'Bottom-up tagging'!$AS:$AS,'Analysis of bottom-up tags'!$B188,'Bottom-up tagging'!$E:$E,'Analysis of bottom-up tags'!L$6)+SUMIFS('Bottom-up tagging'!$BN:$BN,'Bottom-up tagging'!$AT:$AT,'Analysis of bottom-up tags'!$B188,'Bottom-up tagging'!$E:$E,'Analysis of bottom-up tags'!L$6)+SUMIFS('Bottom-up tagging'!$BO:$BO,'Bottom-up tagging'!$AU:$AU,'Analysis of bottom-up tags'!$B188,'Bottom-up tagging'!$E:$E,'Analysis of bottom-up tags'!L$6)+SUMIFS('Bottom-up tagging'!$BP:$BP,'Bottom-up tagging'!$AV:$AV,'Analysis of bottom-up tags'!$B188,'Bottom-up tagging'!$E:$E,'Analysis of bottom-up tags'!L$6)</f>
        <v>0</v>
      </c>
      <c r="M188" s="22"/>
      <c r="N188" s="101">
        <f>C$188/C$7</f>
        <v>0</v>
      </c>
      <c r="O188" s="101">
        <f t="shared" ref="O188:V188" si="182">D$188/D$7</f>
        <v>0</v>
      </c>
      <c r="P188" s="101">
        <f t="shared" si="182"/>
        <v>0</v>
      </c>
      <c r="Q188" s="101">
        <f t="shared" si="182"/>
        <v>0</v>
      </c>
      <c r="R188" s="101">
        <f t="shared" si="182"/>
        <v>0</v>
      </c>
      <c r="S188" s="101">
        <f t="shared" si="182"/>
        <v>0</v>
      </c>
      <c r="T188" s="101">
        <f t="shared" si="182"/>
        <v>0</v>
      </c>
      <c r="U188" s="101">
        <f t="shared" si="182"/>
        <v>0</v>
      </c>
      <c r="V188" s="101">
        <f t="shared" si="182"/>
        <v>0</v>
      </c>
      <c r="W188" s="101">
        <f t="shared" ref="W188" si="183">L$168/L$7</f>
        <v>0</v>
      </c>
    </row>
    <row r="189" spans="2:23">
      <c r="B189" s="191" t="s">
        <v>11042</v>
      </c>
      <c r="C189" s="192">
        <f>SUM(C183:C188)</f>
        <v>0</v>
      </c>
      <c r="D189" s="192">
        <f t="shared" ref="D189" si="184">SUM(D183:D188)</f>
        <v>0</v>
      </c>
      <c r="E189" s="192">
        <f t="shared" ref="E189" si="185">SUM(E183:E188)</f>
        <v>0</v>
      </c>
      <c r="F189" s="192">
        <f t="shared" ref="F189" si="186">SUM(F183:F188)</f>
        <v>0</v>
      </c>
      <c r="G189" s="192">
        <f t="shared" ref="G189" si="187">SUM(G183:G188)</f>
        <v>0</v>
      </c>
      <c r="H189" s="192">
        <f t="shared" ref="H189" si="188">SUM(H183:H188)</f>
        <v>0</v>
      </c>
      <c r="I189" s="192">
        <f t="shared" ref="I189" si="189">SUM(I183:I188)</f>
        <v>1251123.3991541469</v>
      </c>
      <c r="J189" s="192">
        <f t="shared" ref="J189" si="190">SUM(J183:J188)</f>
        <v>10175397.084851801</v>
      </c>
      <c r="K189" s="192">
        <f t="shared" ref="K189" si="191">SUM(K183:K188)</f>
        <v>1332941.3764825384</v>
      </c>
      <c r="L189" s="192">
        <f t="shared" ref="L189" si="192">SUM(L183:L188)</f>
        <v>2635571.0569686214</v>
      </c>
      <c r="M189" s="192"/>
      <c r="N189" s="193">
        <f>C$189/C$7</f>
        <v>0</v>
      </c>
      <c r="O189" s="193">
        <f t="shared" ref="O189:V189" si="193">D$189/D$7</f>
        <v>0</v>
      </c>
      <c r="P189" s="193">
        <f t="shared" si="193"/>
        <v>0</v>
      </c>
      <c r="Q189" s="193">
        <f t="shared" si="193"/>
        <v>0</v>
      </c>
      <c r="R189" s="193">
        <f t="shared" si="193"/>
        <v>0</v>
      </c>
      <c r="S189" s="193">
        <f t="shared" si="193"/>
        <v>0</v>
      </c>
      <c r="T189" s="193">
        <f t="shared" si="193"/>
        <v>3.4174823494183778E-3</v>
      </c>
      <c r="U189" s="193">
        <f t="shared" si="193"/>
        <v>4.8810166893375979E-2</v>
      </c>
      <c r="V189" s="193">
        <f t="shared" si="193"/>
        <v>1.2213706785244238E-3</v>
      </c>
      <c r="W189" s="193">
        <f t="shared" ref="W189" si="194">L$169/L$7</f>
        <v>9.7410636121205343E-3</v>
      </c>
    </row>
    <row r="192" spans="2:23">
      <c r="B192" s="170" t="s">
        <v>11136</v>
      </c>
      <c r="C192" s="140"/>
      <c r="D192" s="140"/>
      <c r="E192" s="140"/>
      <c r="F192" s="140"/>
      <c r="G192" s="140"/>
      <c r="H192" s="140"/>
      <c r="I192" s="140"/>
      <c r="J192" s="140"/>
      <c r="K192" s="140"/>
      <c r="L192" s="140"/>
      <c r="M192" s="140"/>
      <c r="N192" s="171"/>
      <c r="O192" s="171"/>
      <c r="P192" s="171"/>
      <c r="Q192" s="171"/>
      <c r="R192" s="171"/>
      <c r="S192" s="171"/>
      <c r="T192" s="171"/>
      <c r="U192" s="171"/>
      <c r="V192" s="171"/>
      <c r="W192" s="171"/>
    </row>
    <row r="193" spans="2:24">
      <c r="B193" s="64" t="s">
        <v>10973</v>
      </c>
      <c r="C193" s="22">
        <f>SUMIFS('Bottom-up tagging'!$AP:$AP,'Bottom-up tagging'!$V:$V,'Analysis of bottom-up tags'!$B193,'Bottom-up tagging'!$E:$E,'Analysis of bottom-up tags'!C$6)</f>
        <v>0</v>
      </c>
      <c r="D193" s="22">
        <f>SUMIFS('Bottom-up tagging'!$AP:$AP,'Bottom-up tagging'!$V:$V,'Analysis of bottom-up tags'!$B193,'Bottom-up tagging'!$E:$E,'Analysis of bottom-up tags'!D$6)</f>
        <v>0</v>
      </c>
      <c r="E193" s="22">
        <f>SUMIFS('Bottom-up tagging'!$AP:$AP,'Bottom-up tagging'!$V:$V,'Analysis of bottom-up tags'!$B193,'Bottom-up tagging'!$E:$E,'Analysis of bottom-up tags'!E$6)</f>
        <v>0</v>
      </c>
      <c r="F193" s="22">
        <f>SUMIFS('Bottom-up tagging'!$AP:$AP,'Bottom-up tagging'!$V:$V,'Analysis of bottom-up tags'!$B193,'Bottom-up tagging'!$E:$E,'Analysis of bottom-up tags'!F$6)</f>
        <v>0</v>
      </c>
      <c r="G193" s="22">
        <f>SUMIFS('Bottom-up tagging'!$AP:$AP,'Bottom-up tagging'!$V:$V,'Analysis of bottom-up tags'!$B193,'Bottom-up tagging'!$E:$E,'Analysis of bottom-up tags'!G$6)</f>
        <v>0</v>
      </c>
      <c r="H193" s="22">
        <f>SUMIFS('Bottom-up tagging'!$AP:$AP,'Bottom-up tagging'!$V:$V,'Analysis of bottom-up tags'!$B193,'Bottom-up tagging'!$E:$E,'Analysis of bottom-up tags'!H$6)</f>
        <v>0</v>
      </c>
      <c r="I193" s="22">
        <f>SUMIFS('Bottom-up tagging'!$AP:$AP,'Bottom-up tagging'!$V:$V,'Analysis of bottom-up tags'!$B193,'Bottom-up tagging'!$E:$E,'Analysis of bottom-up tags'!I$6)</f>
        <v>0</v>
      </c>
      <c r="J193" s="22">
        <f>SUMIFS('Bottom-up tagging'!$AP:$AP,'Bottom-up tagging'!$V:$V,'Analysis of bottom-up tags'!$B193,'Bottom-up tagging'!$E:$E,'Analysis of bottom-up tags'!J$6)</f>
        <v>0</v>
      </c>
      <c r="K193" s="22">
        <f>SUMIFS('Bottom-up tagging'!$AP:$AP,'Bottom-up tagging'!$V:$V,'Analysis of bottom-up tags'!$B193,'Bottom-up tagging'!$E:$E,'Analysis of bottom-up tags'!K$6)</f>
        <v>0</v>
      </c>
      <c r="L193" s="22">
        <f>SUMIFS('Bottom-up tagging'!$AP:$AP,'Bottom-up tagging'!$V:$V,'Analysis of bottom-up tags'!$B193,'Bottom-up tagging'!$E:$E,'Analysis of bottom-up tags'!L$6)</f>
        <v>0</v>
      </c>
      <c r="M193" s="22"/>
      <c r="N193" s="101">
        <f>C193/C$7</f>
        <v>0</v>
      </c>
      <c r="O193" s="101">
        <f t="shared" ref="O193:W193" si="195">D193/D$7</f>
        <v>0</v>
      </c>
      <c r="P193" s="101">
        <f t="shared" si="195"/>
        <v>0</v>
      </c>
      <c r="Q193" s="101">
        <f t="shared" si="195"/>
        <v>0</v>
      </c>
      <c r="R193" s="101">
        <f t="shared" si="195"/>
        <v>0</v>
      </c>
      <c r="S193" s="101">
        <f t="shared" si="195"/>
        <v>0</v>
      </c>
      <c r="T193" s="101">
        <f t="shared" si="195"/>
        <v>0</v>
      </c>
      <c r="U193" s="101">
        <f t="shared" si="195"/>
        <v>0</v>
      </c>
      <c r="V193" s="101">
        <f t="shared" si="195"/>
        <v>0</v>
      </c>
      <c r="W193" s="101">
        <f t="shared" si="195"/>
        <v>0</v>
      </c>
      <c r="X193" s="101"/>
    </row>
    <row r="194" spans="2:24">
      <c r="B194" s="64" t="s">
        <v>10977</v>
      </c>
      <c r="C194" s="22">
        <f>SUMIFS('Bottom-up tagging'!$AP:$AP,'Bottom-up tagging'!$V:$V,'Analysis of bottom-up tags'!$B194,'Bottom-up tagging'!$E:$E,'Analysis of bottom-up tags'!C$6)</f>
        <v>0</v>
      </c>
      <c r="D194" s="22">
        <f>SUMIFS('Bottom-up tagging'!$AP:$AP,'Bottom-up tagging'!$V:$V,'Analysis of bottom-up tags'!$B194,'Bottom-up tagging'!$E:$E,'Analysis of bottom-up tags'!D$6)</f>
        <v>0</v>
      </c>
      <c r="E194" s="22">
        <f>SUMIFS('Bottom-up tagging'!$AP:$AP,'Bottom-up tagging'!$V:$V,'Analysis of bottom-up tags'!$B194,'Bottom-up tagging'!$E:$E,'Analysis of bottom-up tags'!E$6)</f>
        <v>0</v>
      </c>
      <c r="F194" s="22">
        <f>SUMIFS('Bottom-up tagging'!$AP:$AP,'Bottom-up tagging'!$V:$V,'Analysis of bottom-up tags'!$B194,'Bottom-up tagging'!$E:$E,'Analysis of bottom-up tags'!F$6)</f>
        <v>0</v>
      </c>
      <c r="G194" s="22">
        <f>SUMIFS('Bottom-up tagging'!$AP:$AP,'Bottom-up tagging'!$V:$V,'Analysis of bottom-up tags'!$B194,'Bottom-up tagging'!$E:$E,'Analysis of bottom-up tags'!G$6)</f>
        <v>0</v>
      </c>
      <c r="H194" s="22">
        <f>SUMIFS('Bottom-up tagging'!$AP:$AP,'Bottom-up tagging'!$V:$V,'Analysis of bottom-up tags'!$B194,'Bottom-up tagging'!$E:$E,'Analysis of bottom-up tags'!H$6)</f>
        <v>0</v>
      </c>
      <c r="I194" s="22">
        <f>SUMIFS('Bottom-up tagging'!$AP:$AP,'Bottom-up tagging'!$V:$V,'Analysis of bottom-up tags'!$B194,'Bottom-up tagging'!$E:$E,'Analysis of bottom-up tags'!I$6)</f>
        <v>0</v>
      </c>
      <c r="J194" s="22">
        <f>SUMIFS('Bottom-up tagging'!$AP:$AP,'Bottom-up tagging'!$V:$V,'Analysis of bottom-up tags'!$B194,'Bottom-up tagging'!$E:$E,'Analysis of bottom-up tags'!J$6)</f>
        <v>0</v>
      </c>
      <c r="K194" s="22">
        <f>SUMIFS('Bottom-up tagging'!$AP:$AP,'Bottom-up tagging'!$V:$V,'Analysis of bottom-up tags'!$B194,'Bottom-up tagging'!$E:$E,'Analysis of bottom-up tags'!K$6)</f>
        <v>0</v>
      </c>
      <c r="L194" s="22">
        <f>SUMIFS('Bottom-up tagging'!$AP:$AP,'Bottom-up tagging'!$V:$V,'Analysis of bottom-up tags'!$B194,'Bottom-up tagging'!$E:$E,'Analysis of bottom-up tags'!L$6)</f>
        <v>0</v>
      </c>
      <c r="M194" s="22"/>
      <c r="N194" s="101">
        <f t="shared" ref="N194:N196" si="196">C194/C$7</f>
        <v>0</v>
      </c>
      <c r="O194" s="101">
        <f t="shared" ref="O194:O196" si="197">D194/D$7</f>
        <v>0</v>
      </c>
      <c r="P194" s="101">
        <f t="shared" ref="P194:P196" si="198">E194/E$7</f>
        <v>0</v>
      </c>
      <c r="Q194" s="101">
        <f t="shared" ref="Q194:Q196" si="199">F194/F$7</f>
        <v>0</v>
      </c>
      <c r="R194" s="101">
        <f t="shared" ref="R194:R196" si="200">G194/G$7</f>
        <v>0</v>
      </c>
      <c r="S194" s="101">
        <f t="shared" ref="S194:S196" si="201">H194/H$7</f>
        <v>0</v>
      </c>
      <c r="T194" s="101">
        <f t="shared" ref="T194:T196" si="202">I194/I$7</f>
        <v>0</v>
      </c>
      <c r="U194" s="101">
        <f t="shared" ref="U194:U196" si="203">J194/J$7</f>
        <v>0</v>
      </c>
      <c r="V194" s="101">
        <f t="shared" ref="V194:V196" si="204">K194/K$7</f>
        <v>0</v>
      </c>
      <c r="W194" s="101">
        <f t="shared" ref="W194:W196" si="205">L194/L$7</f>
        <v>0</v>
      </c>
    </row>
    <row r="195" spans="2:24">
      <c r="B195" s="64" t="s">
        <v>10558</v>
      </c>
      <c r="C195" s="22">
        <f>SUMIFS('Bottom-up tagging'!$AP:$AP,'Bottom-up tagging'!$V:$V,'Analysis of bottom-up tags'!$B195,'Bottom-up tagging'!$E:$E,'Analysis of bottom-up tags'!C$6)</f>
        <v>0</v>
      </c>
      <c r="D195" s="22">
        <f>SUMIFS('Bottom-up tagging'!$AP:$AP,'Bottom-up tagging'!$V:$V,'Analysis of bottom-up tags'!$B195,'Bottom-up tagging'!$E:$E,'Analysis of bottom-up tags'!D$6)</f>
        <v>0</v>
      </c>
      <c r="E195" s="22">
        <f>SUMIFS('Bottom-up tagging'!$AP:$AP,'Bottom-up tagging'!$V:$V,'Analysis of bottom-up tags'!$B195,'Bottom-up tagging'!$E:$E,'Analysis of bottom-up tags'!E$6)</f>
        <v>0</v>
      </c>
      <c r="F195" s="22">
        <f>SUMIFS('Bottom-up tagging'!$AP:$AP,'Bottom-up tagging'!$V:$V,'Analysis of bottom-up tags'!$B195,'Bottom-up tagging'!$E:$E,'Analysis of bottom-up tags'!F$6)</f>
        <v>0</v>
      </c>
      <c r="G195" s="22">
        <f>SUMIFS('Bottom-up tagging'!$AP:$AP,'Bottom-up tagging'!$V:$V,'Analysis of bottom-up tags'!$B195,'Bottom-up tagging'!$E:$E,'Analysis of bottom-up tags'!G$6)</f>
        <v>0</v>
      </c>
      <c r="H195" s="22">
        <f>SUMIFS('Bottom-up tagging'!$AP:$AP,'Bottom-up tagging'!$V:$V,'Analysis of bottom-up tags'!$B195,'Bottom-up tagging'!$E:$E,'Analysis of bottom-up tags'!H$6)</f>
        <v>0</v>
      </c>
      <c r="I195" s="22">
        <f>SUMIFS('Bottom-up tagging'!$AP:$AP,'Bottom-up tagging'!$V:$V,'Analysis of bottom-up tags'!$B195,'Bottom-up tagging'!$E:$E,'Analysis of bottom-up tags'!I$6)</f>
        <v>0</v>
      </c>
      <c r="J195" s="22">
        <f>SUMIFS('Bottom-up tagging'!$AP:$AP,'Bottom-up tagging'!$V:$V,'Analysis of bottom-up tags'!$B195,'Bottom-up tagging'!$E:$E,'Analysis of bottom-up tags'!J$6)</f>
        <v>0</v>
      </c>
      <c r="K195" s="22">
        <f>SUMIFS('Bottom-up tagging'!$AP:$AP,'Bottom-up tagging'!$V:$V,'Analysis of bottom-up tags'!$B195,'Bottom-up tagging'!$E:$E,'Analysis of bottom-up tags'!K$6)</f>
        <v>0</v>
      </c>
      <c r="L195" s="22">
        <f>SUMIFS('Bottom-up tagging'!$AP:$AP,'Bottom-up tagging'!$V:$V,'Analysis of bottom-up tags'!$B195,'Bottom-up tagging'!$E:$E,'Analysis of bottom-up tags'!L$6)</f>
        <v>0</v>
      </c>
      <c r="M195" s="22"/>
      <c r="N195" s="101">
        <f t="shared" si="196"/>
        <v>0</v>
      </c>
      <c r="O195" s="101">
        <f t="shared" si="197"/>
        <v>0</v>
      </c>
      <c r="P195" s="101">
        <f t="shared" si="198"/>
        <v>0</v>
      </c>
      <c r="Q195" s="101">
        <f t="shared" si="199"/>
        <v>0</v>
      </c>
      <c r="R195" s="101">
        <f t="shared" si="200"/>
        <v>0</v>
      </c>
      <c r="S195" s="101">
        <f t="shared" si="201"/>
        <v>0</v>
      </c>
      <c r="T195" s="101">
        <f t="shared" si="202"/>
        <v>0</v>
      </c>
      <c r="U195" s="101">
        <f t="shared" si="203"/>
        <v>0</v>
      </c>
      <c r="V195" s="101">
        <f t="shared" si="204"/>
        <v>0</v>
      </c>
      <c r="W195" s="101">
        <f t="shared" si="205"/>
        <v>0</v>
      </c>
    </row>
    <row r="196" spans="2:24">
      <c r="B196" s="64" t="s">
        <v>10981</v>
      </c>
      <c r="C196" s="22">
        <f>SUMIFS('Bottom-up tagging'!$AP:$AP,'Bottom-up tagging'!$V:$V,'Analysis of bottom-up tags'!$B196,'Bottom-up tagging'!$E:$E,'Analysis of bottom-up tags'!C$6)</f>
        <v>0</v>
      </c>
      <c r="D196" s="22">
        <f>SUMIFS('Bottom-up tagging'!$AP:$AP,'Bottom-up tagging'!$V:$V,'Analysis of bottom-up tags'!$B196,'Bottom-up tagging'!$E:$E,'Analysis of bottom-up tags'!D$6)</f>
        <v>0</v>
      </c>
      <c r="E196" s="22">
        <f>SUMIFS('Bottom-up tagging'!$AP:$AP,'Bottom-up tagging'!$V:$V,'Analysis of bottom-up tags'!$B196,'Bottom-up tagging'!$E:$E,'Analysis of bottom-up tags'!E$6)</f>
        <v>0</v>
      </c>
      <c r="F196" s="22">
        <f>SUMIFS('Bottom-up tagging'!$AP:$AP,'Bottom-up tagging'!$V:$V,'Analysis of bottom-up tags'!$B196,'Bottom-up tagging'!$E:$E,'Analysis of bottom-up tags'!F$6)</f>
        <v>0</v>
      </c>
      <c r="G196" s="22">
        <f>SUMIFS('Bottom-up tagging'!$AP:$AP,'Bottom-up tagging'!$V:$V,'Analysis of bottom-up tags'!$B196,'Bottom-up tagging'!$E:$E,'Analysis of bottom-up tags'!G$6)</f>
        <v>0</v>
      </c>
      <c r="H196" s="22">
        <f>SUMIFS('Bottom-up tagging'!$AP:$AP,'Bottom-up tagging'!$V:$V,'Analysis of bottom-up tags'!$B196,'Bottom-up tagging'!$E:$E,'Analysis of bottom-up tags'!H$6)</f>
        <v>0</v>
      </c>
      <c r="I196" s="22">
        <f>SUMIFS('Bottom-up tagging'!$AP:$AP,'Bottom-up tagging'!$V:$V,'Analysis of bottom-up tags'!$B196,'Bottom-up tagging'!$E:$E,'Analysis of bottom-up tags'!I$6)</f>
        <v>1185604.8741468757</v>
      </c>
      <c r="J196" s="22">
        <f>SUMIFS('Bottom-up tagging'!$AP:$AP,'Bottom-up tagging'!$V:$V,'Analysis of bottom-up tags'!$B196,'Bottom-up tagging'!$E:$E,'Analysis of bottom-up tags'!J$6)</f>
        <v>4590286.0131628066</v>
      </c>
      <c r="K196" s="22">
        <f>SUMIFS('Bottom-up tagging'!$AP:$AP,'Bottom-up tagging'!$V:$V,'Analysis of bottom-up tags'!$B196,'Bottom-up tagging'!$E:$E,'Analysis of bottom-up tags'!K$6)</f>
        <v>1332941.3764825384</v>
      </c>
      <c r="L196" s="22">
        <f>SUMIFS('Bottom-up tagging'!$AP:$AP,'Bottom-up tagging'!$V:$V,'Analysis of bottom-up tags'!$B196,'Bottom-up tagging'!$E:$E,'Analysis of bottom-up tags'!L$6)</f>
        <v>2635571.0569686214</v>
      </c>
      <c r="M196" s="22"/>
      <c r="N196" s="101">
        <f t="shared" si="196"/>
        <v>0</v>
      </c>
      <c r="O196" s="101">
        <f t="shared" si="197"/>
        <v>0</v>
      </c>
      <c r="P196" s="101">
        <f t="shared" si="198"/>
        <v>0</v>
      </c>
      <c r="Q196" s="101">
        <f t="shared" si="199"/>
        <v>0</v>
      </c>
      <c r="R196" s="101">
        <f t="shared" si="200"/>
        <v>0</v>
      </c>
      <c r="S196" s="101">
        <f t="shared" si="201"/>
        <v>0</v>
      </c>
      <c r="T196" s="101">
        <f t="shared" si="202"/>
        <v>3.2385164672970343E-3</v>
      </c>
      <c r="U196" s="101">
        <f t="shared" si="203"/>
        <v>2.2019054836135591E-2</v>
      </c>
      <c r="V196" s="101">
        <f t="shared" si="204"/>
        <v>1.2213706785244238E-3</v>
      </c>
      <c r="W196" s="101">
        <f t="shared" si="205"/>
        <v>9.7410636121205343E-3</v>
      </c>
    </row>
    <row r="197" spans="2:24">
      <c r="B197" s="191" t="s">
        <v>11042</v>
      </c>
      <c r="C197" s="192">
        <f>SUM(C193:C196)</f>
        <v>0</v>
      </c>
      <c r="D197" s="192">
        <f t="shared" ref="D197:L197" si="206">SUM(D193:D196)</f>
        <v>0</v>
      </c>
      <c r="E197" s="192">
        <f t="shared" si="206"/>
        <v>0</v>
      </c>
      <c r="F197" s="192">
        <f t="shared" si="206"/>
        <v>0</v>
      </c>
      <c r="G197" s="192">
        <f t="shared" si="206"/>
        <v>0</v>
      </c>
      <c r="H197" s="192">
        <f t="shared" si="206"/>
        <v>0</v>
      </c>
      <c r="I197" s="192">
        <f t="shared" si="206"/>
        <v>1185604.8741468757</v>
      </c>
      <c r="J197" s="192">
        <f t="shared" si="206"/>
        <v>4590286.0131628066</v>
      </c>
      <c r="K197" s="192">
        <f t="shared" si="206"/>
        <v>1332941.3764825384</v>
      </c>
      <c r="L197" s="192">
        <f t="shared" si="206"/>
        <v>2635571.0569686214</v>
      </c>
      <c r="M197" s="192"/>
      <c r="N197" s="193">
        <f t="shared" ref="N197" si="207">C197/C$7</f>
        <v>0</v>
      </c>
      <c r="O197" s="193">
        <f t="shared" ref="O197" si="208">D197/D$7</f>
        <v>0</v>
      </c>
      <c r="P197" s="193">
        <f t="shared" ref="P197" si="209">E197/E$7</f>
        <v>0</v>
      </c>
      <c r="Q197" s="193">
        <f t="shared" ref="Q197" si="210">F197/F$7</f>
        <v>0</v>
      </c>
      <c r="R197" s="193">
        <f t="shared" ref="R197" si="211">G197/G$7</f>
        <v>0</v>
      </c>
      <c r="S197" s="193">
        <f t="shared" ref="S197" si="212">H197/H$7</f>
        <v>0</v>
      </c>
      <c r="T197" s="193">
        <f t="shared" ref="T197" si="213">I197/I$7</f>
        <v>3.2385164672970343E-3</v>
      </c>
      <c r="U197" s="193">
        <f t="shared" ref="U197" si="214">J197/J$7</f>
        <v>2.2019054836135591E-2</v>
      </c>
      <c r="V197" s="193">
        <f t="shared" ref="V197" si="215">K197/K$7</f>
        <v>1.2213706785244238E-3</v>
      </c>
      <c r="W197" s="193">
        <f t="shared" ref="W197" si="216">L197/L$7</f>
        <v>9.7410636121205343E-3</v>
      </c>
    </row>
    <row r="199" spans="2:24">
      <c r="B199" s="170" t="s">
        <v>11137</v>
      </c>
      <c r="C199" s="140"/>
      <c r="D199" s="140"/>
      <c r="E199" s="140"/>
      <c r="F199" s="140"/>
      <c r="G199" s="140"/>
      <c r="H199" s="140"/>
      <c r="I199" s="140"/>
      <c r="J199" s="140"/>
      <c r="K199" s="140"/>
      <c r="L199" s="140"/>
      <c r="M199" s="140"/>
      <c r="N199" s="171"/>
      <c r="O199" s="171"/>
      <c r="P199" s="171"/>
      <c r="Q199" s="171"/>
      <c r="R199" s="171"/>
      <c r="S199" s="171"/>
      <c r="T199" s="171"/>
      <c r="U199" s="171"/>
      <c r="V199" s="171"/>
      <c r="W199" s="171"/>
    </row>
    <row r="200" spans="2:24">
      <c r="B200" s="64" t="s">
        <v>10973</v>
      </c>
      <c r="C200" s="22">
        <f>SUMIFS('Bottom-up tagging'!$AQ:$AQ,'Bottom-up tagging'!$V:$V,'Analysis of bottom-up tags'!$B200,'Bottom-up tagging'!$E:$E,'Analysis of bottom-up tags'!C$6)</f>
        <v>4633472</v>
      </c>
      <c r="D200" s="22">
        <f>SUMIFS('Bottom-up tagging'!$AQ:$AQ,'Bottom-up tagging'!$V:$V,'Analysis of bottom-up tags'!$B200,'Bottom-up tagging'!$E:$E,'Analysis of bottom-up tags'!D$6)</f>
        <v>26477514.889316078</v>
      </c>
      <c r="E200" s="22">
        <f>SUMIFS('Bottom-up tagging'!$AQ:$AQ,'Bottom-up tagging'!$V:$V,'Analysis of bottom-up tags'!$B200,'Bottom-up tagging'!$E:$E,'Analysis of bottom-up tags'!E$6)</f>
        <v>1587308.5881665205</v>
      </c>
      <c r="F200" s="22">
        <f>SUMIFS('Bottom-up tagging'!$AQ:$AQ,'Bottom-up tagging'!$V:$V,'Analysis of bottom-up tags'!$B200,'Bottom-up tagging'!$E:$E,'Analysis of bottom-up tags'!F$6)</f>
        <v>8983231.2503920663</v>
      </c>
      <c r="G200" s="22">
        <f>SUMIFS('Bottom-up tagging'!$AQ:$AQ,'Bottom-up tagging'!$V:$V,'Analysis of bottom-up tags'!$B200,'Bottom-up tagging'!$E:$E,'Analysis of bottom-up tags'!G$6)</f>
        <v>30793674.893472057</v>
      </c>
      <c r="H200" s="22">
        <f>SUMIFS('Bottom-up tagging'!$AQ:$AQ,'Bottom-up tagging'!$V:$V,'Analysis of bottom-up tags'!$B200,'Bottom-up tagging'!$E:$E,'Analysis of bottom-up tags'!H$6)</f>
        <v>100656180.45680341</v>
      </c>
      <c r="I200" s="22">
        <f>SUMIFS('Bottom-up tagging'!$AQ:$AQ,'Bottom-up tagging'!$V:$V,'Analysis of bottom-up tags'!$B200,'Bottom-up tagging'!$E:$E,'Analysis of bottom-up tags'!I$6)</f>
        <v>336888371.4954713</v>
      </c>
      <c r="J200" s="22">
        <f>SUMIFS('Bottom-up tagging'!$AQ:$AQ,'Bottom-up tagging'!$V:$V,'Analysis of bottom-up tags'!$B200,'Bottom-up tagging'!$E:$E,'Analysis of bottom-up tags'!J$6)</f>
        <v>69687893.245288312</v>
      </c>
      <c r="K200" s="22">
        <f>SUMIFS('Bottom-up tagging'!$AQ:$AQ,'Bottom-up tagging'!$V:$V,'Analysis of bottom-up tags'!$B200,'Bottom-up tagging'!$E:$E,'Analysis of bottom-up tags'!K$6)</f>
        <v>1002499764.9121944</v>
      </c>
      <c r="L200" s="22">
        <f>SUMIFS('Bottom-up tagging'!$AQ:$AQ,'Bottom-up tagging'!$V:$V,'Analysis of bottom-up tags'!$B200,'Bottom-up tagging'!$E:$E,'Analysis of bottom-up tags'!L$6)</f>
        <v>162956926.73887187</v>
      </c>
      <c r="M200" s="22"/>
      <c r="N200" s="101">
        <f>C200/C$7</f>
        <v>4.9477031504112236E-2</v>
      </c>
      <c r="O200" s="101">
        <f t="shared" ref="O200:W200" si="217">D200/D$7</f>
        <v>0.32767008321341917</v>
      </c>
      <c r="P200" s="101">
        <f t="shared" si="217"/>
        <v>0.20590703809106586</v>
      </c>
      <c r="Q200" s="101">
        <f t="shared" si="217"/>
        <v>0.24837914486435136</v>
      </c>
      <c r="R200" s="101">
        <f t="shared" si="217"/>
        <v>0.75666200840920084</v>
      </c>
      <c r="S200" s="101">
        <f t="shared" si="217"/>
        <v>0.5036909854257704</v>
      </c>
      <c r="T200" s="101">
        <f t="shared" si="217"/>
        <v>0.92022103022647195</v>
      </c>
      <c r="U200" s="101">
        <f t="shared" si="217"/>
        <v>0.3342845169958133</v>
      </c>
      <c r="V200" s="101">
        <f t="shared" si="217"/>
        <v>0.91858789868349633</v>
      </c>
      <c r="W200" s="101">
        <f t="shared" si="217"/>
        <v>0.60228836752547299</v>
      </c>
    </row>
    <row r="201" spans="2:24">
      <c r="B201" s="64" t="s">
        <v>10977</v>
      </c>
      <c r="C201" s="22">
        <f>SUMIFS('Bottom-up tagging'!$AQ:$AQ,'Bottom-up tagging'!$V:$V,'Analysis of bottom-up tags'!$B201,'Bottom-up tagging'!$E:$E,'Analysis of bottom-up tags'!C$6)</f>
        <v>30900000</v>
      </c>
      <c r="D201" s="22">
        <f>SUMIFS('Bottom-up tagging'!$AQ:$AQ,'Bottom-up tagging'!$V:$V,'Analysis of bottom-up tags'!$B201,'Bottom-up tagging'!$E:$E,'Analysis of bottom-up tags'!D$6)</f>
        <v>51614951.042522095</v>
      </c>
      <c r="E201" s="22">
        <f>SUMIFS('Bottom-up tagging'!$AQ:$AQ,'Bottom-up tagging'!$V:$V,'Analysis of bottom-up tags'!$B201,'Bottom-up tagging'!$E:$E,'Analysis of bottom-up tags'!E$6)</f>
        <v>1781204.8926253945</v>
      </c>
      <c r="F201" s="22">
        <f>SUMIFS('Bottom-up tagging'!$AQ:$AQ,'Bottom-up tagging'!$V:$V,'Analysis of bottom-up tags'!$B201,'Bottom-up tagging'!$E:$E,'Analysis of bottom-up tags'!F$6)</f>
        <v>20773458.992844123</v>
      </c>
      <c r="G201" s="22">
        <f>SUMIFS('Bottom-up tagging'!$AQ:$AQ,'Bottom-up tagging'!$V:$V,'Analysis of bottom-up tags'!$B201,'Bottom-up tagging'!$E:$E,'Analysis of bottom-up tags'!G$6)</f>
        <v>589338.83989503805</v>
      </c>
      <c r="H201" s="22">
        <f>SUMIFS('Bottom-up tagging'!$AQ:$AQ,'Bottom-up tagging'!$V:$V,'Analysis of bottom-up tags'!$B201,'Bottom-up tagging'!$E:$E,'Analysis of bottom-up tags'!H$6)</f>
        <v>1157168.0005290136</v>
      </c>
      <c r="I201" s="22">
        <f>SUMIFS('Bottom-up tagging'!$AQ:$AQ,'Bottom-up tagging'!$V:$V,'Analysis of bottom-up tags'!$B201,'Bottom-up tagging'!$E:$E,'Analysis of bottom-up tags'!I$6)</f>
        <v>1254175.0976857147</v>
      </c>
      <c r="J201" s="22">
        <f>SUMIFS('Bottom-up tagging'!$AQ:$AQ,'Bottom-up tagging'!$V:$V,'Analysis of bottom-up tags'!$B201,'Bottom-up tagging'!$E:$E,'Analysis of bottom-up tags'!J$6)</f>
        <v>13358330.287837159</v>
      </c>
      <c r="K201" s="22">
        <f>SUMIFS('Bottom-up tagging'!$AQ:$AQ,'Bottom-up tagging'!$V:$V,'Analysis of bottom-up tags'!$B201,'Bottom-up tagging'!$E:$E,'Analysis of bottom-up tags'!K$6)</f>
        <v>3874124.4653841835</v>
      </c>
      <c r="L201" s="22">
        <f>SUMIFS('Bottom-up tagging'!$AQ:$AQ,'Bottom-up tagging'!$V:$V,'Analysis of bottom-up tags'!$B201,'Bottom-up tagging'!$E:$E,'Analysis of bottom-up tags'!L$6)</f>
        <v>28456004.265927926</v>
      </c>
      <c r="M201" s="22"/>
      <c r="N201" s="101">
        <f t="shared" ref="N201:N203" si="218">C201/C$7</f>
        <v>0.32995565171799207</v>
      </c>
      <c r="O201" s="101">
        <f t="shared" ref="O201:O203" si="219">D201/D$7</f>
        <v>0.6387561436131679</v>
      </c>
      <c r="P201" s="101">
        <f t="shared" ref="P201:P203" si="220">E201/E$7</f>
        <v>0.23105943381649105</v>
      </c>
      <c r="Q201" s="101">
        <f t="shared" ref="Q201:Q203" si="221">F201/F$7</f>
        <v>0.57436949319234132</v>
      </c>
      <c r="R201" s="101">
        <f t="shared" ref="R201:R203" si="222">G201/G$7</f>
        <v>1.4481230699849358E-2</v>
      </c>
      <c r="S201" s="101">
        <f t="shared" ref="S201:S203" si="223">H201/H$7</f>
        <v>5.7905544184617607E-3</v>
      </c>
      <c r="T201" s="101">
        <f t="shared" ref="T201:T203" si="224">I201/I$7</f>
        <v>3.4258181585595307E-3</v>
      </c>
      <c r="U201" s="101">
        <f t="shared" ref="U201:U203" si="225">J201/J$7</f>
        <v>6.4078318057664993E-2</v>
      </c>
      <c r="V201" s="101">
        <f t="shared" ref="V201:V203" si="226">K201/K$7</f>
        <v>3.5498500612688695E-3</v>
      </c>
      <c r="W201" s="101">
        <f t="shared" ref="W201:W203" si="227">L201/L$7</f>
        <v>0.10517331603269212</v>
      </c>
    </row>
    <row r="202" spans="2:24">
      <c r="B202" s="64" t="s">
        <v>10558</v>
      </c>
      <c r="C202" s="22">
        <f>SUMIFS('Bottom-up tagging'!$AQ:$AQ,'Bottom-up tagging'!$V:$V,'Analysis of bottom-up tags'!$B202,'Bottom-up tagging'!$E:$E,'Analysis of bottom-up tags'!C$6)</f>
        <v>0</v>
      </c>
      <c r="D202" s="22">
        <f>SUMIFS('Bottom-up tagging'!$AQ:$AQ,'Bottom-up tagging'!$V:$V,'Analysis of bottom-up tags'!$B202,'Bottom-up tagging'!$E:$E,'Analysis of bottom-up tags'!D$6)</f>
        <v>0</v>
      </c>
      <c r="E202" s="22">
        <f>SUMIFS('Bottom-up tagging'!$AQ:$AQ,'Bottom-up tagging'!$V:$V,'Analysis of bottom-up tags'!$B202,'Bottom-up tagging'!$E:$E,'Analysis of bottom-up tags'!E$6)</f>
        <v>0</v>
      </c>
      <c r="F202" s="22">
        <f>SUMIFS('Bottom-up tagging'!$AQ:$AQ,'Bottom-up tagging'!$V:$V,'Analysis of bottom-up tags'!$B202,'Bottom-up tagging'!$E:$E,'Analysis of bottom-up tags'!F$6)</f>
        <v>0</v>
      </c>
      <c r="G202" s="22">
        <f>SUMIFS('Bottom-up tagging'!$AQ:$AQ,'Bottom-up tagging'!$V:$V,'Analysis of bottom-up tags'!$B202,'Bottom-up tagging'!$E:$E,'Analysis of bottom-up tags'!G$6)</f>
        <v>0</v>
      </c>
      <c r="H202" s="22">
        <f>SUMIFS('Bottom-up tagging'!$AQ:$AQ,'Bottom-up tagging'!$V:$V,'Analysis of bottom-up tags'!$B202,'Bottom-up tagging'!$E:$E,'Analysis of bottom-up tags'!H$6)</f>
        <v>0</v>
      </c>
      <c r="I202" s="22">
        <f>SUMIFS('Bottom-up tagging'!$AQ:$AQ,'Bottom-up tagging'!$V:$V,'Analysis of bottom-up tags'!$B202,'Bottom-up tagging'!$E:$E,'Analysis of bottom-up tags'!I$6)</f>
        <v>0</v>
      </c>
      <c r="J202" s="22">
        <f>SUMIFS('Bottom-up tagging'!$AQ:$AQ,'Bottom-up tagging'!$V:$V,'Analysis of bottom-up tags'!$B202,'Bottom-up tagging'!$E:$E,'Analysis of bottom-up tags'!J$6)</f>
        <v>0</v>
      </c>
      <c r="K202" s="22">
        <f>SUMIFS('Bottom-up tagging'!$AQ:$AQ,'Bottom-up tagging'!$V:$V,'Analysis of bottom-up tags'!$B202,'Bottom-up tagging'!$E:$E,'Analysis of bottom-up tags'!K$6)</f>
        <v>0</v>
      </c>
      <c r="L202" s="22">
        <f>SUMIFS('Bottom-up tagging'!$AQ:$AQ,'Bottom-up tagging'!$V:$V,'Analysis of bottom-up tags'!$B202,'Bottom-up tagging'!$E:$E,'Analysis of bottom-up tags'!L$6)</f>
        <v>0</v>
      </c>
      <c r="M202" s="22"/>
      <c r="N202" s="101">
        <f t="shared" si="218"/>
        <v>0</v>
      </c>
      <c r="O202" s="101">
        <f t="shared" si="219"/>
        <v>0</v>
      </c>
      <c r="P202" s="101">
        <f t="shared" si="220"/>
        <v>0</v>
      </c>
      <c r="Q202" s="101">
        <f t="shared" si="221"/>
        <v>0</v>
      </c>
      <c r="R202" s="101">
        <f t="shared" si="222"/>
        <v>0</v>
      </c>
      <c r="S202" s="101">
        <f t="shared" si="223"/>
        <v>0</v>
      </c>
      <c r="T202" s="101">
        <f t="shared" si="224"/>
        <v>0</v>
      </c>
      <c r="U202" s="101">
        <f t="shared" si="225"/>
        <v>0</v>
      </c>
      <c r="V202" s="101">
        <f t="shared" si="226"/>
        <v>0</v>
      </c>
      <c r="W202" s="101">
        <f t="shared" si="227"/>
        <v>0</v>
      </c>
    </row>
    <row r="203" spans="2:24">
      <c r="B203" s="64" t="s">
        <v>10981</v>
      </c>
      <c r="C203" s="22">
        <f>SUMIFS('Bottom-up tagging'!$AQ:$AQ,'Bottom-up tagging'!$V:$V,'Analysis of bottom-up tags'!$B203,'Bottom-up tagging'!$E:$E,'Analysis of bottom-up tags'!C$6)</f>
        <v>0</v>
      </c>
      <c r="D203" s="22">
        <f>SUMIFS('Bottom-up tagging'!$AQ:$AQ,'Bottom-up tagging'!$V:$V,'Analysis of bottom-up tags'!$B203,'Bottom-up tagging'!$E:$E,'Analysis of bottom-up tags'!D$6)</f>
        <v>0</v>
      </c>
      <c r="E203" s="22">
        <f>SUMIFS('Bottom-up tagging'!$AQ:$AQ,'Bottom-up tagging'!$V:$V,'Analysis of bottom-up tags'!$B203,'Bottom-up tagging'!$E:$E,'Analysis of bottom-up tags'!E$6)</f>
        <v>0</v>
      </c>
      <c r="F203" s="22">
        <f>SUMIFS('Bottom-up tagging'!$AQ:$AQ,'Bottom-up tagging'!$V:$V,'Analysis of bottom-up tags'!$B203,'Bottom-up tagging'!$E:$E,'Analysis of bottom-up tags'!F$6)</f>
        <v>0</v>
      </c>
      <c r="G203" s="22">
        <f>SUMIFS('Bottom-up tagging'!$AQ:$AQ,'Bottom-up tagging'!$V:$V,'Analysis of bottom-up tags'!$B203,'Bottom-up tagging'!$E:$E,'Analysis of bottom-up tags'!G$6)</f>
        <v>0</v>
      </c>
      <c r="H203" s="22">
        <f>SUMIFS('Bottom-up tagging'!$AQ:$AQ,'Bottom-up tagging'!$V:$V,'Analysis of bottom-up tags'!$B203,'Bottom-up tagging'!$E:$E,'Analysis of bottom-up tags'!H$6)</f>
        <v>0</v>
      </c>
      <c r="I203" s="22">
        <f>SUMIFS('Bottom-up tagging'!$AQ:$AQ,'Bottom-up tagging'!$V:$V,'Analysis of bottom-up tags'!$B203,'Bottom-up tagging'!$E:$E,'Analysis of bottom-up tags'!I$6)</f>
        <v>1251663.2091998919</v>
      </c>
      <c r="J203" s="22">
        <f>SUMIFS('Bottom-up tagging'!$AQ:$AQ,'Bottom-up tagging'!$V:$V,'Analysis of bottom-up tags'!$B203,'Bottom-up tagging'!$E:$E,'Analysis of bottom-up tags'!J$6)</f>
        <v>5232417.7517793281</v>
      </c>
      <c r="K203" s="22">
        <f>SUMIFS('Bottom-up tagging'!$AQ:$AQ,'Bottom-up tagging'!$V:$V,'Analysis of bottom-up tags'!$B203,'Bottom-up tagging'!$E:$E,'Analysis of bottom-up tags'!K$6)</f>
        <v>3111321.134342608</v>
      </c>
      <c r="L203" s="22">
        <f>SUMIFS('Bottom-up tagging'!$AQ:$AQ,'Bottom-up tagging'!$V:$V,'Analysis of bottom-up tags'!$B203,'Bottom-up tagging'!$E:$E,'Analysis of bottom-up tags'!L$6)</f>
        <v>3960523.2747344384</v>
      </c>
      <c r="M203" s="22"/>
      <c r="N203" s="101">
        <f t="shared" si="218"/>
        <v>0</v>
      </c>
      <c r="O203" s="101">
        <f t="shared" si="219"/>
        <v>0</v>
      </c>
      <c r="P203" s="101">
        <f t="shared" si="220"/>
        <v>0</v>
      </c>
      <c r="Q203" s="101">
        <f t="shared" si="221"/>
        <v>0</v>
      </c>
      <c r="R203" s="101">
        <f t="shared" si="222"/>
        <v>0</v>
      </c>
      <c r="S203" s="101">
        <f t="shared" si="223"/>
        <v>0</v>
      </c>
      <c r="T203" s="101">
        <f t="shared" si="224"/>
        <v>3.4189568572923568E-3</v>
      </c>
      <c r="U203" s="101">
        <f t="shared" si="225"/>
        <v>2.5099284243208658E-2</v>
      </c>
      <c r="V203" s="101">
        <f t="shared" si="226"/>
        <v>2.850895374699318E-3</v>
      </c>
      <c r="W203" s="101">
        <f t="shared" si="227"/>
        <v>1.4638083482691477E-2</v>
      </c>
    </row>
    <row r="204" spans="2:24">
      <c r="B204" s="192" t="s">
        <v>11042</v>
      </c>
      <c r="C204" s="192">
        <f>SUM(C200:C203)</f>
        <v>35533472</v>
      </c>
      <c r="D204" s="192">
        <f t="shared" ref="D204:L204" si="228">SUM(D200:D203)</f>
        <v>78092465.93183817</v>
      </c>
      <c r="E204" s="192">
        <f t="shared" si="228"/>
        <v>3368513.4807919152</v>
      </c>
      <c r="F204" s="192">
        <f t="shared" si="228"/>
        <v>29756690.243236192</v>
      </c>
      <c r="G204" s="192">
        <f t="shared" si="228"/>
        <v>31383013.733367097</v>
      </c>
      <c r="H204" s="192">
        <f t="shared" si="228"/>
        <v>101813348.45733243</v>
      </c>
      <c r="I204" s="192">
        <f t="shared" si="228"/>
        <v>339394209.8023569</v>
      </c>
      <c r="J204" s="192">
        <f t="shared" si="228"/>
        <v>88278641.284904808</v>
      </c>
      <c r="K204" s="192">
        <f t="shared" si="228"/>
        <v>1009485210.511921</v>
      </c>
      <c r="L204" s="192">
        <f t="shared" si="228"/>
        <v>195373454.27953422</v>
      </c>
      <c r="M204" s="192"/>
      <c r="N204" s="193">
        <f t="shared" ref="N204" si="229">C204/C$7</f>
        <v>0.37943268322210427</v>
      </c>
      <c r="O204" s="193">
        <f t="shared" ref="O204" si="230">D204/D$7</f>
        <v>0.96642622682658696</v>
      </c>
      <c r="P204" s="193">
        <f t="shared" ref="P204" si="231">E204/E$7</f>
        <v>0.43696647190755694</v>
      </c>
      <c r="Q204" s="193">
        <f t="shared" ref="Q204" si="232">F204/F$7</f>
        <v>0.82274863805669274</v>
      </c>
      <c r="R204" s="193">
        <f t="shared" ref="R204" si="233">G204/G$7</f>
        <v>0.77114323910905025</v>
      </c>
      <c r="S204" s="193">
        <f t="shared" ref="S204" si="234">H204/H$7</f>
        <v>0.50948153984423228</v>
      </c>
      <c r="T204" s="193">
        <f t="shared" ref="T204" si="235">I204/I$7</f>
        <v>0.92706580524232385</v>
      </c>
      <c r="U204" s="193">
        <f t="shared" ref="U204" si="236">J204/J$7</f>
        <v>0.42346211929668698</v>
      </c>
      <c r="V204" s="193">
        <f t="shared" ref="V204" si="237">K204/K$7</f>
        <v>0.92498864411946435</v>
      </c>
      <c r="W204" s="193">
        <f t="shared" ref="W204" si="238">L204/L$7</f>
        <v>0.72209976704085654</v>
      </c>
    </row>
    <row r="206" spans="2:24">
      <c r="B206" s="170" t="s">
        <v>11138</v>
      </c>
      <c r="C206" s="140"/>
      <c r="D206" s="140"/>
      <c r="E206" s="140"/>
      <c r="F206" s="140"/>
      <c r="G206" s="140"/>
      <c r="H206" s="140"/>
      <c r="I206" s="140"/>
      <c r="J206" s="140"/>
      <c r="K206" s="140"/>
      <c r="L206" s="140"/>
      <c r="M206" s="140"/>
      <c r="N206" s="171"/>
      <c r="O206" s="171"/>
      <c r="P206" s="171"/>
      <c r="Q206" s="171"/>
      <c r="R206" s="171"/>
      <c r="S206" s="171"/>
      <c r="T206" s="171"/>
      <c r="U206" s="171"/>
      <c r="V206" s="171"/>
      <c r="W206" s="171"/>
    </row>
    <row r="207" spans="2:24">
      <c r="B207" s="64" t="s">
        <v>10973</v>
      </c>
      <c r="C207" s="22">
        <f>SUMIFS('Bottom-up tagging'!$AR:$AR,'Bottom-up tagging'!$V:$V,'Analysis of bottom-up tags'!$B207,'Bottom-up tagging'!$E:$E,'Analysis of bottom-up tags'!C$6)</f>
        <v>0</v>
      </c>
      <c r="D207" s="22">
        <f>SUMIFS('Bottom-up tagging'!$AR:$AR,'Bottom-up tagging'!$V:$V,'Analysis of bottom-up tags'!$B207,'Bottom-up tagging'!$E:$E,'Analysis of bottom-up tags'!D$6)</f>
        <v>0</v>
      </c>
      <c r="E207" s="22">
        <f>SUMIFS('Bottom-up tagging'!$AR:$AR,'Bottom-up tagging'!$V:$V,'Analysis of bottom-up tags'!$B207,'Bottom-up tagging'!$E:$E,'Analysis of bottom-up tags'!E$6)</f>
        <v>0</v>
      </c>
      <c r="F207" s="22">
        <f>SUMIFS('Bottom-up tagging'!$AR:$AR,'Bottom-up tagging'!$V:$V,'Analysis of bottom-up tags'!$B207,'Bottom-up tagging'!$E:$E,'Analysis of bottom-up tags'!F$6)</f>
        <v>0</v>
      </c>
      <c r="G207" s="22">
        <f>SUMIFS('Bottom-up tagging'!$AR:$AR,'Bottom-up tagging'!$V:$V,'Analysis of bottom-up tags'!$B207,'Bottom-up tagging'!$E:$E,'Analysis of bottom-up tags'!G$6)</f>
        <v>0</v>
      </c>
      <c r="H207" s="22">
        <f>SUMIFS('Bottom-up tagging'!$AR:$AR,'Bottom-up tagging'!$V:$V,'Analysis of bottom-up tags'!$B207,'Bottom-up tagging'!$E:$E,'Analysis of bottom-up tags'!H$6)</f>
        <v>0</v>
      </c>
      <c r="I207" s="22">
        <f>SUMIFS('Bottom-up tagging'!$AR:$AR,'Bottom-up tagging'!$V:$V,'Analysis of bottom-up tags'!$B207,'Bottom-up tagging'!$E:$E,'Analysis of bottom-up tags'!I$6)</f>
        <v>0</v>
      </c>
      <c r="J207" s="22">
        <f>SUMIFS('Bottom-up tagging'!$AR:$AR,'Bottom-up tagging'!$V:$V,'Analysis of bottom-up tags'!$B207,'Bottom-up tagging'!$E:$E,'Analysis of bottom-up tags'!J$6)</f>
        <v>0</v>
      </c>
      <c r="K207" s="22">
        <f>SUMIFS('Bottom-up tagging'!$AR:$AR,'Bottom-up tagging'!$V:$V,'Analysis of bottom-up tags'!$B207,'Bottom-up tagging'!$E:$E,'Analysis of bottom-up tags'!K$6)</f>
        <v>0</v>
      </c>
      <c r="L207" s="22">
        <f>SUMIFS('Bottom-up tagging'!$AR:$AR,'Bottom-up tagging'!$V:$V,'Analysis of bottom-up tags'!$B207,'Bottom-up tagging'!$E:$E,'Analysis of bottom-up tags'!L$6)</f>
        <v>0</v>
      </c>
      <c r="M207" s="22"/>
      <c r="N207" s="101">
        <f>C207/C$7</f>
        <v>0</v>
      </c>
      <c r="O207" s="101">
        <f t="shared" ref="O207:W207" si="239">D207/D$7</f>
        <v>0</v>
      </c>
      <c r="P207" s="101">
        <f t="shared" si="239"/>
        <v>0</v>
      </c>
      <c r="Q207" s="101">
        <f t="shared" si="239"/>
        <v>0</v>
      </c>
      <c r="R207" s="101">
        <f t="shared" si="239"/>
        <v>0</v>
      </c>
      <c r="S207" s="101">
        <f t="shared" si="239"/>
        <v>0</v>
      </c>
      <c r="T207" s="101">
        <f t="shared" si="239"/>
        <v>0</v>
      </c>
      <c r="U207" s="101">
        <f t="shared" si="239"/>
        <v>0</v>
      </c>
      <c r="V207" s="101">
        <f t="shared" si="239"/>
        <v>0</v>
      </c>
      <c r="W207" s="101">
        <f t="shared" si="239"/>
        <v>0</v>
      </c>
    </row>
    <row r="208" spans="2:24">
      <c r="B208" s="64" t="s">
        <v>10977</v>
      </c>
      <c r="C208" s="22">
        <f>SUMIFS('Bottom-up tagging'!$AR:$AR,'Bottom-up tagging'!$V:$V,'Analysis of bottom-up tags'!$B208,'Bottom-up tagging'!$E:$E,'Analysis of bottom-up tags'!C$6)</f>
        <v>0</v>
      </c>
      <c r="D208" s="22">
        <f>SUMIFS('Bottom-up tagging'!$AR:$AR,'Bottom-up tagging'!$V:$V,'Analysis of bottom-up tags'!$B208,'Bottom-up tagging'!$E:$E,'Analysis of bottom-up tags'!D$6)</f>
        <v>0</v>
      </c>
      <c r="E208" s="22">
        <f>SUMIFS('Bottom-up tagging'!$AR:$AR,'Bottom-up tagging'!$V:$V,'Analysis of bottom-up tags'!$B208,'Bottom-up tagging'!$E:$E,'Analysis of bottom-up tags'!E$6)</f>
        <v>0</v>
      </c>
      <c r="F208" s="22">
        <f>SUMIFS('Bottom-up tagging'!$AR:$AR,'Bottom-up tagging'!$V:$V,'Analysis of bottom-up tags'!$B208,'Bottom-up tagging'!$E:$E,'Analysis of bottom-up tags'!F$6)</f>
        <v>0</v>
      </c>
      <c r="G208" s="22">
        <f>SUMIFS('Bottom-up tagging'!$AR:$AR,'Bottom-up tagging'!$V:$V,'Analysis of bottom-up tags'!$B208,'Bottom-up tagging'!$E:$E,'Analysis of bottom-up tags'!G$6)</f>
        <v>0</v>
      </c>
      <c r="H208" s="22">
        <f>SUMIFS('Bottom-up tagging'!$AR:$AR,'Bottom-up tagging'!$V:$V,'Analysis of bottom-up tags'!$B208,'Bottom-up tagging'!$E:$E,'Analysis of bottom-up tags'!H$6)</f>
        <v>0</v>
      </c>
      <c r="I208" s="22">
        <f>SUMIFS('Bottom-up tagging'!$AR:$AR,'Bottom-up tagging'!$V:$V,'Analysis of bottom-up tags'!$B208,'Bottom-up tagging'!$E:$E,'Analysis of bottom-up tags'!I$6)</f>
        <v>65518.525007271208</v>
      </c>
      <c r="J208" s="22">
        <f>SUMIFS('Bottom-up tagging'!$AR:$AR,'Bottom-up tagging'!$V:$V,'Analysis of bottom-up tags'!$B208,'Bottom-up tagging'!$E:$E,'Analysis of bottom-up tags'!J$6)</f>
        <v>5585111.0716889938</v>
      </c>
      <c r="K208" s="22">
        <f>SUMIFS('Bottom-up tagging'!$AR:$AR,'Bottom-up tagging'!$V:$V,'Analysis of bottom-up tags'!$B208,'Bottom-up tagging'!$E:$E,'Analysis of bottom-up tags'!K$6)</f>
        <v>0</v>
      </c>
      <c r="L208" s="22">
        <f>SUMIFS('Bottom-up tagging'!$AR:$AR,'Bottom-up tagging'!$V:$V,'Analysis of bottom-up tags'!$B208,'Bottom-up tagging'!$E:$E,'Analysis of bottom-up tags'!L$6)</f>
        <v>0</v>
      </c>
      <c r="M208" s="22"/>
      <c r="N208" s="101">
        <f t="shared" ref="N208:N211" si="240">C208/C$7</f>
        <v>0</v>
      </c>
      <c r="O208" s="101">
        <f t="shared" ref="O208:O211" si="241">D208/D$7</f>
        <v>0</v>
      </c>
      <c r="P208" s="101">
        <f t="shared" ref="P208:P211" si="242">E208/E$7</f>
        <v>0</v>
      </c>
      <c r="Q208" s="101">
        <f t="shared" ref="Q208:Q211" si="243">F208/F$7</f>
        <v>0</v>
      </c>
      <c r="R208" s="101">
        <f t="shared" ref="R208:R211" si="244">G208/G$7</f>
        <v>0</v>
      </c>
      <c r="S208" s="101">
        <f t="shared" ref="S208:S211" si="245">H208/H$7</f>
        <v>0</v>
      </c>
      <c r="T208" s="101">
        <f t="shared" ref="T208:T211" si="246">I208/I$7</f>
        <v>1.7896588212134375E-4</v>
      </c>
      <c r="U208" s="101">
        <f t="shared" ref="U208:U211" si="247">J208/J$7</f>
        <v>2.6791112057240385E-2</v>
      </c>
      <c r="V208" s="101">
        <f t="shared" ref="V208:V211" si="248">K208/K$7</f>
        <v>0</v>
      </c>
      <c r="W208" s="101">
        <f t="shared" ref="W208:W211" si="249">L208/L$7</f>
        <v>0</v>
      </c>
    </row>
    <row r="209" spans="2:23">
      <c r="B209" s="64" t="s">
        <v>10558</v>
      </c>
      <c r="C209" s="22">
        <f>SUMIFS('Bottom-up tagging'!$AR:$AR,'Bottom-up tagging'!$V:$V,'Analysis of bottom-up tags'!$B209,'Bottom-up tagging'!$E:$E,'Analysis of bottom-up tags'!C$6)</f>
        <v>0</v>
      </c>
      <c r="D209" s="22">
        <f>SUMIFS('Bottom-up tagging'!$AR:$AR,'Bottom-up tagging'!$V:$V,'Analysis of bottom-up tags'!$B209,'Bottom-up tagging'!$E:$E,'Analysis of bottom-up tags'!D$6)</f>
        <v>0</v>
      </c>
      <c r="E209" s="22">
        <f>SUMIFS('Bottom-up tagging'!$AR:$AR,'Bottom-up tagging'!$V:$V,'Analysis of bottom-up tags'!$B209,'Bottom-up tagging'!$E:$E,'Analysis of bottom-up tags'!E$6)</f>
        <v>0</v>
      </c>
      <c r="F209" s="22">
        <f>SUMIFS('Bottom-up tagging'!$AR:$AR,'Bottom-up tagging'!$V:$V,'Analysis of bottom-up tags'!$B209,'Bottom-up tagging'!$E:$E,'Analysis of bottom-up tags'!F$6)</f>
        <v>0</v>
      </c>
      <c r="G209" s="22">
        <f>SUMIFS('Bottom-up tagging'!$AR:$AR,'Bottom-up tagging'!$V:$V,'Analysis of bottom-up tags'!$B209,'Bottom-up tagging'!$E:$E,'Analysis of bottom-up tags'!G$6)</f>
        <v>0</v>
      </c>
      <c r="H209" s="22">
        <f>SUMIFS('Bottom-up tagging'!$AR:$AR,'Bottom-up tagging'!$V:$V,'Analysis of bottom-up tags'!$B209,'Bottom-up tagging'!$E:$E,'Analysis of bottom-up tags'!H$6)</f>
        <v>0</v>
      </c>
      <c r="I209" s="22">
        <f>SUMIFS('Bottom-up tagging'!$AR:$AR,'Bottom-up tagging'!$V:$V,'Analysis of bottom-up tags'!$B209,'Bottom-up tagging'!$E:$E,'Analysis of bottom-up tags'!I$6)</f>
        <v>0</v>
      </c>
      <c r="J209" s="22">
        <f>SUMIFS('Bottom-up tagging'!$AR:$AR,'Bottom-up tagging'!$V:$V,'Analysis of bottom-up tags'!$B209,'Bottom-up tagging'!$E:$E,'Analysis of bottom-up tags'!J$6)</f>
        <v>0</v>
      </c>
      <c r="K209" s="22">
        <f>SUMIFS('Bottom-up tagging'!$AR:$AR,'Bottom-up tagging'!$V:$V,'Analysis of bottom-up tags'!$B209,'Bottom-up tagging'!$E:$E,'Analysis of bottom-up tags'!K$6)</f>
        <v>0</v>
      </c>
      <c r="L209" s="22">
        <f>SUMIFS('Bottom-up tagging'!$AR:$AR,'Bottom-up tagging'!$V:$V,'Analysis of bottom-up tags'!$B209,'Bottom-up tagging'!$E:$E,'Analysis of bottom-up tags'!L$6)</f>
        <v>0</v>
      </c>
      <c r="M209" s="22"/>
      <c r="N209" s="101">
        <f t="shared" si="240"/>
        <v>0</v>
      </c>
      <c r="O209" s="101">
        <f t="shared" si="241"/>
        <v>0</v>
      </c>
      <c r="P209" s="101">
        <f t="shared" si="242"/>
        <v>0</v>
      </c>
      <c r="Q209" s="101">
        <f t="shared" si="243"/>
        <v>0</v>
      </c>
      <c r="R209" s="101">
        <f t="shared" si="244"/>
        <v>0</v>
      </c>
      <c r="S209" s="101">
        <f t="shared" si="245"/>
        <v>0</v>
      </c>
      <c r="T209" s="101">
        <f t="shared" si="246"/>
        <v>0</v>
      </c>
      <c r="U209" s="101">
        <f t="shared" si="247"/>
        <v>0</v>
      </c>
      <c r="V209" s="101">
        <f t="shared" si="248"/>
        <v>0</v>
      </c>
      <c r="W209" s="101">
        <f t="shared" si="249"/>
        <v>0</v>
      </c>
    </row>
    <row r="210" spans="2:23">
      <c r="B210" s="64" t="s">
        <v>10981</v>
      </c>
      <c r="C210" s="22">
        <f>SUMIFS('Bottom-up tagging'!$AR:$AR,'Bottom-up tagging'!$V:$V,'Analysis of bottom-up tags'!$B210,'Bottom-up tagging'!$E:$E,'Analysis of bottom-up tags'!C$6)</f>
        <v>0</v>
      </c>
      <c r="D210" s="22">
        <f>SUMIFS('Bottom-up tagging'!$AR:$AR,'Bottom-up tagging'!$V:$V,'Analysis of bottom-up tags'!$B210,'Bottom-up tagging'!$E:$E,'Analysis of bottom-up tags'!D$6)</f>
        <v>0</v>
      </c>
      <c r="E210" s="22">
        <f>SUMIFS('Bottom-up tagging'!$AR:$AR,'Bottom-up tagging'!$V:$V,'Analysis of bottom-up tags'!$B210,'Bottom-up tagging'!$E:$E,'Analysis of bottom-up tags'!E$6)</f>
        <v>0</v>
      </c>
      <c r="F210" s="22">
        <f>SUMIFS('Bottom-up tagging'!$AR:$AR,'Bottom-up tagging'!$V:$V,'Analysis of bottom-up tags'!$B210,'Bottom-up tagging'!$E:$E,'Analysis of bottom-up tags'!F$6)</f>
        <v>0</v>
      </c>
      <c r="G210" s="22">
        <f>SUMIFS('Bottom-up tagging'!$AR:$AR,'Bottom-up tagging'!$V:$V,'Analysis of bottom-up tags'!$B210,'Bottom-up tagging'!$E:$E,'Analysis of bottom-up tags'!G$6)</f>
        <v>0</v>
      </c>
      <c r="H210" s="22">
        <f>SUMIFS('Bottom-up tagging'!$AR:$AR,'Bottom-up tagging'!$V:$V,'Analysis of bottom-up tags'!$B210,'Bottom-up tagging'!$E:$E,'Analysis of bottom-up tags'!H$6)</f>
        <v>0</v>
      </c>
      <c r="I210" s="22">
        <f>SUMIFS('Bottom-up tagging'!$AR:$AR,'Bottom-up tagging'!$V:$V,'Analysis of bottom-up tags'!$B210,'Bottom-up tagging'!$E:$E,'Analysis of bottom-up tags'!I$6)</f>
        <v>1185604.8741468757</v>
      </c>
      <c r="J210" s="22">
        <f>SUMIFS('Bottom-up tagging'!$AR:$AR,'Bottom-up tagging'!$V:$V,'Analysis of bottom-up tags'!$B210,'Bottom-up tagging'!$E:$E,'Analysis of bottom-up tags'!J$6)</f>
        <v>4590286.0131628066</v>
      </c>
      <c r="K210" s="22">
        <f>SUMIFS('Bottom-up tagging'!$AR:$AR,'Bottom-up tagging'!$V:$V,'Analysis of bottom-up tags'!$B210,'Bottom-up tagging'!$E:$E,'Analysis of bottom-up tags'!K$6)</f>
        <v>1332941.3764825384</v>
      </c>
      <c r="L210" s="22">
        <f>SUMIFS('Bottom-up tagging'!$AR:$AR,'Bottom-up tagging'!$V:$V,'Analysis of bottom-up tags'!$B210,'Bottom-up tagging'!$E:$E,'Analysis of bottom-up tags'!L$6)</f>
        <v>2635571.0569686214</v>
      </c>
      <c r="M210" s="22"/>
      <c r="N210" s="101">
        <f t="shared" si="240"/>
        <v>0</v>
      </c>
      <c r="O210" s="101">
        <f t="shared" si="241"/>
        <v>0</v>
      </c>
      <c r="P210" s="101">
        <f t="shared" si="242"/>
        <v>0</v>
      </c>
      <c r="Q210" s="101">
        <f t="shared" si="243"/>
        <v>0</v>
      </c>
      <c r="R210" s="101">
        <f t="shared" si="244"/>
        <v>0</v>
      </c>
      <c r="S210" s="101">
        <f t="shared" si="245"/>
        <v>0</v>
      </c>
      <c r="T210" s="101">
        <f t="shared" si="246"/>
        <v>3.2385164672970343E-3</v>
      </c>
      <c r="U210" s="101">
        <f t="shared" si="247"/>
        <v>2.2019054836135591E-2</v>
      </c>
      <c r="V210" s="101">
        <f t="shared" si="248"/>
        <v>1.2213706785244238E-3</v>
      </c>
      <c r="W210" s="101">
        <f t="shared" si="249"/>
        <v>9.7410636121205343E-3</v>
      </c>
    </row>
    <row r="211" spans="2:23">
      <c r="B211" s="192" t="s">
        <v>11042</v>
      </c>
      <c r="C211" s="192">
        <f>SUM(C207:C210)</f>
        <v>0</v>
      </c>
      <c r="D211" s="192">
        <f t="shared" ref="D211:L211" si="250">SUM(D207:D210)</f>
        <v>0</v>
      </c>
      <c r="E211" s="192">
        <f t="shared" si="250"/>
        <v>0</v>
      </c>
      <c r="F211" s="192">
        <f t="shared" si="250"/>
        <v>0</v>
      </c>
      <c r="G211" s="192">
        <f t="shared" si="250"/>
        <v>0</v>
      </c>
      <c r="H211" s="192">
        <f t="shared" si="250"/>
        <v>0</v>
      </c>
      <c r="I211" s="192">
        <f t="shared" si="250"/>
        <v>1251123.3991541469</v>
      </c>
      <c r="J211" s="192">
        <f t="shared" si="250"/>
        <v>10175397.084851801</v>
      </c>
      <c r="K211" s="192">
        <f t="shared" si="250"/>
        <v>1332941.3764825384</v>
      </c>
      <c r="L211" s="192">
        <f t="shared" si="250"/>
        <v>2635571.0569686214</v>
      </c>
      <c r="M211" s="192"/>
      <c r="N211" s="193">
        <f t="shared" si="240"/>
        <v>0</v>
      </c>
      <c r="O211" s="193">
        <f t="shared" si="241"/>
        <v>0</v>
      </c>
      <c r="P211" s="193">
        <f t="shared" si="242"/>
        <v>0</v>
      </c>
      <c r="Q211" s="193">
        <f t="shared" si="243"/>
        <v>0</v>
      </c>
      <c r="R211" s="193">
        <f t="shared" si="244"/>
        <v>0</v>
      </c>
      <c r="S211" s="193">
        <f t="shared" si="245"/>
        <v>0</v>
      </c>
      <c r="T211" s="193">
        <f t="shared" si="246"/>
        <v>3.4174823494183778E-3</v>
      </c>
      <c r="U211" s="193">
        <f t="shared" si="247"/>
        <v>4.8810166893375979E-2</v>
      </c>
      <c r="V211" s="193">
        <f t="shared" si="248"/>
        <v>1.2213706785244238E-3</v>
      </c>
      <c r="W211" s="193">
        <f t="shared" si="249"/>
        <v>9.7410636121205343E-3</v>
      </c>
    </row>
    <row r="215" spans="2:23" s="214" customFormat="1">
      <c r="B215" s="215" t="s">
        <v>11170</v>
      </c>
    </row>
    <row r="217" spans="2:23">
      <c r="G217" s="255" t="s">
        <v>10494</v>
      </c>
      <c r="H217" s="255"/>
      <c r="I217" s="255"/>
    </row>
    <row r="218" spans="2:23">
      <c r="B218" s="170" t="s">
        <v>10468</v>
      </c>
      <c r="C218" s="63" t="s">
        <v>11042</v>
      </c>
      <c r="D218" s="63" t="s">
        <v>2057</v>
      </c>
      <c r="E218" s="63" t="s">
        <v>3994</v>
      </c>
      <c r="F218" s="63" t="s">
        <v>11172</v>
      </c>
      <c r="G218" s="63" t="s">
        <v>2057</v>
      </c>
      <c r="H218" s="63" t="s">
        <v>3994</v>
      </c>
      <c r="I218" s="63" t="s">
        <v>11172</v>
      </c>
    </row>
    <row r="219" spans="2:23">
      <c r="B219" s="64" t="s">
        <v>10821</v>
      </c>
      <c r="C219" s="22">
        <f>SUMIFS('Bottom-up tagging'!$I:$I,'Bottom-up tagging'!$P:$P,'Analysis of bottom-up tags'!$B219)</f>
        <v>1705586037.1560442</v>
      </c>
      <c r="D219" s="99">
        <f>SUMIFS('Bottom-up tagging'!$I:$I,'Bottom-up tagging'!$P:$P,'Analysis of bottom-up tags'!$B219,'Bottom-up tagging'!$D:$D,'Analysis of bottom-up tags'!D$218)</f>
        <v>1433980179.2167363</v>
      </c>
      <c r="E219" s="99">
        <f>SUMIFS('Bottom-up tagging'!$I:$I,'Bottom-up tagging'!$P:$P,'Analysis of bottom-up tags'!$B219,'Bottom-up tagging'!$D:$D,'Analysis of bottom-up tags'!E$218)</f>
        <v>234369001.73947942</v>
      </c>
      <c r="F219" s="99">
        <f>C219-SUM(D219:E219)</f>
        <v>37236856.199828386</v>
      </c>
      <c r="G219" s="101">
        <f>IFERROR(D219/$C219,0)</f>
        <v>0.84075511171972694</v>
      </c>
      <c r="H219" s="101">
        <f t="shared" ref="H219:H260" si="251">IFERROR(E219/$C219,0)</f>
        <v>0.13741259404906642</v>
      </c>
      <c r="I219" s="101">
        <f>IFERROR(F219/$C219,0)</f>
        <v>2.1832294231206573E-2</v>
      </c>
    </row>
    <row r="220" spans="2:23">
      <c r="B220" s="64" t="s">
        <v>10993</v>
      </c>
      <c r="C220" s="22">
        <f>SUMIFS('Bottom-up tagging'!$I:$I,'Bottom-up tagging'!$P:$P,'Analysis of bottom-up tags'!$B220)</f>
        <v>157375927.13636997</v>
      </c>
      <c r="D220" s="99">
        <f>SUMIFS('Bottom-up tagging'!$I:$I,'Bottom-up tagging'!$P:$P,'Analysis of bottom-up tags'!$B220,'Bottom-up tagging'!$D:$D,'Analysis of bottom-up tags'!D$218)</f>
        <v>0</v>
      </c>
      <c r="E220" s="99">
        <f>SUMIFS('Bottom-up tagging'!$I:$I,'Bottom-up tagging'!$P:$P,'Analysis of bottom-up tags'!$B220,'Bottom-up tagging'!$D:$D,'Analysis of bottom-up tags'!E$218)</f>
        <v>157375927.13636997</v>
      </c>
      <c r="F220" s="99">
        <f t="shared" ref="F220:F260" si="252">C220-SUM(D220:E220)</f>
        <v>0</v>
      </c>
      <c r="G220" s="101">
        <f t="shared" ref="G220:G260" si="253">IFERROR(D220/$C220,0)</f>
        <v>0</v>
      </c>
      <c r="H220" s="101">
        <f t="shared" si="251"/>
        <v>1</v>
      </c>
      <c r="I220" s="101">
        <f t="shared" ref="I220:I260" si="254">IFERROR(F220/$C220,0)</f>
        <v>0</v>
      </c>
    </row>
    <row r="221" spans="2:23">
      <c r="B221" s="64" t="s">
        <v>10720</v>
      </c>
      <c r="C221" s="22">
        <f>SUMIFS('Bottom-up tagging'!$I:$I,'Bottom-up tagging'!$P:$P,'Analysis of bottom-up tags'!$B221)</f>
        <v>8866422.7372210808</v>
      </c>
      <c r="D221" s="99">
        <f>SUMIFS('Bottom-up tagging'!$I:$I,'Bottom-up tagging'!$P:$P,'Analysis of bottom-up tags'!$B221,'Bottom-up tagging'!$D:$D,'Analysis of bottom-up tags'!D$218)</f>
        <v>0</v>
      </c>
      <c r="E221" s="99">
        <f>SUMIFS('Bottom-up tagging'!$I:$I,'Bottom-up tagging'!$P:$P,'Analysis of bottom-up tags'!$B221,'Bottom-up tagging'!$D:$D,'Analysis of bottom-up tags'!E$218)</f>
        <v>0</v>
      </c>
      <c r="F221" s="99">
        <f t="shared" si="252"/>
        <v>8866422.7372210808</v>
      </c>
      <c r="G221" s="101">
        <f t="shared" si="253"/>
        <v>0</v>
      </c>
      <c r="H221" s="101">
        <f t="shared" si="251"/>
        <v>0</v>
      </c>
      <c r="I221" s="101">
        <f t="shared" si="254"/>
        <v>1</v>
      </c>
    </row>
    <row r="222" spans="2:23">
      <c r="B222" s="64" t="s">
        <v>10718</v>
      </c>
      <c r="C222" s="22">
        <f>SUMIFS('Bottom-up tagging'!$I:$I,'Bottom-up tagging'!$P:$P,'Analysis of bottom-up tags'!$B222)</f>
        <v>89260025.845932946</v>
      </c>
      <c r="D222" s="99">
        <f>SUMIFS('Bottom-up tagging'!$I:$I,'Bottom-up tagging'!$P:$P,'Analysis of bottom-up tags'!$B222,'Bottom-up tagging'!$D:$D,'Analysis of bottom-up tags'!D$218)</f>
        <v>84047848.509081498</v>
      </c>
      <c r="E222" s="99">
        <f>SUMIFS('Bottom-up tagging'!$I:$I,'Bottom-up tagging'!$P:$P,'Analysis of bottom-up tags'!$B222,'Bottom-up tagging'!$D:$D,'Analysis of bottom-up tags'!E$218)</f>
        <v>4455404.6418179292</v>
      </c>
      <c r="F222" s="99">
        <f t="shared" si="252"/>
        <v>756772.69503352046</v>
      </c>
      <c r="G222" s="101">
        <f t="shared" si="253"/>
        <v>0.94160681349288522</v>
      </c>
      <c r="H222" s="101">
        <f t="shared" si="251"/>
        <v>4.9914893028466849E-2</v>
      </c>
      <c r="I222" s="101">
        <f t="shared" si="254"/>
        <v>8.4782934786479473E-3</v>
      </c>
    </row>
    <row r="223" spans="2:23">
      <c r="B223" s="64" t="s">
        <v>10712</v>
      </c>
      <c r="C223" s="22">
        <f>SUMIFS('Bottom-up tagging'!$I:$I,'Bottom-up tagging'!$P:$P,'Analysis of bottom-up tags'!$B223)</f>
        <v>1112127.5201809809</v>
      </c>
      <c r="D223" s="99">
        <f>SUMIFS('Bottom-up tagging'!$I:$I,'Bottom-up tagging'!$P:$P,'Analysis of bottom-up tags'!$B223,'Bottom-up tagging'!$D:$D,'Analysis of bottom-up tags'!D$218)</f>
        <v>0</v>
      </c>
      <c r="E223" s="99">
        <f>SUMIFS('Bottom-up tagging'!$I:$I,'Bottom-up tagging'!$P:$P,'Analysis of bottom-up tags'!$B223,'Bottom-up tagging'!$D:$D,'Analysis of bottom-up tags'!E$218)</f>
        <v>0</v>
      </c>
      <c r="F223" s="99">
        <f t="shared" si="252"/>
        <v>1112127.5201809809</v>
      </c>
      <c r="G223" s="101">
        <f t="shared" si="253"/>
        <v>0</v>
      </c>
      <c r="H223" s="101">
        <f t="shared" si="251"/>
        <v>0</v>
      </c>
      <c r="I223" s="101">
        <f t="shared" si="254"/>
        <v>1</v>
      </c>
    </row>
    <row r="224" spans="2:23">
      <c r="B224" s="64" t="s">
        <v>10766</v>
      </c>
      <c r="C224" s="22">
        <f>SUMIFS('Bottom-up tagging'!$I:$I,'Bottom-up tagging'!$P:$P,'Analysis of bottom-up tags'!$B224)</f>
        <v>3411048.2679354013</v>
      </c>
      <c r="D224" s="99">
        <f>SUMIFS('Bottom-up tagging'!$I:$I,'Bottom-up tagging'!$P:$P,'Analysis of bottom-up tags'!$B224,'Bottom-up tagging'!$D:$D,'Analysis of bottom-up tags'!D$218)</f>
        <v>0</v>
      </c>
      <c r="E224" s="99">
        <f>SUMIFS('Bottom-up tagging'!$I:$I,'Bottom-up tagging'!$P:$P,'Analysis of bottom-up tags'!$B224,'Bottom-up tagging'!$D:$D,'Analysis of bottom-up tags'!E$218)</f>
        <v>2187484.79434952</v>
      </c>
      <c r="F224" s="99">
        <f t="shared" si="252"/>
        <v>1223563.4735858813</v>
      </c>
      <c r="G224" s="101">
        <f t="shared" si="253"/>
        <v>0</v>
      </c>
      <c r="H224" s="101">
        <f t="shared" si="251"/>
        <v>0.64129400187981944</v>
      </c>
      <c r="I224" s="101">
        <f t="shared" si="254"/>
        <v>0.35870599812018056</v>
      </c>
    </row>
    <row r="225" spans="2:9">
      <c r="B225" s="64" t="s">
        <v>10842</v>
      </c>
      <c r="C225" s="22">
        <f>SUMIFS('Bottom-up tagging'!$I:$I,'Bottom-up tagging'!$P:$P,'Analysis of bottom-up tags'!$B225)</f>
        <v>114542194.35706818</v>
      </c>
      <c r="D225" s="99">
        <f>SUMIFS('Bottom-up tagging'!$I:$I,'Bottom-up tagging'!$P:$P,'Analysis of bottom-up tags'!$B225,'Bottom-up tagging'!$D:$D,'Analysis of bottom-up tags'!D$218)</f>
        <v>29449874.498553667</v>
      </c>
      <c r="E225" s="99">
        <f>SUMIFS('Bottom-up tagging'!$I:$I,'Bottom-up tagging'!$P:$P,'Analysis of bottom-up tags'!$B225,'Bottom-up tagging'!$D:$D,'Analysis of bottom-up tags'!E$218)</f>
        <v>59010161.659675747</v>
      </c>
      <c r="F225" s="99">
        <f t="shared" si="252"/>
        <v>26082158.19883877</v>
      </c>
      <c r="G225" s="101">
        <f t="shared" si="253"/>
        <v>0.25710939679353517</v>
      </c>
      <c r="H225" s="101">
        <f t="shared" si="251"/>
        <v>0.51518274109294937</v>
      </c>
      <c r="I225" s="101">
        <f t="shared" si="254"/>
        <v>0.22770786211351546</v>
      </c>
    </row>
    <row r="226" spans="2:9">
      <c r="B226" s="64" t="s">
        <v>10846</v>
      </c>
      <c r="C226" s="22">
        <f>SUMIFS('Bottom-up tagging'!$I:$I,'Bottom-up tagging'!$P:$P,'Analysis of bottom-up tags'!$B226)</f>
        <v>92910680.075974822</v>
      </c>
      <c r="D226" s="99">
        <f>SUMIFS('Bottom-up tagging'!$I:$I,'Bottom-up tagging'!$P:$P,'Analysis of bottom-up tags'!$B226,'Bottom-up tagging'!$D:$D,'Analysis of bottom-up tags'!D$218)</f>
        <v>29161985.575275499</v>
      </c>
      <c r="E226" s="99">
        <f>SUMIFS('Bottom-up tagging'!$I:$I,'Bottom-up tagging'!$P:$P,'Analysis of bottom-up tags'!$B226,'Bottom-up tagging'!$D:$D,'Analysis of bottom-up tags'!E$218)</f>
        <v>35945447.663726449</v>
      </c>
      <c r="F226" s="99">
        <f t="shared" si="252"/>
        <v>27803246.836972877</v>
      </c>
      <c r="G226" s="101">
        <f t="shared" si="253"/>
        <v>0.31387118845141582</v>
      </c>
      <c r="H226" s="101">
        <f t="shared" si="251"/>
        <v>0.38688176250925271</v>
      </c>
      <c r="I226" s="101">
        <f t="shared" si="254"/>
        <v>0.29924704903933147</v>
      </c>
    </row>
    <row r="227" spans="2:9">
      <c r="B227" s="64" t="s">
        <v>10776</v>
      </c>
      <c r="C227" s="22">
        <f>SUMIFS('Bottom-up tagging'!$I:$I,'Bottom-up tagging'!$P:$P,'Analysis of bottom-up tags'!$B227)</f>
        <v>5585111.0716889938</v>
      </c>
      <c r="D227" s="99">
        <f>SUMIFS('Bottom-up tagging'!$I:$I,'Bottom-up tagging'!$P:$P,'Analysis of bottom-up tags'!$B227,'Bottom-up tagging'!$D:$D,'Analysis of bottom-up tags'!D$218)</f>
        <v>0</v>
      </c>
      <c r="E227" s="99">
        <f>SUMIFS('Bottom-up tagging'!$I:$I,'Bottom-up tagging'!$P:$P,'Analysis of bottom-up tags'!$B227,'Bottom-up tagging'!$D:$D,'Analysis of bottom-up tags'!E$218)</f>
        <v>0</v>
      </c>
      <c r="F227" s="99">
        <f t="shared" si="252"/>
        <v>5585111.0716889938</v>
      </c>
      <c r="G227" s="101">
        <f t="shared" si="253"/>
        <v>0</v>
      </c>
      <c r="H227" s="101">
        <f t="shared" si="251"/>
        <v>0</v>
      </c>
      <c r="I227" s="101">
        <f t="shared" si="254"/>
        <v>1</v>
      </c>
    </row>
    <row r="228" spans="2:9">
      <c r="B228" s="64" t="s">
        <v>10517</v>
      </c>
      <c r="C228" s="22">
        <f>SUMIFS('Bottom-up tagging'!$I:$I,'Bottom-up tagging'!$P:$P,'Analysis of bottom-up tags'!$B228)</f>
        <v>40340841.105707303</v>
      </c>
      <c r="D228" s="99">
        <f>SUMIFS('Bottom-up tagging'!$I:$I,'Bottom-up tagging'!$P:$P,'Analysis of bottom-up tags'!$B228,'Bottom-up tagging'!$D:$D,'Analysis of bottom-up tags'!D$218)</f>
        <v>35559795.951398425</v>
      </c>
      <c r="E228" s="99">
        <f>SUMIFS('Bottom-up tagging'!$I:$I,'Bottom-up tagging'!$P:$P,'Analysis of bottom-up tags'!$B228,'Bottom-up tagging'!$D:$D,'Analysis of bottom-up tags'!E$218)</f>
        <v>0</v>
      </c>
      <c r="F228" s="99">
        <f t="shared" si="252"/>
        <v>4781045.1543088779</v>
      </c>
      <c r="G228" s="101">
        <f t="shared" si="253"/>
        <v>0.88148375137293633</v>
      </c>
      <c r="H228" s="101">
        <f t="shared" si="251"/>
        <v>0</v>
      </c>
      <c r="I228" s="101">
        <f t="shared" si="254"/>
        <v>0.1185162486270637</v>
      </c>
    </row>
    <row r="229" spans="2:9">
      <c r="B229" s="64" t="s">
        <v>10759</v>
      </c>
      <c r="C229" s="22">
        <f>SUMIFS('Bottom-up tagging'!$I:$I,'Bottom-up tagging'!$P:$P,'Analysis of bottom-up tags'!$B229)</f>
        <v>9744403.3207608406</v>
      </c>
      <c r="D229" s="99">
        <f>SUMIFS('Bottom-up tagging'!$I:$I,'Bottom-up tagging'!$P:$P,'Analysis of bottom-up tags'!$B229,'Bottom-up tagging'!$D:$D,'Analysis of bottom-up tags'!D$218)</f>
        <v>1297707.7910402766</v>
      </c>
      <c r="E229" s="99">
        <f>SUMIFS('Bottom-up tagging'!$I:$I,'Bottom-up tagging'!$P:$P,'Analysis of bottom-up tags'!$B229,'Bottom-up tagging'!$D:$D,'Analysis of bottom-up tags'!E$218)</f>
        <v>506870.09163197625</v>
      </c>
      <c r="F229" s="99">
        <f t="shared" si="252"/>
        <v>7939825.4380885875</v>
      </c>
      <c r="G229" s="101">
        <f t="shared" si="253"/>
        <v>0.13317467969285079</v>
      </c>
      <c r="H229" s="101">
        <f t="shared" si="251"/>
        <v>5.2016534511874039E-2</v>
      </c>
      <c r="I229" s="101">
        <f t="shared" si="254"/>
        <v>0.81480878579527516</v>
      </c>
    </row>
    <row r="230" spans="2:9">
      <c r="B230" s="64" t="s">
        <v>10852</v>
      </c>
      <c r="C230" s="22">
        <f>SUMIFS('Bottom-up tagging'!$I:$I,'Bottom-up tagging'!$P:$P,'Analysis of bottom-up tags'!$B230)</f>
        <v>17659377.786576021</v>
      </c>
      <c r="D230" s="99">
        <f>SUMIFS('Bottom-up tagging'!$I:$I,'Bottom-up tagging'!$P:$P,'Analysis of bottom-up tags'!$B230,'Bottom-up tagging'!$D:$D,'Analysis of bottom-up tags'!D$218)</f>
        <v>11920691.67909272</v>
      </c>
      <c r="E230" s="99">
        <f>SUMIFS('Bottom-up tagging'!$I:$I,'Bottom-up tagging'!$P:$P,'Analysis of bottom-up tags'!$B230,'Bottom-up tagging'!$D:$D,'Analysis of bottom-up tags'!E$218)</f>
        <v>72101.249786380227</v>
      </c>
      <c r="F230" s="99">
        <f t="shared" si="252"/>
        <v>5666584.8576969206</v>
      </c>
      <c r="G230" s="101">
        <f t="shared" si="253"/>
        <v>0.67503463729930346</v>
      </c>
      <c r="H230" s="101">
        <f t="shared" si="251"/>
        <v>4.0828873280681962E-3</v>
      </c>
      <c r="I230" s="101">
        <f t="shared" si="254"/>
        <v>0.32088247537262837</v>
      </c>
    </row>
    <row r="231" spans="2:9">
      <c r="B231" s="64" t="s">
        <v>10768</v>
      </c>
      <c r="C231" s="22">
        <f>SUMIFS('Bottom-up tagging'!$I:$I,'Bottom-up tagging'!$P:$P,'Analysis of bottom-up tags'!$B231)</f>
        <v>24827595.725279219</v>
      </c>
      <c r="D231" s="99">
        <f>SUMIFS('Bottom-up tagging'!$I:$I,'Bottom-up tagging'!$P:$P,'Analysis of bottom-up tags'!$B231,'Bottom-up tagging'!$D:$D,'Analysis of bottom-up tags'!D$218)</f>
        <v>0</v>
      </c>
      <c r="E231" s="99">
        <f>SUMIFS('Bottom-up tagging'!$I:$I,'Bottom-up tagging'!$P:$P,'Analysis of bottom-up tags'!$B231,'Bottom-up tagging'!$D:$D,'Analysis of bottom-up tags'!E$218)</f>
        <v>23638302.727479346</v>
      </c>
      <c r="F231" s="99">
        <f t="shared" si="252"/>
        <v>1189292.9977998734</v>
      </c>
      <c r="G231" s="101">
        <f t="shared" si="253"/>
        <v>0</v>
      </c>
      <c r="H231" s="101">
        <f t="shared" si="251"/>
        <v>0.95209793928660813</v>
      </c>
      <c r="I231" s="101">
        <f t="shared" si="254"/>
        <v>4.7902060713391856E-2</v>
      </c>
    </row>
    <row r="232" spans="2:9">
      <c r="B232" s="64" t="s">
        <v>10870</v>
      </c>
      <c r="C232" s="22">
        <f>SUMIFS('Bottom-up tagging'!$I:$I,'Bottom-up tagging'!$P:$P,'Analysis of bottom-up tags'!$B232)</f>
        <v>18456631.878800105</v>
      </c>
      <c r="D232" s="99">
        <f>SUMIFS('Bottom-up tagging'!$I:$I,'Bottom-up tagging'!$P:$P,'Analysis of bottom-up tags'!$B232,'Bottom-up tagging'!$D:$D,'Analysis of bottom-up tags'!D$218)</f>
        <v>0</v>
      </c>
      <c r="E232" s="99">
        <f>SUMIFS('Bottom-up tagging'!$I:$I,'Bottom-up tagging'!$P:$P,'Analysis of bottom-up tags'!$B232,'Bottom-up tagging'!$D:$D,'Analysis of bottom-up tags'!E$218)</f>
        <v>18451565.884094883</v>
      </c>
      <c r="F232" s="99">
        <f t="shared" si="252"/>
        <v>5065.9947052225471</v>
      </c>
      <c r="G232" s="101">
        <f t="shared" si="253"/>
        <v>0</v>
      </c>
      <c r="H232" s="101">
        <f t="shared" si="251"/>
        <v>0.99972551900376572</v>
      </c>
      <c r="I232" s="101">
        <f t="shared" si="254"/>
        <v>2.7448099623428665E-4</v>
      </c>
    </row>
    <row r="233" spans="2:9">
      <c r="B233" s="64" t="s">
        <v>10765</v>
      </c>
      <c r="C233" s="22">
        <f>SUMIFS('Bottom-up tagging'!$I:$I,'Bottom-up tagging'!$P:$P,'Analysis of bottom-up tags'!$B233)</f>
        <v>12815762.625363527</v>
      </c>
      <c r="D233" s="99">
        <f>SUMIFS('Bottom-up tagging'!$I:$I,'Bottom-up tagging'!$P:$P,'Analysis of bottom-up tags'!$B233,'Bottom-up tagging'!$D:$D,'Analysis of bottom-up tags'!D$218)</f>
        <v>0</v>
      </c>
      <c r="E233" s="99">
        <f>SUMIFS('Bottom-up tagging'!$I:$I,'Bottom-up tagging'!$P:$P,'Analysis of bottom-up tags'!$B233,'Bottom-up tagging'!$D:$D,'Analysis of bottom-up tags'!E$218)</f>
        <v>12800190.732740903</v>
      </c>
      <c r="F233" s="99">
        <f t="shared" si="252"/>
        <v>15571.892622623593</v>
      </c>
      <c r="G233" s="101">
        <f t="shared" si="253"/>
        <v>0</v>
      </c>
      <c r="H233" s="101">
        <f t="shared" si="251"/>
        <v>0.99878494217801717</v>
      </c>
      <c r="I233" s="101">
        <f t="shared" si="254"/>
        <v>1.2150578219828636E-3</v>
      </c>
    </row>
    <row r="234" spans="2:9">
      <c r="B234" s="64" t="s">
        <v>10735</v>
      </c>
      <c r="C234" s="22">
        <f>SUMIFS('Bottom-up tagging'!$I:$I,'Bottom-up tagging'!$P:$P,'Analysis of bottom-up tags'!$B234)</f>
        <v>8976836.4878924321</v>
      </c>
      <c r="D234" s="99">
        <f>SUMIFS('Bottom-up tagging'!$I:$I,'Bottom-up tagging'!$P:$P,'Analysis of bottom-up tags'!$B234,'Bottom-up tagging'!$D:$D,'Analysis of bottom-up tags'!D$218)</f>
        <v>8760268.4215490632</v>
      </c>
      <c r="E234" s="99">
        <f>SUMIFS('Bottom-up tagging'!$I:$I,'Bottom-up tagging'!$P:$P,'Analysis of bottom-up tags'!$B234,'Bottom-up tagging'!$D:$D,'Analysis of bottom-up tags'!E$218)</f>
        <v>216568.06634336952</v>
      </c>
      <c r="F234" s="99">
        <f t="shared" si="252"/>
        <v>0</v>
      </c>
      <c r="G234" s="101">
        <f t="shared" si="253"/>
        <v>0.97587478989558663</v>
      </c>
      <c r="H234" s="101">
        <f t="shared" si="251"/>
        <v>2.4125210104413413E-2</v>
      </c>
      <c r="I234" s="101">
        <f t="shared" si="254"/>
        <v>0</v>
      </c>
    </row>
    <row r="235" spans="2:9">
      <c r="B235" s="64" t="s">
        <v>10709</v>
      </c>
      <c r="C235" s="22">
        <f>SUMIFS('Bottom-up tagging'!$I:$I,'Bottom-up tagging'!$P:$P,'Analysis of bottom-up tags'!$B235)</f>
        <v>8090369.9848521631</v>
      </c>
      <c r="D235" s="99">
        <f>SUMIFS('Bottom-up tagging'!$I:$I,'Bottom-up tagging'!$P:$P,'Analysis of bottom-up tags'!$B235,'Bottom-up tagging'!$D:$D,'Analysis of bottom-up tags'!D$218)</f>
        <v>0</v>
      </c>
      <c r="E235" s="99">
        <f>SUMIFS('Bottom-up tagging'!$I:$I,'Bottom-up tagging'!$P:$P,'Analysis of bottom-up tags'!$B235,'Bottom-up tagging'!$D:$D,'Analysis of bottom-up tags'!E$218)</f>
        <v>8024300.1143394513</v>
      </c>
      <c r="F235" s="99">
        <f t="shared" si="252"/>
        <v>66069.870512711816</v>
      </c>
      <c r="G235" s="101">
        <f t="shared" si="253"/>
        <v>0</v>
      </c>
      <c r="H235" s="101">
        <f t="shared" si="251"/>
        <v>0.99183351680622567</v>
      </c>
      <c r="I235" s="101">
        <f t="shared" si="254"/>
        <v>8.166483193774372E-3</v>
      </c>
    </row>
    <row r="236" spans="2:9">
      <c r="B236" s="64" t="s">
        <v>10774</v>
      </c>
      <c r="C236" s="22">
        <f>SUMIFS('Bottom-up tagging'!$I:$I,'Bottom-up tagging'!$P:$P,'Analysis of bottom-up tags'!$B236)</f>
        <v>9700312.576434968</v>
      </c>
      <c r="D236" s="99">
        <f>SUMIFS('Bottom-up tagging'!$I:$I,'Bottom-up tagging'!$P:$P,'Analysis of bottom-up tags'!$B236,'Bottom-up tagging'!$D:$D,'Analysis of bottom-up tags'!D$218)</f>
        <v>7754748.3286185153</v>
      </c>
      <c r="E236" s="99">
        <f>SUMIFS('Bottom-up tagging'!$I:$I,'Bottom-up tagging'!$P:$P,'Analysis of bottom-up tags'!$B236,'Bottom-up tagging'!$D:$D,'Analysis of bottom-up tags'!E$218)</f>
        <v>1945564.2478164532</v>
      </c>
      <c r="F236" s="99">
        <f t="shared" si="252"/>
        <v>0</v>
      </c>
      <c r="G236" s="101">
        <f t="shared" si="253"/>
        <v>0.79943282935615656</v>
      </c>
      <c r="H236" s="101">
        <f t="shared" si="251"/>
        <v>0.20056717064384347</v>
      </c>
      <c r="I236" s="101">
        <f t="shared" si="254"/>
        <v>0</v>
      </c>
    </row>
    <row r="237" spans="2:9">
      <c r="B237" s="64" t="s">
        <v>10748</v>
      </c>
      <c r="C237" s="22">
        <f>SUMIFS('Bottom-up tagging'!$I:$I,'Bottom-up tagging'!$P:$P,'Analysis of bottom-up tags'!$B237)</f>
        <v>7225142.528076957</v>
      </c>
      <c r="D237" s="99">
        <f>SUMIFS('Bottom-up tagging'!$I:$I,'Bottom-up tagging'!$P:$P,'Analysis of bottom-up tags'!$B237,'Bottom-up tagging'!$D:$D,'Analysis of bottom-up tags'!D$218)</f>
        <v>0</v>
      </c>
      <c r="E237" s="99">
        <f>SUMIFS('Bottom-up tagging'!$I:$I,'Bottom-up tagging'!$P:$P,'Analysis of bottom-up tags'!$B237,'Bottom-up tagging'!$D:$D,'Analysis of bottom-up tags'!E$218)</f>
        <v>0</v>
      </c>
      <c r="F237" s="99">
        <f t="shared" si="252"/>
        <v>7225142.528076957</v>
      </c>
      <c r="G237" s="101">
        <f t="shared" si="253"/>
        <v>0</v>
      </c>
      <c r="H237" s="101">
        <f t="shared" si="251"/>
        <v>0</v>
      </c>
      <c r="I237" s="101">
        <f t="shared" si="254"/>
        <v>1</v>
      </c>
    </row>
    <row r="238" spans="2:9">
      <c r="B238" s="64" t="s">
        <v>10819</v>
      </c>
      <c r="C238" s="22">
        <f>SUMIFS('Bottom-up tagging'!$I:$I,'Bottom-up tagging'!$P:$P,'Analysis of bottom-up tags'!$B238)</f>
        <v>16452405.102590973</v>
      </c>
      <c r="D238" s="99">
        <f>SUMIFS('Bottom-up tagging'!$I:$I,'Bottom-up tagging'!$P:$P,'Analysis of bottom-up tags'!$B238,'Bottom-up tagging'!$D:$D,'Analysis of bottom-up tags'!D$218)</f>
        <v>1174356.264361657</v>
      </c>
      <c r="E238" s="99">
        <f>SUMIFS('Bottom-up tagging'!$I:$I,'Bottom-up tagging'!$P:$P,'Analysis of bottom-up tags'!$B238,'Bottom-up tagging'!$D:$D,'Analysis of bottom-up tags'!E$218)</f>
        <v>15041937.334342781</v>
      </c>
      <c r="F238" s="99">
        <f t="shared" si="252"/>
        <v>236111.5038865339</v>
      </c>
      <c r="G238" s="101">
        <f t="shared" si="253"/>
        <v>7.1379002464309366E-2</v>
      </c>
      <c r="H238" s="101">
        <f t="shared" si="251"/>
        <v>0.91426981286607956</v>
      </c>
      <c r="I238" s="101">
        <f t="shared" si="254"/>
        <v>1.4351184669611033E-2</v>
      </c>
    </row>
    <row r="239" spans="2:9">
      <c r="B239" s="64" t="s">
        <v>10706</v>
      </c>
      <c r="C239" s="22">
        <f>SUMIFS('Bottom-up tagging'!$I:$I,'Bottom-up tagging'!$P:$P,'Analysis of bottom-up tags'!$B239)</f>
        <v>8927019.4268038962</v>
      </c>
      <c r="D239" s="99">
        <f>SUMIFS('Bottom-up tagging'!$I:$I,'Bottom-up tagging'!$P:$P,'Analysis of bottom-up tags'!$B239,'Bottom-up tagging'!$D:$D,'Analysis of bottom-up tags'!D$218)</f>
        <v>0</v>
      </c>
      <c r="E239" s="99">
        <f>SUMIFS('Bottom-up tagging'!$I:$I,'Bottom-up tagging'!$P:$P,'Analysis of bottom-up tags'!$B239,'Bottom-up tagging'!$D:$D,'Analysis of bottom-up tags'!E$218)</f>
        <v>8927019.4268038962</v>
      </c>
      <c r="F239" s="99">
        <f t="shared" si="252"/>
        <v>0</v>
      </c>
      <c r="G239" s="101">
        <f t="shared" si="253"/>
        <v>0</v>
      </c>
      <c r="H239" s="101">
        <f t="shared" si="251"/>
        <v>1</v>
      </c>
      <c r="I239" s="101">
        <f t="shared" si="254"/>
        <v>0</v>
      </c>
    </row>
    <row r="240" spans="2:9">
      <c r="B240" s="64" t="s">
        <v>10784</v>
      </c>
      <c r="C240" s="22">
        <f>SUMIFS('Bottom-up tagging'!$I:$I,'Bottom-up tagging'!$P:$P,'Analysis of bottom-up tags'!$B240)</f>
        <v>8665540.8542260546</v>
      </c>
      <c r="D240" s="99">
        <f>SUMIFS('Bottom-up tagging'!$I:$I,'Bottom-up tagging'!$P:$P,'Analysis of bottom-up tags'!$B240,'Bottom-up tagging'!$D:$D,'Analysis of bottom-up tags'!D$218)</f>
        <v>5472400.9010681696</v>
      </c>
      <c r="E240" s="99">
        <f>SUMIFS('Bottom-up tagging'!$I:$I,'Bottom-up tagging'!$P:$P,'Analysis of bottom-up tags'!$B240,'Bottom-up tagging'!$D:$D,'Analysis of bottom-up tags'!E$218)</f>
        <v>686865.40720776678</v>
      </c>
      <c r="F240" s="99">
        <f t="shared" si="252"/>
        <v>2506274.5459501185</v>
      </c>
      <c r="G240" s="101">
        <f t="shared" si="253"/>
        <v>0.63151290763338352</v>
      </c>
      <c r="H240" s="101">
        <f t="shared" si="251"/>
        <v>7.9263997338699613E-2</v>
      </c>
      <c r="I240" s="101">
        <f t="shared" si="254"/>
        <v>0.28922309502791693</v>
      </c>
    </row>
    <row r="241" spans="2:9">
      <c r="B241" s="64" t="s">
        <v>10793</v>
      </c>
      <c r="C241" s="22">
        <f>SUMIFS('Bottom-up tagging'!$I:$I,'Bottom-up tagging'!$P:$P,'Analysis of bottom-up tags'!$B241)</f>
        <v>3200051.8961976594</v>
      </c>
      <c r="D241" s="99">
        <f>SUMIFS('Bottom-up tagging'!$I:$I,'Bottom-up tagging'!$P:$P,'Analysis of bottom-up tags'!$B241,'Bottom-up tagging'!$D:$D,'Analysis of bottom-up tags'!D$218)</f>
        <v>0</v>
      </c>
      <c r="E241" s="99">
        <f>SUMIFS('Bottom-up tagging'!$I:$I,'Bottom-up tagging'!$P:$P,'Analysis of bottom-up tags'!$B241,'Bottom-up tagging'!$D:$D,'Analysis of bottom-up tags'!E$218)</f>
        <v>0</v>
      </c>
      <c r="F241" s="99">
        <f t="shared" si="252"/>
        <v>3200051.8961976594</v>
      </c>
      <c r="G241" s="101">
        <f t="shared" si="253"/>
        <v>0</v>
      </c>
      <c r="H241" s="101">
        <f t="shared" si="251"/>
        <v>0</v>
      </c>
      <c r="I241" s="101">
        <f t="shared" si="254"/>
        <v>1</v>
      </c>
    </row>
    <row r="242" spans="2:9">
      <c r="B242" s="64" t="s">
        <v>10715</v>
      </c>
      <c r="C242" s="22">
        <f>SUMIFS('Bottom-up tagging'!$I:$I,'Bottom-up tagging'!$P:$P,'Analysis of bottom-up tags'!$B242)</f>
        <v>6735111.1142461672</v>
      </c>
      <c r="D242" s="99">
        <f>SUMIFS('Bottom-up tagging'!$I:$I,'Bottom-up tagging'!$P:$P,'Analysis of bottom-up tags'!$B242,'Bottom-up tagging'!$D:$D,'Analysis of bottom-up tags'!D$218)</f>
        <v>0</v>
      </c>
      <c r="E242" s="99">
        <f>SUMIFS('Bottom-up tagging'!$I:$I,'Bottom-up tagging'!$P:$P,'Analysis of bottom-up tags'!$B242,'Bottom-up tagging'!$D:$D,'Analysis of bottom-up tags'!E$218)</f>
        <v>5458016.8237999436</v>
      </c>
      <c r="F242" s="99">
        <f t="shared" si="252"/>
        <v>1277094.2904462237</v>
      </c>
      <c r="G242" s="101">
        <f t="shared" si="253"/>
        <v>0</v>
      </c>
      <c r="H242" s="101">
        <f t="shared" si="251"/>
        <v>0.81038259521139855</v>
      </c>
      <c r="I242" s="101">
        <f t="shared" si="254"/>
        <v>0.1896174047886014</v>
      </c>
    </row>
    <row r="243" spans="2:9">
      <c r="B243" s="64" t="s">
        <v>10963</v>
      </c>
      <c r="C243" s="22">
        <f>SUMIFS('Bottom-up tagging'!$I:$I,'Bottom-up tagging'!$P:$P,'Analysis of bottom-up tags'!$B243)</f>
        <v>11724.636763068134</v>
      </c>
      <c r="D243" s="99">
        <f>SUMIFS('Bottom-up tagging'!$I:$I,'Bottom-up tagging'!$P:$P,'Analysis of bottom-up tags'!$B243,'Bottom-up tagging'!$D:$D,'Analysis of bottom-up tags'!D$218)</f>
        <v>0</v>
      </c>
      <c r="E243" s="99">
        <f>SUMIFS('Bottom-up tagging'!$I:$I,'Bottom-up tagging'!$P:$P,'Analysis of bottom-up tags'!$B243,'Bottom-up tagging'!$D:$D,'Analysis of bottom-up tags'!E$218)</f>
        <v>0</v>
      </c>
      <c r="F243" s="99">
        <f t="shared" si="252"/>
        <v>11724.636763068134</v>
      </c>
      <c r="G243" s="101">
        <f t="shared" si="253"/>
        <v>0</v>
      </c>
      <c r="H243" s="101">
        <f t="shared" si="251"/>
        <v>0</v>
      </c>
      <c r="I243" s="101">
        <f t="shared" si="254"/>
        <v>1</v>
      </c>
    </row>
    <row r="244" spans="2:9">
      <c r="B244" s="64" t="s">
        <v>10770</v>
      </c>
      <c r="C244" s="22">
        <f>SUMIFS('Bottom-up tagging'!$I:$I,'Bottom-up tagging'!$P:$P,'Analysis of bottom-up tags'!$B244)</f>
        <v>5447001.5289631821</v>
      </c>
      <c r="D244" s="99">
        <f>SUMIFS('Bottom-up tagging'!$I:$I,'Bottom-up tagging'!$P:$P,'Analysis of bottom-up tags'!$B244,'Bottom-up tagging'!$D:$D,'Analysis of bottom-up tags'!D$218)</f>
        <v>615944.39500117884</v>
      </c>
      <c r="E244" s="99">
        <f>SUMIFS('Bottom-up tagging'!$I:$I,'Bottom-up tagging'!$P:$P,'Analysis of bottom-up tags'!$B244,'Bottom-up tagging'!$D:$D,'Analysis of bottom-up tags'!E$218)</f>
        <v>4820464.6257720357</v>
      </c>
      <c r="F244" s="99">
        <f t="shared" si="252"/>
        <v>10592.508189967833</v>
      </c>
      <c r="G244" s="101">
        <f t="shared" si="253"/>
        <v>0.11307953407503847</v>
      </c>
      <c r="H244" s="101">
        <f t="shared" si="251"/>
        <v>0.88497581653691848</v>
      </c>
      <c r="I244" s="101">
        <f t="shared" si="254"/>
        <v>1.9446493880430544E-3</v>
      </c>
    </row>
    <row r="245" spans="2:9">
      <c r="B245" s="64" t="s">
        <v>10965</v>
      </c>
      <c r="C245" s="22">
        <f>SUMIFS('Bottom-up tagging'!$I:$I,'Bottom-up tagging'!$P:$P,'Analysis of bottom-up tags'!$B245)</f>
        <v>3811522.049295424</v>
      </c>
      <c r="D245" s="99">
        <f>SUMIFS('Bottom-up tagging'!$I:$I,'Bottom-up tagging'!$P:$P,'Analysis of bottom-up tags'!$B245,'Bottom-up tagging'!$D:$D,'Analysis of bottom-up tags'!D$218)</f>
        <v>625753.84942181245</v>
      </c>
      <c r="E245" s="99">
        <f>SUMIFS('Bottom-up tagging'!$I:$I,'Bottom-up tagging'!$P:$P,'Analysis of bottom-up tags'!$B245,'Bottom-up tagging'!$D:$D,'Analysis of bottom-up tags'!E$218)</f>
        <v>3185768.1998736113</v>
      </c>
      <c r="F245" s="99">
        <f t="shared" si="252"/>
        <v>0</v>
      </c>
      <c r="G245" s="101">
        <f t="shared" si="253"/>
        <v>0.16417426983991493</v>
      </c>
      <c r="H245" s="101">
        <f t="shared" si="251"/>
        <v>0.83582573016008499</v>
      </c>
      <c r="I245" s="101">
        <f t="shared" si="254"/>
        <v>0</v>
      </c>
    </row>
    <row r="246" spans="2:9">
      <c r="B246" s="64" t="s">
        <v>10813</v>
      </c>
      <c r="C246" s="22">
        <f>SUMIFS('Bottom-up tagging'!$I:$I,'Bottom-up tagging'!$P:$P,'Analysis of bottom-up tags'!$B246)</f>
        <v>1970259.3332093351</v>
      </c>
      <c r="D246" s="99">
        <f>SUMIFS('Bottom-up tagging'!$I:$I,'Bottom-up tagging'!$P:$P,'Analysis of bottom-up tags'!$B246,'Bottom-up tagging'!$D:$D,'Analysis of bottom-up tags'!D$218)</f>
        <v>1781204.8926253945</v>
      </c>
      <c r="E246" s="99">
        <f>SUMIFS('Bottom-up tagging'!$I:$I,'Bottom-up tagging'!$P:$P,'Analysis of bottom-up tags'!$B246,'Bottom-up tagging'!$D:$D,'Analysis of bottom-up tags'!E$218)</f>
        <v>122542.25074865809</v>
      </c>
      <c r="F246" s="99">
        <f t="shared" si="252"/>
        <v>66512.189835282508</v>
      </c>
      <c r="G246" s="101">
        <f t="shared" si="253"/>
        <v>0.90404591040510807</v>
      </c>
      <c r="H246" s="101">
        <f t="shared" si="251"/>
        <v>6.2196000639697657E-2</v>
      </c>
      <c r="I246" s="101">
        <f t="shared" si="254"/>
        <v>3.3758088955194283E-2</v>
      </c>
    </row>
    <row r="247" spans="2:9">
      <c r="B247" s="64" t="s">
        <v>10961</v>
      </c>
      <c r="C247" s="22">
        <f>SUMIFS('Bottom-up tagging'!$I:$I,'Bottom-up tagging'!$P:$P,'Analysis of bottom-up tags'!$B247)</f>
        <v>1686709.2140146377</v>
      </c>
      <c r="D247" s="99">
        <f>SUMIFS('Bottom-up tagging'!$I:$I,'Bottom-up tagging'!$P:$P,'Analysis of bottom-up tags'!$B247,'Bottom-up tagging'!$D:$D,'Analysis of bottom-up tags'!D$218)</f>
        <v>0</v>
      </c>
      <c r="E247" s="99">
        <f>SUMIFS('Bottom-up tagging'!$I:$I,'Bottom-up tagging'!$P:$P,'Analysis of bottom-up tags'!$B247,'Bottom-up tagging'!$D:$D,'Analysis of bottom-up tags'!E$218)</f>
        <v>0</v>
      </c>
      <c r="F247" s="99">
        <f t="shared" si="252"/>
        <v>1686709.2140146377</v>
      </c>
      <c r="G247" s="101">
        <f t="shared" si="253"/>
        <v>0</v>
      </c>
      <c r="H247" s="101">
        <f t="shared" si="251"/>
        <v>0</v>
      </c>
      <c r="I247" s="101">
        <f t="shared" si="254"/>
        <v>1</v>
      </c>
    </row>
    <row r="248" spans="2:9">
      <c r="B248" s="64" t="s">
        <v>10848</v>
      </c>
      <c r="C248" s="22">
        <f>SUMIFS('Bottom-up tagging'!$I:$I,'Bottom-up tagging'!$P:$P,'Analysis of bottom-up tags'!$B248)</f>
        <v>874600.16195076192</v>
      </c>
      <c r="D248" s="99">
        <f>SUMIFS('Bottom-up tagging'!$I:$I,'Bottom-up tagging'!$P:$P,'Analysis of bottom-up tags'!$B248,'Bottom-up tagging'!$D:$D,'Analysis of bottom-up tags'!D$218)</f>
        <v>0</v>
      </c>
      <c r="E248" s="99">
        <f>SUMIFS('Bottom-up tagging'!$I:$I,'Bottom-up tagging'!$P:$P,'Analysis of bottom-up tags'!$B248,'Bottom-up tagging'!$D:$D,'Analysis of bottom-up tags'!E$218)</f>
        <v>0</v>
      </c>
      <c r="F248" s="99">
        <f t="shared" si="252"/>
        <v>874600.16195076192</v>
      </c>
      <c r="G248" s="101">
        <f t="shared" si="253"/>
        <v>0</v>
      </c>
      <c r="H248" s="101">
        <f t="shared" si="251"/>
        <v>0</v>
      </c>
      <c r="I248" s="101">
        <f t="shared" si="254"/>
        <v>1</v>
      </c>
    </row>
    <row r="249" spans="2:9">
      <c r="B249" s="64" t="s">
        <v>10728</v>
      </c>
      <c r="C249" s="22">
        <f>SUMIFS('Bottom-up tagging'!$I:$I,'Bottom-up tagging'!$P:$P,'Analysis of bottom-up tags'!$B249)</f>
        <v>700003.47085839673</v>
      </c>
      <c r="D249" s="99">
        <f>SUMIFS('Bottom-up tagging'!$I:$I,'Bottom-up tagging'!$P:$P,'Analysis of bottom-up tags'!$B249,'Bottom-up tagging'!$D:$D,'Analysis of bottom-up tags'!D$218)</f>
        <v>0</v>
      </c>
      <c r="E249" s="99">
        <f>SUMIFS('Bottom-up tagging'!$I:$I,'Bottom-up tagging'!$P:$P,'Analysis of bottom-up tags'!$B249,'Bottom-up tagging'!$D:$D,'Analysis of bottom-up tags'!E$218)</f>
        <v>0</v>
      </c>
      <c r="F249" s="99">
        <f t="shared" si="252"/>
        <v>700003.47085839673</v>
      </c>
      <c r="G249" s="101">
        <f t="shared" si="253"/>
        <v>0</v>
      </c>
      <c r="H249" s="101">
        <f t="shared" si="251"/>
        <v>0</v>
      </c>
      <c r="I249" s="101">
        <f t="shared" si="254"/>
        <v>1</v>
      </c>
    </row>
    <row r="250" spans="2:9">
      <c r="B250" s="64" t="s">
        <v>10861</v>
      </c>
      <c r="C250" s="22">
        <f>SUMIFS('Bottom-up tagging'!$I:$I,'Bottom-up tagging'!$P:$P,'Analysis of bottom-up tags'!$B250)</f>
        <v>0</v>
      </c>
      <c r="D250" s="99">
        <f>SUMIFS('Bottom-up tagging'!$I:$I,'Bottom-up tagging'!$P:$P,'Analysis of bottom-up tags'!$B250,'Bottom-up tagging'!$D:$D,'Analysis of bottom-up tags'!D$218)</f>
        <v>0</v>
      </c>
      <c r="E250" s="99">
        <f>SUMIFS('Bottom-up tagging'!$I:$I,'Bottom-up tagging'!$P:$P,'Analysis of bottom-up tags'!$B250,'Bottom-up tagging'!$D:$D,'Analysis of bottom-up tags'!E$218)</f>
        <v>0</v>
      </c>
      <c r="F250" s="99">
        <f t="shared" si="252"/>
        <v>0</v>
      </c>
      <c r="G250" s="101">
        <f t="shared" si="253"/>
        <v>0</v>
      </c>
      <c r="H250" s="101">
        <f t="shared" si="251"/>
        <v>0</v>
      </c>
      <c r="I250" s="101">
        <f t="shared" si="254"/>
        <v>0</v>
      </c>
    </row>
    <row r="251" spans="2:9">
      <c r="B251" s="64" t="s">
        <v>10780</v>
      </c>
      <c r="C251" s="22">
        <f>SUMIFS('Bottom-up tagging'!$I:$I,'Bottom-up tagging'!$P:$P,'Analysis of bottom-up tags'!$B251)</f>
        <v>185430.16687371166</v>
      </c>
      <c r="D251" s="99">
        <f>SUMIFS('Bottom-up tagging'!$I:$I,'Bottom-up tagging'!$P:$P,'Analysis of bottom-up tags'!$B251,'Bottom-up tagging'!$D:$D,'Analysis of bottom-up tags'!D$218)</f>
        <v>0</v>
      </c>
      <c r="E251" s="99">
        <f>SUMIFS('Bottom-up tagging'!$I:$I,'Bottom-up tagging'!$P:$P,'Analysis of bottom-up tags'!$B251,'Bottom-up tagging'!$D:$D,'Analysis of bottom-up tags'!E$218)</f>
        <v>0</v>
      </c>
      <c r="F251" s="99">
        <f t="shared" si="252"/>
        <v>185430.16687371166</v>
      </c>
      <c r="G251" s="101">
        <f t="shared" si="253"/>
        <v>0</v>
      </c>
      <c r="H251" s="101">
        <f t="shared" si="251"/>
        <v>0</v>
      </c>
      <c r="I251" s="101">
        <f t="shared" si="254"/>
        <v>1</v>
      </c>
    </row>
    <row r="252" spans="2:9">
      <c r="B252" s="64" t="s">
        <v>10857</v>
      </c>
      <c r="C252" s="22">
        <f>SUMIFS('Bottom-up tagging'!$I:$I,'Bottom-up tagging'!$P:$P,'Analysis of bottom-up tags'!$B252)</f>
        <v>65518.525007271208</v>
      </c>
      <c r="D252" s="99">
        <f>SUMIFS('Bottom-up tagging'!$I:$I,'Bottom-up tagging'!$P:$P,'Analysis of bottom-up tags'!$B252,'Bottom-up tagging'!$D:$D,'Analysis of bottom-up tags'!D$218)</f>
        <v>0</v>
      </c>
      <c r="E252" s="99">
        <f>SUMIFS('Bottom-up tagging'!$I:$I,'Bottom-up tagging'!$P:$P,'Analysis of bottom-up tags'!$B252,'Bottom-up tagging'!$D:$D,'Analysis of bottom-up tags'!E$218)</f>
        <v>65518.525007271208</v>
      </c>
      <c r="F252" s="99">
        <f t="shared" si="252"/>
        <v>0</v>
      </c>
      <c r="G252" s="101">
        <f t="shared" si="253"/>
        <v>0</v>
      </c>
      <c r="H252" s="101">
        <f t="shared" si="251"/>
        <v>1</v>
      </c>
      <c r="I252" s="101">
        <f t="shared" si="254"/>
        <v>0</v>
      </c>
    </row>
    <row r="253" spans="2:9">
      <c r="B253" s="64" t="s">
        <v>10966</v>
      </c>
      <c r="C253" s="22">
        <f>SUMIFS('Bottom-up tagging'!$I:$I,'Bottom-up tagging'!$P:$P,'Analysis of bottom-up tags'!$B253)</f>
        <v>82020.218632456701</v>
      </c>
      <c r="D253" s="99">
        <f>SUMIFS('Bottom-up tagging'!$I:$I,'Bottom-up tagging'!$P:$P,'Analysis of bottom-up tags'!$B253,'Bottom-up tagging'!$D:$D,'Analysis of bottom-up tags'!D$218)</f>
        <v>0</v>
      </c>
      <c r="E253" s="99">
        <f>SUMIFS('Bottom-up tagging'!$I:$I,'Bottom-up tagging'!$P:$P,'Analysis of bottom-up tags'!$B253,'Bottom-up tagging'!$D:$D,'Analysis of bottom-up tags'!E$218)</f>
        <v>0</v>
      </c>
      <c r="F253" s="99">
        <f t="shared" si="252"/>
        <v>82020.218632456701</v>
      </c>
      <c r="G253" s="101">
        <f t="shared" si="253"/>
        <v>0</v>
      </c>
      <c r="H253" s="101">
        <f t="shared" si="251"/>
        <v>0</v>
      </c>
      <c r="I253" s="101">
        <f t="shared" si="254"/>
        <v>1</v>
      </c>
    </row>
    <row r="254" spans="2:9">
      <c r="B254" s="64" t="s">
        <v>10850</v>
      </c>
      <c r="C254" s="22">
        <f>SUMIFS('Bottom-up tagging'!$I:$I,'Bottom-up tagging'!$P:$P,'Analysis of bottom-up tags'!$B254)</f>
        <v>38358.910413892125</v>
      </c>
      <c r="D254" s="99">
        <f>SUMIFS('Bottom-up tagging'!$I:$I,'Bottom-up tagging'!$P:$P,'Analysis of bottom-up tags'!$B254,'Bottom-up tagging'!$D:$D,'Analysis of bottom-up tags'!D$218)</f>
        <v>0</v>
      </c>
      <c r="E254" s="99">
        <f>SUMIFS('Bottom-up tagging'!$I:$I,'Bottom-up tagging'!$P:$P,'Analysis of bottom-up tags'!$B254,'Bottom-up tagging'!$D:$D,'Analysis of bottom-up tags'!E$218)</f>
        <v>0</v>
      </c>
      <c r="F254" s="99">
        <f t="shared" si="252"/>
        <v>38358.910413892125</v>
      </c>
      <c r="G254" s="101">
        <f t="shared" si="253"/>
        <v>0</v>
      </c>
      <c r="H254" s="101">
        <f t="shared" si="251"/>
        <v>0</v>
      </c>
      <c r="I254" s="101">
        <f t="shared" si="254"/>
        <v>1</v>
      </c>
    </row>
    <row r="255" spans="2:9">
      <c r="B255" s="175" t="s">
        <v>10737</v>
      </c>
      <c r="C255" s="22">
        <f>SUMIFS('Bottom-up tagging'!$I:$I,'Bottom-up tagging'!$P:$P,'Analysis of bottom-up tags'!$B255)</f>
        <v>0</v>
      </c>
      <c r="D255" s="99">
        <f>SUMIFS('Bottom-up tagging'!$I:$I,'Bottom-up tagging'!$P:$P,'Analysis of bottom-up tags'!$B255,'Bottom-up tagging'!$D:$D,'Analysis of bottom-up tags'!D$218)</f>
        <v>0</v>
      </c>
      <c r="E255" s="99">
        <f>SUMIFS('Bottom-up tagging'!$I:$I,'Bottom-up tagging'!$P:$P,'Analysis of bottom-up tags'!$B255,'Bottom-up tagging'!$D:$D,'Analysis of bottom-up tags'!E$218)</f>
        <v>0</v>
      </c>
      <c r="F255" s="99">
        <f t="shared" si="252"/>
        <v>0</v>
      </c>
      <c r="G255" s="101">
        <f t="shared" si="253"/>
        <v>0</v>
      </c>
      <c r="H255" s="101">
        <f t="shared" si="251"/>
        <v>0</v>
      </c>
      <c r="I255" s="101">
        <f t="shared" si="254"/>
        <v>0</v>
      </c>
    </row>
    <row r="256" spans="2:9">
      <c r="B256" s="175" t="s">
        <v>10733</v>
      </c>
      <c r="C256" s="22">
        <f>SUMIFS('Bottom-up tagging'!$I:$I,'Bottom-up tagging'!$P:$P,'Analysis of bottom-up tags'!$B256)</f>
        <v>0</v>
      </c>
      <c r="D256" s="99">
        <f>SUMIFS('Bottom-up tagging'!$I:$I,'Bottom-up tagging'!$P:$P,'Analysis of bottom-up tags'!$B256,'Bottom-up tagging'!$D:$D,'Analysis of bottom-up tags'!D$218)</f>
        <v>0</v>
      </c>
      <c r="E256" s="99">
        <f>SUMIFS('Bottom-up tagging'!$I:$I,'Bottom-up tagging'!$P:$P,'Analysis of bottom-up tags'!$B256,'Bottom-up tagging'!$D:$D,'Analysis of bottom-up tags'!E$218)</f>
        <v>0</v>
      </c>
      <c r="F256" s="99">
        <f t="shared" si="252"/>
        <v>0</v>
      </c>
      <c r="G256" s="101">
        <f t="shared" si="253"/>
        <v>0</v>
      </c>
      <c r="H256" s="101">
        <f t="shared" si="251"/>
        <v>0</v>
      </c>
      <c r="I256" s="101">
        <f t="shared" si="254"/>
        <v>0</v>
      </c>
    </row>
    <row r="257" spans="2:9">
      <c r="B257" s="175" t="s">
        <v>10763</v>
      </c>
      <c r="C257" s="22">
        <f>SUMIFS('Bottom-up tagging'!$I:$I,'Bottom-up tagging'!$P:$P,'Analysis of bottom-up tags'!$B257)</f>
        <v>0</v>
      </c>
      <c r="D257" s="99">
        <f>SUMIFS('Bottom-up tagging'!$I:$I,'Bottom-up tagging'!$P:$P,'Analysis of bottom-up tags'!$B257,'Bottom-up tagging'!$D:$D,'Analysis of bottom-up tags'!D$218)</f>
        <v>0</v>
      </c>
      <c r="E257" s="99">
        <f>SUMIFS('Bottom-up tagging'!$I:$I,'Bottom-up tagging'!$P:$P,'Analysis of bottom-up tags'!$B257,'Bottom-up tagging'!$D:$D,'Analysis of bottom-up tags'!E$218)</f>
        <v>0</v>
      </c>
      <c r="F257" s="99">
        <f t="shared" si="252"/>
        <v>0</v>
      </c>
      <c r="G257" s="101">
        <f t="shared" si="253"/>
        <v>0</v>
      </c>
      <c r="H257" s="101">
        <f t="shared" si="251"/>
        <v>0</v>
      </c>
      <c r="I257" s="101">
        <f t="shared" si="254"/>
        <v>0</v>
      </c>
    </row>
    <row r="258" spans="2:9">
      <c r="B258" s="175" t="s">
        <v>10722</v>
      </c>
      <c r="C258" s="22">
        <f>SUMIFS('Bottom-up tagging'!$I:$I,'Bottom-up tagging'!$P:$P,'Analysis of bottom-up tags'!$B258)</f>
        <v>0</v>
      </c>
      <c r="D258" s="99">
        <f>SUMIFS('Bottom-up tagging'!$I:$I,'Bottom-up tagging'!$P:$P,'Analysis of bottom-up tags'!$B258,'Bottom-up tagging'!$D:$D,'Analysis of bottom-up tags'!D$218)</f>
        <v>0</v>
      </c>
      <c r="E258" s="99">
        <f>SUMIFS('Bottom-up tagging'!$I:$I,'Bottom-up tagging'!$P:$P,'Analysis of bottom-up tags'!$B258,'Bottom-up tagging'!$D:$D,'Analysis of bottom-up tags'!E$218)</f>
        <v>0</v>
      </c>
      <c r="F258" s="99">
        <f t="shared" si="252"/>
        <v>0</v>
      </c>
      <c r="G258" s="101">
        <f t="shared" si="253"/>
        <v>0</v>
      </c>
      <c r="H258" s="101">
        <f t="shared" si="251"/>
        <v>0</v>
      </c>
      <c r="I258" s="101">
        <f t="shared" si="254"/>
        <v>0</v>
      </c>
    </row>
    <row r="259" spans="2:9">
      <c r="B259" s="175" t="s">
        <v>10731</v>
      </c>
      <c r="C259" s="22">
        <f>SUMIFS('Bottom-up tagging'!$I:$I,'Bottom-up tagging'!$P:$P,'Analysis of bottom-up tags'!$B259)</f>
        <v>0</v>
      </c>
      <c r="D259" s="99">
        <f>SUMIFS('Bottom-up tagging'!$I:$I,'Bottom-up tagging'!$P:$P,'Analysis of bottom-up tags'!$B259,'Bottom-up tagging'!$D:$D,'Analysis of bottom-up tags'!D$218)</f>
        <v>0</v>
      </c>
      <c r="E259" s="99">
        <f>SUMIFS('Bottom-up tagging'!$I:$I,'Bottom-up tagging'!$P:$P,'Analysis of bottom-up tags'!$B259,'Bottom-up tagging'!$D:$D,'Analysis of bottom-up tags'!E$218)</f>
        <v>0</v>
      </c>
      <c r="F259" s="99">
        <f t="shared" si="252"/>
        <v>0</v>
      </c>
      <c r="G259" s="101">
        <f t="shared" si="253"/>
        <v>0</v>
      </c>
      <c r="H259" s="101">
        <f t="shared" si="251"/>
        <v>0</v>
      </c>
      <c r="I259" s="101">
        <f t="shared" si="254"/>
        <v>0</v>
      </c>
    </row>
    <row r="260" spans="2:9">
      <c r="B260" s="175" t="s">
        <v>10645</v>
      </c>
      <c r="C260" s="22">
        <f>SUMIFS('Bottom-up tagging'!$I:$I,'Bottom-up tagging'!$P:$P,'Analysis of bottom-up tags'!$B260)</f>
        <v>0</v>
      </c>
      <c r="D260" s="99">
        <f>SUMIFS('Bottom-up tagging'!$I:$I,'Bottom-up tagging'!$P:$P,'Analysis of bottom-up tags'!$B260,'Bottom-up tagging'!$D:$D,'Analysis of bottom-up tags'!D$218)</f>
        <v>0</v>
      </c>
      <c r="E260" s="99">
        <f>SUMIFS('Bottom-up tagging'!$I:$I,'Bottom-up tagging'!$P:$P,'Analysis of bottom-up tags'!$B260,'Bottom-up tagging'!$D:$D,'Analysis of bottom-up tags'!E$218)</f>
        <v>0</v>
      </c>
      <c r="F260" s="99">
        <f t="shared" si="252"/>
        <v>0</v>
      </c>
      <c r="G260" s="101">
        <f t="shared" si="253"/>
        <v>0</v>
      </c>
      <c r="H260" s="101">
        <f t="shared" si="251"/>
        <v>0</v>
      </c>
      <c r="I260" s="101">
        <f t="shared" si="254"/>
        <v>0</v>
      </c>
    </row>
  </sheetData>
  <mergeCells count="3">
    <mergeCell ref="C4:L4"/>
    <mergeCell ref="N4:W4"/>
    <mergeCell ref="G217:I217"/>
  </mergeCells>
  <conditionalFormatting sqref="B113:B118">
    <cfRule type="duplicateValues" dxfId="3" priority="2"/>
  </conditionalFormatting>
  <conditionalFormatting sqref="B255:B260">
    <cfRule type="duplicateValues" dxfId="2" priority="1"/>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6FA1-2734-4C7E-B31B-D67846C63B19}">
  <sheetPr>
    <tabColor theme="7" tint="0.59999389629810485"/>
  </sheetPr>
  <dimension ref="C1:O21"/>
  <sheetViews>
    <sheetView workbookViewId="0">
      <selection activeCell="C7" sqref="C7"/>
    </sheetView>
  </sheetViews>
  <sheetFormatPr defaultRowHeight="14.5"/>
  <cols>
    <col min="3" max="3" width="18.453125" customWidth="1"/>
    <col min="15" max="15" width="12.1796875" bestFit="1" customWidth="1"/>
  </cols>
  <sheetData>
    <row r="1" spans="3:15" s="22" customFormat="1"/>
    <row r="2" spans="3:15" s="22" customFormat="1"/>
    <row r="3" spans="3:15" s="22" customFormat="1"/>
    <row r="4" spans="3:15" s="22" customFormat="1"/>
    <row r="5" spans="3:15" s="22" customFormat="1">
      <c r="D5" s="22">
        <v>0.1</v>
      </c>
    </row>
    <row r="6" spans="3:15" s="22" customFormat="1"/>
    <row r="7" spans="3:15">
      <c r="C7" t="s">
        <v>1</v>
      </c>
      <c r="D7">
        <v>564.25531914893577</v>
      </c>
      <c r="E7">
        <v>675.31914893616965</v>
      </c>
      <c r="F7">
        <v>660</v>
      </c>
      <c r="G7">
        <v>640</v>
      </c>
      <c r="H7">
        <v>910</v>
      </c>
      <c r="I7">
        <v>1020</v>
      </c>
      <c r="J7">
        <v>1000</v>
      </c>
      <c r="K7">
        <v>1200</v>
      </c>
      <c r="L7">
        <v>1530</v>
      </c>
      <c r="M7">
        <v>1644.2903436718932</v>
      </c>
      <c r="O7" s="99">
        <f>SUM(D7:M7)</f>
        <v>9843.8648117569992</v>
      </c>
    </row>
    <row r="8" spans="3:15">
      <c r="D8">
        <v>684.25531914893577</v>
      </c>
      <c r="E8">
        <v>815.31914893616965</v>
      </c>
      <c r="F8">
        <v>800</v>
      </c>
      <c r="G8">
        <v>800</v>
      </c>
      <c r="H8">
        <v>1130</v>
      </c>
      <c r="I8">
        <v>1260</v>
      </c>
      <c r="J8">
        <v>1220</v>
      </c>
      <c r="K8">
        <v>1460</v>
      </c>
      <c r="L8">
        <v>1810</v>
      </c>
      <c r="M8">
        <v>1939.0537915625243</v>
      </c>
      <c r="O8" s="99">
        <f>SUM(D8:M8)</f>
        <v>11918.62825964763</v>
      </c>
    </row>
    <row r="9" spans="3:15">
      <c r="D9">
        <v>804.25531914893577</v>
      </c>
      <c r="E9">
        <v>955.31914893616965</v>
      </c>
      <c r="F9">
        <v>940</v>
      </c>
      <c r="G9">
        <v>960</v>
      </c>
      <c r="H9">
        <v>1350</v>
      </c>
      <c r="I9">
        <v>1500</v>
      </c>
      <c r="J9">
        <v>1440</v>
      </c>
      <c r="K9">
        <v>1720</v>
      </c>
      <c r="L9">
        <v>2090</v>
      </c>
      <c r="M9">
        <v>2233.8172394531553</v>
      </c>
      <c r="O9" s="99">
        <f>SUM(D9:M9)</f>
        <v>13993.391707538261</v>
      </c>
    </row>
    <row r="10" spans="3:15">
      <c r="D10" s="101">
        <v>1.0678176431002979E-2</v>
      </c>
      <c r="E10" s="101">
        <v>0</v>
      </c>
      <c r="F10" s="101">
        <v>0.16056397029444899</v>
      </c>
      <c r="G10" s="101">
        <v>5.0981279990848982E-3</v>
      </c>
      <c r="H10" s="101">
        <v>1.6234684911894874E-3</v>
      </c>
      <c r="I10" s="101">
        <v>8.2553311733803668E-4</v>
      </c>
      <c r="J10" s="101">
        <v>9.4436572380520529E-4</v>
      </c>
      <c r="K10" s="101">
        <v>6.0580644493643761E-2</v>
      </c>
      <c r="L10" s="101">
        <v>6.1591248700520107E-3</v>
      </c>
      <c r="M10" s="101">
        <v>7.4301589489446748E-2</v>
      </c>
      <c r="O10" s="99"/>
    </row>
    <row r="11" spans="3:15">
      <c r="O11" s="99"/>
    </row>
    <row r="12" spans="3:15">
      <c r="C12" s="22" t="s">
        <v>5391</v>
      </c>
      <c r="D12">
        <f t="shared" ref="D12:M12" si="0">D$10*D7</f>
        <v>6.0252178500042302</v>
      </c>
      <c r="E12" s="22">
        <f t="shared" si="0"/>
        <v>0</v>
      </c>
      <c r="F12" s="22">
        <f t="shared" si="0"/>
        <v>105.97222039433633</v>
      </c>
      <c r="G12" s="22">
        <f t="shared" si="0"/>
        <v>3.262801919414335</v>
      </c>
      <c r="H12" s="22">
        <f t="shared" si="0"/>
        <v>1.4773563269824335</v>
      </c>
      <c r="I12" s="22">
        <f t="shared" si="0"/>
        <v>0.84204377968479738</v>
      </c>
      <c r="J12" s="22">
        <f t="shared" si="0"/>
        <v>0.94436572380520534</v>
      </c>
      <c r="K12" s="22">
        <f t="shared" si="0"/>
        <v>72.696773392372506</v>
      </c>
      <c r="L12" s="22">
        <f t="shared" si="0"/>
        <v>9.4234610511795758</v>
      </c>
      <c r="M12" s="22">
        <f t="shared" si="0"/>
        <v>122.17338611697032</v>
      </c>
      <c r="O12" s="99">
        <f>SUM(D12:M12)</f>
        <v>322.81762655474972</v>
      </c>
    </row>
    <row r="13" spans="3:15">
      <c r="D13" s="22">
        <f t="shared" ref="D13:M13" si="1">D$10*D8</f>
        <v>7.3065990217245878</v>
      </c>
      <c r="E13" s="22">
        <f t="shared" si="1"/>
        <v>0</v>
      </c>
      <c r="F13" s="22">
        <f t="shared" si="1"/>
        <v>128.45117623555919</v>
      </c>
      <c r="G13" s="22">
        <f t="shared" si="1"/>
        <v>4.0785023992679186</v>
      </c>
      <c r="H13" s="22">
        <f t="shared" si="1"/>
        <v>1.8345193950441208</v>
      </c>
      <c r="I13" s="22">
        <f t="shared" si="1"/>
        <v>1.0401717278459262</v>
      </c>
      <c r="J13" s="22">
        <f t="shared" si="1"/>
        <v>1.1521261830423504</v>
      </c>
      <c r="K13" s="22">
        <f t="shared" si="1"/>
        <v>88.447740960719884</v>
      </c>
      <c r="L13" s="22">
        <f t="shared" si="1"/>
        <v>11.148016014794139</v>
      </c>
      <c r="M13" s="22">
        <f t="shared" si="1"/>
        <v>144.07477881863392</v>
      </c>
      <c r="O13" s="99">
        <f>SUM(D13:M13)</f>
        <v>387.53363075663202</v>
      </c>
    </row>
    <row r="14" spans="3:15">
      <c r="D14" s="22">
        <f t="shared" ref="D14:M14" si="2">D$10*D9</f>
        <v>8.5879801934449453</v>
      </c>
      <c r="E14" s="22">
        <f t="shared" si="2"/>
        <v>0</v>
      </c>
      <c r="F14" s="22">
        <f t="shared" si="2"/>
        <v>150.93013207678206</v>
      </c>
      <c r="G14" s="22">
        <f t="shared" si="2"/>
        <v>4.8942028791215026</v>
      </c>
      <c r="H14" s="22">
        <f t="shared" si="2"/>
        <v>2.1916824631058081</v>
      </c>
      <c r="I14" s="22">
        <f t="shared" si="2"/>
        <v>1.238299676007055</v>
      </c>
      <c r="J14" s="22">
        <f t="shared" si="2"/>
        <v>1.3598866422794955</v>
      </c>
      <c r="K14" s="22">
        <f t="shared" si="2"/>
        <v>104.19870852906728</v>
      </c>
      <c r="L14" s="22">
        <f t="shared" si="2"/>
        <v>12.872570978408703</v>
      </c>
      <c r="M14" s="22">
        <f t="shared" si="2"/>
        <v>165.9761715202975</v>
      </c>
      <c r="O14" s="99">
        <f>SUM(D14:M14)</f>
        <v>452.24963495851432</v>
      </c>
    </row>
    <row r="15" spans="3:15">
      <c r="O15" s="99"/>
    </row>
    <row r="16" spans="3:15">
      <c r="C16" s="22" t="s">
        <v>11591</v>
      </c>
      <c r="D16">
        <v>42453107</v>
      </c>
      <c r="O16" s="99">
        <f>$D$18*O12</f>
        <v>42.484002005606833</v>
      </c>
    </row>
    <row r="17" spans="4:15">
      <c r="D17">
        <v>5586987</v>
      </c>
      <c r="O17" s="99">
        <f>$D$18*O13</f>
        <v>51.000869196690438</v>
      </c>
    </row>
    <row r="18" spans="4:15">
      <c r="D18">
        <f>D17/D16</f>
        <v>0.13160372455189204</v>
      </c>
      <c r="O18" s="99">
        <f>$D$18*O14</f>
        <v>59.517736387774043</v>
      </c>
    </row>
    <row r="21" spans="4:15">
      <c r="D21">
        <f>2700/7300</f>
        <v>0.36986301369863012</v>
      </c>
      <c r="E21">
        <f>151/2700</f>
        <v>5.5925925925925928E-2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BEE82B-145A-4D40-9F62-E06C444FEE5E}">
  <sheetPr>
    <tabColor theme="7" tint="0.59999389629810485"/>
  </sheetPr>
  <dimension ref="B1:V563"/>
  <sheetViews>
    <sheetView zoomScale="80" workbookViewId="0">
      <selection activeCell="B9" sqref="B9"/>
    </sheetView>
  </sheetViews>
  <sheetFormatPr defaultRowHeight="14.5" outlineLevelRow="1"/>
  <cols>
    <col min="1" max="1" width="3.81640625" customWidth="1"/>
    <col min="2" max="2" width="38.54296875" customWidth="1"/>
    <col min="3" max="3" width="20.26953125" style="22" customWidth="1"/>
    <col min="6" max="6" width="14.26953125" customWidth="1"/>
    <col min="15" max="15" width="48.7265625" customWidth="1"/>
  </cols>
  <sheetData>
    <row r="1" spans="2:22" s="22" customFormat="1"/>
    <row r="2" spans="2:22" s="69" customFormat="1">
      <c r="B2" s="90" t="s">
        <v>11025</v>
      </c>
      <c r="D2" s="91"/>
    </row>
    <row r="3" spans="2:22" s="69" customFormat="1" hidden="1" outlineLevel="1">
      <c r="B3" s="90" t="s">
        <v>11026</v>
      </c>
      <c r="D3" s="91"/>
    </row>
    <row r="4" spans="2:22" s="69" customFormat="1" hidden="1" outlineLevel="1">
      <c r="B4" s="92" t="s">
        <v>11069</v>
      </c>
    </row>
    <row r="5" spans="2:22" s="69" customFormat="1" hidden="1" outlineLevel="1">
      <c r="B5" s="90" t="s">
        <v>11027</v>
      </c>
      <c r="C5" s="93"/>
      <c r="D5" s="93"/>
      <c r="E5" s="93"/>
      <c r="F5" s="93"/>
      <c r="G5" s="93"/>
      <c r="H5" s="93"/>
      <c r="I5" s="93"/>
      <c r="J5" s="93"/>
      <c r="K5" s="93"/>
      <c r="L5" s="93"/>
      <c r="M5" s="93"/>
      <c r="N5" s="93"/>
    </row>
    <row r="6" spans="2:22" s="69" customFormat="1" hidden="1" outlineLevel="1">
      <c r="B6" s="253" t="s">
        <v>11070</v>
      </c>
      <c r="C6" s="253"/>
      <c r="D6" s="253"/>
      <c r="E6" s="253"/>
      <c r="F6" s="253"/>
      <c r="G6" s="93"/>
      <c r="H6" s="93"/>
      <c r="I6" s="93"/>
      <c r="J6" s="93"/>
      <c r="K6" s="93"/>
      <c r="L6" s="93"/>
      <c r="M6" s="93"/>
      <c r="N6" s="93"/>
    </row>
    <row r="7" spans="2:22" s="69" customFormat="1" collapsed="1">
      <c r="B7" s="94" t="s">
        <v>11028</v>
      </c>
      <c r="D7" s="91"/>
      <c r="N7" s="91"/>
      <c r="O7" s="91"/>
      <c r="P7" s="91"/>
    </row>
    <row r="8" spans="2:22" s="22" customFormat="1"/>
    <row r="9" spans="2:22" s="22" customFormat="1">
      <c r="B9" s="220" t="s">
        <v>11588</v>
      </c>
    </row>
    <row r="10" spans="2:22">
      <c r="V10" s="22"/>
    </row>
    <row r="11" spans="2:22" s="22" customFormat="1">
      <c r="B11" s="227" t="s">
        <v>11050</v>
      </c>
      <c r="C11" s="227"/>
      <c r="D11" s="228"/>
      <c r="E11" s="228"/>
      <c r="F11" s="228"/>
      <c r="G11" s="228"/>
      <c r="H11" s="228"/>
      <c r="I11" s="228"/>
      <c r="J11" s="228"/>
      <c r="K11" s="228"/>
      <c r="L11" s="228"/>
      <c r="M11" s="228"/>
      <c r="N11" s="228"/>
      <c r="O11" s="228"/>
      <c r="P11" s="221"/>
    </row>
    <row r="12" spans="2:22" s="22" customFormat="1">
      <c r="B12" s="221"/>
      <c r="C12" s="223" t="s">
        <v>11042</v>
      </c>
      <c r="D12" s="222">
        <v>2010</v>
      </c>
      <c r="E12" s="222">
        <f>D12+1</f>
        <v>2011</v>
      </c>
      <c r="F12" s="222">
        <f t="shared" ref="F12:M12" si="0">E12+1</f>
        <v>2012</v>
      </c>
      <c r="G12" s="222">
        <f t="shared" si="0"/>
        <v>2013</v>
      </c>
      <c r="H12" s="222">
        <f t="shared" si="0"/>
        <v>2014</v>
      </c>
      <c r="I12" s="222">
        <f t="shared" si="0"/>
        <v>2015</v>
      </c>
      <c r="J12" s="222">
        <f t="shared" si="0"/>
        <v>2016</v>
      </c>
      <c r="K12" s="222">
        <f t="shared" si="0"/>
        <v>2017</v>
      </c>
      <c r="L12" s="222">
        <f t="shared" si="0"/>
        <v>2018</v>
      </c>
      <c r="M12" s="222">
        <f t="shared" si="0"/>
        <v>2019</v>
      </c>
      <c r="N12" s="221"/>
      <c r="O12" s="222" t="s">
        <v>11039</v>
      </c>
      <c r="P12" s="221"/>
    </row>
    <row r="13" spans="2:22" s="22" customFormat="1" ht="43.5">
      <c r="B13" s="223" t="s">
        <v>11058</v>
      </c>
      <c r="C13" s="224">
        <v>0.4</v>
      </c>
      <c r="D13" s="224">
        <v>0.4</v>
      </c>
      <c r="E13" s="224">
        <v>0.4</v>
      </c>
      <c r="F13" s="224">
        <v>0.4</v>
      </c>
      <c r="G13" s="224">
        <v>0.4</v>
      </c>
      <c r="H13" s="224">
        <v>0.4</v>
      </c>
      <c r="I13" s="224">
        <v>0.4</v>
      </c>
      <c r="J13" s="224">
        <v>0.4</v>
      </c>
      <c r="K13" s="224">
        <v>0.4</v>
      </c>
      <c r="L13" s="224">
        <v>0.4</v>
      </c>
      <c r="M13" s="224">
        <v>0.4</v>
      </c>
      <c r="N13" s="221"/>
      <c r="O13" s="223" t="s">
        <v>11051</v>
      </c>
      <c r="P13" s="221"/>
    </row>
    <row r="14" spans="2:22">
      <c r="B14" s="221"/>
      <c r="C14" s="221"/>
      <c r="D14" s="221"/>
      <c r="E14" s="221"/>
      <c r="F14" s="221"/>
      <c r="G14" s="221"/>
      <c r="H14" s="221"/>
      <c r="I14" s="221"/>
      <c r="J14" s="221"/>
      <c r="K14" s="221"/>
      <c r="L14" s="221"/>
      <c r="M14" s="221"/>
      <c r="N14" s="221"/>
      <c r="O14" s="221"/>
      <c r="P14" s="221"/>
      <c r="V14" s="22"/>
    </row>
    <row r="15" spans="2:22">
      <c r="V15" s="22"/>
    </row>
    <row r="16" spans="2:22">
      <c r="V16" s="22"/>
    </row>
    <row r="17" spans="22:22">
      <c r="V17" s="22"/>
    </row>
    <row r="18" spans="22:22">
      <c r="V18" s="22"/>
    </row>
    <row r="19" spans="22:22">
      <c r="V19" s="22"/>
    </row>
    <row r="20" spans="22:22">
      <c r="V20" s="22"/>
    </row>
    <row r="21" spans="22:22">
      <c r="V21" s="22"/>
    </row>
    <row r="22" spans="22:22">
      <c r="V22" s="22"/>
    </row>
    <row r="23" spans="22:22">
      <c r="V23" s="22"/>
    </row>
    <row r="24" spans="22:22">
      <c r="V24" s="22"/>
    </row>
    <row r="25" spans="22:22">
      <c r="V25" s="22"/>
    </row>
    <row r="26" spans="22:22">
      <c r="V26" s="22"/>
    </row>
    <row r="27" spans="22:22">
      <c r="V27" s="22"/>
    </row>
    <row r="28" spans="22:22">
      <c r="V28" s="22"/>
    </row>
    <row r="29" spans="22:22">
      <c r="V29" s="22"/>
    </row>
    <row r="30" spans="22:22">
      <c r="V30" s="22"/>
    </row>
    <row r="31" spans="22:22">
      <c r="V31" s="22"/>
    </row>
    <row r="32" spans="22:22">
      <c r="V32" s="22"/>
    </row>
    <row r="33" spans="22:22">
      <c r="V33" s="22"/>
    </row>
    <row r="34" spans="22:22">
      <c r="V34" s="22"/>
    </row>
    <row r="35" spans="22:22">
      <c r="V35" s="22"/>
    </row>
    <row r="36" spans="22:22">
      <c r="V36" s="22"/>
    </row>
    <row r="37" spans="22:22">
      <c r="V37" s="22"/>
    </row>
    <row r="38" spans="22:22">
      <c r="V38" s="22"/>
    </row>
    <row r="39" spans="22:22">
      <c r="V39" s="22"/>
    </row>
    <row r="40" spans="22:22">
      <c r="V40" s="22"/>
    </row>
    <row r="41" spans="22:22">
      <c r="V41" s="22"/>
    </row>
    <row r="42" spans="22:22">
      <c r="V42" s="22"/>
    </row>
    <row r="43" spans="22:22">
      <c r="V43" s="22"/>
    </row>
    <row r="44" spans="22:22">
      <c r="V44" s="22"/>
    </row>
    <row r="45" spans="22:22">
      <c r="V45" s="22"/>
    </row>
    <row r="46" spans="22:22">
      <c r="V46" s="22"/>
    </row>
    <row r="47" spans="22:22">
      <c r="V47" s="22"/>
    </row>
    <row r="48" spans="22:22">
      <c r="V48" s="22"/>
    </row>
    <row r="49" spans="22:22">
      <c r="V49" s="22"/>
    </row>
    <row r="50" spans="22:22">
      <c r="V50" s="22"/>
    </row>
    <row r="51" spans="22:22">
      <c r="V51" s="22"/>
    </row>
    <row r="52" spans="22:22">
      <c r="V52" s="22"/>
    </row>
    <row r="53" spans="22:22">
      <c r="V53" s="22"/>
    </row>
    <row r="54" spans="22:22">
      <c r="V54" s="22"/>
    </row>
    <row r="55" spans="22:22">
      <c r="V55" s="22"/>
    </row>
    <row r="56" spans="22:22">
      <c r="V56" s="22"/>
    </row>
    <row r="57" spans="22:22">
      <c r="V57" s="22"/>
    </row>
    <row r="58" spans="22:22">
      <c r="V58" s="22"/>
    </row>
    <row r="59" spans="22:22">
      <c r="V59" s="22"/>
    </row>
    <row r="60" spans="22:22">
      <c r="V60" s="22"/>
    </row>
    <row r="61" spans="22:22">
      <c r="V61" s="22"/>
    </row>
    <row r="62" spans="22:22">
      <c r="V62" s="22"/>
    </row>
    <row r="63" spans="22:22">
      <c r="V63" s="22"/>
    </row>
    <row r="64" spans="22:22">
      <c r="V64" s="22"/>
    </row>
    <row r="65" spans="22:22">
      <c r="V65" s="22"/>
    </row>
    <row r="66" spans="22:22">
      <c r="V66" s="22"/>
    </row>
    <row r="67" spans="22:22">
      <c r="V67" s="22"/>
    </row>
    <row r="68" spans="22:22">
      <c r="V68" s="22"/>
    </row>
    <row r="69" spans="22:22">
      <c r="V69" s="22"/>
    </row>
    <row r="70" spans="22:22">
      <c r="V70" s="22"/>
    </row>
    <row r="71" spans="22:22">
      <c r="V71" s="22"/>
    </row>
    <row r="72" spans="22:22">
      <c r="V72" s="22"/>
    </row>
    <row r="73" spans="22:22">
      <c r="V73" s="22"/>
    </row>
    <row r="74" spans="22:22">
      <c r="V74" s="22"/>
    </row>
    <row r="75" spans="22:22">
      <c r="V75" s="22"/>
    </row>
    <row r="76" spans="22:22">
      <c r="V76" s="22"/>
    </row>
    <row r="77" spans="22:22">
      <c r="V77" s="22"/>
    </row>
    <row r="78" spans="22:22">
      <c r="V78" s="22"/>
    </row>
    <row r="79" spans="22:22">
      <c r="V79" s="22"/>
    </row>
    <row r="80" spans="22:22">
      <c r="V80" s="22"/>
    </row>
    <row r="81" spans="22:22">
      <c r="V81" s="22"/>
    </row>
    <row r="82" spans="22:22">
      <c r="V82" s="22"/>
    </row>
    <row r="83" spans="22:22">
      <c r="V83" s="22"/>
    </row>
    <row r="84" spans="22:22">
      <c r="V84" s="22"/>
    </row>
    <row r="85" spans="22:22">
      <c r="V85" s="22"/>
    </row>
    <row r="86" spans="22:22">
      <c r="V86" s="22"/>
    </row>
    <row r="87" spans="22:22">
      <c r="V87" s="22"/>
    </row>
    <row r="88" spans="22:22">
      <c r="V88" s="22"/>
    </row>
    <row r="89" spans="22:22">
      <c r="V89" s="22"/>
    </row>
    <row r="90" spans="22:22">
      <c r="V90" s="22"/>
    </row>
    <row r="91" spans="22:22">
      <c r="V91" s="22"/>
    </row>
    <row r="92" spans="22:22">
      <c r="V92" s="22"/>
    </row>
    <row r="93" spans="22:22">
      <c r="V93" s="22"/>
    </row>
    <row r="94" spans="22:22">
      <c r="V94" s="22"/>
    </row>
    <row r="95" spans="22:22">
      <c r="V95" s="22"/>
    </row>
    <row r="96" spans="22:22">
      <c r="V96" s="22"/>
    </row>
    <row r="97" spans="22:22">
      <c r="V97" s="22"/>
    </row>
    <row r="98" spans="22:22">
      <c r="V98" s="22"/>
    </row>
    <row r="99" spans="22:22">
      <c r="V99" s="22"/>
    </row>
    <row r="100" spans="22:22">
      <c r="V100" s="22"/>
    </row>
    <row r="101" spans="22:22">
      <c r="V101" s="22"/>
    </row>
    <row r="102" spans="22:22">
      <c r="V102" s="22"/>
    </row>
    <row r="103" spans="22:22">
      <c r="V103" s="22"/>
    </row>
    <row r="104" spans="22:22">
      <c r="V104" s="22"/>
    </row>
    <row r="105" spans="22:22">
      <c r="V105" s="22"/>
    </row>
    <row r="106" spans="22:22">
      <c r="V106" s="22"/>
    </row>
    <row r="107" spans="22:22">
      <c r="V107" s="22"/>
    </row>
    <row r="108" spans="22:22">
      <c r="V108" s="22"/>
    </row>
    <row r="109" spans="22:22">
      <c r="V109" s="22"/>
    </row>
    <row r="110" spans="22:22">
      <c r="V110" s="22"/>
    </row>
    <row r="111" spans="22:22">
      <c r="V111" s="22"/>
    </row>
    <row r="112" spans="22:22">
      <c r="V112" s="22"/>
    </row>
    <row r="113" spans="22:22">
      <c r="V113" s="22"/>
    </row>
    <row r="114" spans="22:22">
      <c r="V114" s="22"/>
    </row>
    <row r="115" spans="22:22">
      <c r="V115" s="22"/>
    </row>
    <row r="116" spans="22:22">
      <c r="V116" s="22"/>
    </row>
    <row r="117" spans="22:22">
      <c r="V117" s="22"/>
    </row>
    <row r="118" spans="22:22">
      <c r="V118" s="22"/>
    </row>
    <row r="119" spans="22:22">
      <c r="V119" s="22"/>
    </row>
    <row r="120" spans="22:22">
      <c r="V120" s="22"/>
    </row>
    <row r="121" spans="22:22">
      <c r="V121" s="22"/>
    </row>
    <row r="122" spans="22:22">
      <c r="V122" s="22"/>
    </row>
    <row r="123" spans="22:22">
      <c r="V123" s="22"/>
    </row>
    <row r="124" spans="22:22">
      <c r="V124" s="22"/>
    </row>
    <row r="125" spans="22:22">
      <c r="V125" s="22"/>
    </row>
    <row r="126" spans="22:22">
      <c r="V126" s="22"/>
    </row>
    <row r="127" spans="22:22">
      <c r="V127" s="22"/>
    </row>
    <row r="128" spans="22:22">
      <c r="V128" s="22"/>
    </row>
    <row r="129" spans="22:22">
      <c r="V129" s="22"/>
    </row>
    <row r="130" spans="22:22">
      <c r="V130" s="22"/>
    </row>
    <row r="131" spans="22:22">
      <c r="V131" s="22"/>
    </row>
    <row r="132" spans="22:22">
      <c r="V132" s="22"/>
    </row>
    <row r="133" spans="22:22">
      <c r="V133" s="22"/>
    </row>
    <row r="134" spans="22:22">
      <c r="V134" s="22"/>
    </row>
    <row r="135" spans="22:22">
      <c r="V135" s="22"/>
    </row>
    <row r="136" spans="22:22">
      <c r="V136" s="22"/>
    </row>
    <row r="137" spans="22:22">
      <c r="V137" s="22"/>
    </row>
    <row r="138" spans="22:22">
      <c r="V138" s="22"/>
    </row>
    <row r="139" spans="22:22">
      <c r="V139" s="22"/>
    </row>
    <row r="140" spans="22:22">
      <c r="V140" s="22"/>
    </row>
    <row r="141" spans="22:22">
      <c r="V141" s="22"/>
    </row>
    <row r="142" spans="22:22">
      <c r="V142" s="22"/>
    </row>
    <row r="143" spans="22:22">
      <c r="V143" s="22"/>
    </row>
    <row r="144" spans="22:22">
      <c r="V144" s="22"/>
    </row>
    <row r="145" spans="22:22">
      <c r="V145" s="22"/>
    </row>
    <row r="146" spans="22:22">
      <c r="V146" s="22"/>
    </row>
    <row r="147" spans="22:22">
      <c r="V147" s="22"/>
    </row>
    <row r="148" spans="22:22">
      <c r="V148" s="22"/>
    </row>
    <row r="149" spans="22:22">
      <c r="V149" s="22"/>
    </row>
    <row r="150" spans="22:22">
      <c r="V150" s="22"/>
    </row>
    <row r="151" spans="22:22">
      <c r="V151" s="22"/>
    </row>
    <row r="152" spans="22:22">
      <c r="V152" s="22"/>
    </row>
    <row r="153" spans="22:22">
      <c r="V153" s="22"/>
    </row>
    <row r="154" spans="22:22">
      <c r="V154" s="22"/>
    </row>
    <row r="155" spans="22:22">
      <c r="V155" s="22"/>
    </row>
    <row r="156" spans="22:22">
      <c r="V156" s="22"/>
    </row>
    <row r="157" spans="22:22">
      <c r="V157" s="22"/>
    </row>
    <row r="158" spans="22:22">
      <c r="V158" s="22"/>
    </row>
    <row r="159" spans="22:22">
      <c r="V159" s="22"/>
    </row>
    <row r="160" spans="22:22">
      <c r="V160" s="22"/>
    </row>
    <row r="161" spans="22:22">
      <c r="V161" s="22"/>
    </row>
    <row r="162" spans="22:22">
      <c r="V162" s="22"/>
    </row>
    <row r="163" spans="22:22">
      <c r="V163" s="22"/>
    </row>
    <row r="164" spans="22:22">
      <c r="V164" s="22"/>
    </row>
    <row r="165" spans="22:22">
      <c r="V165" s="22"/>
    </row>
    <row r="166" spans="22:22">
      <c r="V166" s="22"/>
    </row>
    <row r="167" spans="22:22">
      <c r="V167" s="22"/>
    </row>
    <row r="168" spans="22:22">
      <c r="V168" s="22"/>
    </row>
    <row r="169" spans="22:22">
      <c r="V169" s="22"/>
    </row>
    <row r="170" spans="22:22">
      <c r="V170" s="22"/>
    </row>
    <row r="171" spans="22:22">
      <c r="V171" s="22"/>
    </row>
    <row r="172" spans="22:22">
      <c r="V172" s="22"/>
    </row>
    <row r="173" spans="22:22">
      <c r="V173" s="22"/>
    </row>
    <row r="174" spans="22:22">
      <c r="V174" s="22"/>
    </row>
    <row r="175" spans="22:22">
      <c r="V175" s="22"/>
    </row>
    <row r="176" spans="22:22">
      <c r="V176" s="22"/>
    </row>
    <row r="177" spans="22:22">
      <c r="V177" s="22"/>
    </row>
    <row r="178" spans="22:22">
      <c r="V178" s="22"/>
    </row>
    <row r="179" spans="22:22">
      <c r="V179" s="22"/>
    </row>
    <row r="180" spans="22:22">
      <c r="V180" s="22"/>
    </row>
    <row r="181" spans="22:22">
      <c r="V181" s="22"/>
    </row>
    <row r="182" spans="22:22">
      <c r="V182" s="22"/>
    </row>
    <row r="183" spans="22:22">
      <c r="V183" s="22"/>
    </row>
    <row r="184" spans="22:22">
      <c r="V184" s="22"/>
    </row>
    <row r="185" spans="22:22">
      <c r="V185" s="22"/>
    </row>
    <row r="186" spans="22:22">
      <c r="V186" s="22"/>
    </row>
    <row r="187" spans="22:22">
      <c r="V187" s="22"/>
    </row>
    <row r="188" spans="22:22">
      <c r="V188" s="22"/>
    </row>
    <row r="189" spans="22:22">
      <c r="V189" s="22"/>
    </row>
    <row r="190" spans="22:22">
      <c r="V190" s="22"/>
    </row>
    <row r="191" spans="22:22">
      <c r="V191" s="22"/>
    </row>
    <row r="192" spans="22:22">
      <c r="V192" s="22"/>
    </row>
    <row r="193" spans="22:22">
      <c r="V193" s="22"/>
    </row>
    <row r="194" spans="22:22">
      <c r="V194" s="22"/>
    </row>
    <row r="195" spans="22:22">
      <c r="V195" s="22"/>
    </row>
    <row r="196" spans="22:22">
      <c r="V196" s="22"/>
    </row>
    <row r="197" spans="22:22">
      <c r="V197" s="22"/>
    </row>
    <row r="198" spans="22:22">
      <c r="V198" s="22"/>
    </row>
    <row r="199" spans="22:22">
      <c r="V199" s="22"/>
    </row>
    <row r="200" spans="22:22">
      <c r="V200" s="22"/>
    </row>
    <row r="201" spans="22:22">
      <c r="V201" s="22"/>
    </row>
    <row r="202" spans="22:22">
      <c r="V202" s="22"/>
    </row>
    <row r="203" spans="22:22">
      <c r="V203" s="22"/>
    </row>
    <row r="204" spans="22:22">
      <c r="V204" s="22"/>
    </row>
    <row r="205" spans="22:22">
      <c r="V205" s="22"/>
    </row>
    <row r="206" spans="22:22">
      <c r="V206" s="22"/>
    </row>
    <row r="207" spans="22:22">
      <c r="V207" s="22"/>
    </row>
    <row r="208" spans="22:22">
      <c r="V208" s="22"/>
    </row>
    <row r="209" spans="22:22">
      <c r="V209" s="22"/>
    </row>
    <row r="210" spans="22:22">
      <c r="V210" s="22"/>
    </row>
    <row r="211" spans="22:22">
      <c r="V211" s="22"/>
    </row>
    <row r="212" spans="22:22">
      <c r="V212" s="22"/>
    </row>
    <row r="213" spans="22:22">
      <c r="V213" s="22"/>
    </row>
    <row r="214" spans="22:22">
      <c r="V214" s="22"/>
    </row>
    <row r="215" spans="22:22">
      <c r="V215" s="22"/>
    </row>
    <row r="216" spans="22:22">
      <c r="V216" s="22"/>
    </row>
    <row r="217" spans="22:22">
      <c r="V217" s="22"/>
    </row>
    <row r="218" spans="22:22">
      <c r="V218" s="22"/>
    </row>
    <row r="219" spans="22:22">
      <c r="V219" s="22"/>
    </row>
    <row r="220" spans="22:22">
      <c r="V220" s="22"/>
    </row>
    <row r="221" spans="22:22">
      <c r="V221" s="22"/>
    </row>
    <row r="222" spans="22:22">
      <c r="V222" s="22"/>
    </row>
    <row r="223" spans="22:22">
      <c r="V223" s="22"/>
    </row>
    <row r="224" spans="22:22">
      <c r="V224" s="22"/>
    </row>
    <row r="225" spans="22:22">
      <c r="V225" s="22"/>
    </row>
    <row r="226" spans="22:22">
      <c r="V226" s="22"/>
    </row>
    <row r="227" spans="22:22">
      <c r="V227" s="22"/>
    </row>
    <row r="228" spans="22:22">
      <c r="V228" s="22"/>
    </row>
    <row r="229" spans="22:22">
      <c r="V229" s="22"/>
    </row>
    <row r="230" spans="22:22">
      <c r="V230" s="22"/>
    </row>
    <row r="231" spans="22:22">
      <c r="V231" s="22"/>
    </row>
    <row r="232" spans="22:22">
      <c r="V232" s="22"/>
    </row>
    <row r="233" spans="22:22">
      <c r="V233" s="22"/>
    </row>
    <row r="234" spans="22:22">
      <c r="V234" s="22"/>
    </row>
    <row r="235" spans="22:22">
      <c r="V235" s="22"/>
    </row>
    <row r="236" spans="22:22">
      <c r="V236" s="22"/>
    </row>
    <row r="237" spans="22:22">
      <c r="V237" s="22"/>
    </row>
    <row r="238" spans="22:22">
      <c r="V238" s="22"/>
    </row>
    <row r="239" spans="22:22">
      <c r="V239" s="22"/>
    </row>
    <row r="240" spans="22:22">
      <c r="V240" s="22"/>
    </row>
    <row r="241" spans="22:22">
      <c r="V241" s="22"/>
    </row>
    <row r="242" spans="22:22">
      <c r="V242" s="22"/>
    </row>
    <row r="243" spans="22:22">
      <c r="V243" s="22"/>
    </row>
    <row r="244" spans="22:22">
      <c r="V244" s="22"/>
    </row>
    <row r="245" spans="22:22">
      <c r="V245" s="22"/>
    </row>
    <row r="246" spans="22:22">
      <c r="V246" s="22"/>
    </row>
    <row r="247" spans="22:22">
      <c r="V247" s="22"/>
    </row>
    <row r="248" spans="22:22">
      <c r="V248" s="22"/>
    </row>
    <row r="249" spans="22:22">
      <c r="V249" s="22"/>
    </row>
    <row r="250" spans="22:22">
      <c r="V250" s="22"/>
    </row>
    <row r="251" spans="22:22">
      <c r="V251" s="22"/>
    </row>
    <row r="252" spans="22:22">
      <c r="V252" s="22"/>
    </row>
    <row r="253" spans="22:22">
      <c r="V253" s="22"/>
    </row>
    <row r="254" spans="22:22">
      <c r="V254" s="22"/>
    </row>
    <row r="255" spans="22:22">
      <c r="V255" s="22"/>
    </row>
    <row r="256" spans="22:22">
      <c r="V256" s="22"/>
    </row>
    <row r="257" spans="22:22">
      <c r="V257" s="22"/>
    </row>
    <row r="258" spans="22:22">
      <c r="V258" s="22"/>
    </row>
    <row r="259" spans="22:22">
      <c r="V259" s="22"/>
    </row>
    <row r="260" spans="22:22">
      <c r="V260" s="22"/>
    </row>
    <row r="261" spans="22:22">
      <c r="V261" s="22"/>
    </row>
    <row r="262" spans="22:22">
      <c r="V262" s="22"/>
    </row>
    <row r="263" spans="22:22">
      <c r="V263" s="22"/>
    </row>
    <row r="264" spans="22:22">
      <c r="V264" s="22"/>
    </row>
    <row r="265" spans="22:22">
      <c r="V265" s="22"/>
    </row>
    <row r="266" spans="22:22">
      <c r="V266" s="22"/>
    </row>
    <row r="267" spans="22:22">
      <c r="V267" s="22"/>
    </row>
    <row r="268" spans="22:22">
      <c r="V268" s="22"/>
    </row>
    <row r="269" spans="22:22">
      <c r="V269" s="22"/>
    </row>
    <row r="270" spans="22:22">
      <c r="V270" s="22"/>
    </row>
    <row r="271" spans="22:22">
      <c r="V271" s="22"/>
    </row>
    <row r="272" spans="22:22">
      <c r="V272" s="22"/>
    </row>
    <row r="273" spans="22:22">
      <c r="V273" s="22"/>
    </row>
    <row r="274" spans="22:22">
      <c r="V274" s="22"/>
    </row>
    <row r="275" spans="22:22">
      <c r="V275" s="22"/>
    </row>
    <row r="276" spans="22:22">
      <c r="V276" s="22"/>
    </row>
    <row r="277" spans="22:22">
      <c r="V277" s="22"/>
    </row>
    <row r="278" spans="22:22">
      <c r="V278" s="22"/>
    </row>
    <row r="279" spans="22:22">
      <c r="V279" s="22"/>
    </row>
    <row r="280" spans="22:22">
      <c r="V280" s="22"/>
    </row>
    <row r="281" spans="22:22">
      <c r="V281" s="22"/>
    </row>
    <row r="282" spans="22:22">
      <c r="V282" s="22"/>
    </row>
    <row r="283" spans="22:22">
      <c r="V283" s="22"/>
    </row>
    <row r="284" spans="22:22">
      <c r="V284" s="22"/>
    </row>
    <row r="285" spans="22:22">
      <c r="V285" s="22"/>
    </row>
    <row r="286" spans="22:22">
      <c r="V286" s="22"/>
    </row>
    <row r="287" spans="22:22">
      <c r="V287" s="22"/>
    </row>
    <row r="288" spans="22:22">
      <c r="V288" s="22"/>
    </row>
    <row r="289" spans="22:22">
      <c r="V289" s="22"/>
    </row>
    <row r="290" spans="22:22">
      <c r="V290" s="22"/>
    </row>
    <row r="291" spans="22:22">
      <c r="V291" s="22"/>
    </row>
    <row r="292" spans="22:22">
      <c r="V292" s="22"/>
    </row>
    <row r="293" spans="22:22">
      <c r="V293" s="22"/>
    </row>
    <row r="294" spans="22:22">
      <c r="V294" s="22"/>
    </row>
    <row r="295" spans="22:22">
      <c r="V295" s="22"/>
    </row>
    <row r="296" spans="22:22">
      <c r="V296" s="22"/>
    </row>
    <row r="297" spans="22:22">
      <c r="V297" s="22"/>
    </row>
    <row r="298" spans="22:22">
      <c r="V298" s="22"/>
    </row>
    <row r="299" spans="22:22">
      <c r="V299" s="22"/>
    </row>
    <row r="300" spans="22:22">
      <c r="V300" s="22"/>
    </row>
    <row r="301" spans="22:22">
      <c r="V301" s="22"/>
    </row>
    <row r="302" spans="22:22">
      <c r="V302" s="22"/>
    </row>
    <row r="303" spans="22:22">
      <c r="V303" s="22"/>
    </row>
    <row r="304" spans="22:22">
      <c r="V304" s="22"/>
    </row>
    <row r="305" spans="22:22">
      <c r="V305" s="22"/>
    </row>
    <row r="306" spans="22:22">
      <c r="V306" s="22"/>
    </row>
    <row r="307" spans="22:22">
      <c r="V307" s="22"/>
    </row>
    <row r="308" spans="22:22">
      <c r="V308" s="22"/>
    </row>
    <row r="309" spans="22:22">
      <c r="V309" s="22"/>
    </row>
    <row r="310" spans="22:22">
      <c r="V310" s="22"/>
    </row>
    <row r="311" spans="22:22">
      <c r="V311" s="22"/>
    </row>
    <row r="312" spans="22:22">
      <c r="V312" s="22"/>
    </row>
    <row r="313" spans="22:22">
      <c r="V313" s="22"/>
    </row>
    <row r="314" spans="22:22">
      <c r="V314" s="22"/>
    </row>
    <row r="315" spans="22:22">
      <c r="V315" s="22"/>
    </row>
    <row r="316" spans="22:22">
      <c r="V316" s="22"/>
    </row>
    <row r="317" spans="22:22">
      <c r="V317" s="22"/>
    </row>
    <row r="318" spans="22:22">
      <c r="V318" s="22"/>
    </row>
    <row r="319" spans="22:22">
      <c r="V319" s="22"/>
    </row>
    <row r="320" spans="22:22">
      <c r="V320" s="22"/>
    </row>
    <row r="321" spans="22:22">
      <c r="V321" s="22"/>
    </row>
    <row r="322" spans="22:22">
      <c r="V322" s="22"/>
    </row>
    <row r="323" spans="22:22">
      <c r="V323" s="22"/>
    </row>
    <row r="324" spans="22:22">
      <c r="V324" s="22"/>
    </row>
    <row r="325" spans="22:22">
      <c r="V325" s="22"/>
    </row>
    <row r="326" spans="22:22">
      <c r="V326" s="22"/>
    </row>
    <row r="327" spans="22:22">
      <c r="V327" s="22"/>
    </row>
    <row r="328" spans="22:22">
      <c r="V328" s="22"/>
    </row>
    <row r="329" spans="22:22">
      <c r="V329" s="22"/>
    </row>
    <row r="330" spans="22:22">
      <c r="V330" s="22"/>
    </row>
    <row r="331" spans="22:22">
      <c r="V331" s="22"/>
    </row>
    <row r="332" spans="22:22">
      <c r="V332" s="22"/>
    </row>
    <row r="333" spans="22:22">
      <c r="V333" s="22"/>
    </row>
    <row r="334" spans="22:22">
      <c r="V334" s="22"/>
    </row>
    <row r="335" spans="22:22">
      <c r="V335" s="22"/>
    </row>
    <row r="336" spans="22:22">
      <c r="V336" s="22"/>
    </row>
    <row r="337" spans="22:22">
      <c r="V337" s="22"/>
    </row>
    <row r="338" spans="22:22">
      <c r="V338" s="22"/>
    </row>
    <row r="339" spans="22:22">
      <c r="V339" s="22"/>
    </row>
    <row r="340" spans="22:22">
      <c r="V340" s="22"/>
    </row>
    <row r="341" spans="22:22">
      <c r="V341" s="22"/>
    </row>
    <row r="342" spans="22:22">
      <c r="V342" s="22"/>
    </row>
    <row r="343" spans="22:22">
      <c r="V343" s="22"/>
    </row>
    <row r="344" spans="22:22">
      <c r="V344" s="22"/>
    </row>
    <row r="345" spans="22:22">
      <c r="V345" s="22"/>
    </row>
    <row r="346" spans="22:22">
      <c r="V346" s="22"/>
    </row>
    <row r="347" spans="22:22">
      <c r="V347" s="22"/>
    </row>
    <row r="348" spans="22:22">
      <c r="V348" s="22"/>
    </row>
    <row r="349" spans="22:22">
      <c r="V349" s="22"/>
    </row>
    <row r="350" spans="22:22">
      <c r="V350" s="22"/>
    </row>
    <row r="351" spans="22:22">
      <c r="V351" s="22"/>
    </row>
    <row r="352" spans="22:22">
      <c r="V352" s="22"/>
    </row>
    <row r="353" spans="22:22">
      <c r="V353" s="22"/>
    </row>
    <row r="354" spans="22:22">
      <c r="V354" s="22"/>
    </row>
    <row r="355" spans="22:22">
      <c r="V355" s="22"/>
    </row>
    <row r="356" spans="22:22">
      <c r="V356" s="22"/>
    </row>
    <row r="357" spans="22:22">
      <c r="V357" s="22"/>
    </row>
    <row r="358" spans="22:22">
      <c r="V358" s="22"/>
    </row>
    <row r="359" spans="22:22">
      <c r="V359" s="22"/>
    </row>
    <row r="360" spans="22:22">
      <c r="V360" s="22"/>
    </row>
    <row r="361" spans="22:22">
      <c r="V361" s="22"/>
    </row>
    <row r="362" spans="22:22">
      <c r="V362" s="22"/>
    </row>
    <row r="363" spans="22:22">
      <c r="V363" s="22"/>
    </row>
    <row r="364" spans="22:22">
      <c r="V364" s="22"/>
    </row>
    <row r="365" spans="22:22">
      <c r="V365" s="22"/>
    </row>
    <row r="366" spans="22:22">
      <c r="V366" s="22"/>
    </row>
    <row r="367" spans="22:22">
      <c r="V367" s="22"/>
    </row>
    <row r="368" spans="22:22">
      <c r="V368" s="22"/>
    </row>
    <row r="369" spans="22:22">
      <c r="V369" s="22"/>
    </row>
    <row r="370" spans="22:22">
      <c r="V370" s="22"/>
    </row>
    <row r="371" spans="22:22">
      <c r="V371" s="22"/>
    </row>
    <row r="372" spans="22:22">
      <c r="V372" s="22"/>
    </row>
    <row r="373" spans="22:22">
      <c r="V373" s="22"/>
    </row>
    <row r="374" spans="22:22">
      <c r="V374" s="22"/>
    </row>
    <row r="375" spans="22:22">
      <c r="V375" s="22"/>
    </row>
    <row r="376" spans="22:22">
      <c r="V376" s="22"/>
    </row>
    <row r="377" spans="22:22">
      <c r="V377" s="22"/>
    </row>
    <row r="378" spans="22:22">
      <c r="V378" s="22"/>
    </row>
    <row r="379" spans="22:22">
      <c r="V379" s="22"/>
    </row>
    <row r="380" spans="22:22">
      <c r="V380" s="22"/>
    </row>
    <row r="381" spans="22:22">
      <c r="V381" s="22"/>
    </row>
    <row r="382" spans="22:22">
      <c r="V382" s="22"/>
    </row>
    <row r="383" spans="22:22">
      <c r="V383" s="22"/>
    </row>
    <row r="384" spans="22:22">
      <c r="V384" s="22"/>
    </row>
    <row r="385" spans="22:22">
      <c r="V385" s="22"/>
    </row>
    <row r="386" spans="22:22">
      <c r="V386" s="22"/>
    </row>
    <row r="387" spans="22:22">
      <c r="V387" s="22"/>
    </row>
    <row r="388" spans="22:22">
      <c r="V388" s="22"/>
    </row>
    <row r="389" spans="22:22">
      <c r="V389" s="22"/>
    </row>
    <row r="390" spans="22:22">
      <c r="V390" s="22"/>
    </row>
    <row r="391" spans="22:22">
      <c r="V391" s="22"/>
    </row>
    <row r="392" spans="22:22">
      <c r="V392" s="22"/>
    </row>
    <row r="393" spans="22:22">
      <c r="V393" s="22"/>
    </row>
    <row r="394" spans="22:22">
      <c r="V394" s="22"/>
    </row>
    <row r="395" spans="22:22">
      <c r="V395" s="22"/>
    </row>
    <row r="396" spans="22:22">
      <c r="V396" s="22"/>
    </row>
    <row r="397" spans="22:22">
      <c r="V397" s="22"/>
    </row>
    <row r="398" spans="22:22">
      <c r="V398" s="22"/>
    </row>
    <row r="399" spans="22:22">
      <c r="V399" s="22"/>
    </row>
    <row r="400" spans="22:22">
      <c r="V400" s="22"/>
    </row>
    <row r="401" spans="22:22">
      <c r="V401" s="22"/>
    </row>
    <row r="402" spans="22:22">
      <c r="V402" s="22"/>
    </row>
    <row r="403" spans="22:22">
      <c r="V403" s="22"/>
    </row>
    <row r="404" spans="22:22">
      <c r="V404" s="22"/>
    </row>
    <row r="405" spans="22:22">
      <c r="V405" s="22"/>
    </row>
    <row r="406" spans="22:22">
      <c r="V406" s="22"/>
    </row>
    <row r="407" spans="22:22">
      <c r="V407" s="22"/>
    </row>
    <row r="408" spans="22:22">
      <c r="V408" s="22"/>
    </row>
    <row r="409" spans="22:22">
      <c r="V409" s="22"/>
    </row>
    <row r="410" spans="22:22">
      <c r="V410" s="22"/>
    </row>
    <row r="411" spans="22:22">
      <c r="V411" s="22"/>
    </row>
    <row r="412" spans="22:22">
      <c r="V412" s="22"/>
    </row>
    <row r="413" spans="22:22">
      <c r="V413" s="22"/>
    </row>
    <row r="414" spans="22:22">
      <c r="V414" s="22"/>
    </row>
    <row r="415" spans="22:22">
      <c r="V415" s="22"/>
    </row>
    <row r="416" spans="22:22">
      <c r="V416" s="22"/>
    </row>
    <row r="417" spans="22:22">
      <c r="V417" s="22"/>
    </row>
    <row r="418" spans="22:22">
      <c r="V418" s="22"/>
    </row>
    <row r="419" spans="22:22">
      <c r="V419" s="22"/>
    </row>
    <row r="420" spans="22:22">
      <c r="V420" s="22"/>
    </row>
    <row r="421" spans="22:22">
      <c r="V421" s="22"/>
    </row>
    <row r="422" spans="22:22">
      <c r="V422" s="22"/>
    </row>
    <row r="423" spans="22:22">
      <c r="V423" s="22"/>
    </row>
    <row r="424" spans="22:22">
      <c r="V424" s="22"/>
    </row>
    <row r="425" spans="22:22">
      <c r="V425" s="22"/>
    </row>
    <row r="426" spans="22:22">
      <c r="V426" s="22"/>
    </row>
    <row r="427" spans="22:22">
      <c r="V427" s="22"/>
    </row>
    <row r="428" spans="22:22">
      <c r="V428" s="22"/>
    </row>
    <row r="429" spans="22:22">
      <c r="V429" s="22"/>
    </row>
    <row r="430" spans="22:22">
      <c r="V430" s="22"/>
    </row>
    <row r="431" spans="22:22">
      <c r="V431" s="22"/>
    </row>
    <row r="432" spans="22:22">
      <c r="V432" s="22"/>
    </row>
    <row r="433" spans="22:22">
      <c r="V433" s="22"/>
    </row>
    <row r="434" spans="22:22">
      <c r="V434" s="22"/>
    </row>
    <row r="435" spans="22:22">
      <c r="V435" s="22"/>
    </row>
    <row r="436" spans="22:22">
      <c r="V436" s="22"/>
    </row>
    <row r="437" spans="22:22">
      <c r="V437" s="22"/>
    </row>
    <row r="438" spans="22:22">
      <c r="V438" s="22"/>
    </row>
    <row r="439" spans="22:22">
      <c r="V439" s="22"/>
    </row>
    <row r="440" spans="22:22">
      <c r="V440" s="22"/>
    </row>
    <row r="441" spans="22:22">
      <c r="V441" s="22"/>
    </row>
    <row r="442" spans="22:22">
      <c r="V442" s="22"/>
    </row>
    <row r="443" spans="22:22">
      <c r="V443" s="22"/>
    </row>
    <row r="444" spans="22:22">
      <c r="V444" s="22"/>
    </row>
    <row r="445" spans="22:22">
      <c r="V445" s="22"/>
    </row>
    <row r="446" spans="22:22">
      <c r="V446" s="22"/>
    </row>
    <row r="447" spans="22:22">
      <c r="V447" s="22"/>
    </row>
    <row r="448" spans="22:22">
      <c r="V448" s="22"/>
    </row>
    <row r="449" spans="22:22">
      <c r="V449" s="22"/>
    </row>
    <row r="450" spans="22:22">
      <c r="V450" s="22"/>
    </row>
    <row r="451" spans="22:22">
      <c r="V451" s="22"/>
    </row>
    <row r="452" spans="22:22">
      <c r="V452" s="22"/>
    </row>
    <row r="453" spans="22:22">
      <c r="V453" s="22"/>
    </row>
    <row r="454" spans="22:22">
      <c r="V454" s="22"/>
    </row>
    <row r="455" spans="22:22">
      <c r="V455" s="22"/>
    </row>
    <row r="456" spans="22:22">
      <c r="V456" s="22"/>
    </row>
    <row r="457" spans="22:22">
      <c r="V457" s="22"/>
    </row>
    <row r="458" spans="22:22">
      <c r="V458" s="22"/>
    </row>
    <row r="459" spans="22:22">
      <c r="V459" s="22"/>
    </row>
    <row r="460" spans="22:22">
      <c r="V460" s="22"/>
    </row>
    <row r="461" spans="22:22">
      <c r="V461" s="22"/>
    </row>
    <row r="462" spans="22:22">
      <c r="V462" s="22"/>
    </row>
    <row r="463" spans="22:22">
      <c r="V463" s="22"/>
    </row>
    <row r="464" spans="22:22">
      <c r="V464" s="22"/>
    </row>
    <row r="465" spans="22:22">
      <c r="V465" s="22"/>
    </row>
    <row r="466" spans="22:22">
      <c r="V466" s="22"/>
    </row>
    <row r="467" spans="22:22">
      <c r="V467" s="22"/>
    </row>
    <row r="468" spans="22:22">
      <c r="V468" s="22"/>
    </row>
    <row r="469" spans="22:22">
      <c r="V469" s="22"/>
    </row>
    <row r="470" spans="22:22">
      <c r="V470" s="22"/>
    </row>
    <row r="471" spans="22:22">
      <c r="V471" s="22"/>
    </row>
    <row r="472" spans="22:22">
      <c r="V472" s="22"/>
    </row>
    <row r="473" spans="22:22">
      <c r="V473" s="22"/>
    </row>
    <row r="474" spans="22:22">
      <c r="V474" s="22"/>
    </row>
    <row r="475" spans="22:22">
      <c r="V475" s="22"/>
    </row>
    <row r="476" spans="22:22">
      <c r="V476" s="22"/>
    </row>
    <row r="477" spans="22:22">
      <c r="V477" s="22"/>
    </row>
    <row r="478" spans="22:22">
      <c r="V478" s="22"/>
    </row>
    <row r="479" spans="22:22">
      <c r="V479" s="22"/>
    </row>
    <row r="480" spans="22:22">
      <c r="V480" s="22"/>
    </row>
    <row r="481" spans="22:22">
      <c r="V481" s="22"/>
    </row>
    <row r="482" spans="22:22">
      <c r="V482" s="22"/>
    </row>
    <row r="483" spans="22:22">
      <c r="V483" s="22"/>
    </row>
    <row r="484" spans="22:22">
      <c r="V484" s="22"/>
    </row>
    <row r="485" spans="22:22">
      <c r="V485" s="22"/>
    </row>
    <row r="486" spans="22:22">
      <c r="V486" s="22"/>
    </row>
    <row r="487" spans="22:22">
      <c r="V487" s="22"/>
    </row>
    <row r="488" spans="22:22">
      <c r="V488" s="22"/>
    </row>
    <row r="489" spans="22:22">
      <c r="V489" s="22"/>
    </row>
    <row r="490" spans="22:22">
      <c r="V490" s="22"/>
    </row>
    <row r="491" spans="22:22">
      <c r="V491" s="22"/>
    </row>
    <row r="492" spans="22:22">
      <c r="V492" s="22"/>
    </row>
    <row r="493" spans="22:22">
      <c r="V493" s="22"/>
    </row>
    <row r="494" spans="22:22">
      <c r="V494" s="22"/>
    </row>
    <row r="495" spans="22:22">
      <c r="V495" s="22"/>
    </row>
    <row r="496" spans="22:22">
      <c r="V496" s="22"/>
    </row>
    <row r="497" spans="22:22">
      <c r="V497" s="22"/>
    </row>
    <row r="498" spans="22:22">
      <c r="V498" s="22"/>
    </row>
    <row r="499" spans="22:22">
      <c r="V499" s="22"/>
    </row>
    <row r="500" spans="22:22">
      <c r="V500" s="22"/>
    </row>
    <row r="501" spans="22:22">
      <c r="V501" s="22"/>
    </row>
    <row r="502" spans="22:22">
      <c r="V502" s="22"/>
    </row>
    <row r="503" spans="22:22">
      <c r="V503" s="22"/>
    </row>
    <row r="504" spans="22:22">
      <c r="V504" s="22"/>
    </row>
    <row r="505" spans="22:22">
      <c r="V505" s="22"/>
    </row>
    <row r="506" spans="22:22">
      <c r="V506" s="22"/>
    </row>
    <row r="507" spans="22:22">
      <c r="V507" s="22"/>
    </row>
    <row r="508" spans="22:22">
      <c r="V508" s="22"/>
    </row>
    <row r="509" spans="22:22">
      <c r="V509" s="22"/>
    </row>
    <row r="510" spans="22:22">
      <c r="V510" s="22"/>
    </row>
    <row r="511" spans="22:22">
      <c r="V511" s="22"/>
    </row>
    <row r="512" spans="22:22">
      <c r="V512" s="22"/>
    </row>
    <row r="513" spans="22:22">
      <c r="V513" s="22"/>
    </row>
    <row r="514" spans="22:22">
      <c r="V514" s="22"/>
    </row>
    <row r="515" spans="22:22">
      <c r="V515" s="22"/>
    </row>
    <row r="516" spans="22:22">
      <c r="V516" s="22"/>
    </row>
    <row r="517" spans="22:22">
      <c r="V517" s="22"/>
    </row>
    <row r="518" spans="22:22">
      <c r="V518" s="22"/>
    </row>
    <row r="519" spans="22:22">
      <c r="V519" s="22"/>
    </row>
    <row r="520" spans="22:22">
      <c r="V520" s="22"/>
    </row>
    <row r="521" spans="22:22">
      <c r="V521" s="22"/>
    </row>
    <row r="522" spans="22:22">
      <c r="V522" s="22"/>
    </row>
    <row r="523" spans="22:22">
      <c r="V523" s="22"/>
    </row>
    <row r="524" spans="22:22">
      <c r="V524" s="22"/>
    </row>
    <row r="525" spans="22:22">
      <c r="V525" s="22"/>
    </row>
    <row r="526" spans="22:22">
      <c r="V526" s="22"/>
    </row>
    <row r="527" spans="22:22">
      <c r="V527" s="22"/>
    </row>
    <row r="528" spans="22:22">
      <c r="V528" s="22"/>
    </row>
    <row r="529" spans="22:22">
      <c r="V529" s="22"/>
    </row>
    <row r="530" spans="22:22">
      <c r="V530" s="22"/>
    </row>
    <row r="531" spans="22:22">
      <c r="V531" s="22"/>
    </row>
    <row r="532" spans="22:22">
      <c r="V532" s="22"/>
    </row>
    <row r="533" spans="22:22">
      <c r="V533" s="22"/>
    </row>
    <row r="534" spans="22:22">
      <c r="V534" s="22"/>
    </row>
    <row r="535" spans="22:22">
      <c r="V535" s="22"/>
    </row>
    <row r="536" spans="22:22">
      <c r="V536" s="22"/>
    </row>
    <row r="537" spans="22:22">
      <c r="V537" s="22"/>
    </row>
    <row r="538" spans="22:22">
      <c r="V538" s="22"/>
    </row>
    <row r="539" spans="22:22">
      <c r="V539" s="22"/>
    </row>
    <row r="540" spans="22:22">
      <c r="V540" s="22"/>
    </row>
    <row r="541" spans="22:22">
      <c r="V541" s="22"/>
    </row>
    <row r="542" spans="22:22">
      <c r="V542" s="22"/>
    </row>
    <row r="543" spans="22:22">
      <c r="V543" s="22"/>
    </row>
    <row r="544" spans="22:22">
      <c r="V544" s="22"/>
    </row>
    <row r="545" spans="22:22">
      <c r="V545" s="22"/>
    </row>
    <row r="546" spans="22:22">
      <c r="V546" s="22"/>
    </row>
    <row r="547" spans="22:22">
      <c r="V547" s="22"/>
    </row>
    <row r="548" spans="22:22">
      <c r="V548" s="22"/>
    </row>
    <row r="549" spans="22:22">
      <c r="V549" s="22"/>
    </row>
    <row r="550" spans="22:22">
      <c r="V550" s="22"/>
    </row>
    <row r="551" spans="22:22">
      <c r="V551" s="22"/>
    </row>
    <row r="552" spans="22:22">
      <c r="V552" s="22"/>
    </row>
    <row r="553" spans="22:22">
      <c r="V553" s="22"/>
    </row>
    <row r="554" spans="22:22">
      <c r="V554" s="22"/>
    </row>
    <row r="555" spans="22:22">
      <c r="V555" s="22"/>
    </row>
    <row r="556" spans="22:22">
      <c r="V556" s="22"/>
    </row>
    <row r="557" spans="22:22">
      <c r="V557" s="22"/>
    </row>
    <row r="558" spans="22:22">
      <c r="V558" s="22"/>
    </row>
    <row r="559" spans="22:22">
      <c r="V559" s="22"/>
    </row>
    <row r="560" spans="22:22">
      <c r="V560" s="22"/>
    </row>
    <row r="561" spans="22:22">
      <c r="V561" s="22"/>
    </row>
    <row r="562" spans="22:22">
      <c r="V562" s="22"/>
    </row>
    <row r="563" spans="22:22">
      <c r="V563" s="22"/>
    </row>
  </sheetData>
  <mergeCells count="1">
    <mergeCell ref="B6:F6"/>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2033"/>
  <sheetViews>
    <sheetView showGridLines="0" topLeftCell="A202" workbookViewId="0">
      <selection activeCell="B208" sqref="B208"/>
    </sheetView>
  </sheetViews>
  <sheetFormatPr defaultRowHeight="14.5"/>
  <cols>
    <col min="2" max="2" width="51.54296875" customWidth="1"/>
    <col min="3" max="3" width="19.7265625" customWidth="1"/>
    <col min="4" max="4" width="53" customWidth="1"/>
    <col min="6" max="6" width="16.26953125" customWidth="1"/>
    <col min="7" max="7" width="12.1796875" customWidth="1"/>
    <col min="8" max="8" width="19.1796875" customWidth="1"/>
    <col min="9" max="9" width="20.453125" customWidth="1"/>
    <col min="10" max="10" width="45.453125" customWidth="1"/>
    <col min="11" max="11" width="26" customWidth="1"/>
    <col min="12" max="12" width="12.1796875" customWidth="1"/>
    <col min="13" max="13" width="54.81640625" customWidth="1"/>
    <col min="14" max="14" width="19.453125" customWidth="1"/>
    <col min="15" max="16" width="55" customWidth="1"/>
    <col min="18" max="18" width="53.81640625" customWidth="1"/>
  </cols>
  <sheetData>
    <row r="1" spans="1:18" ht="20.149999999999999" customHeight="1">
      <c r="A1" s="68" t="s">
        <v>0</v>
      </c>
      <c r="B1" s="66"/>
      <c r="C1" s="66"/>
      <c r="D1" s="66"/>
      <c r="E1" s="68"/>
    </row>
    <row r="2" spans="1:18">
      <c r="A2" s="65" t="s">
        <v>3106</v>
      </c>
      <c r="B2" s="66"/>
      <c r="C2" s="66"/>
      <c r="D2" s="66"/>
      <c r="E2" s="65"/>
    </row>
    <row r="3" spans="1:18">
      <c r="A3" s="67" t="s">
        <v>5</v>
      </c>
      <c r="B3" s="66"/>
      <c r="C3" s="66"/>
      <c r="D3" s="66"/>
      <c r="E3" s="67"/>
    </row>
    <row r="4" spans="1:18">
      <c r="A4" s="67" t="s">
        <v>4</v>
      </c>
      <c r="B4" s="66"/>
      <c r="C4" s="66"/>
      <c r="D4" s="66"/>
      <c r="E4" s="67"/>
    </row>
    <row r="6" spans="1:18" ht="26.15" customHeight="1">
      <c r="A6" s="6" t="s">
        <v>6</v>
      </c>
      <c r="B6" s="6" t="s">
        <v>3108</v>
      </c>
      <c r="C6" s="6" t="s">
        <v>3107</v>
      </c>
      <c r="D6" s="6" t="s">
        <v>3109</v>
      </c>
      <c r="E6" s="6" t="s">
        <v>3110</v>
      </c>
      <c r="F6" s="6" t="s">
        <v>3111</v>
      </c>
      <c r="G6" s="6" t="s">
        <v>7</v>
      </c>
      <c r="H6" s="6" t="s">
        <v>8</v>
      </c>
      <c r="I6" s="6" t="s">
        <v>9</v>
      </c>
      <c r="J6" s="6" t="s">
        <v>10</v>
      </c>
      <c r="K6" s="6" t="s">
        <v>11</v>
      </c>
      <c r="L6" s="6" t="s">
        <v>15</v>
      </c>
      <c r="M6" s="6" t="s">
        <v>16</v>
      </c>
      <c r="N6" s="6" t="s">
        <v>17</v>
      </c>
      <c r="O6" s="6" t="s">
        <v>18</v>
      </c>
      <c r="P6" s="6" t="s">
        <v>19</v>
      </c>
      <c r="Q6" s="6" t="s">
        <v>3112</v>
      </c>
      <c r="R6" s="6" t="s">
        <v>3113</v>
      </c>
    </row>
    <row r="7" spans="1:18" ht="26.15" customHeight="1">
      <c r="A7" s="7">
        <v>1</v>
      </c>
      <c r="B7" s="8" t="s">
        <v>29</v>
      </c>
      <c r="C7" s="8" t="s">
        <v>3114</v>
      </c>
      <c r="D7" s="8" t="s">
        <v>3115</v>
      </c>
      <c r="E7" s="8" t="s">
        <v>3116</v>
      </c>
      <c r="F7" s="9" t="s">
        <v>3117</v>
      </c>
      <c r="G7" s="10">
        <v>44138</v>
      </c>
      <c r="H7" s="8" t="s">
        <v>25</v>
      </c>
      <c r="I7" s="11">
        <v>1000000</v>
      </c>
      <c r="J7" s="8" t="s">
        <v>26</v>
      </c>
      <c r="K7" s="8" t="s">
        <v>27</v>
      </c>
      <c r="L7" s="7">
        <v>2015</v>
      </c>
      <c r="M7" s="8" t="s">
        <v>30</v>
      </c>
      <c r="N7" s="11">
        <v>30000000</v>
      </c>
      <c r="O7" s="8" t="s">
        <v>31</v>
      </c>
      <c r="P7" s="8" t="s">
        <v>32</v>
      </c>
      <c r="Q7" s="8"/>
      <c r="R7" s="8" t="s">
        <v>3118</v>
      </c>
    </row>
    <row r="8" spans="1:18" ht="26.15" customHeight="1">
      <c r="A8" s="7">
        <v>2</v>
      </c>
      <c r="B8" s="8" t="s">
        <v>38</v>
      </c>
      <c r="C8" s="8" t="s">
        <v>3114</v>
      </c>
      <c r="D8" s="8" t="s">
        <v>3119</v>
      </c>
      <c r="E8" s="8" t="s">
        <v>3116</v>
      </c>
      <c r="F8" s="9" t="s">
        <v>3117</v>
      </c>
      <c r="G8" s="10">
        <v>44138</v>
      </c>
      <c r="H8" s="8" t="s">
        <v>34</v>
      </c>
      <c r="I8" s="11">
        <v>220000</v>
      </c>
      <c r="J8" s="8" t="s">
        <v>35</v>
      </c>
      <c r="K8" s="8" t="s">
        <v>36</v>
      </c>
      <c r="L8" s="7">
        <v>2014</v>
      </c>
      <c r="M8" s="8" t="s">
        <v>39</v>
      </c>
      <c r="N8" s="11">
        <v>220000</v>
      </c>
      <c r="O8" s="8" t="s">
        <v>40</v>
      </c>
      <c r="P8" s="8" t="s">
        <v>41</v>
      </c>
      <c r="Q8" s="8"/>
      <c r="R8" s="8" t="s">
        <v>3120</v>
      </c>
    </row>
    <row r="9" spans="1:18" ht="26.15" customHeight="1">
      <c r="A9" s="7">
        <v>3</v>
      </c>
      <c r="B9" s="8" t="s">
        <v>46</v>
      </c>
      <c r="C9" s="8" t="s">
        <v>3114</v>
      </c>
      <c r="D9" s="8" t="s">
        <v>3121</v>
      </c>
      <c r="E9" s="8" t="s">
        <v>3116</v>
      </c>
      <c r="F9" s="9" t="s">
        <v>3117</v>
      </c>
      <c r="G9" s="10">
        <v>44132</v>
      </c>
      <c r="H9" s="8" t="s">
        <v>34</v>
      </c>
      <c r="I9" s="11">
        <v>1273650</v>
      </c>
      <c r="J9" s="8" t="s">
        <v>42</v>
      </c>
      <c r="K9" s="8" t="s">
        <v>43</v>
      </c>
      <c r="L9" s="7">
        <v>2017</v>
      </c>
      <c r="M9" s="8" t="s">
        <v>47</v>
      </c>
      <c r="N9" s="11">
        <v>3160468</v>
      </c>
      <c r="O9" s="8" t="s">
        <v>48</v>
      </c>
      <c r="P9" s="8" t="s">
        <v>49</v>
      </c>
      <c r="Q9" s="8"/>
      <c r="R9" s="8" t="s">
        <v>79</v>
      </c>
    </row>
    <row r="10" spans="1:18" ht="26.15" customHeight="1">
      <c r="A10" s="7">
        <v>4</v>
      </c>
      <c r="B10" s="8" t="s">
        <v>609</v>
      </c>
      <c r="C10" s="8" t="s">
        <v>3114</v>
      </c>
      <c r="D10" s="8" t="s">
        <v>3122</v>
      </c>
      <c r="E10" s="8" t="s">
        <v>3116</v>
      </c>
      <c r="F10" s="9" t="s">
        <v>3123</v>
      </c>
      <c r="G10" s="10">
        <v>44132</v>
      </c>
      <c r="H10" s="8" t="s">
        <v>34</v>
      </c>
      <c r="I10" s="11">
        <v>1273650</v>
      </c>
      <c r="J10" s="8" t="s">
        <v>42</v>
      </c>
      <c r="K10" s="8" t="s">
        <v>43</v>
      </c>
      <c r="L10" s="7">
        <v>2017</v>
      </c>
      <c r="M10" s="8" t="s">
        <v>47</v>
      </c>
      <c r="N10" s="11">
        <v>3160468</v>
      </c>
      <c r="O10" s="8" t="s">
        <v>48</v>
      </c>
      <c r="P10" s="8" t="s">
        <v>49</v>
      </c>
      <c r="Q10" s="8"/>
      <c r="R10" s="8" t="s">
        <v>313</v>
      </c>
    </row>
    <row r="11" spans="1:18" ht="26.15" customHeight="1">
      <c r="A11" s="7">
        <v>5</v>
      </c>
      <c r="B11" s="8" t="s">
        <v>3124</v>
      </c>
      <c r="C11" s="8" t="s">
        <v>3114</v>
      </c>
      <c r="D11" s="8" t="s">
        <v>3125</v>
      </c>
      <c r="E11" s="8" t="s">
        <v>3116</v>
      </c>
      <c r="F11" s="9" t="s">
        <v>3123</v>
      </c>
      <c r="G11" s="10">
        <v>44132</v>
      </c>
      <c r="H11" s="8" t="s">
        <v>34</v>
      </c>
      <c r="I11" s="11">
        <v>1273650</v>
      </c>
      <c r="J11" s="8" t="s">
        <v>42</v>
      </c>
      <c r="K11" s="8" t="s">
        <v>43</v>
      </c>
      <c r="L11" s="7">
        <v>2017</v>
      </c>
      <c r="M11" s="8" t="s">
        <v>47</v>
      </c>
      <c r="N11" s="11">
        <v>3160468</v>
      </c>
      <c r="O11" s="8" t="s">
        <v>48</v>
      </c>
      <c r="P11" s="8" t="s">
        <v>49</v>
      </c>
      <c r="Q11" s="8"/>
      <c r="R11" s="8" t="s">
        <v>3126</v>
      </c>
    </row>
    <row r="12" spans="1:18" ht="26.15" customHeight="1">
      <c r="A12" s="7">
        <v>6</v>
      </c>
      <c r="B12" s="8" t="s">
        <v>45</v>
      </c>
      <c r="C12" s="8" t="s">
        <v>3127</v>
      </c>
      <c r="D12" s="8"/>
      <c r="E12" s="8" t="s">
        <v>3128</v>
      </c>
      <c r="F12" s="9" t="s">
        <v>3123</v>
      </c>
      <c r="G12" s="10">
        <v>44132</v>
      </c>
      <c r="H12" s="8" t="s">
        <v>34</v>
      </c>
      <c r="I12" s="11">
        <v>1273650</v>
      </c>
      <c r="J12" s="8" t="s">
        <v>42</v>
      </c>
      <c r="K12" s="8" t="s">
        <v>43</v>
      </c>
      <c r="L12" s="7">
        <v>2017</v>
      </c>
      <c r="M12" s="8" t="s">
        <v>47</v>
      </c>
      <c r="N12" s="11">
        <v>3160468</v>
      </c>
      <c r="O12" s="8" t="s">
        <v>48</v>
      </c>
      <c r="P12" s="8" t="s">
        <v>49</v>
      </c>
      <c r="Q12" s="8"/>
      <c r="R12" s="8"/>
    </row>
    <row r="13" spans="1:18" ht="26.15" customHeight="1">
      <c r="A13" s="7">
        <v>7</v>
      </c>
      <c r="B13" s="8" t="s">
        <v>55</v>
      </c>
      <c r="C13" s="8" t="s">
        <v>3114</v>
      </c>
      <c r="D13" s="8" t="s">
        <v>3129</v>
      </c>
      <c r="E13" s="8" t="s">
        <v>3116</v>
      </c>
      <c r="F13" s="9" t="s">
        <v>3117</v>
      </c>
      <c r="G13" s="10">
        <v>44132</v>
      </c>
      <c r="H13" s="8" t="s">
        <v>34</v>
      </c>
      <c r="I13" s="11" t="s">
        <v>50</v>
      </c>
      <c r="J13" s="8" t="s">
        <v>51</v>
      </c>
      <c r="K13" s="8" t="s">
        <v>52</v>
      </c>
      <c r="L13" s="7">
        <v>2019</v>
      </c>
      <c r="M13" s="8" t="s">
        <v>56</v>
      </c>
      <c r="N13" s="11"/>
      <c r="O13" s="8" t="s">
        <v>57</v>
      </c>
      <c r="P13" s="8" t="s">
        <v>58</v>
      </c>
      <c r="Q13" s="8"/>
      <c r="R13" s="8" t="s">
        <v>56</v>
      </c>
    </row>
    <row r="14" spans="1:18" ht="26.15" customHeight="1">
      <c r="A14" s="7">
        <v>8</v>
      </c>
      <c r="B14" s="8" t="s">
        <v>3130</v>
      </c>
      <c r="C14" s="8" t="s">
        <v>3127</v>
      </c>
      <c r="D14" s="8"/>
      <c r="E14" s="8" t="s">
        <v>3128</v>
      </c>
      <c r="F14" s="9" t="s">
        <v>3123</v>
      </c>
      <c r="G14" s="10">
        <v>44132</v>
      </c>
      <c r="H14" s="8" t="s">
        <v>34</v>
      </c>
      <c r="I14" s="11" t="s">
        <v>50</v>
      </c>
      <c r="J14" s="8" t="s">
        <v>51</v>
      </c>
      <c r="K14" s="8" t="s">
        <v>52</v>
      </c>
      <c r="L14" s="7">
        <v>2019</v>
      </c>
      <c r="M14" s="8" t="s">
        <v>56</v>
      </c>
      <c r="N14" s="11"/>
      <c r="O14" s="8" t="s">
        <v>57</v>
      </c>
      <c r="P14" s="8" t="s">
        <v>58</v>
      </c>
      <c r="Q14" s="8"/>
      <c r="R14" s="8"/>
    </row>
    <row r="15" spans="1:18" ht="26.15" customHeight="1">
      <c r="A15" s="7">
        <v>9</v>
      </c>
      <c r="B15" s="8" t="s">
        <v>3131</v>
      </c>
      <c r="C15" s="8" t="s">
        <v>3127</v>
      </c>
      <c r="D15" s="8"/>
      <c r="E15" s="8" t="s">
        <v>3128</v>
      </c>
      <c r="F15" s="9" t="s">
        <v>3123</v>
      </c>
      <c r="G15" s="10">
        <v>44132</v>
      </c>
      <c r="H15" s="8" t="s">
        <v>34</v>
      </c>
      <c r="I15" s="11" t="s">
        <v>50</v>
      </c>
      <c r="J15" s="8" t="s">
        <v>51</v>
      </c>
      <c r="K15" s="8" t="s">
        <v>52</v>
      </c>
      <c r="L15" s="7">
        <v>2019</v>
      </c>
      <c r="M15" s="8" t="s">
        <v>56</v>
      </c>
      <c r="N15" s="11"/>
      <c r="O15" s="8" t="s">
        <v>57</v>
      </c>
      <c r="P15" s="8" t="s">
        <v>58</v>
      </c>
      <c r="Q15" s="8"/>
      <c r="R15" s="8"/>
    </row>
    <row r="16" spans="1:18" ht="26.15" customHeight="1">
      <c r="A16" s="7">
        <v>10</v>
      </c>
      <c r="B16" s="8" t="s">
        <v>85</v>
      </c>
      <c r="C16" s="8" t="s">
        <v>3114</v>
      </c>
      <c r="D16" s="8" t="s">
        <v>3132</v>
      </c>
      <c r="E16" s="8" t="s">
        <v>3116</v>
      </c>
      <c r="F16" s="9" t="s">
        <v>3117</v>
      </c>
      <c r="G16" s="10">
        <v>44132</v>
      </c>
      <c r="H16" s="8" t="s">
        <v>34</v>
      </c>
      <c r="I16" s="11">
        <v>1400000</v>
      </c>
      <c r="J16" s="8" t="s">
        <v>59</v>
      </c>
      <c r="K16" s="8" t="s">
        <v>60</v>
      </c>
      <c r="L16" s="7">
        <v>2016</v>
      </c>
      <c r="M16" s="8" t="s">
        <v>63</v>
      </c>
      <c r="N16" s="11">
        <v>1550000</v>
      </c>
      <c r="O16" s="8" t="s">
        <v>64</v>
      </c>
      <c r="P16" s="8" t="s">
        <v>65</v>
      </c>
      <c r="Q16" s="8"/>
      <c r="R16" s="8" t="s">
        <v>63</v>
      </c>
    </row>
    <row r="17" spans="1:18" ht="26.15" customHeight="1">
      <c r="A17" s="7">
        <v>11</v>
      </c>
      <c r="B17" s="8" t="s">
        <v>3133</v>
      </c>
      <c r="C17" s="8" t="s">
        <v>3114</v>
      </c>
      <c r="D17" s="8" t="s">
        <v>3134</v>
      </c>
      <c r="E17" s="8" t="s">
        <v>3116</v>
      </c>
      <c r="F17" s="9" t="s">
        <v>3117</v>
      </c>
      <c r="G17" s="10">
        <v>44132</v>
      </c>
      <c r="H17" s="8" t="s">
        <v>34</v>
      </c>
      <c r="I17" s="11">
        <v>1400000</v>
      </c>
      <c r="J17" s="8" t="s">
        <v>59</v>
      </c>
      <c r="K17" s="8" t="s">
        <v>60</v>
      </c>
      <c r="L17" s="7">
        <v>2016</v>
      </c>
      <c r="M17" s="8" t="s">
        <v>63</v>
      </c>
      <c r="N17" s="11">
        <v>1550000</v>
      </c>
      <c r="O17" s="8" t="s">
        <v>64</v>
      </c>
      <c r="P17" s="8" t="s">
        <v>65</v>
      </c>
      <c r="Q17" s="8"/>
      <c r="R17" s="8" t="s">
        <v>3135</v>
      </c>
    </row>
    <row r="18" spans="1:18" ht="26.15" customHeight="1">
      <c r="A18" s="7">
        <v>12</v>
      </c>
      <c r="B18" s="8" t="s">
        <v>3136</v>
      </c>
      <c r="C18" s="8" t="s">
        <v>3114</v>
      </c>
      <c r="D18" s="8" t="s">
        <v>3137</v>
      </c>
      <c r="E18" s="8" t="s">
        <v>3116</v>
      </c>
      <c r="F18" s="9" t="s">
        <v>3117</v>
      </c>
      <c r="G18" s="10">
        <v>44131</v>
      </c>
      <c r="H18" s="8" t="s">
        <v>25</v>
      </c>
      <c r="I18" s="11">
        <v>20000000</v>
      </c>
      <c r="J18" s="8" t="s">
        <v>66</v>
      </c>
      <c r="K18" s="8" t="s">
        <v>67</v>
      </c>
      <c r="L18" s="7">
        <v>2016</v>
      </c>
      <c r="M18" s="8" t="s">
        <v>71</v>
      </c>
      <c r="N18" s="11">
        <v>31500000</v>
      </c>
      <c r="O18" s="8" t="s">
        <v>72</v>
      </c>
      <c r="P18" s="8" t="s">
        <v>73</v>
      </c>
      <c r="Q18" s="8"/>
      <c r="R18" s="8" t="s">
        <v>3138</v>
      </c>
    </row>
    <row r="19" spans="1:18" ht="26.15" customHeight="1">
      <c r="A19" s="7">
        <v>13</v>
      </c>
      <c r="B19" s="8" t="s">
        <v>3140</v>
      </c>
      <c r="C19" s="8" t="s">
        <v>3139</v>
      </c>
      <c r="D19" s="8" t="s">
        <v>3141</v>
      </c>
      <c r="E19" s="8" t="s">
        <v>3116</v>
      </c>
      <c r="F19" s="9" t="s">
        <v>3117</v>
      </c>
      <c r="G19" s="10">
        <v>44131</v>
      </c>
      <c r="H19" s="8" t="s">
        <v>25</v>
      </c>
      <c r="I19" s="11">
        <v>20000000</v>
      </c>
      <c r="J19" s="8" t="s">
        <v>66</v>
      </c>
      <c r="K19" s="8" t="s">
        <v>67</v>
      </c>
      <c r="L19" s="7">
        <v>2016</v>
      </c>
      <c r="M19" s="8" t="s">
        <v>71</v>
      </c>
      <c r="N19" s="11">
        <v>31500000</v>
      </c>
      <c r="O19" s="8" t="s">
        <v>72</v>
      </c>
      <c r="P19" s="8" t="s">
        <v>73</v>
      </c>
      <c r="Q19" s="8"/>
      <c r="R19" s="8" t="s">
        <v>954</v>
      </c>
    </row>
    <row r="20" spans="1:18" ht="26.15" customHeight="1">
      <c r="A20" s="7">
        <v>14</v>
      </c>
      <c r="B20" s="8" t="s">
        <v>3142</v>
      </c>
      <c r="C20" s="8" t="s">
        <v>3127</v>
      </c>
      <c r="D20" s="8"/>
      <c r="E20" s="8" t="s">
        <v>3128</v>
      </c>
      <c r="F20" s="9" t="s">
        <v>3123</v>
      </c>
      <c r="G20" s="10">
        <v>44131</v>
      </c>
      <c r="H20" s="8" t="s">
        <v>25</v>
      </c>
      <c r="I20" s="11">
        <v>20000000</v>
      </c>
      <c r="J20" s="8" t="s">
        <v>66</v>
      </c>
      <c r="K20" s="8" t="s">
        <v>67</v>
      </c>
      <c r="L20" s="7">
        <v>2016</v>
      </c>
      <c r="M20" s="8" t="s">
        <v>71</v>
      </c>
      <c r="N20" s="11">
        <v>31500000</v>
      </c>
      <c r="O20" s="8" t="s">
        <v>72</v>
      </c>
      <c r="P20" s="8" t="s">
        <v>73</v>
      </c>
      <c r="Q20" s="8"/>
      <c r="R20" s="8"/>
    </row>
    <row r="21" spans="1:18" ht="26.15" customHeight="1">
      <c r="A21" s="7">
        <v>15</v>
      </c>
      <c r="B21" s="8" t="s">
        <v>3143</v>
      </c>
      <c r="C21" s="8" t="s">
        <v>3127</v>
      </c>
      <c r="D21" s="8"/>
      <c r="E21" s="8" t="s">
        <v>3128</v>
      </c>
      <c r="F21" s="9" t="s">
        <v>3123</v>
      </c>
      <c r="G21" s="10">
        <v>44131</v>
      </c>
      <c r="H21" s="8" t="s">
        <v>25</v>
      </c>
      <c r="I21" s="11">
        <v>20000000</v>
      </c>
      <c r="J21" s="8" t="s">
        <v>66</v>
      </c>
      <c r="K21" s="8" t="s">
        <v>67</v>
      </c>
      <c r="L21" s="7">
        <v>2016</v>
      </c>
      <c r="M21" s="8" t="s">
        <v>71</v>
      </c>
      <c r="N21" s="11">
        <v>31500000</v>
      </c>
      <c r="O21" s="8" t="s">
        <v>72</v>
      </c>
      <c r="P21" s="8" t="s">
        <v>73</v>
      </c>
      <c r="Q21" s="8"/>
      <c r="R21" s="8"/>
    </row>
    <row r="22" spans="1:18" ht="26.15" customHeight="1">
      <c r="A22" s="7">
        <v>16</v>
      </c>
      <c r="B22" s="8" t="s">
        <v>492</v>
      </c>
      <c r="C22" s="8" t="s">
        <v>3114</v>
      </c>
      <c r="D22" s="8" t="s">
        <v>3144</v>
      </c>
      <c r="E22" s="8" t="s">
        <v>3116</v>
      </c>
      <c r="F22" s="9" t="s">
        <v>3123</v>
      </c>
      <c r="G22" s="10">
        <v>44131</v>
      </c>
      <c r="H22" s="8" t="s">
        <v>25</v>
      </c>
      <c r="I22" s="11">
        <v>20000000</v>
      </c>
      <c r="J22" s="8" t="s">
        <v>66</v>
      </c>
      <c r="K22" s="8" t="s">
        <v>67</v>
      </c>
      <c r="L22" s="7">
        <v>2016</v>
      </c>
      <c r="M22" s="8" t="s">
        <v>71</v>
      </c>
      <c r="N22" s="11">
        <v>31500000</v>
      </c>
      <c r="O22" s="8" t="s">
        <v>72</v>
      </c>
      <c r="P22" s="8" t="s">
        <v>73</v>
      </c>
      <c r="Q22" s="8"/>
      <c r="R22" s="8" t="s">
        <v>3145</v>
      </c>
    </row>
    <row r="23" spans="1:18" ht="26.15" customHeight="1">
      <c r="A23" s="7">
        <v>17</v>
      </c>
      <c r="B23" s="8" t="s">
        <v>78</v>
      </c>
      <c r="C23" s="8" t="s">
        <v>3114</v>
      </c>
      <c r="D23" s="8" t="s">
        <v>3146</v>
      </c>
      <c r="E23" s="8" t="s">
        <v>3116</v>
      </c>
      <c r="F23" s="9" t="s">
        <v>3117</v>
      </c>
      <c r="G23" s="10">
        <v>44130</v>
      </c>
      <c r="H23" s="8" t="s">
        <v>25</v>
      </c>
      <c r="I23" s="11">
        <v>11000000</v>
      </c>
      <c r="J23" s="8" t="s">
        <v>74</v>
      </c>
      <c r="K23" s="8" t="s">
        <v>75</v>
      </c>
      <c r="L23" s="7">
        <v>2015</v>
      </c>
      <c r="M23" s="8" t="s">
        <v>79</v>
      </c>
      <c r="N23" s="11">
        <v>36362460</v>
      </c>
      <c r="O23" s="8" t="s">
        <v>80</v>
      </c>
      <c r="P23" s="8" t="s">
        <v>81</v>
      </c>
      <c r="Q23" s="8"/>
      <c r="R23" s="8" t="s">
        <v>3135</v>
      </c>
    </row>
    <row r="24" spans="1:18" ht="26.15" customHeight="1">
      <c r="A24" s="7">
        <v>18</v>
      </c>
      <c r="B24" s="8" t="s">
        <v>2355</v>
      </c>
      <c r="C24" s="8" t="s">
        <v>3114</v>
      </c>
      <c r="D24" s="8" t="s">
        <v>3147</v>
      </c>
      <c r="E24" s="8" t="s">
        <v>3116</v>
      </c>
      <c r="F24" s="9" t="s">
        <v>3123</v>
      </c>
      <c r="G24" s="10">
        <v>44130</v>
      </c>
      <c r="H24" s="8" t="s">
        <v>25</v>
      </c>
      <c r="I24" s="11">
        <v>11000000</v>
      </c>
      <c r="J24" s="8" t="s">
        <v>74</v>
      </c>
      <c r="K24" s="8" t="s">
        <v>75</v>
      </c>
      <c r="L24" s="7">
        <v>2015</v>
      </c>
      <c r="M24" s="8" t="s">
        <v>79</v>
      </c>
      <c r="N24" s="11">
        <v>36362460</v>
      </c>
      <c r="O24" s="8" t="s">
        <v>80</v>
      </c>
      <c r="P24" s="8" t="s">
        <v>81</v>
      </c>
      <c r="Q24" s="8"/>
      <c r="R24" s="8" t="s">
        <v>3148</v>
      </c>
    </row>
    <row r="25" spans="1:18" ht="26.15" customHeight="1">
      <c r="A25" s="7">
        <v>19</v>
      </c>
      <c r="B25" s="8" t="s">
        <v>3149</v>
      </c>
      <c r="C25" s="8" t="s">
        <v>3114</v>
      </c>
      <c r="D25" s="8" t="s">
        <v>3150</v>
      </c>
      <c r="E25" s="8" t="s">
        <v>3116</v>
      </c>
      <c r="F25" s="9" t="s">
        <v>3123</v>
      </c>
      <c r="G25" s="10">
        <v>44130</v>
      </c>
      <c r="H25" s="8" t="s">
        <v>25</v>
      </c>
      <c r="I25" s="11">
        <v>11000000</v>
      </c>
      <c r="J25" s="8" t="s">
        <v>74</v>
      </c>
      <c r="K25" s="8" t="s">
        <v>75</v>
      </c>
      <c r="L25" s="7">
        <v>2015</v>
      </c>
      <c r="M25" s="8" t="s">
        <v>79</v>
      </c>
      <c r="N25" s="11">
        <v>36362460</v>
      </c>
      <c r="O25" s="8" t="s">
        <v>80</v>
      </c>
      <c r="P25" s="8" t="s">
        <v>81</v>
      </c>
      <c r="Q25" s="8"/>
      <c r="R25" s="8" t="s">
        <v>3145</v>
      </c>
    </row>
    <row r="26" spans="1:18" ht="26.15" customHeight="1">
      <c r="A26" s="7">
        <v>20</v>
      </c>
      <c r="B26" s="8" t="s">
        <v>77</v>
      </c>
      <c r="C26" s="8" t="s">
        <v>3127</v>
      </c>
      <c r="D26" s="8"/>
      <c r="E26" s="8" t="s">
        <v>3128</v>
      </c>
      <c r="F26" s="9" t="s">
        <v>3123</v>
      </c>
      <c r="G26" s="10">
        <v>44130</v>
      </c>
      <c r="H26" s="8" t="s">
        <v>25</v>
      </c>
      <c r="I26" s="11">
        <v>11000000</v>
      </c>
      <c r="J26" s="8" t="s">
        <v>74</v>
      </c>
      <c r="K26" s="8" t="s">
        <v>75</v>
      </c>
      <c r="L26" s="7">
        <v>2015</v>
      </c>
      <c r="M26" s="8" t="s">
        <v>79</v>
      </c>
      <c r="N26" s="11">
        <v>36362460</v>
      </c>
      <c r="O26" s="8" t="s">
        <v>80</v>
      </c>
      <c r="P26" s="8" t="s">
        <v>81</v>
      </c>
      <c r="Q26" s="8"/>
      <c r="R26" s="8"/>
    </row>
    <row r="27" spans="1:18" ht="26.15" customHeight="1">
      <c r="A27" s="7">
        <v>21</v>
      </c>
      <c r="B27" s="8" t="s">
        <v>29</v>
      </c>
      <c r="C27" s="8" t="s">
        <v>3114</v>
      </c>
      <c r="D27" s="8" t="s">
        <v>3115</v>
      </c>
      <c r="E27" s="8" t="s">
        <v>3116</v>
      </c>
      <c r="F27" s="9" t="s">
        <v>3123</v>
      </c>
      <c r="G27" s="10">
        <v>44130</v>
      </c>
      <c r="H27" s="8" t="s">
        <v>25</v>
      </c>
      <c r="I27" s="11">
        <v>11000000</v>
      </c>
      <c r="J27" s="8" t="s">
        <v>74</v>
      </c>
      <c r="K27" s="8" t="s">
        <v>75</v>
      </c>
      <c r="L27" s="7">
        <v>2015</v>
      </c>
      <c r="M27" s="8" t="s">
        <v>79</v>
      </c>
      <c r="N27" s="11">
        <v>36362460</v>
      </c>
      <c r="O27" s="8" t="s">
        <v>80</v>
      </c>
      <c r="P27" s="8" t="s">
        <v>81</v>
      </c>
      <c r="Q27" s="8"/>
      <c r="R27" s="8" t="s">
        <v>3118</v>
      </c>
    </row>
    <row r="28" spans="1:18" ht="26.15" customHeight="1">
      <c r="A28" s="7">
        <v>22</v>
      </c>
      <c r="B28" s="8" t="s">
        <v>1242</v>
      </c>
      <c r="C28" s="8" t="s">
        <v>3114</v>
      </c>
      <c r="D28" s="8" t="s">
        <v>3151</v>
      </c>
      <c r="E28" s="8" t="s">
        <v>3116</v>
      </c>
      <c r="F28" s="9" t="s">
        <v>3123</v>
      </c>
      <c r="G28" s="10">
        <v>44130</v>
      </c>
      <c r="H28" s="8" t="s">
        <v>25</v>
      </c>
      <c r="I28" s="11">
        <v>11000000</v>
      </c>
      <c r="J28" s="8" t="s">
        <v>74</v>
      </c>
      <c r="K28" s="8" t="s">
        <v>75</v>
      </c>
      <c r="L28" s="7">
        <v>2015</v>
      </c>
      <c r="M28" s="8" t="s">
        <v>79</v>
      </c>
      <c r="N28" s="11">
        <v>36362460</v>
      </c>
      <c r="O28" s="8" t="s">
        <v>80</v>
      </c>
      <c r="P28" s="8" t="s">
        <v>81</v>
      </c>
      <c r="Q28" s="8"/>
      <c r="R28" s="8" t="s">
        <v>79</v>
      </c>
    </row>
    <row r="29" spans="1:18" ht="26.15" customHeight="1">
      <c r="A29" s="7">
        <v>23</v>
      </c>
      <c r="B29" s="8" t="s">
        <v>85</v>
      </c>
      <c r="C29" s="8" t="s">
        <v>3114</v>
      </c>
      <c r="D29" s="8" t="s">
        <v>3132</v>
      </c>
      <c r="E29" s="8" t="s">
        <v>3116</v>
      </c>
      <c r="F29" s="9" t="s">
        <v>3117</v>
      </c>
      <c r="G29" s="10">
        <v>44123</v>
      </c>
      <c r="H29" s="8" t="s">
        <v>34</v>
      </c>
      <c r="I29" s="11">
        <v>680328</v>
      </c>
      <c r="J29" s="8" t="s">
        <v>82</v>
      </c>
      <c r="K29" s="8" t="s">
        <v>83</v>
      </c>
      <c r="L29" s="7"/>
      <c r="M29" s="8" t="s">
        <v>79</v>
      </c>
      <c r="N29" s="11">
        <v>680328</v>
      </c>
      <c r="O29" s="8" t="s">
        <v>86</v>
      </c>
      <c r="P29" s="8" t="s">
        <v>87</v>
      </c>
      <c r="Q29" s="8"/>
      <c r="R29" s="8" t="s">
        <v>63</v>
      </c>
    </row>
    <row r="30" spans="1:18" ht="26.15" customHeight="1">
      <c r="A30" s="7">
        <v>24</v>
      </c>
      <c r="B30" s="8" t="s">
        <v>3152</v>
      </c>
      <c r="C30" s="8" t="s">
        <v>3114</v>
      </c>
      <c r="D30" s="8" t="s">
        <v>3153</v>
      </c>
      <c r="E30" s="8" t="s">
        <v>3116</v>
      </c>
      <c r="F30" s="9" t="s">
        <v>3117</v>
      </c>
      <c r="G30" s="10">
        <v>44117</v>
      </c>
      <c r="H30" s="8" t="s">
        <v>34</v>
      </c>
      <c r="I30" s="11" t="s">
        <v>50</v>
      </c>
      <c r="J30" s="8" t="s">
        <v>88</v>
      </c>
      <c r="K30" s="8" t="s">
        <v>89</v>
      </c>
      <c r="L30" s="7">
        <v>2019</v>
      </c>
      <c r="M30" s="8" t="s">
        <v>92</v>
      </c>
      <c r="N30" s="11"/>
      <c r="O30" s="8" t="s">
        <v>93</v>
      </c>
      <c r="P30" s="8" t="s">
        <v>94</v>
      </c>
      <c r="Q30" s="8"/>
      <c r="R30" s="8" t="s">
        <v>313</v>
      </c>
    </row>
    <row r="31" spans="1:18" ht="26.15" customHeight="1">
      <c r="A31" s="7">
        <v>25</v>
      </c>
      <c r="B31" s="8" t="s">
        <v>3154</v>
      </c>
      <c r="C31" s="8" t="s">
        <v>3114</v>
      </c>
      <c r="D31" s="8" t="s">
        <v>3155</v>
      </c>
      <c r="E31" s="8" t="s">
        <v>3116</v>
      </c>
      <c r="F31" s="9" t="s">
        <v>3117</v>
      </c>
      <c r="G31" s="10">
        <v>44117</v>
      </c>
      <c r="H31" s="8" t="s">
        <v>34</v>
      </c>
      <c r="I31" s="11" t="s">
        <v>50</v>
      </c>
      <c r="J31" s="8" t="s">
        <v>88</v>
      </c>
      <c r="K31" s="8" t="s">
        <v>89</v>
      </c>
      <c r="L31" s="7">
        <v>2019</v>
      </c>
      <c r="M31" s="8" t="s">
        <v>92</v>
      </c>
      <c r="N31" s="11"/>
      <c r="O31" s="8" t="s">
        <v>93</v>
      </c>
      <c r="P31" s="8" t="s">
        <v>94</v>
      </c>
      <c r="Q31" s="8"/>
      <c r="R31" s="8" t="s">
        <v>3156</v>
      </c>
    </row>
    <row r="32" spans="1:18" ht="26.15" customHeight="1">
      <c r="A32" s="7">
        <v>26</v>
      </c>
      <c r="B32" s="8" t="s">
        <v>3157</v>
      </c>
      <c r="C32" s="8" t="s">
        <v>3139</v>
      </c>
      <c r="D32" s="8" t="s">
        <v>3158</v>
      </c>
      <c r="E32" s="8" t="s">
        <v>3116</v>
      </c>
      <c r="F32" s="9" t="s">
        <v>3117</v>
      </c>
      <c r="G32" s="10">
        <v>44116</v>
      </c>
      <c r="H32" s="8" t="s">
        <v>95</v>
      </c>
      <c r="I32" s="11" t="s">
        <v>50</v>
      </c>
      <c r="J32" s="8" t="s">
        <v>96</v>
      </c>
      <c r="K32" s="8" t="s">
        <v>97</v>
      </c>
      <c r="L32" s="7">
        <v>2015</v>
      </c>
      <c r="M32" s="8" t="s">
        <v>79</v>
      </c>
      <c r="N32" s="11">
        <v>163285834</v>
      </c>
      <c r="O32" s="8" t="s">
        <v>100</v>
      </c>
      <c r="P32" s="8" t="s">
        <v>101</v>
      </c>
      <c r="Q32" s="8"/>
      <c r="R32" s="8" t="s">
        <v>3159</v>
      </c>
    </row>
    <row r="33" spans="1:18" ht="26.15" customHeight="1">
      <c r="A33" s="7">
        <v>27</v>
      </c>
      <c r="B33" s="8" t="s">
        <v>649</v>
      </c>
      <c r="C33" s="8" t="s">
        <v>3139</v>
      </c>
      <c r="D33" s="8" t="s">
        <v>3160</v>
      </c>
      <c r="E33" s="8" t="s">
        <v>3116</v>
      </c>
      <c r="F33" s="9" t="s">
        <v>3117</v>
      </c>
      <c r="G33" s="10">
        <v>44116</v>
      </c>
      <c r="H33" s="8" t="s">
        <v>95</v>
      </c>
      <c r="I33" s="11" t="s">
        <v>50</v>
      </c>
      <c r="J33" s="8" t="s">
        <v>96</v>
      </c>
      <c r="K33" s="8" t="s">
        <v>97</v>
      </c>
      <c r="L33" s="7">
        <v>2015</v>
      </c>
      <c r="M33" s="8" t="s">
        <v>79</v>
      </c>
      <c r="N33" s="11">
        <v>163285834</v>
      </c>
      <c r="O33" s="8" t="s">
        <v>100</v>
      </c>
      <c r="P33" s="8" t="s">
        <v>101</v>
      </c>
      <c r="Q33" s="8"/>
      <c r="R33" s="8" t="s">
        <v>79</v>
      </c>
    </row>
    <row r="34" spans="1:18" ht="26.15" customHeight="1">
      <c r="A34" s="7">
        <v>28</v>
      </c>
      <c r="B34" s="8" t="s">
        <v>120</v>
      </c>
      <c r="C34" s="8" t="s">
        <v>3114</v>
      </c>
      <c r="D34" s="8" t="s">
        <v>3161</v>
      </c>
      <c r="E34" s="8" t="s">
        <v>3116</v>
      </c>
      <c r="F34" s="9" t="s">
        <v>3117</v>
      </c>
      <c r="G34" s="10">
        <v>44111</v>
      </c>
      <c r="H34" s="8" t="s">
        <v>34</v>
      </c>
      <c r="I34" s="11">
        <v>1035150</v>
      </c>
      <c r="J34" s="8" t="s">
        <v>102</v>
      </c>
      <c r="K34" s="8" t="s">
        <v>103</v>
      </c>
      <c r="L34" s="7">
        <v>2012</v>
      </c>
      <c r="M34" s="8" t="s">
        <v>106</v>
      </c>
      <c r="N34" s="11">
        <v>1035150</v>
      </c>
      <c r="O34" s="8" t="s">
        <v>107</v>
      </c>
      <c r="P34" s="8" t="s">
        <v>108</v>
      </c>
      <c r="Q34" s="8"/>
      <c r="R34" s="8" t="s">
        <v>313</v>
      </c>
    </row>
    <row r="35" spans="1:18" ht="26.15" customHeight="1">
      <c r="A35" s="7">
        <v>29</v>
      </c>
      <c r="B35" s="8" t="s">
        <v>644</v>
      </c>
      <c r="C35" s="8" t="s">
        <v>3114</v>
      </c>
      <c r="D35" s="8" t="s">
        <v>3162</v>
      </c>
      <c r="E35" s="8" t="s">
        <v>3116</v>
      </c>
      <c r="F35" s="9" t="s">
        <v>3117</v>
      </c>
      <c r="G35" s="10">
        <v>44111</v>
      </c>
      <c r="H35" s="8" t="s">
        <v>34</v>
      </c>
      <c r="I35" s="11">
        <v>1035150</v>
      </c>
      <c r="J35" s="8" t="s">
        <v>102</v>
      </c>
      <c r="K35" s="8" t="s">
        <v>103</v>
      </c>
      <c r="L35" s="7">
        <v>2012</v>
      </c>
      <c r="M35" s="8" t="s">
        <v>106</v>
      </c>
      <c r="N35" s="11">
        <v>1035150</v>
      </c>
      <c r="O35" s="8" t="s">
        <v>107</v>
      </c>
      <c r="P35" s="8" t="s">
        <v>108</v>
      </c>
      <c r="Q35" s="8"/>
      <c r="R35" s="8" t="s">
        <v>313</v>
      </c>
    </row>
    <row r="36" spans="1:18" ht="26.15" customHeight="1">
      <c r="A36" s="7">
        <v>30</v>
      </c>
      <c r="B36" s="8" t="s">
        <v>113</v>
      </c>
      <c r="C36" s="8" t="s">
        <v>3114</v>
      </c>
      <c r="D36" s="8" t="s">
        <v>3163</v>
      </c>
      <c r="E36" s="8" t="s">
        <v>3116</v>
      </c>
      <c r="F36" s="9" t="s">
        <v>3117</v>
      </c>
      <c r="G36" s="10">
        <v>44111</v>
      </c>
      <c r="H36" s="8" t="s">
        <v>109</v>
      </c>
      <c r="I36" s="11">
        <v>4457650</v>
      </c>
      <c r="J36" s="8" t="s">
        <v>110</v>
      </c>
      <c r="K36" s="8" t="s">
        <v>111</v>
      </c>
      <c r="L36" s="7">
        <v>2010</v>
      </c>
      <c r="M36" s="8" t="s">
        <v>79</v>
      </c>
      <c r="N36" s="11">
        <v>10726419</v>
      </c>
      <c r="O36" s="8" t="s">
        <v>114</v>
      </c>
      <c r="P36" s="8" t="s">
        <v>115</v>
      </c>
      <c r="Q36" s="8"/>
      <c r="R36" s="8" t="s">
        <v>79</v>
      </c>
    </row>
    <row r="37" spans="1:18" ht="26.15" customHeight="1">
      <c r="A37" s="7">
        <v>31</v>
      </c>
      <c r="B37" s="8" t="s">
        <v>484</v>
      </c>
      <c r="C37" s="8" t="s">
        <v>3114</v>
      </c>
      <c r="D37" s="8" t="s">
        <v>3164</v>
      </c>
      <c r="E37" s="8" t="s">
        <v>3116</v>
      </c>
      <c r="F37" s="9" t="s">
        <v>3123</v>
      </c>
      <c r="G37" s="10">
        <v>44111</v>
      </c>
      <c r="H37" s="8" t="s">
        <v>109</v>
      </c>
      <c r="I37" s="11">
        <v>4457650</v>
      </c>
      <c r="J37" s="8" t="s">
        <v>110</v>
      </c>
      <c r="K37" s="8" t="s">
        <v>111</v>
      </c>
      <c r="L37" s="7">
        <v>2010</v>
      </c>
      <c r="M37" s="8" t="s">
        <v>79</v>
      </c>
      <c r="N37" s="11">
        <v>10726419</v>
      </c>
      <c r="O37" s="8" t="s">
        <v>114</v>
      </c>
      <c r="P37" s="8" t="s">
        <v>115</v>
      </c>
      <c r="Q37" s="8"/>
      <c r="R37" s="8" t="s">
        <v>313</v>
      </c>
    </row>
    <row r="38" spans="1:18" ht="26.15" customHeight="1">
      <c r="A38" s="7">
        <v>32</v>
      </c>
      <c r="B38" s="8" t="s">
        <v>120</v>
      </c>
      <c r="C38" s="8" t="s">
        <v>3114</v>
      </c>
      <c r="D38" s="8" t="s">
        <v>3161</v>
      </c>
      <c r="E38" s="8" t="s">
        <v>3116</v>
      </c>
      <c r="F38" s="9" t="s">
        <v>3117</v>
      </c>
      <c r="G38" s="10">
        <v>44109</v>
      </c>
      <c r="H38" s="8" t="s">
        <v>34</v>
      </c>
      <c r="I38" s="11">
        <v>1700000</v>
      </c>
      <c r="J38" s="8" t="s">
        <v>116</v>
      </c>
      <c r="K38" s="8" t="s">
        <v>117</v>
      </c>
      <c r="L38" s="7">
        <v>2017</v>
      </c>
      <c r="M38" s="8" t="s">
        <v>121</v>
      </c>
      <c r="N38" s="11">
        <v>1700000</v>
      </c>
      <c r="O38" s="8" t="s">
        <v>122</v>
      </c>
      <c r="P38" s="8" t="s">
        <v>123</v>
      </c>
      <c r="Q38" s="8"/>
      <c r="R38" s="8" t="s">
        <v>313</v>
      </c>
    </row>
    <row r="39" spans="1:18" ht="26.15" customHeight="1">
      <c r="A39" s="7">
        <v>33</v>
      </c>
      <c r="B39" s="8" t="s">
        <v>119</v>
      </c>
      <c r="C39" s="8" t="s">
        <v>3127</v>
      </c>
      <c r="D39" s="8"/>
      <c r="E39" s="8" t="s">
        <v>3128</v>
      </c>
      <c r="F39" s="9" t="s">
        <v>3123</v>
      </c>
      <c r="G39" s="10">
        <v>44109</v>
      </c>
      <c r="H39" s="8" t="s">
        <v>34</v>
      </c>
      <c r="I39" s="11">
        <v>1700000</v>
      </c>
      <c r="J39" s="8" t="s">
        <v>116</v>
      </c>
      <c r="K39" s="8" t="s">
        <v>117</v>
      </c>
      <c r="L39" s="7">
        <v>2017</v>
      </c>
      <c r="M39" s="8" t="s">
        <v>121</v>
      </c>
      <c r="N39" s="11">
        <v>1700000</v>
      </c>
      <c r="O39" s="8" t="s">
        <v>122</v>
      </c>
      <c r="P39" s="8" t="s">
        <v>123</v>
      </c>
      <c r="Q39" s="8"/>
      <c r="R39" s="8"/>
    </row>
    <row r="40" spans="1:18" ht="26.15" customHeight="1">
      <c r="A40" s="7">
        <v>34</v>
      </c>
      <c r="B40" s="8" t="s">
        <v>127</v>
      </c>
      <c r="C40" s="8" t="s">
        <v>3127</v>
      </c>
      <c r="D40" s="8"/>
      <c r="E40" s="8" t="s">
        <v>3128</v>
      </c>
      <c r="F40" s="9" t="s">
        <v>3117</v>
      </c>
      <c r="G40" s="10">
        <v>44102</v>
      </c>
      <c r="H40" s="8" t="s">
        <v>124</v>
      </c>
      <c r="I40" s="11">
        <v>500000</v>
      </c>
      <c r="J40" s="8" t="s">
        <v>125</v>
      </c>
      <c r="K40" s="8" t="s">
        <v>126</v>
      </c>
      <c r="L40" s="7">
        <v>2017</v>
      </c>
      <c r="M40" s="8" t="s">
        <v>128</v>
      </c>
      <c r="N40" s="11">
        <v>532546</v>
      </c>
      <c r="O40" s="8" t="s">
        <v>129</v>
      </c>
      <c r="P40" s="8" t="s">
        <v>130</v>
      </c>
      <c r="Q40" s="8"/>
      <c r="R40" s="8"/>
    </row>
    <row r="41" spans="1:18" ht="26.15" customHeight="1">
      <c r="A41" s="7">
        <v>35</v>
      </c>
      <c r="B41" s="8" t="s">
        <v>134</v>
      </c>
      <c r="C41" s="8" t="s">
        <v>3114</v>
      </c>
      <c r="D41" s="8" t="s">
        <v>3165</v>
      </c>
      <c r="E41" s="8" t="s">
        <v>3116</v>
      </c>
      <c r="F41" s="9" t="s">
        <v>3117</v>
      </c>
      <c r="G41" s="10">
        <v>44096</v>
      </c>
      <c r="H41" s="8" t="s">
        <v>95</v>
      </c>
      <c r="I41" s="11">
        <v>23500000</v>
      </c>
      <c r="J41" s="8" t="s">
        <v>131</v>
      </c>
      <c r="K41" s="8" t="s">
        <v>132</v>
      </c>
      <c r="L41" s="7">
        <v>1999</v>
      </c>
      <c r="M41" s="8" t="s">
        <v>135</v>
      </c>
      <c r="N41" s="11">
        <v>37500000</v>
      </c>
      <c r="O41" s="8" t="s">
        <v>136</v>
      </c>
      <c r="P41" s="8" t="s">
        <v>137</v>
      </c>
      <c r="Q41" s="8"/>
      <c r="R41" s="8" t="s">
        <v>3166</v>
      </c>
    </row>
    <row r="42" spans="1:18" ht="26.15" customHeight="1">
      <c r="A42" s="7">
        <v>36</v>
      </c>
      <c r="B42" s="8" t="s">
        <v>142</v>
      </c>
      <c r="C42" s="8"/>
      <c r="D42" s="8" t="s">
        <v>3167</v>
      </c>
      <c r="E42" s="8" t="s">
        <v>3116</v>
      </c>
      <c r="F42" s="9" t="s">
        <v>3117</v>
      </c>
      <c r="G42" s="10">
        <v>44092</v>
      </c>
      <c r="H42" s="8" t="s">
        <v>34</v>
      </c>
      <c r="I42" s="11">
        <v>2955090</v>
      </c>
      <c r="J42" s="8" t="s">
        <v>139</v>
      </c>
      <c r="K42" s="8" t="s">
        <v>140</v>
      </c>
      <c r="L42" s="7">
        <v>2015</v>
      </c>
      <c r="M42" s="8" t="s">
        <v>143</v>
      </c>
      <c r="N42" s="11">
        <v>2955090</v>
      </c>
      <c r="O42" s="8" t="s">
        <v>144</v>
      </c>
      <c r="P42" s="8" t="s">
        <v>145</v>
      </c>
      <c r="Q42" s="8"/>
      <c r="R42" s="8"/>
    </row>
    <row r="43" spans="1:18" ht="26.15" customHeight="1">
      <c r="A43" s="7">
        <v>37</v>
      </c>
      <c r="B43" s="8" t="s">
        <v>149</v>
      </c>
      <c r="C43" s="8" t="s">
        <v>3114</v>
      </c>
      <c r="D43" s="8" t="s">
        <v>3168</v>
      </c>
      <c r="E43" s="8" t="s">
        <v>3116</v>
      </c>
      <c r="F43" s="9" t="s">
        <v>3117</v>
      </c>
      <c r="G43" s="10">
        <v>44090</v>
      </c>
      <c r="H43" s="8" t="s">
        <v>34</v>
      </c>
      <c r="I43" s="11">
        <v>475612</v>
      </c>
      <c r="J43" s="8" t="s">
        <v>146</v>
      </c>
      <c r="K43" s="8" t="s">
        <v>147</v>
      </c>
      <c r="L43" s="7">
        <v>2015</v>
      </c>
      <c r="M43" s="8" t="s">
        <v>150</v>
      </c>
      <c r="N43" s="11">
        <v>883280</v>
      </c>
      <c r="O43" s="8" t="s">
        <v>151</v>
      </c>
      <c r="P43" s="8" t="s">
        <v>152</v>
      </c>
      <c r="Q43" s="8"/>
      <c r="R43" s="8" t="s">
        <v>3169</v>
      </c>
    </row>
    <row r="44" spans="1:18" ht="26.15" customHeight="1">
      <c r="A44" s="7">
        <v>38</v>
      </c>
      <c r="B44" s="8" t="s">
        <v>156</v>
      </c>
      <c r="C44" s="8" t="s">
        <v>3139</v>
      </c>
      <c r="D44" s="8" t="s">
        <v>3170</v>
      </c>
      <c r="E44" s="8" t="s">
        <v>3116</v>
      </c>
      <c r="F44" s="9" t="s">
        <v>3117</v>
      </c>
      <c r="G44" s="10">
        <v>44070</v>
      </c>
      <c r="H44" s="8" t="s">
        <v>34</v>
      </c>
      <c r="I44" s="11">
        <v>2954680</v>
      </c>
      <c r="J44" s="8" t="s">
        <v>153</v>
      </c>
      <c r="K44" s="8" t="s">
        <v>154</v>
      </c>
      <c r="L44" s="7">
        <v>2015</v>
      </c>
      <c r="M44" s="8" t="s">
        <v>157</v>
      </c>
      <c r="N44" s="11">
        <v>2954680</v>
      </c>
      <c r="O44" s="8" t="s">
        <v>158</v>
      </c>
      <c r="P44" s="8" t="s">
        <v>159</v>
      </c>
      <c r="Q44" s="8"/>
      <c r="R44" s="8"/>
    </row>
    <row r="45" spans="1:18" ht="26.15" customHeight="1">
      <c r="A45" s="7">
        <v>39</v>
      </c>
      <c r="B45" s="8" t="s">
        <v>163</v>
      </c>
      <c r="C45" s="8" t="s">
        <v>3114</v>
      </c>
      <c r="D45" s="8" t="s">
        <v>3171</v>
      </c>
      <c r="E45" s="8" t="s">
        <v>3116</v>
      </c>
      <c r="F45" s="9" t="s">
        <v>3117</v>
      </c>
      <c r="G45" s="10">
        <v>44067</v>
      </c>
      <c r="H45" s="8" t="s">
        <v>34</v>
      </c>
      <c r="I45" s="11">
        <v>1000000</v>
      </c>
      <c r="J45" s="8" t="s">
        <v>160</v>
      </c>
      <c r="K45" s="8" t="s">
        <v>161</v>
      </c>
      <c r="L45" s="7">
        <v>2016</v>
      </c>
      <c r="M45" s="8" t="s">
        <v>128</v>
      </c>
      <c r="N45" s="11">
        <v>5866696</v>
      </c>
      <c r="O45" s="8" t="s">
        <v>164</v>
      </c>
      <c r="P45" s="8" t="s">
        <v>165</v>
      </c>
      <c r="Q45" s="8"/>
      <c r="R45" s="8" t="s">
        <v>128</v>
      </c>
    </row>
    <row r="46" spans="1:18" ht="26.15" customHeight="1">
      <c r="A46" s="7">
        <v>40</v>
      </c>
      <c r="B46" s="8" t="s">
        <v>163</v>
      </c>
      <c r="C46" s="8" t="s">
        <v>3114</v>
      </c>
      <c r="D46" s="8" t="s">
        <v>3171</v>
      </c>
      <c r="E46" s="8" t="s">
        <v>3116</v>
      </c>
      <c r="F46" s="9" t="s">
        <v>3117</v>
      </c>
      <c r="G46" s="10">
        <v>44067</v>
      </c>
      <c r="H46" s="8" t="s">
        <v>34</v>
      </c>
      <c r="I46" s="11">
        <v>1000000</v>
      </c>
      <c r="J46" s="8" t="s">
        <v>166</v>
      </c>
      <c r="K46" s="8" t="s">
        <v>167</v>
      </c>
      <c r="L46" s="7">
        <v>2019</v>
      </c>
      <c r="M46" s="8" t="s">
        <v>128</v>
      </c>
      <c r="N46" s="11">
        <v>2500000</v>
      </c>
      <c r="O46" s="8" t="s">
        <v>168</v>
      </c>
      <c r="P46" s="8" t="s">
        <v>169</v>
      </c>
      <c r="Q46" s="8"/>
      <c r="R46" s="8" t="s">
        <v>128</v>
      </c>
    </row>
    <row r="47" spans="1:18" ht="26.15" customHeight="1">
      <c r="A47" s="7">
        <v>41</v>
      </c>
      <c r="B47" s="8" t="s">
        <v>180</v>
      </c>
      <c r="C47" s="8" t="s">
        <v>3114</v>
      </c>
      <c r="D47" s="8" t="s">
        <v>3172</v>
      </c>
      <c r="E47" s="8" t="s">
        <v>3116</v>
      </c>
      <c r="F47" s="9" t="s">
        <v>3117</v>
      </c>
      <c r="G47" s="10">
        <v>44067</v>
      </c>
      <c r="H47" s="8" t="s">
        <v>34</v>
      </c>
      <c r="I47" s="11" t="s">
        <v>50</v>
      </c>
      <c r="J47" s="8" t="s">
        <v>177</v>
      </c>
      <c r="K47" s="8" t="s">
        <v>178</v>
      </c>
      <c r="L47" s="7">
        <v>2015</v>
      </c>
      <c r="M47" s="8" t="s">
        <v>181</v>
      </c>
      <c r="N47" s="11"/>
      <c r="O47" s="8" t="s">
        <v>182</v>
      </c>
      <c r="P47" s="8" t="s">
        <v>183</v>
      </c>
      <c r="Q47" s="8"/>
      <c r="R47" s="8" t="s">
        <v>3145</v>
      </c>
    </row>
    <row r="48" spans="1:18" ht="26.15" customHeight="1">
      <c r="A48" s="7">
        <v>42</v>
      </c>
      <c r="B48" s="8" t="s">
        <v>1619</v>
      </c>
      <c r="C48" s="8" t="s">
        <v>3114</v>
      </c>
      <c r="D48" s="8" t="s">
        <v>3173</v>
      </c>
      <c r="E48" s="8" t="s">
        <v>3116</v>
      </c>
      <c r="F48" s="9" t="s">
        <v>3123</v>
      </c>
      <c r="G48" s="10">
        <v>44067</v>
      </c>
      <c r="H48" s="8" t="s">
        <v>34</v>
      </c>
      <c r="I48" s="11" t="s">
        <v>50</v>
      </c>
      <c r="J48" s="8" t="s">
        <v>177</v>
      </c>
      <c r="K48" s="8" t="s">
        <v>178</v>
      </c>
      <c r="L48" s="7">
        <v>2015</v>
      </c>
      <c r="M48" s="8" t="s">
        <v>181</v>
      </c>
      <c r="N48" s="11"/>
      <c r="O48" s="8" t="s">
        <v>182</v>
      </c>
      <c r="P48" s="8" t="s">
        <v>183</v>
      </c>
      <c r="Q48" s="8"/>
      <c r="R48" s="8" t="s">
        <v>3145</v>
      </c>
    </row>
    <row r="49" spans="1:18" ht="26.15" customHeight="1">
      <c r="A49" s="7">
        <v>43</v>
      </c>
      <c r="B49" s="8" t="s">
        <v>3174</v>
      </c>
      <c r="C49" s="8" t="s">
        <v>3114</v>
      </c>
      <c r="D49" s="8" t="s">
        <v>3175</v>
      </c>
      <c r="E49" s="8" t="s">
        <v>3116</v>
      </c>
      <c r="F49" s="9" t="s">
        <v>3123</v>
      </c>
      <c r="G49" s="10">
        <v>44063</v>
      </c>
      <c r="H49" s="8" t="s">
        <v>184</v>
      </c>
      <c r="I49" s="11">
        <v>114000</v>
      </c>
      <c r="J49" s="8" t="s">
        <v>185</v>
      </c>
      <c r="K49" s="8" t="s">
        <v>186</v>
      </c>
      <c r="L49" s="7">
        <v>2015</v>
      </c>
      <c r="M49" s="8" t="s">
        <v>188</v>
      </c>
      <c r="N49" s="11">
        <v>65736870</v>
      </c>
      <c r="O49" s="8" t="s">
        <v>189</v>
      </c>
      <c r="P49" s="8" t="s">
        <v>190</v>
      </c>
      <c r="Q49" s="8"/>
      <c r="R49" s="8" t="s">
        <v>3176</v>
      </c>
    </row>
    <row r="50" spans="1:18" ht="26.15" customHeight="1">
      <c r="A50" s="7">
        <v>44</v>
      </c>
      <c r="B50" s="8" t="s">
        <v>3177</v>
      </c>
      <c r="C50" s="8" t="s">
        <v>3114</v>
      </c>
      <c r="D50" s="8" t="s">
        <v>3178</v>
      </c>
      <c r="E50" s="8" t="s">
        <v>3116</v>
      </c>
      <c r="F50" s="9" t="s">
        <v>3117</v>
      </c>
      <c r="G50" s="10">
        <v>44061</v>
      </c>
      <c r="H50" s="8" t="s">
        <v>34</v>
      </c>
      <c r="I50" s="11">
        <v>2000000</v>
      </c>
      <c r="J50" s="8" t="s">
        <v>191</v>
      </c>
      <c r="K50" s="8" t="s">
        <v>192</v>
      </c>
      <c r="L50" s="7">
        <v>2015</v>
      </c>
      <c r="M50" s="8" t="s">
        <v>195</v>
      </c>
      <c r="N50" s="11">
        <v>5000000</v>
      </c>
      <c r="O50" s="8" t="s">
        <v>196</v>
      </c>
      <c r="P50" s="8" t="s">
        <v>197</v>
      </c>
      <c r="Q50" s="8"/>
      <c r="R50" s="8" t="s">
        <v>1300</v>
      </c>
    </row>
    <row r="51" spans="1:18" ht="26.15" customHeight="1">
      <c r="A51" s="7">
        <v>45</v>
      </c>
      <c r="B51" s="8" t="s">
        <v>3179</v>
      </c>
      <c r="C51" s="8" t="s">
        <v>3139</v>
      </c>
      <c r="D51" s="8" t="s">
        <v>3180</v>
      </c>
      <c r="E51" s="8" t="s">
        <v>3116</v>
      </c>
      <c r="F51" s="9" t="s">
        <v>3117</v>
      </c>
      <c r="G51" s="10">
        <v>44061</v>
      </c>
      <c r="H51" s="8" t="s">
        <v>34</v>
      </c>
      <c r="I51" s="11">
        <v>2000000</v>
      </c>
      <c r="J51" s="8" t="s">
        <v>191</v>
      </c>
      <c r="K51" s="8" t="s">
        <v>192</v>
      </c>
      <c r="L51" s="7">
        <v>2015</v>
      </c>
      <c r="M51" s="8" t="s">
        <v>195</v>
      </c>
      <c r="N51" s="11">
        <v>5000000</v>
      </c>
      <c r="O51" s="8" t="s">
        <v>196</v>
      </c>
      <c r="P51" s="8" t="s">
        <v>197</v>
      </c>
      <c r="Q51" s="8"/>
      <c r="R51" s="8" t="s">
        <v>1300</v>
      </c>
    </row>
    <row r="52" spans="1:18" ht="26.15" customHeight="1">
      <c r="A52" s="7">
        <v>46</v>
      </c>
      <c r="B52" s="8" t="s">
        <v>206</v>
      </c>
      <c r="C52" s="8" t="s">
        <v>3114</v>
      </c>
      <c r="D52" s="8" t="s">
        <v>3181</v>
      </c>
      <c r="E52" s="8" t="s">
        <v>3116</v>
      </c>
      <c r="F52" s="9" t="s">
        <v>3117</v>
      </c>
      <c r="G52" s="10">
        <v>44055</v>
      </c>
      <c r="H52" s="8" t="s">
        <v>109</v>
      </c>
      <c r="I52" s="11">
        <v>5500000</v>
      </c>
      <c r="J52" s="8" t="s">
        <v>203</v>
      </c>
      <c r="K52" s="8" t="s">
        <v>204</v>
      </c>
      <c r="L52" s="7">
        <v>2016</v>
      </c>
      <c r="M52" s="8" t="s">
        <v>207</v>
      </c>
      <c r="N52" s="11">
        <v>5500000</v>
      </c>
      <c r="O52" s="8" t="s">
        <v>208</v>
      </c>
      <c r="P52" s="8" t="s">
        <v>209</v>
      </c>
      <c r="Q52" s="8"/>
      <c r="R52" s="8" t="s">
        <v>3156</v>
      </c>
    </row>
    <row r="53" spans="1:18" ht="26.15" customHeight="1">
      <c r="A53" s="7">
        <v>47</v>
      </c>
      <c r="B53" s="8" t="s">
        <v>3182</v>
      </c>
      <c r="C53" s="8" t="s">
        <v>3114</v>
      </c>
      <c r="D53" s="8" t="s">
        <v>3183</v>
      </c>
      <c r="E53" s="8" t="s">
        <v>3116</v>
      </c>
      <c r="F53" s="9" t="s">
        <v>3123</v>
      </c>
      <c r="G53" s="10">
        <v>44055</v>
      </c>
      <c r="H53" s="8" t="s">
        <v>109</v>
      </c>
      <c r="I53" s="11">
        <v>5500000</v>
      </c>
      <c r="J53" s="8" t="s">
        <v>203</v>
      </c>
      <c r="K53" s="8" t="s">
        <v>204</v>
      </c>
      <c r="L53" s="7">
        <v>2016</v>
      </c>
      <c r="M53" s="8" t="s">
        <v>207</v>
      </c>
      <c r="N53" s="11">
        <v>5500000</v>
      </c>
      <c r="O53" s="8" t="s">
        <v>208</v>
      </c>
      <c r="P53" s="8" t="s">
        <v>209</v>
      </c>
      <c r="Q53" s="8"/>
      <c r="R53" s="8" t="s">
        <v>207</v>
      </c>
    </row>
    <row r="54" spans="1:18" ht="26.15" customHeight="1">
      <c r="A54" s="7">
        <v>48</v>
      </c>
      <c r="B54" s="8" t="s">
        <v>3184</v>
      </c>
      <c r="C54" s="8" t="s">
        <v>3114</v>
      </c>
      <c r="D54" s="8" t="s">
        <v>3185</v>
      </c>
      <c r="E54" s="8" t="s">
        <v>3116</v>
      </c>
      <c r="F54" s="9" t="s">
        <v>3123</v>
      </c>
      <c r="G54" s="10">
        <v>44055</v>
      </c>
      <c r="H54" s="8" t="s">
        <v>109</v>
      </c>
      <c r="I54" s="11">
        <v>5500000</v>
      </c>
      <c r="J54" s="8" t="s">
        <v>203</v>
      </c>
      <c r="K54" s="8" t="s">
        <v>204</v>
      </c>
      <c r="L54" s="7">
        <v>2016</v>
      </c>
      <c r="M54" s="8" t="s">
        <v>207</v>
      </c>
      <c r="N54" s="11">
        <v>5500000</v>
      </c>
      <c r="O54" s="8" t="s">
        <v>208</v>
      </c>
      <c r="P54" s="8" t="s">
        <v>209</v>
      </c>
      <c r="Q54" s="8"/>
      <c r="R54" s="8" t="s">
        <v>207</v>
      </c>
    </row>
    <row r="55" spans="1:18" ht="26.15" customHeight="1">
      <c r="A55" s="7">
        <v>49</v>
      </c>
      <c r="B55" s="8" t="s">
        <v>3186</v>
      </c>
      <c r="C55" s="8" t="s">
        <v>3114</v>
      </c>
      <c r="D55" s="8" t="s">
        <v>3187</v>
      </c>
      <c r="E55" s="8" t="s">
        <v>3116</v>
      </c>
      <c r="F55" s="9" t="s">
        <v>3117</v>
      </c>
      <c r="G55" s="10">
        <v>44055</v>
      </c>
      <c r="H55" s="8" t="s">
        <v>25</v>
      </c>
      <c r="I55" s="11" t="s">
        <v>50</v>
      </c>
      <c r="J55" s="8" t="s">
        <v>210</v>
      </c>
      <c r="K55" s="8" t="s">
        <v>211</v>
      </c>
      <c r="L55" s="7">
        <v>2013</v>
      </c>
      <c r="M55" s="8" t="s">
        <v>214</v>
      </c>
      <c r="N55" s="11">
        <v>4000000</v>
      </c>
      <c r="O55" s="8" t="s">
        <v>215</v>
      </c>
      <c r="P55" s="8" t="s">
        <v>216</v>
      </c>
      <c r="Q55" s="8"/>
      <c r="R55" s="8" t="s">
        <v>3188</v>
      </c>
    </row>
    <row r="56" spans="1:18" ht="26.15" customHeight="1">
      <c r="A56" s="7">
        <v>50</v>
      </c>
      <c r="B56" s="8" t="s">
        <v>3189</v>
      </c>
      <c r="C56" s="8"/>
      <c r="D56" s="8" t="s">
        <v>3189</v>
      </c>
      <c r="E56" s="8" t="s">
        <v>3116</v>
      </c>
      <c r="F56" s="9" t="s">
        <v>3117</v>
      </c>
      <c r="G56" s="10">
        <v>44055</v>
      </c>
      <c r="H56" s="8" t="s">
        <v>25</v>
      </c>
      <c r="I56" s="11" t="s">
        <v>50</v>
      </c>
      <c r="J56" s="8" t="s">
        <v>210</v>
      </c>
      <c r="K56" s="8" t="s">
        <v>211</v>
      </c>
      <c r="L56" s="7">
        <v>2013</v>
      </c>
      <c r="M56" s="8" t="s">
        <v>214</v>
      </c>
      <c r="N56" s="11">
        <v>4000000</v>
      </c>
      <c r="O56" s="8" t="s">
        <v>215</v>
      </c>
      <c r="P56" s="8" t="s">
        <v>216</v>
      </c>
      <c r="Q56" s="8"/>
      <c r="R56" s="8"/>
    </row>
    <row r="57" spans="1:18" ht="26.15" customHeight="1">
      <c r="A57" s="7">
        <v>51</v>
      </c>
      <c r="B57" s="8" t="s">
        <v>3190</v>
      </c>
      <c r="C57" s="8" t="s">
        <v>3114</v>
      </c>
      <c r="D57" s="8" t="s">
        <v>3191</v>
      </c>
      <c r="E57" s="8" t="s">
        <v>3116</v>
      </c>
      <c r="F57" s="9" t="s">
        <v>3123</v>
      </c>
      <c r="G57" s="10">
        <v>44055</v>
      </c>
      <c r="H57" s="8" t="s">
        <v>25</v>
      </c>
      <c r="I57" s="11" t="s">
        <v>50</v>
      </c>
      <c r="J57" s="8" t="s">
        <v>210</v>
      </c>
      <c r="K57" s="8" t="s">
        <v>211</v>
      </c>
      <c r="L57" s="7">
        <v>2013</v>
      </c>
      <c r="M57" s="8" t="s">
        <v>214</v>
      </c>
      <c r="N57" s="11">
        <v>4000000</v>
      </c>
      <c r="O57" s="8" t="s">
        <v>215</v>
      </c>
      <c r="P57" s="8" t="s">
        <v>216</v>
      </c>
      <c r="Q57" s="8"/>
      <c r="R57" s="8" t="s">
        <v>3192</v>
      </c>
    </row>
    <row r="58" spans="1:18" ht="26.15" customHeight="1">
      <c r="A58" s="7">
        <v>52</v>
      </c>
      <c r="B58" s="8" t="s">
        <v>1134</v>
      </c>
      <c r="C58" s="8" t="s">
        <v>3114</v>
      </c>
      <c r="D58" s="8" t="s">
        <v>3193</v>
      </c>
      <c r="E58" s="8" t="s">
        <v>3116</v>
      </c>
      <c r="F58" s="9" t="s">
        <v>3123</v>
      </c>
      <c r="G58" s="10">
        <v>44055</v>
      </c>
      <c r="H58" s="8" t="s">
        <v>25</v>
      </c>
      <c r="I58" s="11" t="s">
        <v>50</v>
      </c>
      <c r="J58" s="8" t="s">
        <v>210</v>
      </c>
      <c r="K58" s="8" t="s">
        <v>211</v>
      </c>
      <c r="L58" s="7">
        <v>2013</v>
      </c>
      <c r="M58" s="8" t="s">
        <v>214</v>
      </c>
      <c r="N58" s="11">
        <v>4000000</v>
      </c>
      <c r="O58" s="8" t="s">
        <v>215</v>
      </c>
      <c r="P58" s="8" t="s">
        <v>216</v>
      </c>
      <c r="Q58" s="8"/>
      <c r="R58" s="8" t="s">
        <v>3194</v>
      </c>
    </row>
    <row r="59" spans="1:18" ht="26.15" customHeight="1">
      <c r="A59" s="7">
        <v>53</v>
      </c>
      <c r="B59" s="8" t="s">
        <v>220</v>
      </c>
      <c r="C59" s="8" t="s">
        <v>3114</v>
      </c>
      <c r="D59" s="8" t="s">
        <v>3195</v>
      </c>
      <c r="E59" s="8" t="s">
        <v>3116</v>
      </c>
      <c r="F59" s="9" t="s">
        <v>3117</v>
      </c>
      <c r="G59" s="10">
        <v>44053</v>
      </c>
      <c r="H59" s="8" t="s">
        <v>34</v>
      </c>
      <c r="I59" s="11">
        <v>2000000</v>
      </c>
      <c r="J59" s="8" t="s">
        <v>217</v>
      </c>
      <c r="K59" s="8" t="s">
        <v>218</v>
      </c>
      <c r="L59" s="7">
        <v>2015</v>
      </c>
      <c r="M59" s="8" t="s">
        <v>79</v>
      </c>
      <c r="N59" s="11">
        <v>2569628</v>
      </c>
      <c r="O59" s="8" t="s">
        <v>221</v>
      </c>
      <c r="P59" s="8" t="s">
        <v>222</v>
      </c>
      <c r="Q59" s="8"/>
      <c r="R59" s="8" t="s">
        <v>3156</v>
      </c>
    </row>
    <row r="60" spans="1:18" ht="26.15" customHeight="1">
      <c r="A60" s="7">
        <v>54</v>
      </c>
      <c r="B60" s="8" t="s">
        <v>1467</v>
      </c>
      <c r="C60" s="8" t="s">
        <v>3114</v>
      </c>
      <c r="D60" s="8" t="s">
        <v>3196</v>
      </c>
      <c r="E60" s="8" t="s">
        <v>3116</v>
      </c>
      <c r="F60" s="9" t="s">
        <v>3123</v>
      </c>
      <c r="G60" s="10">
        <v>44053</v>
      </c>
      <c r="H60" s="8" t="s">
        <v>34</v>
      </c>
      <c r="I60" s="11">
        <v>2000000</v>
      </c>
      <c r="J60" s="8" t="s">
        <v>217</v>
      </c>
      <c r="K60" s="8" t="s">
        <v>218</v>
      </c>
      <c r="L60" s="7">
        <v>2015</v>
      </c>
      <c r="M60" s="8" t="s">
        <v>79</v>
      </c>
      <c r="N60" s="11">
        <v>2569628</v>
      </c>
      <c r="O60" s="8" t="s">
        <v>221</v>
      </c>
      <c r="P60" s="8" t="s">
        <v>222</v>
      </c>
      <c r="Q60" s="8"/>
      <c r="R60" s="8" t="s">
        <v>313</v>
      </c>
    </row>
    <row r="61" spans="1:18" ht="26.15" customHeight="1">
      <c r="A61" s="7">
        <v>55</v>
      </c>
      <c r="B61" s="8" t="s">
        <v>3197</v>
      </c>
      <c r="C61" s="8" t="s">
        <v>3114</v>
      </c>
      <c r="D61" s="8" t="s">
        <v>3198</v>
      </c>
      <c r="E61" s="8" t="s">
        <v>3116</v>
      </c>
      <c r="F61" s="9" t="s">
        <v>3123</v>
      </c>
      <c r="G61" s="10">
        <v>44053</v>
      </c>
      <c r="H61" s="8" t="s">
        <v>34</v>
      </c>
      <c r="I61" s="11">
        <v>2000000</v>
      </c>
      <c r="J61" s="8" t="s">
        <v>217</v>
      </c>
      <c r="K61" s="8" t="s">
        <v>218</v>
      </c>
      <c r="L61" s="7">
        <v>2015</v>
      </c>
      <c r="M61" s="8" t="s">
        <v>79</v>
      </c>
      <c r="N61" s="11">
        <v>2569628</v>
      </c>
      <c r="O61" s="8" t="s">
        <v>221</v>
      </c>
      <c r="P61" s="8" t="s">
        <v>222</v>
      </c>
      <c r="Q61" s="8"/>
      <c r="R61" s="8" t="s">
        <v>313</v>
      </c>
    </row>
    <row r="62" spans="1:18" ht="26.15" customHeight="1">
      <c r="A62" s="7">
        <v>56</v>
      </c>
      <c r="B62" s="8" t="s">
        <v>3199</v>
      </c>
      <c r="C62" s="8" t="s">
        <v>3139</v>
      </c>
      <c r="D62" s="8" t="s">
        <v>3200</v>
      </c>
      <c r="E62" s="8" t="s">
        <v>3116</v>
      </c>
      <c r="F62" s="9" t="s">
        <v>3117</v>
      </c>
      <c r="G62" s="10">
        <v>44033</v>
      </c>
      <c r="H62" s="8" t="s">
        <v>95</v>
      </c>
      <c r="I62" s="11">
        <v>30000000</v>
      </c>
      <c r="J62" s="8" t="s">
        <v>228</v>
      </c>
      <c r="K62" s="8" t="s">
        <v>229</v>
      </c>
      <c r="L62" s="7">
        <v>2015</v>
      </c>
      <c r="M62" s="8" t="s">
        <v>233</v>
      </c>
      <c r="N62" s="11">
        <v>60000000</v>
      </c>
      <c r="O62" s="8" t="s">
        <v>234</v>
      </c>
      <c r="P62" s="8" t="s">
        <v>235</v>
      </c>
      <c r="Q62" s="8"/>
      <c r="R62" s="8" t="s">
        <v>3201</v>
      </c>
    </row>
    <row r="63" spans="1:18" ht="26.15" customHeight="1">
      <c r="A63" s="7">
        <v>57</v>
      </c>
      <c r="B63" s="8" t="s">
        <v>3202</v>
      </c>
      <c r="C63" s="8" t="s">
        <v>3114</v>
      </c>
      <c r="D63" s="8" t="s">
        <v>3203</v>
      </c>
      <c r="E63" s="8" t="s">
        <v>3116</v>
      </c>
      <c r="F63" s="9" t="s">
        <v>3117</v>
      </c>
      <c r="G63" s="10">
        <v>44033</v>
      </c>
      <c r="H63" s="8" t="s">
        <v>95</v>
      </c>
      <c r="I63" s="11">
        <v>30000000</v>
      </c>
      <c r="J63" s="8" t="s">
        <v>228</v>
      </c>
      <c r="K63" s="8" t="s">
        <v>229</v>
      </c>
      <c r="L63" s="7">
        <v>2015</v>
      </c>
      <c r="M63" s="8" t="s">
        <v>233</v>
      </c>
      <c r="N63" s="11">
        <v>60000000</v>
      </c>
      <c r="O63" s="8" t="s">
        <v>234</v>
      </c>
      <c r="P63" s="8" t="s">
        <v>235</v>
      </c>
      <c r="Q63" s="8"/>
      <c r="R63" s="8" t="s">
        <v>3204</v>
      </c>
    </row>
    <row r="64" spans="1:18" ht="26.15" customHeight="1">
      <c r="A64" s="7">
        <v>58</v>
      </c>
      <c r="B64" s="8" t="s">
        <v>631</v>
      </c>
      <c r="C64" s="8" t="s">
        <v>3114</v>
      </c>
      <c r="D64" s="8" t="s">
        <v>3205</v>
      </c>
      <c r="E64" s="8" t="s">
        <v>3116</v>
      </c>
      <c r="F64" s="9" t="s">
        <v>3117</v>
      </c>
      <c r="G64" s="10">
        <v>44033</v>
      </c>
      <c r="H64" s="8" t="s">
        <v>95</v>
      </c>
      <c r="I64" s="11">
        <v>30000000</v>
      </c>
      <c r="J64" s="8" t="s">
        <v>228</v>
      </c>
      <c r="K64" s="8" t="s">
        <v>229</v>
      </c>
      <c r="L64" s="7">
        <v>2015</v>
      </c>
      <c r="M64" s="8" t="s">
        <v>233</v>
      </c>
      <c r="N64" s="11">
        <v>60000000</v>
      </c>
      <c r="O64" s="8" t="s">
        <v>234</v>
      </c>
      <c r="P64" s="8" t="s">
        <v>235</v>
      </c>
      <c r="Q64" s="8"/>
      <c r="R64" s="8" t="s">
        <v>3204</v>
      </c>
    </row>
    <row r="65" spans="1:18" ht="26.15" customHeight="1">
      <c r="A65" s="7">
        <v>59</v>
      </c>
      <c r="B65" s="8" t="s">
        <v>3206</v>
      </c>
      <c r="C65" s="8" t="s">
        <v>3114</v>
      </c>
      <c r="D65" s="8" t="s">
        <v>3207</v>
      </c>
      <c r="E65" s="8" t="s">
        <v>3116</v>
      </c>
      <c r="F65" s="9" t="s">
        <v>3123</v>
      </c>
      <c r="G65" s="10">
        <v>44033</v>
      </c>
      <c r="H65" s="8" t="s">
        <v>95</v>
      </c>
      <c r="I65" s="11">
        <v>30000000</v>
      </c>
      <c r="J65" s="8" t="s">
        <v>228</v>
      </c>
      <c r="K65" s="8" t="s">
        <v>229</v>
      </c>
      <c r="L65" s="7">
        <v>2015</v>
      </c>
      <c r="M65" s="8" t="s">
        <v>233</v>
      </c>
      <c r="N65" s="11">
        <v>60000000</v>
      </c>
      <c r="O65" s="8" t="s">
        <v>234</v>
      </c>
      <c r="P65" s="8" t="s">
        <v>235</v>
      </c>
      <c r="Q65" s="8"/>
      <c r="R65" s="8" t="s">
        <v>3156</v>
      </c>
    </row>
    <row r="66" spans="1:18" ht="26.15" customHeight="1">
      <c r="A66" s="7">
        <v>60</v>
      </c>
      <c r="B66" s="8" t="s">
        <v>3208</v>
      </c>
      <c r="C66" s="8" t="s">
        <v>3139</v>
      </c>
      <c r="D66" s="8" t="s">
        <v>3209</v>
      </c>
      <c r="E66" s="8" t="s">
        <v>3116</v>
      </c>
      <c r="F66" s="9" t="s">
        <v>3123</v>
      </c>
      <c r="G66" s="10">
        <v>44033</v>
      </c>
      <c r="H66" s="8" t="s">
        <v>95</v>
      </c>
      <c r="I66" s="11">
        <v>30000000</v>
      </c>
      <c r="J66" s="8" t="s">
        <v>228</v>
      </c>
      <c r="K66" s="8" t="s">
        <v>229</v>
      </c>
      <c r="L66" s="7">
        <v>2015</v>
      </c>
      <c r="M66" s="8" t="s">
        <v>233</v>
      </c>
      <c r="N66" s="11">
        <v>60000000</v>
      </c>
      <c r="O66" s="8" t="s">
        <v>234</v>
      </c>
      <c r="P66" s="8" t="s">
        <v>235</v>
      </c>
      <c r="Q66" s="8"/>
      <c r="R66" s="8" t="s">
        <v>369</v>
      </c>
    </row>
    <row r="67" spans="1:18" ht="26.15" customHeight="1">
      <c r="A67" s="7">
        <v>61</v>
      </c>
      <c r="B67" s="8" t="s">
        <v>3210</v>
      </c>
      <c r="C67" s="8" t="s">
        <v>3114</v>
      </c>
      <c r="D67" s="8" t="s">
        <v>3211</v>
      </c>
      <c r="E67" s="8" t="s">
        <v>3116</v>
      </c>
      <c r="F67" s="9" t="s">
        <v>3123</v>
      </c>
      <c r="G67" s="10">
        <v>44033</v>
      </c>
      <c r="H67" s="8" t="s">
        <v>95</v>
      </c>
      <c r="I67" s="11">
        <v>30000000</v>
      </c>
      <c r="J67" s="8" t="s">
        <v>228</v>
      </c>
      <c r="K67" s="8" t="s">
        <v>229</v>
      </c>
      <c r="L67" s="7">
        <v>2015</v>
      </c>
      <c r="M67" s="8" t="s">
        <v>233</v>
      </c>
      <c r="N67" s="11">
        <v>60000000</v>
      </c>
      <c r="O67" s="8" t="s">
        <v>234</v>
      </c>
      <c r="P67" s="8" t="s">
        <v>235</v>
      </c>
      <c r="Q67" s="8"/>
      <c r="R67" s="8" t="s">
        <v>1251</v>
      </c>
    </row>
    <row r="68" spans="1:18" ht="26.15" customHeight="1">
      <c r="A68" s="7">
        <v>62</v>
      </c>
      <c r="B68" s="8" t="s">
        <v>3212</v>
      </c>
      <c r="C68" s="8" t="s">
        <v>3114</v>
      </c>
      <c r="D68" s="8" t="s">
        <v>3213</v>
      </c>
      <c r="E68" s="8" t="s">
        <v>3116</v>
      </c>
      <c r="F68" s="9" t="s">
        <v>3123</v>
      </c>
      <c r="G68" s="10">
        <v>44033</v>
      </c>
      <c r="H68" s="8" t="s">
        <v>95</v>
      </c>
      <c r="I68" s="11">
        <v>30000000</v>
      </c>
      <c r="J68" s="8" t="s">
        <v>228</v>
      </c>
      <c r="K68" s="8" t="s">
        <v>229</v>
      </c>
      <c r="L68" s="7">
        <v>2015</v>
      </c>
      <c r="M68" s="8" t="s">
        <v>233</v>
      </c>
      <c r="N68" s="11">
        <v>60000000</v>
      </c>
      <c r="O68" s="8" t="s">
        <v>234</v>
      </c>
      <c r="P68" s="8" t="s">
        <v>235</v>
      </c>
      <c r="Q68" s="8"/>
      <c r="R68" s="8" t="s">
        <v>3214</v>
      </c>
    </row>
    <row r="69" spans="1:18" ht="26.15" customHeight="1">
      <c r="A69" s="7">
        <v>63</v>
      </c>
      <c r="B69" s="8" t="s">
        <v>3215</v>
      </c>
      <c r="C69" s="8" t="s">
        <v>3114</v>
      </c>
      <c r="D69" s="8" t="s">
        <v>3216</v>
      </c>
      <c r="E69" s="8" t="s">
        <v>3116</v>
      </c>
      <c r="F69" s="9" t="s">
        <v>3123</v>
      </c>
      <c r="G69" s="10">
        <v>44033</v>
      </c>
      <c r="H69" s="8" t="s">
        <v>95</v>
      </c>
      <c r="I69" s="11">
        <v>30000000</v>
      </c>
      <c r="J69" s="8" t="s">
        <v>228</v>
      </c>
      <c r="K69" s="8" t="s">
        <v>229</v>
      </c>
      <c r="L69" s="7">
        <v>2015</v>
      </c>
      <c r="M69" s="8" t="s">
        <v>233</v>
      </c>
      <c r="N69" s="11">
        <v>60000000</v>
      </c>
      <c r="O69" s="8" t="s">
        <v>234</v>
      </c>
      <c r="P69" s="8" t="s">
        <v>235</v>
      </c>
      <c r="Q69" s="8"/>
      <c r="R69" s="8" t="s">
        <v>3217</v>
      </c>
    </row>
    <row r="70" spans="1:18" ht="26.15" customHeight="1">
      <c r="A70" s="7">
        <v>64</v>
      </c>
      <c r="B70" s="8" t="s">
        <v>3140</v>
      </c>
      <c r="C70" s="8" t="s">
        <v>3139</v>
      </c>
      <c r="D70" s="8" t="s">
        <v>3141</v>
      </c>
      <c r="E70" s="8" t="s">
        <v>3116</v>
      </c>
      <c r="F70" s="9" t="s">
        <v>3123</v>
      </c>
      <c r="G70" s="10">
        <v>44033</v>
      </c>
      <c r="H70" s="8" t="s">
        <v>95</v>
      </c>
      <c r="I70" s="11">
        <v>30000000</v>
      </c>
      <c r="J70" s="8" t="s">
        <v>228</v>
      </c>
      <c r="K70" s="8" t="s">
        <v>229</v>
      </c>
      <c r="L70" s="7">
        <v>2015</v>
      </c>
      <c r="M70" s="8" t="s">
        <v>233</v>
      </c>
      <c r="N70" s="11">
        <v>60000000</v>
      </c>
      <c r="O70" s="8" t="s">
        <v>234</v>
      </c>
      <c r="P70" s="8" t="s">
        <v>235</v>
      </c>
      <c r="Q70" s="8"/>
      <c r="R70" s="8" t="s">
        <v>954</v>
      </c>
    </row>
    <row r="71" spans="1:18" ht="26.15" customHeight="1">
      <c r="A71" s="7">
        <v>65</v>
      </c>
      <c r="B71" s="8" t="s">
        <v>231</v>
      </c>
      <c r="C71" s="8" t="s">
        <v>3127</v>
      </c>
      <c r="D71" s="8"/>
      <c r="E71" s="8" t="s">
        <v>3128</v>
      </c>
      <c r="F71" s="9" t="s">
        <v>3123</v>
      </c>
      <c r="G71" s="10">
        <v>44033</v>
      </c>
      <c r="H71" s="8" t="s">
        <v>95</v>
      </c>
      <c r="I71" s="11">
        <v>30000000</v>
      </c>
      <c r="J71" s="8" t="s">
        <v>228</v>
      </c>
      <c r="K71" s="8" t="s">
        <v>229</v>
      </c>
      <c r="L71" s="7">
        <v>2015</v>
      </c>
      <c r="M71" s="8" t="s">
        <v>233</v>
      </c>
      <c r="N71" s="11">
        <v>60000000</v>
      </c>
      <c r="O71" s="8" t="s">
        <v>234</v>
      </c>
      <c r="P71" s="8" t="s">
        <v>235</v>
      </c>
      <c r="Q71" s="8"/>
      <c r="R71" s="8"/>
    </row>
    <row r="72" spans="1:18" ht="26.15" customHeight="1">
      <c r="A72" s="7">
        <v>66</v>
      </c>
      <c r="B72" s="8" t="s">
        <v>3218</v>
      </c>
      <c r="C72" s="8" t="s">
        <v>3114</v>
      </c>
      <c r="D72" s="8" t="s">
        <v>3219</v>
      </c>
      <c r="E72" s="8" t="s">
        <v>3116</v>
      </c>
      <c r="F72" s="9" t="s">
        <v>3123</v>
      </c>
      <c r="G72" s="10">
        <v>44033</v>
      </c>
      <c r="H72" s="8" t="s">
        <v>95</v>
      </c>
      <c r="I72" s="11">
        <v>30000000</v>
      </c>
      <c r="J72" s="8" t="s">
        <v>228</v>
      </c>
      <c r="K72" s="8" t="s">
        <v>229</v>
      </c>
      <c r="L72" s="7">
        <v>2015</v>
      </c>
      <c r="M72" s="8" t="s">
        <v>233</v>
      </c>
      <c r="N72" s="11">
        <v>60000000</v>
      </c>
      <c r="O72" s="8" t="s">
        <v>234</v>
      </c>
      <c r="P72" s="8" t="s">
        <v>235</v>
      </c>
      <c r="Q72" s="8"/>
      <c r="R72" s="8" t="s">
        <v>3220</v>
      </c>
    </row>
    <row r="73" spans="1:18" ht="26.15" customHeight="1">
      <c r="A73" s="7">
        <v>67</v>
      </c>
      <c r="B73" s="8" t="s">
        <v>3221</v>
      </c>
      <c r="C73" s="8" t="s">
        <v>3139</v>
      </c>
      <c r="D73" s="8" t="s">
        <v>3222</v>
      </c>
      <c r="E73" s="8" t="s">
        <v>3116</v>
      </c>
      <c r="F73" s="9" t="s">
        <v>3123</v>
      </c>
      <c r="G73" s="10">
        <v>44033</v>
      </c>
      <c r="H73" s="8" t="s">
        <v>95</v>
      </c>
      <c r="I73" s="11">
        <v>30000000</v>
      </c>
      <c r="J73" s="8" t="s">
        <v>228</v>
      </c>
      <c r="K73" s="8" t="s">
        <v>229</v>
      </c>
      <c r="L73" s="7">
        <v>2015</v>
      </c>
      <c r="M73" s="8" t="s">
        <v>233</v>
      </c>
      <c r="N73" s="11">
        <v>60000000</v>
      </c>
      <c r="O73" s="8" t="s">
        <v>234</v>
      </c>
      <c r="P73" s="8" t="s">
        <v>235</v>
      </c>
      <c r="Q73" s="8"/>
      <c r="R73" s="8" t="s">
        <v>3223</v>
      </c>
    </row>
    <row r="74" spans="1:18" ht="26.15" customHeight="1">
      <c r="A74" s="7">
        <v>68</v>
      </c>
      <c r="B74" s="8" t="s">
        <v>3224</v>
      </c>
      <c r="C74" s="8" t="s">
        <v>3114</v>
      </c>
      <c r="D74" s="8" t="s">
        <v>3225</v>
      </c>
      <c r="E74" s="8" t="s">
        <v>3116</v>
      </c>
      <c r="F74" s="9" t="s">
        <v>3123</v>
      </c>
      <c r="G74" s="10">
        <v>44033</v>
      </c>
      <c r="H74" s="8" t="s">
        <v>95</v>
      </c>
      <c r="I74" s="11">
        <v>30000000</v>
      </c>
      <c r="J74" s="8" t="s">
        <v>228</v>
      </c>
      <c r="K74" s="8" t="s">
        <v>229</v>
      </c>
      <c r="L74" s="7">
        <v>2015</v>
      </c>
      <c r="M74" s="8" t="s">
        <v>233</v>
      </c>
      <c r="N74" s="11">
        <v>60000000</v>
      </c>
      <c r="O74" s="8" t="s">
        <v>234</v>
      </c>
      <c r="P74" s="8" t="s">
        <v>235</v>
      </c>
      <c r="Q74" s="8"/>
      <c r="R74" s="8" t="s">
        <v>3226</v>
      </c>
    </row>
    <row r="75" spans="1:18" ht="26.15" customHeight="1">
      <c r="A75" s="7">
        <v>69</v>
      </c>
      <c r="B75" s="8" t="s">
        <v>3227</v>
      </c>
      <c r="C75" s="8"/>
      <c r="D75" s="8" t="s">
        <v>3228</v>
      </c>
      <c r="E75" s="8" t="s">
        <v>3116</v>
      </c>
      <c r="F75" s="9" t="s">
        <v>3123</v>
      </c>
      <c r="G75" s="10">
        <v>44033</v>
      </c>
      <c r="H75" s="8" t="s">
        <v>95</v>
      </c>
      <c r="I75" s="11">
        <v>30000000</v>
      </c>
      <c r="J75" s="8" t="s">
        <v>228</v>
      </c>
      <c r="K75" s="8" t="s">
        <v>229</v>
      </c>
      <c r="L75" s="7">
        <v>2015</v>
      </c>
      <c r="M75" s="8" t="s">
        <v>233</v>
      </c>
      <c r="N75" s="11">
        <v>60000000</v>
      </c>
      <c r="O75" s="8" t="s">
        <v>234</v>
      </c>
      <c r="P75" s="8" t="s">
        <v>235</v>
      </c>
      <c r="Q75" s="8"/>
      <c r="R75" s="8"/>
    </row>
    <row r="76" spans="1:18" ht="26.15" customHeight="1">
      <c r="A76" s="7">
        <v>70</v>
      </c>
      <c r="B76" s="8" t="s">
        <v>3229</v>
      </c>
      <c r="C76" s="8" t="s">
        <v>3139</v>
      </c>
      <c r="D76" s="8" t="s">
        <v>3229</v>
      </c>
      <c r="E76" s="8" t="s">
        <v>3116</v>
      </c>
      <c r="F76" s="9" t="s">
        <v>3123</v>
      </c>
      <c r="G76" s="10">
        <v>44033</v>
      </c>
      <c r="H76" s="8" t="s">
        <v>95</v>
      </c>
      <c r="I76" s="11">
        <v>30000000</v>
      </c>
      <c r="J76" s="8" t="s">
        <v>228</v>
      </c>
      <c r="K76" s="8" t="s">
        <v>229</v>
      </c>
      <c r="L76" s="7">
        <v>2015</v>
      </c>
      <c r="M76" s="8" t="s">
        <v>233</v>
      </c>
      <c r="N76" s="11">
        <v>60000000</v>
      </c>
      <c r="O76" s="8" t="s">
        <v>234</v>
      </c>
      <c r="P76" s="8" t="s">
        <v>235</v>
      </c>
      <c r="Q76" s="8"/>
      <c r="R76" s="8"/>
    </row>
    <row r="77" spans="1:18" ht="26.15" customHeight="1">
      <c r="A77" s="7">
        <v>71</v>
      </c>
      <c r="B77" s="8" t="s">
        <v>1929</v>
      </c>
      <c r="C77" s="8" t="s">
        <v>3114</v>
      </c>
      <c r="D77" s="8" t="s">
        <v>3230</v>
      </c>
      <c r="E77" s="8" t="s">
        <v>3116</v>
      </c>
      <c r="F77" s="9" t="s">
        <v>3117</v>
      </c>
      <c r="G77" s="10">
        <v>44033</v>
      </c>
      <c r="H77" s="8" t="s">
        <v>34</v>
      </c>
      <c r="I77" s="11">
        <v>2500000</v>
      </c>
      <c r="J77" s="8" t="s">
        <v>236</v>
      </c>
      <c r="K77" s="8" t="s">
        <v>237</v>
      </c>
      <c r="L77" s="7">
        <v>2020</v>
      </c>
      <c r="M77" s="8" t="s">
        <v>181</v>
      </c>
      <c r="N77" s="11">
        <v>2500000</v>
      </c>
      <c r="O77" s="8" t="s">
        <v>241</v>
      </c>
      <c r="P77" s="8" t="s">
        <v>242</v>
      </c>
      <c r="Q77" s="8"/>
      <c r="R77" s="8" t="s">
        <v>79</v>
      </c>
    </row>
    <row r="78" spans="1:18" ht="26.15" customHeight="1">
      <c r="A78" s="7">
        <v>72</v>
      </c>
      <c r="B78" s="8" t="s">
        <v>1467</v>
      </c>
      <c r="C78" s="8" t="s">
        <v>3114</v>
      </c>
      <c r="D78" s="8" t="s">
        <v>3196</v>
      </c>
      <c r="E78" s="8" t="s">
        <v>3116</v>
      </c>
      <c r="F78" s="9" t="s">
        <v>3117</v>
      </c>
      <c r="G78" s="10">
        <v>44033</v>
      </c>
      <c r="H78" s="8" t="s">
        <v>34</v>
      </c>
      <c r="I78" s="11">
        <v>2500000</v>
      </c>
      <c r="J78" s="8" t="s">
        <v>236</v>
      </c>
      <c r="K78" s="8" t="s">
        <v>237</v>
      </c>
      <c r="L78" s="7">
        <v>2020</v>
      </c>
      <c r="M78" s="8" t="s">
        <v>181</v>
      </c>
      <c r="N78" s="11">
        <v>2500000</v>
      </c>
      <c r="O78" s="8" t="s">
        <v>241</v>
      </c>
      <c r="P78" s="8" t="s">
        <v>242</v>
      </c>
      <c r="Q78" s="8"/>
      <c r="R78" s="8" t="s">
        <v>313</v>
      </c>
    </row>
    <row r="79" spans="1:18" ht="26.15" customHeight="1">
      <c r="A79" s="7">
        <v>73</v>
      </c>
      <c r="B79" s="8" t="s">
        <v>3231</v>
      </c>
      <c r="C79" s="8" t="s">
        <v>3127</v>
      </c>
      <c r="D79" s="8"/>
      <c r="E79" s="8" t="s">
        <v>3128</v>
      </c>
      <c r="F79" s="9" t="s">
        <v>3123</v>
      </c>
      <c r="G79" s="10">
        <v>44033</v>
      </c>
      <c r="H79" s="8" t="s">
        <v>34</v>
      </c>
      <c r="I79" s="11">
        <v>2500000</v>
      </c>
      <c r="J79" s="8" t="s">
        <v>236</v>
      </c>
      <c r="K79" s="8" t="s">
        <v>237</v>
      </c>
      <c r="L79" s="7">
        <v>2020</v>
      </c>
      <c r="M79" s="8" t="s">
        <v>181</v>
      </c>
      <c r="N79" s="11">
        <v>2500000</v>
      </c>
      <c r="O79" s="8" t="s">
        <v>241</v>
      </c>
      <c r="P79" s="8" t="s">
        <v>242</v>
      </c>
      <c r="Q79" s="8"/>
      <c r="R79" s="8"/>
    </row>
    <row r="80" spans="1:18" ht="26.15" customHeight="1">
      <c r="A80" s="7">
        <v>74</v>
      </c>
      <c r="B80" s="8" t="s">
        <v>3232</v>
      </c>
      <c r="C80" s="8" t="s">
        <v>3127</v>
      </c>
      <c r="D80" s="8"/>
      <c r="E80" s="8" t="s">
        <v>3128</v>
      </c>
      <c r="F80" s="9" t="s">
        <v>3123</v>
      </c>
      <c r="G80" s="10">
        <v>44033</v>
      </c>
      <c r="H80" s="8" t="s">
        <v>34</v>
      </c>
      <c r="I80" s="11">
        <v>2500000</v>
      </c>
      <c r="J80" s="8" t="s">
        <v>236</v>
      </c>
      <c r="K80" s="8" t="s">
        <v>237</v>
      </c>
      <c r="L80" s="7">
        <v>2020</v>
      </c>
      <c r="M80" s="8" t="s">
        <v>181</v>
      </c>
      <c r="N80" s="11">
        <v>2500000</v>
      </c>
      <c r="O80" s="8" t="s">
        <v>241</v>
      </c>
      <c r="P80" s="8" t="s">
        <v>242</v>
      </c>
      <c r="Q80" s="8"/>
      <c r="R80" s="8"/>
    </row>
    <row r="81" spans="1:18" ht="26.15" customHeight="1">
      <c r="A81" s="7">
        <v>75</v>
      </c>
      <c r="B81" s="8" t="s">
        <v>3233</v>
      </c>
      <c r="C81" s="8" t="s">
        <v>3127</v>
      </c>
      <c r="D81" s="8"/>
      <c r="E81" s="8" t="s">
        <v>3128</v>
      </c>
      <c r="F81" s="9" t="s">
        <v>3123</v>
      </c>
      <c r="G81" s="10">
        <v>44033</v>
      </c>
      <c r="H81" s="8" t="s">
        <v>34</v>
      </c>
      <c r="I81" s="11">
        <v>2500000</v>
      </c>
      <c r="J81" s="8" t="s">
        <v>236</v>
      </c>
      <c r="K81" s="8" t="s">
        <v>237</v>
      </c>
      <c r="L81" s="7">
        <v>2020</v>
      </c>
      <c r="M81" s="8" t="s">
        <v>181</v>
      </c>
      <c r="N81" s="11">
        <v>2500000</v>
      </c>
      <c r="O81" s="8" t="s">
        <v>241</v>
      </c>
      <c r="P81" s="8" t="s">
        <v>242</v>
      </c>
      <c r="Q81" s="8"/>
      <c r="R81" s="8"/>
    </row>
    <row r="82" spans="1:18" ht="26.15" customHeight="1">
      <c r="A82" s="7">
        <v>76</v>
      </c>
      <c r="B82" s="8" t="s">
        <v>3234</v>
      </c>
      <c r="C82" s="8" t="s">
        <v>3114</v>
      </c>
      <c r="D82" s="8" t="s">
        <v>3235</v>
      </c>
      <c r="E82" s="8" t="s">
        <v>3116</v>
      </c>
      <c r="F82" s="9" t="s">
        <v>3123</v>
      </c>
      <c r="G82" s="10">
        <v>44033</v>
      </c>
      <c r="H82" s="8" t="s">
        <v>34</v>
      </c>
      <c r="I82" s="11">
        <v>2500000</v>
      </c>
      <c r="J82" s="8" t="s">
        <v>236</v>
      </c>
      <c r="K82" s="8" t="s">
        <v>237</v>
      </c>
      <c r="L82" s="7">
        <v>2020</v>
      </c>
      <c r="M82" s="8" t="s">
        <v>181</v>
      </c>
      <c r="N82" s="11">
        <v>2500000</v>
      </c>
      <c r="O82" s="8" t="s">
        <v>241</v>
      </c>
      <c r="P82" s="8" t="s">
        <v>242</v>
      </c>
      <c r="Q82" s="8"/>
      <c r="R82" s="8" t="s">
        <v>128</v>
      </c>
    </row>
    <row r="83" spans="1:18" ht="26.15" customHeight="1">
      <c r="A83" s="7">
        <v>77</v>
      </c>
      <c r="B83" s="8" t="s">
        <v>3236</v>
      </c>
      <c r="C83" s="8" t="s">
        <v>3127</v>
      </c>
      <c r="D83" s="8"/>
      <c r="E83" s="8" t="s">
        <v>3128</v>
      </c>
      <c r="F83" s="9" t="s">
        <v>3123</v>
      </c>
      <c r="G83" s="10">
        <v>44033</v>
      </c>
      <c r="H83" s="8" t="s">
        <v>34</v>
      </c>
      <c r="I83" s="11">
        <v>2500000</v>
      </c>
      <c r="J83" s="8" t="s">
        <v>236</v>
      </c>
      <c r="K83" s="8" t="s">
        <v>237</v>
      </c>
      <c r="L83" s="7">
        <v>2020</v>
      </c>
      <c r="M83" s="8" t="s">
        <v>181</v>
      </c>
      <c r="N83" s="11">
        <v>2500000</v>
      </c>
      <c r="O83" s="8" t="s">
        <v>241</v>
      </c>
      <c r="P83" s="8" t="s">
        <v>242</v>
      </c>
      <c r="Q83" s="8"/>
      <c r="R83" s="8"/>
    </row>
    <row r="84" spans="1:18" ht="26.15" customHeight="1">
      <c r="A84" s="7">
        <v>78</v>
      </c>
      <c r="B84" s="8" t="s">
        <v>3124</v>
      </c>
      <c r="C84" s="8" t="s">
        <v>3114</v>
      </c>
      <c r="D84" s="8" t="s">
        <v>3125</v>
      </c>
      <c r="E84" s="8" t="s">
        <v>3116</v>
      </c>
      <c r="F84" s="9" t="s">
        <v>3123</v>
      </c>
      <c r="G84" s="10">
        <v>44033</v>
      </c>
      <c r="H84" s="8" t="s">
        <v>34</v>
      </c>
      <c r="I84" s="11">
        <v>2500000</v>
      </c>
      <c r="J84" s="8" t="s">
        <v>236</v>
      </c>
      <c r="K84" s="8" t="s">
        <v>237</v>
      </c>
      <c r="L84" s="7">
        <v>2020</v>
      </c>
      <c r="M84" s="8" t="s">
        <v>181</v>
      </c>
      <c r="N84" s="11">
        <v>2500000</v>
      </c>
      <c r="O84" s="8" t="s">
        <v>241</v>
      </c>
      <c r="P84" s="8" t="s">
        <v>242</v>
      </c>
      <c r="Q84" s="8"/>
      <c r="R84" s="8" t="s">
        <v>3126</v>
      </c>
    </row>
    <row r="85" spans="1:18" ht="26.15" customHeight="1">
      <c r="A85" s="7">
        <v>79</v>
      </c>
      <c r="B85" s="8" t="s">
        <v>1091</v>
      </c>
      <c r="C85" s="8" t="s">
        <v>3139</v>
      </c>
      <c r="D85" s="8" t="s">
        <v>3237</v>
      </c>
      <c r="E85" s="8" t="s">
        <v>3116</v>
      </c>
      <c r="F85" s="9" t="s">
        <v>3123</v>
      </c>
      <c r="G85" s="10">
        <v>44033</v>
      </c>
      <c r="H85" s="8" t="s">
        <v>34</v>
      </c>
      <c r="I85" s="11">
        <v>2500000</v>
      </c>
      <c r="J85" s="8" t="s">
        <v>236</v>
      </c>
      <c r="K85" s="8" t="s">
        <v>237</v>
      </c>
      <c r="L85" s="7">
        <v>2020</v>
      </c>
      <c r="M85" s="8" t="s">
        <v>181</v>
      </c>
      <c r="N85" s="11">
        <v>2500000</v>
      </c>
      <c r="O85" s="8" t="s">
        <v>241</v>
      </c>
      <c r="P85" s="8" t="s">
        <v>242</v>
      </c>
      <c r="Q85" s="8"/>
      <c r="R85" s="8" t="s">
        <v>3138</v>
      </c>
    </row>
    <row r="86" spans="1:18" ht="26.15" customHeight="1">
      <c r="A86" s="7">
        <v>80</v>
      </c>
      <c r="B86" s="8" t="s">
        <v>3238</v>
      </c>
      <c r="C86" s="8" t="s">
        <v>3127</v>
      </c>
      <c r="D86" s="8"/>
      <c r="E86" s="8" t="s">
        <v>3128</v>
      </c>
      <c r="F86" s="9" t="s">
        <v>3123</v>
      </c>
      <c r="G86" s="10">
        <v>44033</v>
      </c>
      <c r="H86" s="8" t="s">
        <v>34</v>
      </c>
      <c r="I86" s="11">
        <v>2500000</v>
      </c>
      <c r="J86" s="8" t="s">
        <v>236</v>
      </c>
      <c r="K86" s="8" t="s">
        <v>237</v>
      </c>
      <c r="L86" s="7">
        <v>2020</v>
      </c>
      <c r="M86" s="8" t="s">
        <v>181</v>
      </c>
      <c r="N86" s="11">
        <v>2500000</v>
      </c>
      <c r="O86" s="8" t="s">
        <v>241</v>
      </c>
      <c r="P86" s="8" t="s">
        <v>242</v>
      </c>
      <c r="Q86" s="8"/>
      <c r="R86" s="8"/>
    </row>
    <row r="87" spans="1:18" ht="26.15" customHeight="1">
      <c r="A87" s="7">
        <v>81</v>
      </c>
      <c r="B87" s="8" t="s">
        <v>3239</v>
      </c>
      <c r="C87" s="8" t="s">
        <v>3114</v>
      </c>
      <c r="D87" s="8" t="s">
        <v>3240</v>
      </c>
      <c r="E87" s="8" t="s">
        <v>3116</v>
      </c>
      <c r="F87" s="9" t="s">
        <v>3123</v>
      </c>
      <c r="G87" s="10">
        <v>44033</v>
      </c>
      <c r="H87" s="8" t="s">
        <v>34</v>
      </c>
      <c r="I87" s="11">
        <v>2500000</v>
      </c>
      <c r="J87" s="8" t="s">
        <v>236</v>
      </c>
      <c r="K87" s="8" t="s">
        <v>237</v>
      </c>
      <c r="L87" s="7">
        <v>2020</v>
      </c>
      <c r="M87" s="8" t="s">
        <v>181</v>
      </c>
      <c r="N87" s="11">
        <v>2500000</v>
      </c>
      <c r="O87" s="8" t="s">
        <v>241</v>
      </c>
      <c r="P87" s="8" t="s">
        <v>242</v>
      </c>
      <c r="Q87" s="8"/>
      <c r="R87" s="8" t="s">
        <v>79</v>
      </c>
    </row>
    <row r="88" spans="1:18" ht="26.15" customHeight="1">
      <c r="A88" s="7">
        <v>82</v>
      </c>
      <c r="B88" s="8" t="s">
        <v>3241</v>
      </c>
      <c r="C88" s="8" t="s">
        <v>3127</v>
      </c>
      <c r="D88" s="8"/>
      <c r="E88" s="8" t="s">
        <v>3128</v>
      </c>
      <c r="F88" s="9" t="s">
        <v>3123</v>
      </c>
      <c r="G88" s="10">
        <v>44033</v>
      </c>
      <c r="H88" s="8" t="s">
        <v>34</v>
      </c>
      <c r="I88" s="11">
        <v>2500000</v>
      </c>
      <c r="J88" s="8" t="s">
        <v>236</v>
      </c>
      <c r="K88" s="8" t="s">
        <v>237</v>
      </c>
      <c r="L88" s="7">
        <v>2020</v>
      </c>
      <c r="M88" s="8" t="s">
        <v>181</v>
      </c>
      <c r="N88" s="11">
        <v>2500000</v>
      </c>
      <c r="O88" s="8" t="s">
        <v>241</v>
      </c>
      <c r="P88" s="8" t="s">
        <v>242</v>
      </c>
      <c r="Q88" s="8"/>
      <c r="R88" s="8"/>
    </row>
    <row r="89" spans="1:18" ht="26.15" customHeight="1">
      <c r="A89" s="7">
        <v>83</v>
      </c>
      <c r="B89" s="8" t="s">
        <v>3242</v>
      </c>
      <c r="C89" s="8" t="s">
        <v>3114</v>
      </c>
      <c r="D89" s="8" t="s">
        <v>3243</v>
      </c>
      <c r="E89" s="8" t="s">
        <v>3116</v>
      </c>
      <c r="F89" s="9" t="s">
        <v>3123</v>
      </c>
      <c r="G89" s="10">
        <v>44033</v>
      </c>
      <c r="H89" s="8" t="s">
        <v>34</v>
      </c>
      <c r="I89" s="11">
        <v>2500000</v>
      </c>
      <c r="J89" s="8" t="s">
        <v>236</v>
      </c>
      <c r="K89" s="8" t="s">
        <v>237</v>
      </c>
      <c r="L89" s="7">
        <v>2020</v>
      </c>
      <c r="M89" s="8" t="s">
        <v>181</v>
      </c>
      <c r="N89" s="11">
        <v>2500000</v>
      </c>
      <c r="O89" s="8" t="s">
        <v>241</v>
      </c>
      <c r="P89" s="8" t="s">
        <v>242</v>
      </c>
      <c r="Q89" s="8"/>
      <c r="R89" s="8" t="s">
        <v>79</v>
      </c>
    </row>
    <row r="90" spans="1:18" ht="26.15" customHeight="1">
      <c r="A90" s="7">
        <v>84</v>
      </c>
      <c r="B90" s="8" t="s">
        <v>3244</v>
      </c>
      <c r="C90" s="8" t="s">
        <v>3127</v>
      </c>
      <c r="D90" s="8"/>
      <c r="E90" s="8" t="s">
        <v>3128</v>
      </c>
      <c r="F90" s="9" t="s">
        <v>3123</v>
      </c>
      <c r="G90" s="10">
        <v>44033</v>
      </c>
      <c r="H90" s="8" t="s">
        <v>34</v>
      </c>
      <c r="I90" s="11">
        <v>2500000</v>
      </c>
      <c r="J90" s="8" t="s">
        <v>236</v>
      </c>
      <c r="K90" s="8" t="s">
        <v>237</v>
      </c>
      <c r="L90" s="7">
        <v>2020</v>
      </c>
      <c r="M90" s="8" t="s">
        <v>181</v>
      </c>
      <c r="N90" s="11">
        <v>2500000</v>
      </c>
      <c r="O90" s="8" t="s">
        <v>241</v>
      </c>
      <c r="P90" s="8" t="s">
        <v>242</v>
      </c>
      <c r="Q90" s="8"/>
      <c r="R90" s="8"/>
    </row>
    <row r="91" spans="1:18" ht="26.15" customHeight="1">
      <c r="A91" s="7">
        <v>85</v>
      </c>
      <c r="B91" s="8" t="s">
        <v>3245</v>
      </c>
      <c r="C91" s="8" t="s">
        <v>3127</v>
      </c>
      <c r="D91" s="8"/>
      <c r="E91" s="8" t="s">
        <v>3128</v>
      </c>
      <c r="F91" s="9" t="s">
        <v>3123</v>
      </c>
      <c r="G91" s="10">
        <v>44033</v>
      </c>
      <c r="H91" s="8" t="s">
        <v>34</v>
      </c>
      <c r="I91" s="11">
        <v>2500000</v>
      </c>
      <c r="J91" s="8" t="s">
        <v>236</v>
      </c>
      <c r="K91" s="8" t="s">
        <v>237</v>
      </c>
      <c r="L91" s="7">
        <v>2020</v>
      </c>
      <c r="M91" s="8" t="s">
        <v>181</v>
      </c>
      <c r="N91" s="11">
        <v>2500000</v>
      </c>
      <c r="O91" s="8" t="s">
        <v>241</v>
      </c>
      <c r="P91" s="8" t="s">
        <v>242</v>
      </c>
      <c r="Q91" s="8"/>
      <c r="R91" s="8"/>
    </row>
    <row r="92" spans="1:18" ht="26.15" customHeight="1">
      <c r="A92" s="7">
        <v>86</v>
      </c>
      <c r="B92" s="8" t="s">
        <v>3246</v>
      </c>
      <c r="C92" s="8" t="s">
        <v>3127</v>
      </c>
      <c r="D92" s="8"/>
      <c r="E92" s="8" t="s">
        <v>3128</v>
      </c>
      <c r="F92" s="9" t="s">
        <v>3123</v>
      </c>
      <c r="G92" s="10">
        <v>44033</v>
      </c>
      <c r="H92" s="8" t="s">
        <v>34</v>
      </c>
      <c r="I92" s="11">
        <v>2500000</v>
      </c>
      <c r="J92" s="8" t="s">
        <v>236</v>
      </c>
      <c r="K92" s="8" t="s">
        <v>237</v>
      </c>
      <c r="L92" s="7">
        <v>2020</v>
      </c>
      <c r="M92" s="8" t="s">
        <v>181</v>
      </c>
      <c r="N92" s="11">
        <v>2500000</v>
      </c>
      <c r="O92" s="8" t="s">
        <v>241</v>
      </c>
      <c r="P92" s="8" t="s">
        <v>242</v>
      </c>
      <c r="Q92" s="8"/>
      <c r="R92" s="8"/>
    </row>
    <row r="93" spans="1:18" ht="26.15" customHeight="1">
      <c r="A93" s="7">
        <v>87</v>
      </c>
      <c r="B93" s="8" t="s">
        <v>3247</v>
      </c>
      <c r="C93" s="8" t="s">
        <v>3127</v>
      </c>
      <c r="D93" s="8"/>
      <c r="E93" s="8" t="s">
        <v>3128</v>
      </c>
      <c r="F93" s="9" t="s">
        <v>3123</v>
      </c>
      <c r="G93" s="10">
        <v>44033</v>
      </c>
      <c r="H93" s="8" t="s">
        <v>34</v>
      </c>
      <c r="I93" s="11">
        <v>2500000</v>
      </c>
      <c r="J93" s="8" t="s">
        <v>236</v>
      </c>
      <c r="K93" s="8" t="s">
        <v>237</v>
      </c>
      <c r="L93" s="7">
        <v>2020</v>
      </c>
      <c r="M93" s="8" t="s">
        <v>181</v>
      </c>
      <c r="N93" s="11">
        <v>2500000</v>
      </c>
      <c r="O93" s="8" t="s">
        <v>241</v>
      </c>
      <c r="P93" s="8" t="s">
        <v>242</v>
      </c>
      <c r="Q93" s="8"/>
      <c r="R93" s="8"/>
    </row>
    <row r="94" spans="1:18" ht="26.15" customHeight="1">
      <c r="A94" s="7">
        <v>88</v>
      </c>
      <c r="B94" s="8" t="s">
        <v>3248</v>
      </c>
      <c r="C94" s="8" t="s">
        <v>3127</v>
      </c>
      <c r="D94" s="8"/>
      <c r="E94" s="8" t="s">
        <v>3128</v>
      </c>
      <c r="F94" s="9" t="s">
        <v>3123</v>
      </c>
      <c r="G94" s="10">
        <v>44033</v>
      </c>
      <c r="H94" s="8" t="s">
        <v>34</v>
      </c>
      <c r="I94" s="11">
        <v>2500000</v>
      </c>
      <c r="J94" s="8" t="s">
        <v>236</v>
      </c>
      <c r="K94" s="8" t="s">
        <v>237</v>
      </c>
      <c r="L94" s="7">
        <v>2020</v>
      </c>
      <c r="M94" s="8" t="s">
        <v>181</v>
      </c>
      <c r="N94" s="11">
        <v>2500000</v>
      </c>
      <c r="O94" s="8" t="s">
        <v>241</v>
      </c>
      <c r="P94" s="8" t="s">
        <v>242</v>
      </c>
      <c r="Q94" s="8"/>
      <c r="R94" s="8"/>
    </row>
    <row r="95" spans="1:18" ht="26.15" customHeight="1">
      <c r="A95" s="7">
        <v>89</v>
      </c>
      <c r="B95" s="8" t="s">
        <v>3249</v>
      </c>
      <c r="C95" s="8" t="s">
        <v>3127</v>
      </c>
      <c r="D95" s="8"/>
      <c r="E95" s="8" t="s">
        <v>3128</v>
      </c>
      <c r="F95" s="9" t="s">
        <v>3123</v>
      </c>
      <c r="G95" s="10">
        <v>44033</v>
      </c>
      <c r="H95" s="8" t="s">
        <v>34</v>
      </c>
      <c r="I95" s="11">
        <v>2500000</v>
      </c>
      <c r="J95" s="8" t="s">
        <v>236</v>
      </c>
      <c r="K95" s="8" t="s">
        <v>237</v>
      </c>
      <c r="L95" s="7">
        <v>2020</v>
      </c>
      <c r="M95" s="8" t="s">
        <v>181</v>
      </c>
      <c r="N95" s="11">
        <v>2500000</v>
      </c>
      <c r="O95" s="8" t="s">
        <v>241</v>
      </c>
      <c r="P95" s="8" t="s">
        <v>242</v>
      </c>
      <c r="Q95" s="8"/>
      <c r="R95" s="8"/>
    </row>
    <row r="96" spans="1:18" ht="26.15" customHeight="1">
      <c r="A96" s="7">
        <v>90</v>
      </c>
      <c r="B96" s="8" t="s">
        <v>3250</v>
      </c>
      <c r="C96" s="8" t="s">
        <v>3127</v>
      </c>
      <c r="D96" s="8"/>
      <c r="E96" s="8" t="s">
        <v>3128</v>
      </c>
      <c r="F96" s="9" t="s">
        <v>3123</v>
      </c>
      <c r="G96" s="10">
        <v>44033</v>
      </c>
      <c r="H96" s="8" t="s">
        <v>34</v>
      </c>
      <c r="I96" s="11">
        <v>2500000</v>
      </c>
      <c r="J96" s="8" t="s">
        <v>236</v>
      </c>
      <c r="K96" s="8" t="s">
        <v>237</v>
      </c>
      <c r="L96" s="7">
        <v>2020</v>
      </c>
      <c r="M96" s="8" t="s">
        <v>181</v>
      </c>
      <c r="N96" s="11">
        <v>2500000</v>
      </c>
      <c r="O96" s="8" t="s">
        <v>241</v>
      </c>
      <c r="P96" s="8" t="s">
        <v>242</v>
      </c>
      <c r="Q96" s="8"/>
      <c r="R96" s="8"/>
    </row>
    <row r="97" spans="1:18" ht="26.15" customHeight="1">
      <c r="A97" s="7">
        <v>91</v>
      </c>
      <c r="B97" s="8" t="s">
        <v>3251</v>
      </c>
      <c r="C97" s="8" t="s">
        <v>3127</v>
      </c>
      <c r="D97" s="8"/>
      <c r="E97" s="8" t="s">
        <v>3128</v>
      </c>
      <c r="F97" s="9" t="s">
        <v>3123</v>
      </c>
      <c r="G97" s="10">
        <v>44033</v>
      </c>
      <c r="H97" s="8" t="s">
        <v>34</v>
      </c>
      <c r="I97" s="11">
        <v>2500000</v>
      </c>
      <c r="J97" s="8" t="s">
        <v>236</v>
      </c>
      <c r="K97" s="8" t="s">
        <v>237</v>
      </c>
      <c r="L97" s="7">
        <v>2020</v>
      </c>
      <c r="M97" s="8" t="s">
        <v>181</v>
      </c>
      <c r="N97" s="11">
        <v>2500000</v>
      </c>
      <c r="O97" s="8" t="s">
        <v>241</v>
      </c>
      <c r="P97" s="8" t="s">
        <v>242</v>
      </c>
      <c r="Q97" s="8"/>
      <c r="R97" s="8"/>
    </row>
    <row r="98" spans="1:18" ht="26.15" customHeight="1">
      <c r="A98" s="7">
        <v>92</v>
      </c>
      <c r="B98" s="8" t="s">
        <v>3252</v>
      </c>
      <c r="C98" s="8" t="s">
        <v>3127</v>
      </c>
      <c r="D98" s="8"/>
      <c r="E98" s="8" t="s">
        <v>3128</v>
      </c>
      <c r="F98" s="9" t="s">
        <v>3123</v>
      </c>
      <c r="G98" s="10">
        <v>44033</v>
      </c>
      <c r="H98" s="8" t="s">
        <v>34</v>
      </c>
      <c r="I98" s="11">
        <v>2500000</v>
      </c>
      <c r="J98" s="8" t="s">
        <v>236</v>
      </c>
      <c r="K98" s="8" t="s">
        <v>237</v>
      </c>
      <c r="L98" s="7">
        <v>2020</v>
      </c>
      <c r="M98" s="8" t="s">
        <v>181</v>
      </c>
      <c r="N98" s="11">
        <v>2500000</v>
      </c>
      <c r="O98" s="8" t="s">
        <v>241</v>
      </c>
      <c r="P98" s="8" t="s">
        <v>242</v>
      </c>
      <c r="Q98" s="8"/>
      <c r="R98" s="8"/>
    </row>
    <row r="99" spans="1:18" ht="26.15" customHeight="1">
      <c r="A99" s="7">
        <v>93</v>
      </c>
      <c r="B99" s="8" t="s">
        <v>3253</v>
      </c>
      <c r="C99" s="8" t="s">
        <v>3127</v>
      </c>
      <c r="D99" s="8"/>
      <c r="E99" s="8" t="s">
        <v>3128</v>
      </c>
      <c r="F99" s="9" t="s">
        <v>3123</v>
      </c>
      <c r="G99" s="10">
        <v>44033</v>
      </c>
      <c r="H99" s="8" t="s">
        <v>34</v>
      </c>
      <c r="I99" s="11">
        <v>2500000</v>
      </c>
      <c r="J99" s="8" t="s">
        <v>236</v>
      </c>
      <c r="K99" s="8" t="s">
        <v>237</v>
      </c>
      <c r="L99" s="7">
        <v>2020</v>
      </c>
      <c r="M99" s="8" t="s">
        <v>181</v>
      </c>
      <c r="N99" s="11">
        <v>2500000</v>
      </c>
      <c r="O99" s="8" t="s">
        <v>241</v>
      </c>
      <c r="P99" s="8" t="s">
        <v>242</v>
      </c>
      <c r="Q99" s="8"/>
      <c r="R99" s="8"/>
    </row>
    <row r="100" spans="1:18" ht="26.15" customHeight="1">
      <c r="A100" s="7">
        <v>94</v>
      </c>
      <c r="B100" s="8" t="s">
        <v>247</v>
      </c>
      <c r="C100" s="8" t="s">
        <v>3114</v>
      </c>
      <c r="D100" s="8" t="s">
        <v>3254</v>
      </c>
      <c r="E100" s="8" t="s">
        <v>3116</v>
      </c>
      <c r="F100" s="9" t="s">
        <v>3117</v>
      </c>
      <c r="G100" s="10">
        <v>44026</v>
      </c>
      <c r="H100" s="8" t="s">
        <v>109</v>
      </c>
      <c r="I100" s="11">
        <v>10000000</v>
      </c>
      <c r="J100" s="8" t="s">
        <v>243</v>
      </c>
      <c r="K100" s="8" t="s">
        <v>244</v>
      </c>
      <c r="L100" s="7">
        <v>2018</v>
      </c>
      <c r="M100" s="8" t="s">
        <v>248</v>
      </c>
      <c r="N100" s="11">
        <v>10000000</v>
      </c>
      <c r="O100" s="8" t="s">
        <v>249</v>
      </c>
      <c r="P100" s="8" t="s">
        <v>250</v>
      </c>
      <c r="Q100" s="8"/>
      <c r="R100" s="8" t="s">
        <v>3255</v>
      </c>
    </row>
    <row r="101" spans="1:18" ht="26.15" customHeight="1">
      <c r="A101" s="7">
        <v>95</v>
      </c>
      <c r="B101" s="8" t="s">
        <v>3256</v>
      </c>
      <c r="C101" s="8" t="s">
        <v>3114</v>
      </c>
      <c r="D101" s="8" t="s">
        <v>3257</v>
      </c>
      <c r="E101" s="8" t="s">
        <v>3116</v>
      </c>
      <c r="F101" s="9" t="s">
        <v>3123</v>
      </c>
      <c r="G101" s="10">
        <v>44026</v>
      </c>
      <c r="H101" s="8" t="s">
        <v>109</v>
      </c>
      <c r="I101" s="11">
        <v>10000000</v>
      </c>
      <c r="J101" s="8" t="s">
        <v>243</v>
      </c>
      <c r="K101" s="8" t="s">
        <v>244</v>
      </c>
      <c r="L101" s="7">
        <v>2018</v>
      </c>
      <c r="M101" s="8" t="s">
        <v>248</v>
      </c>
      <c r="N101" s="11">
        <v>10000000</v>
      </c>
      <c r="O101" s="8" t="s">
        <v>249</v>
      </c>
      <c r="P101" s="8" t="s">
        <v>250</v>
      </c>
      <c r="Q101" s="8"/>
      <c r="R101" s="8" t="s">
        <v>369</v>
      </c>
    </row>
    <row r="102" spans="1:18" ht="26.15" customHeight="1">
      <c r="A102" s="7">
        <v>96</v>
      </c>
      <c r="B102" s="8" t="s">
        <v>3258</v>
      </c>
      <c r="C102" s="8"/>
      <c r="D102" s="8" t="s">
        <v>3259</v>
      </c>
      <c r="E102" s="8" t="s">
        <v>3116</v>
      </c>
      <c r="F102" s="9" t="s">
        <v>3123</v>
      </c>
      <c r="G102" s="10">
        <v>44026</v>
      </c>
      <c r="H102" s="8" t="s">
        <v>109</v>
      </c>
      <c r="I102" s="11">
        <v>10000000</v>
      </c>
      <c r="J102" s="8" t="s">
        <v>243</v>
      </c>
      <c r="K102" s="8" t="s">
        <v>244</v>
      </c>
      <c r="L102" s="7">
        <v>2018</v>
      </c>
      <c r="M102" s="8" t="s">
        <v>248</v>
      </c>
      <c r="N102" s="11">
        <v>10000000</v>
      </c>
      <c r="O102" s="8" t="s">
        <v>249</v>
      </c>
      <c r="P102" s="8" t="s">
        <v>250</v>
      </c>
      <c r="Q102" s="8"/>
      <c r="R102" s="8"/>
    </row>
    <row r="103" spans="1:18" ht="26.15" customHeight="1">
      <c r="A103" s="7">
        <v>97</v>
      </c>
      <c r="B103" s="8" t="s">
        <v>3260</v>
      </c>
      <c r="C103" s="8" t="s">
        <v>3114</v>
      </c>
      <c r="D103" s="8" t="s">
        <v>3261</v>
      </c>
      <c r="E103" s="8" t="s">
        <v>3116</v>
      </c>
      <c r="F103" s="9" t="s">
        <v>3123</v>
      </c>
      <c r="G103" s="10">
        <v>44026</v>
      </c>
      <c r="H103" s="8" t="s">
        <v>109</v>
      </c>
      <c r="I103" s="11">
        <v>10000000</v>
      </c>
      <c r="J103" s="8" t="s">
        <v>243</v>
      </c>
      <c r="K103" s="8" t="s">
        <v>244</v>
      </c>
      <c r="L103" s="7">
        <v>2018</v>
      </c>
      <c r="M103" s="8" t="s">
        <v>248</v>
      </c>
      <c r="N103" s="11">
        <v>10000000</v>
      </c>
      <c r="O103" s="8" t="s">
        <v>249</v>
      </c>
      <c r="P103" s="8" t="s">
        <v>250</v>
      </c>
      <c r="Q103" s="8"/>
      <c r="R103" s="8" t="s">
        <v>369</v>
      </c>
    </row>
    <row r="104" spans="1:18" ht="26.15" customHeight="1">
      <c r="A104" s="7">
        <v>98</v>
      </c>
      <c r="B104" s="8" t="s">
        <v>246</v>
      </c>
      <c r="C104" s="8" t="s">
        <v>3127</v>
      </c>
      <c r="D104" s="8"/>
      <c r="E104" s="8" t="s">
        <v>3128</v>
      </c>
      <c r="F104" s="9" t="s">
        <v>3123</v>
      </c>
      <c r="G104" s="10">
        <v>44026</v>
      </c>
      <c r="H104" s="8" t="s">
        <v>109</v>
      </c>
      <c r="I104" s="11">
        <v>10000000</v>
      </c>
      <c r="J104" s="8" t="s">
        <v>243</v>
      </c>
      <c r="K104" s="8" t="s">
        <v>244</v>
      </c>
      <c r="L104" s="7">
        <v>2018</v>
      </c>
      <c r="M104" s="8" t="s">
        <v>248</v>
      </c>
      <c r="N104" s="11">
        <v>10000000</v>
      </c>
      <c r="O104" s="8" t="s">
        <v>249</v>
      </c>
      <c r="P104" s="8" t="s">
        <v>250</v>
      </c>
      <c r="Q104" s="8"/>
      <c r="R104" s="8"/>
    </row>
    <row r="105" spans="1:18" ht="26.15" customHeight="1">
      <c r="A105" s="7">
        <v>99</v>
      </c>
      <c r="B105" s="8" t="s">
        <v>3262</v>
      </c>
      <c r="C105" s="8" t="s">
        <v>3114</v>
      </c>
      <c r="D105" s="8" t="s">
        <v>3263</v>
      </c>
      <c r="E105" s="8" t="s">
        <v>3116</v>
      </c>
      <c r="F105" s="9" t="s">
        <v>3117</v>
      </c>
      <c r="G105" s="10">
        <v>44026</v>
      </c>
      <c r="H105" s="8" t="s">
        <v>25</v>
      </c>
      <c r="I105" s="11">
        <v>28000000</v>
      </c>
      <c r="J105" s="8" t="s">
        <v>251</v>
      </c>
      <c r="K105" s="8" t="s">
        <v>252</v>
      </c>
      <c r="L105" s="7">
        <v>2006</v>
      </c>
      <c r="M105" s="8" t="s">
        <v>255</v>
      </c>
      <c r="N105" s="11">
        <v>37911025</v>
      </c>
      <c r="O105" s="8" t="s">
        <v>256</v>
      </c>
      <c r="P105" s="8" t="s">
        <v>257</v>
      </c>
      <c r="Q105" s="8"/>
      <c r="R105" s="8" t="s">
        <v>39</v>
      </c>
    </row>
    <row r="106" spans="1:18" ht="26.15" customHeight="1">
      <c r="A106" s="7">
        <v>100</v>
      </c>
      <c r="B106" s="8" t="s">
        <v>3174</v>
      </c>
      <c r="C106" s="8" t="s">
        <v>3114</v>
      </c>
      <c r="D106" s="8" t="s">
        <v>3175</v>
      </c>
      <c r="E106" s="8" t="s">
        <v>3116</v>
      </c>
      <c r="F106" s="9" t="s">
        <v>3117</v>
      </c>
      <c r="G106" s="10">
        <v>44026</v>
      </c>
      <c r="H106" s="8" t="s">
        <v>25</v>
      </c>
      <c r="I106" s="11">
        <v>28000000</v>
      </c>
      <c r="J106" s="8" t="s">
        <v>251</v>
      </c>
      <c r="K106" s="8" t="s">
        <v>252</v>
      </c>
      <c r="L106" s="7">
        <v>2006</v>
      </c>
      <c r="M106" s="8" t="s">
        <v>255</v>
      </c>
      <c r="N106" s="11">
        <v>37911025</v>
      </c>
      <c r="O106" s="8" t="s">
        <v>256</v>
      </c>
      <c r="P106" s="8" t="s">
        <v>257</v>
      </c>
      <c r="Q106" s="8"/>
      <c r="R106" s="8" t="s">
        <v>3176</v>
      </c>
    </row>
    <row r="107" spans="1:18" ht="26.15" customHeight="1">
      <c r="A107" s="7">
        <v>101</v>
      </c>
      <c r="B107" s="8" t="s">
        <v>3264</v>
      </c>
      <c r="C107" s="8" t="s">
        <v>3114</v>
      </c>
      <c r="D107" s="8" t="s">
        <v>3265</v>
      </c>
      <c r="E107" s="8" t="s">
        <v>3116</v>
      </c>
      <c r="F107" s="9" t="s">
        <v>3123</v>
      </c>
      <c r="G107" s="10">
        <v>44019</v>
      </c>
      <c r="H107" s="8" t="s">
        <v>34</v>
      </c>
      <c r="I107" s="11">
        <v>2000000</v>
      </c>
      <c r="J107" s="8" t="s">
        <v>259</v>
      </c>
      <c r="K107" s="8" t="s">
        <v>260</v>
      </c>
      <c r="L107" s="7">
        <v>2013</v>
      </c>
      <c r="M107" s="8" t="s">
        <v>79</v>
      </c>
      <c r="N107" s="11">
        <v>5345286</v>
      </c>
      <c r="O107" s="8" t="s">
        <v>264</v>
      </c>
      <c r="P107" s="8" t="s">
        <v>265</v>
      </c>
      <c r="Q107" s="8"/>
      <c r="R107" s="8" t="s">
        <v>3204</v>
      </c>
    </row>
    <row r="108" spans="1:18" ht="26.15" customHeight="1">
      <c r="A108" s="7">
        <v>102</v>
      </c>
      <c r="B108" s="8" t="s">
        <v>263</v>
      </c>
      <c r="C108" s="8" t="s">
        <v>3114</v>
      </c>
      <c r="D108" s="8" t="s">
        <v>3266</v>
      </c>
      <c r="E108" s="8" t="s">
        <v>3116</v>
      </c>
      <c r="F108" s="9" t="s">
        <v>3117</v>
      </c>
      <c r="G108" s="10">
        <v>44019</v>
      </c>
      <c r="H108" s="8" t="s">
        <v>34</v>
      </c>
      <c r="I108" s="11">
        <v>2000000</v>
      </c>
      <c r="J108" s="8" t="s">
        <v>259</v>
      </c>
      <c r="K108" s="8" t="s">
        <v>260</v>
      </c>
      <c r="L108" s="7">
        <v>2013</v>
      </c>
      <c r="M108" s="8" t="s">
        <v>79</v>
      </c>
      <c r="N108" s="11">
        <v>5345286</v>
      </c>
      <c r="O108" s="8" t="s">
        <v>264</v>
      </c>
      <c r="P108" s="8" t="s">
        <v>265</v>
      </c>
      <c r="Q108" s="8"/>
      <c r="R108" s="8" t="s">
        <v>3156</v>
      </c>
    </row>
    <row r="109" spans="1:18" ht="26.15" customHeight="1">
      <c r="A109" s="7">
        <v>103</v>
      </c>
      <c r="B109" s="8" t="s">
        <v>3267</v>
      </c>
      <c r="C109" s="8" t="s">
        <v>3114</v>
      </c>
      <c r="D109" s="8" t="s">
        <v>3268</v>
      </c>
      <c r="E109" s="8" t="s">
        <v>3116</v>
      </c>
      <c r="F109" s="9" t="s">
        <v>3123</v>
      </c>
      <c r="G109" s="10">
        <v>44019</v>
      </c>
      <c r="H109" s="8" t="s">
        <v>34</v>
      </c>
      <c r="I109" s="11">
        <v>2000000</v>
      </c>
      <c r="J109" s="8" t="s">
        <v>259</v>
      </c>
      <c r="K109" s="8" t="s">
        <v>260</v>
      </c>
      <c r="L109" s="7">
        <v>2013</v>
      </c>
      <c r="M109" s="8" t="s">
        <v>79</v>
      </c>
      <c r="N109" s="11">
        <v>5345286</v>
      </c>
      <c r="O109" s="8" t="s">
        <v>264</v>
      </c>
      <c r="P109" s="8" t="s">
        <v>265</v>
      </c>
      <c r="Q109" s="8"/>
      <c r="R109" s="8" t="s">
        <v>3269</v>
      </c>
    </row>
    <row r="110" spans="1:18" ht="26.15" customHeight="1">
      <c r="A110" s="7">
        <v>104</v>
      </c>
      <c r="B110" s="8" t="s">
        <v>3270</v>
      </c>
      <c r="C110" s="8" t="s">
        <v>3127</v>
      </c>
      <c r="D110" s="8"/>
      <c r="E110" s="8" t="s">
        <v>3128</v>
      </c>
      <c r="F110" s="9" t="s">
        <v>3123</v>
      </c>
      <c r="G110" s="10">
        <v>44019</v>
      </c>
      <c r="H110" s="8" t="s">
        <v>34</v>
      </c>
      <c r="I110" s="11">
        <v>2000000</v>
      </c>
      <c r="J110" s="8" t="s">
        <v>259</v>
      </c>
      <c r="K110" s="8" t="s">
        <v>260</v>
      </c>
      <c r="L110" s="7">
        <v>2013</v>
      </c>
      <c r="M110" s="8" t="s">
        <v>79</v>
      </c>
      <c r="N110" s="11">
        <v>5345286</v>
      </c>
      <c r="O110" s="8" t="s">
        <v>264</v>
      </c>
      <c r="P110" s="8" t="s">
        <v>265</v>
      </c>
      <c r="Q110" s="8"/>
      <c r="R110" s="8"/>
    </row>
    <row r="111" spans="1:18" ht="26.15" customHeight="1">
      <c r="A111" s="7">
        <v>105</v>
      </c>
      <c r="B111" s="8" t="s">
        <v>3271</v>
      </c>
      <c r="C111" s="8" t="s">
        <v>3127</v>
      </c>
      <c r="D111" s="8"/>
      <c r="E111" s="8" t="s">
        <v>3128</v>
      </c>
      <c r="F111" s="9" t="s">
        <v>3123</v>
      </c>
      <c r="G111" s="10">
        <v>44019</v>
      </c>
      <c r="H111" s="8" t="s">
        <v>34</v>
      </c>
      <c r="I111" s="11">
        <v>2000000</v>
      </c>
      <c r="J111" s="8" t="s">
        <v>259</v>
      </c>
      <c r="K111" s="8" t="s">
        <v>260</v>
      </c>
      <c r="L111" s="7">
        <v>2013</v>
      </c>
      <c r="M111" s="8" t="s">
        <v>79</v>
      </c>
      <c r="N111" s="11">
        <v>5345286</v>
      </c>
      <c r="O111" s="8" t="s">
        <v>264</v>
      </c>
      <c r="P111" s="8" t="s">
        <v>265</v>
      </c>
      <c r="Q111" s="8"/>
      <c r="R111" s="8"/>
    </row>
    <row r="112" spans="1:18" ht="26.15" customHeight="1">
      <c r="A112" s="7">
        <v>106</v>
      </c>
      <c r="B112" s="8" t="s">
        <v>3272</v>
      </c>
      <c r="C112" s="8"/>
      <c r="D112" s="8" t="s">
        <v>3273</v>
      </c>
      <c r="E112" s="8" t="s">
        <v>3116</v>
      </c>
      <c r="F112" s="9" t="s">
        <v>3117</v>
      </c>
      <c r="G112" s="10">
        <v>44018</v>
      </c>
      <c r="H112" s="8" t="s">
        <v>25</v>
      </c>
      <c r="I112" s="11">
        <v>14000000</v>
      </c>
      <c r="J112" s="8" t="s">
        <v>266</v>
      </c>
      <c r="K112" s="8" t="s">
        <v>267</v>
      </c>
      <c r="L112" s="7">
        <v>2008</v>
      </c>
      <c r="M112" s="8" t="s">
        <v>270</v>
      </c>
      <c r="N112" s="11">
        <v>14000000</v>
      </c>
      <c r="O112" s="8" t="s">
        <v>271</v>
      </c>
      <c r="P112" s="8" t="s">
        <v>272</v>
      </c>
      <c r="Q112" s="8"/>
      <c r="R112" s="8" t="s">
        <v>3274</v>
      </c>
    </row>
    <row r="113" spans="1:18" ht="26.15" customHeight="1">
      <c r="A113" s="7">
        <v>107</v>
      </c>
      <c r="B113" s="8" t="s">
        <v>3275</v>
      </c>
      <c r="C113" s="8" t="s">
        <v>3114</v>
      </c>
      <c r="D113" s="8" t="s">
        <v>3276</v>
      </c>
      <c r="E113" s="8" t="s">
        <v>3116</v>
      </c>
      <c r="F113" s="9" t="s">
        <v>3117</v>
      </c>
      <c r="G113" s="10">
        <v>44018</v>
      </c>
      <c r="H113" s="8" t="s">
        <v>25</v>
      </c>
      <c r="I113" s="11">
        <v>14000000</v>
      </c>
      <c r="J113" s="8" t="s">
        <v>266</v>
      </c>
      <c r="K113" s="8" t="s">
        <v>267</v>
      </c>
      <c r="L113" s="7">
        <v>2008</v>
      </c>
      <c r="M113" s="8" t="s">
        <v>270</v>
      </c>
      <c r="N113" s="11">
        <v>14000000</v>
      </c>
      <c r="O113" s="8" t="s">
        <v>271</v>
      </c>
      <c r="P113" s="8" t="s">
        <v>272</v>
      </c>
      <c r="Q113" s="8"/>
      <c r="R113" s="8" t="s">
        <v>3277</v>
      </c>
    </row>
    <row r="114" spans="1:18" ht="26.15" customHeight="1">
      <c r="A114" s="7">
        <v>108</v>
      </c>
      <c r="B114" s="8" t="s">
        <v>3278</v>
      </c>
      <c r="C114" s="8" t="s">
        <v>3139</v>
      </c>
      <c r="D114" s="8" t="s">
        <v>3279</v>
      </c>
      <c r="E114" s="8" t="s">
        <v>3116</v>
      </c>
      <c r="F114" s="9" t="s">
        <v>3117</v>
      </c>
      <c r="G114" s="10">
        <v>44018</v>
      </c>
      <c r="H114" s="8" t="s">
        <v>25</v>
      </c>
      <c r="I114" s="11">
        <v>14000000</v>
      </c>
      <c r="J114" s="8" t="s">
        <v>266</v>
      </c>
      <c r="K114" s="8" t="s">
        <v>267</v>
      </c>
      <c r="L114" s="7">
        <v>2008</v>
      </c>
      <c r="M114" s="8" t="s">
        <v>270</v>
      </c>
      <c r="N114" s="11">
        <v>14000000</v>
      </c>
      <c r="O114" s="8" t="s">
        <v>271</v>
      </c>
      <c r="P114" s="8" t="s">
        <v>272</v>
      </c>
      <c r="Q114" s="8"/>
      <c r="R114" s="8" t="s">
        <v>3280</v>
      </c>
    </row>
    <row r="115" spans="1:18" ht="26.15" customHeight="1">
      <c r="A115" s="7">
        <v>109</v>
      </c>
      <c r="B115" s="8" t="s">
        <v>277</v>
      </c>
      <c r="C115" s="8" t="s">
        <v>3114</v>
      </c>
      <c r="D115" s="8" t="s">
        <v>3281</v>
      </c>
      <c r="E115" s="8" t="s">
        <v>3116</v>
      </c>
      <c r="F115" s="9" t="s">
        <v>3117</v>
      </c>
      <c r="G115" s="10">
        <v>44018</v>
      </c>
      <c r="H115" s="8" t="s">
        <v>34</v>
      </c>
      <c r="I115" s="11" t="s">
        <v>50</v>
      </c>
      <c r="J115" s="8" t="s">
        <v>273</v>
      </c>
      <c r="K115" s="8" t="s">
        <v>274</v>
      </c>
      <c r="L115" s="7">
        <v>2019</v>
      </c>
      <c r="M115" s="8" t="s">
        <v>278</v>
      </c>
      <c r="N115" s="11"/>
      <c r="O115" s="8" t="s">
        <v>279</v>
      </c>
      <c r="P115" s="8" t="s">
        <v>280</v>
      </c>
      <c r="Q115" s="8"/>
      <c r="R115" s="8" t="s">
        <v>894</v>
      </c>
    </row>
    <row r="116" spans="1:18" ht="26.15" customHeight="1">
      <c r="A116" s="7">
        <v>110</v>
      </c>
      <c r="B116" s="8" t="s">
        <v>276</v>
      </c>
      <c r="C116" s="8" t="s">
        <v>3127</v>
      </c>
      <c r="D116" s="8"/>
      <c r="E116" s="8" t="s">
        <v>3128</v>
      </c>
      <c r="F116" s="9" t="s">
        <v>3123</v>
      </c>
      <c r="G116" s="10">
        <v>44018</v>
      </c>
      <c r="H116" s="8" t="s">
        <v>34</v>
      </c>
      <c r="I116" s="11" t="s">
        <v>50</v>
      </c>
      <c r="J116" s="8" t="s">
        <v>273</v>
      </c>
      <c r="K116" s="8" t="s">
        <v>274</v>
      </c>
      <c r="L116" s="7">
        <v>2019</v>
      </c>
      <c r="M116" s="8" t="s">
        <v>278</v>
      </c>
      <c r="N116" s="11"/>
      <c r="O116" s="8" t="s">
        <v>279</v>
      </c>
      <c r="P116" s="8" t="s">
        <v>280</v>
      </c>
      <c r="Q116" s="8"/>
      <c r="R116" s="8"/>
    </row>
    <row r="117" spans="1:18" ht="26.15" customHeight="1">
      <c r="A117" s="7">
        <v>111</v>
      </c>
      <c r="B117" s="8" t="s">
        <v>285</v>
      </c>
      <c r="C117" s="8" t="s">
        <v>3114</v>
      </c>
      <c r="D117" s="8" t="s">
        <v>3282</v>
      </c>
      <c r="E117" s="8" t="s">
        <v>3116</v>
      </c>
      <c r="F117" s="9" t="s">
        <v>3117</v>
      </c>
      <c r="G117" s="10">
        <v>44018</v>
      </c>
      <c r="H117" s="8" t="s">
        <v>34</v>
      </c>
      <c r="I117" s="11" t="s">
        <v>50</v>
      </c>
      <c r="J117" s="8" t="s">
        <v>281</v>
      </c>
      <c r="K117" s="8" t="s">
        <v>282</v>
      </c>
      <c r="L117" s="7">
        <v>2018</v>
      </c>
      <c r="M117" s="8" t="s">
        <v>286</v>
      </c>
      <c r="N117" s="11"/>
      <c r="O117" s="8" t="s">
        <v>287</v>
      </c>
      <c r="P117" s="8" t="s">
        <v>288</v>
      </c>
      <c r="Q117" s="8"/>
      <c r="R117" s="8" t="s">
        <v>313</v>
      </c>
    </row>
    <row r="118" spans="1:18" ht="26.15" customHeight="1">
      <c r="A118" s="7">
        <v>112</v>
      </c>
      <c r="B118" s="8" t="s">
        <v>3283</v>
      </c>
      <c r="C118" s="8" t="s">
        <v>3127</v>
      </c>
      <c r="D118" s="8"/>
      <c r="E118" s="8" t="s">
        <v>3128</v>
      </c>
      <c r="F118" s="9" t="s">
        <v>3123</v>
      </c>
      <c r="G118" s="10">
        <v>44018</v>
      </c>
      <c r="H118" s="8" t="s">
        <v>34</v>
      </c>
      <c r="I118" s="11" t="s">
        <v>50</v>
      </c>
      <c r="J118" s="8" t="s">
        <v>281</v>
      </c>
      <c r="K118" s="8" t="s">
        <v>282</v>
      </c>
      <c r="L118" s="7">
        <v>2018</v>
      </c>
      <c r="M118" s="8" t="s">
        <v>286</v>
      </c>
      <c r="N118" s="11"/>
      <c r="O118" s="8" t="s">
        <v>287</v>
      </c>
      <c r="P118" s="8" t="s">
        <v>288</v>
      </c>
      <c r="Q118" s="8"/>
      <c r="R118" s="8"/>
    </row>
    <row r="119" spans="1:18" ht="26.15" customHeight="1">
      <c r="A119" s="7">
        <v>113</v>
      </c>
      <c r="B119" s="8" t="s">
        <v>3284</v>
      </c>
      <c r="C119" s="8" t="s">
        <v>3127</v>
      </c>
      <c r="D119" s="8"/>
      <c r="E119" s="8" t="s">
        <v>3128</v>
      </c>
      <c r="F119" s="9" t="s">
        <v>3123</v>
      </c>
      <c r="G119" s="10">
        <v>44018</v>
      </c>
      <c r="H119" s="8" t="s">
        <v>34</v>
      </c>
      <c r="I119" s="11" t="s">
        <v>50</v>
      </c>
      <c r="J119" s="8" t="s">
        <v>281</v>
      </c>
      <c r="K119" s="8" t="s">
        <v>282</v>
      </c>
      <c r="L119" s="7">
        <v>2018</v>
      </c>
      <c r="M119" s="8" t="s">
        <v>286</v>
      </c>
      <c r="N119" s="11"/>
      <c r="O119" s="8" t="s">
        <v>287</v>
      </c>
      <c r="P119" s="8" t="s">
        <v>288</v>
      </c>
      <c r="Q119" s="8"/>
      <c r="R119" s="8"/>
    </row>
    <row r="120" spans="1:18" ht="26.15" customHeight="1">
      <c r="A120" s="7">
        <v>114</v>
      </c>
      <c r="B120" s="8" t="s">
        <v>3285</v>
      </c>
      <c r="C120" s="8" t="s">
        <v>3127</v>
      </c>
      <c r="D120" s="8"/>
      <c r="E120" s="8" t="s">
        <v>3128</v>
      </c>
      <c r="F120" s="9" t="s">
        <v>3123</v>
      </c>
      <c r="G120" s="10">
        <v>44018</v>
      </c>
      <c r="H120" s="8" t="s">
        <v>34</v>
      </c>
      <c r="I120" s="11" t="s">
        <v>50</v>
      </c>
      <c r="J120" s="8" t="s">
        <v>281</v>
      </c>
      <c r="K120" s="8" t="s">
        <v>282</v>
      </c>
      <c r="L120" s="7">
        <v>2018</v>
      </c>
      <c r="M120" s="8" t="s">
        <v>286</v>
      </c>
      <c r="N120" s="11"/>
      <c r="O120" s="8" t="s">
        <v>287</v>
      </c>
      <c r="P120" s="8" t="s">
        <v>288</v>
      </c>
      <c r="Q120" s="8"/>
      <c r="R120" s="8"/>
    </row>
    <row r="121" spans="1:18" ht="26.15" customHeight="1">
      <c r="A121" s="7">
        <v>115</v>
      </c>
      <c r="B121" s="8" t="s">
        <v>3286</v>
      </c>
      <c r="C121" s="8" t="s">
        <v>3114</v>
      </c>
      <c r="D121" s="8" t="s">
        <v>3287</v>
      </c>
      <c r="E121" s="8" t="s">
        <v>3116</v>
      </c>
      <c r="F121" s="9" t="s">
        <v>3123</v>
      </c>
      <c r="G121" s="10">
        <v>44004</v>
      </c>
      <c r="H121" s="8" t="s">
        <v>34</v>
      </c>
      <c r="I121" s="11">
        <v>1000000</v>
      </c>
      <c r="J121" s="8" t="s">
        <v>296</v>
      </c>
      <c r="K121" s="8" t="s">
        <v>297</v>
      </c>
      <c r="L121" s="7">
        <v>2018</v>
      </c>
      <c r="M121" s="8" t="s">
        <v>299</v>
      </c>
      <c r="N121" s="11">
        <v>1500000</v>
      </c>
      <c r="O121" s="8" t="s">
        <v>300</v>
      </c>
      <c r="P121" s="8" t="s">
        <v>301</v>
      </c>
      <c r="Q121" s="8"/>
      <c r="R121" s="8" t="s">
        <v>1487</v>
      </c>
    </row>
    <row r="122" spans="1:18" ht="26.15" customHeight="1">
      <c r="A122" s="7">
        <v>116</v>
      </c>
      <c r="B122" s="8" t="s">
        <v>3288</v>
      </c>
      <c r="C122" s="8" t="s">
        <v>3139</v>
      </c>
      <c r="D122" s="8" t="s">
        <v>3288</v>
      </c>
      <c r="E122" s="8" t="s">
        <v>3116</v>
      </c>
      <c r="F122" s="9" t="s">
        <v>3123</v>
      </c>
      <c r="G122" s="10">
        <v>44004</v>
      </c>
      <c r="H122" s="8" t="s">
        <v>34</v>
      </c>
      <c r="I122" s="11">
        <v>1000000</v>
      </c>
      <c r="J122" s="8" t="s">
        <v>296</v>
      </c>
      <c r="K122" s="8" t="s">
        <v>297</v>
      </c>
      <c r="L122" s="7">
        <v>2018</v>
      </c>
      <c r="M122" s="8" t="s">
        <v>299</v>
      </c>
      <c r="N122" s="11">
        <v>1500000</v>
      </c>
      <c r="O122" s="8" t="s">
        <v>300</v>
      </c>
      <c r="P122" s="8" t="s">
        <v>301</v>
      </c>
      <c r="Q122" s="8"/>
      <c r="R122" s="8"/>
    </row>
    <row r="123" spans="1:18" ht="26.15" customHeight="1">
      <c r="A123" s="7">
        <v>117</v>
      </c>
      <c r="B123" s="8" t="s">
        <v>3289</v>
      </c>
      <c r="C123" s="8" t="s">
        <v>3114</v>
      </c>
      <c r="D123" s="8" t="s">
        <v>3290</v>
      </c>
      <c r="E123" s="8" t="s">
        <v>3116</v>
      </c>
      <c r="F123" s="9" t="s">
        <v>3123</v>
      </c>
      <c r="G123" s="10">
        <v>44004</v>
      </c>
      <c r="H123" s="8" t="s">
        <v>34</v>
      </c>
      <c r="I123" s="11">
        <v>1000000</v>
      </c>
      <c r="J123" s="8" t="s">
        <v>296</v>
      </c>
      <c r="K123" s="8" t="s">
        <v>297</v>
      </c>
      <c r="L123" s="7">
        <v>2018</v>
      </c>
      <c r="M123" s="8" t="s">
        <v>299</v>
      </c>
      <c r="N123" s="11">
        <v>1500000</v>
      </c>
      <c r="O123" s="8" t="s">
        <v>300</v>
      </c>
      <c r="P123" s="8" t="s">
        <v>301</v>
      </c>
      <c r="Q123" s="8"/>
      <c r="R123" s="8" t="s">
        <v>1487</v>
      </c>
    </row>
    <row r="124" spans="1:18" ht="26.15" customHeight="1">
      <c r="A124" s="7">
        <v>118</v>
      </c>
      <c r="B124" s="8" t="s">
        <v>3291</v>
      </c>
      <c r="C124" s="8" t="s">
        <v>3114</v>
      </c>
      <c r="D124" s="8" t="s">
        <v>3292</v>
      </c>
      <c r="E124" s="8" t="s">
        <v>3116</v>
      </c>
      <c r="F124" s="9" t="s">
        <v>3123</v>
      </c>
      <c r="G124" s="10">
        <v>44004</v>
      </c>
      <c r="H124" s="8" t="s">
        <v>34</v>
      </c>
      <c r="I124" s="11">
        <v>1000000</v>
      </c>
      <c r="J124" s="8" t="s">
        <v>296</v>
      </c>
      <c r="K124" s="8" t="s">
        <v>297</v>
      </c>
      <c r="L124" s="7">
        <v>2018</v>
      </c>
      <c r="M124" s="8" t="s">
        <v>299</v>
      </c>
      <c r="N124" s="11">
        <v>1500000</v>
      </c>
      <c r="O124" s="8" t="s">
        <v>300</v>
      </c>
      <c r="P124" s="8" t="s">
        <v>301</v>
      </c>
      <c r="Q124" s="8"/>
      <c r="R124" s="8" t="s">
        <v>3204</v>
      </c>
    </row>
    <row r="125" spans="1:18" ht="26.15" customHeight="1">
      <c r="A125" s="7">
        <v>119</v>
      </c>
      <c r="B125" s="8" t="s">
        <v>3293</v>
      </c>
      <c r="C125" s="8"/>
      <c r="D125" s="8" t="s">
        <v>3294</v>
      </c>
      <c r="E125" s="8" t="s">
        <v>3116</v>
      </c>
      <c r="F125" s="9" t="s">
        <v>3123</v>
      </c>
      <c r="G125" s="10">
        <v>44004</v>
      </c>
      <c r="H125" s="8" t="s">
        <v>34</v>
      </c>
      <c r="I125" s="11">
        <v>1000000</v>
      </c>
      <c r="J125" s="8" t="s">
        <v>296</v>
      </c>
      <c r="K125" s="8" t="s">
        <v>297</v>
      </c>
      <c r="L125" s="7">
        <v>2018</v>
      </c>
      <c r="M125" s="8" t="s">
        <v>299</v>
      </c>
      <c r="N125" s="11">
        <v>1500000</v>
      </c>
      <c r="O125" s="8" t="s">
        <v>300</v>
      </c>
      <c r="P125" s="8" t="s">
        <v>301</v>
      </c>
      <c r="Q125" s="8"/>
      <c r="R125" s="8" t="s">
        <v>299</v>
      </c>
    </row>
    <row r="126" spans="1:18" ht="26.15" customHeight="1">
      <c r="A126" s="7">
        <v>120</v>
      </c>
      <c r="B126" s="8" t="s">
        <v>3295</v>
      </c>
      <c r="C126" s="8" t="s">
        <v>3114</v>
      </c>
      <c r="D126" s="8" t="s">
        <v>3296</v>
      </c>
      <c r="E126" s="8" t="s">
        <v>3116</v>
      </c>
      <c r="F126" s="9" t="s">
        <v>3123</v>
      </c>
      <c r="G126" s="10">
        <v>44004</v>
      </c>
      <c r="H126" s="8" t="s">
        <v>34</v>
      </c>
      <c r="I126" s="11">
        <v>1000000</v>
      </c>
      <c r="J126" s="8" t="s">
        <v>296</v>
      </c>
      <c r="K126" s="8" t="s">
        <v>297</v>
      </c>
      <c r="L126" s="7">
        <v>2018</v>
      </c>
      <c r="M126" s="8" t="s">
        <v>299</v>
      </c>
      <c r="N126" s="11">
        <v>1500000</v>
      </c>
      <c r="O126" s="8" t="s">
        <v>300</v>
      </c>
      <c r="P126" s="8" t="s">
        <v>301</v>
      </c>
      <c r="Q126" s="8"/>
      <c r="R126" s="8" t="s">
        <v>3297</v>
      </c>
    </row>
    <row r="127" spans="1:18" ht="26.15" customHeight="1">
      <c r="A127" s="7">
        <v>121</v>
      </c>
      <c r="B127" s="8" t="s">
        <v>3298</v>
      </c>
      <c r="C127" s="8"/>
      <c r="D127" s="8" t="s">
        <v>3299</v>
      </c>
      <c r="E127" s="8" t="s">
        <v>3116</v>
      </c>
      <c r="F127" s="9" t="s">
        <v>3123</v>
      </c>
      <c r="G127" s="10">
        <v>43999</v>
      </c>
      <c r="H127" s="8" t="s">
        <v>302</v>
      </c>
      <c r="I127" s="11" t="s">
        <v>50</v>
      </c>
      <c r="J127" s="8" t="s">
        <v>303</v>
      </c>
      <c r="K127" s="8" t="s">
        <v>304</v>
      </c>
      <c r="L127" s="7">
        <v>2011</v>
      </c>
      <c r="M127" s="8" t="s">
        <v>79</v>
      </c>
      <c r="N127" s="11">
        <v>19009146</v>
      </c>
      <c r="O127" s="8" t="s">
        <v>306</v>
      </c>
      <c r="P127" s="8" t="s">
        <v>307</v>
      </c>
      <c r="Q127" s="8"/>
      <c r="R127" s="8" t="s">
        <v>56</v>
      </c>
    </row>
    <row r="128" spans="1:18" ht="26.15" customHeight="1">
      <c r="A128" s="7">
        <v>122</v>
      </c>
      <c r="B128" s="8" t="s">
        <v>312</v>
      </c>
      <c r="C128" s="8" t="s">
        <v>3114</v>
      </c>
      <c r="D128" s="8" t="s">
        <v>3300</v>
      </c>
      <c r="E128" s="8" t="s">
        <v>3116</v>
      </c>
      <c r="F128" s="9" t="s">
        <v>3117</v>
      </c>
      <c r="G128" s="10">
        <v>43998</v>
      </c>
      <c r="H128" s="8" t="s">
        <v>34</v>
      </c>
      <c r="I128" s="11">
        <v>3958160</v>
      </c>
      <c r="J128" s="8" t="s">
        <v>308</v>
      </c>
      <c r="K128" s="8" t="s">
        <v>309</v>
      </c>
      <c r="L128" s="7">
        <v>2017</v>
      </c>
      <c r="M128" s="8" t="s">
        <v>313</v>
      </c>
      <c r="N128" s="11">
        <v>6014060</v>
      </c>
      <c r="O128" s="8" t="s">
        <v>314</v>
      </c>
      <c r="P128" s="8" t="s">
        <v>315</v>
      </c>
      <c r="Q128" s="8"/>
      <c r="R128" s="8" t="s">
        <v>79</v>
      </c>
    </row>
    <row r="129" spans="1:18" ht="26.15" customHeight="1">
      <c r="A129" s="7">
        <v>123</v>
      </c>
      <c r="B129" s="8" t="s">
        <v>928</v>
      </c>
      <c r="C129" s="8" t="s">
        <v>3114</v>
      </c>
      <c r="D129" s="8" t="s">
        <v>3301</v>
      </c>
      <c r="E129" s="8" t="s">
        <v>3116</v>
      </c>
      <c r="F129" s="9" t="s">
        <v>3123</v>
      </c>
      <c r="G129" s="10">
        <v>43998</v>
      </c>
      <c r="H129" s="8" t="s">
        <v>34</v>
      </c>
      <c r="I129" s="11">
        <v>3958160</v>
      </c>
      <c r="J129" s="8" t="s">
        <v>308</v>
      </c>
      <c r="K129" s="8" t="s">
        <v>309</v>
      </c>
      <c r="L129" s="7">
        <v>2017</v>
      </c>
      <c r="M129" s="8" t="s">
        <v>313</v>
      </c>
      <c r="N129" s="11">
        <v>6014060</v>
      </c>
      <c r="O129" s="8" t="s">
        <v>314</v>
      </c>
      <c r="P129" s="8" t="s">
        <v>315</v>
      </c>
      <c r="Q129" s="8"/>
      <c r="R129" s="8" t="s">
        <v>313</v>
      </c>
    </row>
    <row r="130" spans="1:18" ht="26.15" customHeight="1">
      <c r="A130" s="7">
        <v>124</v>
      </c>
      <c r="B130" s="8" t="s">
        <v>3302</v>
      </c>
      <c r="C130" s="8" t="s">
        <v>3114</v>
      </c>
      <c r="D130" s="8" t="s">
        <v>3303</v>
      </c>
      <c r="E130" s="8" t="s">
        <v>3116</v>
      </c>
      <c r="F130" s="9" t="s">
        <v>3123</v>
      </c>
      <c r="G130" s="10">
        <v>43998</v>
      </c>
      <c r="H130" s="8" t="s">
        <v>34</v>
      </c>
      <c r="I130" s="11">
        <v>3958160</v>
      </c>
      <c r="J130" s="8" t="s">
        <v>308</v>
      </c>
      <c r="K130" s="8" t="s">
        <v>309</v>
      </c>
      <c r="L130" s="7">
        <v>2017</v>
      </c>
      <c r="M130" s="8" t="s">
        <v>313</v>
      </c>
      <c r="N130" s="11">
        <v>6014060</v>
      </c>
      <c r="O130" s="8" t="s">
        <v>314</v>
      </c>
      <c r="P130" s="8" t="s">
        <v>315</v>
      </c>
      <c r="Q130" s="8"/>
      <c r="R130" s="8" t="s">
        <v>313</v>
      </c>
    </row>
    <row r="131" spans="1:18" ht="26.15" customHeight="1">
      <c r="A131" s="7">
        <v>125</v>
      </c>
      <c r="B131" s="8" t="s">
        <v>3124</v>
      </c>
      <c r="C131" s="8" t="s">
        <v>3114</v>
      </c>
      <c r="D131" s="8" t="s">
        <v>3125</v>
      </c>
      <c r="E131" s="8" t="s">
        <v>3116</v>
      </c>
      <c r="F131" s="9" t="s">
        <v>3123</v>
      </c>
      <c r="G131" s="10">
        <v>43998</v>
      </c>
      <c r="H131" s="8" t="s">
        <v>34</v>
      </c>
      <c r="I131" s="11">
        <v>3958160</v>
      </c>
      <c r="J131" s="8" t="s">
        <v>308</v>
      </c>
      <c r="K131" s="8" t="s">
        <v>309</v>
      </c>
      <c r="L131" s="7">
        <v>2017</v>
      </c>
      <c r="M131" s="8" t="s">
        <v>313</v>
      </c>
      <c r="N131" s="11">
        <v>6014060</v>
      </c>
      <c r="O131" s="8" t="s">
        <v>314</v>
      </c>
      <c r="P131" s="8" t="s">
        <v>315</v>
      </c>
      <c r="Q131" s="8"/>
      <c r="R131" s="8" t="s">
        <v>3126</v>
      </c>
    </row>
    <row r="132" spans="1:18" ht="26.15" customHeight="1">
      <c r="A132" s="7">
        <v>126</v>
      </c>
      <c r="B132" s="8" t="s">
        <v>3304</v>
      </c>
      <c r="C132" s="8" t="s">
        <v>3127</v>
      </c>
      <c r="D132" s="8"/>
      <c r="E132" s="8" t="s">
        <v>3128</v>
      </c>
      <c r="F132" s="9" t="s">
        <v>3123</v>
      </c>
      <c r="G132" s="10">
        <v>43998</v>
      </c>
      <c r="H132" s="8" t="s">
        <v>34</v>
      </c>
      <c r="I132" s="11">
        <v>3958160</v>
      </c>
      <c r="J132" s="8" t="s">
        <v>308</v>
      </c>
      <c r="K132" s="8" t="s">
        <v>309</v>
      </c>
      <c r="L132" s="7">
        <v>2017</v>
      </c>
      <c r="M132" s="8" t="s">
        <v>313</v>
      </c>
      <c r="N132" s="11">
        <v>6014060</v>
      </c>
      <c r="O132" s="8" t="s">
        <v>314</v>
      </c>
      <c r="P132" s="8" t="s">
        <v>315</v>
      </c>
      <c r="Q132" s="8"/>
      <c r="R132" s="8"/>
    </row>
    <row r="133" spans="1:18" ht="26.15" customHeight="1">
      <c r="A133" s="7">
        <v>127</v>
      </c>
      <c r="B133" s="8" t="s">
        <v>3305</v>
      </c>
      <c r="C133" s="8" t="s">
        <v>3127</v>
      </c>
      <c r="D133" s="8"/>
      <c r="E133" s="8" t="s">
        <v>3128</v>
      </c>
      <c r="F133" s="9" t="s">
        <v>3123</v>
      </c>
      <c r="G133" s="10">
        <v>43998</v>
      </c>
      <c r="H133" s="8" t="s">
        <v>34</v>
      </c>
      <c r="I133" s="11">
        <v>3958160</v>
      </c>
      <c r="J133" s="8" t="s">
        <v>308</v>
      </c>
      <c r="K133" s="8" t="s">
        <v>309</v>
      </c>
      <c r="L133" s="7">
        <v>2017</v>
      </c>
      <c r="M133" s="8" t="s">
        <v>313</v>
      </c>
      <c r="N133" s="11">
        <v>6014060</v>
      </c>
      <c r="O133" s="8" t="s">
        <v>314</v>
      </c>
      <c r="P133" s="8" t="s">
        <v>315</v>
      </c>
      <c r="Q133" s="8"/>
      <c r="R133" s="8"/>
    </row>
    <row r="134" spans="1:18" ht="26.15" customHeight="1">
      <c r="A134" s="7">
        <v>128</v>
      </c>
      <c r="B134" s="8" t="s">
        <v>120</v>
      </c>
      <c r="C134" s="8" t="s">
        <v>3114</v>
      </c>
      <c r="D134" s="8" t="s">
        <v>3161</v>
      </c>
      <c r="E134" s="8" t="s">
        <v>3116</v>
      </c>
      <c r="F134" s="9" t="s">
        <v>3123</v>
      </c>
      <c r="G134" s="10">
        <v>43998</v>
      </c>
      <c r="H134" s="8" t="s">
        <v>34</v>
      </c>
      <c r="I134" s="11">
        <v>3958160</v>
      </c>
      <c r="J134" s="8" t="s">
        <v>308</v>
      </c>
      <c r="K134" s="8" t="s">
        <v>309</v>
      </c>
      <c r="L134" s="7">
        <v>2017</v>
      </c>
      <c r="M134" s="8" t="s">
        <v>313</v>
      </c>
      <c r="N134" s="11">
        <v>6014060</v>
      </c>
      <c r="O134" s="8" t="s">
        <v>314</v>
      </c>
      <c r="P134" s="8" t="s">
        <v>315</v>
      </c>
      <c r="Q134" s="8"/>
      <c r="R134" s="8" t="s">
        <v>313</v>
      </c>
    </row>
    <row r="135" spans="1:18" ht="26.15" customHeight="1">
      <c r="A135" s="7">
        <v>129</v>
      </c>
      <c r="B135" s="8" t="s">
        <v>1091</v>
      </c>
      <c r="C135" s="8" t="s">
        <v>3139</v>
      </c>
      <c r="D135" s="8" t="s">
        <v>3237</v>
      </c>
      <c r="E135" s="8" t="s">
        <v>3116</v>
      </c>
      <c r="F135" s="9" t="s">
        <v>3123</v>
      </c>
      <c r="G135" s="10">
        <v>43998</v>
      </c>
      <c r="H135" s="8" t="s">
        <v>34</v>
      </c>
      <c r="I135" s="11">
        <v>3958160</v>
      </c>
      <c r="J135" s="8" t="s">
        <v>308</v>
      </c>
      <c r="K135" s="8" t="s">
        <v>309</v>
      </c>
      <c r="L135" s="7">
        <v>2017</v>
      </c>
      <c r="M135" s="8" t="s">
        <v>313</v>
      </c>
      <c r="N135" s="11">
        <v>6014060</v>
      </c>
      <c r="O135" s="8" t="s">
        <v>314</v>
      </c>
      <c r="P135" s="8" t="s">
        <v>315</v>
      </c>
      <c r="Q135" s="8"/>
      <c r="R135" s="8" t="s">
        <v>3138</v>
      </c>
    </row>
    <row r="136" spans="1:18" ht="26.15" customHeight="1">
      <c r="A136" s="7">
        <v>130</v>
      </c>
      <c r="B136" s="8" t="s">
        <v>3306</v>
      </c>
      <c r="C136" s="8" t="s">
        <v>3127</v>
      </c>
      <c r="D136" s="8"/>
      <c r="E136" s="8" t="s">
        <v>3128</v>
      </c>
      <c r="F136" s="9" t="s">
        <v>3123</v>
      </c>
      <c r="G136" s="10">
        <v>43998</v>
      </c>
      <c r="H136" s="8" t="s">
        <v>34</v>
      </c>
      <c r="I136" s="11">
        <v>3958160</v>
      </c>
      <c r="J136" s="8" t="s">
        <v>308</v>
      </c>
      <c r="K136" s="8" t="s">
        <v>309</v>
      </c>
      <c r="L136" s="7">
        <v>2017</v>
      </c>
      <c r="M136" s="8" t="s">
        <v>313</v>
      </c>
      <c r="N136" s="11">
        <v>6014060</v>
      </c>
      <c r="O136" s="8" t="s">
        <v>314</v>
      </c>
      <c r="P136" s="8" t="s">
        <v>315</v>
      </c>
      <c r="Q136" s="8"/>
      <c r="R136" s="8"/>
    </row>
    <row r="137" spans="1:18" ht="26.15" customHeight="1">
      <c r="A137" s="7">
        <v>131</v>
      </c>
      <c r="B137" s="8" t="s">
        <v>3307</v>
      </c>
      <c r="C137" s="8" t="s">
        <v>3127</v>
      </c>
      <c r="D137" s="8"/>
      <c r="E137" s="8" t="s">
        <v>3128</v>
      </c>
      <c r="F137" s="9" t="s">
        <v>3123</v>
      </c>
      <c r="G137" s="10">
        <v>43998</v>
      </c>
      <c r="H137" s="8" t="s">
        <v>34</v>
      </c>
      <c r="I137" s="11">
        <v>3958160</v>
      </c>
      <c r="J137" s="8" t="s">
        <v>308</v>
      </c>
      <c r="K137" s="8" t="s">
        <v>309</v>
      </c>
      <c r="L137" s="7">
        <v>2017</v>
      </c>
      <c r="M137" s="8" t="s">
        <v>313</v>
      </c>
      <c r="N137" s="11">
        <v>6014060</v>
      </c>
      <c r="O137" s="8" t="s">
        <v>314</v>
      </c>
      <c r="P137" s="8" t="s">
        <v>315</v>
      </c>
      <c r="Q137" s="8"/>
      <c r="R137" s="8"/>
    </row>
    <row r="138" spans="1:18" ht="26.15" customHeight="1">
      <c r="A138" s="7">
        <v>132</v>
      </c>
      <c r="B138" s="8" t="s">
        <v>3308</v>
      </c>
      <c r="C138" s="8" t="s">
        <v>3127</v>
      </c>
      <c r="D138" s="8"/>
      <c r="E138" s="8" t="s">
        <v>3128</v>
      </c>
      <c r="F138" s="9" t="s">
        <v>3123</v>
      </c>
      <c r="G138" s="10">
        <v>43998</v>
      </c>
      <c r="H138" s="8" t="s">
        <v>34</v>
      </c>
      <c r="I138" s="11">
        <v>3958160</v>
      </c>
      <c r="J138" s="8" t="s">
        <v>308</v>
      </c>
      <c r="K138" s="8" t="s">
        <v>309</v>
      </c>
      <c r="L138" s="7">
        <v>2017</v>
      </c>
      <c r="M138" s="8" t="s">
        <v>313</v>
      </c>
      <c r="N138" s="11">
        <v>6014060</v>
      </c>
      <c r="O138" s="8" t="s">
        <v>314</v>
      </c>
      <c r="P138" s="8" t="s">
        <v>315</v>
      </c>
      <c r="Q138" s="8"/>
      <c r="R138" s="8"/>
    </row>
    <row r="139" spans="1:18" ht="26.15" customHeight="1">
      <c r="A139" s="7">
        <v>133</v>
      </c>
      <c r="B139" s="8" t="s">
        <v>3309</v>
      </c>
      <c r="C139" s="8" t="s">
        <v>3139</v>
      </c>
      <c r="D139" s="8" t="s">
        <v>3310</v>
      </c>
      <c r="E139" s="8" t="s">
        <v>3116</v>
      </c>
      <c r="F139" s="9" t="s">
        <v>3123</v>
      </c>
      <c r="G139" s="10">
        <v>43998</v>
      </c>
      <c r="H139" s="8" t="s">
        <v>34</v>
      </c>
      <c r="I139" s="11">
        <v>3958160</v>
      </c>
      <c r="J139" s="8" t="s">
        <v>308</v>
      </c>
      <c r="K139" s="8" t="s">
        <v>309</v>
      </c>
      <c r="L139" s="7">
        <v>2017</v>
      </c>
      <c r="M139" s="8" t="s">
        <v>313</v>
      </c>
      <c r="N139" s="11">
        <v>6014060</v>
      </c>
      <c r="O139" s="8" t="s">
        <v>314</v>
      </c>
      <c r="P139" s="8" t="s">
        <v>315</v>
      </c>
      <c r="Q139" s="8"/>
      <c r="R139" s="8" t="s">
        <v>3311</v>
      </c>
    </row>
    <row r="140" spans="1:18" ht="26.15" customHeight="1">
      <c r="A140" s="7">
        <v>134</v>
      </c>
      <c r="B140" s="8" t="s">
        <v>3312</v>
      </c>
      <c r="C140" s="8" t="s">
        <v>3127</v>
      </c>
      <c r="D140" s="8"/>
      <c r="E140" s="8" t="s">
        <v>3128</v>
      </c>
      <c r="F140" s="9" t="s">
        <v>3123</v>
      </c>
      <c r="G140" s="10">
        <v>43998</v>
      </c>
      <c r="H140" s="8" t="s">
        <v>34</v>
      </c>
      <c r="I140" s="11">
        <v>3958160</v>
      </c>
      <c r="J140" s="8" t="s">
        <v>308</v>
      </c>
      <c r="K140" s="8" t="s">
        <v>309</v>
      </c>
      <c r="L140" s="7">
        <v>2017</v>
      </c>
      <c r="M140" s="8" t="s">
        <v>313</v>
      </c>
      <c r="N140" s="11">
        <v>6014060</v>
      </c>
      <c r="O140" s="8" t="s">
        <v>314</v>
      </c>
      <c r="P140" s="8" t="s">
        <v>315</v>
      </c>
      <c r="Q140" s="8"/>
      <c r="R140" s="8"/>
    </row>
    <row r="141" spans="1:18" ht="26.15" customHeight="1">
      <c r="A141" s="7">
        <v>135</v>
      </c>
      <c r="B141" s="8" t="s">
        <v>285</v>
      </c>
      <c r="C141" s="8" t="s">
        <v>3114</v>
      </c>
      <c r="D141" s="8" t="s">
        <v>3282</v>
      </c>
      <c r="E141" s="8" t="s">
        <v>3116</v>
      </c>
      <c r="F141" s="9" t="s">
        <v>3117</v>
      </c>
      <c r="G141" s="10">
        <v>43998</v>
      </c>
      <c r="H141" s="8" t="s">
        <v>34</v>
      </c>
      <c r="I141" s="11" t="s">
        <v>50</v>
      </c>
      <c r="J141" s="8" t="s">
        <v>316</v>
      </c>
      <c r="K141" s="8" t="s">
        <v>317</v>
      </c>
      <c r="L141" s="7">
        <v>2017</v>
      </c>
      <c r="M141" s="8" t="s">
        <v>56</v>
      </c>
      <c r="N141" s="11"/>
      <c r="O141" s="8" t="s">
        <v>318</v>
      </c>
      <c r="P141" s="8" t="s">
        <v>319</v>
      </c>
      <c r="Q141" s="8"/>
      <c r="R141" s="8" t="s">
        <v>313</v>
      </c>
    </row>
    <row r="142" spans="1:18" ht="26.15" customHeight="1">
      <c r="A142" s="7">
        <v>136</v>
      </c>
      <c r="B142" s="8" t="s">
        <v>3313</v>
      </c>
      <c r="C142" s="8" t="s">
        <v>3139</v>
      </c>
      <c r="D142" s="8" t="s">
        <v>3314</v>
      </c>
      <c r="E142" s="8" t="s">
        <v>3116</v>
      </c>
      <c r="F142" s="9" t="s">
        <v>3123</v>
      </c>
      <c r="G142" s="10">
        <v>43992</v>
      </c>
      <c r="H142" s="8" t="s">
        <v>289</v>
      </c>
      <c r="I142" s="11">
        <v>5500000</v>
      </c>
      <c r="J142" s="8" t="s">
        <v>185</v>
      </c>
      <c r="K142" s="8" t="s">
        <v>186</v>
      </c>
      <c r="L142" s="7">
        <v>2015</v>
      </c>
      <c r="M142" s="8" t="s">
        <v>188</v>
      </c>
      <c r="N142" s="11">
        <v>65736870</v>
      </c>
      <c r="O142" s="8" t="s">
        <v>189</v>
      </c>
      <c r="P142" s="8" t="s">
        <v>190</v>
      </c>
      <c r="Q142" s="8"/>
      <c r="R142" s="8" t="s">
        <v>313</v>
      </c>
    </row>
    <row r="143" spans="1:18" ht="26.15" customHeight="1">
      <c r="A143" s="7">
        <v>137</v>
      </c>
      <c r="B143" s="8" t="s">
        <v>326</v>
      </c>
      <c r="C143" s="8" t="s">
        <v>3114</v>
      </c>
      <c r="D143" s="8" t="s">
        <v>3315</v>
      </c>
      <c r="E143" s="8" t="s">
        <v>3116</v>
      </c>
      <c r="F143" s="9" t="s">
        <v>3117</v>
      </c>
      <c r="G143" s="10">
        <v>43990</v>
      </c>
      <c r="H143" s="8" t="s">
        <v>34</v>
      </c>
      <c r="I143" s="11">
        <v>66424</v>
      </c>
      <c r="J143" s="8" t="s">
        <v>322</v>
      </c>
      <c r="K143" s="8" t="s">
        <v>323</v>
      </c>
      <c r="L143" s="7">
        <v>2013</v>
      </c>
      <c r="M143" s="8" t="s">
        <v>79</v>
      </c>
      <c r="N143" s="11">
        <v>814923</v>
      </c>
      <c r="O143" s="8" t="s">
        <v>327</v>
      </c>
      <c r="P143" s="8" t="s">
        <v>328</v>
      </c>
      <c r="Q143" s="8"/>
      <c r="R143" s="8" t="s">
        <v>79</v>
      </c>
    </row>
    <row r="144" spans="1:18" ht="26.15" customHeight="1">
      <c r="A144" s="7">
        <v>138</v>
      </c>
      <c r="B144" s="8" t="s">
        <v>3316</v>
      </c>
      <c r="C144" s="8" t="s">
        <v>3114</v>
      </c>
      <c r="D144" s="8" t="s">
        <v>3317</v>
      </c>
      <c r="E144" s="8" t="s">
        <v>3116</v>
      </c>
      <c r="F144" s="9" t="s">
        <v>3123</v>
      </c>
      <c r="G144" s="10">
        <v>43990</v>
      </c>
      <c r="H144" s="8" t="s">
        <v>34</v>
      </c>
      <c r="I144" s="11">
        <v>66424</v>
      </c>
      <c r="J144" s="8" t="s">
        <v>322</v>
      </c>
      <c r="K144" s="8" t="s">
        <v>323</v>
      </c>
      <c r="L144" s="7">
        <v>2013</v>
      </c>
      <c r="M144" s="8" t="s">
        <v>79</v>
      </c>
      <c r="N144" s="11">
        <v>814923</v>
      </c>
      <c r="O144" s="8" t="s">
        <v>327</v>
      </c>
      <c r="P144" s="8" t="s">
        <v>328</v>
      </c>
      <c r="Q144" s="8"/>
      <c r="R144" s="8" t="s">
        <v>56</v>
      </c>
    </row>
    <row r="145" spans="1:18" ht="26.15" customHeight="1">
      <c r="A145" s="7">
        <v>139</v>
      </c>
      <c r="B145" s="8" t="s">
        <v>3318</v>
      </c>
      <c r="C145" s="8" t="s">
        <v>3139</v>
      </c>
      <c r="D145" s="8" t="s">
        <v>3319</v>
      </c>
      <c r="E145" s="8" t="s">
        <v>3116</v>
      </c>
      <c r="F145" s="9" t="s">
        <v>3123</v>
      </c>
      <c r="G145" s="10">
        <v>43990</v>
      </c>
      <c r="H145" s="8" t="s">
        <v>34</v>
      </c>
      <c r="I145" s="11">
        <v>66424</v>
      </c>
      <c r="J145" s="8" t="s">
        <v>322</v>
      </c>
      <c r="K145" s="8" t="s">
        <v>323</v>
      </c>
      <c r="L145" s="7">
        <v>2013</v>
      </c>
      <c r="M145" s="8" t="s">
        <v>79</v>
      </c>
      <c r="N145" s="11">
        <v>814923</v>
      </c>
      <c r="O145" s="8" t="s">
        <v>327</v>
      </c>
      <c r="P145" s="8" t="s">
        <v>328</v>
      </c>
      <c r="Q145" s="8"/>
      <c r="R145" s="8" t="s">
        <v>3204</v>
      </c>
    </row>
    <row r="146" spans="1:18" ht="26.15" customHeight="1">
      <c r="A146" s="7">
        <v>140</v>
      </c>
      <c r="B146" s="8" t="s">
        <v>325</v>
      </c>
      <c r="C146" s="8" t="s">
        <v>3127</v>
      </c>
      <c r="D146" s="8"/>
      <c r="E146" s="8" t="s">
        <v>3128</v>
      </c>
      <c r="F146" s="9" t="s">
        <v>3123</v>
      </c>
      <c r="G146" s="10">
        <v>43990</v>
      </c>
      <c r="H146" s="8" t="s">
        <v>34</v>
      </c>
      <c r="I146" s="11">
        <v>66424</v>
      </c>
      <c r="J146" s="8" t="s">
        <v>322</v>
      </c>
      <c r="K146" s="8" t="s">
        <v>323</v>
      </c>
      <c r="L146" s="7">
        <v>2013</v>
      </c>
      <c r="M146" s="8" t="s">
        <v>79</v>
      </c>
      <c r="N146" s="11">
        <v>814923</v>
      </c>
      <c r="O146" s="8" t="s">
        <v>327</v>
      </c>
      <c r="P146" s="8" t="s">
        <v>328</v>
      </c>
      <c r="Q146" s="8"/>
      <c r="R146" s="8"/>
    </row>
    <row r="147" spans="1:18" ht="26.15" customHeight="1">
      <c r="A147" s="7">
        <v>141</v>
      </c>
      <c r="B147" s="8" t="s">
        <v>3320</v>
      </c>
      <c r="C147" s="8" t="s">
        <v>3139</v>
      </c>
      <c r="D147" s="8" t="s">
        <v>3321</v>
      </c>
      <c r="E147" s="8" t="s">
        <v>3116</v>
      </c>
      <c r="F147" s="9" t="s">
        <v>3123</v>
      </c>
      <c r="G147" s="10">
        <v>43990</v>
      </c>
      <c r="H147" s="8" t="s">
        <v>34</v>
      </c>
      <c r="I147" s="11">
        <v>66424</v>
      </c>
      <c r="J147" s="8" t="s">
        <v>322</v>
      </c>
      <c r="K147" s="8" t="s">
        <v>323</v>
      </c>
      <c r="L147" s="7">
        <v>2013</v>
      </c>
      <c r="M147" s="8" t="s">
        <v>79</v>
      </c>
      <c r="N147" s="11">
        <v>814923</v>
      </c>
      <c r="O147" s="8" t="s">
        <v>327</v>
      </c>
      <c r="P147" s="8" t="s">
        <v>328</v>
      </c>
      <c r="Q147" s="8"/>
      <c r="R147" s="8" t="s">
        <v>3322</v>
      </c>
    </row>
    <row r="148" spans="1:18" ht="26.15" customHeight="1">
      <c r="A148" s="7">
        <v>142</v>
      </c>
      <c r="B148" s="8" t="s">
        <v>3323</v>
      </c>
      <c r="C148" s="8" t="s">
        <v>3114</v>
      </c>
      <c r="D148" s="8" t="s">
        <v>3324</v>
      </c>
      <c r="E148" s="8" t="s">
        <v>3116</v>
      </c>
      <c r="F148" s="9" t="s">
        <v>3117</v>
      </c>
      <c r="G148" s="10">
        <v>43987</v>
      </c>
      <c r="H148" s="8" t="s">
        <v>34</v>
      </c>
      <c r="I148" s="11" t="s">
        <v>50</v>
      </c>
      <c r="J148" s="8" t="s">
        <v>329</v>
      </c>
      <c r="K148" s="8" t="s">
        <v>330</v>
      </c>
      <c r="L148" s="7">
        <v>2015</v>
      </c>
      <c r="M148" s="8" t="s">
        <v>333</v>
      </c>
      <c r="N148" s="11">
        <v>1489730</v>
      </c>
      <c r="O148" s="8" t="s">
        <v>334</v>
      </c>
      <c r="P148" s="8" t="s">
        <v>335</v>
      </c>
      <c r="Q148" s="8"/>
      <c r="R148" s="8" t="s">
        <v>415</v>
      </c>
    </row>
    <row r="149" spans="1:18" ht="26.15" customHeight="1">
      <c r="A149" s="7">
        <v>143</v>
      </c>
      <c r="B149" s="8" t="s">
        <v>3325</v>
      </c>
      <c r="C149" s="8" t="s">
        <v>3114</v>
      </c>
      <c r="D149" s="8" t="s">
        <v>3326</v>
      </c>
      <c r="E149" s="8" t="s">
        <v>3116</v>
      </c>
      <c r="F149" s="9" t="s">
        <v>3117</v>
      </c>
      <c r="G149" s="10">
        <v>43987</v>
      </c>
      <c r="H149" s="8" t="s">
        <v>34</v>
      </c>
      <c r="I149" s="11" t="s">
        <v>50</v>
      </c>
      <c r="J149" s="8" t="s">
        <v>329</v>
      </c>
      <c r="K149" s="8" t="s">
        <v>330</v>
      </c>
      <c r="L149" s="7">
        <v>2015</v>
      </c>
      <c r="M149" s="8" t="s">
        <v>333</v>
      </c>
      <c r="N149" s="11">
        <v>1489730</v>
      </c>
      <c r="O149" s="8" t="s">
        <v>334</v>
      </c>
      <c r="P149" s="8" t="s">
        <v>335</v>
      </c>
      <c r="Q149" s="8"/>
      <c r="R149" s="8" t="s">
        <v>157</v>
      </c>
    </row>
    <row r="150" spans="1:18" ht="26.15" customHeight="1">
      <c r="A150" s="7">
        <v>144</v>
      </c>
      <c r="B150" s="8" t="s">
        <v>337</v>
      </c>
      <c r="C150" s="8" t="s">
        <v>3114</v>
      </c>
      <c r="D150" s="8" t="s">
        <v>3327</v>
      </c>
      <c r="E150" s="8" t="s">
        <v>3116</v>
      </c>
      <c r="F150" s="9" t="s">
        <v>3117</v>
      </c>
      <c r="G150" s="10">
        <v>43984</v>
      </c>
      <c r="H150" s="8" t="s">
        <v>34</v>
      </c>
      <c r="I150" s="11">
        <v>1000000</v>
      </c>
      <c r="J150" s="8" t="s">
        <v>160</v>
      </c>
      <c r="K150" s="8" t="s">
        <v>161</v>
      </c>
      <c r="L150" s="7">
        <v>2016</v>
      </c>
      <c r="M150" s="8" t="s">
        <v>128</v>
      </c>
      <c r="N150" s="11">
        <v>5866696</v>
      </c>
      <c r="O150" s="8" t="s">
        <v>164</v>
      </c>
      <c r="P150" s="8" t="s">
        <v>165</v>
      </c>
      <c r="Q150" s="8"/>
      <c r="R150" s="8" t="s">
        <v>128</v>
      </c>
    </row>
    <row r="151" spans="1:18" ht="26.15" customHeight="1">
      <c r="A151" s="7">
        <v>145</v>
      </c>
      <c r="B151" s="8" t="s">
        <v>337</v>
      </c>
      <c r="C151" s="8" t="s">
        <v>3114</v>
      </c>
      <c r="D151" s="8" t="s">
        <v>3327</v>
      </c>
      <c r="E151" s="8" t="s">
        <v>3116</v>
      </c>
      <c r="F151" s="9" t="s">
        <v>3117</v>
      </c>
      <c r="G151" s="10">
        <v>43983</v>
      </c>
      <c r="H151" s="8" t="s">
        <v>34</v>
      </c>
      <c r="I151" s="11">
        <v>1000000</v>
      </c>
      <c r="J151" s="8" t="s">
        <v>166</v>
      </c>
      <c r="K151" s="8" t="s">
        <v>167</v>
      </c>
      <c r="L151" s="7">
        <v>2019</v>
      </c>
      <c r="M151" s="8" t="s">
        <v>128</v>
      </c>
      <c r="N151" s="11">
        <v>2500000</v>
      </c>
      <c r="O151" s="8" t="s">
        <v>168</v>
      </c>
      <c r="P151" s="8" t="s">
        <v>169</v>
      </c>
      <c r="Q151" s="8"/>
      <c r="R151" s="8" t="s">
        <v>128</v>
      </c>
    </row>
    <row r="152" spans="1:18" ht="26.15" customHeight="1">
      <c r="A152" s="7">
        <v>146</v>
      </c>
      <c r="B152" s="8" t="s">
        <v>3328</v>
      </c>
      <c r="C152" s="8" t="s">
        <v>3114</v>
      </c>
      <c r="D152" s="8" t="s">
        <v>3329</v>
      </c>
      <c r="E152" s="8" t="s">
        <v>3116</v>
      </c>
      <c r="F152" s="9" t="s">
        <v>3117</v>
      </c>
      <c r="G152" s="10">
        <v>43979</v>
      </c>
      <c r="H152" s="8" t="s">
        <v>34</v>
      </c>
      <c r="I152" s="11">
        <v>4000000</v>
      </c>
      <c r="J152" s="8" t="s">
        <v>338</v>
      </c>
      <c r="K152" s="8" t="s">
        <v>339</v>
      </c>
      <c r="L152" s="7">
        <v>2017</v>
      </c>
      <c r="M152" s="8" t="s">
        <v>342</v>
      </c>
      <c r="N152" s="11">
        <v>4000000</v>
      </c>
      <c r="O152" s="8" t="s">
        <v>343</v>
      </c>
      <c r="P152" s="8" t="s">
        <v>344</v>
      </c>
      <c r="Q152" s="8"/>
      <c r="R152" s="8" t="s">
        <v>3194</v>
      </c>
    </row>
    <row r="153" spans="1:18" ht="26.15" customHeight="1">
      <c r="A153" s="7">
        <v>147</v>
      </c>
      <c r="B153" s="8" t="s">
        <v>3330</v>
      </c>
      <c r="C153" s="8" t="s">
        <v>3139</v>
      </c>
      <c r="D153" s="8" t="s">
        <v>3331</v>
      </c>
      <c r="E153" s="8" t="s">
        <v>3116</v>
      </c>
      <c r="F153" s="9" t="s">
        <v>3117</v>
      </c>
      <c r="G153" s="10">
        <v>43979</v>
      </c>
      <c r="H153" s="8" t="s">
        <v>34</v>
      </c>
      <c r="I153" s="11">
        <v>4000000</v>
      </c>
      <c r="J153" s="8" t="s">
        <v>338</v>
      </c>
      <c r="K153" s="8" t="s">
        <v>339</v>
      </c>
      <c r="L153" s="7">
        <v>2017</v>
      </c>
      <c r="M153" s="8" t="s">
        <v>342</v>
      </c>
      <c r="N153" s="11">
        <v>4000000</v>
      </c>
      <c r="O153" s="8" t="s">
        <v>343</v>
      </c>
      <c r="P153" s="8" t="s">
        <v>344</v>
      </c>
      <c r="Q153" s="8"/>
      <c r="R153" s="8" t="s">
        <v>3332</v>
      </c>
    </row>
    <row r="154" spans="1:18" ht="26.15" customHeight="1">
      <c r="A154" s="7">
        <v>148</v>
      </c>
      <c r="B154" s="8" t="s">
        <v>3208</v>
      </c>
      <c r="C154" s="8" t="s">
        <v>3139</v>
      </c>
      <c r="D154" s="8" t="s">
        <v>3209</v>
      </c>
      <c r="E154" s="8" t="s">
        <v>3116</v>
      </c>
      <c r="F154" s="9" t="s">
        <v>3117</v>
      </c>
      <c r="G154" s="10">
        <v>43979</v>
      </c>
      <c r="H154" s="8" t="s">
        <v>34</v>
      </c>
      <c r="I154" s="11">
        <v>4000000</v>
      </c>
      <c r="J154" s="8" t="s">
        <v>338</v>
      </c>
      <c r="K154" s="8" t="s">
        <v>339</v>
      </c>
      <c r="L154" s="7">
        <v>2017</v>
      </c>
      <c r="M154" s="8" t="s">
        <v>342</v>
      </c>
      <c r="N154" s="11">
        <v>4000000</v>
      </c>
      <c r="O154" s="8" t="s">
        <v>343</v>
      </c>
      <c r="P154" s="8" t="s">
        <v>344</v>
      </c>
      <c r="Q154" s="8"/>
      <c r="R154" s="8" t="s">
        <v>369</v>
      </c>
    </row>
    <row r="155" spans="1:18" ht="26.15" customHeight="1">
      <c r="A155" s="7">
        <v>149</v>
      </c>
      <c r="B155" s="8" t="s">
        <v>3333</v>
      </c>
      <c r="C155" s="8" t="s">
        <v>3114</v>
      </c>
      <c r="D155" s="8" t="s">
        <v>3334</v>
      </c>
      <c r="E155" s="8" t="s">
        <v>3116</v>
      </c>
      <c r="F155" s="9" t="s">
        <v>3117</v>
      </c>
      <c r="G155" s="10">
        <v>43979</v>
      </c>
      <c r="H155" s="8" t="s">
        <v>34</v>
      </c>
      <c r="I155" s="11">
        <v>4000000</v>
      </c>
      <c r="J155" s="8" t="s">
        <v>338</v>
      </c>
      <c r="K155" s="8" t="s">
        <v>339</v>
      </c>
      <c r="L155" s="7">
        <v>2017</v>
      </c>
      <c r="M155" s="8" t="s">
        <v>342</v>
      </c>
      <c r="N155" s="11">
        <v>4000000</v>
      </c>
      <c r="O155" s="8" t="s">
        <v>343</v>
      </c>
      <c r="P155" s="8" t="s">
        <v>344</v>
      </c>
      <c r="Q155" s="8"/>
      <c r="R155" s="8" t="s">
        <v>3226</v>
      </c>
    </row>
    <row r="156" spans="1:18" ht="26.15" customHeight="1">
      <c r="A156" s="7">
        <v>150</v>
      </c>
      <c r="B156" s="8" t="s">
        <v>3335</v>
      </c>
      <c r="C156" s="8" t="s">
        <v>3114</v>
      </c>
      <c r="D156" s="8" t="s">
        <v>3336</v>
      </c>
      <c r="E156" s="8" t="s">
        <v>3116</v>
      </c>
      <c r="F156" s="9" t="s">
        <v>3117</v>
      </c>
      <c r="G156" s="10">
        <v>43979</v>
      </c>
      <c r="H156" s="8" t="s">
        <v>34</v>
      </c>
      <c r="I156" s="11">
        <v>4000000</v>
      </c>
      <c r="J156" s="8" t="s">
        <v>338</v>
      </c>
      <c r="K156" s="8" t="s">
        <v>339</v>
      </c>
      <c r="L156" s="7">
        <v>2017</v>
      </c>
      <c r="M156" s="8" t="s">
        <v>342</v>
      </c>
      <c r="N156" s="11">
        <v>4000000</v>
      </c>
      <c r="O156" s="8" t="s">
        <v>343</v>
      </c>
      <c r="P156" s="8" t="s">
        <v>344</v>
      </c>
      <c r="Q156" s="8"/>
      <c r="R156" s="8" t="s">
        <v>3145</v>
      </c>
    </row>
    <row r="157" spans="1:18" ht="26.15" customHeight="1">
      <c r="A157" s="7">
        <v>151</v>
      </c>
      <c r="B157" s="8" t="s">
        <v>924</v>
      </c>
      <c r="C157" s="8" t="s">
        <v>3114</v>
      </c>
      <c r="D157" s="8" t="s">
        <v>3337</v>
      </c>
      <c r="E157" s="8" t="s">
        <v>3116</v>
      </c>
      <c r="F157" s="9" t="s">
        <v>3117</v>
      </c>
      <c r="G157" s="10">
        <v>43978</v>
      </c>
      <c r="H157" s="8" t="s">
        <v>109</v>
      </c>
      <c r="I157" s="11" t="s">
        <v>50</v>
      </c>
      <c r="J157" s="8" t="s">
        <v>345</v>
      </c>
      <c r="K157" s="8" t="s">
        <v>346</v>
      </c>
      <c r="L157" s="7">
        <v>2016</v>
      </c>
      <c r="M157" s="8" t="s">
        <v>349</v>
      </c>
      <c r="N157" s="11">
        <v>8500000</v>
      </c>
      <c r="O157" s="8" t="s">
        <v>350</v>
      </c>
      <c r="P157" s="8" t="s">
        <v>351</v>
      </c>
      <c r="Q157" s="8"/>
      <c r="R157" s="8" t="s">
        <v>3204</v>
      </c>
    </row>
    <row r="158" spans="1:18" ht="26.15" customHeight="1">
      <c r="A158" s="7">
        <v>152</v>
      </c>
      <c r="B158" s="8" t="s">
        <v>3338</v>
      </c>
      <c r="C158" s="8" t="s">
        <v>3114</v>
      </c>
      <c r="D158" s="8" t="s">
        <v>3339</v>
      </c>
      <c r="E158" s="8" t="s">
        <v>3116</v>
      </c>
      <c r="F158" s="9" t="s">
        <v>3117</v>
      </c>
      <c r="G158" s="10">
        <v>43978</v>
      </c>
      <c r="H158" s="8" t="s">
        <v>109</v>
      </c>
      <c r="I158" s="11" t="s">
        <v>50</v>
      </c>
      <c r="J158" s="8" t="s">
        <v>345</v>
      </c>
      <c r="K158" s="8" t="s">
        <v>346</v>
      </c>
      <c r="L158" s="7">
        <v>2016</v>
      </c>
      <c r="M158" s="8" t="s">
        <v>349</v>
      </c>
      <c r="N158" s="11">
        <v>8500000</v>
      </c>
      <c r="O158" s="8" t="s">
        <v>350</v>
      </c>
      <c r="P158" s="8" t="s">
        <v>351</v>
      </c>
      <c r="Q158" s="8"/>
      <c r="R158" s="8" t="s">
        <v>3340</v>
      </c>
    </row>
    <row r="159" spans="1:18" ht="26.15" customHeight="1">
      <c r="A159" s="7">
        <v>153</v>
      </c>
      <c r="B159" s="8" t="s">
        <v>356</v>
      </c>
      <c r="C159" s="8" t="s">
        <v>3114</v>
      </c>
      <c r="D159" s="8" t="s">
        <v>3341</v>
      </c>
      <c r="E159" s="8" t="s">
        <v>3116</v>
      </c>
      <c r="F159" s="9" t="s">
        <v>3117</v>
      </c>
      <c r="G159" s="10">
        <v>43978</v>
      </c>
      <c r="H159" s="8" t="s">
        <v>109</v>
      </c>
      <c r="I159" s="11">
        <v>3000000</v>
      </c>
      <c r="J159" s="8" t="s">
        <v>353</v>
      </c>
      <c r="K159" s="8" t="s">
        <v>354</v>
      </c>
      <c r="L159" s="7">
        <v>2013</v>
      </c>
      <c r="M159" s="8" t="s">
        <v>357</v>
      </c>
      <c r="N159" s="11">
        <v>9700000</v>
      </c>
      <c r="O159" s="8" t="s">
        <v>358</v>
      </c>
      <c r="P159" s="8" t="s">
        <v>359</v>
      </c>
      <c r="Q159" s="8"/>
      <c r="R159" s="8" t="s">
        <v>357</v>
      </c>
    </row>
    <row r="160" spans="1:18" ht="26.15" customHeight="1">
      <c r="A160" s="7">
        <v>154</v>
      </c>
      <c r="B160" s="8" t="s">
        <v>3342</v>
      </c>
      <c r="C160" s="8" t="s">
        <v>3114</v>
      </c>
      <c r="D160" s="8" t="s">
        <v>3343</v>
      </c>
      <c r="E160" s="8" t="s">
        <v>3116</v>
      </c>
      <c r="F160" s="9" t="s">
        <v>3123</v>
      </c>
      <c r="G160" s="10">
        <v>43978</v>
      </c>
      <c r="H160" s="8" t="s">
        <v>109</v>
      </c>
      <c r="I160" s="11">
        <v>3000000</v>
      </c>
      <c r="J160" s="8" t="s">
        <v>353</v>
      </c>
      <c r="K160" s="8" t="s">
        <v>354</v>
      </c>
      <c r="L160" s="7">
        <v>2013</v>
      </c>
      <c r="M160" s="8" t="s">
        <v>357</v>
      </c>
      <c r="N160" s="11">
        <v>9700000</v>
      </c>
      <c r="O160" s="8" t="s">
        <v>358</v>
      </c>
      <c r="P160" s="8" t="s">
        <v>359</v>
      </c>
      <c r="Q160" s="8"/>
      <c r="R160" s="8" t="s">
        <v>3344</v>
      </c>
    </row>
    <row r="161" spans="1:18" ht="26.15" customHeight="1">
      <c r="A161" s="7">
        <v>155</v>
      </c>
      <c r="B161" s="8" t="s">
        <v>3345</v>
      </c>
      <c r="C161" s="8" t="s">
        <v>3139</v>
      </c>
      <c r="D161" s="8" t="s">
        <v>3345</v>
      </c>
      <c r="E161" s="8" t="s">
        <v>3116</v>
      </c>
      <c r="F161" s="9" t="s">
        <v>3123</v>
      </c>
      <c r="G161" s="10">
        <v>43978</v>
      </c>
      <c r="H161" s="8" t="s">
        <v>109</v>
      </c>
      <c r="I161" s="11">
        <v>3000000</v>
      </c>
      <c r="J161" s="8" t="s">
        <v>353</v>
      </c>
      <c r="K161" s="8" t="s">
        <v>354</v>
      </c>
      <c r="L161" s="7">
        <v>2013</v>
      </c>
      <c r="M161" s="8" t="s">
        <v>357</v>
      </c>
      <c r="N161" s="11">
        <v>9700000</v>
      </c>
      <c r="O161" s="8" t="s">
        <v>358</v>
      </c>
      <c r="P161" s="8" t="s">
        <v>359</v>
      </c>
      <c r="Q161" s="8"/>
      <c r="R161" s="8" t="s">
        <v>2057</v>
      </c>
    </row>
    <row r="162" spans="1:18" ht="26.15" customHeight="1">
      <c r="A162" s="7">
        <v>156</v>
      </c>
      <c r="B162" s="8" t="s">
        <v>368</v>
      </c>
      <c r="C162" s="8" t="s">
        <v>3114</v>
      </c>
      <c r="D162" s="8" t="s">
        <v>3346</v>
      </c>
      <c r="E162" s="8" t="s">
        <v>3116</v>
      </c>
      <c r="F162" s="9" t="s">
        <v>3117</v>
      </c>
      <c r="G162" s="10">
        <v>43977</v>
      </c>
      <c r="H162" s="8" t="s">
        <v>34</v>
      </c>
      <c r="I162" s="11">
        <v>7000000</v>
      </c>
      <c r="J162" s="8" t="s">
        <v>365</v>
      </c>
      <c r="K162" s="8" t="s">
        <v>366</v>
      </c>
      <c r="L162" s="7">
        <v>2017</v>
      </c>
      <c r="M162" s="8" t="s">
        <v>369</v>
      </c>
      <c r="N162" s="11">
        <v>7000000</v>
      </c>
      <c r="O162" s="8" t="s">
        <v>370</v>
      </c>
      <c r="P162" s="8" t="s">
        <v>371</v>
      </c>
      <c r="Q162" s="8"/>
      <c r="R162" s="8" t="s">
        <v>954</v>
      </c>
    </row>
    <row r="163" spans="1:18" ht="26.15" customHeight="1">
      <c r="A163" s="7">
        <v>157</v>
      </c>
      <c r="B163" s="8" t="s">
        <v>3347</v>
      </c>
      <c r="C163" s="8" t="s">
        <v>3114</v>
      </c>
      <c r="D163" s="8" t="s">
        <v>3348</v>
      </c>
      <c r="E163" s="8" t="s">
        <v>3116</v>
      </c>
      <c r="F163" s="9" t="s">
        <v>3123</v>
      </c>
      <c r="G163" s="10">
        <v>43977</v>
      </c>
      <c r="H163" s="8" t="s">
        <v>34</v>
      </c>
      <c r="I163" s="11">
        <v>7000000</v>
      </c>
      <c r="J163" s="8" t="s">
        <v>365</v>
      </c>
      <c r="K163" s="8" t="s">
        <v>366</v>
      </c>
      <c r="L163" s="7">
        <v>2017</v>
      </c>
      <c r="M163" s="8" t="s">
        <v>369</v>
      </c>
      <c r="N163" s="11">
        <v>7000000</v>
      </c>
      <c r="O163" s="8" t="s">
        <v>370</v>
      </c>
      <c r="P163" s="8" t="s">
        <v>371</v>
      </c>
      <c r="Q163" s="8"/>
      <c r="R163" s="8" t="s">
        <v>369</v>
      </c>
    </row>
    <row r="164" spans="1:18" ht="26.15" customHeight="1">
      <c r="A164" s="7">
        <v>158</v>
      </c>
      <c r="B164" s="8" t="s">
        <v>3349</v>
      </c>
      <c r="C164" s="8" t="s">
        <v>3114</v>
      </c>
      <c r="D164" s="8" t="s">
        <v>3350</v>
      </c>
      <c r="E164" s="8" t="s">
        <v>3116</v>
      </c>
      <c r="F164" s="9" t="s">
        <v>3123</v>
      </c>
      <c r="G164" s="10">
        <v>43977</v>
      </c>
      <c r="H164" s="8" t="s">
        <v>34</v>
      </c>
      <c r="I164" s="11">
        <v>7000000</v>
      </c>
      <c r="J164" s="8" t="s">
        <v>365</v>
      </c>
      <c r="K164" s="8" t="s">
        <v>366</v>
      </c>
      <c r="L164" s="7">
        <v>2017</v>
      </c>
      <c r="M164" s="8" t="s">
        <v>369</v>
      </c>
      <c r="N164" s="11">
        <v>7000000</v>
      </c>
      <c r="O164" s="8" t="s">
        <v>370</v>
      </c>
      <c r="P164" s="8" t="s">
        <v>371</v>
      </c>
      <c r="Q164" s="8"/>
      <c r="R164" s="8" t="s">
        <v>3166</v>
      </c>
    </row>
    <row r="165" spans="1:18" ht="26.15" customHeight="1">
      <c r="A165" s="7">
        <v>159</v>
      </c>
      <c r="B165" s="8" t="s">
        <v>3351</v>
      </c>
      <c r="C165" s="8" t="s">
        <v>3114</v>
      </c>
      <c r="D165" s="8" t="s">
        <v>3352</v>
      </c>
      <c r="E165" s="8" t="s">
        <v>3116</v>
      </c>
      <c r="F165" s="9" t="s">
        <v>3123</v>
      </c>
      <c r="G165" s="10">
        <v>43977</v>
      </c>
      <c r="H165" s="8" t="s">
        <v>34</v>
      </c>
      <c r="I165" s="11">
        <v>7000000</v>
      </c>
      <c r="J165" s="8" t="s">
        <v>365</v>
      </c>
      <c r="K165" s="8" t="s">
        <v>366</v>
      </c>
      <c r="L165" s="7">
        <v>2017</v>
      </c>
      <c r="M165" s="8" t="s">
        <v>369</v>
      </c>
      <c r="N165" s="11">
        <v>7000000</v>
      </c>
      <c r="O165" s="8" t="s">
        <v>370</v>
      </c>
      <c r="P165" s="8" t="s">
        <v>371</v>
      </c>
      <c r="Q165" s="8"/>
      <c r="R165" s="8" t="s">
        <v>3166</v>
      </c>
    </row>
    <row r="166" spans="1:18" ht="26.15" customHeight="1">
      <c r="A166" s="7">
        <v>160</v>
      </c>
      <c r="B166" s="8" t="s">
        <v>2539</v>
      </c>
      <c r="C166" s="8" t="s">
        <v>3114</v>
      </c>
      <c r="D166" s="8" t="s">
        <v>3353</v>
      </c>
      <c r="E166" s="8" t="s">
        <v>3116</v>
      </c>
      <c r="F166" s="9" t="s">
        <v>3123</v>
      </c>
      <c r="G166" s="10">
        <v>43977</v>
      </c>
      <c r="H166" s="8" t="s">
        <v>34</v>
      </c>
      <c r="I166" s="11">
        <v>7000000</v>
      </c>
      <c r="J166" s="8" t="s">
        <v>365</v>
      </c>
      <c r="K166" s="8" t="s">
        <v>366</v>
      </c>
      <c r="L166" s="7">
        <v>2017</v>
      </c>
      <c r="M166" s="8" t="s">
        <v>369</v>
      </c>
      <c r="N166" s="11">
        <v>7000000</v>
      </c>
      <c r="O166" s="8" t="s">
        <v>370</v>
      </c>
      <c r="P166" s="8" t="s">
        <v>371</v>
      </c>
      <c r="Q166" s="8"/>
      <c r="R166" s="8" t="s">
        <v>3354</v>
      </c>
    </row>
    <row r="167" spans="1:18" ht="26.15" customHeight="1">
      <c r="A167" s="7">
        <v>161</v>
      </c>
      <c r="B167" s="8" t="s">
        <v>381</v>
      </c>
      <c r="C167" s="8" t="s">
        <v>3114</v>
      </c>
      <c r="D167" s="8" t="s">
        <v>3355</v>
      </c>
      <c r="E167" s="8" t="s">
        <v>3116</v>
      </c>
      <c r="F167" s="9" t="s">
        <v>3117</v>
      </c>
      <c r="G167" s="10">
        <v>43971</v>
      </c>
      <c r="H167" s="8" t="s">
        <v>25</v>
      </c>
      <c r="I167" s="11">
        <v>5463940</v>
      </c>
      <c r="J167" s="8" t="s">
        <v>378</v>
      </c>
      <c r="K167" s="8" t="s">
        <v>379</v>
      </c>
      <c r="L167" s="7">
        <v>2014</v>
      </c>
      <c r="M167" s="8" t="s">
        <v>382</v>
      </c>
      <c r="N167" s="11">
        <v>10111973</v>
      </c>
      <c r="O167" s="8" t="s">
        <v>383</v>
      </c>
      <c r="P167" s="8" t="s">
        <v>384</v>
      </c>
      <c r="Q167" s="8"/>
      <c r="R167" s="8" t="s">
        <v>382</v>
      </c>
    </row>
    <row r="168" spans="1:18" ht="26.15" customHeight="1">
      <c r="A168" s="7">
        <v>162</v>
      </c>
      <c r="B168" s="8" t="s">
        <v>388</v>
      </c>
      <c r="C168" s="8" t="s">
        <v>3114</v>
      </c>
      <c r="D168" s="8" t="s">
        <v>3356</v>
      </c>
      <c r="E168" s="8" t="s">
        <v>3116</v>
      </c>
      <c r="F168" s="9" t="s">
        <v>3117</v>
      </c>
      <c r="G168" s="10">
        <v>43970</v>
      </c>
      <c r="H168" s="8" t="s">
        <v>109</v>
      </c>
      <c r="I168" s="11">
        <v>6000000</v>
      </c>
      <c r="J168" s="8" t="s">
        <v>385</v>
      </c>
      <c r="K168" s="8" t="s">
        <v>386</v>
      </c>
      <c r="L168" s="7">
        <v>2016</v>
      </c>
      <c r="M168" s="8" t="s">
        <v>39</v>
      </c>
      <c r="N168" s="11">
        <v>14260613</v>
      </c>
      <c r="O168" s="8" t="s">
        <v>389</v>
      </c>
      <c r="P168" s="8" t="s">
        <v>390</v>
      </c>
      <c r="Q168" s="8"/>
      <c r="R168" s="8" t="s">
        <v>3357</v>
      </c>
    </row>
    <row r="169" spans="1:18" ht="26.15" customHeight="1">
      <c r="A169" s="7">
        <v>163</v>
      </c>
      <c r="B169" s="8" t="s">
        <v>3358</v>
      </c>
      <c r="C169" s="8" t="s">
        <v>3114</v>
      </c>
      <c r="D169" s="8" t="s">
        <v>3359</v>
      </c>
      <c r="E169" s="8" t="s">
        <v>3116</v>
      </c>
      <c r="F169" s="9" t="s">
        <v>3123</v>
      </c>
      <c r="G169" s="10">
        <v>43970</v>
      </c>
      <c r="H169" s="8" t="s">
        <v>109</v>
      </c>
      <c r="I169" s="11">
        <v>6000000</v>
      </c>
      <c r="J169" s="8" t="s">
        <v>385</v>
      </c>
      <c r="K169" s="8" t="s">
        <v>386</v>
      </c>
      <c r="L169" s="7">
        <v>2016</v>
      </c>
      <c r="M169" s="8" t="s">
        <v>39</v>
      </c>
      <c r="N169" s="11">
        <v>14260613</v>
      </c>
      <c r="O169" s="8" t="s">
        <v>389</v>
      </c>
      <c r="P169" s="8" t="s">
        <v>390</v>
      </c>
      <c r="Q169" s="8"/>
      <c r="R169" s="8" t="s">
        <v>3360</v>
      </c>
    </row>
    <row r="170" spans="1:18" ht="26.15" customHeight="1">
      <c r="A170" s="7">
        <v>164</v>
      </c>
      <c r="B170" s="8" t="s">
        <v>3361</v>
      </c>
      <c r="C170" s="8" t="s">
        <v>3114</v>
      </c>
      <c r="D170" s="8" t="s">
        <v>3362</v>
      </c>
      <c r="E170" s="8" t="s">
        <v>3116</v>
      </c>
      <c r="F170" s="9" t="s">
        <v>3123</v>
      </c>
      <c r="G170" s="10">
        <v>43970</v>
      </c>
      <c r="H170" s="8" t="s">
        <v>109</v>
      </c>
      <c r="I170" s="11">
        <v>6000000</v>
      </c>
      <c r="J170" s="8" t="s">
        <v>385</v>
      </c>
      <c r="K170" s="8" t="s">
        <v>386</v>
      </c>
      <c r="L170" s="7">
        <v>2016</v>
      </c>
      <c r="M170" s="8" t="s">
        <v>39</v>
      </c>
      <c r="N170" s="11">
        <v>14260613</v>
      </c>
      <c r="O170" s="8" t="s">
        <v>389</v>
      </c>
      <c r="P170" s="8" t="s">
        <v>390</v>
      </c>
      <c r="Q170" s="8"/>
      <c r="R170" s="8" t="s">
        <v>3363</v>
      </c>
    </row>
    <row r="171" spans="1:18" ht="26.15" customHeight="1">
      <c r="A171" s="7">
        <v>165</v>
      </c>
      <c r="B171" s="8" t="s">
        <v>3364</v>
      </c>
      <c r="C171" s="8" t="s">
        <v>3114</v>
      </c>
      <c r="D171" s="8" t="s">
        <v>3365</v>
      </c>
      <c r="E171" s="8" t="s">
        <v>3116</v>
      </c>
      <c r="F171" s="9" t="s">
        <v>3123</v>
      </c>
      <c r="G171" s="10">
        <v>43970</v>
      </c>
      <c r="H171" s="8" t="s">
        <v>109</v>
      </c>
      <c r="I171" s="11">
        <v>6000000</v>
      </c>
      <c r="J171" s="8" t="s">
        <v>385</v>
      </c>
      <c r="K171" s="8" t="s">
        <v>386</v>
      </c>
      <c r="L171" s="7">
        <v>2016</v>
      </c>
      <c r="M171" s="8" t="s">
        <v>39</v>
      </c>
      <c r="N171" s="11">
        <v>14260613</v>
      </c>
      <c r="O171" s="8" t="s">
        <v>389</v>
      </c>
      <c r="P171" s="8" t="s">
        <v>390</v>
      </c>
      <c r="Q171" s="8"/>
      <c r="R171" s="8" t="s">
        <v>3366</v>
      </c>
    </row>
    <row r="172" spans="1:18" ht="26.15" customHeight="1">
      <c r="A172" s="7">
        <v>166</v>
      </c>
      <c r="B172" s="8" t="s">
        <v>3367</v>
      </c>
      <c r="C172" s="8" t="s">
        <v>3139</v>
      </c>
      <c r="D172" s="8" t="s">
        <v>3368</v>
      </c>
      <c r="E172" s="8" t="s">
        <v>3116</v>
      </c>
      <c r="F172" s="9" t="s">
        <v>3123</v>
      </c>
      <c r="G172" s="10">
        <v>43970</v>
      </c>
      <c r="H172" s="8" t="s">
        <v>109</v>
      </c>
      <c r="I172" s="11">
        <v>6000000</v>
      </c>
      <c r="J172" s="8" t="s">
        <v>385</v>
      </c>
      <c r="K172" s="8" t="s">
        <v>386</v>
      </c>
      <c r="L172" s="7">
        <v>2016</v>
      </c>
      <c r="M172" s="8" t="s">
        <v>39</v>
      </c>
      <c r="N172" s="11">
        <v>14260613</v>
      </c>
      <c r="O172" s="8" t="s">
        <v>389</v>
      </c>
      <c r="P172" s="8" t="s">
        <v>390</v>
      </c>
      <c r="Q172" s="8"/>
      <c r="R172" s="8"/>
    </row>
    <row r="173" spans="1:18" ht="26.15" customHeight="1">
      <c r="A173" s="7">
        <v>167</v>
      </c>
      <c r="B173" s="8" t="s">
        <v>3369</v>
      </c>
      <c r="C173" s="8" t="s">
        <v>3114</v>
      </c>
      <c r="D173" s="8" t="s">
        <v>3370</v>
      </c>
      <c r="E173" s="8" t="s">
        <v>3116</v>
      </c>
      <c r="F173" s="9" t="s">
        <v>3123</v>
      </c>
      <c r="G173" s="10">
        <v>43970</v>
      </c>
      <c r="H173" s="8" t="s">
        <v>109</v>
      </c>
      <c r="I173" s="11">
        <v>6000000</v>
      </c>
      <c r="J173" s="8" t="s">
        <v>385</v>
      </c>
      <c r="K173" s="8" t="s">
        <v>386</v>
      </c>
      <c r="L173" s="7">
        <v>2016</v>
      </c>
      <c r="M173" s="8" t="s">
        <v>39</v>
      </c>
      <c r="N173" s="11">
        <v>14260613</v>
      </c>
      <c r="O173" s="8" t="s">
        <v>389</v>
      </c>
      <c r="P173" s="8" t="s">
        <v>390</v>
      </c>
      <c r="Q173" s="8"/>
      <c r="R173" s="8" t="s">
        <v>3148</v>
      </c>
    </row>
    <row r="174" spans="1:18" ht="26.15" customHeight="1">
      <c r="A174" s="7">
        <v>168</v>
      </c>
      <c r="B174" s="8" t="s">
        <v>3371</v>
      </c>
      <c r="C174" s="8" t="s">
        <v>3114</v>
      </c>
      <c r="D174" s="8" t="s">
        <v>3372</v>
      </c>
      <c r="E174" s="8" t="s">
        <v>3116</v>
      </c>
      <c r="F174" s="9" t="s">
        <v>3123</v>
      </c>
      <c r="G174" s="10">
        <v>43970</v>
      </c>
      <c r="H174" s="8" t="s">
        <v>109</v>
      </c>
      <c r="I174" s="11">
        <v>6000000</v>
      </c>
      <c r="J174" s="8" t="s">
        <v>385</v>
      </c>
      <c r="K174" s="8" t="s">
        <v>386</v>
      </c>
      <c r="L174" s="7">
        <v>2016</v>
      </c>
      <c r="M174" s="8" t="s">
        <v>39</v>
      </c>
      <c r="N174" s="11">
        <v>14260613</v>
      </c>
      <c r="O174" s="8" t="s">
        <v>389</v>
      </c>
      <c r="P174" s="8" t="s">
        <v>390</v>
      </c>
      <c r="Q174" s="8"/>
      <c r="R174" s="8" t="s">
        <v>3373</v>
      </c>
    </row>
    <row r="175" spans="1:18" ht="26.15" customHeight="1">
      <c r="A175" s="7">
        <v>169</v>
      </c>
      <c r="B175" s="8" t="s">
        <v>3374</v>
      </c>
      <c r="C175" s="8" t="s">
        <v>3114</v>
      </c>
      <c r="D175" s="8" t="s">
        <v>3375</v>
      </c>
      <c r="E175" s="8" t="s">
        <v>3116</v>
      </c>
      <c r="F175" s="9" t="s">
        <v>3123</v>
      </c>
      <c r="G175" s="10">
        <v>43969</v>
      </c>
      <c r="H175" s="8" t="s">
        <v>34</v>
      </c>
      <c r="I175" s="11">
        <v>331715</v>
      </c>
      <c r="J175" s="8" t="s">
        <v>391</v>
      </c>
      <c r="K175" s="8" t="s">
        <v>392</v>
      </c>
      <c r="L175" s="7">
        <v>2017</v>
      </c>
      <c r="M175" s="8" t="s">
        <v>395</v>
      </c>
      <c r="N175" s="11">
        <v>751549</v>
      </c>
      <c r="O175" s="8" t="s">
        <v>396</v>
      </c>
      <c r="P175" s="8" t="s">
        <v>397</v>
      </c>
      <c r="Q175" s="8"/>
      <c r="R175" s="8" t="s">
        <v>79</v>
      </c>
    </row>
    <row r="176" spans="1:18" ht="26.15" customHeight="1">
      <c r="A176" s="7">
        <v>170</v>
      </c>
      <c r="B176" s="8" t="s">
        <v>1091</v>
      </c>
      <c r="C176" s="8" t="s">
        <v>3139</v>
      </c>
      <c r="D176" s="8" t="s">
        <v>3237</v>
      </c>
      <c r="E176" s="8" t="s">
        <v>3116</v>
      </c>
      <c r="F176" s="9" t="s">
        <v>3123</v>
      </c>
      <c r="G176" s="10">
        <v>43969</v>
      </c>
      <c r="H176" s="8" t="s">
        <v>34</v>
      </c>
      <c r="I176" s="11">
        <v>331715</v>
      </c>
      <c r="J176" s="8" t="s">
        <v>391</v>
      </c>
      <c r="K176" s="8" t="s">
        <v>392</v>
      </c>
      <c r="L176" s="7">
        <v>2017</v>
      </c>
      <c r="M176" s="8" t="s">
        <v>395</v>
      </c>
      <c r="N176" s="11">
        <v>751549</v>
      </c>
      <c r="O176" s="8" t="s">
        <v>396</v>
      </c>
      <c r="P176" s="8" t="s">
        <v>397</v>
      </c>
      <c r="Q176" s="8"/>
      <c r="R176" s="8" t="s">
        <v>3138</v>
      </c>
    </row>
    <row r="177" spans="1:18" ht="26.15" customHeight="1">
      <c r="A177" s="7">
        <v>171</v>
      </c>
      <c r="B177" s="8" t="s">
        <v>3376</v>
      </c>
      <c r="C177" s="8" t="s">
        <v>3127</v>
      </c>
      <c r="D177" s="8"/>
      <c r="E177" s="8" t="s">
        <v>3128</v>
      </c>
      <c r="F177" s="9" t="s">
        <v>3123</v>
      </c>
      <c r="G177" s="10">
        <v>43969</v>
      </c>
      <c r="H177" s="8" t="s">
        <v>34</v>
      </c>
      <c r="I177" s="11">
        <v>331715</v>
      </c>
      <c r="J177" s="8" t="s">
        <v>391</v>
      </c>
      <c r="K177" s="8" t="s">
        <v>392</v>
      </c>
      <c r="L177" s="7">
        <v>2017</v>
      </c>
      <c r="M177" s="8" t="s">
        <v>395</v>
      </c>
      <c r="N177" s="11">
        <v>751549</v>
      </c>
      <c r="O177" s="8" t="s">
        <v>396</v>
      </c>
      <c r="P177" s="8" t="s">
        <v>397</v>
      </c>
      <c r="Q177" s="8"/>
      <c r="R177" s="8"/>
    </row>
    <row r="178" spans="1:18" ht="26.15" customHeight="1">
      <c r="A178" s="7">
        <v>172</v>
      </c>
      <c r="B178" s="8" t="s">
        <v>3377</v>
      </c>
      <c r="C178" s="8" t="s">
        <v>3127</v>
      </c>
      <c r="D178" s="8"/>
      <c r="E178" s="8" t="s">
        <v>3128</v>
      </c>
      <c r="F178" s="9" t="s">
        <v>3123</v>
      </c>
      <c r="G178" s="10">
        <v>43969</v>
      </c>
      <c r="H178" s="8" t="s">
        <v>34</v>
      </c>
      <c r="I178" s="11">
        <v>331715</v>
      </c>
      <c r="J178" s="8" t="s">
        <v>391</v>
      </c>
      <c r="K178" s="8" t="s">
        <v>392</v>
      </c>
      <c r="L178" s="7">
        <v>2017</v>
      </c>
      <c r="M178" s="8" t="s">
        <v>395</v>
      </c>
      <c r="N178" s="11">
        <v>751549</v>
      </c>
      <c r="O178" s="8" t="s">
        <v>396</v>
      </c>
      <c r="P178" s="8" t="s">
        <v>397</v>
      </c>
      <c r="Q178" s="8"/>
      <c r="R178" s="8"/>
    </row>
    <row r="179" spans="1:18" ht="26.15" customHeight="1">
      <c r="A179" s="7">
        <v>173</v>
      </c>
      <c r="B179" s="8" t="s">
        <v>1908</v>
      </c>
      <c r="C179" s="8" t="s">
        <v>3127</v>
      </c>
      <c r="D179" s="8"/>
      <c r="E179" s="8" t="s">
        <v>3128</v>
      </c>
      <c r="F179" s="9" t="s">
        <v>3123</v>
      </c>
      <c r="G179" s="10">
        <v>43969</v>
      </c>
      <c r="H179" s="8" t="s">
        <v>34</v>
      </c>
      <c r="I179" s="11">
        <v>331715</v>
      </c>
      <c r="J179" s="8" t="s">
        <v>391</v>
      </c>
      <c r="K179" s="8" t="s">
        <v>392</v>
      </c>
      <c r="L179" s="7">
        <v>2017</v>
      </c>
      <c r="M179" s="8" t="s">
        <v>395</v>
      </c>
      <c r="N179" s="11">
        <v>751549</v>
      </c>
      <c r="O179" s="8" t="s">
        <v>396</v>
      </c>
      <c r="P179" s="8" t="s">
        <v>397</v>
      </c>
      <c r="Q179" s="8"/>
      <c r="R179" s="8"/>
    </row>
    <row r="180" spans="1:18" ht="26.15" customHeight="1">
      <c r="A180" s="7">
        <v>174</v>
      </c>
      <c r="B180" s="8" t="s">
        <v>3244</v>
      </c>
      <c r="C180" s="8" t="s">
        <v>3127</v>
      </c>
      <c r="D180" s="8"/>
      <c r="E180" s="8" t="s">
        <v>3128</v>
      </c>
      <c r="F180" s="9" t="s">
        <v>3123</v>
      </c>
      <c r="G180" s="10">
        <v>43969</v>
      </c>
      <c r="H180" s="8" t="s">
        <v>34</v>
      </c>
      <c r="I180" s="11">
        <v>331715</v>
      </c>
      <c r="J180" s="8" t="s">
        <v>391</v>
      </c>
      <c r="K180" s="8" t="s">
        <v>392</v>
      </c>
      <c r="L180" s="7">
        <v>2017</v>
      </c>
      <c r="M180" s="8" t="s">
        <v>395</v>
      </c>
      <c r="N180" s="11">
        <v>751549</v>
      </c>
      <c r="O180" s="8" t="s">
        <v>396</v>
      </c>
      <c r="P180" s="8" t="s">
        <v>397</v>
      </c>
      <c r="Q180" s="8"/>
      <c r="R180" s="8"/>
    </row>
    <row r="181" spans="1:18" ht="26.15" customHeight="1">
      <c r="A181" s="7">
        <v>175</v>
      </c>
      <c r="B181" s="8" t="s">
        <v>3378</v>
      </c>
      <c r="C181" s="8" t="s">
        <v>3127</v>
      </c>
      <c r="D181" s="8"/>
      <c r="E181" s="8" t="s">
        <v>3128</v>
      </c>
      <c r="F181" s="9" t="s">
        <v>3123</v>
      </c>
      <c r="G181" s="10">
        <v>43969</v>
      </c>
      <c r="H181" s="8" t="s">
        <v>34</v>
      </c>
      <c r="I181" s="11">
        <v>331715</v>
      </c>
      <c r="J181" s="8" t="s">
        <v>391</v>
      </c>
      <c r="K181" s="8" t="s">
        <v>392</v>
      </c>
      <c r="L181" s="7">
        <v>2017</v>
      </c>
      <c r="M181" s="8" t="s">
        <v>395</v>
      </c>
      <c r="N181" s="11">
        <v>751549</v>
      </c>
      <c r="O181" s="8" t="s">
        <v>396</v>
      </c>
      <c r="P181" s="8" t="s">
        <v>397</v>
      </c>
      <c r="Q181" s="8"/>
      <c r="R181" s="8"/>
    </row>
    <row r="182" spans="1:18" ht="26.15" customHeight="1">
      <c r="A182" s="7">
        <v>176</v>
      </c>
      <c r="B182" s="8" t="s">
        <v>3379</v>
      </c>
      <c r="C182" s="8" t="s">
        <v>3127</v>
      </c>
      <c r="D182" s="8"/>
      <c r="E182" s="8" t="s">
        <v>3128</v>
      </c>
      <c r="F182" s="9" t="s">
        <v>3123</v>
      </c>
      <c r="G182" s="10">
        <v>43969</v>
      </c>
      <c r="H182" s="8" t="s">
        <v>34</v>
      </c>
      <c r="I182" s="11">
        <v>331715</v>
      </c>
      <c r="J182" s="8" t="s">
        <v>391</v>
      </c>
      <c r="K182" s="8" t="s">
        <v>392</v>
      </c>
      <c r="L182" s="7">
        <v>2017</v>
      </c>
      <c r="M182" s="8" t="s">
        <v>395</v>
      </c>
      <c r="N182" s="11">
        <v>751549</v>
      </c>
      <c r="O182" s="8" t="s">
        <v>396</v>
      </c>
      <c r="P182" s="8" t="s">
        <v>397</v>
      </c>
      <c r="Q182" s="8"/>
      <c r="R182" s="8"/>
    </row>
    <row r="183" spans="1:18" ht="26.15" customHeight="1">
      <c r="A183" s="7">
        <v>177</v>
      </c>
      <c r="B183" s="8" t="s">
        <v>3380</v>
      </c>
      <c r="C183" s="8" t="s">
        <v>3127</v>
      </c>
      <c r="D183" s="8"/>
      <c r="E183" s="8" t="s">
        <v>3128</v>
      </c>
      <c r="F183" s="9" t="s">
        <v>3123</v>
      </c>
      <c r="G183" s="10">
        <v>43969</v>
      </c>
      <c r="H183" s="8" t="s">
        <v>34</v>
      </c>
      <c r="I183" s="11">
        <v>331715</v>
      </c>
      <c r="J183" s="8" t="s">
        <v>391</v>
      </c>
      <c r="K183" s="8" t="s">
        <v>392</v>
      </c>
      <c r="L183" s="7">
        <v>2017</v>
      </c>
      <c r="M183" s="8" t="s">
        <v>395</v>
      </c>
      <c r="N183" s="11">
        <v>751549</v>
      </c>
      <c r="O183" s="8" t="s">
        <v>396</v>
      </c>
      <c r="P183" s="8" t="s">
        <v>397</v>
      </c>
      <c r="Q183" s="8"/>
      <c r="R183" s="8"/>
    </row>
    <row r="184" spans="1:18" ht="26.15" customHeight="1">
      <c r="A184" s="7">
        <v>178</v>
      </c>
      <c r="B184" s="8" t="s">
        <v>3381</v>
      </c>
      <c r="C184" s="8" t="s">
        <v>3139</v>
      </c>
      <c r="D184" s="8" t="s">
        <v>3382</v>
      </c>
      <c r="E184" s="8" t="s">
        <v>3116</v>
      </c>
      <c r="F184" s="9" t="s">
        <v>3123</v>
      </c>
      <c r="G184" s="10">
        <v>43969</v>
      </c>
      <c r="H184" s="8" t="s">
        <v>34</v>
      </c>
      <c r="I184" s="11">
        <v>331715</v>
      </c>
      <c r="J184" s="8" t="s">
        <v>391</v>
      </c>
      <c r="K184" s="8" t="s">
        <v>392</v>
      </c>
      <c r="L184" s="7">
        <v>2017</v>
      </c>
      <c r="M184" s="8" t="s">
        <v>395</v>
      </c>
      <c r="N184" s="11">
        <v>751549</v>
      </c>
      <c r="O184" s="8" t="s">
        <v>396</v>
      </c>
      <c r="P184" s="8" t="s">
        <v>397</v>
      </c>
      <c r="Q184" s="8"/>
      <c r="R184" s="8"/>
    </row>
    <row r="185" spans="1:18" ht="26.15" customHeight="1">
      <c r="A185" s="7">
        <v>179</v>
      </c>
      <c r="B185" s="8" t="s">
        <v>3383</v>
      </c>
      <c r="C185" s="8" t="s">
        <v>3127</v>
      </c>
      <c r="D185" s="8"/>
      <c r="E185" s="8" t="s">
        <v>3128</v>
      </c>
      <c r="F185" s="9" t="s">
        <v>3123</v>
      </c>
      <c r="G185" s="10">
        <v>43969</v>
      </c>
      <c r="H185" s="8" t="s">
        <v>34</v>
      </c>
      <c r="I185" s="11">
        <v>331715</v>
      </c>
      <c r="J185" s="8" t="s">
        <v>391</v>
      </c>
      <c r="K185" s="8" t="s">
        <v>392</v>
      </c>
      <c r="L185" s="7">
        <v>2017</v>
      </c>
      <c r="M185" s="8" t="s">
        <v>395</v>
      </c>
      <c r="N185" s="11">
        <v>751549</v>
      </c>
      <c r="O185" s="8" t="s">
        <v>396</v>
      </c>
      <c r="P185" s="8" t="s">
        <v>397</v>
      </c>
      <c r="Q185" s="8"/>
      <c r="R185" s="8"/>
    </row>
    <row r="186" spans="1:18" ht="26.15" customHeight="1">
      <c r="A186" s="7">
        <v>180</v>
      </c>
      <c r="B186" s="8" t="s">
        <v>3384</v>
      </c>
      <c r="C186" s="8" t="s">
        <v>3127</v>
      </c>
      <c r="D186" s="8"/>
      <c r="E186" s="8" t="s">
        <v>3128</v>
      </c>
      <c r="F186" s="9" t="s">
        <v>3123</v>
      </c>
      <c r="G186" s="10">
        <v>43969</v>
      </c>
      <c r="H186" s="8" t="s">
        <v>34</v>
      </c>
      <c r="I186" s="11">
        <v>331715</v>
      </c>
      <c r="J186" s="8" t="s">
        <v>391</v>
      </c>
      <c r="K186" s="8" t="s">
        <v>392</v>
      </c>
      <c r="L186" s="7">
        <v>2017</v>
      </c>
      <c r="M186" s="8" t="s">
        <v>395</v>
      </c>
      <c r="N186" s="11">
        <v>751549</v>
      </c>
      <c r="O186" s="8" t="s">
        <v>396</v>
      </c>
      <c r="P186" s="8" t="s">
        <v>397</v>
      </c>
      <c r="Q186" s="8"/>
      <c r="R186" s="8"/>
    </row>
    <row r="187" spans="1:18" ht="26.15" customHeight="1">
      <c r="A187" s="7">
        <v>181</v>
      </c>
      <c r="B187" s="8" t="s">
        <v>401</v>
      </c>
      <c r="C187" s="8"/>
      <c r="D187" s="8" t="s">
        <v>3385</v>
      </c>
      <c r="E187" s="8" t="s">
        <v>3116</v>
      </c>
      <c r="F187" s="9" t="s">
        <v>3117</v>
      </c>
      <c r="G187" s="10">
        <v>43964</v>
      </c>
      <c r="H187" s="8" t="s">
        <v>109</v>
      </c>
      <c r="I187" s="11">
        <v>112096</v>
      </c>
      <c r="J187" s="8" t="s">
        <v>398</v>
      </c>
      <c r="K187" s="8" t="s">
        <v>399</v>
      </c>
      <c r="L187" s="7">
        <v>2017</v>
      </c>
      <c r="M187" s="8" t="s">
        <v>79</v>
      </c>
      <c r="N187" s="11">
        <v>6930813</v>
      </c>
      <c r="O187" s="8" t="s">
        <v>402</v>
      </c>
      <c r="P187" s="8" t="s">
        <v>403</v>
      </c>
      <c r="Q187" s="8"/>
      <c r="R187" s="8" t="s">
        <v>313</v>
      </c>
    </row>
    <row r="188" spans="1:18" ht="26.15" customHeight="1">
      <c r="A188" s="7">
        <v>182</v>
      </c>
      <c r="B188" s="8" t="s">
        <v>407</v>
      </c>
      <c r="C188" s="8" t="s">
        <v>3114</v>
      </c>
      <c r="D188" s="8" t="s">
        <v>3386</v>
      </c>
      <c r="E188" s="8" t="s">
        <v>3116</v>
      </c>
      <c r="F188" s="9" t="s">
        <v>3117</v>
      </c>
      <c r="G188" s="10">
        <v>43964</v>
      </c>
      <c r="H188" s="8" t="s">
        <v>109</v>
      </c>
      <c r="I188" s="11">
        <v>5900000</v>
      </c>
      <c r="J188" s="8" t="s">
        <v>404</v>
      </c>
      <c r="K188" s="8" t="s">
        <v>405</v>
      </c>
      <c r="L188" s="7">
        <v>2016</v>
      </c>
      <c r="M188" s="8" t="s">
        <v>79</v>
      </c>
      <c r="N188" s="11">
        <v>8750809</v>
      </c>
      <c r="O188" s="8" t="s">
        <v>408</v>
      </c>
      <c r="P188" s="8" t="s">
        <v>409</v>
      </c>
      <c r="Q188" s="8"/>
      <c r="R188" s="8" t="s">
        <v>79</v>
      </c>
    </row>
    <row r="189" spans="1:18" ht="26.15" customHeight="1">
      <c r="A189" s="7">
        <v>183</v>
      </c>
      <c r="B189" s="8" t="s">
        <v>3387</v>
      </c>
      <c r="C189" s="8" t="s">
        <v>3139</v>
      </c>
      <c r="D189" s="8" t="s">
        <v>3388</v>
      </c>
      <c r="E189" s="8" t="s">
        <v>3116</v>
      </c>
      <c r="F189" s="9" t="s">
        <v>3123</v>
      </c>
      <c r="G189" s="10">
        <v>43964</v>
      </c>
      <c r="H189" s="8" t="s">
        <v>109</v>
      </c>
      <c r="I189" s="11">
        <v>5900000</v>
      </c>
      <c r="J189" s="8" t="s">
        <v>404</v>
      </c>
      <c r="K189" s="8" t="s">
        <v>405</v>
      </c>
      <c r="L189" s="7">
        <v>2016</v>
      </c>
      <c r="M189" s="8" t="s">
        <v>79</v>
      </c>
      <c r="N189" s="11">
        <v>8750809</v>
      </c>
      <c r="O189" s="8" t="s">
        <v>408</v>
      </c>
      <c r="P189" s="8" t="s">
        <v>409</v>
      </c>
      <c r="Q189" s="8"/>
      <c r="R189" s="8" t="s">
        <v>3389</v>
      </c>
    </row>
    <row r="190" spans="1:18" ht="26.15" customHeight="1">
      <c r="A190" s="7">
        <v>184</v>
      </c>
      <c r="B190" s="8" t="s">
        <v>3390</v>
      </c>
      <c r="C190" s="8"/>
      <c r="D190" s="8" t="s">
        <v>3391</v>
      </c>
      <c r="E190" s="8" t="s">
        <v>3116</v>
      </c>
      <c r="F190" s="9" t="s">
        <v>3123</v>
      </c>
      <c r="G190" s="10">
        <v>43964</v>
      </c>
      <c r="H190" s="8" t="s">
        <v>109</v>
      </c>
      <c r="I190" s="11">
        <v>5900000</v>
      </c>
      <c r="J190" s="8" t="s">
        <v>404</v>
      </c>
      <c r="K190" s="8" t="s">
        <v>405</v>
      </c>
      <c r="L190" s="7">
        <v>2016</v>
      </c>
      <c r="M190" s="8" t="s">
        <v>79</v>
      </c>
      <c r="N190" s="11">
        <v>8750809</v>
      </c>
      <c r="O190" s="8" t="s">
        <v>408</v>
      </c>
      <c r="P190" s="8" t="s">
        <v>409</v>
      </c>
      <c r="Q190" s="8"/>
      <c r="R190" s="8" t="s">
        <v>3392</v>
      </c>
    </row>
    <row r="191" spans="1:18" ht="26.15" customHeight="1">
      <c r="A191" s="7">
        <v>185</v>
      </c>
      <c r="B191" s="8" t="s">
        <v>2355</v>
      </c>
      <c r="C191" s="8" t="s">
        <v>3114</v>
      </c>
      <c r="D191" s="8" t="s">
        <v>3147</v>
      </c>
      <c r="E191" s="8" t="s">
        <v>3116</v>
      </c>
      <c r="F191" s="9" t="s">
        <v>3123</v>
      </c>
      <c r="G191" s="10">
        <v>43964</v>
      </c>
      <c r="H191" s="8" t="s">
        <v>109</v>
      </c>
      <c r="I191" s="11">
        <v>5900000</v>
      </c>
      <c r="J191" s="8" t="s">
        <v>404</v>
      </c>
      <c r="K191" s="8" t="s">
        <v>405</v>
      </c>
      <c r="L191" s="7">
        <v>2016</v>
      </c>
      <c r="M191" s="8" t="s">
        <v>79</v>
      </c>
      <c r="N191" s="11">
        <v>8750809</v>
      </c>
      <c r="O191" s="8" t="s">
        <v>408</v>
      </c>
      <c r="P191" s="8" t="s">
        <v>409</v>
      </c>
      <c r="Q191" s="8"/>
      <c r="R191" s="8" t="s">
        <v>3148</v>
      </c>
    </row>
    <row r="192" spans="1:18" ht="26.15" customHeight="1">
      <c r="A192" s="7">
        <v>186</v>
      </c>
      <c r="B192" s="8" t="s">
        <v>644</v>
      </c>
      <c r="C192" s="8" t="s">
        <v>3114</v>
      </c>
      <c r="D192" s="8" t="s">
        <v>3162</v>
      </c>
      <c r="E192" s="8" t="s">
        <v>3116</v>
      </c>
      <c r="F192" s="9" t="s">
        <v>3123</v>
      </c>
      <c r="G192" s="10">
        <v>43964</v>
      </c>
      <c r="H192" s="8" t="s">
        <v>109</v>
      </c>
      <c r="I192" s="11">
        <v>5900000</v>
      </c>
      <c r="J192" s="8" t="s">
        <v>404</v>
      </c>
      <c r="K192" s="8" t="s">
        <v>405</v>
      </c>
      <c r="L192" s="7">
        <v>2016</v>
      </c>
      <c r="M192" s="8" t="s">
        <v>79</v>
      </c>
      <c r="N192" s="11">
        <v>8750809</v>
      </c>
      <c r="O192" s="8" t="s">
        <v>408</v>
      </c>
      <c r="P192" s="8" t="s">
        <v>409</v>
      </c>
      <c r="Q192" s="8"/>
      <c r="R192" s="8" t="s">
        <v>313</v>
      </c>
    </row>
    <row r="193" spans="1:18" ht="26.15" customHeight="1">
      <c r="A193" s="7">
        <v>187</v>
      </c>
      <c r="B193" s="8" t="s">
        <v>414</v>
      </c>
      <c r="C193" s="8" t="s">
        <v>3114</v>
      </c>
      <c r="D193" s="8" t="s">
        <v>3393</v>
      </c>
      <c r="E193" s="8" t="s">
        <v>3116</v>
      </c>
      <c r="F193" s="9" t="s">
        <v>3117</v>
      </c>
      <c r="G193" s="10">
        <v>43959</v>
      </c>
      <c r="H193" s="8" t="s">
        <v>109</v>
      </c>
      <c r="I193" s="11">
        <v>14100500</v>
      </c>
      <c r="J193" s="8" t="s">
        <v>411</v>
      </c>
      <c r="K193" s="8" t="s">
        <v>412</v>
      </c>
      <c r="L193" s="7">
        <v>2017</v>
      </c>
      <c r="M193" s="8" t="s">
        <v>415</v>
      </c>
      <c r="N193" s="11">
        <v>14100500</v>
      </c>
      <c r="O193" s="8" t="s">
        <v>416</v>
      </c>
      <c r="P193" s="8" t="s">
        <v>417</v>
      </c>
      <c r="Q193" s="8"/>
      <c r="R193" s="8" t="s">
        <v>3394</v>
      </c>
    </row>
    <row r="194" spans="1:18" ht="26.15" customHeight="1">
      <c r="A194" s="7">
        <v>188</v>
      </c>
      <c r="B194" s="8" t="s">
        <v>401</v>
      </c>
      <c r="C194" s="8"/>
      <c r="D194" s="8" t="s">
        <v>3385</v>
      </c>
      <c r="E194" s="8" t="s">
        <v>3116</v>
      </c>
      <c r="F194" s="9" t="s">
        <v>3123</v>
      </c>
      <c r="G194" s="10">
        <v>43956</v>
      </c>
      <c r="H194" s="8" t="s">
        <v>302</v>
      </c>
      <c r="I194" s="11">
        <v>931607</v>
      </c>
      <c r="J194" s="8" t="s">
        <v>398</v>
      </c>
      <c r="K194" s="8" t="s">
        <v>399</v>
      </c>
      <c r="L194" s="7">
        <v>2017</v>
      </c>
      <c r="M194" s="8" t="s">
        <v>79</v>
      </c>
      <c r="N194" s="11">
        <v>6930813</v>
      </c>
      <c r="O194" s="8" t="s">
        <v>402</v>
      </c>
      <c r="P194" s="8" t="s">
        <v>403</v>
      </c>
      <c r="Q194" s="8"/>
      <c r="R194" s="8" t="s">
        <v>313</v>
      </c>
    </row>
    <row r="195" spans="1:18" ht="26.15" customHeight="1">
      <c r="A195" s="7">
        <v>189</v>
      </c>
      <c r="B195" s="8" t="s">
        <v>3395</v>
      </c>
      <c r="C195" s="8" t="s">
        <v>3114</v>
      </c>
      <c r="D195" s="8" t="s">
        <v>3396</v>
      </c>
      <c r="E195" s="8" t="s">
        <v>3116</v>
      </c>
      <c r="F195" s="9" t="s">
        <v>3123</v>
      </c>
      <c r="G195" s="10">
        <v>43956</v>
      </c>
      <c r="H195" s="8" t="s">
        <v>34</v>
      </c>
      <c r="I195" s="11" t="s">
        <v>50</v>
      </c>
      <c r="J195" s="8" t="s">
        <v>281</v>
      </c>
      <c r="K195" s="8" t="s">
        <v>282</v>
      </c>
      <c r="L195" s="7">
        <v>2018</v>
      </c>
      <c r="M195" s="8" t="s">
        <v>286</v>
      </c>
      <c r="N195" s="11"/>
      <c r="O195" s="8" t="s">
        <v>287</v>
      </c>
      <c r="P195" s="8" t="s">
        <v>288</v>
      </c>
      <c r="Q195" s="8"/>
      <c r="R195" s="8" t="s">
        <v>128</v>
      </c>
    </row>
    <row r="196" spans="1:18" ht="26.15" customHeight="1">
      <c r="A196" s="7">
        <v>190</v>
      </c>
      <c r="B196" s="8" t="s">
        <v>766</v>
      </c>
      <c r="C196" s="8" t="s">
        <v>3114</v>
      </c>
      <c r="D196" s="8" t="s">
        <v>3397</v>
      </c>
      <c r="E196" s="8" t="s">
        <v>3116</v>
      </c>
      <c r="F196" s="9" t="s">
        <v>3123</v>
      </c>
      <c r="G196" s="10">
        <v>43941</v>
      </c>
      <c r="H196" s="8" t="s">
        <v>109</v>
      </c>
      <c r="I196" s="11">
        <v>12000000</v>
      </c>
      <c r="J196" s="8" t="s">
        <v>419</v>
      </c>
      <c r="K196" s="8" t="s">
        <v>420</v>
      </c>
      <c r="L196" s="7">
        <v>2019</v>
      </c>
      <c r="M196" s="8" t="s">
        <v>128</v>
      </c>
      <c r="N196" s="11">
        <v>14591780</v>
      </c>
      <c r="O196" s="8" t="s">
        <v>423</v>
      </c>
      <c r="P196" s="8" t="s">
        <v>424</v>
      </c>
      <c r="Q196" s="8"/>
      <c r="R196" s="8" t="s">
        <v>3398</v>
      </c>
    </row>
    <row r="197" spans="1:18" ht="26.15" customHeight="1">
      <c r="A197" s="7">
        <v>191</v>
      </c>
      <c r="B197" s="8" t="s">
        <v>644</v>
      </c>
      <c r="C197" s="8" t="s">
        <v>3114</v>
      </c>
      <c r="D197" s="8" t="s">
        <v>3162</v>
      </c>
      <c r="E197" s="8" t="s">
        <v>3116</v>
      </c>
      <c r="F197" s="9" t="s">
        <v>3123</v>
      </c>
      <c r="G197" s="10">
        <v>43941</v>
      </c>
      <c r="H197" s="8" t="s">
        <v>109</v>
      </c>
      <c r="I197" s="11">
        <v>12000000</v>
      </c>
      <c r="J197" s="8" t="s">
        <v>419</v>
      </c>
      <c r="K197" s="8" t="s">
        <v>420</v>
      </c>
      <c r="L197" s="7">
        <v>2019</v>
      </c>
      <c r="M197" s="8" t="s">
        <v>128</v>
      </c>
      <c r="N197" s="11">
        <v>14591780</v>
      </c>
      <c r="O197" s="8" t="s">
        <v>423</v>
      </c>
      <c r="P197" s="8" t="s">
        <v>424</v>
      </c>
      <c r="Q197" s="8"/>
      <c r="R197" s="8" t="s">
        <v>313</v>
      </c>
    </row>
    <row r="198" spans="1:18" ht="26.15" customHeight="1">
      <c r="A198" s="7">
        <v>192</v>
      </c>
      <c r="B198" s="8" t="s">
        <v>3399</v>
      </c>
      <c r="C198" s="8" t="s">
        <v>3139</v>
      </c>
      <c r="D198" s="8" t="s">
        <v>3400</v>
      </c>
      <c r="E198" s="8" t="s">
        <v>3116</v>
      </c>
      <c r="F198" s="9" t="s">
        <v>3123</v>
      </c>
      <c r="G198" s="10">
        <v>43941</v>
      </c>
      <c r="H198" s="8" t="s">
        <v>109</v>
      </c>
      <c r="I198" s="11">
        <v>12000000</v>
      </c>
      <c r="J198" s="8" t="s">
        <v>419</v>
      </c>
      <c r="K198" s="8" t="s">
        <v>420</v>
      </c>
      <c r="L198" s="7">
        <v>2019</v>
      </c>
      <c r="M198" s="8" t="s">
        <v>128</v>
      </c>
      <c r="N198" s="11">
        <v>14591780</v>
      </c>
      <c r="O198" s="8" t="s">
        <v>423</v>
      </c>
      <c r="P198" s="8" t="s">
        <v>424</v>
      </c>
      <c r="Q198" s="8"/>
      <c r="R198" s="8"/>
    </row>
    <row r="199" spans="1:18" ht="26.15" customHeight="1">
      <c r="A199" s="7">
        <v>193</v>
      </c>
      <c r="B199" s="8" t="s">
        <v>422</v>
      </c>
      <c r="C199" s="8" t="s">
        <v>3114</v>
      </c>
      <c r="D199" s="8" t="s">
        <v>3401</v>
      </c>
      <c r="E199" s="8" t="s">
        <v>3116</v>
      </c>
      <c r="F199" s="9" t="s">
        <v>3117</v>
      </c>
      <c r="G199" s="10">
        <v>43941</v>
      </c>
      <c r="H199" s="8" t="s">
        <v>109</v>
      </c>
      <c r="I199" s="11">
        <v>12000000</v>
      </c>
      <c r="J199" s="8" t="s">
        <v>419</v>
      </c>
      <c r="K199" s="8" t="s">
        <v>420</v>
      </c>
      <c r="L199" s="7">
        <v>2019</v>
      </c>
      <c r="M199" s="8" t="s">
        <v>128</v>
      </c>
      <c r="N199" s="11">
        <v>14591780</v>
      </c>
      <c r="O199" s="8" t="s">
        <v>423</v>
      </c>
      <c r="P199" s="8" t="s">
        <v>424</v>
      </c>
      <c r="Q199" s="8"/>
      <c r="R199" s="8" t="s">
        <v>3402</v>
      </c>
    </row>
    <row r="200" spans="1:18" ht="26.15" customHeight="1">
      <c r="A200" s="7">
        <v>194</v>
      </c>
      <c r="B200" s="8" t="s">
        <v>3403</v>
      </c>
      <c r="C200" s="8" t="s">
        <v>3114</v>
      </c>
      <c r="D200" s="8" t="s">
        <v>3404</v>
      </c>
      <c r="E200" s="8" t="s">
        <v>3116</v>
      </c>
      <c r="F200" s="9" t="s">
        <v>3123</v>
      </c>
      <c r="G200" s="10">
        <v>43941</v>
      </c>
      <c r="H200" s="8" t="s">
        <v>109</v>
      </c>
      <c r="I200" s="11">
        <v>12000000</v>
      </c>
      <c r="J200" s="8" t="s">
        <v>419</v>
      </c>
      <c r="K200" s="8" t="s">
        <v>420</v>
      </c>
      <c r="L200" s="7">
        <v>2019</v>
      </c>
      <c r="M200" s="8" t="s">
        <v>128</v>
      </c>
      <c r="N200" s="11">
        <v>14591780</v>
      </c>
      <c r="O200" s="8" t="s">
        <v>423</v>
      </c>
      <c r="P200" s="8" t="s">
        <v>424</v>
      </c>
      <c r="Q200" s="8"/>
      <c r="R200" s="8" t="s">
        <v>313</v>
      </c>
    </row>
    <row r="201" spans="1:18" ht="26.15" customHeight="1">
      <c r="A201" s="7">
        <v>195</v>
      </c>
      <c r="B201" s="8" t="s">
        <v>3124</v>
      </c>
      <c r="C201" s="8" t="s">
        <v>3114</v>
      </c>
      <c r="D201" s="8" t="s">
        <v>3125</v>
      </c>
      <c r="E201" s="8" t="s">
        <v>3116</v>
      </c>
      <c r="F201" s="9" t="s">
        <v>3123</v>
      </c>
      <c r="G201" s="10">
        <v>43941</v>
      </c>
      <c r="H201" s="8" t="s">
        <v>109</v>
      </c>
      <c r="I201" s="11">
        <v>12000000</v>
      </c>
      <c r="J201" s="8" t="s">
        <v>419</v>
      </c>
      <c r="K201" s="8" t="s">
        <v>420</v>
      </c>
      <c r="L201" s="7">
        <v>2019</v>
      </c>
      <c r="M201" s="8" t="s">
        <v>128</v>
      </c>
      <c r="N201" s="11">
        <v>14591780</v>
      </c>
      <c r="O201" s="8" t="s">
        <v>423</v>
      </c>
      <c r="P201" s="8" t="s">
        <v>424</v>
      </c>
      <c r="Q201" s="8"/>
      <c r="R201" s="8" t="s">
        <v>3126</v>
      </c>
    </row>
    <row r="202" spans="1:18" ht="26.15" customHeight="1">
      <c r="A202" s="7">
        <v>196</v>
      </c>
      <c r="B202" s="8" t="s">
        <v>429</v>
      </c>
      <c r="C202" s="8" t="s">
        <v>3114</v>
      </c>
      <c r="D202" s="8" t="s">
        <v>3405</v>
      </c>
      <c r="E202" s="8" t="s">
        <v>3116</v>
      </c>
      <c r="F202" s="9" t="s">
        <v>3117</v>
      </c>
      <c r="G202" s="10">
        <v>43937</v>
      </c>
      <c r="H202" s="8" t="s">
        <v>109</v>
      </c>
      <c r="I202" s="11">
        <v>3000000</v>
      </c>
      <c r="J202" s="8" t="s">
        <v>426</v>
      </c>
      <c r="K202" s="8" t="s">
        <v>427</v>
      </c>
      <c r="L202" s="7">
        <v>2014</v>
      </c>
      <c r="M202" s="8" t="s">
        <v>173</v>
      </c>
      <c r="N202" s="11">
        <v>5000000</v>
      </c>
      <c r="O202" s="8" t="s">
        <v>430</v>
      </c>
      <c r="P202" s="8" t="s">
        <v>431</v>
      </c>
      <c r="Q202" s="8"/>
      <c r="R202" s="8" t="s">
        <v>3204</v>
      </c>
    </row>
    <row r="203" spans="1:18" ht="26.15" customHeight="1">
      <c r="A203" s="7">
        <v>197</v>
      </c>
      <c r="B203" s="8" t="s">
        <v>356</v>
      </c>
      <c r="C203" s="8" t="s">
        <v>3114</v>
      </c>
      <c r="D203" s="8" t="s">
        <v>3341</v>
      </c>
      <c r="E203" s="8" t="s">
        <v>3116</v>
      </c>
      <c r="F203" s="9" t="s">
        <v>3123</v>
      </c>
      <c r="G203" s="10">
        <v>43937</v>
      </c>
      <c r="H203" s="8" t="s">
        <v>109</v>
      </c>
      <c r="I203" s="11">
        <v>3000000</v>
      </c>
      <c r="J203" s="8" t="s">
        <v>426</v>
      </c>
      <c r="K203" s="8" t="s">
        <v>427</v>
      </c>
      <c r="L203" s="7">
        <v>2014</v>
      </c>
      <c r="M203" s="8" t="s">
        <v>173</v>
      </c>
      <c r="N203" s="11">
        <v>5000000</v>
      </c>
      <c r="O203" s="8" t="s">
        <v>430</v>
      </c>
      <c r="P203" s="8" t="s">
        <v>431</v>
      </c>
      <c r="Q203" s="8"/>
      <c r="R203" s="8" t="s">
        <v>357</v>
      </c>
    </row>
    <row r="204" spans="1:18" ht="26.15" customHeight="1">
      <c r="A204" s="7">
        <v>198</v>
      </c>
      <c r="B204" s="8" t="s">
        <v>439</v>
      </c>
      <c r="C204" s="8"/>
      <c r="D204" s="8" t="s">
        <v>3406</v>
      </c>
      <c r="E204" s="8" t="s">
        <v>3116</v>
      </c>
      <c r="F204" s="9" t="s">
        <v>3117</v>
      </c>
      <c r="G204" s="10">
        <v>43935</v>
      </c>
      <c r="H204" s="8" t="s">
        <v>34</v>
      </c>
      <c r="I204" s="11">
        <v>194267</v>
      </c>
      <c r="J204" s="8" t="s">
        <v>436</v>
      </c>
      <c r="K204" s="8" t="s">
        <v>437</v>
      </c>
      <c r="L204" s="7">
        <v>2016</v>
      </c>
      <c r="M204" s="8" t="s">
        <v>440</v>
      </c>
      <c r="N204" s="11">
        <v>194267</v>
      </c>
      <c r="O204" s="8" t="s">
        <v>441</v>
      </c>
      <c r="P204" s="8" t="s">
        <v>442</v>
      </c>
      <c r="Q204" s="8"/>
      <c r="R204" s="8"/>
    </row>
    <row r="205" spans="1:18" ht="26.15" customHeight="1">
      <c r="A205" s="7">
        <v>199</v>
      </c>
      <c r="B205" s="8" t="s">
        <v>446</v>
      </c>
      <c r="C205" s="8" t="s">
        <v>3114</v>
      </c>
      <c r="D205" s="8" t="s">
        <v>3407</v>
      </c>
      <c r="E205" s="8" t="s">
        <v>3116</v>
      </c>
      <c r="F205" s="9" t="s">
        <v>3117</v>
      </c>
      <c r="G205" s="10">
        <v>43934</v>
      </c>
      <c r="H205" s="8" t="s">
        <v>109</v>
      </c>
      <c r="I205" s="11">
        <v>3783830</v>
      </c>
      <c r="J205" s="8" t="s">
        <v>443</v>
      </c>
      <c r="K205" s="8" t="s">
        <v>444</v>
      </c>
      <c r="L205" s="7">
        <v>2018</v>
      </c>
      <c r="M205" s="8" t="s">
        <v>56</v>
      </c>
      <c r="N205" s="11">
        <v>4804090</v>
      </c>
      <c r="O205" s="8" t="s">
        <v>447</v>
      </c>
      <c r="P205" s="8" t="s">
        <v>448</v>
      </c>
      <c r="Q205" s="8"/>
      <c r="R205" s="8" t="s">
        <v>3408</v>
      </c>
    </row>
    <row r="206" spans="1:18" ht="26.15" customHeight="1">
      <c r="A206" s="7">
        <v>200</v>
      </c>
      <c r="B206" s="8" t="s">
        <v>2275</v>
      </c>
      <c r="C206" s="8" t="s">
        <v>3114</v>
      </c>
      <c r="D206" s="8" t="s">
        <v>3409</v>
      </c>
      <c r="E206" s="8" t="s">
        <v>3116</v>
      </c>
      <c r="F206" s="9" t="s">
        <v>3123</v>
      </c>
      <c r="G206" s="10">
        <v>43934</v>
      </c>
      <c r="H206" s="8" t="s">
        <v>109</v>
      </c>
      <c r="I206" s="11">
        <v>3783830</v>
      </c>
      <c r="J206" s="8" t="s">
        <v>443</v>
      </c>
      <c r="K206" s="8" t="s">
        <v>444</v>
      </c>
      <c r="L206" s="7">
        <v>2018</v>
      </c>
      <c r="M206" s="8" t="s">
        <v>56</v>
      </c>
      <c r="N206" s="11">
        <v>4804090</v>
      </c>
      <c r="O206" s="8" t="s">
        <v>447</v>
      </c>
      <c r="P206" s="8" t="s">
        <v>448</v>
      </c>
      <c r="Q206" s="8"/>
      <c r="R206" s="8" t="s">
        <v>3204</v>
      </c>
    </row>
    <row r="207" spans="1:18" ht="26.15" customHeight="1">
      <c r="A207" s="7">
        <v>201</v>
      </c>
      <c r="B207" s="8" t="s">
        <v>928</v>
      </c>
      <c r="C207" s="8" t="s">
        <v>3114</v>
      </c>
      <c r="D207" s="8" t="s">
        <v>3301</v>
      </c>
      <c r="E207" s="8" t="s">
        <v>3116</v>
      </c>
      <c r="F207" s="9" t="s">
        <v>3123</v>
      </c>
      <c r="G207" s="10">
        <v>43934</v>
      </c>
      <c r="H207" s="8" t="s">
        <v>109</v>
      </c>
      <c r="I207" s="11">
        <v>3783830</v>
      </c>
      <c r="J207" s="8" t="s">
        <v>443</v>
      </c>
      <c r="K207" s="8" t="s">
        <v>444</v>
      </c>
      <c r="L207" s="7">
        <v>2018</v>
      </c>
      <c r="M207" s="8" t="s">
        <v>56</v>
      </c>
      <c r="N207" s="11">
        <v>4804090</v>
      </c>
      <c r="O207" s="8" t="s">
        <v>447</v>
      </c>
      <c r="P207" s="8" t="s">
        <v>448</v>
      </c>
      <c r="Q207" s="8"/>
      <c r="R207" s="8" t="s">
        <v>313</v>
      </c>
    </row>
    <row r="208" spans="1:18" ht="26.15" customHeight="1">
      <c r="A208" s="7">
        <v>202</v>
      </c>
      <c r="B208" s="8" t="s">
        <v>451</v>
      </c>
      <c r="C208" s="8"/>
      <c r="D208" s="8" t="s">
        <v>3410</v>
      </c>
      <c r="E208" s="8" t="s">
        <v>3116</v>
      </c>
      <c r="F208" s="9" t="s">
        <v>3117</v>
      </c>
      <c r="G208" s="10">
        <v>43930</v>
      </c>
      <c r="H208" s="8" t="s">
        <v>34</v>
      </c>
      <c r="I208" s="11">
        <v>659256</v>
      </c>
      <c r="J208" s="8" t="s">
        <v>160</v>
      </c>
      <c r="K208" s="8" t="s">
        <v>161</v>
      </c>
      <c r="L208" s="7">
        <v>2016</v>
      </c>
      <c r="M208" s="8" t="s">
        <v>128</v>
      </c>
      <c r="N208" s="11">
        <v>5866696</v>
      </c>
      <c r="O208" s="8" t="s">
        <v>164</v>
      </c>
      <c r="P208" s="8" t="s">
        <v>165</v>
      </c>
      <c r="Q208" s="8"/>
      <c r="R208" s="8" t="s">
        <v>3138</v>
      </c>
    </row>
    <row r="209" spans="1:18" ht="26.15" customHeight="1">
      <c r="A209" s="7">
        <v>203</v>
      </c>
      <c r="B209" s="8" t="s">
        <v>3411</v>
      </c>
      <c r="C209" s="8" t="s">
        <v>3127</v>
      </c>
      <c r="D209" s="8"/>
      <c r="E209" s="8" t="s">
        <v>3128</v>
      </c>
      <c r="F209" s="9" t="s">
        <v>3123</v>
      </c>
      <c r="G209" s="10">
        <v>43930</v>
      </c>
      <c r="H209" s="8" t="s">
        <v>34</v>
      </c>
      <c r="I209" s="11">
        <v>659256</v>
      </c>
      <c r="J209" s="8" t="s">
        <v>160</v>
      </c>
      <c r="K209" s="8" t="s">
        <v>161</v>
      </c>
      <c r="L209" s="7">
        <v>2016</v>
      </c>
      <c r="M209" s="8" t="s">
        <v>128</v>
      </c>
      <c r="N209" s="11">
        <v>5866696</v>
      </c>
      <c r="O209" s="8" t="s">
        <v>164</v>
      </c>
      <c r="P209" s="8" t="s">
        <v>165</v>
      </c>
      <c r="Q209" s="8"/>
      <c r="R209" s="8"/>
    </row>
    <row r="210" spans="1:18" ht="26.15" customHeight="1">
      <c r="A210" s="7">
        <v>204</v>
      </c>
      <c r="B210" s="8" t="s">
        <v>3412</v>
      </c>
      <c r="C210" s="8" t="s">
        <v>3127</v>
      </c>
      <c r="D210" s="8"/>
      <c r="E210" s="8" t="s">
        <v>3128</v>
      </c>
      <c r="F210" s="9" t="s">
        <v>3123</v>
      </c>
      <c r="G210" s="10">
        <v>43930</v>
      </c>
      <c r="H210" s="8" t="s">
        <v>34</v>
      </c>
      <c r="I210" s="11">
        <v>659256</v>
      </c>
      <c r="J210" s="8" t="s">
        <v>160</v>
      </c>
      <c r="K210" s="8" t="s">
        <v>161</v>
      </c>
      <c r="L210" s="7">
        <v>2016</v>
      </c>
      <c r="M210" s="8" t="s">
        <v>128</v>
      </c>
      <c r="N210" s="11">
        <v>5866696</v>
      </c>
      <c r="O210" s="8" t="s">
        <v>164</v>
      </c>
      <c r="P210" s="8" t="s">
        <v>165</v>
      </c>
      <c r="Q210" s="8"/>
      <c r="R210" s="8"/>
    </row>
    <row r="211" spans="1:18" ht="26.15" customHeight="1">
      <c r="A211" s="7">
        <v>205</v>
      </c>
      <c r="B211" s="8" t="s">
        <v>454</v>
      </c>
      <c r="C211" s="8"/>
      <c r="D211" s="8" t="s">
        <v>454</v>
      </c>
      <c r="E211" s="8" t="s">
        <v>3116</v>
      </c>
      <c r="F211" s="9" t="s">
        <v>3117</v>
      </c>
      <c r="G211" s="10">
        <v>43927</v>
      </c>
      <c r="H211" s="8" t="s">
        <v>109</v>
      </c>
      <c r="I211" s="11">
        <v>20600000</v>
      </c>
      <c r="J211" s="8" t="s">
        <v>452</v>
      </c>
      <c r="K211" s="8" t="s">
        <v>453</v>
      </c>
      <c r="L211" s="7">
        <v>2016</v>
      </c>
      <c r="M211" s="8" t="s">
        <v>455</v>
      </c>
      <c r="N211" s="11">
        <v>28150000</v>
      </c>
      <c r="O211" s="8" t="s">
        <v>456</v>
      </c>
      <c r="P211" s="8" t="s">
        <v>457</v>
      </c>
      <c r="Q211" s="8"/>
      <c r="R211" s="8"/>
    </row>
    <row r="212" spans="1:18" ht="26.15" customHeight="1">
      <c r="A212" s="7">
        <v>206</v>
      </c>
      <c r="B212" s="8" t="s">
        <v>461</v>
      </c>
      <c r="C212" s="8" t="s">
        <v>3114</v>
      </c>
      <c r="D212" s="8" t="s">
        <v>3413</v>
      </c>
      <c r="E212" s="8" t="s">
        <v>3116</v>
      </c>
      <c r="F212" s="9" t="s">
        <v>3117</v>
      </c>
      <c r="G212" s="10">
        <v>43927</v>
      </c>
      <c r="H212" s="8" t="s">
        <v>109</v>
      </c>
      <c r="I212" s="11">
        <v>12000000</v>
      </c>
      <c r="J212" s="8" t="s">
        <v>458</v>
      </c>
      <c r="K212" s="8" t="s">
        <v>459</v>
      </c>
      <c r="L212" s="7">
        <v>2012</v>
      </c>
      <c r="M212" s="8" t="s">
        <v>462</v>
      </c>
      <c r="N212" s="11">
        <v>16507907</v>
      </c>
      <c r="O212" s="8" t="s">
        <v>463</v>
      </c>
      <c r="P212" s="8" t="s">
        <v>464</v>
      </c>
      <c r="Q212" s="8"/>
      <c r="R212" s="8" t="s">
        <v>3148</v>
      </c>
    </row>
    <row r="213" spans="1:18" ht="26.15" customHeight="1">
      <c r="A213" s="7">
        <v>207</v>
      </c>
      <c r="B213" s="8" t="s">
        <v>3174</v>
      </c>
      <c r="C213" s="8" t="s">
        <v>3114</v>
      </c>
      <c r="D213" s="8" t="s">
        <v>3175</v>
      </c>
      <c r="E213" s="8" t="s">
        <v>3116</v>
      </c>
      <c r="F213" s="9" t="s">
        <v>3123</v>
      </c>
      <c r="G213" s="10">
        <v>43927</v>
      </c>
      <c r="H213" s="8" t="s">
        <v>109</v>
      </c>
      <c r="I213" s="11">
        <v>12000000</v>
      </c>
      <c r="J213" s="8" t="s">
        <v>458</v>
      </c>
      <c r="K213" s="8" t="s">
        <v>459</v>
      </c>
      <c r="L213" s="7">
        <v>2012</v>
      </c>
      <c r="M213" s="8" t="s">
        <v>462</v>
      </c>
      <c r="N213" s="11">
        <v>16507907</v>
      </c>
      <c r="O213" s="8" t="s">
        <v>463</v>
      </c>
      <c r="P213" s="8" t="s">
        <v>464</v>
      </c>
      <c r="Q213" s="8"/>
      <c r="R213" s="8" t="s">
        <v>3176</v>
      </c>
    </row>
    <row r="214" spans="1:18" ht="26.15" customHeight="1">
      <c r="A214" s="7">
        <v>208</v>
      </c>
      <c r="B214" s="8" t="s">
        <v>644</v>
      </c>
      <c r="C214" s="8" t="s">
        <v>3114</v>
      </c>
      <c r="D214" s="8" t="s">
        <v>3162</v>
      </c>
      <c r="E214" s="8" t="s">
        <v>3116</v>
      </c>
      <c r="F214" s="9" t="s">
        <v>3123</v>
      </c>
      <c r="G214" s="10">
        <v>43927</v>
      </c>
      <c r="H214" s="8" t="s">
        <v>109</v>
      </c>
      <c r="I214" s="11">
        <v>12000000</v>
      </c>
      <c r="J214" s="8" t="s">
        <v>458</v>
      </c>
      <c r="K214" s="8" t="s">
        <v>459</v>
      </c>
      <c r="L214" s="7">
        <v>2012</v>
      </c>
      <c r="M214" s="8" t="s">
        <v>462</v>
      </c>
      <c r="N214" s="11">
        <v>16507907</v>
      </c>
      <c r="O214" s="8" t="s">
        <v>463</v>
      </c>
      <c r="P214" s="8" t="s">
        <v>464</v>
      </c>
      <c r="Q214" s="8"/>
      <c r="R214" s="8" t="s">
        <v>313</v>
      </c>
    </row>
    <row r="215" spans="1:18" ht="26.15" customHeight="1">
      <c r="A215" s="7">
        <v>209</v>
      </c>
      <c r="B215" s="8" t="s">
        <v>492</v>
      </c>
      <c r="C215" s="8" t="s">
        <v>3114</v>
      </c>
      <c r="D215" s="8" t="s">
        <v>3144</v>
      </c>
      <c r="E215" s="8" t="s">
        <v>3116</v>
      </c>
      <c r="F215" s="9" t="s">
        <v>3123</v>
      </c>
      <c r="G215" s="10">
        <v>43927</v>
      </c>
      <c r="H215" s="8" t="s">
        <v>109</v>
      </c>
      <c r="I215" s="11">
        <v>12000000</v>
      </c>
      <c r="J215" s="8" t="s">
        <v>458</v>
      </c>
      <c r="K215" s="8" t="s">
        <v>459</v>
      </c>
      <c r="L215" s="7">
        <v>2012</v>
      </c>
      <c r="M215" s="8" t="s">
        <v>462</v>
      </c>
      <c r="N215" s="11">
        <v>16507907</v>
      </c>
      <c r="O215" s="8" t="s">
        <v>463</v>
      </c>
      <c r="P215" s="8" t="s">
        <v>464</v>
      </c>
      <c r="Q215" s="8"/>
      <c r="R215" s="8" t="s">
        <v>3145</v>
      </c>
    </row>
    <row r="216" spans="1:18" ht="26.15" customHeight="1">
      <c r="A216" s="7">
        <v>210</v>
      </c>
      <c r="B216" s="8" t="s">
        <v>3414</v>
      </c>
      <c r="C216" s="8" t="s">
        <v>3114</v>
      </c>
      <c r="D216" s="8" t="s">
        <v>3415</v>
      </c>
      <c r="E216" s="8" t="s">
        <v>3116</v>
      </c>
      <c r="F216" s="9" t="s">
        <v>3123</v>
      </c>
      <c r="G216" s="10">
        <v>43927</v>
      </c>
      <c r="H216" s="8" t="s">
        <v>109</v>
      </c>
      <c r="I216" s="11">
        <v>12000000</v>
      </c>
      <c r="J216" s="8" t="s">
        <v>458</v>
      </c>
      <c r="K216" s="8" t="s">
        <v>459</v>
      </c>
      <c r="L216" s="7">
        <v>2012</v>
      </c>
      <c r="M216" s="8" t="s">
        <v>462</v>
      </c>
      <c r="N216" s="11">
        <v>16507907</v>
      </c>
      <c r="O216" s="8" t="s">
        <v>463</v>
      </c>
      <c r="P216" s="8" t="s">
        <v>464</v>
      </c>
      <c r="Q216" s="8"/>
      <c r="R216" s="8" t="s">
        <v>79</v>
      </c>
    </row>
    <row r="217" spans="1:18" ht="26.15" customHeight="1">
      <c r="A217" s="7">
        <v>211</v>
      </c>
      <c r="B217" s="8" t="s">
        <v>3416</v>
      </c>
      <c r="C217" s="8" t="s">
        <v>3139</v>
      </c>
      <c r="D217" s="8" t="s">
        <v>3417</v>
      </c>
      <c r="E217" s="8" t="s">
        <v>3116</v>
      </c>
      <c r="F217" s="9" t="s">
        <v>3123</v>
      </c>
      <c r="G217" s="10">
        <v>43927</v>
      </c>
      <c r="H217" s="8" t="s">
        <v>109</v>
      </c>
      <c r="I217" s="11">
        <v>12000000</v>
      </c>
      <c r="J217" s="8" t="s">
        <v>458</v>
      </c>
      <c r="K217" s="8" t="s">
        <v>459</v>
      </c>
      <c r="L217" s="7">
        <v>2012</v>
      </c>
      <c r="M217" s="8" t="s">
        <v>462</v>
      </c>
      <c r="N217" s="11">
        <v>16507907</v>
      </c>
      <c r="O217" s="8" t="s">
        <v>463</v>
      </c>
      <c r="P217" s="8" t="s">
        <v>464</v>
      </c>
      <c r="Q217" s="8"/>
      <c r="R217" s="8" t="s">
        <v>3418</v>
      </c>
    </row>
    <row r="218" spans="1:18" ht="26.15" customHeight="1">
      <c r="A218" s="7">
        <v>212</v>
      </c>
      <c r="B218" s="8" t="s">
        <v>3419</v>
      </c>
      <c r="C218" s="8" t="s">
        <v>3139</v>
      </c>
      <c r="D218" s="8" t="s">
        <v>3419</v>
      </c>
      <c r="E218" s="8" t="s">
        <v>3116</v>
      </c>
      <c r="F218" s="9" t="s">
        <v>3123</v>
      </c>
      <c r="G218" s="10">
        <v>43927</v>
      </c>
      <c r="H218" s="8" t="s">
        <v>184</v>
      </c>
      <c r="I218" s="11" t="s">
        <v>50</v>
      </c>
      <c r="J218" s="8" t="s">
        <v>466</v>
      </c>
      <c r="K218" s="8" t="s">
        <v>467</v>
      </c>
      <c r="L218" s="7">
        <v>2017</v>
      </c>
      <c r="M218" s="8" t="s">
        <v>357</v>
      </c>
      <c r="N218" s="11">
        <v>3000000</v>
      </c>
      <c r="O218" s="8" t="s">
        <v>469</v>
      </c>
      <c r="P218" s="8" t="s">
        <v>470</v>
      </c>
      <c r="Q218" s="8"/>
      <c r="R218" s="8"/>
    </row>
    <row r="219" spans="1:18" ht="26.15" customHeight="1">
      <c r="A219" s="7">
        <v>213</v>
      </c>
      <c r="B219" s="8" t="s">
        <v>3420</v>
      </c>
      <c r="C219" s="8" t="s">
        <v>3114</v>
      </c>
      <c r="D219" s="8" t="s">
        <v>3421</v>
      </c>
      <c r="E219" s="8" t="s">
        <v>3116</v>
      </c>
      <c r="F219" s="9" t="s">
        <v>3123</v>
      </c>
      <c r="G219" s="10">
        <v>43927</v>
      </c>
      <c r="H219" s="8" t="s">
        <v>184</v>
      </c>
      <c r="I219" s="11" t="s">
        <v>50</v>
      </c>
      <c r="J219" s="8" t="s">
        <v>466</v>
      </c>
      <c r="K219" s="8" t="s">
        <v>467</v>
      </c>
      <c r="L219" s="7">
        <v>2017</v>
      </c>
      <c r="M219" s="8" t="s">
        <v>357</v>
      </c>
      <c r="N219" s="11">
        <v>3000000</v>
      </c>
      <c r="O219" s="8" t="s">
        <v>469</v>
      </c>
      <c r="P219" s="8" t="s">
        <v>470</v>
      </c>
      <c r="Q219" s="8"/>
      <c r="R219" s="8" t="s">
        <v>369</v>
      </c>
    </row>
    <row r="220" spans="1:18" ht="26.15" customHeight="1">
      <c r="A220" s="7">
        <v>214</v>
      </c>
      <c r="B220" s="8" t="s">
        <v>3422</v>
      </c>
      <c r="C220" s="8"/>
      <c r="D220" s="8" t="s">
        <v>3422</v>
      </c>
      <c r="E220" s="8" t="s">
        <v>3116</v>
      </c>
      <c r="F220" s="9" t="s">
        <v>3117</v>
      </c>
      <c r="G220" s="10">
        <v>43927</v>
      </c>
      <c r="H220" s="8" t="s">
        <v>109</v>
      </c>
      <c r="I220" s="11">
        <v>3000000</v>
      </c>
      <c r="J220" s="8" t="s">
        <v>466</v>
      </c>
      <c r="K220" s="8" t="s">
        <v>467</v>
      </c>
      <c r="L220" s="7">
        <v>2017</v>
      </c>
      <c r="M220" s="8" t="s">
        <v>357</v>
      </c>
      <c r="N220" s="11">
        <v>3000000</v>
      </c>
      <c r="O220" s="8" t="s">
        <v>469</v>
      </c>
      <c r="P220" s="8" t="s">
        <v>470</v>
      </c>
      <c r="Q220" s="8"/>
      <c r="R220" s="8"/>
    </row>
    <row r="221" spans="1:18" ht="26.15" customHeight="1">
      <c r="A221" s="7">
        <v>215</v>
      </c>
      <c r="B221" s="8" t="s">
        <v>356</v>
      </c>
      <c r="C221" s="8" t="s">
        <v>3114</v>
      </c>
      <c r="D221" s="8" t="s">
        <v>3341</v>
      </c>
      <c r="E221" s="8" t="s">
        <v>3116</v>
      </c>
      <c r="F221" s="9" t="s">
        <v>3123</v>
      </c>
      <c r="G221" s="10">
        <v>43927</v>
      </c>
      <c r="H221" s="8" t="s">
        <v>109</v>
      </c>
      <c r="I221" s="11">
        <v>3000000</v>
      </c>
      <c r="J221" s="8" t="s">
        <v>466</v>
      </c>
      <c r="K221" s="8" t="s">
        <v>467</v>
      </c>
      <c r="L221" s="7">
        <v>2017</v>
      </c>
      <c r="M221" s="8" t="s">
        <v>357</v>
      </c>
      <c r="N221" s="11">
        <v>3000000</v>
      </c>
      <c r="O221" s="8" t="s">
        <v>469</v>
      </c>
      <c r="P221" s="8" t="s">
        <v>470</v>
      </c>
      <c r="Q221" s="8"/>
      <c r="R221" s="8" t="s">
        <v>357</v>
      </c>
    </row>
    <row r="222" spans="1:18" ht="26.15" customHeight="1">
      <c r="A222" s="7">
        <v>216</v>
      </c>
      <c r="B222" s="8" t="s">
        <v>3423</v>
      </c>
      <c r="C222" s="8" t="s">
        <v>3114</v>
      </c>
      <c r="D222" s="8" t="s">
        <v>3424</v>
      </c>
      <c r="E222" s="8" t="s">
        <v>3116</v>
      </c>
      <c r="F222" s="9" t="s">
        <v>3123</v>
      </c>
      <c r="G222" s="10">
        <v>43923</v>
      </c>
      <c r="H222" s="8" t="s">
        <v>289</v>
      </c>
      <c r="I222" s="11">
        <v>5000000</v>
      </c>
      <c r="J222" s="8" t="s">
        <v>473</v>
      </c>
      <c r="K222" s="8" t="s">
        <v>474</v>
      </c>
      <c r="L222" s="7">
        <v>2014</v>
      </c>
      <c r="M222" s="8" t="s">
        <v>39</v>
      </c>
      <c r="N222" s="11">
        <v>46450000</v>
      </c>
      <c r="O222" s="8" t="s">
        <v>475</v>
      </c>
      <c r="P222" s="8" t="s">
        <v>476</v>
      </c>
      <c r="Q222" s="8"/>
      <c r="R222" s="8" t="s">
        <v>3425</v>
      </c>
    </row>
    <row r="223" spans="1:18" ht="26.15" customHeight="1">
      <c r="A223" s="7">
        <v>217</v>
      </c>
      <c r="B223" s="8" t="s">
        <v>480</v>
      </c>
      <c r="C223" s="8" t="s">
        <v>3114</v>
      </c>
      <c r="D223" s="8" t="s">
        <v>3426</v>
      </c>
      <c r="E223" s="8" t="s">
        <v>3116</v>
      </c>
      <c r="F223" s="9" t="s">
        <v>3117</v>
      </c>
      <c r="G223" s="10">
        <v>43922</v>
      </c>
      <c r="H223" s="8" t="s">
        <v>34</v>
      </c>
      <c r="I223" s="11">
        <v>150000</v>
      </c>
      <c r="J223" s="8" t="s">
        <v>477</v>
      </c>
      <c r="K223" s="8" t="s">
        <v>478</v>
      </c>
      <c r="L223" s="7">
        <v>2020</v>
      </c>
      <c r="M223" s="8" t="s">
        <v>79</v>
      </c>
      <c r="N223" s="11">
        <v>150000</v>
      </c>
      <c r="O223" s="8" t="s">
        <v>481</v>
      </c>
      <c r="P223" s="8" t="s">
        <v>482</v>
      </c>
      <c r="Q223" s="8"/>
      <c r="R223" s="8" t="s">
        <v>3427</v>
      </c>
    </row>
    <row r="224" spans="1:18" ht="26.15" customHeight="1">
      <c r="A224" s="7">
        <v>218</v>
      </c>
      <c r="B224" s="8" t="s">
        <v>484</v>
      </c>
      <c r="C224" s="8" t="s">
        <v>3114</v>
      </c>
      <c r="D224" s="8" t="s">
        <v>3164</v>
      </c>
      <c r="E224" s="8" t="s">
        <v>3116</v>
      </c>
      <c r="F224" s="9" t="s">
        <v>3117</v>
      </c>
      <c r="G224" s="10">
        <v>43922</v>
      </c>
      <c r="H224" s="8" t="s">
        <v>109</v>
      </c>
      <c r="I224" s="11">
        <v>5000000</v>
      </c>
      <c r="J224" s="8" t="s">
        <v>110</v>
      </c>
      <c r="K224" s="8" t="s">
        <v>111</v>
      </c>
      <c r="L224" s="7">
        <v>2010</v>
      </c>
      <c r="M224" s="8" t="s">
        <v>79</v>
      </c>
      <c r="N224" s="11">
        <v>10726419</v>
      </c>
      <c r="O224" s="8" t="s">
        <v>114</v>
      </c>
      <c r="P224" s="8" t="s">
        <v>115</v>
      </c>
      <c r="Q224" s="8"/>
      <c r="R224" s="8" t="s">
        <v>313</v>
      </c>
    </row>
    <row r="225" spans="1:18" ht="26.15" customHeight="1">
      <c r="A225" s="7">
        <v>219</v>
      </c>
      <c r="B225" s="8" t="s">
        <v>924</v>
      </c>
      <c r="C225" s="8" t="s">
        <v>3114</v>
      </c>
      <c r="D225" s="8" t="s">
        <v>3337</v>
      </c>
      <c r="E225" s="8" t="s">
        <v>3116</v>
      </c>
      <c r="F225" s="9" t="s">
        <v>3117</v>
      </c>
      <c r="G225" s="10">
        <v>43922</v>
      </c>
      <c r="H225" s="8" t="s">
        <v>109</v>
      </c>
      <c r="I225" s="11">
        <v>17000000</v>
      </c>
      <c r="J225" s="8" t="s">
        <v>485</v>
      </c>
      <c r="K225" s="8" t="s">
        <v>486</v>
      </c>
      <c r="L225" s="7">
        <v>2015</v>
      </c>
      <c r="M225" s="8" t="s">
        <v>207</v>
      </c>
      <c r="N225" s="11">
        <v>29000000</v>
      </c>
      <c r="O225" s="8" t="s">
        <v>489</v>
      </c>
      <c r="P225" s="8" t="s">
        <v>490</v>
      </c>
      <c r="Q225" s="8"/>
      <c r="R225" s="8" t="s">
        <v>3204</v>
      </c>
    </row>
    <row r="226" spans="1:18" ht="26.15" customHeight="1">
      <c r="A226" s="7">
        <v>220</v>
      </c>
      <c r="B226" s="8" t="s">
        <v>3428</v>
      </c>
      <c r="C226" s="8" t="s">
        <v>3114</v>
      </c>
      <c r="D226" s="8" t="s">
        <v>3429</v>
      </c>
      <c r="E226" s="8" t="s">
        <v>3116</v>
      </c>
      <c r="F226" s="9" t="s">
        <v>3117</v>
      </c>
      <c r="G226" s="10">
        <v>43922</v>
      </c>
      <c r="H226" s="8" t="s">
        <v>109</v>
      </c>
      <c r="I226" s="11">
        <v>17000000</v>
      </c>
      <c r="J226" s="8" t="s">
        <v>485</v>
      </c>
      <c r="K226" s="8" t="s">
        <v>486</v>
      </c>
      <c r="L226" s="7">
        <v>2015</v>
      </c>
      <c r="M226" s="8" t="s">
        <v>207</v>
      </c>
      <c r="N226" s="11">
        <v>29000000</v>
      </c>
      <c r="O226" s="8" t="s">
        <v>489</v>
      </c>
      <c r="P226" s="8" t="s">
        <v>490</v>
      </c>
      <c r="Q226" s="8"/>
      <c r="R226" s="8" t="s">
        <v>207</v>
      </c>
    </row>
    <row r="227" spans="1:18" ht="26.15" customHeight="1">
      <c r="A227" s="7">
        <v>221</v>
      </c>
      <c r="B227" s="8" t="s">
        <v>3430</v>
      </c>
      <c r="C227" s="8" t="s">
        <v>3114</v>
      </c>
      <c r="D227" s="8" t="s">
        <v>3431</v>
      </c>
      <c r="E227" s="8" t="s">
        <v>3116</v>
      </c>
      <c r="F227" s="9" t="s">
        <v>3123</v>
      </c>
      <c r="G227" s="10">
        <v>43922</v>
      </c>
      <c r="H227" s="8" t="s">
        <v>109</v>
      </c>
      <c r="I227" s="11">
        <v>17000000</v>
      </c>
      <c r="J227" s="8" t="s">
        <v>485</v>
      </c>
      <c r="K227" s="8" t="s">
        <v>486</v>
      </c>
      <c r="L227" s="7">
        <v>2015</v>
      </c>
      <c r="M227" s="8" t="s">
        <v>207</v>
      </c>
      <c r="N227" s="11">
        <v>29000000</v>
      </c>
      <c r="O227" s="8" t="s">
        <v>489</v>
      </c>
      <c r="P227" s="8" t="s">
        <v>490</v>
      </c>
      <c r="Q227" s="8"/>
      <c r="R227" s="8" t="s">
        <v>207</v>
      </c>
    </row>
    <row r="228" spans="1:18" ht="26.15" customHeight="1">
      <c r="A228" s="7">
        <v>222</v>
      </c>
      <c r="B228" s="8" t="s">
        <v>3432</v>
      </c>
      <c r="C228" s="8" t="s">
        <v>3114</v>
      </c>
      <c r="D228" s="8" t="s">
        <v>3433</v>
      </c>
      <c r="E228" s="8" t="s">
        <v>3116</v>
      </c>
      <c r="F228" s="9" t="s">
        <v>3123</v>
      </c>
      <c r="G228" s="10">
        <v>43922</v>
      </c>
      <c r="H228" s="8" t="s">
        <v>109</v>
      </c>
      <c r="I228" s="11">
        <v>17000000</v>
      </c>
      <c r="J228" s="8" t="s">
        <v>485</v>
      </c>
      <c r="K228" s="8" t="s">
        <v>486</v>
      </c>
      <c r="L228" s="7">
        <v>2015</v>
      </c>
      <c r="M228" s="8" t="s">
        <v>207</v>
      </c>
      <c r="N228" s="11">
        <v>29000000</v>
      </c>
      <c r="O228" s="8" t="s">
        <v>489</v>
      </c>
      <c r="P228" s="8" t="s">
        <v>490</v>
      </c>
      <c r="Q228" s="8"/>
      <c r="R228" s="8" t="s">
        <v>3204</v>
      </c>
    </row>
    <row r="229" spans="1:18" ht="26.15" customHeight="1">
      <c r="A229" s="7">
        <v>223</v>
      </c>
      <c r="B229" s="8" t="s">
        <v>3434</v>
      </c>
      <c r="C229" s="8" t="s">
        <v>3114</v>
      </c>
      <c r="D229" s="8" t="s">
        <v>3435</v>
      </c>
      <c r="E229" s="8" t="s">
        <v>3116</v>
      </c>
      <c r="F229" s="9" t="s">
        <v>3123</v>
      </c>
      <c r="G229" s="10">
        <v>43922</v>
      </c>
      <c r="H229" s="8" t="s">
        <v>109</v>
      </c>
      <c r="I229" s="11">
        <v>17000000</v>
      </c>
      <c r="J229" s="8" t="s">
        <v>485</v>
      </c>
      <c r="K229" s="8" t="s">
        <v>486</v>
      </c>
      <c r="L229" s="7">
        <v>2015</v>
      </c>
      <c r="M229" s="8" t="s">
        <v>207</v>
      </c>
      <c r="N229" s="11">
        <v>29000000</v>
      </c>
      <c r="O229" s="8" t="s">
        <v>489</v>
      </c>
      <c r="P229" s="8" t="s">
        <v>490</v>
      </c>
      <c r="Q229" s="8"/>
      <c r="R229" s="8" t="s">
        <v>3204</v>
      </c>
    </row>
    <row r="230" spans="1:18" ht="26.15" customHeight="1">
      <c r="A230" s="7">
        <v>224</v>
      </c>
      <c r="B230" s="8" t="s">
        <v>3436</v>
      </c>
      <c r="C230" s="8" t="s">
        <v>3114</v>
      </c>
      <c r="D230" s="8" t="s">
        <v>3437</v>
      </c>
      <c r="E230" s="8" t="s">
        <v>3116</v>
      </c>
      <c r="F230" s="9" t="s">
        <v>3123</v>
      </c>
      <c r="G230" s="10">
        <v>43922</v>
      </c>
      <c r="H230" s="8" t="s">
        <v>109</v>
      </c>
      <c r="I230" s="11">
        <v>17000000</v>
      </c>
      <c r="J230" s="8" t="s">
        <v>485</v>
      </c>
      <c r="K230" s="8" t="s">
        <v>486</v>
      </c>
      <c r="L230" s="7">
        <v>2015</v>
      </c>
      <c r="M230" s="8" t="s">
        <v>207</v>
      </c>
      <c r="N230" s="11">
        <v>29000000</v>
      </c>
      <c r="O230" s="8" t="s">
        <v>489</v>
      </c>
      <c r="P230" s="8" t="s">
        <v>490</v>
      </c>
      <c r="Q230" s="8"/>
      <c r="R230" s="8" t="s">
        <v>3204</v>
      </c>
    </row>
    <row r="231" spans="1:18" ht="26.15" customHeight="1">
      <c r="A231" s="7">
        <v>225</v>
      </c>
      <c r="B231" s="8" t="s">
        <v>3438</v>
      </c>
      <c r="C231" s="8" t="s">
        <v>3114</v>
      </c>
      <c r="D231" s="8" t="s">
        <v>3439</v>
      </c>
      <c r="E231" s="8" t="s">
        <v>3116</v>
      </c>
      <c r="F231" s="9" t="s">
        <v>3123</v>
      </c>
      <c r="G231" s="10">
        <v>43922</v>
      </c>
      <c r="H231" s="8" t="s">
        <v>109</v>
      </c>
      <c r="I231" s="11">
        <v>17000000</v>
      </c>
      <c r="J231" s="8" t="s">
        <v>485</v>
      </c>
      <c r="K231" s="8" t="s">
        <v>486</v>
      </c>
      <c r="L231" s="7">
        <v>2015</v>
      </c>
      <c r="M231" s="8" t="s">
        <v>207</v>
      </c>
      <c r="N231" s="11">
        <v>29000000</v>
      </c>
      <c r="O231" s="8" t="s">
        <v>489</v>
      </c>
      <c r="P231" s="8" t="s">
        <v>490</v>
      </c>
      <c r="Q231" s="8"/>
      <c r="R231" s="8" t="s">
        <v>3440</v>
      </c>
    </row>
    <row r="232" spans="1:18" ht="26.15" customHeight="1">
      <c r="A232" s="7">
        <v>226</v>
      </c>
      <c r="B232" s="8" t="s">
        <v>492</v>
      </c>
      <c r="C232" s="8" t="s">
        <v>3114</v>
      </c>
      <c r="D232" s="8" t="s">
        <v>3144</v>
      </c>
      <c r="E232" s="8" t="s">
        <v>3116</v>
      </c>
      <c r="F232" s="9" t="s">
        <v>3117</v>
      </c>
      <c r="G232" s="10">
        <v>43922</v>
      </c>
      <c r="H232" s="8" t="s">
        <v>34</v>
      </c>
      <c r="I232" s="11">
        <v>213680</v>
      </c>
      <c r="J232" s="8" t="s">
        <v>404</v>
      </c>
      <c r="K232" s="8" t="s">
        <v>405</v>
      </c>
      <c r="L232" s="7">
        <v>2016</v>
      </c>
      <c r="M232" s="8" t="s">
        <v>79</v>
      </c>
      <c r="N232" s="11">
        <v>8750809</v>
      </c>
      <c r="O232" s="8" t="s">
        <v>408</v>
      </c>
      <c r="P232" s="8" t="s">
        <v>409</v>
      </c>
      <c r="Q232" s="8"/>
      <c r="R232" s="8" t="s">
        <v>3145</v>
      </c>
    </row>
    <row r="233" spans="1:18" ht="26.15" customHeight="1">
      <c r="A233" s="7">
        <v>227</v>
      </c>
      <c r="B233" s="8" t="s">
        <v>3441</v>
      </c>
      <c r="C233" s="8" t="s">
        <v>3114</v>
      </c>
      <c r="D233" s="8" t="s">
        <v>3442</v>
      </c>
      <c r="E233" s="8" t="s">
        <v>3116</v>
      </c>
      <c r="F233" s="9" t="s">
        <v>3123</v>
      </c>
      <c r="G233" s="10">
        <v>43922</v>
      </c>
      <c r="H233" s="8" t="s">
        <v>34</v>
      </c>
      <c r="I233" s="11">
        <v>213680</v>
      </c>
      <c r="J233" s="8" t="s">
        <v>404</v>
      </c>
      <c r="K233" s="8" t="s">
        <v>405</v>
      </c>
      <c r="L233" s="7">
        <v>2016</v>
      </c>
      <c r="M233" s="8" t="s">
        <v>79</v>
      </c>
      <c r="N233" s="11">
        <v>8750809</v>
      </c>
      <c r="O233" s="8" t="s">
        <v>408</v>
      </c>
      <c r="P233" s="8" t="s">
        <v>409</v>
      </c>
      <c r="Q233" s="8"/>
      <c r="R233" s="8" t="s">
        <v>3145</v>
      </c>
    </row>
    <row r="234" spans="1:18" ht="26.15" customHeight="1">
      <c r="A234" s="7">
        <v>228</v>
      </c>
      <c r="B234" s="8" t="s">
        <v>496</v>
      </c>
      <c r="C234" s="8" t="s">
        <v>3114</v>
      </c>
      <c r="D234" s="8" t="s">
        <v>3443</v>
      </c>
      <c r="E234" s="8" t="s">
        <v>3116</v>
      </c>
      <c r="F234" s="9" t="s">
        <v>3117</v>
      </c>
      <c r="G234" s="10">
        <v>43909</v>
      </c>
      <c r="H234" s="8" t="s">
        <v>109</v>
      </c>
      <c r="I234" s="11">
        <v>10000000</v>
      </c>
      <c r="J234" s="8" t="s">
        <v>493</v>
      </c>
      <c r="K234" s="8" t="s">
        <v>494</v>
      </c>
      <c r="L234" s="7">
        <v>2019</v>
      </c>
      <c r="M234" s="8" t="s">
        <v>497</v>
      </c>
      <c r="N234" s="11">
        <v>10000000</v>
      </c>
      <c r="O234" s="8" t="s">
        <v>498</v>
      </c>
      <c r="P234" s="8" t="s">
        <v>499</v>
      </c>
      <c r="Q234" s="8"/>
      <c r="R234" s="8" t="s">
        <v>3148</v>
      </c>
    </row>
    <row r="235" spans="1:18" ht="26.15" customHeight="1">
      <c r="A235" s="7">
        <v>229</v>
      </c>
      <c r="B235" s="8" t="s">
        <v>3436</v>
      </c>
      <c r="C235" s="8" t="s">
        <v>3114</v>
      </c>
      <c r="D235" s="8" t="s">
        <v>3437</v>
      </c>
      <c r="E235" s="8" t="s">
        <v>3116</v>
      </c>
      <c r="F235" s="9" t="s">
        <v>3123</v>
      </c>
      <c r="G235" s="10">
        <v>43909</v>
      </c>
      <c r="H235" s="8" t="s">
        <v>109</v>
      </c>
      <c r="I235" s="11">
        <v>10000000</v>
      </c>
      <c r="J235" s="8" t="s">
        <v>493</v>
      </c>
      <c r="K235" s="8" t="s">
        <v>494</v>
      </c>
      <c r="L235" s="7">
        <v>2019</v>
      </c>
      <c r="M235" s="8" t="s">
        <v>497</v>
      </c>
      <c r="N235" s="11">
        <v>10000000</v>
      </c>
      <c r="O235" s="8" t="s">
        <v>498</v>
      </c>
      <c r="P235" s="8" t="s">
        <v>499</v>
      </c>
      <c r="Q235" s="8"/>
      <c r="R235" s="8" t="s">
        <v>3204</v>
      </c>
    </row>
    <row r="236" spans="1:18" ht="26.15" customHeight="1">
      <c r="A236" s="7">
        <v>230</v>
      </c>
      <c r="B236" s="8" t="s">
        <v>766</v>
      </c>
      <c r="C236" s="8" t="s">
        <v>3114</v>
      </c>
      <c r="D236" s="8" t="s">
        <v>3397</v>
      </c>
      <c r="E236" s="8" t="s">
        <v>3116</v>
      </c>
      <c r="F236" s="9" t="s">
        <v>3123</v>
      </c>
      <c r="G236" s="10">
        <v>43909</v>
      </c>
      <c r="H236" s="8" t="s">
        <v>109</v>
      </c>
      <c r="I236" s="11">
        <v>10000000</v>
      </c>
      <c r="J236" s="8" t="s">
        <v>493</v>
      </c>
      <c r="K236" s="8" t="s">
        <v>494</v>
      </c>
      <c r="L236" s="7">
        <v>2019</v>
      </c>
      <c r="M236" s="8" t="s">
        <v>497</v>
      </c>
      <c r="N236" s="11">
        <v>10000000</v>
      </c>
      <c r="O236" s="8" t="s">
        <v>498</v>
      </c>
      <c r="P236" s="8" t="s">
        <v>499</v>
      </c>
      <c r="Q236" s="8"/>
      <c r="R236" s="8" t="s">
        <v>3398</v>
      </c>
    </row>
    <row r="237" spans="1:18" ht="26.15" customHeight="1">
      <c r="A237" s="7">
        <v>231</v>
      </c>
      <c r="B237" s="8" t="s">
        <v>3444</v>
      </c>
      <c r="C237" s="8" t="s">
        <v>3114</v>
      </c>
      <c r="D237" s="8" t="s">
        <v>3445</v>
      </c>
      <c r="E237" s="8" t="s">
        <v>3116</v>
      </c>
      <c r="F237" s="9" t="s">
        <v>3123</v>
      </c>
      <c r="G237" s="10">
        <v>43909</v>
      </c>
      <c r="H237" s="8" t="s">
        <v>109</v>
      </c>
      <c r="I237" s="11">
        <v>10000000</v>
      </c>
      <c r="J237" s="8" t="s">
        <v>493</v>
      </c>
      <c r="K237" s="8" t="s">
        <v>494</v>
      </c>
      <c r="L237" s="7">
        <v>2019</v>
      </c>
      <c r="M237" s="8" t="s">
        <v>497</v>
      </c>
      <c r="N237" s="11">
        <v>10000000</v>
      </c>
      <c r="O237" s="8" t="s">
        <v>498</v>
      </c>
      <c r="P237" s="8" t="s">
        <v>499</v>
      </c>
      <c r="Q237" s="8"/>
      <c r="R237" s="8" t="s">
        <v>207</v>
      </c>
    </row>
    <row r="238" spans="1:18" ht="26.15" customHeight="1">
      <c r="A238" s="7">
        <v>232</v>
      </c>
      <c r="B238" s="8" t="s">
        <v>3446</v>
      </c>
      <c r="C238" s="8" t="s">
        <v>3139</v>
      </c>
      <c r="D238" s="8" t="s">
        <v>3447</v>
      </c>
      <c r="E238" s="8" t="s">
        <v>3116</v>
      </c>
      <c r="F238" s="9" t="s">
        <v>3123</v>
      </c>
      <c r="G238" s="10">
        <v>43909</v>
      </c>
      <c r="H238" s="8" t="s">
        <v>109</v>
      </c>
      <c r="I238" s="11">
        <v>10000000</v>
      </c>
      <c r="J238" s="8" t="s">
        <v>493</v>
      </c>
      <c r="K238" s="8" t="s">
        <v>494</v>
      </c>
      <c r="L238" s="7">
        <v>2019</v>
      </c>
      <c r="M238" s="8" t="s">
        <v>497</v>
      </c>
      <c r="N238" s="11">
        <v>10000000</v>
      </c>
      <c r="O238" s="8" t="s">
        <v>498</v>
      </c>
      <c r="P238" s="8" t="s">
        <v>499</v>
      </c>
      <c r="Q238" s="8"/>
      <c r="R238" s="8" t="s">
        <v>3448</v>
      </c>
    </row>
    <row r="239" spans="1:18" ht="26.15" customHeight="1">
      <c r="A239" s="7">
        <v>233</v>
      </c>
      <c r="B239" s="8" t="s">
        <v>480</v>
      </c>
      <c r="C239" s="8" t="s">
        <v>3114</v>
      </c>
      <c r="D239" s="8" t="s">
        <v>3426</v>
      </c>
      <c r="E239" s="8" t="s">
        <v>3116</v>
      </c>
      <c r="F239" s="9" t="s">
        <v>3123</v>
      </c>
      <c r="G239" s="10">
        <v>43908</v>
      </c>
      <c r="H239" s="8" t="s">
        <v>34</v>
      </c>
      <c r="I239" s="11">
        <v>3373115</v>
      </c>
      <c r="J239" s="8" t="s">
        <v>500</v>
      </c>
      <c r="K239" s="8" t="s">
        <v>501</v>
      </c>
      <c r="L239" s="7">
        <v>2015</v>
      </c>
      <c r="M239" s="8" t="s">
        <v>56</v>
      </c>
      <c r="N239" s="11">
        <v>3493115</v>
      </c>
      <c r="O239" s="8" t="s">
        <v>505</v>
      </c>
      <c r="P239" s="8" t="s">
        <v>506</v>
      </c>
      <c r="Q239" s="8"/>
      <c r="R239" s="8" t="s">
        <v>3427</v>
      </c>
    </row>
    <row r="240" spans="1:18" ht="26.15" customHeight="1">
      <c r="A240" s="7">
        <v>234</v>
      </c>
      <c r="B240" s="8" t="s">
        <v>3449</v>
      </c>
      <c r="C240" s="8" t="s">
        <v>3114</v>
      </c>
      <c r="D240" s="8" t="s">
        <v>3450</v>
      </c>
      <c r="E240" s="8" t="s">
        <v>3116</v>
      </c>
      <c r="F240" s="9" t="s">
        <v>3123</v>
      </c>
      <c r="G240" s="10">
        <v>43908</v>
      </c>
      <c r="H240" s="8" t="s">
        <v>34</v>
      </c>
      <c r="I240" s="11">
        <v>3373115</v>
      </c>
      <c r="J240" s="8" t="s">
        <v>500</v>
      </c>
      <c r="K240" s="8" t="s">
        <v>501</v>
      </c>
      <c r="L240" s="7">
        <v>2015</v>
      </c>
      <c r="M240" s="8" t="s">
        <v>56</v>
      </c>
      <c r="N240" s="11">
        <v>3493115</v>
      </c>
      <c r="O240" s="8" t="s">
        <v>505</v>
      </c>
      <c r="P240" s="8" t="s">
        <v>506</v>
      </c>
      <c r="Q240" s="8"/>
      <c r="R240" s="8" t="s">
        <v>3138</v>
      </c>
    </row>
    <row r="241" spans="1:18" ht="26.15" customHeight="1">
      <c r="A241" s="7">
        <v>235</v>
      </c>
      <c r="B241" s="8" t="s">
        <v>1980</v>
      </c>
      <c r="C241" s="8" t="s">
        <v>3114</v>
      </c>
      <c r="D241" s="8" t="s">
        <v>3451</v>
      </c>
      <c r="E241" s="8" t="s">
        <v>3116</v>
      </c>
      <c r="F241" s="9" t="s">
        <v>3123</v>
      </c>
      <c r="G241" s="10">
        <v>43908</v>
      </c>
      <c r="H241" s="8" t="s">
        <v>34</v>
      </c>
      <c r="I241" s="11">
        <v>3373115</v>
      </c>
      <c r="J241" s="8" t="s">
        <v>500</v>
      </c>
      <c r="K241" s="8" t="s">
        <v>501</v>
      </c>
      <c r="L241" s="7">
        <v>2015</v>
      </c>
      <c r="M241" s="8" t="s">
        <v>56</v>
      </c>
      <c r="N241" s="11">
        <v>3493115</v>
      </c>
      <c r="O241" s="8" t="s">
        <v>505</v>
      </c>
      <c r="P241" s="8" t="s">
        <v>506</v>
      </c>
      <c r="Q241" s="8"/>
      <c r="R241" s="8" t="s">
        <v>56</v>
      </c>
    </row>
    <row r="242" spans="1:18" ht="26.15" customHeight="1">
      <c r="A242" s="7">
        <v>236</v>
      </c>
      <c r="B242" s="8" t="s">
        <v>3452</v>
      </c>
      <c r="C242" s="8" t="s">
        <v>3139</v>
      </c>
      <c r="D242" s="8" t="s">
        <v>3453</v>
      </c>
      <c r="E242" s="8" t="s">
        <v>3116</v>
      </c>
      <c r="F242" s="9" t="s">
        <v>3123</v>
      </c>
      <c r="G242" s="10">
        <v>43908</v>
      </c>
      <c r="H242" s="8" t="s">
        <v>34</v>
      </c>
      <c r="I242" s="11">
        <v>3373115</v>
      </c>
      <c r="J242" s="8" t="s">
        <v>500</v>
      </c>
      <c r="K242" s="8" t="s">
        <v>501</v>
      </c>
      <c r="L242" s="7">
        <v>2015</v>
      </c>
      <c r="M242" s="8" t="s">
        <v>56</v>
      </c>
      <c r="N242" s="11">
        <v>3493115</v>
      </c>
      <c r="O242" s="8" t="s">
        <v>505</v>
      </c>
      <c r="P242" s="8" t="s">
        <v>506</v>
      </c>
      <c r="Q242" s="8"/>
      <c r="R242" s="8" t="s">
        <v>3138</v>
      </c>
    </row>
    <row r="243" spans="1:18" ht="26.15" customHeight="1">
      <c r="A243" s="7">
        <v>237</v>
      </c>
      <c r="B243" s="8" t="s">
        <v>3454</v>
      </c>
      <c r="C243" s="8" t="s">
        <v>3114</v>
      </c>
      <c r="D243" s="8" t="s">
        <v>3455</v>
      </c>
      <c r="E243" s="8" t="s">
        <v>3116</v>
      </c>
      <c r="F243" s="9" t="s">
        <v>3123</v>
      </c>
      <c r="G243" s="10">
        <v>43908</v>
      </c>
      <c r="H243" s="8" t="s">
        <v>34</v>
      </c>
      <c r="I243" s="11">
        <v>3373115</v>
      </c>
      <c r="J243" s="8" t="s">
        <v>500</v>
      </c>
      <c r="K243" s="8" t="s">
        <v>501</v>
      </c>
      <c r="L243" s="7">
        <v>2015</v>
      </c>
      <c r="M243" s="8" t="s">
        <v>56</v>
      </c>
      <c r="N243" s="11">
        <v>3493115</v>
      </c>
      <c r="O243" s="8" t="s">
        <v>505</v>
      </c>
      <c r="P243" s="8" t="s">
        <v>506</v>
      </c>
      <c r="Q243" s="8"/>
      <c r="R243" s="8" t="s">
        <v>3138</v>
      </c>
    </row>
    <row r="244" spans="1:18" ht="26.15" customHeight="1">
      <c r="A244" s="7">
        <v>238</v>
      </c>
      <c r="B244" s="8" t="s">
        <v>3456</v>
      </c>
      <c r="C244" s="8" t="s">
        <v>3127</v>
      </c>
      <c r="D244" s="8"/>
      <c r="E244" s="8" t="s">
        <v>3128</v>
      </c>
      <c r="F244" s="9" t="s">
        <v>3123</v>
      </c>
      <c r="G244" s="10">
        <v>43908</v>
      </c>
      <c r="H244" s="8" t="s">
        <v>34</v>
      </c>
      <c r="I244" s="11">
        <v>3373115</v>
      </c>
      <c r="J244" s="8" t="s">
        <v>500</v>
      </c>
      <c r="K244" s="8" t="s">
        <v>501</v>
      </c>
      <c r="L244" s="7">
        <v>2015</v>
      </c>
      <c r="M244" s="8" t="s">
        <v>56</v>
      </c>
      <c r="N244" s="11">
        <v>3493115</v>
      </c>
      <c r="O244" s="8" t="s">
        <v>505</v>
      </c>
      <c r="P244" s="8" t="s">
        <v>506</v>
      </c>
      <c r="Q244" s="8"/>
      <c r="R244" s="8"/>
    </row>
    <row r="245" spans="1:18" ht="26.15" customHeight="1">
      <c r="A245" s="7">
        <v>239</v>
      </c>
      <c r="B245" s="8" t="s">
        <v>3457</v>
      </c>
      <c r="C245" s="8" t="s">
        <v>3127</v>
      </c>
      <c r="D245" s="8"/>
      <c r="E245" s="8" t="s">
        <v>3128</v>
      </c>
      <c r="F245" s="9" t="s">
        <v>3117</v>
      </c>
      <c r="G245" s="10">
        <v>43908</v>
      </c>
      <c r="H245" s="8" t="s">
        <v>34</v>
      </c>
      <c r="I245" s="11">
        <v>3373115</v>
      </c>
      <c r="J245" s="8" t="s">
        <v>500</v>
      </c>
      <c r="K245" s="8" t="s">
        <v>501</v>
      </c>
      <c r="L245" s="7">
        <v>2015</v>
      </c>
      <c r="M245" s="8" t="s">
        <v>56</v>
      </c>
      <c r="N245" s="11">
        <v>3493115</v>
      </c>
      <c r="O245" s="8" t="s">
        <v>505</v>
      </c>
      <c r="P245" s="8" t="s">
        <v>506</v>
      </c>
      <c r="Q245" s="8"/>
      <c r="R245" s="8"/>
    </row>
    <row r="246" spans="1:18" ht="26.15" customHeight="1">
      <c r="A246" s="7">
        <v>240</v>
      </c>
      <c r="B246" s="8" t="s">
        <v>1146</v>
      </c>
      <c r="C246" s="8" t="s">
        <v>3114</v>
      </c>
      <c r="D246" s="8" t="s">
        <v>3458</v>
      </c>
      <c r="E246" s="8" t="s">
        <v>3116</v>
      </c>
      <c r="F246" s="9" t="s">
        <v>3117</v>
      </c>
      <c r="G246" s="10">
        <v>43908</v>
      </c>
      <c r="H246" s="8" t="s">
        <v>34</v>
      </c>
      <c r="I246" s="11">
        <v>3373115</v>
      </c>
      <c r="J246" s="8" t="s">
        <v>500</v>
      </c>
      <c r="K246" s="8" t="s">
        <v>501</v>
      </c>
      <c r="L246" s="7">
        <v>2015</v>
      </c>
      <c r="M246" s="8" t="s">
        <v>56</v>
      </c>
      <c r="N246" s="11">
        <v>3493115</v>
      </c>
      <c r="O246" s="8" t="s">
        <v>505</v>
      </c>
      <c r="P246" s="8" t="s">
        <v>506</v>
      </c>
      <c r="Q246" s="8"/>
      <c r="R246" s="8" t="s">
        <v>3459</v>
      </c>
    </row>
    <row r="247" spans="1:18" ht="26.15" customHeight="1">
      <c r="A247" s="7">
        <v>241</v>
      </c>
      <c r="B247" s="8" t="s">
        <v>509</v>
      </c>
      <c r="C247" s="8" t="s">
        <v>3127</v>
      </c>
      <c r="D247" s="8"/>
      <c r="E247" s="8" t="s">
        <v>3128</v>
      </c>
      <c r="F247" s="9" t="s">
        <v>3117</v>
      </c>
      <c r="G247" s="10">
        <v>43901</v>
      </c>
      <c r="H247" s="8" t="s">
        <v>124</v>
      </c>
      <c r="I247" s="11" t="s">
        <v>50</v>
      </c>
      <c r="J247" s="8" t="s">
        <v>507</v>
      </c>
      <c r="K247" s="8" t="s">
        <v>508</v>
      </c>
      <c r="L247" s="7">
        <v>2014</v>
      </c>
      <c r="M247" s="8" t="s">
        <v>47</v>
      </c>
      <c r="N247" s="11">
        <v>1000000</v>
      </c>
      <c r="O247" s="8" t="s">
        <v>510</v>
      </c>
      <c r="P247" s="8" t="s">
        <v>511</v>
      </c>
      <c r="Q247" s="8"/>
      <c r="R247" s="8"/>
    </row>
    <row r="248" spans="1:18" ht="26.15" customHeight="1">
      <c r="A248" s="7">
        <v>242</v>
      </c>
      <c r="B248" s="8" t="s">
        <v>515</v>
      </c>
      <c r="C248" s="8" t="s">
        <v>3114</v>
      </c>
      <c r="D248" s="8" t="s">
        <v>3460</v>
      </c>
      <c r="E248" s="8" t="s">
        <v>3116</v>
      </c>
      <c r="F248" s="9" t="s">
        <v>3117</v>
      </c>
      <c r="G248" s="10">
        <v>43901</v>
      </c>
      <c r="H248" s="8" t="s">
        <v>34</v>
      </c>
      <c r="I248" s="11">
        <v>100000</v>
      </c>
      <c r="J248" s="8" t="s">
        <v>512</v>
      </c>
      <c r="K248" s="8" t="s">
        <v>513</v>
      </c>
      <c r="L248" s="7">
        <v>2014</v>
      </c>
      <c r="M248" s="8" t="s">
        <v>516</v>
      </c>
      <c r="N248" s="11">
        <v>400000</v>
      </c>
      <c r="O248" s="8" t="s">
        <v>517</v>
      </c>
      <c r="P248" s="8" t="s">
        <v>518</v>
      </c>
      <c r="Q248" s="8"/>
      <c r="R248" s="8" t="s">
        <v>3392</v>
      </c>
    </row>
    <row r="249" spans="1:18" ht="26.15" customHeight="1">
      <c r="A249" s="7">
        <v>243</v>
      </c>
      <c r="B249" s="8" t="s">
        <v>521</v>
      </c>
      <c r="C249" s="8"/>
      <c r="D249" s="8" t="s">
        <v>521</v>
      </c>
      <c r="E249" s="8" t="s">
        <v>3116</v>
      </c>
      <c r="F249" s="9" t="s">
        <v>3123</v>
      </c>
      <c r="G249" s="10">
        <v>43899</v>
      </c>
      <c r="H249" s="8" t="s">
        <v>170</v>
      </c>
      <c r="I249" s="11">
        <v>42500000</v>
      </c>
      <c r="J249" s="8" t="s">
        <v>519</v>
      </c>
      <c r="K249" s="8" t="s">
        <v>520</v>
      </c>
      <c r="L249" s="7">
        <v>2019</v>
      </c>
      <c r="M249" s="8" t="s">
        <v>30</v>
      </c>
      <c r="N249" s="11"/>
      <c r="O249" s="8" t="s">
        <v>522</v>
      </c>
      <c r="P249" s="8" t="s">
        <v>294</v>
      </c>
      <c r="Q249" s="8"/>
      <c r="R249" s="8"/>
    </row>
    <row r="250" spans="1:18" ht="26.15" customHeight="1">
      <c r="A250" s="7">
        <v>244</v>
      </c>
      <c r="B250" s="8" t="s">
        <v>3461</v>
      </c>
      <c r="C250" s="8" t="s">
        <v>3114</v>
      </c>
      <c r="D250" s="8" t="s">
        <v>3462</v>
      </c>
      <c r="E250" s="8" t="s">
        <v>3116</v>
      </c>
      <c r="F250" s="9" t="s">
        <v>3123</v>
      </c>
      <c r="G250" s="10">
        <v>43894</v>
      </c>
      <c r="H250" s="8" t="s">
        <v>34</v>
      </c>
      <c r="I250" s="11">
        <v>450924</v>
      </c>
      <c r="J250" s="8" t="s">
        <v>523</v>
      </c>
      <c r="K250" s="8" t="s">
        <v>524</v>
      </c>
      <c r="L250" s="7">
        <v>2016</v>
      </c>
      <c r="M250" s="8" t="s">
        <v>121</v>
      </c>
      <c r="N250" s="11">
        <v>452321</v>
      </c>
      <c r="O250" s="8" t="s">
        <v>116</v>
      </c>
      <c r="P250" s="8" t="s">
        <v>527</v>
      </c>
      <c r="Q250" s="8"/>
      <c r="R250" s="8" t="s">
        <v>313</v>
      </c>
    </row>
    <row r="251" spans="1:18" ht="26.15" customHeight="1">
      <c r="A251" s="7">
        <v>245</v>
      </c>
      <c r="B251" s="8" t="s">
        <v>3463</v>
      </c>
      <c r="C251" s="8" t="s">
        <v>3127</v>
      </c>
      <c r="D251" s="8"/>
      <c r="E251" s="8" t="s">
        <v>3128</v>
      </c>
      <c r="F251" s="9" t="s">
        <v>3123</v>
      </c>
      <c r="G251" s="10">
        <v>43894</v>
      </c>
      <c r="H251" s="8" t="s">
        <v>34</v>
      </c>
      <c r="I251" s="11">
        <v>450924</v>
      </c>
      <c r="J251" s="8" t="s">
        <v>523</v>
      </c>
      <c r="K251" s="8" t="s">
        <v>524</v>
      </c>
      <c r="L251" s="7">
        <v>2016</v>
      </c>
      <c r="M251" s="8" t="s">
        <v>121</v>
      </c>
      <c r="N251" s="11">
        <v>452321</v>
      </c>
      <c r="O251" s="8" t="s">
        <v>116</v>
      </c>
      <c r="P251" s="8" t="s">
        <v>527</v>
      </c>
      <c r="Q251" s="8"/>
      <c r="R251" s="8"/>
    </row>
    <row r="252" spans="1:18" ht="26.15" customHeight="1">
      <c r="A252" s="7">
        <v>246</v>
      </c>
      <c r="B252" s="8" t="s">
        <v>3464</v>
      </c>
      <c r="C252" s="8" t="s">
        <v>3127</v>
      </c>
      <c r="D252" s="8"/>
      <c r="E252" s="8" t="s">
        <v>3128</v>
      </c>
      <c r="F252" s="9" t="s">
        <v>3123</v>
      </c>
      <c r="G252" s="10">
        <v>43894</v>
      </c>
      <c r="H252" s="8" t="s">
        <v>34</v>
      </c>
      <c r="I252" s="11">
        <v>450924</v>
      </c>
      <c r="J252" s="8" t="s">
        <v>523</v>
      </c>
      <c r="K252" s="8" t="s">
        <v>524</v>
      </c>
      <c r="L252" s="7">
        <v>2016</v>
      </c>
      <c r="M252" s="8" t="s">
        <v>121</v>
      </c>
      <c r="N252" s="11">
        <v>452321</v>
      </c>
      <c r="O252" s="8" t="s">
        <v>116</v>
      </c>
      <c r="P252" s="8" t="s">
        <v>527</v>
      </c>
      <c r="Q252" s="8"/>
      <c r="R252" s="8"/>
    </row>
    <row r="253" spans="1:18" ht="26.15" customHeight="1">
      <c r="A253" s="7">
        <v>247</v>
      </c>
      <c r="B253" s="8" t="s">
        <v>3465</v>
      </c>
      <c r="C253" s="8" t="s">
        <v>3127</v>
      </c>
      <c r="D253" s="8"/>
      <c r="E253" s="8" t="s">
        <v>3128</v>
      </c>
      <c r="F253" s="9" t="s">
        <v>3123</v>
      </c>
      <c r="G253" s="10">
        <v>43894</v>
      </c>
      <c r="H253" s="8" t="s">
        <v>34</v>
      </c>
      <c r="I253" s="11">
        <v>450924</v>
      </c>
      <c r="J253" s="8" t="s">
        <v>523</v>
      </c>
      <c r="K253" s="8" t="s">
        <v>524</v>
      </c>
      <c r="L253" s="7">
        <v>2016</v>
      </c>
      <c r="M253" s="8" t="s">
        <v>121</v>
      </c>
      <c r="N253" s="11">
        <v>452321</v>
      </c>
      <c r="O253" s="8" t="s">
        <v>116</v>
      </c>
      <c r="P253" s="8" t="s">
        <v>527</v>
      </c>
      <c r="Q253" s="8"/>
      <c r="R253" s="8"/>
    </row>
    <row r="254" spans="1:18" ht="26.15" customHeight="1">
      <c r="A254" s="7">
        <v>248</v>
      </c>
      <c r="B254" s="8" t="s">
        <v>3466</v>
      </c>
      <c r="C254" s="8" t="s">
        <v>3127</v>
      </c>
      <c r="D254" s="8"/>
      <c r="E254" s="8" t="s">
        <v>3128</v>
      </c>
      <c r="F254" s="9" t="s">
        <v>3123</v>
      </c>
      <c r="G254" s="10">
        <v>43894</v>
      </c>
      <c r="H254" s="8" t="s">
        <v>34</v>
      </c>
      <c r="I254" s="11">
        <v>450924</v>
      </c>
      <c r="J254" s="8" t="s">
        <v>523</v>
      </c>
      <c r="K254" s="8" t="s">
        <v>524</v>
      </c>
      <c r="L254" s="7">
        <v>2016</v>
      </c>
      <c r="M254" s="8" t="s">
        <v>121</v>
      </c>
      <c r="N254" s="11">
        <v>452321</v>
      </c>
      <c r="O254" s="8" t="s">
        <v>116</v>
      </c>
      <c r="P254" s="8" t="s">
        <v>527</v>
      </c>
      <c r="Q254" s="8"/>
      <c r="R254" s="8"/>
    </row>
    <row r="255" spans="1:18" ht="26.15" customHeight="1">
      <c r="A255" s="7">
        <v>249</v>
      </c>
      <c r="B255" s="8" t="s">
        <v>532</v>
      </c>
      <c r="C255" s="8"/>
      <c r="D255" s="8" t="s">
        <v>3467</v>
      </c>
      <c r="E255" s="8" t="s">
        <v>3116</v>
      </c>
      <c r="F255" s="9" t="s">
        <v>3117</v>
      </c>
      <c r="G255" s="10">
        <v>43889</v>
      </c>
      <c r="H255" s="8" t="s">
        <v>528</v>
      </c>
      <c r="I255" s="11" t="s">
        <v>50</v>
      </c>
      <c r="J255" s="8" t="s">
        <v>529</v>
      </c>
      <c r="K255" s="8" t="s">
        <v>530</v>
      </c>
      <c r="L255" s="7">
        <v>1993</v>
      </c>
      <c r="M255" s="8" t="s">
        <v>195</v>
      </c>
      <c r="N255" s="11"/>
      <c r="O255" s="8" t="s">
        <v>533</v>
      </c>
      <c r="P255" s="8" t="s">
        <v>294</v>
      </c>
      <c r="Q255" s="8"/>
      <c r="R255" s="8" t="s">
        <v>3468</v>
      </c>
    </row>
    <row r="256" spans="1:18" ht="26.15" customHeight="1">
      <c r="A256" s="7">
        <v>250</v>
      </c>
      <c r="B256" s="8" t="s">
        <v>1308</v>
      </c>
      <c r="C256" s="8" t="s">
        <v>3114</v>
      </c>
      <c r="D256" s="8" t="s">
        <v>3469</v>
      </c>
      <c r="E256" s="8" t="s">
        <v>3116</v>
      </c>
      <c r="F256" s="9" t="s">
        <v>3117</v>
      </c>
      <c r="G256" s="10">
        <v>43874</v>
      </c>
      <c r="H256" s="8" t="s">
        <v>109</v>
      </c>
      <c r="I256" s="11">
        <v>5500000</v>
      </c>
      <c r="J256" s="8" t="s">
        <v>398</v>
      </c>
      <c r="K256" s="8" t="s">
        <v>399</v>
      </c>
      <c r="L256" s="7">
        <v>2017</v>
      </c>
      <c r="M256" s="8" t="s">
        <v>79</v>
      </c>
      <c r="N256" s="11">
        <v>6930813</v>
      </c>
      <c r="O256" s="8" t="s">
        <v>402</v>
      </c>
      <c r="P256" s="8" t="s">
        <v>403</v>
      </c>
      <c r="Q256" s="8"/>
      <c r="R256" s="8" t="s">
        <v>3470</v>
      </c>
    </row>
    <row r="257" spans="1:18" ht="26.15" customHeight="1">
      <c r="A257" s="7">
        <v>251</v>
      </c>
      <c r="B257" s="8" t="s">
        <v>2164</v>
      </c>
      <c r="C257" s="8" t="s">
        <v>3114</v>
      </c>
      <c r="D257" s="8" t="s">
        <v>3471</v>
      </c>
      <c r="E257" s="8" t="s">
        <v>3116</v>
      </c>
      <c r="F257" s="9" t="s">
        <v>3123</v>
      </c>
      <c r="G257" s="10">
        <v>43874</v>
      </c>
      <c r="H257" s="8" t="s">
        <v>109</v>
      </c>
      <c r="I257" s="11">
        <v>5500000</v>
      </c>
      <c r="J257" s="8" t="s">
        <v>398</v>
      </c>
      <c r="K257" s="8" t="s">
        <v>399</v>
      </c>
      <c r="L257" s="7">
        <v>2017</v>
      </c>
      <c r="M257" s="8" t="s">
        <v>79</v>
      </c>
      <c r="N257" s="11">
        <v>6930813</v>
      </c>
      <c r="O257" s="8" t="s">
        <v>402</v>
      </c>
      <c r="P257" s="8" t="s">
        <v>403</v>
      </c>
      <c r="Q257" s="8"/>
      <c r="R257" s="8" t="s">
        <v>3148</v>
      </c>
    </row>
    <row r="258" spans="1:18" ht="26.15" customHeight="1">
      <c r="A258" s="7">
        <v>252</v>
      </c>
      <c r="B258" s="8" t="s">
        <v>644</v>
      </c>
      <c r="C258" s="8" t="s">
        <v>3114</v>
      </c>
      <c r="D258" s="8" t="s">
        <v>3162</v>
      </c>
      <c r="E258" s="8" t="s">
        <v>3116</v>
      </c>
      <c r="F258" s="9" t="s">
        <v>3117</v>
      </c>
      <c r="G258" s="10">
        <v>43874</v>
      </c>
      <c r="H258" s="8" t="s">
        <v>109</v>
      </c>
      <c r="I258" s="11">
        <v>5500000</v>
      </c>
      <c r="J258" s="8" t="s">
        <v>398</v>
      </c>
      <c r="K258" s="8" t="s">
        <v>399</v>
      </c>
      <c r="L258" s="7">
        <v>2017</v>
      </c>
      <c r="M258" s="8" t="s">
        <v>79</v>
      </c>
      <c r="N258" s="11">
        <v>6930813</v>
      </c>
      <c r="O258" s="8" t="s">
        <v>402</v>
      </c>
      <c r="P258" s="8" t="s">
        <v>403</v>
      </c>
      <c r="Q258" s="8"/>
      <c r="R258" s="8" t="s">
        <v>313</v>
      </c>
    </row>
    <row r="259" spans="1:18" ht="26.15" customHeight="1">
      <c r="A259" s="7">
        <v>253</v>
      </c>
      <c r="B259" s="8" t="s">
        <v>3472</v>
      </c>
      <c r="C259" s="8"/>
      <c r="D259" s="8" t="s">
        <v>3473</v>
      </c>
      <c r="E259" s="8" t="s">
        <v>3116</v>
      </c>
      <c r="F259" s="9" t="s">
        <v>3123</v>
      </c>
      <c r="G259" s="10">
        <v>43867</v>
      </c>
      <c r="H259" s="8" t="s">
        <v>302</v>
      </c>
      <c r="I259" s="11" t="s">
        <v>50</v>
      </c>
      <c r="J259" s="8" t="s">
        <v>185</v>
      </c>
      <c r="K259" s="8" t="s">
        <v>186</v>
      </c>
      <c r="L259" s="7">
        <v>2015</v>
      </c>
      <c r="M259" s="8" t="s">
        <v>188</v>
      </c>
      <c r="N259" s="11">
        <v>65736870</v>
      </c>
      <c r="O259" s="8" t="s">
        <v>189</v>
      </c>
      <c r="P259" s="8" t="s">
        <v>190</v>
      </c>
      <c r="Q259" s="8"/>
      <c r="R259" s="8" t="s">
        <v>313</v>
      </c>
    </row>
    <row r="260" spans="1:18" ht="26.15" customHeight="1">
      <c r="A260" s="7">
        <v>254</v>
      </c>
      <c r="B260" s="8" t="s">
        <v>543</v>
      </c>
      <c r="C260" s="8" t="s">
        <v>3114</v>
      </c>
      <c r="D260" s="8" t="s">
        <v>3474</v>
      </c>
      <c r="E260" s="8" t="s">
        <v>3116</v>
      </c>
      <c r="F260" s="9" t="s">
        <v>3117</v>
      </c>
      <c r="G260" s="10">
        <v>43867</v>
      </c>
      <c r="H260" s="8" t="s">
        <v>95</v>
      </c>
      <c r="I260" s="11">
        <v>35100200</v>
      </c>
      <c r="J260" s="8" t="s">
        <v>185</v>
      </c>
      <c r="K260" s="8" t="s">
        <v>186</v>
      </c>
      <c r="L260" s="7">
        <v>2015</v>
      </c>
      <c r="M260" s="8" t="s">
        <v>188</v>
      </c>
      <c r="N260" s="11">
        <v>65736870</v>
      </c>
      <c r="O260" s="8" t="s">
        <v>189</v>
      </c>
      <c r="P260" s="8" t="s">
        <v>190</v>
      </c>
      <c r="Q260" s="8"/>
      <c r="R260" s="8" t="s">
        <v>313</v>
      </c>
    </row>
    <row r="261" spans="1:18" ht="26.15" customHeight="1">
      <c r="A261" s="7">
        <v>255</v>
      </c>
      <c r="B261" s="8" t="s">
        <v>3174</v>
      </c>
      <c r="C261" s="8" t="s">
        <v>3114</v>
      </c>
      <c r="D261" s="8" t="s">
        <v>3175</v>
      </c>
      <c r="E261" s="8" t="s">
        <v>3116</v>
      </c>
      <c r="F261" s="9" t="s">
        <v>3123</v>
      </c>
      <c r="G261" s="10">
        <v>43867</v>
      </c>
      <c r="H261" s="8" t="s">
        <v>95</v>
      </c>
      <c r="I261" s="11">
        <v>35100200</v>
      </c>
      <c r="J261" s="8" t="s">
        <v>185</v>
      </c>
      <c r="K261" s="8" t="s">
        <v>186</v>
      </c>
      <c r="L261" s="7">
        <v>2015</v>
      </c>
      <c r="M261" s="8" t="s">
        <v>188</v>
      </c>
      <c r="N261" s="11">
        <v>65736870</v>
      </c>
      <c r="O261" s="8" t="s">
        <v>189</v>
      </c>
      <c r="P261" s="8" t="s">
        <v>190</v>
      </c>
      <c r="Q261" s="8"/>
      <c r="R261" s="8" t="s">
        <v>3176</v>
      </c>
    </row>
    <row r="262" spans="1:18" ht="26.15" customHeight="1">
      <c r="A262" s="7">
        <v>256</v>
      </c>
      <c r="B262" s="8" t="s">
        <v>746</v>
      </c>
      <c r="C262" s="8" t="s">
        <v>3114</v>
      </c>
      <c r="D262" s="8" t="s">
        <v>3475</v>
      </c>
      <c r="E262" s="8" t="s">
        <v>3116</v>
      </c>
      <c r="F262" s="9" t="s">
        <v>3123</v>
      </c>
      <c r="G262" s="10">
        <v>43867</v>
      </c>
      <c r="H262" s="8" t="s">
        <v>95</v>
      </c>
      <c r="I262" s="11">
        <v>35100200</v>
      </c>
      <c r="J262" s="8" t="s">
        <v>185</v>
      </c>
      <c r="K262" s="8" t="s">
        <v>186</v>
      </c>
      <c r="L262" s="7">
        <v>2015</v>
      </c>
      <c r="M262" s="8" t="s">
        <v>188</v>
      </c>
      <c r="N262" s="11">
        <v>65736870</v>
      </c>
      <c r="O262" s="8" t="s">
        <v>189</v>
      </c>
      <c r="P262" s="8" t="s">
        <v>190</v>
      </c>
      <c r="Q262" s="8"/>
      <c r="R262" s="8" t="s">
        <v>79</v>
      </c>
    </row>
    <row r="263" spans="1:18" ht="26.15" customHeight="1">
      <c r="A263" s="7">
        <v>257</v>
      </c>
      <c r="B263" s="8" t="s">
        <v>3476</v>
      </c>
      <c r="C263" s="8" t="s">
        <v>3139</v>
      </c>
      <c r="D263" s="8" t="s">
        <v>3477</v>
      </c>
      <c r="E263" s="8" t="s">
        <v>3116</v>
      </c>
      <c r="F263" s="9" t="s">
        <v>3123</v>
      </c>
      <c r="G263" s="10">
        <v>43865</v>
      </c>
      <c r="H263" s="8" t="s">
        <v>289</v>
      </c>
      <c r="I263" s="11">
        <v>20000000</v>
      </c>
      <c r="J263" s="8" t="s">
        <v>544</v>
      </c>
      <c r="K263" s="8" t="s">
        <v>545</v>
      </c>
      <c r="L263" s="7">
        <v>2007</v>
      </c>
      <c r="M263" s="8" t="s">
        <v>547</v>
      </c>
      <c r="N263" s="11">
        <v>40000000</v>
      </c>
      <c r="O263" s="8" t="s">
        <v>548</v>
      </c>
      <c r="P263" s="8" t="s">
        <v>549</v>
      </c>
      <c r="Q263" s="8"/>
      <c r="R263" s="8" t="s">
        <v>3220</v>
      </c>
    </row>
    <row r="264" spans="1:18" ht="26.15" customHeight="1">
      <c r="A264" s="7">
        <v>258</v>
      </c>
      <c r="B264" s="8" t="s">
        <v>551</v>
      </c>
      <c r="C264" s="8" t="s">
        <v>3139</v>
      </c>
      <c r="D264" s="8" t="s">
        <v>3478</v>
      </c>
      <c r="E264" s="8" t="s">
        <v>3116</v>
      </c>
      <c r="F264" s="9" t="s">
        <v>3117</v>
      </c>
      <c r="G264" s="10">
        <v>43865</v>
      </c>
      <c r="H264" s="8" t="s">
        <v>25</v>
      </c>
      <c r="I264" s="11">
        <v>40000000</v>
      </c>
      <c r="J264" s="8" t="s">
        <v>544</v>
      </c>
      <c r="K264" s="8" t="s">
        <v>545</v>
      </c>
      <c r="L264" s="7">
        <v>2007</v>
      </c>
      <c r="M264" s="8" t="s">
        <v>547</v>
      </c>
      <c r="N264" s="11">
        <v>40000000</v>
      </c>
      <c r="O264" s="8" t="s">
        <v>548</v>
      </c>
      <c r="P264" s="8" t="s">
        <v>549</v>
      </c>
      <c r="Q264" s="8"/>
      <c r="R264" s="8"/>
    </row>
    <row r="265" spans="1:18" ht="26.15" customHeight="1">
      <c r="A265" s="7">
        <v>259</v>
      </c>
      <c r="B265" s="8" t="s">
        <v>2037</v>
      </c>
      <c r="C265" s="8" t="s">
        <v>3114</v>
      </c>
      <c r="D265" s="8" t="s">
        <v>3479</v>
      </c>
      <c r="E265" s="8" t="s">
        <v>3116</v>
      </c>
      <c r="F265" s="9" t="s">
        <v>3123</v>
      </c>
      <c r="G265" s="10">
        <v>43865</v>
      </c>
      <c r="H265" s="8" t="s">
        <v>25</v>
      </c>
      <c r="I265" s="11">
        <v>40000000</v>
      </c>
      <c r="J265" s="8" t="s">
        <v>544</v>
      </c>
      <c r="K265" s="8" t="s">
        <v>545</v>
      </c>
      <c r="L265" s="7">
        <v>2007</v>
      </c>
      <c r="M265" s="8" t="s">
        <v>547</v>
      </c>
      <c r="N265" s="11">
        <v>40000000</v>
      </c>
      <c r="O265" s="8" t="s">
        <v>548</v>
      </c>
      <c r="P265" s="8" t="s">
        <v>549</v>
      </c>
      <c r="Q265" s="8"/>
      <c r="R265" s="8" t="s">
        <v>3480</v>
      </c>
    </row>
    <row r="266" spans="1:18" ht="26.15" customHeight="1">
      <c r="A266" s="7">
        <v>260</v>
      </c>
      <c r="B266" s="8" t="s">
        <v>3481</v>
      </c>
      <c r="C266" s="8" t="s">
        <v>3127</v>
      </c>
      <c r="D266" s="8"/>
      <c r="E266" s="8" t="s">
        <v>3128</v>
      </c>
      <c r="F266" s="9" t="s">
        <v>3117</v>
      </c>
      <c r="G266" s="10">
        <v>43864</v>
      </c>
      <c r="H266" s="8" t="s">
        <v>34</v>
      </c>
      <c r="I266" s="11">
        <v>348442</v>
      </c>
      <c r="J266" s="8" t="s">
        <v>553</v>
      </c>
      <c r="K266" s="8" t="s">
        <v>554</v>
      </c>
      <c r="L266" s="7">
        <v>2017</v>
      </c>
      <c r="M266" s="8" t="s">
        <v>188</v>
      </c>
      <c r="N266" s="11">
        <v>348442</v>
      </c>
      <c r="O266" s="8" t="s">
        <v>556</v>
      </c>
      <c r="P266" s="8" t="s">
        <v>557</v>
      </c>
      <c r="Q266" s="8"/>
      <c r="R266" s="8"/>
    </row>
    <row r="267" spans="1:18" ht="26.15" customHeight="1">
      <c r="A267" s="7">
        <v>261</v>
      </c>
      <c r="B267" s="8" t="s">
        <v>3482</v>
      </c>
      <c r="C267" s="8" t="s">
        <v>3127</v>
      </c>
      <c r="D267" s="8"/>
      <c r="E267" s="8" t="s">
        <v>3128</v>
      </c>
      <c r="F267" s="9" t="s">
        <v>3117</v>
      </c>
      <c r="G267" s="10">
        <v>43864</v>
      </c>
      <c r="H267" s="8" t="s">
        <v>34</v>
      </c>
      <c r="I267" s="11">
        <v>348442</v>
      </c>
      <c r="J267" s="8" t="s">
        <v>553</v>
      </c>
      <c r="K267" s="8" t="s">
        <v>554</v>
      </c>
      <c r="L267" s="7">
        <v>2017</v>
      </c>
      <c r="M267" s="8" t="s">
        <v>188</v>
      </c>
      <c r="N267" s="11">
        <v>348442</v>
      </c>
      <c r="O267" s="8" t="s">
        <v>556</v>
      </c>
      <c r="P267" s="8" t="s">
        <v>557</v>
      </c>
      <c r="Q267" s="8"/>
      <c r="R267" s="8"/>
    </row>
    <row r="268" spans="1:18" ht="26.15" customHeight="1">
      <c r="A268" s="7">
        <v>262</v>
      </c>
      <c r="B268" s="8" t="s">
        <v>561</v>
      </c>
      <c r="C268" s="8" t="s">
        <v>3127</v>
      </c>
      <c r="D268" s="8"/>
      <c r="E268" s="8" t="s">
        <v>3128</v>
      </c>
      <c r="F268" s="9" t="s">
        <v>3117</v>
      </c>
      <c r="G268" s="10">
        <v>43860</v>
      </c>
      <c r="H268" s="8" t="s">
        <v>124</v>
      </c>
      <c r="I268" s="11">
        <v>575016</v>
      </c>
      <c r="J268" s="8" t="s">
        <v>558</v>
      </c>
      <c r="K268" s="8" t="s">
        <v>559</v>
      </c>
      <c r="L268" s="7">
        <v>2013</v>
      </c>
      <c r="M268" s="8" t="s">
        <v>562</v>
      </c>
      <c r="N268" s="11">
        <v>575016</v>
      </c>
      <c r="O268" s="8" t="s">
        <v>563</v>
      </c>
      <c r="P268" s="8" t="s">
        <v>564</v>
      </c>
      <c r="Q268" s="8"/>
      <c r="R268" s="8"/>
    </row>
    <row r="269" spans="1:18" ht="26.15" customHeight="1">
      <c r="A269" s="7">
        <v>263</v>
      </c>
      <c r="B269" s="8" t="s">
        <v>3483</v>
      </c>
      <c r="C269" s="8" t="s">
        <v>3127</v>
      </c>
      <c r="D269" s="8"/>
      <c r="E269" s="8" t="s">
        <v>3128</v>
      </c>
      <c r="F269" s="9" t="s">
        <v>3123</v>
      </c>
      <c r="G269" s="10">
        <v>43860</v>
      </c>
      <c r="H269" s="8" t="s">
        <v>124</v>
      </c>
      <c r="I269" s="11">
        <v>575016</v>
      </c>
      <c r="J269" s="8" t="s">
        <v>558</v>
      </c>
      <c r="K269" s="8" t="s">
        <v>559</v>
      </c>
      <c r="L269" s="7">
        <v>2013</v>
      </c>
      <c r="M269" s="8" t="s">
        <v>562</v>
      </c>
      <c r="N269" s="11">
        <v>575016</v>
      </c>
      <c r="O269" s="8" t="s">
        <v>563</v>
      </c>
      <c r="P269" s="8" t="s">
        <v>564</v>
      </c>
      <c r="Q269" s="8"/>
      <c r="R269" s="8"/>
    </row>
    <row r="270" spans="1:18" ht="26.15" customHeight="1">
      <c r="A270" s="7">
        <v>264</v>
      </c>
      <c r="B270" s="8" t="s">
        <v>3484</v>
      </c>
      <c r="C270" s="8" t="s">
        <v>3127</v>
      </c>
      <c r="D270" s="8"/>
      <c r="E270" s="8" t="s">
        <v>3128</v>
      </c>
      <c r="F270" s="9" t="s">
        <v>3123</v>
      </c>
      <c r="G270" s="10">
        <v>43860</v>
      </c>
      <c r="H270" s="8" t="s">
        <v>124</v>
      </c>
      <c r="I270" s="11">
        <v>575016</v>
      </c>
      <c r="J270" s="8" t="s">
        <v>558</v>
      </c>
      <c r="K270" s="8" t="s">
        <v>559</v>
      </c>
      <c r="L270" s="7">
        <v>2013</v>
      </c>
      <c r="M270" s="8" t="s">
        <v>562</v>
      </c>
      <c r="N270" s="11">
        <v>575016</v>
      </c>
      <c r="O270" s="8" t="s">
        <v>563</v>
      </c>
      <c r="P270" s="8" t="s">
        <v>564</v>
      </c>
      <c r="Q270" s="8"/>
      <c r="R270" s="8"/>
    </row>
    <row r="271" spans="1:18" ht="26.15" customHeight="1">
      <c r="A271" s="7">
        <v>265</v>
      </c>
      <c r="B271" s="8" t="s">
        <v>3485</v>
      </c>
      <c r="C271" s="8" t="s">
        <v>3127</v>
      </c>
      <c r="D271" s="8"/>
      <c r="E271" s="8" t="s">
        <v>3128</v>
      </c>
      <c r="F271" s="9" t="s">
        <v>3123</v>
      </c>
      <c r="G271" s="10">
        <v>43860</v>
      </c>
      <c r="H271" s="8" t="s">
        <v>124</v>
      </c>
      <c r="I271" s="11">
        <v>575016</v>
      </c>
      <c r="J271" s="8" t="s">
        <v>558</v>
      </c>
      <c r="K271" s="8" t="s">
        <v>559</v>
      </c>
      <c r="L271" s="7">
        <v>2013</v>
      </c>
      <c r="M271" s="8" t="s">
        <v>562</v>
      </c>
      <c r="N271" s="11">
        <v>575016</v>
      </c>
      <c r="O271" s="8" t="s">
        <v>563</v>
      </c>
      <c r="P271" s="8" t="s">
        <v>564</v>
      </c>
      <c r="Q271" s="8"/>
      <c r="R271" s="8"/>
    </row>
    <row r="272" spans="1:18" ht="26.15" customHeight="1">
      <c r="A272" s="7">
        <v>266</v>
      </c>
      <c r="B272" s="8" t="s">
        <v>3486</v>
      </c>
      <c r="C272" s="8" t="s">
        <v>3127</v>
      </c>
      <c r="D272" s="8"/>
      <c r="E272" s="8" t="s">
        <v>3128</v>
      </c>
      <c r="F272" s="9" t="s">
        <v>3123</v>
      </c>
      <c r="G272" s="10">
        <v>43860</v>
      </c>
      <c r="H272" s="8" t="s">
        <v>124</v>
      </c>
      <c r="I272" s="11">
        <v>575016</v>
      </c>
      <c r="J272" s="8" t="s">
        <v>558</v>
      </c>
      <c r="K272" s="8" t="s">
        <v>559</v>
      </c>
      <c r="L272" s="7">
        <v>2013</v>
      </c>
      <c r="M272" s="8" t="s">
        <v>562</v>
      </c>
      <c r="N272" s="11">
        <v>575016</v>
      </c>
      <c r="O272" s="8" t="s">
        <v>563</v>
      </c>
      <c r="P272" s="8" t="s">
        <v>564</v>
      </c>
      <c r="Q272" s="8"/>
      <c r="R272" s="8"/>
    </row>
    <row r="273" spans="1:18" ht="26.15" customHeight="1">
      <c r="A273" s="7">
        <v>267</v>
      </c>
      <c r="B273" s="8" t="s">
        <v>568</v>
      </c>
      <c r="C273" s="8" t="s">
        <v>3114</v>
      </c>
      <c r="D273" s="8" t="s">
        <v>3487</v>
      </c>
      <c r="E273" s="8" t="s">
        <v>3116</v>
      </c>
      <c r="F273" s="9" t="s">
        <v>3117</v>
      </c>
      <c r="G273" s="10">
        <v>43860</v>
      </c>
      <c r="H273" s="8" t="s">
        <v>34</v>
      </c>
      <c r="I273" s="11">
        <v>3500000</v>
      </c>
      <c r="J273" s="8" t="s">
        <v>565</v>
      </c>
      <c r="K273" s="8" t="s">
        <v>566</v>
      </c>
      <c r="L273" s="7">
        <v>2016</v>
      </c>
      <c r="M273" s="8" t="s">
        <v>569</v>
      </c>
      <c r="N273" s="11">
        <v>3500000</v>
      </c>
      <c r="O273" s="8" t="s">
        <v>570</v>
      </c>
      <c r="P273" s="8" t="s">
        <v>571</v>
      </c>
      <c r="Q273" s="8"/>
      <c r="R273" s="8" t="s">
        <v>369</v>
      </c>
    </row>
    <row r="274" spans="1:18" ht="26.15" customHeight="1">
      <c r="A274" s="7">
        <v>268</v>
      </c>
      <c r="B274" s="8" t="s">
        <v>572</v>
      </c>
      <c r="C274" s="8"/>
      <c r="D274" s="8" t="s">
        <v>572</v>
      </c>
      <c r="E274" s="8" t="s">
        <v>3116</v>
      </c>
      <c r="F274" s="9" t="s">
        <v>3123</v>
      </c>
      <c r="G274" s="10">
        <v>43860</v>
      </c>
      <c r="H274" s="8" t="s">
        <v>184</v>
      </c>
      <c r="I274" s="11">
        <v>2500000</v>
      </c>
      <c r="J274" s="8" t="s">
        <v>565</v>
      </c>
      <c r="K274" s="8" t="s">
        <v>566</v>
      </c>
      <c r="L274" s="7">
        <v>2016</v>
      </c>
      <c r="M274" s="8" t="s">
        <v>569</v>
      </c>
      <c r="N274" s="11">
        <v>3500000</v>
      </c>
      <c r="O274" s="8" t="s">
        <v>570</v>
      </c>
      <c r="P274" s="8" t="s">
        <v>571</v>
      </c>
      <c r="Q274" s="8"/>
      <c r="R274" s="8"/>
    </row>
    <row r="275" spans="1:18" ht="26.15" customHeight="1">
      <c r="A275" s="7">
        <v>269</v>
      </c>
      <c r="B275" s="8" t="s">
        <v>3488</v>
      </c>
      <c r="C275" s="8" t="s">
        <v>3127</v>
      </c>
      <c r="D275" s="8"/>
      <c r="E275" s="8" t="s">
        <v>3128</v>
      </c>
      <c r="F275" s="9" t="s">
        <v>3117</v>
      </c>
      <c r="G275" s="10">
        <v>43853</v>
      </c>
      <c r="H275" s="8" t="s">
        <v>124</v>
      </c>
      <c r="I275" s="11">
        <v>309159</v>
      </c>
      <c r="J275" s="8" t="s">
        <v>573</v>
      </c>
      <c r="K275" s="8" t="s">
        <v>574</v>
      </c>
      <c r="L275" s="7">
        <v>2017</v>
      </c>
      <c r="M275" s="8" t="s">
        <v>128</v>
      </c>
      <c r="N275" s="11">
        <v>365851</v>
      </c>
      <c r="O275" s="8" t="s">
        <v>578</v>
      </c>
      <c r="P275" s="8" t="s">
        <v>579</v>
      </c>
      <c r="Q275" s="8"/>
      <c r="R275" s="8"/>
    </row>
    <row r="276" spans="1:18" ht="26.15" customHeight="1">
      <c r="A276" s="7">
        <v>270</v>
      </c>
      <c r="B276" s="8" t="s">
        <v>3489</v>
      </c>
      <c r="C276" s="8" t="s">
        <v>3127</v>
      </c>
      <c r="D276" s="8"/>
      <c r="E276" s="8" t="s">
        <v>3128</v>
      </c>
      <c r="F276" s="9" t="s">
        <v>3123</v>
      </c>
      <c r="G276" s="10">
        <v>43853</v>
      </c>
      <c r="H276" s="8" t="s">
        <v>124</v>
      </c>
      <c r="I276" s="11">
        <v>309159</v>
      </c>
      <c r="J276" s="8" t="s">
        <v>573</v>
      </c>
      <c r="K276" s="8" t="s">
        <v>574</v>
      </c>
      <c r="L276" s="7">
        <v>2017</v>
      </c>
      <c r="M276" s="8" t="s">
        <v>128</v>
      </c>
      <c r="N276" s="11">
        <v>365851</v>
      </c>
      <c r="O276" s="8" t="s">
        <v>578</v>
      </c>
      <c r="P276" s="8" t="s">
        <v>579</v>
      </c>
      <c r="Q276" s="8"/>
      <c r="R276" s="8"/>
    </row>
    <row r="277" spans="1:18" ht="26.15" customHeight="1">
      <c r="A277" s="7">
        <v>271</v>
      </c>
      <c r="B277" s="8" t="s">
        <v>3490</v>
      </c>
      <c r="C277" s="8" t="s">
        <v>3127</v>
      </c>
      <c r="D277" s="8"/>
      <c r="E277" s="8" t="s">
        <v>3128</v>
      </c>
      <c r="F277" s="9" t="s">
        <v>3123</v>
      </c>
      <c r="G277" s="10">
        <v>43853</v>
      </c>
      <c r="H277" s="8" t="s">
        <v>124</v>
      </c>
      <c r="I277" s="11">
        <v>309159</v>
      </c>
      <c r="J277" s="8" t="s">
        <v>573</v>
      </c>
      <c r="K277" s="8" t="s">
        <v>574</v>
      </c>
      <c r="L277" s="7">
        <v>2017</v>
      </c>
      <c r="M277" s="8" t="s">
        <v>128</v>
      </c>
      <c r="N277" s="11">
        <v>365851</v>
      </c>
      <c r="O277" s="8" t="s">
        <v>578</v>
      </c>
      <c r="P277" s="8" t="s">
        <v>579</v>
      </c>
      <c r="Q277" s="8"/>
      <c r="R277" s="8"/>
    </row>
    <row r="278" spans="1:18" ht="26.15" customHeight="1">
      <c r="A278" s="7">
        <v>272</v>
      </c>
      <c r="B278" s="8" t="s">
        <v>3491</v>
      </c>
      <c r="C278" s="8" t="s">
        <v>3127</v>
      </c>
      <c r="D278" s="8"/>
      <c r="E278" s="8" t="s">
        <v>3128</v>
      </c>
      <c r="F278" s="9" t="s">
        <v>3123</v>
      </c>
      <c r="G278" s="10">
        <v>43853</v>
      </c>
      <c r="H278" s="8" t="s">
        <v>124</v>
      </c>
      <c r="I278" s="11">
        <v>309159</v>
      </c>
      <c r="J278" s="8" t="s">
        <v>573</v>
      </c>
      <c r="K278" s="8" t="s">
        <v>574</v>
      </c>
      <c r="L278" s="7">
        <v>2017</v>
      </c>
      <c r="M278" s="8" t="s">
        <v>128</v>
      </c>
      <c r="N278" s="11">
        <v>365851</v>
      </c>
      <c r="O278" s="8" t="s">
        <v>578</v>
      </c>
      <c r="P278" s="8" t="s">
        <v>579</v>
      </c>
      <c r="Q278" s="8"/>
      <c r="R278" s="8"/>
    </row>
    <row r="279" spans="1:18" ht="26.15" customHeight="1">
      <c r="A279" s="7">
        <v>273</v>
      </c>
      <c r="B279" s="8" t="s">
        <v>3492</v>
      </c>
      <c r="C279" s="8" t="s">
        <v>3127</v>
      </c>
      <c r="D279" s="8"/>
      <c r="E279" s="8" t="s">
        <v>3128</v>
      </c>
      <c r="F279" s="9" t="s">
        <v>3123</v>
      </c>
      <c r="G279" s="10">
        <v>43853</v>
      </c>
      <c r="H279" s="8" t="s">
        <v>124</v>
      </c>
      <c r="I279" s="11">
        <v>309159</v>
      </c>
      <c r="J279" s="8" t="s">
        <v>573</v>
      </c>
      <c r="K279" s="8" t="s">
        <v>574</v>
      </c>
      <c r="L279" s="7">
        <v>2017</v>
      </c>
      <c r="M279" s="8" t="s">
        <v>128</v>
      </c>
      <c r="N279" s="11">
        <v>365851</v>
      </c>
      <c r="O279" s="8" t="s">
        <v>578</v>
      </c>
      <c r="P279" s="8" t="s">
        <v>579</v>
      </c>
      <c r="Q279" s="8"/>
      <c r="R279" s="8"/>
    </row>
    <row r="280" spans="1:18" ht="26.15" customHeight="1">
      <c r="A280" s="7">
        <v>274</v>
      </c>
      <c r="B280" s="8" t="s">
        <v>3493</v>
      </c>
      <c r="C280" s="8" t="s">
        <v>3127</v>
      </c>
      <c r="D280" s="8"/>
      <c r="E280" s="8" t="s">
        <v>3128</v>
      </c>
      <c r="F280" s="9" t="s">
        <v>3123</v>
      </c>
      <c r="G280" s="10">
        <v>43853</v>
      </c>
      <c r="H280" s="8" t="s">
        <v>124</v>
      </c>
      <c r="I280" s="11">
        <v>309159</v>
      </c>
      <c r="J280" s="8" t="s">
        <v>573</v>
      </c>
      <c r="K280" s="8" t="s">
        <v>574</v>
      </c>
      <c r="L280" s="7">
        <v>2017</v>
      </c>
      <c r="M280" s="8" t="s">
        <v>128</v>
      </c>
      <c r="N280" s="11">
        <v>365851</v>
      </c>
      <c r="O280" s="8" t="s">
        <v>578</v>
      </c>
      <c r="P280" s="8" t="s">
        <v>579</v>
      </c>
      <c r="Q280" s="8"/>
      <c r="R280" s="8"/>
    </row>
    <row r="281" spans="1:18" ht="26.15" customHeight="1">
      <c r="A281" s="7">
        <v>275</v>
      </c>
      <c r="B281" s="8" t="s">
        <v>3494</v>
      </c>
      <c r="C281" s="8" t="s">
        <v>3127</v>
      </c>
      <c r="D281" s="8"/>
      <c r="E281" s="8" t="s">
        <v>3128</v>
      </c>
      <c r="F281" s="9" t="s">
        <v>3123</v>
      </c>
      <c r="G281" s="10">
        <v>43853</v>
      </c>
      <c r="H281" s="8" t="s">
        <v>124</v>
      </c>
      <c r="I281" s="11">
        <v>309159</v>
      </c>
      <c r="J281" s="8" t="s">
        <v>573</v>
      </c>
      <c r="K281" s="8" t="s">
        <v>574</v>
      </c>
      <c r="L281" s="7">
        <v>2017</v>
      </c>
      <c r="M281" s="8" t="s">
        <v>128</v>
      </c>
      <c r="N281" s="11">
        <v>365851</v>
      </c>
      <c r="O281" s="8" t="s">
        <v>578</v>
      </c>
      <c r="P281" s="8" t="s">
        <v>579</v>
      </c>
      <c r="Q281" s="8"/>
      <c r="R281" s="8"/>
    </row>
    <row r="282" spans="1:18" ht="26.15" customHeight="1">
      <c r="A282" s="7">
        <v>276</v>
      </c>
      <c r="B282" s="8" t="s">
        <v>3495</v>
      </c>
      <c r="C282" s="8" t="s">
        <v>3127</v>
      </c>
      <c r="D282" s="8"/>
      <c r="E282" s="8" t="s">
        <v>3128</v>
      </c>
      <c r="F282" s="9" t="s">
        <v>3123</v>
      </c>
      <c r="G282" s="10">
        <v>43853</v>
      </c>
      <c r="H282" s="8" t="s">
        <v>124</v>
      </c>
      <c r="I282" s="11">
        <v>309159</v>
      </c>
      <c r="J282" s="8" t="s">
        <v>573</v>
      </c>
      <c r="K282" s="8" t="s">
        <v>574</v>
      </c>
      <c r="L282" s="7">
        <v>2017</v>
      </c>
      <c r="M282" s="8" t="s">
        <v>128</v>
      </c>
      <c r="N282" s="11">
        <v>365851</v>
      </c>
      <c r="O282" s="8" t="s">
        <v>578</v>
      </c>
      <c r="P282" s="8" t="s">
        <v>579</v>
      </c>
      <c r="Q282" s="8"/>
      <c r="R282" s="8"/>
    </row>
    <row r="283" spans="1:18" ht="26.15" customHeight="1">
      <c r="A283" s="7">
        <v>277</v>
      </c>
      <c r="B283" s="8" t="s">
        <v>3496</v>
      </c>
      <c r="C283" s="8" t="s">
        <v>3127</v>
      </c>
      <c r="D283" s="8"/>
      <c r="E283" s="8" t="s">
        <v>3128</v>
      </c>
      <c r="F283" s="9" t="s">
        <v>3123</v>
      </c>
      <c r="G283" s="10">
        <v>43853</v>
      </c>
      <c r="H283" s="8" t="s">
        <v>124</v>
      </c>
      <c r="I283" s="11">
        <v>309159</v>
      </c>
      <c r="J283" s="8" t="s">
        <v>573</v>
      </c>
      <c r="K283" s="8" t="s">
        <v>574</v>
      </c>
      <c r="L283" s="7">
        <v>2017</v>
      </c>
      <c r="M283" s="8" t="s">
        <v>128</v>
      </c>
      <c r="N283" s="11">
        <v>365851</v>
      </c>
      <c r="O283" s="8" t="s">
        <v>578</v>
      </c>
      <c r="P283" s="8" t="s">
        <v>579</v>
      </c>
      <c r="Q283" s="8"/>
      <c r="R283" s="8"/>
    </row>
    <row r="284" spans="1:18" ht="26.15" customHeight="1">
      <c r="A284" s="7">
        <v>278</v>
      </c>
      <c r="B284" s="8" t="s">
        <v>1023</v>
      </c>
      <c r="C284" s="8" t="s">
        <v>3127</v>
      </c>
      <c r="D284" s="8"/>
      <c r="E284" s="8" t="s">
        <v>3128</v>
      </c>
      <c r="F284" s="9" t="s">
        <v>3117</v>
      </c>
      <c r="G284" s="10">
        <v>43853</v>
      </c>
      <c r="H284" s="8" t="s">
        <v>124</v>
      </c>
      <c r="I284" s="11">
        <v>309159</v>
      </c>
      <c r="J284" s="8" t="s">
        <v>573</v>
      </c>
      <c r="K284" s="8" t="s">
        <v>574</v>
      </c>
      <c r="L284" s="7">
        <v>2017</v>
      </c>
      <c r="M284" s="8" t="s">
        <v>128</v>
      </c>
      <c r="N284" s="11">
        <v>365851</v>
      </c>
      <c r="O284" s="8" t="s">
        <v>578</v>
      </c>
      <c r="P284" s="8" t="s">
        <v>579</v>
      </c>
      <c r="Q284" s="8"/>
      <c r="R284" s="8"/>
    </row>
    <row r="285" spans="1:18" ht="26.15" customHeight="1">
      <c r="A285" s="7">
        <v>279</v>
      </c>
      <c r="B285" s="8" t="s">
        <v>3490</v>
      </c>
      <c r="C285" s="8" t="s">
        <v>3127</v>
      </c>
      <c r="D285" s="8"/>
      <c r="E285" s="8" t="s">
        <v>3128</v>
      </c>
      <c r="F285" s="9" t="s">
        <v>3123</v>
      </c>
      <c r="G285" s="10">
        <v>43853</v>
      </c>
      <c r="H285" s="8" t="s">
        <v>124</v>
      </c>
      <c r="I285" s="11">
        <v>309159</v>
      </c>
      <c r="J285" s="8" t="s">
        <v>573</v>
      </c>
      <c r="K285" s="8" t="s">
        <v>574</v>
      </c>
      <c r="L285" s="7">
        <v>2017</v>
      </c>
      <c r="M285" s="8" t="s">
        <v>128</v>
      </c>
      <c r="N285" s="11">
        <v>365851</v>
      </c>
      <c r="O285" s="8" t="s">
        <v>578</v>
      </c>
      <c r="P285" s="8" t="s">
        <v>579</v>
      </c>
      <c r="Q285" s="8"/>
      <c r="R285" s="8"/>
    </row>
    <row r="286" spans="1:18" ht="26.15" customHeight="1">
      <c r="A286" s="7">
        <v>280</v>
      </c>
      <c r="B286" s="8" t="s">
        <v>3374</v>
      </c>
      <c r="C286" s="8" t="s">
        <v>3114</v>
      </c>
      <c r="D286" s="8" t="s">
        <v>3375</v>
      </c>
      <c r="E286" s="8" t="s">
        <v>3116</v>
      </c>
      <c r="F286" s="9" t="s">
        <v>3123</v>
      </c>
      <c r="G286" s="10">
        <v>43853</v>
      </c>
      <c r="H286" s="8" t="s">
        <v>124</v>
      </c>
      <c r="I286" s="11">
        <v>309159</v>
      </c>
      <c r="J286" s="8" t="s">
        <v>573</v>
      </c>
      <c r="K286" s="8" t="s">
        <v>574</v>
      </c>
      <c r="L286" s="7">
        <v>2017</v>
      </c>
      <c r="M286" s="8" t="s">
        <v>128</v>
      </c>
      <c r="N286" s="11">
        <v>365851</v>
      </c>
      <c r="O286" s="8" t="s">
        <v>578</v>
      </c>
      <c r="P286" s="8" t="s">
        <v>579</v>
      </c>
      <c r="Q286" s="8"/>
      <c r="R286" s="8" t="s">
        <v>79</v>
      </c>
    </row>
    <row r="287" spans="1:18" ht="26.15" customHeight="1">
      <c r="A287" s="7">
        <v>281</v>
      </c>
      <c r="B287" s="8" t="s">
        <v>3497</v>
      </c>
      <c r="C287" s="8" t="s">
        <v>3127</v>
      </c>
      <c r="D287" s="8"/>
      <c r="E287" s="8" t="s">
        <v>3128</v>
      </c>
      <c r="F287" s="9" t="s">
        <v>3123</v>
      </c>
      <c r="G287" s="10">
        <v>43853</v>
      </c>
      <c r="H287" s="8" t="s">
        <v>124</v>
      </c>
      <c r="I287" s="11">
        <v>309159</v>
      </c>
      <c r="J287" s="8" t="s">
        <v>573</v>
      </c>
      <c r="K287" s="8" t="s">
        <v>574</v>
      </c>
      <c r="L287" s="7">
        <v>2017</v>
      </c>
      <c r="M287" s="8" t="s">
        <v>128</v>
      </c>
      <c r="N287" s="11">
        <v>365851</v>
      </c>
      <c r="O287" s="8" t="s">
        <v>578</v>
      </c>
      <c r="P287" s="8" t="s">
        <v>579</v>
      </c>
      <c r="Q287" s="8"/>
      <c r="R287" s="8"/>
    </row>
    <row r="288" spans="1:18" ht="26.15" customHeight="1">
      <c r="A288" s="7">
        <v>282</v>
      </c>
      <c r="B288" s="8" t="s">
        <v>3498</v>
      </c>
      <c r="C288" s="8" t="s">
        <v>3127</v>
      </c>
      <c r="D288" s="8"/>
      <c r="E288" s="8" t="s">
        <v>3128</v>
      </c>
      <c r="F288" s="9" t="s">
        <v>3123</v>
      </c>
      <c r="G288" s="10">
        <v>43853</v>
      </c>
      <c r="H288" s="8" t="s">
        <v>124</v>
      </c>
      <c r="I288" s="11">
        <v>309159</v>
      </c>
      <c r="J288" s="8" t="s">
        <v>573</v>
      </c>
      <c r="K288" s="8" t="s">
        <v>574</v>
      </c>
      <c r="L288" s="7">
        <v>2017</v>
      </c>
      <c r="M288" s="8" t="s">
        <v>128</v>
      </c>
      <c r="N288" s="11">
        <v>365851</v>
      </c>
      <c r="O288" s="8" t="s">
        <v>578</v>
      </c>
      <c r="P288" s="8" t="s">
        <v>579</v>
      </c>
      <c r="Q288" s="8"/>
      <c r="R288" s="8"/>
    </row>
    <row r="289" spans="1:18" ht="26.15" customHeight="1">
      <c r="A289" s="7">
        <v>283</v>
      </c>
      <c r="B289" s="8" t="s">
        <v>3499</v>
      </c>
      <c r="C289" s="8" t="s">
        <v>3127</v>
      </c>
      <c r="D289" s="8"/>
      <c r="E289" s="8" t="s">
        <v>3128</v>
      </c>
      <c r="F289" s="9" t="s">
        <v>3123</v>
      </c>
      <c r="G289" s="10">
        <v>43853</v>
      </c>
      <c r="H289" s="8" t="s">
        <v>124</v>
      </c>
      <c r="I289" s="11">
        <v>309159</v>
      </c>
      <c r="J289" s="8" t="s">
        <v>573</v>
      </c>
      <c r="K289" s="8" t="s">
        <v>574</v>
      </c>
      <c r="L289" s="7">
        <v>2017</v>
      </c>
      <c r="M289" s="8" t="s">
        <v>128</v>
      </c>
      <c r="N289" s="11">
        <v>365851</v>
      </c>
      <c r="O289" s="8" t="s">
        <v>578</v>
      </c>
      <c r="P289" s="8" t="s">
        <v>579</v>
      </c>
      <c r="Q289" s="8"/>
      <c r="R289" s="8"/>
    </row>
    <row r="290" spans="1:18" ht="26.15" customHeight="1">
      <c r="A290" s="7">
        <v>284</v>
      </c>
      <c r="B290" s="8" t="s">
        <v>3500</v>
      </c>
      <c r="C290" s="8" t="s">
        <v>3127</v>
      </c>
      <c r="D290" s="8"/>
      <c r="E290" s="8" t="s">
        <v>3128</v>
      </c>
      <c r="F290" s="9" t="s">
        <v>3123</v>
      </c>
      <c r="G290" s="10">
        <v>43853</v>
      </c>
      <c r="H290" s="8" t="s">
        <v>124</v>
      </c>
      <c r="I290" s="11">
        <v>309159</v>
      </c>
      <c r="J290" s="8" t="s">
        <v>573</v>
      </c>
      <c r="K290" s="8" t="s">
        <v>574</v>
      </c>
      <c r="L290" s="7">
        <v>2017</v>
      </c>
      <c r="M290" s="8" t="s">
        <v>128</v>
      </c>
      <c r="N290" s="11">
        <v>365851</v>
      </c>
      <c r="O290" s="8" t="s">
        <v>578</v>
      </c>
      <c r="P290" s="8" t="s">
        <v>579</v>
      </c>
      <c r="Q290" s="8"/>
      <c r="R290" s="8"/>
    </row>
    <row r="291" spans="1:18" ht="26.15" customHeight="1">
      <c r="A291" s="7">
        <v>285</v>
      </c>
      <c r="B291" s="8" t="s">
        <v>3501</v>
      </c>
      <c r="C291" s="8" t="s">
        <v>3114</v>
      </c>
      <c r="D291" s="8" t="s">
        <v>3502</v>
      </c>
      <c r="E291" s="8" t="s">
        <v>3116</v>
      </c>
      <c r="F291" s="9" t="s">
        <v>3123</v>
      </c>
      <c r="G291" s="10">
        <v>43853</v>
      </c>
      <c r="H291" s="8" t="s">
        <v>124</v>
      </c>
      <c r="I291" s="11">
        <v>309159</v>
      </c>
      <c r="J291" s="8" t="s">
        <v>573</v>
      </c>
      <c r="K291" s="8" t="s">
        <v>574</v>
      </c>
      <c r="L291" s="7">
        <v>2017</v>
      </c>
      <c r="M291" s="8" t="s">
        <v>128</v>
      </c>
      <c r="N291" s="11">
        <v>365851</v>
      </c>
      <c r="O291" s="8" t="s">
        <v>578</v>
      </c>
      <c r="P291" s="8" t="s">
        <v>579</v>
      </c>
      <c r="Q291" s="8"/>
      <c r="R291" s="8" t="s">
        <v>79</v>
      </c>
    </row>
    <row r="292" spans="1:18" ht="26.15" customHeight="1">
      <c r="A292" s="7">
        <v>286</v>
      </c>
      <c r="B292" s="8" t="s">
        <v>583</v>
      </c>
      <c r="C292" s="8" t="s">
        <v>3114</v>
      </c>
      <c r="D292" s="8" t="s">
        <v>3503</v>
      </c>
      <c r="E292" s="8" t="s">
        <v>3116</v>
      </c>
      <c r="F292" s="9" t="s">
        <v>3117</v>
      </c>
      <c r="G292" s="10">
        <v>43853</v>
      </c>
      <c r="H292" s="8" t="s">
        <v>34</v>
      </c>
      <c r="I292" s="11">
        <v>714179</v>
      </c>
      <c r="J292" s="8" t="s">
        <v>580</v>
      </c>
      <c r="K292" s="8" t="s">
        <v>581</v>
      </c>
      <c r="L292" s="7">
        <v>2017</v>
      </c>
      <c r="M292" s="8" t="s">
        <v>584</v>
      </c>
      <c r="N292" s="11">
        <v>714179</v>
      </c>
      <c r="O292" s="8" t="s">
        <v>585</v>
      </c>
      <c r="P292" s="8" t="s">
        <v>586</v>
      </c>
      <c r="Q292" s="8"/>
      <c r="R292" s="8" t="s">
        <v>3220</v>
      </c>
    </row>
    <row r="293" spans="1:18" ht="26.15" customHeight="1">
      <c r="A293" s="7">
        <v>287</v>
      </c>
      <c r="B293" s="8" t="s">
        <v>588</v>
      </c>
      <c r="C293" s="8" t="s">
        <v>3114</v>
      </c>
      <c r="D293" s="8" t="s">
        <v>3504</v>
      </c>
      <c r="E293" s="8" t="s">
        <v>3116</v>
      </c>
      <c r="F293" s="9" t="s">
        <v>3117</v>
      </c>
      <c r="G293" s="10">
        <v>43846</v>
      </c>
      <c r="H293" s="8" t="s">
        <v>25</v>
      </c>
      <c r="I293" s="11">
        <v>23000000</v>
      </c>
      <c r="J293" s="8" t="s">
        <v>26</v>
      </c>
      <c r="K293" s="8" t="s">
        <v>27</v>
      </c>
      <c r="L293" s="7">
        <v>2015</v>
      </c>
      <c r="M293" s="8" t="s">
        <v>30</v>
      </c>
      <c r="N293" s="11">
        <v>30000000</v>
      </c>
      <c r="O293" s="8" t="s">
        <v>31</v>
      </c>
      <c r="P293" s="8" t="s">
        <v>32</v>
      </c>
      <c r="Q293" s="8"/>
      <c r="R293" s="8" t="s">
        <v>3220</v>
      </c>
    </row>
    <row r="294" spans="1:18" ht="26.15" customHeight="1">
      <c r="A294" s="7">
        <v>288</v>
      </c>
      <c r="B294" s="8" t="s">
        <v>3505</v>
      </c>
      <c r="C294" s="8" t="s">
        <v>3114</v>
      </c>
      <c r="D294" s="8" t="s">
        <v>3506</v>
      </c>
      <c r="E294" s="8" t="s">
        <v>3116</v>
      </c>
      <c r="F294" s="9" t="s">
        <v>3123</v>
      </c>
      <c r="G294" s="10">
        <v>43846</v>
      </c>
      <c r="H294" s="8" t="s">
        <v>25</v>
      </c>
      <c r="I294" s="11">
        <v>23000000</v>
      </c>
      <c r="J294" s="8" t="s">
        <v>26</v>
      </c>
      <c r="K294" s="8" t="s">
        <v>27</v>
      </c>
      <c r="L294" s="7">
        <v>2015</v>
      </c>
      <c r="M294" s="8" t="s">
        <v>30</v>
      </c>
      <c r="N294" s="11">
        <v>30000000</v>
      </c>
      <c r="O294" s="8" t="s">
        <v>31</v>
      </c>
      <c r="P294" s="8" t="s">
        <v>32</v>
      </c>
      <c r="Q294" s="8"/>
      <c r="R294" s="8" t="s">
        <v>3192</v>
      </c>
    </row>
    <row r="295" spans="1:18" ht="26.15" customHeight="1">
      <c r="A295" s="7">
        <v>289</v>
      </c>
      <c r="B295" s="8" t="s">
        <v>3507</v>
      </c>
      <c r="C295" s="8" t="s">
        <v>3114</v>
      </c>
      <c r="D295" s="8" t="s">
        <v>3508</v>
      </c>
      <c r="E295" s="8" t="s">
        <v>3116</v>
      </c>
      <c r="F295" s="9" t="s">
        <v>3123</v>
      </c>
      <c r="G295" s="10">
        <v>43846</v>
      </c>
      <c r="H295" s="8" t="s">
        <v>25</v>
      </c>
      <c r="I295" s="11">
        <v>23000000</v>
      </c>
      <c r="J295" s="8" t="s">
        <v>26</v>
      </c>
      <c r="K295" s="8" t="s">
        <v>27</v>
      </c>
      <c r="L295" s="7">
        <v>2015</v>
      </c>
      <c r="M295" s="8" t="s">
        <v>30</v>
      </c>
      <c r="N295" s="11">
        <v>30000000</v>
      </c>
      <c r="O295" s="8" t="s">
        <v>31</v>
      </c>
      <c r="P295" s="8" t="s">
        <v>32</v>
      </c>
      <c r="Q295" s="8"/>
      <c r="R295" s="8" t="s">
        <v>3509</v>
      </c>
    </row>
    <row r="296" spans="1:18" ht="26.15" customHeight="1">
      <c r="A296" s="7">
        <v>290</v>
      </c>
      <c r="B296" s="8" t="s">
        <v>3510</v>
      </c>
      <c r="C296" s="8"/>
      <c r="D296" s="8" t="s">
        <v>3511</v>
      </c>
      <c r="E296" s="8" t="s">
        <v>3116</v>
      </c>
      <c r="F296" s="9" t="s">
        <v>3123</v>
      </c>
      <c r="G296" s="10">
        <v>43846</v>
      </c>
      <c r="H296" s="8" t="s">
        <v>25</v>
      </c>
      <c r="I296" s="11">
        <v>23000000</v>
      </c>
      <c r="J296" s="8" t="s">
        <v>26</v>
      </c>
      <c r="K296" s="8" t="s">
        <v>27</v>
      </c>
      <c r="L296" s="7">
        <v>2015</v>
      </c>
      <c r="M296" s="8" t="s">
        <v>30</v>
      </c>
      <c r="N296" s="11">
        <v>30000000</v>
      </c>
      <c r="O296" s="8" t="s">
        <v>31</v>
      </c>
      <c r="P296" s="8" t="s">
        <v>32</v>
      </c>
      <c r="Q296" s="8"/>
      <c r="R296" s="8" t="s">
        <v>3220</v>
      </c>
    </row>
    <row r="297" spans="1:18" ht="26.15" customHeight="1">
      <c r="A297" s="7">
        <v>291</v>
      </c>
      <c r="B297" s="8" t="s">
        <v>592</v>
      </c>
      <c r="C297" s="8" t="s">
        <v>3114</v>
      </c>
      <c r="D297" s="8" t="s">
        <v>3512</v>
      </c>
      <c r="E297" s="8" t="s">
        <v>3116</v>
      </c>
      <c r="F297" s="9" t="s">
        <v>3117</v>
      </c>
      <c r="G297" s="10">
        <v>43837</v>
      </c>
      <c r="H297" s="8" t="s">
        <v>34</v>
      </c>
      <c r="I297" s="11">
        <v>74190</v>
      </c>
      <c r="J297" s="8" t="s">
        <v>589</v>
      </c>
      <c r="K297" s="8" t="s">
        <v>590</v>
      </c>
      <c r="L297" s="7">
        <v>2017</v>
      </c>
      <c r="M297" s="8" t="s">
        <v>593</v>
      </c>
      <c r="N297" s="11">
        <v>74190</v>
      </c>
      <c r="O297" s="8" t="s">
        <v>594</v>
      </c>
      <c r="P297" s="8" t="s">
        <v>595</v>
      </c>
      <c r="Q297" s="8"/>
      <c r="R297" s="8" t="s">
        <v>3204</v>
      </c>
    </row>
    <row r="298" spans="1:18" ht="26.15" customHeight="1">
      <c r="A298" s="7">
        <v>292</v>
      </c>
      <c r="B298" s="8" t="s">
        <v>3513</v>
      </c>
      <c r="C298" s="8" t="s">
        <v>3127</v>
      </c>
      <c r="D298" s="8"/>
      <c r="E298" s="8" t="s">
        <v>3128</v>
      </c>
      <c r="F298" s="9" t="s">
        <v>3117</v>
      </c>
      <c r="G298" s="10">
        <v>43835</v>
      </c>
      <c r="H298" s="8" t="s">
        <v>124</v>
      </c>
      <c r="I298" s="11">
        <v>100085</v>
      </c>
      <c r="J298" s="8" t="s">
        <v>596</v>
      </c>
      <c r="K298" s="8" t="s">
        <v>597</v>
      </c>
      <c r="L298" s="7">
        <v>2019</v>
      </c>
      <c r="M298" s="8" t="s">
        <v>599</v>
      </c>
      <c r="N298" s="11">
        <v>100085</v>
      </c>
      <c r="O298" s="8" t="s">
        <v>600</v>
      </c>
      <c r="P298" s="8" t="s">
        <v>601</v>
      </c>
      <c r="Q298" s="8"/>
      <c r="R298" s="8"/>
    </row>
    <row r="299" spans="1:18" ht="26.15" customHeight="1">
      <c r="A299" s="7">
        <v>293</v>
      </c>
      <c r="B299" s="8" t="s">
        <v>3514</v>
      </c>
      <c r="C299" s="8" t="s">
        <v>3127</v>
      </c>
      <c r="D299" s="8"/>
      <c r="E299" s="8" t="s">
        <v>3128</v>
      </c>
      <c r="F299" s="9" t="s">
        <v>3117</v>
      </c>
      <c r="G299" s="10">
        <v>43835</v>
      </c>
      <c r="H299" s="8" t="s">
        <v>124</v>
      </c>
      <c r="I299" s="11">
        <v>100085</v>
      </c>
      <c r="J299" s="8" t="s">
        <v>596</v>
      </c>
      <c r="K299" s="8" t="s">
        <v>597</v>
      </c>
      <c r="L299" s="7">
        <v>2019</v>
      </c>
      <c r="M299" s="8" t="s">
        <v>599</v>
      </c>
      <c r="N299" s="11">
        <v>100085</v>
      </c>
      <c r="O299" s="8" t="s">
        <v>600</v>
      </c>
      <c r="P299" s="8" t="s">
        <v>601</v>
      </c>
      <c r="Q299" s="8"/>
      <c r="R299" s="8"/>
    </row>
    <row r="300" spans="1:18" ht="26.15" customHeight="1">
      <c r="A300" s="7">
        <v>294</v>
      </c>
      <c r="B300" s="8" t="s">
        <v>605</v>
      </c>
      <c r="C300" s="8"/>
      <c r="D300" s="8" t="s">
        <v>3515</v>
      </c>
      <c r="E300" s="8" t="s">
        <v>3116</v>
      </c>
      <c r="F300" s="9" t="s">
        <v>3117</v>
      </c>
      <c r="G300" s="10">
        <v>43832</v>
      </c>
      <c r="H300" s="8" t="s">
        <v>109</v>
      </c>
      <c r="I300" s="11" t="s">
        <v>50</v>
      </c>
      <c r="J300" s="8" t="s">
        <v>602</v>
      </c>
      <c r="K300" s="8" t="s">
        <v>603</v>
      </c>
      <c r="L300" s="7">
        <v>2012</v>
      </c>
      <c r="M300" s="8" t="s">
        <v>382</v>
      </c>
      <c r="N300" s="11"/>
      <c r="O300" s="8" t="s">
        <v>606</v>
      </c>
      <c r="P300" s="8" t="s">
        <v>607</v>
      </c>
      <c r="Q300" s="8"/>
      <c r="R300" s="8"/>
    </row>
    <row r="301" spans="1:18" ht="26.15" customHeight="1">
      <c r="A301" s="7">
        <v>295</v>
      </c>
      <c r="B301" s="8" t="s">
        <v>609</v>
      </c>
      <c r="C301" s="8" t="s">
        <v>3114</v>
      </c>
      <c r="D301" s="8" t="s">
        <v>3122</v>
      </c>
      <c r="E301" s="8" t="s">
        <v>3116</v>
      </c>
      <c r="F301" s="9" t="s">
        <v>3117</v>
      </c>
      <c r="G301" s="10">
        <v>43831</v>
      </c>
      <c r="H301" s="8" t="s">
        <v>34</v>
      </c>
      <c r="I301" s="11">
        <v>595281</v>
      </c>
      <c r="J301" s="8" t="s">
        <v>42</v>
      </c>
      <c r="K301" s="8" t="s">
        <v>43</v>
      </c>
      <c r="L301" s="7">
        <v>2017</v>
      </c>
      <c r="M301" s="8" t="s">
        <v>47</v>
      </c>
      <c r="N301" s="11">
        <v>3160468</v>
      </c>
      <c r="O301" s="8" t="s">
        <v>48</v>
      </c>
      <c r="P301" s="8" t="s">
        <v>49</v>
      </c>
      <c r="Q301" s="8"/>
      <c r="R301" s="8" t="s">
        <v>313</v>
      </c>
    </row>
    <row r="302" spans="1:18" ht="26.15" customHeight="1">
      <c r="A302" s="7">
        <v>296</v>
      </c>
      <c r="B302" s="8" t="s">
        <v>618</v>
      </c>
      <c r="C302" s="8" t="s">
        <v>3114</v>
      </c>
      <c r="D302" s="8" t="s">
        <v>3516</v>
      </c>
      <c r="E302" s="8" t="s">
        <v>3116</v>
      </c>
      <c r="F302" s="9" t="s">
        <v>3117</v>
      </c>
      <c r="G302" s="10">
        <v>43822</v>
      </c>
      <c r="H302" s="8" t="s">
        <v>109</v>
      </c>
      <c r="I302" s="11">
        <v>6000000</v>
      </c>
      <c r="J302" s="8" t="s">
        <v>615</v>
      </c>
      <c r="K302" s="8" t="s">
        <v>616</v>
      </c>
      <c r="L302" s="7">
        <v>2004</v>
      </c>
      <c r="M302" s="8" t="s">
        <v>619</v>
      </c>
      <c r="N302" s="11">
        <v>6000000</v>
      </c>
      <c r="O302" s="8" t="s">
        <v>620</v>
      </c>
      <c r="P302" s="8" t="s">
        <v>621</v>
      </c>
      <c r="Q302" s="8"/>
      <c r="R302" s="8" t="s">
        <v>181</v>
      </c>
    </row>
    <row r="303" spans="1:18" ht="26.15" customHeight="1">
      <c r="A303" s="7">
        <v>297</v>
      </c>
      <c r="B303" s="8" t="s">
        <v>624</v>
      </c>
      <c r="C303" s="8" t="s">
        <v>3127</v>
      </c>
      <c r="D303" s="8"/>
      <c r="E303" s="8" t="s">
        <v>3128</v>
      </c>
      <c r="F303" s="9" t="s">
        <v>3123</v>
      </c>
      <c r="G303" s="10">
        <v>43817</v>
      </c>
      <c r="H303" s="8" t="s">
        <v>289</v>
      </c>
      <c r="I303" s="11">
        <v>42235</v>
      </c>
      <c r="J303" s="8" t="s">
        <v>622</v>
      </c>
      <c r="K303" s="8" t="s">
        <v>623</v>
      </c>
      <c r="L303" s="7">
        <v>2011</v>
      </c>
      <c r="M303" s="8" t="s">
        <v>79</v>
      </c>
      <c r="N303" s="11">
        <v>3574388</v>
      </c>
      <c r="O303" s="8" t="s">
        <v>625</v>
      </c>
      <c r="P303" s="8" t="s">
        <v>626</v>
      </c>
      <c r="Q303" s="8"/>
      <c r="R303" s="8"/>
    </row>
    <row r="304" spans="1:18" ht="26.15" customHeight="1">
      <c r="A304" s="7">
        <v>298</v>
      </c>
      <c r="B304" s="8" t="s">
        <v>631</v>
      </c>
      <c r="C304" s="8" t="s">
        <v>3114</v>
      </c>
      <c r="D304" s="8" t="s">
        <v>3205</v>
      </c>
      <c r="E304" s="8" t="s">
        <v>3116</v>
      </c>
      <c r="F304" s="9" t="s">
        <v>3117</v>
      </c>
      <c r="G304" s="10">
        <v>43815</v>
      </c>
      <c r="H304" s="8" t="s">
        <v>627</v>
      </c>
      <c r="I304" s="11">
        <v>30000000</v>
      </c>
      <c r="J304" s="8" t="s">
        <v>628</v>
      </c>
      <c r="K304" s="8" t="s">
        <v>629</v>
      </c>
      <c r="L304" s="7">
        <v>2015</v>
      </c>
      <c r="M304" s="8" t="s">
        <v>79</v>
      </c>
      <c r="N304" s="11">
        <v>94500000</v>
      </c>
      <c r="O304" s="8" t="s">
        <v>632</v>
      </c>
      <c r="P304" s="8" t="s">
        <v>633</v>
      </c>
      <c r="Q304" s="8"/>
      <c r="R304" s="8" t="s">
        <v>3204</v>
      </c>
    </row>
    <row r="305" spans="1:18" ht="26.15" customHeight="1">
      <c r="A305" s="7">
        <v>299</v>
      </c>
      <c r="B305" s="8" t="s">
        <v>3517</v>
      </c>
      <c r="C305" s="8" t="s">
        <v>3114</v>
      </c>
      <c r="D305" s="8" t="s">
        <v>3518</v>
      </c>
      <c r="E305" s="8" t="s">
        <v>3116</v>
      </c>
      <c r="F305" s="9" t="s">
        <v>3123</v>
      </c>
      <c r="G305" s="10">
        <v>43815</v>
      </c>
      <c r="H305" s="8" t="s">
        <v>627</v>
      </c>
      <c r="I305" s="11">
        <v>30000000</v>
      </c>
      <c r="J305" s="8" t="s">
        <v>628</v>
      </c>
      <c r="K305" s="8" t="s">
        <v>629</v>
      </c>
      <c r="L305" s="7">
        <v>2015</v>
      </c>
      <c r="M305" s="8" t="s">
        <v>79</v>
      </c>
      <c r="N305" s="11">
        <v>94500000</v>
      </c>
      <c r="O305" s="8" t="s">
        <v>632</v>
      </c>
      <c r="P305" s="8" t="s">
        <v>633</v>
      </c>
      <c r="Q305" s="8"/>
      <c r="R305" s="8" t="s">
        <v>79</v>
      </c>
    </row>
    <row r="306" spans="1:18" ht="26.15" customHeight="1">
      <c r="A306" s="7">
        <v>300</v>
      </c>
      <c r="B306" s="8" t="s">
        <v>1174</v>
      </c>
      <c r="C306" s="8" t="s">
        <v>3114</v>
      </c>
      <c r="D306" s="8" t="s">
        <v>3519</v>
      </c>
      <c r="E306" s="8" t="s">
        <v>3116</v>
      </c>
      <c r="F306" s="9" t="s">
        <v>3123</v>
      </c>
      <c r="G306" s="10">
        <v>43815</v>
      </c>
      <c r="H306" s="8" t="s">
        <v>627</v>
      </c>
      <c r="I306" s="11">
        <v>30000000</v>
      </c>
      <c r="J306" s="8" t="s">
        <v>628</v>
      </c>
      <c r="K306" s="8" t="s">
        <v>629</v>
      </c>
      <c r="L306" s="7">
        <v>2015</v>
      </c>
      <c r="M306" s="8" t="s">
        <v>79</v>
      </c>
      <c r="N306" s="11">
        <v>94500000</v>
      </c>
      <c r="O306" s="8" t="s">
        <v>632</v>
      </c>
      <c r="P306" s="8" t="s">
        <v>633</v>
      </c>
      <c r="Q306" s="8"/>
      <c r="R306" s="8" t="s">
        <v>3520</v>
      </c>
    </row>
    <row r="307" spans="1:18" ht="26.15" customHeight="1">
      <c r="A307" s="7">
        <v>301</v>
      </c>
      <c r="B307" s="8" t="s">
        <v>3521</v>
      </c>
      <c r="C307" s="8"/>
      <c r="D307" s="8" t="s">
        <v>3522</v>
      </c>
      <c r="E307" s="8" t="s">
        <v>3116</v>
      </c>
      <c r="F307" s="9" t="s">
        <v>3123</v>
      </c>
      <c r="G307" s="10">
        <v>43815</v>
      </c>
      <c r="H307" s="8" t="s">
        <v>627</v>
      </c>
      <c r="I307" s="11">
        <v>30000000</v>
      </c>
      <c r="J307" s="8" t="s">
        <v>628</v>
      </c>
      <c r="K307" s="8" t="s">
        <v>629</v>
      </c>
      <c r="L307" s="7">
        <v>2015</v>
      </c>
      <c r="M307" s="8" t="s">
        <v>79</v>
      </c>
      <c r="N307" s="11">
        <v>94500000</v>
      </c>
      <c r="O307" s="8" t="s">
        <v>632</v>
      </c>
      <c r="P307" s="8" t="s">
        <v>633</v>
      </c>
      <c r="Q307" s="8"/>
      <c r="R307" s="8" t="s">
        <v>3402</v>
      </c>
    </row>
    <row r="308" spans="1:18" ht="26.15" customHeight="1">
      <c r="A308" s="7">
        <v>302</v>
      </c>
      <c r="B308" s="8" t="s">
        <v>1311</v>
      </c>
      <c r="C308" s="8" t="s">
        <v>3139</v>
      </c>
      <c r="D308" s="8" t="s">
        <v>3523</v>
      </c>
      <c r="E308" s="8" t="s">
        <v>3116</v>
      </c>
      <c r="F308" s="9" t="s">
        <v>3123</v>
      </c>
      <c r="G308" s="10">
        <v>43815</v>
      </c>
      <c r="H308" s="8" t="s">
        <v>627</v>
      </c>
      <c r="I308" s="11">
        <v>30000000</v>
      </c>
      <c r="J308" s="8" t="s">
        <v>628</v>
      </c>
      <c r="K308" s="8" t="s">
        <v>629</v>
      </c>
      <c r="L308" s="7">
        <v>2015</v>
      </c>
      <c r="M308" s="8" t="s">
        <v>79</v>
      </c>
      <c r="N308" s="11">
        <v>94500000</v>
      </c>
      <c r="O308" s="8" t="s">
        <v>632</v>
      </c>
      <c r="P308" s="8" t="s">
        <v>633</v>
      </c>
      <c r="Q308" s="8"/>
      <c r="R308" s="8" t="s">
        <v>3156</v>
      </c>
    </row>
    <row r="309" spans="1:18" ht="26.15" customHeight="1">
      <c r="A309" s="7">
        <v>303</v>
      </c>
      <c r="B309" s="8" t="s">
        <v>3432</v>
      </c>
      <c r="C309" s="8" t="s">
        <v>3114</v>
      </c>
      <c r="D309" s="8" t="s">
        <v>3433</v>
      </c>
      <c r="E309" s="8" t="s">
        <v>3116</v>
      </c>
      <c r="F309" s="9" t="s">
        <v>3123</v>
      </c>
      <c r="G309" s="10">
        <v>43815</v>
      </c>
      <c r="H309" s="8" t="s">
        <v>627</v>
      </c>
      <c r="I309" s="11">
        <v>30000000</v>
      </c>
      <c r="J309" s="8" t="s">
        <v>628</v>
      </c>
      <c r="K309" s="8" t="s">
        <v>629</v>
      </c>
      <c r="L309" s="7">
        <v>2015</v>
      </c>
      <c r="M309" s="8" t="s">
        <v>79</v>
      </c>
      <c r="N309" s="11">
        <v>94500000</v>
      </c>
      <c r="O309" s="8" t="s">
        <v>632</v>
      </c>
      <c r="P309" s="8" t="s">
        <v>633</v>
      </c>
      <c r="Q309" s="8"/>
      <c r="R309" s="8" t="s">
        <v>3204</v>
      </c>
    </row>
    <row r="310" spans="1:18" ht="26.15" customHeight="1">
      <c r="A310" s="7">
        <v>304</v>
      </c>
      <c r="B310" s="8" t="s">
        <v>3524</v>
      </c>
      <c r="C310" s="8" t="s">
        <v>3139</v>
      </c>
      <c r="D310" s="8" t="s">
        <v>3525</v>
      </c>
      <c r="E310" s="8" t="s">
        <v>3116</v>
      </c>
      <c r="F310" s="9" t="s">
        <v>3117</v>
      </c>
      <c r="G310" s="10">
        <v>43812</v>
      </c>
      <c r="H310" s="8" t="s">
        <v>25</v>
      </c>
      <c r="I310" s="11">
        <v>10000000</v>
      </c>
      <c r="J310" s="8" t="s">
        <v>634</v>
      </c>
      <c r="K310" s="8" t="s">
        <v>635</v>
      </c>
      <c r="L310" s="7">
        <v>2012</v>
      </c>
      <c r="M310" s="8" t="s">
        <v>638</v>
      </c>
      <c r="N310" s="11">
        <v>17600000</v>
      </c>
      <c r="O310" s="8" t="s">
        <v>639</v>
      </c>
      <c r="P310" s="8" t="s">
        <v>640</v>
      </c>
      <c r="Q310" s="8"/>
      <c r="R310" s="8" t="s">
        <v>3526</v>
      </c>
    </row>
    <row r="311" spans="1:18" ht="26.15" customHeight="1">
      <c r="A311" s="7">
        <v>305</v>
      </c>
      <c r="B311" s="8" t="s">
        <v>247</v>
      </c>
      <c r="C311" s="8" t="s">
        <v>3114</v>
      </c>
      <c r="D311" s="8" t="s">
        <v>3254</v>
      </c>
      <c r="E311" s="8" t="s">
        <v>3116</v>
      </c>
      <c r="F311" s="9" t="s">
        <v>3123</v>
      </c>
      <c r="G311" s="10">
        <v>43812</v>
      </c>
      <c r="H311" s="8" t="s">
        <v>25</v>
      </c>
      <c r="I311" s="11">
        <v>10000000</v>
      </c>
      <c r="J311" s="8" t="s">
        <v>634</v>
      </c>
      <c r="K311" s="8" t="s">
        <v>635</v>
      </c>
      <c r="L311" s="7">
        <v>2012</v>
      </c>
      <c r="M311" s="8" t="s">
        <v>638</v>
      </c>
      <c r="N311" s="11">
        <v>17600000</v>
      </c>
      <c r="O311" s="8" t="s">
        <v>639</v>
      </c>
      <c r="P311" s="8" t="s">
        <v>640</v>
      </c>
      <c r="Q311" s="8"/>
      <c r="R311" s="8" t="s">
        <v>3255</v>
      </c>
    </row>
    <row r="312" spans="1:18" ht="26.15" customHeight="1">
      <c r="A312" s="7">
        <v>306</v>
      </c>
      <c r="B312" s="8" t="s">
        <v>3527</v>
      </c>
      <c r="C312" s="8" t="s">
        <v>3139</v>
      </c>
      <c r="D312" s="8" t="s">
        <v>3528</v>
      </c>
      <c r="E312" s="8" t="s">
        <v>3116</v>
      </c>
      <c r="F312" s="9" t="s">
        <v>3117</v>
      </c>
      <c r="G312" s="10">
        <v>43812</v>
      </c>
      <c r="H312" s="8" t="s">
        <v>25</v>
      </c>
      <c r="I312" s="11">
        <v>10000000</v>
      </c>
      <c r="J312" s="8" t="s">
        <v>634</v>
      </c>
      <c r="K312" s="8" t="s">
        <v>635</v>
      </c>
      <c r="L312" s="7">
        <v>2012</v>
      </c>
      <c r="M312" s="8" t="s">
        <v>638</v>
      </c>
      <c r="N312" s="11">
        <v>17600000</v>
      </c>
      <c r="O312" s="8" t="s">
        <v>639</v>
      </c>
      <c r="P312" s="8" t="s">
        <v>640</v>
      </c>
      <c r="Q312" s="8"/>
      <c r="R312" s="8" t="s">
        <v>3529</v>
      </c>
    </row>
    <row r="313" spans="1:18" ht="26.15" customHeight="1">
      <c r="A313" s="7">
        <v>307</v>
      </c>
      <c r="B313" s="8" t="s">
        <v>356</v>
      </c>
      <c r="C313" s="8" t="s">
        <v>3114</v>
      </c>
      <c r="D313" s="8" t="s">
        <v>3341</v>
      </c>
      <c r="E313" s="8" t="s">
        <v>3116</v>
      </c>
      <c r="F313" s="9" t="s">
        <v>3117</v>
      </c>
      <c r="G313" s="10">
        <v>43812</v>
      </c>
      <c r="H313" s="8" t="s">
        <v>25</v>
      </c>
      <c r="I313" s="11">
        <v>10000000</v>
      </c>
      <c r="J313" s="8" t="s">
        <v>634</v>
      </c>
      <c r="K313" s="8" t="s">
        <v>635</v>
      </c>
      <c r="L313" s="7">
        <v>2012</v>
      </c>
      <c r="M313" s="8" t="s">
        <v>638</v>
      </c>
      <c r="N313" s="11">
        <v>17600000</v>
      </c>
      <c r="O313" s="8" t="s">
        <v>639</v>
      </c>
      <c r="P313" s="8" t="s">
        <v>640</v>
      </c>
      <c r="Q313" s="8"/>
      <c r="R313" s="8" t="s">
        <v>357</v>
      </c>
    </row>
    <row r="314" spans="1:18" ht="26.15" customHeight="1">
      <c r="A314" s="7">
        <v>308</v>
      </c>
      <c r="B314" s="8" t="s">
        <v>644</v>
      </c>
      <c r="C314" s="8" t="s">
        <v>3114</v>
      </c>
      <c r="D314" s="8" t="s">
        <v>3162</v>
      </c>
      <c r="E314" s="8" t="s">
        <v>3116</v>
      </c>
      <c r="F314" s="9" t="s">
        <v>3117</v>
      </c>
      <c r="G314" s="10">
        <v>43811</v>
      </c>
      <c r="H314" s="8" t="s">
        <v>109</v>
      </c>
      <c r="I314" s="11">
        <v>6000000</v>
      </c>
      <c r="J314" s="8" t="s">
        <v>641</v>
      </c>
      <c r="K314" s="8" t="s">
        <v>642</v>
      </c>
      <c r="L314" s="7">
        <v>2009</v>
      </c>
      <c r="M314" s="8" t="s">
        <v>47</v>
      </c>
      <c r="N314" s="11">
        <v>10590520</v>
      </c>
      <c r="O314" s="8" t="s">
        <v>645</v>
      </c>
      <c r="P314" s="8" t="s">
        <v>646</v>
      </c>
      <c r="Q314" s="8"/>
      <c r="R314" s="8" t="s">
        <v>313</v>
      </c>
    </row>
    <row r="315" spans="1:18" ht="26.15" customHeight="1">
      <c r="A315" s="7">
        <v>309</v>
      </c>
      <c r="B315" s="8" t="s">
        <v>3157</v>
      </c>
      <c r="C315" s="8" t="s">
        <v>3139</v>
      </c>
      <c r="D315" s="8" t="s">
        <v>3158</v>
      </c>
      <c r="E315" s="8" t="s">
        <v>3116</v>
      </c>
      <c r="F315" s="9" t="s">
        <v>3123</v>
      </c>
      <c r="G315" s="10">
        <v>43810</v>
      </c>
      <c r="H315" s="8" t="s">
        <v>95</v>
      </c>
      <c r="I315" s="11">
        <v>15186600</v>
      </c>
      <c r="J315" s="8" t="s">
        <v>96</v>
      </c>
      <c r="K315" s="8" t="s">
        <v>97</v>
      </c>
      <c r="L315" s="7">
        <v>2015</v>
      </c>
      <c r="M315" s="8" t="s">
        <v>79</v>
      </c>
      <c r="N315" s="11">
        <v>163285834</v>
      </c>
      <c r="O315" s="8" t="s">
        <v>100</v>
      </c>
      <c r="P315" s="8" t="s">
        <v>101</v>
      </c>
      <c r="Q315" s="8"/>
      <c r="R315" s="8" t="s">
        <v>3159</v>
      </c>
    </row>
    <row r="316" spans="1:18" ht="26.15" customHeight="1">
      <c r="A316" s="7">
        <v>310</v>
      </c>
      <c r="B316" s="8" t="s">
        <v>649</v>
      </c>
      <c r="C316" s="8" t="s">
        <v>3139</v>
      </c>
      <c r="D316" s="8" t="s">
        <v>3160</v>
      </c>
      <c r="E316" s="8" t="s">
        <v>3116</v>
      </c>
      <c r="F316" s="9" t="s">
        <v>3117</v>
      </c>
      <c r="G316" s="10">
        <v>43810</v>
      </c>
      <c r="H316" s="8" t="s">
        <v>95</v>
      </c>
      <c r="I316" s="11">
        <v>15186600</v>
      </c>
      <c r="J316" s="8" t="s">
        <v>96</v>
      </c>
      <c r="K316" s="8" t="s">
        <v>97</v>
      </c>
      <c r="L316" s="7">
        <v>2015</v>
      </c>
      <c r="M316" s="8" t="s">
        <v>79</v>
      </c>
      <c r="N316" s="11">
        <v>163285834</v>
      </c>
      <c r="O316" s="8" t="s">
        <v>100</v>
      </c>
      <c r="P316" s="8" t="s">
        <v>101</v>
      </c>
      <c r="Q316" s="8"/>
      <c r="R316" s="8" t="s">
        <v>79</v>
      </c>
    </row>
    <row r="317" spans="1:18" ht="26.15" customHeight="1">
      <c r="A317" s="7">
        <v>311</v>
      </c>
      <c r="B317" s="8" t="s">
        <v>648</v>
      </c>
      <c r="C317" s="8" t="s">
        <v>3127</v>
      </c>
      <c r="D317" s="8"/>
      <c r="E317" s="8" t="s">
        <v>3128</v>
      </c>
      <c r="F317" s="9" t="s">
        <v>3123</v>
      </c>
      <c r="G317" s="10">
        <v>43810</v>
      </c>
      <c r="H317" s="8" t="s">
        <v>95</v>
      </c>
      <c r="I317" s="11">
        <v>15186600</v>
      </c>
      <c r="J317" s="8" t="s">
        <v>96</v>
      </c>
      <c r="K317" s="8" t="s">
        <v>97</v>
      </c>
      <c r="L317" s="7">
        <v>2015</v>
      </c>
      <c r="M317" s="8" t="s">
        <v>79</v>
      </c>
      <c r="N317" s="11">
        <v>163285834</v>
      </c>
      <c r="O317" s="8" t="s">
        <v>100</v>
      </c>
      <c r="P317" s="8" t="s">
        <v>101</v>
      </c>
      <c r="Q317" s="8"/>
      <c r="R317" s="8"/>
    </row>
    <row r="318" spans="1:18" ht="26.15" customHeight="1">
      <c r="A318" s="7">
        <v>312</v>
      </c>
      <c r="B318" s="8" t="s">
        <v>3530</v>
      </c>
      <c r="C318" s="8" t="s">
        <v>3114</v>
      </c>
      <c r="D318" s="8" t="s">
        <v>3531</v>
      </c>
      <c r="E318" s="8" t="s">
        <v>3116</v>
      </c>
      <c r="F318" s="9" t="s">
        <v>3123</v>
      </c>
      <c r="G318" s="10">
        <v>43810</v>
      </c>
      <c r="H318" s="8" t="s">
        <v>95</v>
      </c>
      <c r="I318" s="11">
        <v>15186600</v>
      </c>
      <c r="J318" s="8" t="s">
        <v>96</v>
      </c>
      <c r="K318" s="8" t="s">
        <v>97</v>
      </c>
      <c r="L318" s="7">
        <v>2015</v>
      </c>
      <c r="M318" s="8" t="s">
        <v>79</v>
      </c>
      <c r="N318" s="11">
        <v>163285834</v>
      </c>
      <c r="O318" s="8" t="s">
        <v>100</v>
      </c>
      <c r="P318" s="8" t="s">
        <v>101</v>
      </c>
      <c r="Q318" s="8"/>
      <c r="R318" s="8" t="s">
        <v>3204</v>
      </c>
    </row>
    <row r="319" spans="1:18" ht="26.15" customHeight="1">
      <c r="A319" s="7">
        <v>313</v>
      </c>
      <c r="B319" s="8" t="s">
        <v>2539</v>
      </c>
      <c r="C319" s="8" t="s">
        <v>3114</v>
      </c>
      <c r="D319" s="8" t="s">
        <v>3353</v>
      </c>
      <c r="E319" s="8" t="s">
        <v>3116</v>
      </c>
      <c r="F319" s="9" t="s">
        <v>3123</v>
      </c>
      <c r="G319" s="10">
        <v>43810</v>
      </c>
      <c r="H319" s="8" t="s">
        <v>95</v>
      </c>
      <c r="I319" s="11">
        <v>15186600</v>
      </c>
      <c r="J319" s="8" t="s">
        <v>96</v>
      </c>
      <c r="K319" s="8" t="s">
        <v>97</v>
      </c>
      <c r="L319" s="7">
        <v>2015</v>
      </c>
      <c r="M319" s="8" t="s">
        <v>79</v>
      </c>
      <c r="N319" s="11">
        <v>163285834</v>
      </c>
      <c r="O319" s="8" t="s">
        <v>100</v>
      </c>
      <c r="P319" s="8" t="s">
        <v>101</v>
      </c>
      <c r="Q319" s="8"/>
      <c r="R319" s="8" t="s">
        <v>3354</v>
      </c>
    </row>
    <row r="320" spans="1:18" ht="26.15" customHeight="1">
      <c r="A320" s="7">
        <v>314</v>
      </c>
      <c r="B320" s="8" t="s">
        <v>653</v>
      </c>
      <c r="C320" s="8" t="s">
        <v>3114</v>
      </c>
      <c r="D320" s="8" t="s">
        <v>3532</v>
      </c>
      <c r="E320" s="8" t="s">
        <v>3116</v>
      </c>
      <c r="F320" s="9" t="s">
        <v>3117</v>
      </c>
      <c r="G320" s="10">
        <v>43805</v>
      </c>
      <c r="H320" s="8" t="s">
        <v>109</v>
      </c>
      <c r="I320" s="11">
        <v>70048</v>
      </c>
      <c r="J320" s="8" t="s">
        <v>650</v>
      </c>
      <c r="K320" s="8" t="s">
        <v>651</v>
      </c>
      <c r="L320" s="7">
        <v>2014</v>
      </c>
      <c r="M320" s="8" t="s">
        <v>79</v>
      </c>
      <c r="N320" s="11">
        <v>70048</v>
      </c>
      <c r="O320" s="8" t="s">
        <v>654</v>
      </c>
      <c r="P320" s="8" t="s">
        <v>655</v>
      </c>
      <c r="Q320" s="8"/>
      <c r="R320" s="8" t="s">
        <v>188</v>
      </c>
    </row>
    <row r="321" spans="1:18" ht="26.15" customHeight="1">
      <c r="A321" s="7">
        <v>315</v>
      </c>
      <c r="B321" s="8" t="s">
        <v>659</v>
      </c>
      <c r="C321" s="8" t="s">
        <v>3114</v>
      </c>
      <c r="D321" s="8" t="s">
        <v>3533</v>
      </c>
      <c r="E321" s="8" t="s">
        <v>3116</v>
      </c>
      <c r="F321" s="9" t="s">
        <v>3117</v>
      </c>
      <c r="G321" s="10">
        <v>43804</v>
      </c>
      <c r="H321" s="8" t="s">
        <v>34</v>
      </c>
      <c r="I321" s="11">
        <v>250000</v>
      </c>
      <c r="J321" s="8" t="s">
        <v>656</v>
      </c>
      <c r="K321" s="8" t="s">
        <v>657</v>
      </c>
      <c r="L321" s="7">
        <v>2017</v>
      </c>
      <c r="M321" s="8" t="s">
        <v>39</v>
      </c>
      <c r="N321" s="11">
        <v>250000</v>
      </c>
      <c r="O321" s="8" t="s">
        <v>660</v>
      </c>
      <c r="P321" s="8" t="s">
        <v>661</v>
      </c>
      <c r="Q321" s="8"/>
      <c r="R321" s="8" t="s">
        <v>3120</v>
      </c>
    </row>
    <row r="322" spans="1:18" ht="26.15" customHeight="1">
      <c r="A322" s="7">
        <v>316</v>
      </c>
      <c r="B322" s="8" t="s">
        <v>3298</v>
      </c>
      <c r="C322" s="8"/>
      <c r="D322" s="8" t="s">
        <v>3299</v>
      </c>
      <c r="E322" s="8" t="s">
        <v>3116</v>
      </c>
      <c r="F322" s="9" t="s">
        <v>3123</v>
      </c>
      <c r="G322" s="10">
        <v>43798</v>
      </c>
      <c r="H322" s="8" t="s">
        <v>302</v>
      </c>
      <c r="I322" s="11">
        <v>700124</v>
      </c>
      <c r="J322" s="8" t="s">
        <v>303</v>
      </c>
      <c r="K322" s="8" t="s">
        <v>304</v>
      </c>
      <c r="L322" s="7">
        <v>2011</v>
      </c>
      <c r="M322" s="8" t="s">
        <v>79</v>
      </c>
      <c r="N322" s="11">
        <v>19009146</v>
      </c>
      <c r="O322" s="8" t="s">
        <v>306</v>
      </c>
      <c r="P322" s="8" t="s">
        <v>307</v>
      </c>
      <c r="Q322" s="8"/>
      <c r="R322" s="8" t="s">
        <v>56</v>
      </c>
    </row>
    <row r="323" spans="1:18" ht="26.15" customHeight="1">
      <c r="A323" s="7">
        <v>317</v>
      </c>
      <c r="B323" s="8" t="s">
        <v>663</v>
      </c>
      <c r="C323" s="8" t="s">
        <v>3139</v>
      </c>
      <c r="D323" s="8" t="s">
        <v>3534</v>
      </c>
      <c r="E323" s="8" t="s">
        <v>3116</v>
      </c>
      <c r="F323" s="9" t="s">
        <v>3117</v>
      </c>
      <c r="G323" s="10">
        <v>43798</v>
      </c>
      <c r="H323" s="8" t="s">
        <v>34</v>
      </c>
      <c r="I323" s="11">
        <v>150000</v>
      </c>
      <c r="J323" s="8" t="s">
        <v>59</v>
      </c>
      <c r="K323" s="8" t="s">
        <v>60</v>
      </c>
      <c r="L323" s="7">
        <v>2016</v>
      </c>
      <c r="M323" s="8" t="s">
        <v>63</v>
      </c>
      <c r="N323" s="11">
        <v>1550000</v>
      </c>
      <c r="O323" s="8" t="s">
        <v>64</v>
      </c>
      <c r="P323" s="8" t="s">
        <v>65</v>
      </c>
      <c r="Q323" s="8"/>
      <c r="R323" s="8" t="s">
        <v>63</v>
      </c>
    </row>
    <row r="324" spans="1:18" ht="26.15" customHeight="1">
      <c r="A324" s="7">
        <v>318</v>
      </c>
      <c r="B324" s="8" t="s">
        <v>3535</v>
      </c>
      <c r="C324" s="8" t="s">
        <v>3114</v>
      </c>
      <c r="D324" s="8" t="s">
        <v>3536</v>
      </c>
      <c r="E324" s="8" t="s">
        <v>3116</v>
      </c>
      <c r="F324" s="9" t="s">
        <v>3123</v>
      </c>
      <c r="G324" s="10">
        <v>43795</v>
      </c>
      <c r="H324" s="8" t="s">
        <v>184</v>
      </c>
      <c r="I324" s="11">
        <v>10000</v>
      </c>
      <c r="J324" s="8" t="s">
        <v>664</v>
      </c>
      <c r="K324" s="8" t="s">
        <v>665</v>
      </c>
      <c r="L324" s="7">
        <v>2015</v>
      </c>
      <c r="M324" s="8" t="s">
        <v>382</v>
      </c>
      <c r="N324" s="11"/>
      <c r="O324" s="8" t="s">
        <v>667</v>
      </c>
      <c r="P324" s="8" t="s">
        <v>668</v>
      </c>
      <c r="Q324" s="8"/>
      <c r="R324" s="8" t="s">
        <v>3537</v>
      </c>
    </row>
    <row r="325" spans="1:18" ht="26.15" customHeight="1">
      <c r="A325" s="7">
        <v>319</v>
      </c>
      <c r="B325" s="8" t="s">
        <v>618</v>
      </c>
      <c r="C325" s="8" t="s">
        <v>3114</v>
      </c>
      <c r="D325" s="8" t="s">
        <v>3516</v>
      </c>
      <c r="E325" s="8" t="s">
        <v>3116</v>
      </c>
      <c r="F325" s="9" t="s">
        <v>3117</v>
      </c>
      <c r="G325" s="10">
        <v>43789</v>
      </c>
      <c r="H325" s="8" t="s">
        <v>109</v>
      </c>
      <c r="I325" s="11">
        <v>4000000</v>
      </c>
      <c r="J325" s="8" t="s">
        <v>669</v>
      </c>
      <c r="K325" s="8" t="s">
        <v>670</v>
      </c>
      <c r="L325" s="7">
        <v>2015</v>
      </c>
      <c r="M325" s="8" t="s">
        <v>181</v>
      </c>
      <c r="N325" s="11">
        <v>4000000</v>
      </c>
      <c r="O325" s="8" t="s">
        <v>671</v>
      </c>
      <c r="P325" s="8" t="s">
        <v>672</v>
      </c>
      <c r="Q325" s="8"/>
      <c r="R325" s="8" t="s">
        <v>181</v>
      </c>
    </row>
    <row r="326" spans="1:18" ht="26.15" customHeight="1">
      <c r="A326" s="7">
        <v>320</v>
      </c>
      <c r="B326" s="8" t="s">
        <v>676</v>
      </c>
      <c r="C326" s="8" t="s">
        <v>3114</v>
      </c>
      <c r="D326" s="8" t="s">
        <v>3538</v>
      </c>
      <c r="E326" s="8" t="s">
        <v>3116</v>
      </c>
      <c r="F326" s="9" t="s">
        <v>3117</v>
      </c>
      <c r="G326" s="10">
        <v>43783</v>
      </c>
      <c r="H326" s="8" t="s">
        <v>34</v>
      </c>
      <c r="I326" s="11">
        <v>1424460</v>
      </c>
      <c r="J326" s="8" t="s">
        <v>673</v>
      </c>
      <c r="K326" s="8" t="s">
        <v>674</v>
      </c>
      <c r="L326" s="7">
        <v>2019</v>
      </c>
      <c r="M326" s="8" t="s">
        <v>677</v>
      </c>
      <c r="N326" s="11">
        <v>1424460</v>
      </c>
      <c r="O326" s="8" t="s">
        <v>678</v>
      </c>
      <c r="P326" s="8" t="s">
        <v>679</v>
      </c>
      <c r="Q326" s="8"/>
      <c r="R326" s="8" t="s">
        <v>1732</v>
      </c>
    </row>
    <row r="327" spans="1:18" ht="26.15" customHeight="1">
      <c r="A327" s="7">
        <v>321</v>
      </c>
      <c r="B327" s="8" t="s">
        <v>683</v>
      </c>
      <c r="C327" s="8" t="s">
        <v>3114</v>
      </c>
      <c r="D327" s="8" t="s">
        <v>3539</v>
      </c>
      <c r="E327" s="8" t="s">
        <v>3116</v>
      </c>
      <c r="F327" s="9" t="s">
        <v>3117</v>
      </c>
      <c r="G327" s="10">
        <v>43778</v>
      </c>
      <c r="H327" s="8" t="s">
        <v>34</v>
      </c>
      <c r="I327" s="11">
        <v>20000</v>
      </c>
      <c r="J327" s="8" t="s">
        <v>680</v>
      </c>
      <c r="K327" s="8" t="s">
        <v>681</v>
      </c>
      <c r="L327" s="7">
        <v>2016</v>
      </c>
      <c r="M327" s="8" t="s">
        <v>684</v>
      </c>
      <c r="N327" s="11">
        <v>20000</v>
      </c>
      <c r="O327" s="8" t="s">
        <v>685</v>
      </c>
      <c r="P327" s="8" t="s">
        <v>686</v>
      </c>
      <c r="Q327" s="8"/>
      <c r="R327" s="8" t="s">
        <v>684</v>
      </c>
    </row>
    <row r="328" spans="1:18" ht="26.15" customHeight="1">
      <c r="A328" s="7">
        <v>322</v>
      </c>
      <c r="B328" s="8" t="s">
        <v>690</v>
      </c>
      <c r="C328" s="8"/>
      <c r="D328" s="8" t="s">
        <v>3540</v>
      </c>
      <c r="E328" s="8" t="s">
        <v>3116</v>
      </c>
      <c r="F328" s="9" t="s">
        <v>3117</v>
      </c>
      <c r="G328" s="10">
        <v>43774</v>
      </c>
      <c r="H328" s="8" t="s">
        <v>109</v>
      </c>
      <c r="I328" s="11">
        <v>8500000</v>
      </c>
      <c r="J328" s="8" t="s">
        <v>687</v>
      </c>
      <c r="K328" s="8" t="s">
        <v>688</v>
      </c>
      <c r="L328" s="7">
        <v>2008</v>
      </c>
      <c r="M328" s="8" t="s">
        <v>691</v>
      </c>
      <c r="N328" s="11">
        <v>14500000</v>
      </c>
      <c r="O328" s="8" t="s">
        <v>692</v>
      </c>
      <c r="P328" s="8" t="s">
        <v>693</v>
      </c>
      <c r="Q328" s="8"/>
      <c r="R328" s="8" t="s">
        <v>3269</v>
      </c>
    </row>
    <row r="329" spans="1:18" ht="26.15" customHeight="1">
      <c r="A329" s="7">
        <v>323</v>
      </c>
      <c r="B329" s="8" t="s">
        <v>2819</v>
      </c>
      <c r="C329" s="8" t="s">
        <v>3114</v>
      </c>
      <c r="D329" s="8" t="s">
        <v>3541</v>
      </c>
      <c r="E329" s="8" t="s">
        <v>3116</v>
      </c>
      <c r="F329" s="9" t="s">
        <v>3123</v>
      </c>
      <c r="G329" s="10">
        <v>43774</v>
      </c>
      <c r="H329" s="8" t="s">
        <v>109</v>
      </c>
      <c r="I329" s="11">
        <v>8500000</v>
      </c>
      <c r="J329" s="8" t="s">
        <v>687</v>
      </c>
      <c r="K329" s="8" t="s">
        <v>688</v>
      </c>
      <c r="L329" s="7">
        <v>2008</v>
      </c>
      <c r="M329" s="8" t="s">
        <v>691</v>
      </c>
      <c r="N329" s="11">
        <v>14500000</v>
      </c>
      <c r="O329" s="8" t="s">
        <v>692</v>
      </c>
      <c r="P329" s="8" t="s">
        <v>693</v>
      </c>
      <c r="Q329" s="8"/>
      <c r="R329" s="8" t="s">
        <v>3220</v>
      </c>
    </row>
    <row r="330" spans="1:18" ht="26.15" customHeight="1">
      <c r="A330" s="7">
        <v>324</v>
      </c>
      <c r="B330" s="8" t="s">
        <v>697</v>
      </c>
      <c r="C330" s="8" t="s">
        <v>3114</v>
      </c>
      <c r="D330" s="8" t="s">
        <v>3542</v>
      </c>
      <c r="E330" s="8" t="s">
        <v>3116</v>
      </c>
      <c r="F330" s="9" t="s">
        <v>3117</v>
      </c>
      <c r="G330" s="10">
        <v>43769</v>
      </c>
      <c r="H330" s="8" t="s">
        <v>109</v>
      </c>
      <c r="I330" s="11">
        <v>3104590</v>
      </c>
      <c r="J330" s="8" t="s">
        <v>694</v>
      </c>
      <c r="K330" s="8" t="s">
        <v>695</v>
      </c>
      <c r="L330" s="7">
        <v>2017</v>
      </c>
      <c r="M330" s="8" t="s">
        <v>698</v>
      </c>
      <c r="N330" s="11">
        <v>3104590</v>
      </c>
      <c r="O330" s="8" t="s">
        <v>699</v>
      </c>
      <c r="P330" s="8" t="s">
        <v>700</v>
      </c>
      <c r="Q330" s="8"/>
      <c r="R330" s="8" t="s">
        <v>3543</v>
      </c>
    </row>
    <row r="331" spans="1:18" ht="26.15" customHeight="1">
      <c r="A331" s="7">
        <v>325</v>
      </c>
      <c r="B331" s="8" t="s">
        <v>1609</v>
      </c>
      <c r="C331" s="8" t="s">
        <v>3114</v>
      </c>
      <c r="D331" s="8" t="s">
        <v>3544</v>
      </c>
      <c r="E331" s="8" t="s">
        <v>3116</v>
      </c>
      <c r="F331" s="9" t="s">
        <v>3123</v>
      </c>
      <c r="G331" s="10">
        <v>43769</v>
      </c>
      <c r="H331" s="8" t="s">
        <v>184</v>
      </c>
      <c r="I331" s="11" t="s">
        <v>50</v>
      </c>
      <c r="J331" s="8" t="s">
        <v>701</v>
      </c>
      <c r="K331" s="8" t="s">
        <v>702</v>
      </c>
      <c r="L331" s="7">
        <v>2016</v>
      </c>
      <c r="M331" s="8" t="s">
        <v>704</v>
      </c>
      <c r="N331" s="11"/>
      <c r="O331" s="8" t="s">
        <v>705</v>
      </c>
      <c r="P331" s="8" t="s">
        <v>706</v>
      </c>
      <c r="Q331" s="8"/>
      <c r="R331" s="8" t="s">
        <v>3166</v>
      </c>
    </row>
    <row r="332" spans="1:18" ht="26.15" customHeight="1">
      <c r="A332" s="7">
        <v>326</v>
      </c>
      <c r="B332" s="8" t="s">
        <v>644</v>
      </c>
      <c r="C332" s="8" t="s">
        <v>3114</v>
      </c>
      <c r="D332" s="8" t="s">
        <v>3162</v>
      </c>
      <c r="E332" s="8" t="s">
        <v>3116</v>
      </c>
      <c r="F332" s="9" t="s">
        <v>3117</v>
      </c>
      <c r="G332" s="10">
        <v>43768</v>
      </c>
      <c r="H332" s="8" t="s">
        <v>34</v>
      </c>
      <c r="I332" s="11">
        <v>1726330</v>
      </c>
      <c r="J332" s="8" t="s">
        <v>707</v>
      </c>
      <c r="K332" s="8" t="s">
        <v>708</v>
      </c>
      <c r="L332" s="7">
        <v>2018</v>
      </c>
      <c r="M332" s="8" t="s">
        <v>79</v>
      </c>
      <c r="N332" s="11">
        <v>1819105</v>
      </c>
      <c r="O332" s="8" t="s">
        <v>710</v>
      </c>
      <c r="P332" s="8" t="s">
        <v>711</v>
      </c>
      <c r="Q332" s="8"/>
      <c r="R332" s="8" t="s">
        <v>313</v>
      </c>
    </row>
    <row r="333" spans="1:18" ht="26.15" customHeight="1">
      <c r="A333" s="7">
        <v>327</v>
      </c>
      <c r="B333" s="8" t="s">
        <v>3190</v>
      </c>
      <c r="C333" s="8" t="s">
        <v>3114</v>
      </c>
      <c r="D333" s="8" t="s">
        <v>3191</v>
      </c>
      <c r="E333" s="8" t="s">
        <v>3116</v>
      </c>
      <c r="F333" s="9" t="s">
        <v>3123</v>
      </c>
      <c r="G333" s="10">
        <v>43768</v>
      </c>
      <c r="H333" s="8" t="s">
        <v>34</v>
      </c>
      <c r="I333" s="11">
        <v>1726330</v>
      </c>
      <c r="J333" s="8" t="s">
        <v>707</v>
      </c>
      <c r="K333" s="8" t="s">
        <v>708</v>
      </c>
      <c r="L333" s="7">
        <v>2018</v>
      </c>
      <c r="M333" s="8" t="s">
        <v>79</v>
      </c>
      <c r="N333" s="11">
        <v>1819105</v>
      </c>
      <c r="O333" s="8" t="s">
        <v>710</v>
      </c>
      <c r="P333" s="8" t="s">
        <v>711</v>
      </c>
      <c r="Q333" s="8"/>
      <c r="R333" s="8" t="s">
        <v>3192</v>
      </c>
    </row>
    <row r="334" spans="1:18" ht="26.15" customHeight="1">
      <c r="A334" s="7">
        <v>328</v>
      </c>
      <c r="B334" s="8" t="s">
        <v>3545</v>
      </c>
      <c r="C334" s="8" t="s">
        <v>3114</v>
      </c>
      <c r="D334" s="8" t="s">
        <v>3546</v>
      </c>
      <c r="E334" s="8" t="s">
        <v>3116</v>
      </c>
      <c r="F334" s="9" t="s">
        <v>3123</v>
      </c>
      <c r="G334" s="10">
        <v>43768</v>
      </c>
      <c r="H334" s="8" t="s">
        <v>34</v>
      </c>
      <c r="I334" s="11">
        <v>1726330</v>
      </c>
      <c r="J334" s="8" t="s">
        <v>707</v>
      </c>
      <c r="K334" s="8" t="s">
        <v>708</v>
      </c>
      <c r="L334" s="7">
        <v>2018</v>
      </c>
      <c r="M334" s="8" t="s">
        <v>79</v>
      </c>
      <c r="N334" s="11">
        <v>1819105</v>
      </c>
      <c r="O334" s="8" t="s">
        <v>710</v>
      </c>
      <c r="P334" s="8" t="s">
        <v>711</v>
      </c>
      <c r="Q334" s="8"/>
      <c r="R334" s="8" t="s">
        <v>3145</v>
      </c>
    </row>
    <row r="335" spans="1:18" ht="26.15" customHeight="1">
      <c r="A335" s="7">
        <v>329</v>
      </c>
      <c r="B335" s="8" t="s">
        <v>3547</v>
      </c>
      <c r="C335" s="8" t="s">
        <v>3114</v>
      </c>
      <c r="D335" s="8" t="s">
        <v>3548</v>
      </c>
      <c r="E335" s="8" t="s">
        <v>3116</v>
      </c>
      <c r="F335" s="9" t="s">
        <v>3123</v>
      </c>
      <c r="G335" s="10">
        <v>43768</v>
      </c>
      <c r="H335" s="8" t="s">
        <v>34</v>
      </c>
      <c r="I335" s="11">
        <v>1726330</v>
      </c>
      <c r="J335" s="8" t="s">
        <v>707</v>
      </c>
      <c r="K335" s="8" t="s">
        <v>708</v>
      </c>
      <c r="L335" s="7">
        <v>2018</v>
      </c>
      <c r="M335" s="8" t="s">
        <v>79</v>
      </c>
      <c r="N335" s="11">
        <v>1819105</v>
      </c>
      <c r="O335" s="8" t="s">
        <v>710</v>
      </c>
      <c r="P335" s="8" t="s">
        <v>711</v>
      </c>
      <c r="Q335" s="8"/>
      <c r="R335" s="8" t="s">
        <v>3549</v>
      </c>
    </row>
    <row r="336" spans="1:18" ht="26.15" customHeight="1">
      <c r="A336" s="7">
        <v>330</v>
      </c>
      <c r="B336" s="8" t="s">
        <v>1146</v>
      </c>
      <c r="C336" s="8" t="s">
        <v>3114</v>
      </c>
      <c r="D336" s="8" t="s">
        <v>3458</v>
      </c>
      <c r="E336" s="8" t="s">
        <v>3116</v>
      </c>
      <c r="F336" s="9" t="s">
        <v>3123</v>
      </c>
      <c r="G336" s="10">
        <v>43768</v>
      </c>
      <c r="H336" s="8" t="s">
        <v>34</v>
      </c>
      <c r="I336" s="11">
        <v>1726330</v>
      </c>
      <c r="J336" s="8" t="s">
        <v>707</v>
      </c>
      <c r="K336" s="8" t="s">
        <v>708</v>
      </c>
      <c r="L336" s="7">
        <v>2018</v>
      </c>
      <c r="M336" s="8" t="s">
        <v>79</v>
      </c>
      <c r="N336" s="11">
        <v>1819105</v>
      </c>
      <c r="O336" s="8" t="s">
        <v>710</v>
      </c>
      <c r="P336" s="8" t="s">
        <v>711</v>
      </c>
      <c r="Q336" s="8"/>
      <c r="R336" s="8" t="s">
        <v>3459</v>
      </c>
    </row>
    <row r="337" spans="1:18" ht="26.15" customHeight="1">
      <c r="A337" s="7">
        <v>331</v>
      </c>
      <c r="B337" s="8" t="s">
        <v>1736</v>
      </c>
      <c r="C337" s="8" t="s">
        <v>3114</v>
      </c>
      <c r="D337" s="8" t="s">
        <v>3550</v>
      </c>
      <c r="E337" s="8" t="s">
        <v>3116</v>
      </c>
      <c r="F337" s="9" t="s">
        <v>3123</v>
      </c>
      <c r="G337" s="10">
        <v>43768</v>
      </c>
      <c r="H337" s="8" t="s">
        <v>34</v>
      </c>
      <c r="I337" s="11">
        <v>1726330</v>
      </c>
      <c r="J337" s="8" t="s">
        <v>707</v>
      </c>
      <c r="K337" s="8" t="s">
        <v>708</v>
      </c>
      <c r="L337" s="7">
        <v>2018</v>
      </c>
      <c r="M337" s="8" t="s">
        <v>79</v>
      </c>
      <c r="N337" s="11">
        <v>1819105</v>
      </c>
      <c r="O337" s="8" t="s">
        <v>710</v>
      </c>
      <c r="P337" s="8" t="s">
        <v>711</v>
      </c>
      <c r="Q337" s="8"/>
      <c r="R337" s="8" t="s">
        <v>157</v>
      </c>
    </row>
    <row r="338" spans="1:18" ht="26.15" customHeight="1">
      <c r="A338" s="7">
        <v>332</v>
      </c>
      <c r="B338" s="8" t="s">
        <v>644</v>
      </c>
      <c r="C338" s="8" t="s">
        <v>3114</v>
      </c>
      <c r="D338" s="8" t="s">
        <v>3162</v>
      </c>
      <c r="E338" s="8" t="s">
        <v>3116</v>
      </c>
      <c r="F338" s="9" t="s">
        <v>3117</v>
      </c>
      <c r="G338" s="10">
        <v>43768</v>
      </c>
      <c r="H338" s="8" t="s">
        <v>34</v>
      </c>
      <c r="I338" s="11">
        <v>1600000</v>
      </c>
      <c r="J338" s="8" t="s">
        <v>712</v>
      </c>
      <c r="K338" s="8" t="s">
        <v>713</v>
      </c>
      <c r="L338" s="7">
        <v>2018</v>
      </c>
      <c r="M338" s="8" t="s">
        <v>79</v>
      </c>
      <c r="N338" s="11">
        <v>1720000</v>
      </c>
      <c r="O338" s="8" t="s">
        <v>710</v>
      </c>
      <c r="P338" s="8" t="s">
        <v>716</v>
      </c>
      <c r="Q338" s="8"/>
      <c r="R338" s="8" t="s">
        <v>313</v>
      </c>
    </row>
    <row r="339" spans="1:18" ht="26.15" customHeight="1">
      <c r="A339" s="7">
        <v>333</v>
      </c>
      <c r="B339" s="8" t="s">
        <v>3551</v>
      </c>
      <c r="C339" s="8" t="s">
        <v>3139</v>
      </c>
      <c r="D339" s="8" t="s">
        <v>3552</v>
      </c>
      <c r="E339" s="8" t="s">
        <v>3116</v>
      </c>
      <c r="F339" s="9" t="s">
        <v>3117</v>
      </c>
      <c r="G339" s="10">
        <v>43768</v>
      </c>
      <c r="H339" s="8" t="s">
        <v>34</v>
      </c>
      <c r="I339" s="11">
        <v>1600000</v>
      </c>
      <c r="J339" s="8" t="s">
        <v>712</v>
      </c>
      <c r="K339" s="8" t="s">
        <v>713</v>
      </c>
      <c r="L339" s="7">
        <v>2018</v>
      </c>
      <c r="M339" s="8" t="s">
        <v>79</v>
      </c>
      <c r="N339" s="11">
        <v>1720000</v>
      </c>
      <c r="O339" s="8" t="s">
        <v>710</v>
      </c>
      <c r="P339" s="8" t="s">
        <v>716</v>
      </c>
      <c r="Q339" s="8"/>
      <c r="R339" s="8" t="s">
        <v>3553</v>
      </c>
    </row>
    <row r="340" spans="1:18" ht="26.15" customHeight="1">
      <c r="A340" s="7">
        <v>334</v>
      </c>
      <c r="B340" s="8" t="s">
        <v>3547</v>
      </c>
      <c r="C340" s="8" t="s">
        <v>3114</v>
      </c>
      <c r="D340" s="8" t="s">
        <v>3548</v>
      </c>
      <c r="E340" s="8" t="s">
        <v>3116</v>
      </c>
      <c r="F340" s="9" t="s">
        <v>3123</v>
      </c>
      <c r="G340" s="10">
        <v>43768</v>
      </c>
      <c r="H340" s="8" t="s">
        <v>34</v>
      </c>
      <c r="I340" s="11">
        <v>1600000</v>
      </c>
      <c r="J340" s="8" t="s">
        <v>712</v>
      </c>
      <c r="K340" s="8" t="s">
        <v>713</v>
      </c>
      <c r="L340" s="7">
        <v>2018</v>
      </c>
      <c r="M340" s="8" t="s">
        <v>79</v>
      </c>
      <c r="N340" s="11">
        <v>1720000</v>
      </c>
      <c r="O340" s="8" t="s">
        <v>710</v>
      </c>
      <c r="P340" s="8" t="s">
        <v>716</v>
      </c>
      <c r="Q340" s="8"/>
      <c r="R340" s="8" t="s">
        <v>3549</v>
      </c>
    </row>
    <row r="341" spans="1:18" ht="26.15" customHeight="1">
      <c r="A341" s="7">
        <v>335</v>
      </c>
      <c r="B341" s="8" t="s">
        <v>3554</v>
      </c>
      <c r="C341" s="8" t="s">
        <v>3139</v>
      </c>
      <c r="D341" s="8" t="s">
        <v>3555</v>
      </c>
      <c r="E341" s="8" t="s">
        <v>3116</v>
      </c>
      <c r="F341" s="9" t="s">
        <v>3123</v>
      </c>
      <c r="G341" s="10">
        <v>43768</v>
      </c>
      <c r="H341" s="8" t="s">
        <v>34</v>
      </c>
      <c r="I341" s="11">
        <v>1600000</v>
      </c>
      <c r="J341" s="8" t="s">
        <v>712</v>
      </c>
      <c r="K341" s="8" t="s">
        <v>713</v>
      </c>
      <c r="L341" s="7">
        <v>2018</v>
      </c>
      <c r="M341" s="8" t="s">
        <v>79</v>
      </c>
      <c r="N341" s="11">
        <v>1720000</v>
      </c>
      <c r="O341" s="8" t="s">
        <v>710</v>
      </c>
      <c r="P341" s="8" t="s">
        <v>716</v>
      </c>
      <c r="Q341" s="8"/>
      <c r="R341" s="8" t="s">
        <v>157</v>
      </c>
    </row>
    <row r="342" spans="1:18" ht="26.15" customHeight="1">
      <c r="A342" s="7">
        <v>336</v>
      </c>
      <c r="B342" s="8" t="s">
        <v>1146</v>
      </c>
      <c r="C342" s="8" t="s">
        <v>3114</v>
      </c>
      <c r="D342" s="8" t="s">
        <v>3458</v>
      </c>
      <c r="E342" s="8" t="s">
        <v>3116</v>
      </c>
      <c r="F342" s="9" t="s">
        <v>3123</v>
      </c>
      <c r="G342" s="10">
        <v>43768</v>
      </c>
      <c r="H342" s="8" t="s">
        <v>34</v>
      </c>
      <c r="I342" s="11">
        <v>1600000</v>
      </c>
      <c r="J342" s="8" t="s">
        <v>712</v>
      </c>
      <c r="K342" s="8" t="s">
        <v>713</v>
      </c>
      <c r="L342" s="7">
        <v>2018</v>
      </c>
      <c r="M342" s="8" t="s">
        <v>79</v>
      </c>
      <c r="N342" s="11">
        <v>1720000</v>
      </c>
      <c r="O342" s="8" t="s">
        <v>710</v>
      </c>
      <c r="P342" s="8" t="s">
        <v>716</v>
      </c>
      <c r="Q342" s="8"/>
      <c r="R342" s="8" t="s">
        <v>3459</v>
      </c>
    </row>
    <row r="343" spans="1:18" ht="26.15" customHeight="1">
      <c r="A343" s="7">
        <v>337</v>
      </c>
      <c r="B343" s="8" t="s">
        <v>1736</v>
      </c>
      <c r="C343" s="8" t="s">
        <v>3114</v>
      </c>
      <c r="D343" s="8" t="s">
        <v>3550</v>
      </c>
      <c r="E343" s="8" t="s">
        <v>3116</v>
      </c>
      <c r="F343" s="9" t="s">
        <v>3123</v>
      </c>
      <c r="G343" s="10">
        <v>43768</v>
      </c>
      <c r="H343" s="8" t="s">
        <v>34</v>
      </c>
      <c r="I343" s="11">
        <v>1600000</v>
      </c>
      <c r="J343" s="8" t="s">
        <v>712</v>
      </c>
      <c r="K343" s="8" t="s">
        <v>713</v>
      </c>
      <c r="L343" s="7">
        <v>2018</v>
      </c>
      <c r="M343" s="8" t="s">
        <v>79</v>
      </c>
      <c r="N343" s="11">
        <v>1720000</v>
      </c>
      <c r="O343" s="8" t="s">
        <v>710</v>
      </c>
      <c r="P343" s="8" t="s">
        <v>716</v>
      </c>
      <c r="Q343" s="8"/>
      <c r="R343" s="8" t="s">
        <v>157</v>
      </c>
    </row>
    <row r="344" spans="1:18" ht="26.15" customHeight="1">
      <c r="A344" s="7">
        <v>338</v>
      </c>
      <c r="B344" s="8" t="s">
        <v>3545</v>
      </c>
      <c r="C344" s="8" t="s">
        <v>3114</v>
      </c>
      <c r="D344" s="8" t="s">
        <v>3546</v>
      </c>
      <c r="E344" s="8" t="s">
        <v>3116</v>
      </c>
      <c r="F344" s="9" t="s">
        <v>3123</v>
      </c>
      <c r="G344" s="10">
        <v>43768</v>
      </c>
      <c r="H344" s="8" t="s">
        <v>34</v>
      </c>
      <c r="I344" s="11">
        <v>1600000</v>
      </c>
      <c r="J344" s="8" t="s">
        <v>712</v>
      </c>
      <c r="K344" s="8" t="s">
        <v>713</v>
      </c>
      <c r="L344" s="7">
        <v>2018</v>
      </c>
      <c r="M344" s="8" t="s">
        <v>79</v>
      </c>
      <c r="N344" s="11">
        <v>1720000</v>
      </c>
      <c r="O344" s="8" t="s">
        <v>710</v>
      </c>
      <c r="P344" s="8" t="s">
        <v>716</v>
      </c>
      <c r="Q344" s="8"/>
      <c r="R344" s="8" t="s">
        <v>3145</v>
      </c>
    </row>
    <row r="345" spans="1:18" ht="26.15" customHeight="1">
      <c r="A345" s="7">
        <v>339</v>
      </c>
      <c r="B345" s="8" t="s">
        <v>3190</v>
      </c>
      <c r="C345" s="8" t="s">
        <v>3114</v>
      </c>
      <c r="D345" s="8" t="s">
        <v>3191</v>
      </c>
      <c r="E345" s="8" t="s">
        <v>3116</v>
      </c>
      <c r="F345" s="9" t="s">
        <v>3117</v>
      </c>
      <c r="G345" s="10">
        <v>43768</v>
      </c>
      <c r="H345" s="8" t="s">
        <v>34</v>
      </c>
      <c r="I345" s="11">
        <v>1600000</v>
      </c>
      <c r="J345" s="8" t="s">
        <v>712</v>
      </c>
      <c r="K345" s="8" t="s">
        <v>713</v>
      </c>
      <c r="L345" s="7">
        <v>2018</v>
      </c>
      <c r="M345" s="8" t="s">
        <v>79</v>
      </c>
      <c r="N345" s="11">
        <v>1720000</v>
      </c>
      <c r="O345" s="8" t="s">
        <v>710</v>
      </c>
      <c r="P345" s="8" t="s">
        <v>716</v>
      </c>
      <c r="Q345" s="8"/>
      <c r="R345" s="8" t="s">
        <v>3192</v>
      </c>
    </row>
    <row r="346" spans="1:18" ht="26.15" customHeight="1">
      <c r="A346" s="7">
        <v>340</v>
      </c>
      <c r="B346" s="8" t="s">
        <v>719</v>
      </c>
      <c r="C346" s="8" t="s">
        <v>3114</v>
      </c>
      <c r="D346" s="8" t="s">
        <v>3556</v>
      </c>
      <c r="E346" s="8" t="s">
        <v>3116</v>
      </c>
      <c r="F346" s="9" t="s">
        <v>3117</v>
      </c>
      <c r="G346" s="10">
        <v>43766</v>
      </c>
      <c r="H346" s="8" t="s">
        <v>95</v>
      </c>
      <c r="I346" s="11">
        <v>30000000</v>
      </c>
      <c r="J346" s="8" t="s">
        <v>473</v>
      </c>
      <c r="K346" s="8" t="s">
        <v>474</v>
      </c>
      <c r="L346" s="7">
        <v>2014</v>
      </c>
      <c r="M346" s="8" t="s">
        <v>39</v>
      </c>
      <c r="N346" s="11">
        <v>46450000</v>
      </c>
      <c r="O346" s="8" t="s">
        <v>475</v>
      </c>
      <c r="P346" s="8" t="s">
        <v>476</v>
      </c>
      <c r="Q346" s="8"/>
      <c r="R346" s="8" t="s">
        <v>3145</v>
      </c>
    </row>
    <row r="347" spans="1:18" ht="26.15" customHeight="1">
      <c r="A347" s="7">
        <v>341</v>
      </c>
      <c r="B347" s="8" t="s">
        <v>773</v>
      </c>
      <c r="C347" s="8" t="s">
        <v>3114</v>
      </c>
      <c r="D347" s="8" t="s">
        <v>3557</v>
      </c>
      <c r="E347" s="8" t="s">
        <v>3116</v>
      </c>
      <c r="F347" s="9" t="s">
        <v>3123</v>
      </c>
      <c r="G347" s="10">
        <v>43766</v>
      </c>
      <c r="H347" s="8" t="s">
        <v>95</v>
      </c>
      <c r="I347" s="11">
        <v>30000000</v>
      </c>
      <c r="J347" s="8" t="s">
        <v>473</v>
      </c>
      <c r="K347" s="8" t="s">
        <v>474</v>
      </c>
      <c r="L347" s="7">
        <v>2014</v>
      </c>
      <c r="M347" s="8" t="s">
        <v>39</v>
      </c>
      <c r="N347" s="11">
        <v>46450000</v>
      </c>
      <c r="O347" s="8" t="s">
        <v>475</v>
      </c>
      <c r="P347" s="8" t="s">
        <v>476</v>
      </c>
      <c r="Q347" s="8"/>
      <c r="R347" s="8" t="s">
        <v>3425</v>
      </c>
    </row>
    <row r="348" spans="1:18" ht="26.15" customHeight="1">
      <c r="A348" s="7">
        <v>342</v>
      </c>
      <c r="B348" s="8" t="s">
        <v>3558</v>
      </c>
      <c r="C348" s="8" t="s">
        <v>3114</v>
      </c>
      <c r="D348" s="8" t="s">
        <v>3559</v>
      </c>
      <c r="E348" s="8" t="s">
        <v>3116</v>
      </c>
      <c r="F348" s="9" t="s">
        <v>3123</v>
      </c>
      <c r="G348" s="10">
        <v>43766</v>
      </c>
      <c r="H348" s="8" t="s">
        <v>95</v>
      </c>
      <c r="I348" s="11">
        <v>30000000</v>
      </c>
      <c r="J348" s="8" t="s">
        <v>473</v>
      </c>
      <c r="K348" s="8" t="s">
        <v>474</v>
      </c>
      <c r="L348" s="7">
        <v>2014</v>
      </c>
      <c r="M348" s="8" t="s">
        <v>39</v>
      </c>
      <c r="N348" s="11">
        <v>46450000</v>
      </c>
      <c r="O348" s="8" t="s">
        <v>475</v>
      </c>
      <c r="P348" s="8" t="s">
        <v>476</v>
      </c>
      <c r="Q348" s="8"/>
      <c r="R348" s="8" t="s">
        <v>39</v>
      </c>
    </row>
    <row r="349" spans="1:18" ht="26.15" customHeight="1">
      <c r="A349" s="7">
        <v>343</v>
      </c>
      <c r="B349" s="8" t="s">
        <v>3560</v>
      </c>
      <c r="C349" s="8" t="s">
        <v>3114</v>
      </c>
      <c r="D349" s="8" t="s">
        <v>3561</v>
      </c>
      <c r="E349" s="8" t="s">
        <v>3116</v>
      </c>
      <c r="F349" s="9" t="s">
        <v>3123</v>
      </c>
      <c r="G349" s="10">
        <v>43766</v>
      </c>
      <c r="H349" s="8" t="s">
        <v>95</v>
      </c>
      <c r="I349" s="11">
        <v>30000000</v>
      </c>
      <c r="J349" s="8" t="s">
        <v>473</v>
      </c>
      <c r="K349" s="8" t="s">
        <v>474</v>
      </c>
      <c r="L349" s="7">
        <v>2014</v>
      </c>
      <c r="M349" s="8" t="s">
        <v>39</v>
      </c>
      <c r="N349" s="11">
        <v>46450000</v>
      </c>
      <c r="O349" s="8" t="s">
        <v>475</v>
      </c>
      <c r="P349" s="8" t="s">
        <v>476</v>
      </c>
      <c r="Q349" s="8"/>
      <c r="R349" s="8" t="s">
        <v>3280</v>
      </c>
    </row>
    <row r="350" spans="1:18" ht="26.15" customHeight="1">
      <c r="A350" s="7">
        <v>344</v>
      </c>
      <c r="B350" s="8" t="s">
        <v>3562</v>
      </c>
      <c r="C350" s="8" t="s">
        <v>3114</v>
      </c>
      <c r="D350" s="8" t="s">
        <v>3563</v>
      </c>
      <c r="E350" s="8" t="s">
        <v>3116</v>
      </c>
      <c r="F350" s="9" t="s">
        <v>3123</v>
      </c>
      <c r="G350" s="10">
        <v>43766</v>
      </c>
      <c r="H350" s="8" t="s">
        <v>95</v>
      </c>
      <c r="I350" s="11">
        <v>30000000</v>
      </c>
      <c r="J350" s="8" t="s">
        <v>473</v>
      </c>
      <c r="K350" s="8" t="s">
        <v>474</v>
      </c>
      <c r="L350" s="7">
        <v>2014</v>
      </c>
      <c r="M350" s="8" t="s">
        <v>39</v>
      </c>
      <c r="N350" s="11">
        <v>46450000</v>
      </c>
      <c r="O350" s="8" t="s">
        <v>475</v>
      </c>
      <c r="P350" s="8" t="s">
        <v>476</v>
      </c>
      <c r="Q350" s="8"/>
      <c r="R350" s="8" t="s">
        <v>3564</v>
      </c>
    </row>
    <row r="351" spans="1:18" ht="26.15" customHeight="1">
      <c r="A351" s="7">
        <v>345</v>
      </c>
      <c r="B351" s="8" t="s">
        <v>3565</v>
      </c>
      <c r="C351" s="8" t="s">
        <v>3114</v>
      </c>
      <c r="D351" s="8" t="s">
        <v>3566</v>
      </c>
      <c r="E351" s="8" t="s">
        <v>3116</v>
      </c>
      <c r="F351" s="9" t="s">
        <v>3123</v>
      </c>
      <c r="G351" s="10">
        <v>43766</v>
      </c>
      <c r="H351" s="8" t="s">
        <v>95</v>
      </c>
      <c r="I351" s="11">
        <v>30000000</v>
      </c>
      <c r="J351" s="8" t="s">
        <v>473</v>
      </c>
      <c r="K351" s="8" t="s">
        <v>474</v>
      </c>
      <c r="L351" s="7">
        <v>2014</v>
      </c>
      <c r="M351" s="8" t="s">
        <v>39</v>
      </c>
      <c r="N351" s="11">
        <v>46450000</v>
      </c>
      <c r="O351" s="8" t="s">
        <v>475</v>
      </c>
      <c r="P351" s="8" t="s">
        <v>476</v>
      </c>
      <c r="Q351" s="8"/>
      <c r="R351" s="8" t="s">
        <v>3425</v>
      </c>
    </row>
    <row r="352" spans="1:18" ht="26.15" customHeight="1">
      <c r="A352" s="7">
        <v>346</v>
      </c>
      <c r="B352" s="8" t="s">
        <v>2355</v>
      </c>
      <c r="C352" s="8" t="s">
        <v>3114</v>
      </c>
      <c r="D352" s="8" t="s">
        <v>3147</v>
      </c>
      <c r="E352" s="8" t="s">
        <v>3116</v>
      </c>
      <c r="F352" s="9" t="s">
        <v>3117</v>
      </c>
      <c r="G352" s="10">
        <v>43763</v>
      </c>
      <c r="H352" s="8" t="s">
        <v>25</v>
      </c>
      <c r="I352" s="11">
        <v>1974340</v>
      </c>
      <c r="J352" s="8" t="s">
        <v>74</v>
      </c>
      <c r="K352" s="8" t="s">
        <v>75</v>
      </c>
      <c r="L352" s="7">
        <v>2015</v>
      </c>
      <c r="M352" s="8" t="s">
        <v>79</v>
      </c>
      <c r="N352" s="11">
        <v>36362460</v>
      </c>
      <c r="O352" s="8" t="s">
        <v>80</v>
      </c>
      <c r="P352" s="8" t="s">
        <v>81</v>
      </c>
      <c r="Q352" s="8"/>
      <c r="R352" s="8" t="s">
        <v>3148</v>
      </c>
    </row>
    <row r="353" spans="1:18" ht="26.15" customHeight="1">
      <c r="A353" s="7">
        <v>347</v>
      </c>
      <c r="B353" s="8" t="s">
        <v>29</v>
      </c>
      <c r="C353" s="8" t="s">
        <v>3114</v>
      </c>
      <c r="D353" s="8" t="s">
        <v>3115</v>
      </c>
      <c r="E353" s="8" t="s">
        <v>3116</v>
      </c>
      <c r="F353" s="9" t="s">
        <v>3123</v>
      </c>
      <c r="G353" s="10">
        <v>43763</v>
      </c>
      <c r="H353" s="8" t="s">
        <v>25</v>
      </c>
      <c r="I353" s="11">
        <v>1974340</v>
      </c>
      <c r="J353" s="8" t="s">
        <v>74</v>
      </c>
      <c r="K353" s="8" t="s">
        <v>75</v>
      </c>
      <c r="L353" s="7">
        <v>2015</v>
      </c>
      <c r="M353" s="8" t="s">
        <v>79</v>
      </c>
      <c r="N353" s="11">
        <v>36362460</v>
      </c>
      <c r="O353" s="8" t="s">
        <v>80</v>
      </c>
      <c r="P353" s="8" t="s">
        <v>81</v>
      </c>
      <c r="Q353" s="8"/>
      <c r="R353" s="8" t="s">
        <v>3118</v>
      </c>
    </row>
    <row r="354" spans="1:18" ht="26.15" customHeight="1">
      <c r="A354" s="7">
        <v>348</v>
      </c>
      <c r="B354" s="8" t="s">
        <v>77</v>
      </c>
      <c r="C354" s="8" t="s">
        <v>3127</v>
      </c>
      <c r="D354" s="8"/>
      <c r="E354" s="8" t="s">
        <v>3128</v>
      </c>
      <c r="F354" s="9" t="s">
        <v>3123</v>
      </c>
      <c r="G354" s="10">
        <v>43763</v>
      </c>
      <c r="H354" s="8" t="s">
        <v>25</v>
      </c>
      <c r="I354" s="11">
        <v>1974340</v>
      </c>
      <c r="J354" s="8" t="s">
        <v>74</v>
      </c>
      <c r="K354" s="8" t="s">
        <v>75</v>
      </c>
      <c r="L354" s="7">
        <v>2015</v>
      </c>
      <c r="M354" s="8" t="s">
        <v>79</v>
      </c>
      <c r="N354" s="11">
        <v>36362460</v>
      </c>
      <c r="O354" s="8" t="s">
        <v>80</v>
      </c>
      <c r="P354" s="8" t="s">
        <v>81</v>
      </c>
      <c r="Q354" s="8"/>
      <c r="R354" s="8"/>
    </row>
    <row r="355" spans="1:18" ht="26.15" customHeight="1">
      <c r="A355" s="7">
        <v>349</v>
      </c>
      <c r="B355" s="8" t="s">
        <v>78</v>
      </c>
      <c r="C355" s="8" t="s">
        <v>3114</v>
      </c>
      <c r="D355" s="8" t="s">
        <v>3146</v>
      </c>
      <c r="E355" s="8" t="s">
        <v>3116</v>
      </c>
      <c r="F355" s="9" t="s">
        <v>3117</v>
      </c>
      <c r="G355" s="10">
        <v>43763</v>
      </c>
      <c r="H355" s="8" t="s">
        <v>25</v>
      </c>
      <c r="I355" s="11">
        <v>1974340</v>
      </c>
      <c r="J355" s="8" t="s">
        <v>74</v>
      </c>
      <c r="K355" s="8" t="s">
        <v>75</v>
      </c>
      <c r="L355" s="7">
        <v>2015</v>
      </c>
      <c r="M355" s="8" t="s">
        <v>79</v>
      </c>
      <c r="N355" s="11">
        <v>36362460</v>
      </c>
      <c r="O355" s="8" t="s">
        <v>80</v>
      </c>
      <c r="P355" s="8" t="s">
        <v>81</v>
      </c>
      <c r="Q355" s="8"/>
      <c r="R355" s="8" t="s">
        <v>3135</v>
      </c>
    </row>
    <row r="356" spans="1:18" ht="26.15" customHeight="1">
      <c r="A356" s="7">
        <v>350</v>
      </c>
      <c r="B356" s="8" t="s">
        <v>1242</v>
      </c>
      <c r="C356" s="8" t="s">
        <v>3114</v>
      </c>
      <c r="D356" s="8" t="s">
        <v>3151</v>
      </c>
      <c r="E356" s="8" t="s">
        <v>3116</v>
      </c>
      <c r="F356" s="9" t="s">
        <v>3123</v>
      </c>
      <c r="G356" s="10">
        <v>43763</v>
      </c>
      <c r="H356" s="8" t="s">
        <v>25</v>
      </c>
      <c r="I356" s="11">
        <v>1974340</v>
      </c>
      <c r="J356" s="8" t="s">
        <v>74</v>
      </c>
      <c r="K356" s="8" t="s">
        <v>75</v>
      </c>
      <c r="L356" s="7">
        <v>2015</v>
      </c>
      <c r="M356" s="8" t="s">
        <v>79</v>
      </c>
      <c r="N356" s="11">
        <v>36362460</v>
      </c>
      <c r="O356" s="8" t="s">
        <v>80</v>
      </c>
      <c r="P356" s="8" t="s">
        <v>81</v>
      </c>
      <c r="Q356" s="8"/>
      <c r="R356" s="8" t="s">
        <v>79</v>
      </c>
    </row>
    <row r="357" spans="1:18" ht="26.15" customHeight="1">
      <c r="A357" s="7">
        <v>351</v>
      </c>
      <c r="B357" s="8" t="s">
        <v>1831</v>
      </c>
      <c r="C357" s="8"/>
      <c r="D357" s="8" t="s">
        <v>3567</v>
      </c>
      <c r="E357" s="8" t="s">
        <v>3116</v>
      </c>
      <c r="F357" s="9" t="s">
        <v>3123</v>
      </c>
      <c r="G357" s="10">
        <v>43762</v>
      </c>
      <c r="H357" s="8" t="s">
        <v>302</v>
      </c>
      <c r="I357" s="11">
        <v>4242190</v>
      </c>
      <c r="J357" s="8" t="s">
        <v>96</v>
      </c>
      <c r="K357" s="8" t="s">
        <v>97</v>
      </c>
      <c r="L357" s="7">
        <v>2015</v>
      </c>
      <c r="M357" s="8" t="s">
        <v>79</v>
      </c>
      <c r="N357" s="11">
        <v>163285834</v>
      </c>
      <c r="O357" s="8" t="s">
        <v>100</v>
      </c>
      <c r="P357" s="8" t="s">
        <v>101</v>
      </c>
      <c r="Q357" s="8"/>
      <c r="R357" s="8" t="s">
        <v>128</v>
      </c>
    </row>
    <row r="358" spans="1:18" ht="26.15" customHeight="1">
      <c r="A358" s="7">
        <v>352</v>
      </c>
      <c r="B358" s="8" t="s">
        <v>727</v>
      </c>
      <c r="C358" s="8" t="s">
        <v>3114</v>
      </c>
      <c r="D358" s="8" t="s">
        <v>3568</v>
      </c>
      <c r="E358" s="8" t="s">
        <v>3116</v>
      </c>
      <c r="F358" s="9" t="s">
        <v>3117</v>
      </c>
      <c r="G358" s="10">
        <v>43761</v>
      </c>
      <c r="H358" s="8" t="s">
        <v>34</v>
      </c>
      <c r="I358" s="11">
        <v>494497</v>
      </c>
      <c r="J358" s="8" t="s">
        <v>724</v>
      </c>
      <c r="K358" s="8" t="s">
        <v>725</v>
      </c>
      <c r="L358" s="7">
        <v>2015</v>
      </c>
      <c r="M358" s="8" t="s">
        <v>128</v>
      </c>
      <c r="N358" s="11">
        <v>739765</v>
      </c>
      <c r="O358" s="8" t="s">
        <v>728</v>
      </c>
      <c r="P358" s="8" t="s">
        <v>729</v>
      </c>
      <c r="Q358" s="8"/>
      <c r="R358" s="8" t="s">
        <v>3138</v>
      </c>
    </row>
    <row r="359" spans="1:18" ht="26.15" customHeight="1">
      <c r="A359" s="7">
        <v>353</v>
      </c>
      <c r="B359" s="8" t="s">
        <v>733</v>
      </c>
      <c r="C359" s="8" t="s">
        <v>3139</v>
      </c>
      <c r="D359" s="8" t="s">
        <v>3569</v>
      </c>
      <c r="E359" s="8" t="s">
        <v>3116</v>
      </c>
      <c r="F359" s="9" t="s">
        <v>3117</v>
      </c>
      <c r="G359" s="10">
        <v>43756</v>
      </c>
      <c r="H359" s="8" t="s">
        <v>34</v>
      </c>
      <c r="I359" s="11" t="s">
        <v>50</v>
      </c>
      <c r="J359" s="8" t="s">
        <v>730</v>
      </c>
      <c r="K359" s="8" t="s">
        <v>731</v>
      </c>
      <c r="L359" s="7">
        <v>2015</v>
      </c>
      <c r="M359" s="8" t="s">
        <v>734</v>
      </c>
      <c r="N359" s="11"/>
      <c r="O359" s="8" t="s">
        <v>735</v>
      </c>
      <c r="P359" s="8" t="s">
        <v>736</v>
      </c>
      <c r="Q359" s="8"/>
      <c r="R359" s="8" t="s">
        <v>3570</v>
      </c>
    </row>
    <row r="360" spans="1:18" ht="26.15" customHeight="1">
      <c r="A360" s="7">
        <v>354</v>
      </c>
      <c r="B360" s="8" t="s">
        <v>727</v>
      </c>
      <c r="C360" s="8" t="s">
        <v>3114</v>
      </c>
      <c r="D360" s="8" t="s">
        <v>3571</v>
      </c>
      <c r="E360" s="8" t="s">
        <v>3116</v>
      </c>
      <c r="F360" s="9" t="s">
        <v>3117</v>
      </c>
      <c r="G360" s="10">
        <v>43751</v>
      </c>
      <c r="H360" s="8" t="s">
        <v>34</v>
      </c>
      <c r="I360" s="11" t="s">
        <v>50</v>
      </c>
      <c r="J360" s="8" t="s">
        <v>737</v>
      </c>
      <c r="K360" s="8" t="s">
        <v>738</v>
      </c>
      <c r="L360" s="7">
        <v>2016</v>
      </c>
      <c r="M360" s="8" t="s">
        <v>740</v>
      </c>
      <c r="N360" s="11">
        <v>17990</v>
      </c>
      <c r="O360" s="8" t="s">
        <v>741</v>
      </c>
      <c r="P360" s="8" t="s">
        <v>742</v>
      </c>
      <c r="Q360" s="8"/>
      <c r="R360" s="8" t="s">
        <v>3138</v>
      </c>
    </row>
    <row r="361" spans="1:18" ht="26.15" customHeight="1">
      <c r="A361" s="7">
        <v>355</v>
      </c>
      <c r="B361" s="8" t="s">
        <v>2018</v>
      </c>
      <c r="C361" s="8" t="s">
        <v>3114</v>
      </c>
      <c r="D361" s="8" t="s">
        <v>3572</v>
      </c>
      <c r="E361" s="8" t="s">
        <v>3116</v>
      </c>
      <c r="F361" s="9" t="s">
        <v>3123</v>
      </c>
      <c r="G361" s="10">
        <v>43750</v>
      </c>
      <c r="H361" s="8" t="s">
        <v>25</v>
      </c>
      <c r="I361" s="11">
        <v>2386360</v>
      </c>
      <c r="J361" s="8" t="s">
        <v>743</v>
      </c>
      <c r="K361" s="8" t="s">
        <v>744</v>
      </c>
      <c r="L361" s="7">
        <v>2013</v>
      </c>
      <c r="M361" s="8" t="s">
        <v>121</v>
      </c>
      <c r="N361" s="11">
        <v>17022002</v>
      </c>
      <c r="O361" s="8" t="s">
        <v>747</v>
      </c>
      <c r="P361" s="8" t="s">
        <v>748</v>
      </c>
      <c r="Q361" s="8"/>
      <c r="R361" s="8" t="s">
        <v>3357</v>
      </c>
    </row>
    <row r="362" spans="1:18" ht="26.15" customHeight="1">
      <c r="A362" s="7">
        <v>356</v>
      </c>
      <c r="B362" s="8" t="s">
        <v>746</v>
      </c>
      <c r="C362" s="8" t="s">
        <v>3114</v>
      </c>
      <c r="D362" s="8" t="s">
        <v>3475</v>
      </c>
      <c r="E362" s="8" t="s">
        <v>3116</v>
      </c>
      <c r="F362" s="9" t="s">
        <v>3117</v>
      </c>
      <c r="G362" s="10">
        <v>43750</v>
      </c>
      <c r="H362" s="8" t="s">
        <v>25</v>
      </c>
      <c r="I362" s="11">
        <v>2386360</v>
      </c>
      <c r="J362" s="8" t="s">
        <v>743</v>
      </c>
      <c r="K362" s="8" t="s">
        <v>744</v>
      </c>
      <c r="L362" s="7">
        <v>2013</v>
      </c>
      <c r="M362" s="8" t="s">
        <v>121</v>
      </c>
      <c r="N362" s="11">
        <v>17022002</v>
      </c>
      <c r="O362" s="8" t="s">
        <v>747</v>
      </c>
      <c r="P362" s="8" t="s">
        <v>748</v>
      </c>
      <c r="Q362" s="8"/>
      <c r="R362" s="8" t="s">
        <v>79</v>
      </c>
    </row>
    <row r="363" spans="1:18" ht="26.15" customHeight="1">
      <c r="A363" s="7">
        <v>357</v>
      </c>
      <c r="B363" s="8" t="s">
        <v>756</v>
      </c>
      <c r="C363" s="8" t="s">
        <v>3114</v>
      </c>
      <c r="D363" s="8" t="s">
        <v>3573</v>
      </c>
      <c r="E363" s="8" t="s">
        <v>3116</v>
      </c>
      <c r="F363" s="9" t="s">
        <v>3117</v>
      </c>
      <c r="G363" s="10">
        <v>43747</v>
      </c>
      <c r="H363" s="8" t="s">
        <v>34</v>
      </c>
      <c r="I363" s="11">
        <v>1500000</v>
      </c>
      <c r="J363" s="8" t="s">
        <v>753</v>
      </c>
      <c r="K363" s="8" t="s">
        <v>754</v>
      </c>
      <c r="L363" s="7">
        <v>2017</v>
      </c>
      <c r="M363" s="8" t="s">
        <v>369</v>
      </c>
      <c r="N363" s="11">
        <v>2200000</v>
      </c>
      <c r="O363" s="8" t="s">
        <v>757</v>
      </c>
      <c r="P363" s="8" t="s">
        <v>758</v>
      </c>
      <c r="Q363" s="8"/>
      <c r="R363" s="8" t="s">
        <v>2207</v>
      </c>
    </row>
    <row r="364" spans="1:18" ht="26.15" customHeight="1">
      <c r="A364" s="7">
        <v>358</v>
      </c>
      <c r="B364" s="8" t="s">
        <v>2167</v>
      </c>
      <c r="C364" s="8" t="s">
        <v>3114</v>
      </c>
      <c r="D364" s="8" t="s">
        <v>3574</v>
      </c>
      <c r="E364" s="8" t="s">
        <v>3116</v>
      </c>
      <c r="F364" s="9" t="s">
        <v>3123</v>
      </c>
      <c r="G364" s="10">
        <v>43747</v>
      </c>
      <c r="H364" s="8" t="s">
        <v>34</v>
      </c>
      <c r="I364" s="11">
        <v>1500000</v>
      </c>
      <c r="J364" s="8" t="s">
        <v>753</v>
      </c>
      <c r="K364" s="8" t="s">
        <v>754</v>
      </c>
      <c r="L364" s="7">
        <v>2017</v>
      </c>
      <c r="M364" s="8" t="s">
        <v>369</v>
      </c>
      <c r="N364" s="11">
        <v>2200000</v>
      </c>
      <c r="O364" s="8" t="s">
        <v>757</v>
      </c>
      <c r="P364" s="8" t="s">
        <v>758</v>
      </c>
      <c r="Q364" s="8"/>
      <c r="R364" s="8" t="s">
        <v>369</v>
      </c>
    </row>
    <row r="365" spans="1:18" ht="26.15" customHeight="1">
      <c r="A365" s="7">
        <v>359</v>
      </c>
      <c r="B365" s="8" t="s">
        <v>3575</v>
      </c>
      <c r="C365" s="8" t="s">
        <v>3114</v>
      </c>
      <c r="D365" s="8" t="s">
        <v>3576</v>
      </c>
      <c r="E365" s="8" t="s">
        <v>3116</v>
      </c>
      <c r="F365" s="9" t="s">
        <v>3123</v>
      </c>
      <c r="G365" s="10">
        <v>43747</v>
      </c>
      <c r="H365" s="8" t="s">
        <v>289</v>
      </c>
      <c r="I365" s="11" t="s">
        <v>50</v>
      </c>
      <c r="J365" s="8" t="s">
        <v>759</v>
      </c>
      <c r="K365" s="8" t="s">
        <v>760</v>
      </c>
      <c r="L365" s="7">
        <v>2016</v>
      </c>
      <c r="M365" s="8" t="s">
        <v>762</v>
      </c>
      <c r="N365" s="11"/>
      <c r="O365" s="8" t="s">
        <v>763</v>
      </c>
      <c r="P365" s="8" t="s">
        <v>764</v>
      </c>
      <c r="Q365" s="8"/>
      <c r="R365" s="8" t="s">
        <v>39</v>
      </c>
    </row>
    <row r="366" spans="1:18" ht="26.15" customHeight="1">
      <c r="A366" s="7">
        <v>360</v>
      </c>
      <c r="B366" s="8" t="s">
        <v>766</v>
      </c>
      <c r="C366" s="8" t="s">
        <v>3114</v>
      </c>
      <c r="D366" s="8" t="s">
        <v>3397</v>
      </c>
      <c r="E366" s="8" t="s">
        <v>3116</v>
      </c>
      <c r="F366" s="9" t="s">
        <v>3117</v>
      </c>
      <c r="G366" s="10">
        <v>43747</v>
      </c>
      <c r="H366" s="8" t="s">
        <v>34</v>
      </c>
      <c r="I366" s="11" t="s">
        <v>50</v>
      </c>
      <c r="J366" s="8" t="s">
        <v>493</v>
      </c>
      <c r="K366" s="8" t="s">
        <v>494</v>
      </c>
      <c r="L366" s="7">
        <v>2019</v>
      </c>
      <c r="M366" s="8" t="s">
        <v>497</v>
      </c>
      <c r="N366" s="11">
        <v>10000000</v>
      </c>
      <c r="O366" s="8" t="s">
        <v>498</v>
      </c>
      <c r="P366" s="8" t="s">
        <v>499</v>
      </c>
      <c r="Q366" s="8"/>
      <c r="R366" s="8" t="s">
        <v>3398</v>
      </c>
    </row>
    <row r="367" spans="1:18" ht="26.15" customHeight="1">
      <c r="A367" s="7">
        <v>361</v>
      </c>
      <c r="B367" s="8" t="s">
        <v>766</v>
      </c>
      <c r="C367" s="8" t="s">
        <v>3114</v>
      </c>
      <c r="D367" s="8" t="s">
        <v>3397</v>
      </c>
      <c r="E367" s="8" t="s">
        <v>3116</v>
      </c>
      <c r="F367" s="9" t="s">
        <v>3117</v>
      </c>
      <c r="G367" s="10">
        <v>43747</v>
      </c>
      <c r="H367" s="8" t="s">
        <v>34</v>
      </c>
      <c r="I367" s="11">
        <v>2591780</v>
      </c>
      <c r="J367" s="8" t="s">
        <v>419</v>
      </c>
      <c r="K367" s="8" t="s">
        <v>420</v>
      </c>
      <c r="L367" s="7">
        <v>2019</v>
      </c>
      <c r="M367" s="8" t="s">
        <v>128</v>
      </c>
      <c r="N367" s="11">
        <v>14591780</v>
      </c>
      <c r="O367" s="8" t="s">
        <v>423</v>
      </c>
      <c r="P367" s="8" t="s">
        <v>424</v>
      </c>
      <c r="Q367" s="8"/>
      <c r="R367" s="8" t="s">
        <v>3398</v>
      </c>
    </row>
    <row r="368" spans="1:18" ht="26.15" customHeight="1">
      <c r="A368" s="7">
        <v>362</v>
      </c>
      <c r="B368" s="8" t="s">
        <v>3403</v>
      </c>
      <c r="C368" s="8" t="s">
        <v>3114</v>
      </c>
      <c r="D368" s="8" t="s">
        <v>3404</v>
      </c>
      <c r="E368" s="8" t="s">
        <v>3116</v>
      </c>
      <c r="F368" s="9" t="s">
        <v>3123</v>
      </c>
      <c r="G368" s="10">
        <v>43747</v>
      </c>
      <c r="H368" s="8" t="s">
        <v>34</v>
      </c>
      <c r="I368" s="11">
        <v>2591780</v>
      </c>
      <c r="J368" s="8" t="s">
        <v>419</v>
      </c>
      <c r="K368" s="8" t="s">
        <v>420</v>
      </c>
      <c r="L368" s="7">
        <v>2019</v>
      </c>
      <c r="M368" s="8" t="s">
        <v>128</v>
      </c>
      <c r="N368" s="11">
        <v>14591780</v>
      </c>
      <c r="O368" s="8" t="s">
        <v>423</v>
      </c>
      <c r="P368" s="8" t="s">
        <v>424</v>
      </c>
      <c r="Q368" s="8"/>
      <c r="R368" s="8" t="s">
        <v>313</v>
      </c>
    </row>
    <row r="369" spans="1:18" ht="26.15" customHeight="1">
      <c r="A369" s="7">
        <v>363</v>
      </c>
      <c r="B369" s="8" t="s">
        <v>768</v>
      </c>
      <c r="C369" s="8" t="s">
        <v>3127</v>
      </c>
      <c r="D369" s="8"/>
      <c r="E369" s="8" t="s">
        <v>3128</v>
      </c>
      <c r="F369" s="9" t="s">
        <v>3123</v>
      </c>
      <c r="G369" s="10">
        <v>43747</v>
      </c>
      <c r="H369" s="8" t="s">
        <v>34</v>
      </c>
      <c r="I369" s="11">
        <v>2591780</v>
      </c>
      <c r="J369" s="8" t="s">
        <v>419</v>
      </c>
      <c r="K369" s="8" t="s">
        <v>420</v>
      </c>
      <c r="L369" s="7">
        <v>2019</v>
      </c>
      <c r="M369" s="8" t="s">
        <v>128</v>
      </c>
      <c r="N369" s="11">
        <v>14591780</v>
      </c>
      <c r="O369" s="8" t="s">
        <v>423</v>
      </c>
      <c r="P369" s="8" t="s">
        <v>424</v>
      </c>
      <c r="Q369" s="8"/>
      <c r="R369" s="8"/>
    </row>
    <row r="370" spans="1:18" ht="26.15" customHeight="1">
      <c r="A370" s="7">
        <v>364</v>
      </c>
      <c r="B370" s="8" t="s">
        <v>644</v>
      </c>
      <c r="C370" s="8" t="s">
        <v>3114</v>
      </c>
      <c r="D370" s="8" t="s">
        <v>3162</v>
      </c>
      <c r="E370" s="8" t="s">
        <v>3116</v>
      </c>
      <c r="F370" s="9" t="s">
        <v>3123</v>
      </c>
      <c r="G370" s="10">
        <v>43747</v>
      </c>
      <c r="H370" s="8" t="s">
        <v>34</v>
      </c>
      <c r="I370" s="11">
        <v>2591780</v>
      </c>
      <c r="J370" s="8" t="s">
        <v>419</v>
      </c>
      <c r="K370" s="8" t="s">
        <v>420</v>
      </c>
      <c r="L370" s="7">
        <v>2019</v>
      </c>
      <c r="M370" s="8" t="s">
        <v>128</v>
      </c>
      <c r="N370" s="11">
        <v>14591780</v>
      </c>
      <c r="O370" s="8" t="s">
        <v>423</v>
      </c>
      <c r="P370" s="8" t="s">
        <v>424</v>
      </c>
      <c r="Q370" s="8"/>
      <c r="R370" s="8" t="s">
        <v>313</v>
      </c>
    </row>
    <row r="371" spans="1:18" ht="26.15" customHeight="1">
      <c r="A371" s="7">
        <v>365</v>
      </c>
      <c r="B371" s="8" t="s">
        <v>3124</v>
      </c>
      <c r="C371" s="8" t="s">
        <v>3114</v>
      </c>
      <c r="D371" s="8" t="s">
        <v>3125</v>
      </c>
      <c r="E371" s="8" t="s">
        <v>3116</v>
      </c>
      <c r="F371" s="9" t="s">
        <v>3123</v>
      </c>
      <c r="G371" s="10">
        <v>43747</v>
      </c>
      <c r="H371" s="8" t="s">
        <v>34</v>
      </c>
      <c r="I371" s="11">
        <v>2591780</v>
      </c>
      <c r="J371" s="8" t="s">
        <v>419</v>
      </c>
      <c r="K371" s="8" t="s">
        <v>420</v>
      </c>
      <c r="L371" s="7">
        <v>2019</v>
      </c>
      <c r="M371" s="8" t="s">
        <v>128</v>
      </c>
      <c r="N371" s="11">
        <v>14591780</v>
      </c>
      <c r="O371" s="8" t="s">
        <v>423</v>
      </c>
      <c r="P371" s="8" t="s">
        <v>424</v>
      </c>
      <c r="Q371" s="8"/>
      <c r="R371" s="8" t="s">
        <v>3126</v>
      </c>
    </row>
    <row r="372" spans="1:18" ht="26.15" customHeight="1">
      <c r="A372" s="7">
        <v>366</v>
      </c>
      <c r="B372" s="8" t="s">
        <v>206</v>
      </c>
      <c r="C372" s="8" t="s">
        <v>3114</v>
      </c>
      <c r="D372" s="8" t="s">
        <v>3181</v>
      </c>
      <c r="E372" s="8" t="s">
        <v>3116</v>
      </c>
      <c r="F372" s="9" t="s">
        <v>3117</v>
      </c>
      <c r="G372" s="10">
        <v>43742</v>
      </c>
      <c r="H372" s="8" t="s">
        <v>34</v>
      </c>
      <c r="I372" s="11" t="s">
        <v>50</v>
      </c>
      <c r="J372" s="8" t="s">
        <v>203</v>
      </c>
      <c r="K372" s="8" t="s">
        <v>204</v>
      </c>
      <c r="L372" s="7">
        <v>2016</v>
      </c>
      <c r="M372" s="8" t="s">
        <v>207</v>
      </c>
      <c r="N372" s="11">
        <v>5500000</v>
      </c>
      <c r="O372" s="8" t="s">
        <v>208</v>
      </c>
      <c r="P372" s="8" t="s">
        <v>209</v>
      </c>
      <c r="Q372" s="8"/>
      <c r="R372" s="8" t="s">
        <v>3156</v>
      </c>
    </row>
    <row r="373" spans="1:18" ht="26.15" customHeight="1">
      <c r="A373" s="7">
        <v>367</v>
      </c>
      <c r="B373" s="8" t="s">
        <v>773</v>
      </c>
      <c r="C373" s="8" t="s">
        <v>3114</v>
      </c>
      <c r="D373" s="8" t="s">
        <v>3557</v>
      </c>
      <c r="E373" s="8" t="s">
        <v>3116</v>
      </c>
      <c r="F373" s="9" t="s">
        <v>3117</v>
      </c>
      <c r="G373" s="10">
        <v>43742</v>
      </c>
      <c r="H373" s="8" t="s">
        <v>528</v>
      </c>
      <c r="I373" s="11">
        <v>26000000</v>
      </c>
      <c r="J373" s="8" t="s">
        <v>770</v>
      </c>
      <c r="K373" s="8" t="s">
        <v>771</v>
      </c>
      <c r="L373" s="7">
        <v>1964</v>
      </c>
      <c r="M373" s="8" t="s">
        <v>774</v>
      </c>
      <c r="N373" s="11">
        <v>26000000</v>
      </c>
      <c r="O373" s="8" t="s">
        <v>775</v>
      </c>
      <c r="P373" s="8" t="s">
        <v>776</v>
      </c>
      <c r="Q373" s="8"/>
      <c r="R373" s="8" t="s">
        <v>3425</v>
      </c>
    </row>
    <row r="374" spans="1:18" ht="26.15" customHeight="1">
      <c r="A374" s="7">
        <v>368</v>
      </c>
      <c r="B374" s="8" t="s">
        <v>780</v>
      </c>
      <c r="C374" s="8"/>
      <c r="D374" s="8" t="s">
        <v>3577</v>
      </c>
      <c r="E374" s="8" t="s">
        <v>3116</v>
      </c>
      <c r="F374" s="9" t="s">
        <v>3117</v>
      </c>
      <c r="G374" s="10">
        <v>43740</v>
      </c>
      <c r="H374" s="8" t="s">
        <v>109</v>
      </c>
      <c r="I374" s="11">
        <v>1438880</v>
      </c>
      <c r="J374" s="8" t="s">
        <v>777</v>
      </c>
      <c r="K374" s="8" t="s">
        <v>778</v>
      </c>
      <c r="L374" s="7">
        <v>2005</v>
      </c>
      <c r="M374" s="8" t="s">
        <v>47</v>
      </c>
      <c r="N374" s="11">
        <v>1438880</v>
      </c>
      <c r="O374" s="8" t="s">
        <v>781</v>
      </c>
      <c r="P374" s="8" t="s">
        <v>782</v>
      </c>
      <c r="Q374" s="8"/>
      <c r="R374" s="8" t="s">
        <v>3578</v>
      </c>
    </row>
    <row r="375" spans="1:18" ht="26.15" customHeight="1">
      <c r="A375" s="7">
        <v>369</v>
      </c>
      <c r="B375" s="8" t="s">
        <v>786</v>
      </c>
      <c r="C375" s="8" t="s">
        <v>3114</v>
      </c>
      <c r="D375" s="8" t="s">
        <v>3579</v>
      </c>
      <c r="E375" s="8" t="s">
        <v>3116</v>
      </c>
      <c r="F375" s="9" t="s">
        <v>3117</v>
      </c>
      <c r="G375" s="10">
        <v>43740</v>
      </c>
      <c r="H375" s="8" t="s">
        <v>34</v>
      </c>
      <c r="I375" s="11">
        <v>480306</v>
      </c>
      <c r="J375" s="8" t="s">
        <v>783</v>
      </c>
      <c r="K375" s="8" t="s">
        <v>784</v>
      </c>
      <c r="L375" s="7">
        <v>2016</v>
      </c>
      <c r="M375" s="8" t="s">
        <v>787</v>
      </c>
      <c r="N375" s="11">
        <v>736306</v>
      </c>
      <c r="O375" s="8" t="s">
        <v>788</v>
      </c>
      <c r="P375" s="8" t="s">
        <v>789</v>
      </c>
      <c r="Q375" s="8"/>
      <c r="R375" s="8" t="s">
        <v>3580</v>
      </c>
    </row>
    <row r="376" spans="1:18" ht="26.15" customHeight="1">
      <c r="A376" s="7">
        <v>370</v>
      </c>
      <c r="B376" s="8" t="s">
        <v>480</v>
      </c>
      <c r="C376" s="8" t="s">
        <v>3114</v>
      </c>
      <c r="D376" s="8" t="s">
        <v>3426</v>
      </c>
      <c r="E376" s="8" t="s">
        <v>3116</v>
      </c>
      <c r="F376" s="9" t="s">
        <v>3123</v>
      </c>
      <c r="G376" s="10">
        <v>43739</v>
      </c>
      <c r="H376" s="8" t="s">
        <v>34</v>
      </c>
      <c r="I376" s="11">
        <v>150000</v>
      </c>
      <c r="J376" s="8" t="s">
        <v>790</v>
      </c>
      <c r="K376" s="8" t="s">
        <v>791</v>
      </c>
      <c r="L376" s="7">
        <v>2016</v>
      </c>
      <c r="M376" s="8" t="s">
        <v>792</v>
      </c>
      <c r="N376" s="11">
        <v>150000</v>
      </c>
      <c r="O376" s="8" t="s">
        <v>793</v>
      </c>
      <c r="P376" s="8" t="s">
        <v>794</v>
      </c>
      <c r="Q376" s="8"/>
      <c r="R376" s="8" t="s">
        <v>3427</v>
      </c>
    </row>
    <row r="377" spans="1:18" ht="26.15" customHeight="1">
      <c r="A377" s="7">
        <v>371</v>
      </c>
      <c r="B377" s="8" t="s">
        <v>798</v>
      </c>
      <c r="C377" s="8" t="s">
        <v>3114</v>
      </c>
      <c r="D377" s="8" t="s">
        <v>3581</v>
      </c>
      <c r="E377" s="8" t="s">
        <v>3116</v>
      </c>
      <c r="F377" s="9" t="s">
        <v>3117</v>
      </c>
      <c r="G377" s="10">
        <v>43739</v>
      </c>
      <c r="H377" s="8" t="s">
        <v>34</v>
      </c>
      <c r="I377" s="11" t="s">
        <v>50</v>
      </c>
      <c r="J377" s="8" t="s">
        <v>795</v>
      </c>
      <c r="K377" s="8" t="s">
        <v>796</v>
      </c>
      <c r="L377" s="7">
        <v>2018</v>
      </c>
      <c r="M377" s="8" t="s">
        <v>128</v>
      </c>
      <c r="N377" s="11"/>
      <c r="O377" s="8" t="s">
        <v>799</v>
      </c>
      <c r="P377" s="8" t="s">
        <v>800</v>
      </c>
      <c r="Q377" s="8"/>
      <c r="R377" s="8" t="s">
        <v>3582</v>
      </c>
    </row>
    <row r="378" spans="1:18" ht="26.15" customHeight="1">
      <c r="A378" s="7">
        <v>372</v>
      </c>
      <c r="B378" s="8" t="s">
        <v>3583</v>
      </c>
      <c r="C378" s="8" t="s">
        <v>3114</v>
      </c>
      <c r="D378" s="8" t="s">
        <v>3584</v>
      </c>
      <c r="E378" s="8" t="s">
        <v>3116</v>
      </c>
      <c r="F378" s="9" t="s">
        <v>3123</v>
      </c>
      <c r="G378" s="10">
        <v>43739</v>
      </c>
      <c r="H378" s="8" t="s">
        <v>184</v>
      </c>
      <c r="I378" s="11">
        <v>20000</v>
      </c>
      <c r="J378" s="8" t="s">
        <v>801</v>
      </c>
      <c r="K378" s="8" t="s">
        <v>802</v>
      </c>
      <c r="L378" s="7">
        <v>2016</v>
      </c>
      <c r="M378" s="8" t="s">
        <v>804</v>
      </c>
      <c r="N378" s="11"/>
      <c r="O378" s="8" t="s">
        <v>805</v>
      </c>
      <c r="P378" s="8" t="s">
        <v>806</v>
      </c>
      <c r="Q378" s="8"/>
      <c r="R378" s="8" t="s">
        <v>3357</v>
      </c>
    </row>
    <row r="379" spans="1:18" ht="26.15" customHeight="1">
      <c r="A379" s="7">
        <v>373</v>
      </c>
      <c r="B379" s="8" t="s">
        <v>644</v>
      </c>
      <c r="C379" s="8" t="s">
        <v>3114</v>
      </c>
      <c r="D379" s="8" t="s">
        <v>3162</v>
      </c>
      <c r="E379" s="8" t="s">
        <v>3116</v>
      </c>
      <c r="F379" s="9" t="s">
        <v>3117</v>
      </c>
      <c r="G379" s="10">
        <v>43733</v>
      </c>
      <c r="H379" s="8" t="s">
        <v>34</v>
      </c>
      <c r="I379" s="11">
        <v>1100000</v>
      </c>
      <c r="J379" s="8" t="s">
        <v>807</v>
      </c>
      <c r="K379" s="8" t="s">
        <v>808</v>
      </c>
      <c r="L379" s="7">
        <v>2017</v>
      </c>
      <c r="M379" s="8" t="s">
        <v>188</v>
      </c>
      <c r="N379" s="11">
        <v>1127847</v>
      </c>
      <c r="O379" s="8" t="s">
        <v>810</v>
      </c>
      <c r="P379" s="8" t="s">
        <v>811</v>
      </c>
      <c r="Q379" s="8"/>
      <c r="R379" s="8" t="s">
        <v>313</v>
      </c>
    </row>
    <row r="380" spans="1:18" ht="26.15" customHeight="1">
      <c r="A380" s="7">
        <v>374</v>
      </c>
      <c r="B380" s="8" t="s">
        <v>1469</v>
      </c>
      <c r="C380" s="8" t="s">
        <v>3139</v>
      </c>
      <c r="D380" s="8" t="s">
        <v>3585</v>
      </c>
      <c r="E380" s="8" t="s">
        <v>3116</v>
      </c>
      <c r="F380" s="9" t="s">
        <v>3123</v>
      </c>
      <c r="G380" s="10">
        <v>43733</v>
      </c>
      <c r="H380" s="8" t="s">
        <v>34</v>
      </c>
      <c r="I380" s="11">
        <v>1100000</v>
      </c>
      <c r="J380" s="8" t="s">
        <v>807</v>
      </c>
      <c r="K380" s="8" t="s">
        <v>808</v>
      </c>
      <c r="L380" s="7">
        <v>2017</v>
      </c>
      <c r="M380" s="8" t="s">
        <v>188</v>
      </c>
      <c r="N380" s="11">
        <v>1127847</v>
      </c>
      <c r="O380" s="8" t="s">
        <v>810</v>
      </c>
      <c r="P380" s="8" t="s">
        <v>811</v>
      </c>
      <c r="Q380" s="8"/>
      <c r="R380" s="8" t="s">
        <v>3586</v>
      </c>
    </row>
    <row r="381" spans="1:18" ht="26.15" customHeight="1">
      <c r="A381" s="7">
        <v>375</v>
      </c>
      <c r="B381" s="8" t="s">
        <v>813</v>
      </c>
      <c r="C381" s="8" t="s">
        <v>3139</v>
      </c>
      <c r="D381" s="8" t="s">
        <v>3587</v>
      </c>
      <c r="E381" s="8" t="s">
        <v>3116</v>
      </c>
      <c r="F381" s="9" t="s">
        <v>3117</v>
      </c>
      <c r="G381" s="10">
        <v>43732</v>
      </c>
      <c r="H381" s="8" t="s">
        <v>25</v>
      </c>
      <c r="I381" s="11">
        <v>5644440</v>
      </c>
      <c r="J381" s="8" t="s">
        <v>185</v>
      </c>
      <c r="K381" s="8" t="s">
        <v>186</v>
      </c>
      <c r="L381" s="7">
        <v>2015</v>
      </c>
      <c r="M381" s="8" t="s">
        <v>188</v>
      </c>
      <c r="N381" s="11">
        <v>65736870</v>
      </c>
      <c r="O381" s="8" t="s">
        <v>189</v>
      </c>
      <c r="P381" s="8" t="s">
        <v>190</v>
      </c>
      <c r="Q381" s="8"/>
      <c r="R381" s="8" t="s">
        <v>3145</v>
      </c>
    </row>
    <row r="382" spans="1:18" ht="26.15" customHeight="1">
      <c r="A382" s="7">
        <v>376</v>
      </c>
      <c r="B382" s="8" t="s">
        <v>3588</v>
      </c>
      <c r="C382" s="8" t="s">
        <v>3139</v>
      </c>
      <c r="D382" s="8" t="s">
        <v>3589</v>
      </c>
      <c r="E382" s="8" t="s">
        <v>3116</v>
      </c>
      <c r="F382" s="9" t="s">
        <v>3117</v>
      </c>
      <c r="G382" s="10">
        <v>43732</v>
      </c>
      <c r="H382" s="8" t="s">
        <v>109</v>
      </c>
      <c r="I382" s="11">
        <v>4000000</v>
      </c>
      <c r="J382" s="8" t="s">
        <v>814</v>
      </c>
      <c r="K382" s="8" t="s">
        <v>815</v>
      </c>
      <c r="L382" s="7">
        <v>2016</v>
      </c>
      <c r="M382" s="8" t="s">
        <v>173</v>
      </c>
      <c r="N382" s="11">
        <v>4000000</v>
      </c>
      <c r="O382" s="8" t="s">
        <v>818</v>
      </c>
      <c r="P382" s="8" t="s">
        <v>819</v>
      </c>
      <c r="Q382" s="8"/>
      <c r="R382" s="8" t="s">
        <v>3590</v>
      </c>
    </row>
    <row r="383" spans="1:18" ht="26.15" customHeight="1">
      <c r="A383" s="7">
        <v>377</v>
      </c>
      <c r="B383" s="8" t="s">
        <v>3345</v>
      </c>
      <c r="C383" s="8" t="s">
        <v>3139</v>
      </c>
      <c r="D383" s="8" t="s">
        <v>3345</v>
      </c>
      <c r="E383" s="8" t="s">
        <v>3116</v>
      </c>
      <c r="F383" s="9" t="s">
        <v>3117</v>
      </c>
      <c r="G383" s="10">
        <v>43732</v>
      </c>
      <c r="H383" s="8" t="s">
        <v>109</v>
      </c>
      <c r="I383" s="11">
        <v>4000000</v>
      </c>
      <c r="J383" s="8" t="s">
        <v>814</v>
      </c>
      <c r="K383" s="8" t="s">
        <v>815</v>
      </c>
      <c r="L383" s="7">
        <v>2016</v>
      </c>
      <c r="M383" s="8" t="s">
        <v>173</v>
      </c>
      <c r="N383" s="11">
        <v>4000000</v>
      </c>
      <c r="O383" s="8" t="s">
        <v>818</v>
      </c>
      <c r="P383" s="8" t="s">
        <v>819</v>
      </c>
      <c r="Q383" s="8"/>
      <c r="R383" s="8" t="s">
        <v>2057</v>
      </c>
    </row>
    <row r="384" spans="1:18" ht="26.15" customHeight="1">
      <c r="A384" s="7">
        <v>378</v>
      </c>
      <c r="B384" s="8" t="s">
        <v>822</v>
      </c>
      <c r="C384" s="8" t="s">
        <v>3127</v>
      </c>
      <c r="D384" s="8"/>
      <c r="E384" s="8" t="s">
        <v>3128</v>
      </c>
      <c r="F384" s="9" t="s">
        <v>3123</v>
      </c>
      <c r="G384" s="10">
        <v>43732</v>
      </c>
      <c r="H384" s="8" t="s">
        <v>34</v>
      </c>
      <c r="I384" s="11">
        <v>649111</v>
      </c>
      <c r="J384" s="8" t="s">
        <v>820</v>
      </c>
      <c r="K384" s="8" t="s">
        <v>821</v>
      </c>
      <c r="L384" s="7">
        <v>2016</v>
      </c>
      <c r="M384" s="8" t="s">
        <v>56</v>
      </c>
      <c r="N384" s="11">
        <v>663059</v>
      </c>
      <c r="O384" s="8" t="s">
        <v>823</v>
      </c>
      <c r="P384" s="8" t="s">
        <v>824</v>
      </c>
      <c r="Q384" s="8"/>
      <c r="R384" s="8"/>
    </row>
    <row r="385" spans="1:18" ht="26.15" customHeight="1">
      <c r="A385" s="7">
        <v>379</v>
      </c>
      <c r="B385" s="8" t="s">
        <v>832</v>
      </c>
      <c r="C385" s="8" t="s">
        <v>3114</v>
      </c>
      <c r="D385" s="8" t="s">
        <v>3591</v>
      </c>
      <c r="E385" s="8" t="s">
        <v>3116</v>
      </c>
      <c r="F385" s="9" t="s">
        <v>3117</v>
      </c>
      <c r="G385" s="10">
        <v>43728</v>
      </c>
      <c r="H385" s="8" t="s">
        <v>34</v>
      </c>
      <c r="I385" s="11">
        <v>1000000</v>
      </c>
      <c r="J385" s="8" t="s">
        <v>829</v>
      </c>
      <c r="K385" s="8" t="s">
        <v>830</v>
      </c>
      <c r="L385" s="7">
        <v>2015</v>
      </c>
      <c r="M385" s="8" t="s">
        <v>207</v>
      </c>
      <c r="N385" s="11">
        <v>1070000</v>
      </c>
      <c r="O385" s="8" t="s">
        <v>833</v>
      </c>
      <c r="P385" s="8" t="s">
        <v>834</v>
      </c>
      <c r="Q385" s="8"/>
      <c r="R385" s="8" t="s">
        <v>207</v>
      </c>
    </row>
    <row r="386" spans="1:18" ht="26.15" customHeight="1">
      <c r="A386" s="7">
        <v>380</v>
      </c>
      <c r="B386" s="8" t="s">
        <v>838</v>
      </c>
      <c r="C386" s="8" t="s">
        <v>3139</v>
      </c>
      <c r="D386" s="8" t="s">
        <v>3592</v>
      </c>
      <c r="E386" s="8" t="s">
        <v>3116</v>
      </c>
      <c r="F386" s="9" t="s">
        <v>3117</v>
      </c>
      <c r="G386" s="10">
        <v>43726</v>
      </c>
      <c r="H386" s="8" t="s">
        <v>34</v>
      </c>
      <c r="I386" s="11">
        <v>1073840</v>
      </c>
      <c r="J386" s="8" t="s">
        <v>835</v>
      </c>
      <c r="K386" s="8" t="s">
        <v>836</v>
      </c>
      <c r="L386" s="7">
        <v>2017</v>
      </c>
      <c r="M386" s="8" t="s">
        <v>188</v>
      </c>
      <c r="N386" s="11">
        <v>1101687</v>
      </c>
      <c r="O386" s="8" t="s">
        <v>839</v>
      </c>
      <c r="P386" s="8" t="s">
        <v>840</v>
      </c>
      <c r="Q386" s="8"/>
      <c r="R386" s="8" t="s">
        <v>3593</v>
      </c>
    </row>
    <row r="387" spans="1:18" ht="26.15" customHeight="1">
      <c r="A387" s="7">
        <v>381</v>
      </c>
      <c r="B387" s="8" t="s">
        <v>1469</v>
      </c>
      <c r="C387" s="8" t="s">
        <v>3139</v>
      </c>
      <c r="D387" s="8" t="s">
        <v>3585</v>
      </c>
      <c r="E387" s="8" t="s">
        <v>3116</v>
      </c>
      <c r="F387" s="9" t="s">
        <v>3123</v>
      </c>
      <c r="G387" s="10">
        <v>43726</v>
      </c>
      <c r="H387" s="8" t="s">
        <v>34</v>
      </c>
      <c r="I387" s="11">
        <v>1073840</v>
      </c>
      <c r="J387" s="8" t="s">
        <v>835</v>
      </c>
      <c r="K387" s="8" t="s">
        <v>836</v>
      </c>
      <c r="L387" s="7">
        <v>2017</v>
      </c>
      <c r="M387" s="8" t="s">
        <v>188</v>
      </c>
      <c r="N387" s="11">
        <v>1101687</v>
      </c>
      <c r="O387" s="8" t="s">
        <v>839</v>
      </c>
      <c r="P387" s="8" t="s">
        <v>840</v>
      </c>
      <c r="Q387" s="8"/>
      <c r="R387" s="8" t="s">
        <v>3586</v>
      </c>
    </row>
    <row r="388" spans="1:18" ht="26.15" customHeight="1">
      <c r="A388" s="7">
        <v>382</v>
      </c>
      <c r="B388" s="8" t="s">
        <v>2264</v>
      </c>
      <c r="C388" s="8" t="s">
        <v>3114</v>
      </c>
      <c r="D388" s="8" t="s">
        <v>3594</v>
      </c>
      <c r="E388" s="8" t="s">
        <v>3116</v>
      </c>
      <c r="F388" s="9" t="s">
        <v>3117</v>
      </c>
      <c r="G388" s="10">
        <v>43725</v>
      </c>
      <c r="H388" s="8" t="s">
        <v>34</v>
      </c>
      <c r="I388" s="11">
        <v>1750000</v>
      </c>
      <c r="J388" s="8" t="s">
        <v>452</v>
      </c>
      <c r="K388" s="8" t="s">
        <v>453</v>
      </c>
      <c r="L388" s="7">
        <v>2016</v>
      </c>
      <c r="M388" s="8" t="s">
        <v>455</v>
      </c>
      <c r="N388" s="11">
        <v>28150000</v>
      </c>
      <c r="O388" s="8" t="s">
        <v>456</v>
      </c>
      <c r="P388" s="8" t="s">
        <v>457</v>
      </c>
      <c r="Q388" s="8"/>
      <c r="R388" s="8" t="s">
        <v>455</v>
      </c>
    </row>
    <row r="389" spans="1:18" ht="26.15" customHeight="1">
      <c r="A389" s="7">
        <v>383</v>
      </c>
      <c r="B389" s="8" t="s">
        <v>3595</v>
      </c>
      <c r="C389" s="8" t="s">
        <v>3114</v>
      </c>
      <c r="D389" s="8" t="s">
        <v>3596</v>
      </c>
      <c r="E389" s="8" t="s">
        <v>3116</v>
      </c>
      <c r="F389" s="9" t="s">
        <v>3117</v>
      </c>
      <c r="G389" s="10">
        <v>43725</v>
      </c>
      <c r="H389" s="8" t="s">
        <v>34</v>
      </c>
      <c r="I389" s="11">
        <v>1750000</v>
      </c>
      <c r="J389" s="8" t="s">
        <v>452</v>
      </c>
      <c r="K389" s="8" t="s">
        <v>453</v>
      </c>
      <c r="L389" s="7">
        <v>2016</v>
      </c>
      <c r="M389" s="8" t="s">
        <v>455</v>
      </c>
      <c r="N389" s="11">
        <v>28150000</v>
      </c>
      <c r="O389" s="8" t="s">
        <v>456</v>
      </c>
      <c r="P389" s="8" t="s">
        <v>457</v>
      </c>
      <c r="Q389" s="8"/>
      <c r="R389" s="8" t="s">
        <v>3597</v>
      </c>
    </row>
    <row r="390" spans="1:18" ht="26.15" customHeight="1">
      <c r="A390" s="7">
        <v>384</v>
      </c>
      <c r="B390" s="8" t="s">
        <v>1609</v>
      </c>
      <c r="C390" s="8" t="s">
        <v>3114</v>
      </c>
      <c r="D390" s="8" t="s">
        <v>3544</v>
      </c>
      <c r="E390" s="8" t="s">
        <v>3116</v>
      </c>
      <c r="F390" s="9" t="s">
        <v>3123</v>
      </c>
      <c r="G390" s="10">
        <v>43720</v>
      </c>
      <c r="H390" s="8" t="s">
        <v>184</v>
      </c>
      <c r="I390" s="11">
        <v>14087</v>
      </c>
      <c r="J390" s="8" t="s">
        <v>243</v>
      </c>
      <c r="K390" s="8" t="s">
        <v>244</v>
      </c>
      <c r="L390" s="7">
        <v>2018</v>
      </c>
      <c r="M390" s="8" t="s">
        <v>248</v>
      </c>
      <c r="N390" s="11">
        <v>10000000</v>
      </c>
      <c r="O390" s="8" t="s">
        <v>249</v>
      </c>
      <c r="P390" s="8" t="s">
        <v>250</v>
      </c>
      <c r="Q390" s="8"/>
      <c r="R390" s="8" t="s">
        <v>3166</v>
      </c>
    </row>
    <row r="391" spans="1:18" ht="26.15" customHeight="1">
      <c r="A391" s="7">
        <v>385</v>
      </c>
      <c r="B391" s="8" t="s">
        <v>727</v>
      </c>
      <c r="C391" s="8" t="s">
        <v>3114</v>
      </c>
      <c r="D391" s="8" t="s">
        <v>3568</v>
      </c>
      <c r="E391" s="8" t="s">
        <v>3116</v>
      </c>
      <c r="F391" s="9" t="s">
        <v>3117</v>
      </c>
      <c r="G391" s="10">
        <v>43718</v>
      </c>
      <c r="H391" s="8" t="s">
        <v>34</v>
      </c>
      <c r="I391" s="11" t="s">
        <v>50</v>
      </c>
      <c r="J391" s="8" t="s">
        <v>843</v>
      </c>
      <c r="K391" s="8" t="s">
        <v>844</v>
      </c>
      <c r="L391" s="7">
        <v>2015</v>
      </c>
      <c r="M391" s="8" t="s">
        <v>846</v>
      </c>
      <c r="N391" s="11"/>
      <c r="O391" s="8" t="s">
        <v>847</v>
      </c>
      <c r="P391" s="8" t="s">
        <v>848</v>
      </c>
      <c r="Q391" s="8"/>
      <c r="R391" s="8" t="s">
        <v>3138</v>
      </c>
    </row>
    <row r="392" spans="1:18" ht="26.15" customHeight="1">
      <c r="A392" s="7">
        <v>386</v>
      </c>
      <c r="B392" s="8" t="s">
        <v>3598</v>
      </c>
      <c r="C392" s="8" t="s">
        <v>3139</v>
      </c>
      <c r="D392" s="8" t="s">
        <v>3599</v>
      </c>
      <c r="E392" s="8" t="s">
        <v>3116</v>
      </c>
      <c r="F392" s="9" t="s">
        <v>3123</v>
      </c>
      <c r="G392" s="10">
        <v>43718</v>
      </c>
      <c r="H392" s="8" t="s">
        <v>34</v>
      </c>
      <c r="I392" s="11" t="s">
        <v>50</v>
      </c>
      <c r="J392" s="8" t="s">
        <v>843</v>
      </c>
      <c r="K392" s="8" t="s">
        <v>844</v>
      </c>
      <c r="L392" s="7">
        <v>2015</v>
      </c>
      <c r="M392" s="8" t="s">
        <v>846</v>
      </c>
      <c r="N392" s="11"/>
      <c r="O392" s="8" t="s">
        <v>847</v>
      </c>
      <c r="P392" s="8" t="s">
        <v>848</v>
      </c>
      <c r="Q392" s="8"/>
      <c r="R392" s="8"/>
    </row>
    <row r="393" spans="1:18" ht="26.15" customHeight="1">
      <c r="A393" s="7">
        <v>387</v>
      </c>
      <c r="B393" s="8" t="s">
        <v>1469</v>
      </c>
      <c r="C393" s="8" t="s">
        <v>3139</v>
      </c>
      <c r="D393" s="8" t="s">
        <v>3585</v>
      </c>
      <c r="E393" s="8" t="s">
        <v>3116</v>
      </c>
      <c r="F393" s="9" t="s">
        <v>3123</v>
      </c>
      <c r="G393" s="10">
        <v>43718</v>
      </c>
      <c r="H393" s="8" t="s">
        <v>34</v>
      </c>
      <c r="I393" s="11" t="s">
        <v>50</v>
      </c>
      <c r="J393" s="8" t="s">
        <v>843</v>
      </c>
      <c r="K393" s="8" t="s">
        <v>844</v>
      </c>
      <c r="L393" s="7">
        <v>2015</v>
      </c>
      <c r="M393" s="8" t="s">
        <v>846</v>
      </c>
      <c r="N393" s="11"/>
      <c r="O393" s="8" t="s">
        <v>847</v>
      </c>
      <c r="P393" s="8" t="s">
        <v>848</v>
      </c>
      <c r="Q393" s="8"/>
      <c r="R393" s="8" t="s">
        <v>3586</v>
      </c>
    </row>
    <row r="394" spans="1:18" ht="26.15" customHeight="1">
      <c r="A394" s="7">
        <v>388</v>
      </c>
      <c r="B394" s="8" t="s">
        <v>852</v>
      </c>
      <c r="C394" s="8" t="s">
        <v>3114</v>
      </c>
      <c r="D394" s="8" t="s">
        <v>3600</v>
      </c>
      <c r="E394" s="8" t="s">
        <v>3116</v>
      </c>
      <c r="F394" s="9" t="s">
        <v>3117</v>
      </c>
      <c r="G394" s="10">
        <v>43713</v>
      </c>
      <c r="H394" s="8" t="s">
        <v>109</v>
      </c>
      <c r="I394" s="11">
        <v>12000000</v>
      </c>
      <c r="J394" s="8" t="s">
        <v>849</v>
      </c>
      <c r="K394" s="8" t="s">
        <v>850</v>
      </c>
      <c r="L394" s="7">
        <v>2013</v>
      </c>
      <c r="M394" s="8" t="s">
        <v>853</v>
      </c>
      <c r="N394" s="11">
        <v>18000000</v>
      </c>
      <c r="O394" s="8" t="s">
        <v>854</v>
      </c>
      <c r="P394" s="8" t="s">
        <v>855</v>
      </c>
      <c r="Q394" s="8"/>
      <c r="R394" s="8" t="s">
        <v>3470</v>
      </c>
    </row>
    <row r="395" spans="1:18" ht="26.15" customHeight="1">
      <c r="A395" s="7">
        <v>389</v>
      </c>
      <c r="B395" s="8" t="s">
        <v>3601</v>
      </c>
      <c r="C395" s="8" t="s">
        <v>3114</v>
      </c>
      <c r="D395" s="8" t="s">
        <v>3602</v>
      </c>
      <c r="E395" s="8" t="s">
        <v>3116</v>
      </c>
      <c r="F395" s="9" t="s">
        <v>3123</v>
      </c>
      <c r="G395" s="10">
        <v>43713</v>
      </c>
      <c r="H395" s="8" t="s">
        <v>109</v>
      </c>
      <c r="I395" s="11">
        <v>12000000</v>
      </c>
      <c r="J395" s="8" t="s">
        <v>849</v>
      </c>
      <c r="K395" s="8" t="s">
        <v>850</v>
      </c>
      <c r="L395" s="7">
        <v>2013</v>
      </c>
      <c r="M395" s="8" t="s">
        <v>853</v>
      </c>
      <c r="N395" s="11">
        <v>18000000</v>
      </c>
      <c r="O395" s="8" t="s">
        <v>854</v>
      </c>
      <c r="P395" s="8" t="s">
        <v>855</v>
      </c>
      <c r="Q395" s="8"/>
      <c r="R395" s="8" t="s">
        <v>3138</v>
      </c>
    </row>
    <row r="396" spans="1:18" ht="26.15" customHeight="1">
      <c r="A396" s="7">
        <v>390</v>
      </c>
      <c r="B396" s="8" t="s">
        <v>3218</v>
      </c>
      <c r="C396" s="8" t="s">
        <v>3114</v>
      </c>
      <c r="D396" s="8" t="s">
        <v>3219</v>
      </c>
      <c r="E396" s="8" t="s">
        <v>3116</v>
      </c>
      <c r="F396" s="9" t="s">
        <v>3123</v>
      </c>
      <c r="G396" s="10">
        <v>43713</v>
      </c>
      <c r="H396" s="8" t="s">
        <v>109</v>
      </c>
      <c r="I396" s="11">
        <v>12000000</v>
      </c>
      <c r="J396" s="8" t="s">
        <v>849</v>
      </c>
      <c r="K396" s="8" t="s">
        <v>850</v>
      </c>
      <c r="L396" s="7">
        <v>2013</v>
      </c>
      <c r="M396" s="8" t="s">
        <v>853</v>
      </c>
      <c r="N396" s="11">
        <v>18000000</v>
      </c>
      <c r="O396" s="8" t="s">
        <v>854</v>
      </c>
      <c r="P396" s="8" t="s">
        <v>855</v>
      </c>
      <c r="Q396" s="8"/>
      <c r="R396" s="8" t="s">
        <v>3220</v>
      </c>
    </row>
    <row r="397" spans="1:18" ht="26.15" customHeight="1">
      <c r="A397" s="7">
        <v>391</v>
      </c>
      <c r="B397" s="8" t="s">
        <v>3603</v>
      </c>
      <c r="C397" s="8" t="s">
        <v>3114</v>
      </c>
      <c r="D397" s="8" t="s">
        <v>3604</v>
      </c>
      <c r="E397" s="8" t="s">
        <v>3116</v>
      </c>
      <c r="F397" s="9" t="s">
        <v>3123</v>
      </c>
      <c r="G397" s="10">
        <v>43713</v>
      </c>
      <c r="H397" s="8" t="s">
        <v>109</v>
      </c>
      <c r="I397" s="11">
        <v>12000000</v>
      </c>
      <c r="J397" s="8" t="s">
        <v>849</v>
      </c>
      <c r="K397" s="8" t="s">
        <v>850</v>
      </c>
      <c r="L397" s="7">
        <v>2013</v>
      </c>
      <c r="M397" s="8" t="s">
        <v>853</v>
      </c>
      <c r="N397" s="11">
        <v>18000000</v>
      </c>
      <c r="O397" s="8" t="s">
        <v>854</v>
      </c>
      <c r="P397" s="8" t="s">
        <v>855</v>
      </c>
      <c r="Q397" s="8"/>
      <c r="R397" s="8" t="s">
        <v>3605</v>
      </c>
    </row>
    <row r="398" spans="1:18" ht="26.15" customHeight="1">
      <c r="A398" s="7">
        <v>392</v>
      </c>
      <c r="B398" s="8" t="s">
        <v>3606</v>
      </c>
      <c r="C398" s="8" t="s">
        <v>3114</v>
      </c>
      <c r="D398" s="8" t="s">
        <v>3607</v>
      </c>
      <c r="E398" s="8" t="s">
        <v>3116</v>
      </c>
      <c r="F398" s="9" t="s">
        <v>3123</v>
      </c>
      <c r="G398" s="10">
        <v>43713</v>
      </c>
      <c r="H398" s="8" t="s">
        <v>109</v>
      </c>
      <c r="I398" s="11">
        <v>12000000</v>
      </c>
      <c r="J398" s="8" t="s">
        <v>849</v>
      </c>
      <c r="K398" s="8" t="s">
        <v>850</v>
      </c>
      <c r="L398" s="7">
        <v>2013</v>
      </c>
      <c r="M398" s="8" t="s">
        <v>853</v>
      </c>
      <c r="N398" s="11">
        <v>18000000</v>
      </c>
      <c r="O398" s="8" t="s">
        <v>854</v>
      </c>
      <c r="P398" s="8" t="s">
        <v>855</v>
      </c>
      <c r="Q398" s="8"/>
      <c r="R398" s="8" t="s">
        <v>3608</v>
      </c>
    </row>
    <row r="399" spans="1:18" ht="26.15" customHeight="1">
      <c r="A399" s="7">
        <v>393</v>
      </c>
      <c r="B399" s="8" t="s">
        <v>3609</v>
      </c>
      <c r="C399" s="8" t="s">
        <v>3114</v>
      </c>
      <c r="D399" s="8" t="s">
        <v>3610</v>
      </c>
      <c r="E399" s="8" t="s">
        <v>3116</v>
      </c>
      <c r="F399" s="9" t="s">
        <v>3123</v>
      </c>
      <c r="G399" s="10">
        <v>43713</v>
      </c>
      <c r="H399" s="8" t="s">
        <v>109</v>
      </c>
      <c r="I399" s="11">
        <v>12000000</v>
      </c>
      <c r="J399" s="8" t="s">
        <v>849</v>
      </c>
      <c r="K399" s="8" t="s">
        <v>850</v>
      </c>
      <c r="L399" s="7">
        <v>2013</v>
      </c>
      <c r="M399" s="8" t="s">
        <v>853</v>
      </c>
      <c r="N399" s="11">
        <v>18000000</v>
      </c>
      <c r="O399" s="8" t="s">
        <v>854</v>
      </c>
      <c r="P399" s="8" t="s">
        <v>855</v>
      </c>
      <c r="Q399" s="8"/>
      <c r="R399" s="8" t="s">
        <v>1103</v>
      </c>
    </row>
    <row r="400" spans="1:18" ht="26.15" customHeight="1">
      <c r="A400" s="7">
        <v>394</v>
      </c>
      <c r="B400" s="8" t="s">
        <v>492</v>
      </c>
      <c r="C400" s="8" t="s">
        <v>3114</v>
      </c>
      <c r="D400" s="8" t="s">
        <v>3144</v>
      </c>
      <c r="E400" s="8" t="s">
        <v>3116</v>
      </c>
      <c r="F400" s="9" t="s">
        <v>3123</v>
      </c>
      <c r="G400" s="10">
        <v>43713</v>
      </c>
      <c r="H400" s="8" t="s">
        <v>109</v>
      </c>
      <c r="I400" s="11">
        <v>12000000</v>
      </c>
      <c r="J400" s="8" t="s">
        <v>849</v>
      </c>
      <c r="K400" s="8" t="s">
        <v>850</v>
      </c>
      <c r="L400" s="7">
        <v>2013</v>
      </c>
      <c r="M400" s="8" t="s">
        <v>853</v>
      </c>
      <c r="N400" s="11">
        <v>18000000</v>
      </c>
      <c r="O400" s="8" t="s">
        <v>854</v>
      </c>
      <c r="P400" s="8" t="s">
        <v>855</v>
      </c>
      <c r="Q400" s="8"/>
      <c r="R400" s="8" t="s">
        <v>3145</v>
      </c>
    </row>
    <row r="401" spans="1:18" ht="26.15" customHeight="1">
      <c r="A401" s="7">
        <v>395</v>
      </c>
      <c r="B401" s="8" t="s">
        <v>3611</v>
      </c>
      <c r="C401" s="8" t="s">
        <v>3114</v>
      </c>
      <c r="D401" s="8" t="s">
        <v>3612</v>
      </c>
      <c r="E401" s="8" t="s">
        <v>3116</v>
      </c>
      <c r="F401" s="9" t="s">
        <v>3117</v>
      </c>
      <c r="G401" s="10">
        <v>43712</v>
      </c>
      <c r="H401" s="8" t="s">
        <v>109</v>
      </c>
      <c r="I401" s="11">
        <v>5800000</v>
      </c>
      <c r="J401" s="8" t="s">
        <v>856</v>
      </c>
      <c r="K401" s="8" t="s">
        <v>857</v>
      </c>
      <c r="L401" s="7">
        <v>2014</v>
      </c>
      <c r="M401" s="8" t="s">
        <v>860</v>
      </c>
      <c r="N401" s="11">
        <v>7000000</v>
      </c>
      <c r="O401" s="8" t="s">
        <v>861</v>
      </c>
      <c r="P401" s="8" t="s">
        <v>862</v>
      </c>
      <c r="Q401" s="8"/>
      <c r="R401" s="8" t="s">
        <v>3613</v>
      </c>
    </row>
    <row r="402" spans="1:18" ht="26.15" customHeight="1">
      <c r="A402" s="7">
        <v>396</v>
      </c>
      <c r="B402" s="8" t="s">
        <v>3614</v>
      </c>
      <c r="C402" s="8" t="s">
        <v>3139</v>
      </c>
      <c r="D402" s="8" t="s">
        <v>3615</v>
      </c>
      <c r="E402" s="8" t="s">
        <v>3116</v>
      </c>
      <c r="F402" s="9" t="s">
        <v>3117</v>
      </c>
      <c r="G402" s="10">
        <v>43712</v>
      </c>
      <c r="H402" s="8" t="s">
        <v>109</v>
      </c>
      <c r="I402" s="11">
        <v>5800000</v>
      </c>
      <c r="J402" s="8" t="s">
        <v>856</v>
      </c>
      <c r="K402" s="8" t="s">
        <v>857</v>
      </c>
      <c r="L402" s="7">
        <v>2014</v>
      </c>
      <c r="M402" s="8" t="s">
        <v>860</v>
      </c>
      <c r="N402" s="11">
        <v>7000000</v>
      </c>
      <c r="O402" s="8" t="s">
        <v>861</v>
      </c>
      <c r="P402" s="8" t="s">
        <v>862</v>
      </c>
      <c r="Q402" s="8"/>
      <c r="R402" s="8" t="s">
        <v>3616</v>
      </c>
    </row>
    <row r="403" spans="1:18" ht="26.15" customHeight="1">
      <c r="A403" s="7">
        <v>397</v>
      </c>
      <c r="B403" s="8" t="s">
        <v>3617</v>
      </c>
      <c r="C403" s="8" t="s">
        <v>3114</v>
      </c>
      <c r="D403" s="8" t="s">
        <v>3618</v>
      </c>
      <c r="E403" s="8" t="s">
        <v>3116</v>
      </c>
      <c r="F403" s="9" t="s">
        <v>3123</v>
      </c>
      <c r="G403" s="10">
        <v>43712</v>
      </c>
      <c r="H403" s="8" t="s">
        <v>289</v>
      </c>
      <c r="I403" s="11">
        <v>131755</v>
      </c>
      <c r="J403" s="8" t="s">
        <v>863</v>
      </c>
      <c r="K403" s="8" t="s">
        <v>864</v>
      </c>
      <c r="L403" s="7">
        <v>2015</v>
      </c>
      <c r="M403" s="8" t="s">
        <v>866</v>
      </c>
      <c r="N403" s="11"/>
      <c r="O403" s="8" t="s">
        <v>867</v>
      </c>
      <c r="P403" s="8" t="s">
        <v>868</v>
      </c>
      <c r="Q403" s="8"/>
      <c r="R403" s="8" t="s">
        <v>866</v>
      </c>
    </row>
    <row r="404" spans="1:18" ht="26.15" customHeight="1">
      <c r="A404" s="7">
        <v>398</v>
      </c>
      <c r="B404" s="8" t="s">
        <v>870</v>
      </c>
      <c r="C404" s="8" t="s">
        <v>3139</v>
      </c>
      <c r="D404" s="8" t="s">
        <v>3619</v>
      </c>
      <c r="E404" s="8" t="s">
        <v>3116</v>
      </c>
      <c r="F404" s="9" t="s">
        <v>3117</v>
      </c>
      <c r="G404" s="10">
        <v>43708</v>
      </c>
      <c r="H404" s="8" t="s">
        <v>34</v>
      </c>
      <c r="I404" s="11">
        <v>13948</v>
      </c>
      <c r="J404" s="8" t="s">
        <v>820</v>
      </c>
      <c r="K404" s="8" t="s">
        <v>821</v>
      </c>
      <c r="L404" s="7">
        <v>2016</v>
      </c>
      <c r="M404" s="8" t="s">
        <v>56</v>
      </c>
      <c r="N404" s="11">
        <v>663059</v>
      </c>
      <c r="O404" s="8" t="s">
        <v>823</v>
      </c>
      <c r="P404" s="8" t="s">
        <v>824</v>
      </c>
      <c r="Q404" s="8"/>
      <c r="R404" s="8" t="s">
        <v>56</v>
      </c>
    </row>
    <row r="405" spans="1:18" ht="26.15" customHeight="1">
      <c r="A405" s="7">
        <v>399</v>
      </c>
      <c r="B405" s="8" t="s">
        <v>3620</v>
      </c>
      <c r="C405" s="8" t="s">
        <v>3114</v>
      </c>
      <c r="D405" s="8" t="s">
        <v>3621</v>
      </c>
      <c r="E405" s="8" t="s">
        <v>3116</v>
      </c>
      <c r="F405" s="9" t="s">
        <v>3117</v>
      </c>
      <c r="G405" s="10">
        <v>43707</v>
      </c>
      <c r="H405" s="8" t="s">
        <v>109</v>
      </c>
      <c r="I405" s="11" t="s">
        <v>50</v>
      </c>
      <c r="J405" s="8" t="s">
        <v>871</v>
      </c>
      <c r="K405" s="8" t="s">
        <v>872</v>
      </c>
      <c r="L405" s="7">
        <v>2013</v>
      </c>
      <c r="M405" s="8" t="s">
        <v>875</v>
      </c>
      <c r="N405" s="11"/>
      <c r="O405" s="8" t="s">
        <v>876</v>
      </c>
      <c r="P405" s="8" t="s">
        <v>877</v>
      </c>
      <c r="Q405" s="8"/>
      <c r="R405" s="8" t="s">
        <v>894</v>
      </c>
    </row>
    <row r="406" spans="1:18" ht="26.15" customHeight="1">
      <c r="A406" s="7">
        <v>400</v>
      </c>
      <c r="B406" s="8" t="s">
        <v>3622</v>
      </c>
      <c r="C406" s="8" t="s">
        <v>3139</v>
      </c>
      <c r="D406" s="8" t="s">
        <v>3623</v>
      </c>
      <c r="E406" s="8" t="s">
        <v>3116</v>
      </c>
      <c r="F406" s="9" t="s">
        <v>3117</v>
      </c>
      <c r="G406" s="10">
        <v>43707</v>
      </c>
      <c r="H406" s="8" t="s">
        <v>109</v>
      </c>
      <c r="I406" s="11" t="s">
        <v>50</v>
      </c>
      <c r="J406" s="8" t="s">
        <v>871</v>
      </c>
      <c r="K406" s="8" t="s">
        <v>872</v>
      </c>
      <c r="L406" s="7">
        <v>2013</v>
      </c>
      <c r="M406" s="8" t="s">
        <v>875</v>
      </c>
      <c r="N406" s="11"/>
      <c r="O406" s="8" t="s">
        <v>876</v>
      </c>
      <c r="P406" s="8" t="s">
        <v>877</v>
      </c>
      <c r="Q406" s="8"/>
      <c r="R406" s="8"/>
    </row>
    <row r="407" spans="1:18" ht="26.15" customHeight="1">
      <c r="A407" s="7">
        <v>401</v>
      </c>
      <c r="B407" s="8" t="s">
        <v>882</v>
      </c>
      <c r="C407" s="8" t="s">
        <v>3114</v>
      </c>
      <c r="D407" s="8" t="s">
        <v>3624</v>
      </c>
      <c r="E407" s="8" t="s">
        <v>3116</v>
      </c>
      <c r="F407" s="9" t="s">
        <v>3117</v>
      </c>
      <c r="G407" s="10">
        <v>43701</v>
      </c>
      <c r="H407" s="8" t="s">
        <v>109</v>
      </c>
      <c r="I407" s="11">
        <v>2226700</v>
      </c>
      <c r="J407" s="8" t="s">
        <v>878</v>
      </c>
      <c r="K407" s="8" t="s">
        <v>879</v>
      </c>
      <c r="L407" s="7">
        <v>2015</v>
      </c>
      <c r="M407" s="8" t="s">
        <v>56</v>
      </c>
      <c r="N407" s="11">
        <v>9059375</v>
      </c>
      <c r="O407" s="8" t="s">
        <v>883</v>
      </c>
      <c r="P407" s="8" t="s">
        <v>884</v>
      </c>
      <c r="Q407" s="8"/>
      <c r="R407" s="8" t="s">
        <v>313</v>
      </c>
    </row>
    <row r="408" spans="1:18" ht="26.15" customHeight="1">
      <c r="A408" s="7">
        <v>402</v>
      </c>
      <c r="B408" s="8" t="s">
        <v>881</v>
      </c>
      <c r="C408" s="8" t="s">
        <v>3127</v>
      </c>
      <c r="D408" s="8"/>
      <c r="E408" s="8" t="s">
        <v>3128</v>
      </c>
      <c r="F408" s="9" t="s">
        <v>3123</v>
      </c>
      <c r="G408" s="10">
        <v>43701</v>
      </c>
      <c r="H408" s="8" t="s">
        <v>109</v>
      </c>
      <c r="I408" s="11">
        <v>2226700</v>
      </c>
      <c r="J408" s="8" t="s">
        <v>878</v>
      </c>
      <c r="K408" s="8" t="s">
        <v>879</v>
      </c>
      <c r="L408" s="7">
        <v>2015</v>
      </c>
      <c r="M408" s="8" t="s">
        <v>56</v>
      </c>
      <c r="N408" s="11">
        <v>9059375</v>
      </c>
      <c r="O408" s="8" t="s">
        <v>883</v>
      </c>
      <c r="P408" s="8" t="s">
        <v>884</v>
      </c>
      <c r="Q408" s="8"/>
      <c r="R408" s="8"/>
    </row>
    <row r="409" spans="1:18" ht="26.15" customHeight="1">
      <c r="A409" s="7">
        <v>403</v>
      </c>
      <c r="B409" s="8" t="s">
        <v>3625</v>
      </c>
      <c r="C409" s="8" t="s">
        <v>3139</v>
      </c>
      <c r="D409" s="8" t="s">
        <v>3626</v>
      </c>
      <c r="E409" s="8" t="s">
        <v>3116</v>
      </c>
      <c r="F409" s="9" t="s">
        <v>3117</v>
      </c>
      <c r="G409" s="10">
        <v>43698</v>
      </c>
      <c r="H409" s="8" t="s">
        <v>109</v>
      </c>
      <c r="I409" s="11">
        <v>10000000</v>
      </c>
      <c r="J409" s="8" t="s">
        <v>885</v>
      </c>
      <c r="K409" s="8" t="s">
        <v>886</v>
      </c>
      <c r="L409" s="7">
        <v>2013</v>
      </c>
      <c r="M409" s="8" t="s">
        <v>369</v>
      </c>
      <c r="N409" s="11">
        <v>30000000</v>
      </c>
      <c r="O409" s="8" t="s">
        <v>889</v>
      </c>
      <c r="P409" s="8" t="s">
        <v>890</v>
      </c>
      <c r="Q409" s="8"/>
      <c r="R409" s="8" t="s">
        <v>3145</v>
      </c>
    </row>
    <row r="410" spans="1:18" ht="26.15" customHeight="1">
      <c r="A410" s="7">
        <v>404</v>
      </c>
      <c r="B410" s="8" t="s">
        <v>3627</v>
      </c>
      <c r="C410" s="8" t="s">
        <v>3114</v>
      </c>
      <c r="D410" s="8" t="s">
        <v>3628</v>
      </c>
      <c r="E410" s="8" t="s">
        <v>3116</v>
      </c>
      <c r="F410" s="9" t="s">
        <v>3117</v>
      </c>
      <c r="G410" s="10">
        <v>43698</v>
      </c>
      <c r="H410" s="8" t="s">
        <v>109</v>
      </c>
      <c r="I410" s="11">
        <v>10000000</v>
      </c>
      <c r="J410" s="8" t="s">
        <v>885</v>
      </c>
      <c r="K410" s="8" t="s">
        <v>886</v>
      </c>
      <c r="L410" s="7">
        <v>2013</v>
      </c>
      <c r="M410" s="8" t="s">
        <v>369</v>
      </c>
      <c r="N410" s="11">
        <v>30000000</v>
      </c>
      <c r="O410" s="8" t="s">
        <v>889</v>
      </c>
      <c r="P410" s="8" t="s">
        <v>890</v>
      </c>
      <c r="Q410" s="8"/>
      <c r="R410" s="8" t="s">
        <v>3629</v>
      </c>
    </row>
    <row r="411" spans="1:18" ht="26.15" customHeight="1">
      <c r="A411" s="7">
        <v>405</v>
      </c>
      <c r="B411" s="8" t="s">
        <v>3212</v>
      </c>
      <c r="C411" s="8" t="s">
        <v>3114</v>
      </c>
      <c r="D411" s="8" t="s">
        <v>3213</v>
      </c>
      <c r="E411" s="8" t="s">
        <v>3116</v>
      </c>
      <c r="F411" s="9" t="s">
        <v>3123</v>
      </c>
      <c r="G411" s="10">
        <v>43698</v>
      </c>
      <c r="H411" s="8" t="s">
        <v>109</v>
      </c>
      <c r="I411" s="11">
        <v>10000000</v>
      </c>
      <c r="J411" s="8" t="s">
        <v>885</v>
      </c>
      <c r="K411" s="8" t="s">
        <v>886</v>
      </c>
      <c r="L411" s="7">
        <v>2013</v>
      </c>
      <c r="M411" s="8" t="s">
        <v>369</v>
      </c>
      <c r="N411" s="11">
        <v>30000000</v>
      </c>
      <c r="O411" s="8" t="s">
        <v>889</v>
      </c>
      <c r="P411" s="8" t="s">
        <v>890</v>
      </c>
      <c r="Q411" s="8"/>
      <c r="R411" s="8" t="s">
        <v>3214</v>
      </c>
    </row>
    <row r="412" spans="1:18" ht="26.15" customHeight="1">
      <c r="A412" s="7">
        <v>406</v>
      </c>
      <c r="B412" s="8" t="s">
        <v>3606</v>
      </c>
      <c r="C412" s="8" t="s">
        <v>3114</v>
      </c>
      <c r="D412" s="8" t="s">
        <v>3607</v>
      </c>
      <c r="E412" s="8" t="s">
        <v>3116</v>
      </c>
      <c r="F412" s="9" t="s">
        <v>3123</v>
      </c>
      <c r="G412" s="10">
        <v>43698</v>
      </c>
      <c r="H412" s="8" t="s">
        <v>109</v>
      </c>
      <c r="I412" s="11">
        <v>10000000</v>
      </c>
      <c r="J412" s="8" t="s">
        <v>885</v>
      </c>
      <c r="K412" s="8" t="s">
        <v>886</v>
      </c>
      <c r="L412" s="7">
        <v>2013</v>
      </c>
      <c r="M412" s="8" t="s">
        <v>369</v>
      </c>
      <c r="N412" s="11">
        <v>30000000</v>
      </c>
      <c r="O412" s="8" t="s">
        <v>889</v>
      </c>
      <c r="P412" s="8" t="s">
        <v>890</v>
      </c>
      <c r="Q412" s="8"/>
      <c r="R412" s="8" t="s">
        <v>3608</v>
      </c>
    </row>
    <row r="413" spans="1:18" ht="26.15" customHeight="1">
      <c r="A413" s="7">
        <v>407</v>
      </c>
      <c r="B413" s="8" t="s">
        <v>3140</v>
      </c>
      <c r="C413" s="8" t="s">
        <v>3139</v>
      </c>
      <c r="D413" s="8" t="s">
        <v>3141</v>
      </c>
      <c r="E413" s="8" t="s">
        <v>3116</v>
      </c>
      <c r="F413" s="9" t="s">
        <v>3123</v>
      </c>
      <c r="G413" s="10">
        <v>43698</v>
      </c>
      <c r="H413" s="8" t="s">
        <v>109</v>
      </c>
      <c r="I413" s="11">
        <v>10000000</v>
      </c>
      <c r="J413" s="8" t="s">
        <v>885</v>
      </c>
      <c r="K413" s="8" t="s">
        <v>886</v>
      </c>
      <c r="L413" s="7">
        <v>2013</v>
      </c>
      <c r="M413" s="8" t="s">
        <v>369</v>
      </c>
      <c r="N413" s="11">
        <v>30000000</v>
      </c>
      <c r="O413" s="8" t="s">
        <v>889</v>
      </c>
      <c r="P413" s="8" t="s">
        <v>890</v>
      </c>
      <c r="Q413" s="8"/>
      <c r="R413" s="8" t="s">
        <v>954</v>
      </c>
    </row>
    <row r="414" spans="1:18" ht="26.15" customHeight="1">
      <c r="A414" s="7">
        <v>408</v>
      </c>
      <c r="B414" s="8" t="s">
        <v>3630</v>
      </c>
      <c r="C414" s="8" t="s">
        <v>3114</v>
      </c>
      <c r="D414" s="8" t="s">
        <v>3631</v>
      </c>
      <c r="E414" s="8" t="s">
        <v>3116</v>
      </c>
      <c r="F414" s="9" t="s">
        <v>3123</v>
      </c>
      <c r="G414" s="10">
        <v>43698</v>
      </c>
      <c r="H414" s="8" t="s">
        <v>109</v>
      </c>
      <c r="I414" s="11">
        <v>10000000</v>
      </c>
      <c r="J414" s="8" t="s">
        <v>885</v>
      </c>
      <c r="K414" s="8" t="s">
        <v>886</v>
      </c>
      <c r="L414" s="7">
        <v>2013</v>
      </c>
      <c r="M414" s="8" t="s">
        <v>369</v>
      </c>
      <c r="N414" s="11">
        <v>30000000</v>
      </c>
      <c r="O414" s="8" t="s">
        <v>889</v>
      </c>
      <c r="P414" s="8" t="s">
        <v>890</v>
      </c>
      <c r="Q414" s="8"/>
      <c r="R414" s="8" t="s">
        <v>3632</v>
      </c>
    </row>
    <row r="415" spans="1:18" ht="26.15" customHeight="1">
      <c r="A415" s="7">
        <v>409</v>
      </c>
      <c r="B415" s="8" t="s">
        <v>3633</v>
      </c>
      <c r="C415" s="8" t="s">
        <v>3114</v>
      </c>
      <c r="D415" s="8" t="s">
        <v>3634</v>
      </c>
      <c r="E415" s="8" t="s">
        <v>3116</v>
      </c>
      <c r="F415" s="9" t="s">
        <v>3123</v>
      </c>
      <c r="G415" s="10">
        <v>43698</v>
      </c>
      <c r="H415" s="8" t="s">
        <v>109</v>
      </c>
      <c r="I415" s="11">
        <v>10000000</v>
      </c>
      <c r="J415" s="8" t="s">
        <v>885</v>
      </c>
      <c r="K415" s="8" t="s">
        <v>886</v>
      </c>
      <c r="L415" s="7">
        <v>2013</v>
      </c>
      <c r="M415" s="8" t="s">
        <v>369</v>
      </c>
      <c r="N415" s="11">
        <v>30000000</v>
      </c>
      <c r="O415" s="8" t="s">
        <v>889</v>
      </c>
      <c r="P415" s="8" t="s">
        <v>890</v>
      </c>
      <c r="Q415" s="8"/>
      <c r="R415" s="8" t="s">
        <v>3470</v>
      </c>
    </row>
    <row r="416" spans="1:18" ht="26.15" customHeight="1">
      <c r="A416" s="7">
        <v>410</v>
      </c>
      <c r="B416" s="8" t="s">
        <v>2531</v>
      </c>
      <c r="C416" s="8" t="s">
        <v>3114</v>
      </c>
      <c r="D416" s="8" t="s">
        <v>3635</v>
      </c>
      <c r="E416" s="8" t="s">
        <v>3116</v>
      </c>
      <c r="F416" s="9" t="s">
        <v>3123</v>
      </c>
      <c r="G416" s="10">
        <v>43685</v>
      </c>
      <c r="H416" s="8" t="s">
        <v>25</v>
      </c>
      <c r="I416" s="11" t="s">
        <v>50</v>
      </c>
      <c r="J416" s="8" t="s">
        <v>891</v>
      </c>
      <c r="K416" s="8" t="s">
        <v>892</v>
      </c>
      <c r="L416" s="7">
        <v>2017</v>
      </c>
      <c r="M416" s="8" t="s">
        <v>894</v>
      </c>
      <c r="N416" s="11"/>
      <c r="O416" s="8" t="s">
        <v>895</v>
      </c>
      <c r="P416" s="8" t="s">
        <v>896</v>
      </c>
      <c r="Q416" s="8"/>
      <c r="R416" s="8" t="s">
        <v>1141</v>
      </c>
    </row>
    <row r="417" spans="1:18" ht="26.15" customHeight="1">
      <c r="A417" s="7">
        <v>411</v>
      </c>
      <c r="B417" s="8" t="s">
        <v>3636</v>
      </c>
      <c r="C417" s="8" t="s">
        <v>3114</v>
      </c>
      <c r="D417" s="8" t="s">
        <v>3637</v>
      </c>
      <c r="E417" s="8" t="s">
        <v>3116</v>
      </c>
      <c r="F417" s="9" t="s">
        <v>3117</v>
      </c>
      <c r="G417" s="10">
        <v>43683</v>
      </c>
      <c r="H417" s="8" t="s">
        <v>109</v>
      </c>
      <c r="I417" s="11">
        <v>3500000</v>
      </c>
      <c r="J417" s="8" t="s">
        <v>897</v>
      </c>
      <c r="K417" s="8" t="s">
        <v>898</v>
      </c>
      <c r="L417" s="7">
        <v>2016</v>
      </c>
      <c r="M417" s="8" t="s">
        <v>902</v>
      </c>
      <c r="N417" s="11">
        <v>8062080</v>
      </c>
      <c r="O417" s="8" t="s">
        <v>903</v>
      </c>
      <c r="P417" s="8" t="s">
        <v>904</v>
      </c>
      <c r="Q417" s="8"/>
      <c r="R417" s="8" t="s">
        <v>56</v>
      </c>
    </row>
    <row r="418" spans="1:18" ht="26.15" customHeight="1">
      <c r="A418" s="7">
        <v>412</v>
      </c>
      <c r="B418" s="8" t="s">
        <v>900</v>
      </c>
      <c r="C418" s="8" t="s">
        <v>3127</v>
      </c>
      <c r="D418" s="8"/>
      <c r="E418" s="8" t="s">
        <v>3128</v>
      </c>
      <c r="F418" s="9" t="s">
        <v>3123</v>
      </c>
      <c r="G418" s="10">
        <v>43683</v>
      </c>
      <c r="H418" s="8" t="s">
        <v>109</v>
      </c>
      <c r="I418" s="11">
        <v>3500000</v>
      </c>
      <c r="J418" s="8" t="s">
        <v>897</v>
      </c>
      <c r="K418" s="8" t="s">
        <v>898</v>
      </c>
      <c r="L418" s="7">
        <v>2016</v>
      </c>
      <c r="M418" s="8" t="s">
        <v>902</v>
      </c>
      <c r="N418" s="11">
        <v>8062080</v>
      </c>
      <c r="O418" s="8" t="s">
        <v>903</v>
      </c>
      <c r="P418" s="8" t="s">
        <v>904</v>
      </c>
      <c r="Q418" s="8"/>
      <c r="R418" s="8"/>
    </row>
    <row r="419" spans="1:18" ht="26.15" customHeight="1">
      <c r="A419" s="7">
        <v>413</v>
      </c>
      <c r="B419" s="8" t="s">
        <v>3124</v>
      </c>
      <c r="C419" s="8" t="s">
        <v>3114</v>
      </c>
      <c r="D419" s="8" t="s">
        <v>3125</v>
      </c>
      <c r="E419" s="8" t="s">
        <v>3116</v>
      </c>
      <c r="F419" s="9" t="s">
        <v>3123</v>
      </c>
      <c r="G419" s="10">
        <v>43683</v>
      </c>
      <c r="H419" s="8" t="s">
        <v>109</v>
      </c>
      <c r="I419" s="11">
        <v>3500000</v>
      </c>
      <c r="J419" s="8" t="s">
        <v>897</v>
      </c>
      <c r="K419" s="8" t="s">
        <v>898</v>
      </c>
      <c r="L419" s="7">
        <v>2016</v>
      </c>
      <c r="M419" s="8" t="s">
        <v>902</v>
      </c>
      <c r="N419" s="11">
        <v>8062080</v>
      </c>
      <c r="O419" s="8" t="s">
        <v>903</v>
      </c>
      <c r="P419" s="8" t="s">
        <v>904</v>
      </c>
      <c r="Q419" s="8"/>
      <c r="R419" s="8" t="s">
        <v>3126</v>
      </c>
    </row>
    <row r="420" spans="1:18" ht="26.15" customHeight="1">
      <c r="A420" s="7">
        <v>414</v>
      </c>
      <c r="B420" s="8" t="s">
        <v>1093</v>
      </c>
      <c r="C420" s="8" t="s">
        <v>3114</v>
      </c>
      <c r="D420" s="8" t="s">
        <v>3638</v>
      </c>
      <c r="E420" s="8" t="s">
        <v>3116</v>
      </c>
      <c r="F420" s="9" t="s">
        <v>3117</v>
      </c>
      <c r="G420" s="10">
        <v>43683</v>
      </c>
      <c r="H420" s="8" t="s">
        <v>109</v>
      </c>
      <c r="I420" s="11">
        <v>3500000</v>
      </c>
      <c r="J420" s="8" t="s">
        <v>897</v>
      </c>
      <c r="K420" s="8" t="s">
        <v>898</v>
      </c>
      <c r="L420" s="7">
        <v>2016</v>
      </c>
      <c r="M420" s="8" t="s">
        <v>902</v>
      </c>
      <c r="N420" s="11">
        <v>8062080</v>
      </c>
      <c r="O420" s="8" t="s">
        <v>903</v>
      </c>
      <c r="P420" s="8" t="s">
        <v>904</v>
      </c>
      <c r="Q420" s="8"/>
      <c r="R420" s="8" t="s">
        <v>121</v>
      </c>
    </row>
    <row r="421" spans="1:18" ht="26.15" customHeight="1">
      <c r="A421" s="7">
        <v>415</v>
      </c>
      <c r="B421" s="8" t="s">
        <v>3639</v>
      </c>
      <c r="C421" s="8" t="s">
        <v>3114</v>
      </c>
      <c r="D421" s="8" t="s">
        <v>3640</v>
      </c>
      <c r="E421" s="8" t="s">
        <v>3116</v>
      </c>
      <c r="F421" s="9" t="s">
        <v>3123</v>
      </c>
      <c r="G421" s="10">
        <v>43678</v>
      </c>
      <c r="H421" s="8" t="s">
        <v>184</v>
      </c>
      <c r="I421" s="11" t="s">
        <v>50</v>
      </c>
      <c r="J421" s="8" t="s">
        <v>905</v>
      </c>
      <c r="K421" s="8" t="s">
        <v>906</v>
      </c>
      <c r="L421" s="7">
        <v>2017</v>
      </c>
      <c r="M421" s="8" t="s">
        <v>79</v>
      </c>
      <c r="N421" s="11"/>
      <c r="O421" s="8" t="s">
        <v>908</v>
      </c>
      <c r="P421" s="8" t="s">
        <v>909</v>
      </c>
      <c r="Q421" s="8"/>
      <c r="R421" s="8" t="s">
        <v>79</v>
      </c>
    </row>
    <row r="422" spans="1:18" ht="26.15" customHeight="1">
      <c r="A422" s="7">
        <v>416</v>
      </c>
      <c r="B422" s="8" t="s">
        <v>3639</v>
      </c>
      <c r="C422" s="8" t="s">
        <v>3114</v>
      </c>
      <c r="D422" s="8" t="s">
        <v>3640</v>
      </c>
      <c r="E422" s="8" t="s">
        <v>3116</v>
      </c>
      <c r="F422" s="9" t="s">
        <v>3123</v>
      </c>
      <c r="G422" s="10">
        <v>43678</v>
      </c>
      <c r="H422" s="8" t="s">
        <v>184</v>
      </c>
      <c r="I422" s="11" t="s">
        <v>50</v>
      </c>
      <c r="J422" s="8" t="s">
        <v>910</v>
      </c>
      <c r="K422" s="8" t="s">
        <v>911</v>
      </c>
      <c r="L422" s="7">
        <v>2017</v>
      </c>
      <c r="M422" s="8" t="s">
        <v>79</v>
      </c>
      <c r="N422" s="11"/>
      <c r="O422" s="8" t="s">
        <v>912</v>
      </c>
      <c r="P422" s="8" t="s">
        <v>913</v>
      </c>
      <c r="Q422" s="8"/>
      <c r="R422" s="8" t="s">
        <v>79</v>
      </c>
    </row>
    <row r="423" spans="1:18" ht="26.15" customHeight="1">
      <c r="A423" s="7">
        <v>417</v>
      </c>
      <c r="B423" s="8" t="s">
        <v>3639</v>
      </c>
      <c r="C423" s="8" t="s">
        <v>3114</v>
      </c>
      <c r="D423" s="8" t="s">
        <v>3640</v>
      </c>
      <c r="E423" s="8" t="s">
        <v>3116</v>
      </c>
      <c r="F423" s="9" t="s">
        <v>3123</v>
      </c>
      <c r="G423" s="10">
        <v>43678</v>
      </c>
      <c r="H423" s="8" t="s">
        <v>184</v>
      </c>
      <c r="I423" s="11" t="s">
        <v>50</v>
      </c>
      <c r="J423" s="8" t="s">
        <v>914</v>
      </c>
      <c r="K423" s="8" t="s">
        <v>915</v>
      </c>
      <c r="L423" s="7">
        <v>2018</v>
      </c>
      <c r="M423" s="8" t="s">
        <v>916</v>
      </c>
      <c r="N423" s="11"/>
      <c r="O423" s="8" t="s">
        <v>917</v>
      </c>
      <c r="P423" s="8" t="s">
        <v>918</v>
      </c>
      <c r="Q423" s="8"/>
      <c r="R423" s="8" t="s">
        <v>79</v>
      </c>
    </row>
    <row r="424" spans="1:18" ht="26.15" customHeight="1">
      <c r="A424" s="7">
        <v>418</v>
      </c>
      <c r="B424" s="8" t="s">
        <v>924</v>
      </c>
      <c r="C424" s="8" t="s">
        <v>3114</v>
      </c>
      <c r="D424" s="8" t="s">
        <v>3337</v>
      </c>
      <c r="E424" s="8" t="s">
        <v>3116</v>
      </c>
      <c r="F424" s="9" t="s">
        <v>3117</v>
      </c>
      <c r="G424" s="10">
        <v>43675</v>
      </c>
      <c r="H424" s="8" t="s">
        <v>109</v>
      </c>
      <c r="I424" s="11">
        <v>8500000</v>
      </c>
      <c r="J424" s="8" t="s">
        <v>345</v>
      </c>
      <c r="K424" s="8" t="s">
        <v>346</v>
      </c>
      <c r="L424" s="7">
        <v>2016</v>
      </c>
      <c r="M424" s="8" t="s">
        <v>349</v>
      </c>
      <c r="N424" s="11">
        <v>8500000</v>
      </c>
      <c r="O424" s="8" t="s">
        <v>350</v>
      </c>
      <c r="P424" s="8" t="s">
        <v>351</v>
      </c>
      <c r="Q424" s="8"/>
      <c r="R424" s="8" t="s">
        <v>3204</v>
      </c>
    </row>
    <row r="425" spans="1:18" ht="26.15" customHeight="1">
      <c r="A425" s="7">
        <v>419</v>
      </c>
      <c r="B425" s="8" t="s">
        <v>3641</v>
      </c>
      <c r="C425" s="8" t="s">
        <v>3139</v>
      </c>
      <c r="D425" s="8" t="s">
        <v>3642</v>
      </c>
      <c r="E425" s="8" t="s">
        <v>3116</v>
      </c>
      <c r="F425" s="9" t="s">
        <v>3123</v>
      </c>
      <c r="G425" s="10">
        <v>43675</v>
      </c>
      <c r="H425" s="8" t="s">
        <v>109</v>
      </c>
      <c r="I425" s="11">
        <v>8500000</v>
      </c>
      <c r="J425" s="8" t="s">
        <v>345</v>
      </c>
      <c r="K425" s="8" t="s">
        <v>346</v>
      </c>
      <c r="L425" s="7">
        <v>2016</v>
      </c>
      <c r="M425" s="8" t="s">
        <v>349</v>
      </c>
      <c r="N425" s="11">
        <v>8500000</v>
      </c>
      <c r="O425" s="8" t="s">
        <v>350</v>
      </c>
      <c r="P425" s="8" t="s">
        <v>351</v>
      </c>
      <c r="Q425" s="8"/>
      <c r="R425" s="8" t="s">
        <v>3204</v>
      </c>
    </row>
    <row r="426" spans="1:18" ht="26.15" customHeight="1">
      <c r="A426" s="7">
        <v>420</v>
      </c>
      <c r="B426" s="8" t="s">
        <v>1308</v>
      </c>
      <c r="C426" s="8" t="s">
        <v>3114</v>
      </c>
      <c r="D426" s="8" t="s">
        <v>3469</v>
      </c>
      <c r="E426" s="8" t="s">
        <v>3116</v>
      </c>
      <c r="F426" s="9" t="s">
        <v>3117</v>
      </c>
      <c r="G426" s="10">
        <v>43670</v>
      </c>
      <c r="H426" s="8" t="s">
        <v>34</v>
      </c>
      <c r="I426" s="11" t="s">
        <v>50</v>
      </c>
      <c r="J426" s="8" t="s">
        <v>398</v>
      </c>
      <c r="K426" s="8" t="s">
        <v>399</v>
      </c>
      <c r="L426" s="7">
        <v>2017</v>
      </c>
      <c r="M426" s="8" t="s">
        <v>79</v>
      </c>
      <c r="N426" s="11">
        <v>6930813</v>
      </c>
      <c r="O426" s="8" t="s">
        <v>402</v>
      </c>
      <c r="P426" s="8" t="s">
        <v>403</v>
      </c>
      <c r="Q426" s="8"/>
      <c r="R426" s="8" t="s">
        <v>3470</v>
      </c>
    </row>
    <row r="427" spans="1:18" ht="26.15" customHeight="1">
      <c r="A427" s="7">
        <v>421</v>
      </c>
      <c r="B427" s="8" t="s">
        <v>2164</v>
      </c>
      <c r="C427" s="8" t="s">
        <v>3114</v>
      </c>
      <c r="D427" s="8" t="s">
        <v>3471</v>
      </c>
      <c r="E427" s="8" t="s">
        <v>3116</v>
      </c>
      <c r="F427" s="9" t="s">
        <v>3117</v>
      </c>
      <c r="G427" s="10">
        <v>43670</v>
      </c>
      <c r="H427" s="8" t="s">
        <v>34</v>
      </c>
      <c r="I427" s="11" t="s">
        <v>50</v>
      </c>
      <c r="J427" s="8" t="s">
        <v>398</v>
      </c>
      <c r="K427" s="8" t="s">
        <v>399</v>
      </c>
      <c r="L427" s="7">
        <v>2017</v>
      </c>
      <c r="M427" s="8" t="s">
        <v>79</v>
      </c>
      <c r="N427" s="11">
        <v>6930813</v>
      </c>
      <c r="O427" s="8" t="s">
        <v>402</v>
      </c>
      <c r="P427" s="8" t="s">
        <v>403</v>
      </c>
      <c r="Q427" s="8"/>
      <c r="R427" s="8" t="s">
        <v>3148</v>
      </c>
    </row>
    <row r="428" spans="1:18" ht="26.15" customHeight="1">
      <c r="A428" s="7">
        <v>422</v>
      </c>
      <c r="B428" s="8" t="s">
        <v>928</v>
      </c>
      <c r="C428" s="8" t="s">
        <v>3114</v>
      </c>
      <c r="D428" s="8" t="s">
        <v>3301</v>
      </c>
      <c r="E428" s="8" t="s">
        <v>3116</v>
      </c>
      <c r="F428" s="9" t="s">
        <v>3117</v>
      </c>
      <c r="G428" s="10">
        <v>43663</v>
      </c>
      <c r="H428" s="8" t="s">
        <v>34</v>
      </c>
      <c r="I428" s="11">
        <v>1020260</v>
      </c>
      <c r="J428" s="8" t="s">
        <v>443</v>
      </c>
      <c r="K428" s="8" t="s">
        <v>444</v>
      </c>
      <c r="L428" s="7">
        <v>2018</v>
      </c>
      <c r="M428" s="8" t="s">
        <v>56</v>
      </c>
      <c r="N428" s="11">
        <v>4804090</v>
      </c>
      <c r="O428" s="8" t="s">
        <v>447</v>
      </c>
      <c r="P428" s="8" t="s">
        <v>448</v>
      </c>
      <c r="Q428" s="8"/>
      <c r="R428" s="8" t="s">
        <v>313</v>
      </c>
    </row>
    <row r="429" spans="1:18" ht="26.15" customHeight="1">
      <c r="A429" s="7">
        <v>423</v>
      </c>
      <c r="B429" s="8" t="s">
        <v>3643</v>
      </c>
      <c r="C429" s="8" t="s">
        <v>3114</v>
      </c>
      <c r="D429" s="8" t="s">
        <v>3644</v>
      </c>
      <c r="E429" s="8" t="s">
        <v>3116</v>
      </c>
      <c r="F429" s="9" t="s">
        <v>3123</v>
      </c>
      <c r="G429" s="10">
        <v>43663</v>
      </c>
      <c r="H429" s="8" t="s">
        <v>34</v>
      </c>
      <c r="I429" s="11">
        <v>1020260</v>
      </c>
      <c r="J429" s="8" t="s">
        <v>443</v>
      </c>
      <c r="K429" s="8" t="s">
        <v>444</v>
      </c>
      <c r="L429" s="7">
        <v>2018</v>
      </c>
      <c r="M429" s="8" t="s">
        <v>56</v>
      </c>
      <c r="N429" s="11">
        <v>4804090</v>
      </c>
      <c r="O429" s="8" t="s">
        <v>447</v>
      </c>
      <c r="P429" s="8" t="s">
        <v>448</v>
      </c>
      <c r="Q429" s="8"/>
      <c r="R429" s="8" t="s">
        <v>79</v>
      </c>
    </row>
    <row r="430" spans="1:18" ht="26.15" customHeight="1">
      <c r="A430" s="7">
        <v>424</v>
      </c>
      <c r="B430" s="8" t="s">
        <v>929</v>
      </c>
      <c r="C430" s="8" t="s">
        <v>3127</v>
      </c>
      <c r="D430" s="8"/>
      <c r="E430" s="8" t="s">
        <v>3128</v>
      </c>
      <c r="F430" s="9" t="s">
        <v>3117</v>
      </c>
      <c r="G430" s="10">
        <v>43662</v>
      </c>
      <c r="H430" s="8" t="s">
        <v>124</v>
      </c>
      <c r="I430" s="11">
        <v>437878</v>
      </c>
      <c r="J430" s="8" t="s">
        <v>96</v>
      </c>
      <c r="K430" s="8" t="s">
        <v>97</v>
      </c>
      <c r="L430" s="7">
        <v>2015</v>
      </c>
      <c r="M430" s="8" t="s">
        <v>79</v>
      </c>
      <c r="N430" s="11">
        <v>163285834</v>
      </c>
      <c r="O430" s="8" t="s">
        <v>100</v>
      </c>
      <c r="P430" s="8" t="s">
        <v>101</v>
      </c>
      <c r="Q430" s="8"/>
      <c r="R430" s="8"/>
    </row>
    <row r="431" spans="1:18" ht="26.15" customHeight="1">
      <c r="A431" s="7">
        <v>425</v>
      </c>
      <c r="B431" s="8" t="s">
        <v>588</v>
      </c>
      <c r="C431" s="8" t="s">
        <v>3114</v>
      </c>
      <c r="D431" s="8" t="s">
        <v>3504</v>
      </c>
      <c r="E431" s="8" t="s">
        <v>3116</v>
      </c>
      <c r="F431" s="9" t="s">
        <v>3117</v>
      </c>
      <c r="G431" s="10">
        <v>43661</v>
      </c>
      <c r="H431" s="8" t="s">
        <v>34</v>
      </c>
      <c r="I431" s="11">
        <v>534750</v>
      </c>
      <c r="J431" s="8" t="s">
        <v>930</v>
      </c>
      <c r="K431" s="8" t="s">
        <v>931</v>
      </c>
      <c r="L431" s="7">
        <v>2016</v>
      </c>
      <c r="M431" s="8" t="s">
        <v>934</v>
      </c>
      <c r="N431" s="11">
        <v>534750</v>
      </c>
      <c r="O431" s="8" t="s">
        <v>935</v>
      </c>
      <c r="P431" s="8" t="s">
        <v>936</v>
      </c>
      <c r="Q431" s="8"/>
      <c r="R431" s="8" t="s">
        <v>3220</v>
      </c>
    </row>
    <row r="432" spans="1:18" ht="26.15" customHeight="1">
      <c r="A432" s="7">
        <v>426</v>
      </c>
      <c r="B432" s="8" t="s">
        <v>583</v>
      </c>
      <c r="C432" s="8" t="s">
        <v>3114</v>
      </c>
      <c r="D432" s="8" t="s">
        <v>3503</v>
      </c>
      <c r="E432" s="8" t="s">
        <v>3116</v>
      </c>
      <c r="F432" s="9" t="s">
        <v>3117</v>
      </c>
      <c r="G432" s="10">
        <v>43661</v>
      </c>
      <c r="H432" s="8" t="s">
        <v>34</v>
      </c>
      <c r="I432" s="11">
        <v>534750</v>
      </c>
      <c r="J432" s="8" t="s">
        <v>930</v>
      </c>
      <c r="K432" s="8" t="s">
        <v>931</v>
      </c>
      <c r="L432" s="7">
        <v>2016</v>
      </c>
      <c r="M432" s="8" t="s">
        <v>934</v>
      </c>
      <c r="N432" s="11">
        <v>534750</v>
      </c>
      <c r="O432" s="8" t="s">
        <v>935</v>
      </c>
      <c r="P432" s="8" t="s">
        <v>936</v>
      </c>
      <c r="Q432" s="8"/>
      <c r="R432" s="8" t="s">
        <v>3220</v>
      </c>
    </row>
    <row r="433" spans="1:18" ht="26.15" customHeight="1">
      <c r="A433" s="7">
        <v>427</v>
      </c>
      <c r="B433" s="8" t="s">
        <v>3645</v>
      </c>
      <c r="C433" s="8" t="s">
        <v>3139</v>
      </c>
      <c r="D433" s="8" t="s">
        <v>3646</v>
      </c>
      <c r="E433" s="8" t="s">
        <v>3116</v>
      </c>
      <c r="F433" s="9" t="s">
        <v>3117</v>
      </c>
      <c r="G433" s="10">
        <v>43661</v>
      </c>
      <c r="H433" s="8" t="s">
        <v>109</v>
      </c>
      <c r="I433" s="11">
        <v>1895380</v>
      </c>
      <c r="J433" s="8" t="s">
        <v>641</v>
      </c>
      <c r="K433" s="8" t="s">
        <v>642</v>
      </c>
      <c r="L433" s="7">
        <v>2009</v>
      </c>
      <c r="M433" s="8" t="s">
        <v>47</v>
      </c>
      <c r="N433" s="11">
        <v>10590520</v>
      </c>
      <c r="O433" s="8" t="s">
        <v>645</v>
      </c>
      <c r="P433" s="8" t="s">
        <v>646</v>
      </c>
      <c r="Q433" s="8"/>
      <c r="R433" s="8" t="s">
        <v>3176</v>
      </c>
    </row>
    <row r="434" spans="1:18" ht="26.15" customHeight="1">
      <c r="A434" s="7">
        <v>428</v>
      </c>
      <c r="B434" s="8" t="s">
        <v>644</v>
      </c>
      <c r="C434" s="8" t="s">
        <v>3114</v>
      </c>
      <c r="D434" s="8" t="s">
        <v>3162</v>
      </c>
      <c r="E434" s="8" t="s">
        <v>3116</v>
      </c>
      <c r="F434" s="9" t="s">
        <v>3123</v>
      </c>
      <c r="G434" s="10">
        <v>43661</v>
      </c>
      <c r="H434" s="8" t="s">
        <v>109</v>
      </c>
      <c r="I434" s="11">
        <v>1895380</v>
      </c>
      <c r="J434" s="8" t="s">
        <v>641</v>
      </c>
      <c r="K434" s="8" t="s">
        <v>642</v>
      </c>
      <c r="L434" s="7">
        <v>2009</v>
      </c>
      <c r="M434" s="8" t="s">
        <v>47</v>
      </c>
      <c r="N434" s="11">
        <v>10590520</v>
      </c>
      <c r="O434" s="8" t="s">
        <v>645</v>
      </c>
      <c r="P434" s="8" t="s">
        <v>646</v>
      </c>
      <c r="Q434" s="8"/>
      <c r="R434" s="8" t="s">
        <v>313</v>
      </c>
    </row>
    <row r="435" spans="1:18" ht="26.15" customHeight="1">
      <c r="A435" s="7">
        <v>429</v>
      </c>
      <c r="B435" s="8" t="s">
        <v>1770</v>
      </c>
      <c r="C435" s="8" t="s">
        <v>3139</v>
      </c>
      <c r="D435" s="8" t="s">
        <v>3647</v>
      </c>
      <c r="E435" s="8" t="s">
        <v>3116</v>
      </c>
      <c r="F435" s="9" t="s">
        <v>3117</v>
      </c>
      <c r="G435" s="10">
        <v>43661</v>
      </c>
      <c r="H435" s="8" t="s">
        <v>109</v>
      </c>
      <c r="I435" s="11">
        <v>1895380</v>
      </c>
      <c r="J435" s="8" t="s">
        <v>641</v>
      </c>
      <c r="K435" s="8" t="s">
        <v>642</v>
      </c>
      <c r="L435" s="7">
        <v>2009</v>
      </c>
      <c r="M435" s="8" t="s">
        <v>47</v>
      </c>
      <c r="N435" s="11">
        <v>10590520</v>
      </c>
      <c r="O435" s="8" t="s">
        <v>645</v>
      </c>
      <c r="P435" s="8" t="s">
        <v>646</v>
      </c>
      <c r="Q435" s="8"/>
      <c r="R435" s="8" t="s">
        <v>181</v>
      </c>
    </row>
    <row r="436" spans="1:18" ht="26.15" customHeight="1">
      <c r="A436" s="7">
        <v>430</v>
      </c>
      <c r="B436" s="8" t="s">
        <v>941</v>
      </c>
      <c r="C436" s="8" t="s">
        <v>3139</v>
      </c>
      <c r="D436" s="8" t="s">
        <v>941</v>
      </c>
      <c r="E436" s="8" t="s">
        <v>3116</v>
      </c>
      <c r="F436" s="9" t="s">
        <v>3123</v>
      </c>
      <c r="G436" s="10">
        <v>43658</v>
      </c>
      <c r="H436" s="8" t="s">
        <v>184</v>
      </c>
      <c r="I436" s="11">
        <v>27500</v>
      </c>
      <c r="J436" s="8" t="s">
        <v>939</v>
      </c>
      <c r="K436" s="8" t="s">
        <v>940</v>
      </c>
      <c r="L436" s="7">
        <v>2017</v>
      </c>
      <c r="M436" s="8" t="s">
        <v>684</v>
      </c>
      <c r="N436" s="11"/>
      <c r="O436" s="8" t="s">
        <v>942</v>
      </c>
      <c r="P436" s="8" t="s">
        <v>943</v>
      </c>
      <c r="Q436" s="8"/>
      <c r="R436" s="8"/>
    </row>
    <row r="437" spans="1:18" ht="26.15" customHeight="1">
      <c r="A437" s="7">
        <v>431</v>
      </c>
      <c r="B437" s="8" t="s">
        <v>947</v>
      </c>
      <c r="C437" s="8" t="s">
        <v>3114</v>
      </c>
      <c r="D437" s="8" t="s">
        <v>3648</v>
      </c>
      <c r="E437" s="8" t="s">
        <v>3116</v>
      </c>
      <c r="F437" s="9" t="s">
        <v>3117</v>
      </c>
      <c r="G437" s="10">
        <v>43649</v>
      </c>
      <c r="H437" s="8" t="s">
        <v>34</v>
      </c>
      <c r="I437" s="11">
        <v>492991</v>
      </c>
      <c r="J437" s="8" t="s">
        <v>944</v>
      </c>
      <c r="K437" s="8" t="s">
        <v>945</v>
      </c>
      <c r="L437" s="7">
        <v>2014</v>
      </c>
      <c r="M437" s="8" t="s">
        <v>47</v>
      </c>
      <c r="N437" s="11">
        <v>492991</v>
      </c>
      <c r="O437" s="8" t="s">
        <v>948</v>
      </c>
      <c r="P437" s="8" t="s">
        <v>949</v>
      </c>
      <c r="Q437" s="8"/>
      <c r="R437" s="8" t="s">
        <v>3608</v>
      </c>
    </row>
    <row r="438" spans="1:18" ht="26.15" customHeight="1">
      <c r="A438" s="7">
        <v>432</v>
      </c>
      <c r="B438" s="8" t="s">
        <v>953</v>
      </c>
      <c r="C438" s="8" t="s">
        <v>3114</v>
      </c>
      <c r="D438" s="8" t="s">
        <v>3649</v>
      </c>
      <c r="E438" s="8" t="s">
        <v>3116</v>
      </c>
      <c r="F438" s="9" t="s">
        <v>3117</v>
      </c>
      <c r="G438" s="10">
        <v>43646</v>
      </c>
      <c r="H438" s="8" t="s">
        <v>109</v>
      </c>
      <c r="I438" s="11" t="s">
        <v>50</v>
      </c>
      <c r="J438" s="8" t="s">
        <v>950</v>
      </c>
      <c r="K438" s="8" t="s">
        <v>951</v>
      </c>
      <c r="L438" s="7">
        <v>2014</v>
      </c>
      <c r="M438" s="8" t="s">
        <v>954</v>
      </c>
      <c r="N438" s="11"/>
      <c r="O438" s="8" t="s">
        <v>955</v>
      </c>
      <c r="P438" s="8" t="s">
        <v>956</v>
      </c>
      <c r="Q438" s="8"/>
      <c r="R438" s="8" t="s">
        <v>173</v>
      </c>
    </row>
    <row r="439" spans="1:18" ht="26.15" customHeight="1">
      <c r="A439" s="7">
        <v>433</v>
      </c>
      <c r="B439" s="8" t="s">
        <v>45</v>
      </c>
      <c r="C439" s="8" t="s">
        <v>3127</v>
      </c>
      <c r="D439" s="8"/>
      <c r="E439" s="8" t="s">
        <v>3128</v>
      </c>
      <c r="F439" s="9" t="s">
        <v>3117</v>
      </c>
      <c r="G439" s="10">
        <v>43637</v>
      </c>
      <c r="H439" s="8" t="s">
        <v>124</v>
      </c>
      <c r="I439" s="11">
        <v>632340</v>
      </c>
      <c r="J439" s="8" t="s">
        <v>42</v>
      </c>
      <c r="K439" s="8" t="s">
        <v>43</v>
      </c>
      <c r="L439" s="7">
        <v>2017</v>
      </c>
      <c r="M439" s="8" t="s">
        <v>47</v>
      </c>
      <c r="N439" s="11">
        <v>3160468</v>
      </c>
      <c r="O439" s="8" t="s">
        <v>48</v>
      </c>
      <c r="P439" s="8" t="s">
        <v>49</v>
      </c>
      <c r="Q439" s="8"/>
      <c r="R439" s="8"/>
    </row>
    <row r="440" spans="1:18" ht="26.15" customHeight="1">
      <c r="A440" s="7">
        <v>434</v>
      </c>
      <c r="B440" s="8" t="s">
        <v>1273</v>
      </c>
      <c r="C440" s="8" t="s">
        <v>3127</v>
      </c>
      <c r="D440" s="8"/>
      <c r="E440" s="8" t="s">
        <v>3128</v>
      </c>
      <c r="F440" s="9" t="s">
        <v>3123</v>
      </c>
      <c r="G440" s="10">
        <v>43637</v>
      </c>
      <c r="H440" s="8" t="s">
        <v>124</v>
      </c>
      <c r="I440" s="11">
        <v>632340</v>
      </c>
      <c r="J440" s="8" t="s">
        <v>42</v>
      </c>
      <c r="K440" s="8" t="s">
        <v>43</v>
      </c>
      <c r="L440" s="7">
        <v>2017</v>
      </c>
      <c r="M440" s="8" t="s">
        <v>47</v>
      </c>
      <c r="N440" s="11">
        <v>3160468</v>
      </c>
      <c r="O440" s="8" t="s">
        <v>48</v>
      </c>
      <c r="P440" s="8" t="s">
        <v>49</v>
      </c>
      <c r="Q440" s="8"/>
      <c r="R440" s="8"/>
    </row>
    <row r="441" spans="1:18" ht="26.15" customHeight="1">
      <c r="A441" s="7">
        <v>435</v>
      </c>
      <c r="B441" s="8" t="s">
        <v>3650</v>
      </c>
      <c r="C441" s="8" t="s">
        <v>3127</v>
      </c>
      <c r="D441" s="8"/>
      <c r="E441" s="8" t="s">
        <v>3128</v>
      </c>
      <c r="F441" s="9" t="s">
        <v>3123</v>
      </c>
      <c r="G441" s="10">
        <v>43637</v>
      </c>
      <c r="H441" s="8" t="s">
        <v>124</v>
      </c>
      <c r="I441" s="11">
        <v>632340</v>
      </c>
      <c r="J441" s="8" t="s">
        <v>42</v>
      </c>
      <c r="K441" s="8" t="s">
        <v>43</v>
      </c>
      <c r="L441" s="7">
        <v>2017</v>
      </c>
      <c r="M441" s="8" t="s">
        <v>47</v>
      </c>
      <c r="N441" s="11">
        <v>3160468</v>
      </c>
      <c r="O441" s="8" t="s">
        <v>48</v>
      </c>
      <c r="P441" s="8" t="s">
        <v>49</v>
      </c>
      <c r="Q441" s="8"/>
      <c r="R441" s="8"/>
    </row>
    <row r="442" spans="1:18" ht="26.15" customHeight="1">
      <c r="A442" s="7">
        <v>436</v>
      </c>
      <c r="B442" s="8" t="s">
        <v>832</v>
      </c>
      <c r="C442" s="8" t="s">
        <v>3114</v>
      </c>
      <c r="D442" s="8" t="s">
        <v>3591</v>
      </c>
      <c r="E442" s="8" t="s">
        <v>3116</v>
      </c>
      <c r="F442" s="9" t="s">
        <v>3117</v>
      </c>
      <c r="G442" s="10">
        <v>43635</v>
      </c>
      <c r="H442" s="8" t="s">
        <v>34</v>
      </c>
      <c r="I442" s="11" t="s">
        <v>50</v>
      </c>
      <c r="J442" s="8" t="s">
        <v>958</v>
      </c>
      <c r="K442" s="8" t="s">
        <v>959</v>
      </c>
      <c r="L442" s="7">
        <v>2016</v>
      </c>
      <c r="M442" s="8" t="s">
        <v>960</v>
      </c>
      <c r="N442" s="11"/>
      <c r="O442" s="8" t="s">
        <v>961</v>
      </c>
      <c r="P442" s="8" t="s">
        <v>962</v>
      </c>
      <c r="Q442" s="8"/>
      <c r="R442" s="8" t="s">
        <v>207</v>
      </c>
    </row>
    <row r="443" spans="1:18" ht="26.15" customHeight="1">
      <c r="A443" s="7">
        <v>437</v>
      </c>
      <c r="B443" s="8" t="s">
        <v>3651</v>
      </c>
      <c r="C443" s="8" t="s">
        <v>3139</v>
      </c>
      <c r="D443" s="8" t="s">
        <v>3652</v>
      </c>
      <c r="E443" s="8" t="s">
        <v>3116</v>
      </c>
      <c r="F443" s="9" t="s">
        <v>3123</v>
      </c>
      <c r="G443" s="10">
        <v>43634</v>
      </c>
      <c r="H443" s="8" t="s">
        <v>184</v>
      </c>
      <c r="I443" s="11" t="s">
        <v>50</v>
      </c>
      <c r="J443" s="8" t="s">
        <v>963</v>
      </c>
      <c r="K443" s="8" t="s">
        <v>964</v>
      </c>
      <c r="L443" s="7">
        <v>2003</v>
      </c>
      <c r="M443" s="8" t="s">
        <v>966</v>
      </c>
      <c r="N443" s="11"/>
      <c r="O443" s="8" t="s">
        <v>967</v>
      </c>
      <c r="P443" s="8" t="s">
        <v>968</v>
      </c>
      <c r="Q443" s="8"/>
      <c r="R443" s="8" t="s">
        <v>3653</v>
      </c>
    </row>
    <row r="444" spans="1:18" ht="26.15" customHeight="1">
      <c r="A444" s="7">
        <v>438</v>
      </c>
      <c r="B444" s="8" t="s">
        <v>3654</v>
      </c>
      <c r="C444" s="8" t="s">
        <v>3139</v>
      </c>
      <c r="D444" s="8" t="s">
        <v>3655</v>
      </c>
      <c r="E444" s="8" t="s">
        <v>3116</v>
      </c>
      <c r="F444" s="9" t="s">
        <v>3117</v>
      </c>
      <c r="G444" s="10">
        <v>43634</v>
      </c>
      <c r="H444" s="8" t="s">
        <v>109</v>
      </c>
      <c r="I444" s="11">
        <v>50000</v>
      </c>
      <c r="J444" s="8" t="s">
        <v>897</v>
      </c>
      <c r="K444" s="8" t="s">
        <v>898</v>
      </c>
      <c r="L444" s="7">
        <v>2016</v>
      </c>
      <c r="M444" s="8" t="s">
        <v>902</v>
      </c>
      <c r="N444" s="11">
        <v>8062080</v>
      </c>
      <c r="O444" s="8" t="s">
        <v>903</v>
      </c>
      <c r="P444" s="8" t="s">
        <v>904</v>
      </c>
      <c r="Q444" s="8"/>
      <c r="R444" s="8" t="s">
        <v>3148</v>
      </c>
    </row>
    <row r="445" spans="1:18" ht="26.15" customHeight="1">
      <c r="A445" s="7">
        <v>439</v>
      </c>
      <c r="B445" s="8" t="s">
        <v>3656</v>
      </c>
      <c r="C445" s="8" t="s">
        <v>3139</v>
      </c>
      <c r="D445" s="8" t="s">
        <v>3657</v>
      </c>
      <c r="E445" s="8" t="s">
        <v>3116</v>
      </c>
      <c r="F445" s="9" t="s">
        <v>3117</v>
      </c>
      <c r="G445" s="10">
        <v>43634</v>
      </c>
      <c r="H445" s="8" t="s">
        <v>109</v>
      </c>
      <c r="I445" s="11">
        <v>50000</v>
      </c>
      <c r="J445" s="8" t="s">
        <v>897</v>
      </c>
      <c r="K445" s="8" t="s">
        <v>898</v>
      </c>
      <c r="L445" s="7">
        <v>2016</v>
      </c>
      <c r="M445" s="8" t="s">
        <v>902</v>
      </c>
      <c r="N445" s="11">
        <v>8062080</v>
      </c>
      <c r="O445" s="8" t="s">
        <v>903</v>
      </c>
      <c r="P445" s="8" t="s">
        <v>904</v>
      </c>
      <c r="Q445" s="8"/>
      <c r="R445" s="8" t="s">
        <v>56</v>
      </c>
    </row>
    <row r="446" spans="1:18" ht="26.15" customHeight="1">
      <c r="A446" s="7">
        <v>440</v>
      </c>
      <c r="B446" s="8" t="s">
        <v>1072</v>
      </c>
      <c r="C446" s="8" t="s">
        <v>3114</v>
      </c>
      <c r="D446" s="8" t="s">
        <v>3658</v>
      </c>
      <c r="E446" s="8" t="s">
        <v>3116</v>
      </c>
      <c r="F446" s="9" t="s">
        <v>3117</v>
      </c>
      <c r="G446" s="10">
        <v>43633</v>
      </c>
      <c r="H446" s="8" t="s">
        <v>95</v>
      </c>
      <c r="I446" s="11">
        <v>8874410</v>
      </c>
      <c r="J446" s="8" t="s">
        <v>96</v>
      </c>
      <c r="K446" s="8" t="s">
        <v>97</v>
      </c>
      <c r="L446" s="7">
        <v>2015</v>
      </c>
      <c r="M446" s="8" t="s">
        <v>79</v>
      </c>
      <c r="N446" s="11">
        <v>163285834</v>
      </c>
      <c r="O446" s="8" t="s">
        <v>100</v>
      </c>
      <c r="P446" s="8" t="s">
        <v>101</v>
      </c>
      <c r="Q446" s="8"/>
      <c r="R446" s="8" t="s">
        <v>3145</v>
      </c>
    </row>
    <row r="447" spans="1:18" ht="26.15" customHeight="1">
      <c r="A447" s="7">
        <v>441</v>
      </c>
      <c r="B447" s="8" t="s">
        <v>3659</v>
      </c>
      <c r="C447" s="8" t="s">
        <v>3139</v>
      </c>
      <c r="D447" s="8" t="s">
        <v>3660</v>
      </c>
      <c r="E447" s="8" t="s">
        <v>3116</v>
      </c>
      <c r="F447" s="9" t="s">
        <v>3123</v>
      </c>
      <c r="G447" s="10">
        <v>43633</v>
      </c>
      <c r="H447" s="8" t="s">
        <v>95</v>
      </c>
      <c r="I447" s="11">
        <v>8874410</v>
      </c>
      <c r="J447" s="8" t="s">
        <v>96</v>
      </c>
      <c r="K447" s="8" t="s">
        <v>97</v>
      </c>
      <c r="L447" s="7">
        <v>2015</v>
      </c>
      <c r="M447" s="8" t="s">
        <v>79</v>
      </c>
      <c r="N447" s="11">
        <v>163285834</v>
      </c>
      <c r="O447" s="8" t="s">
        <v>100</v>
      </c>
      <c r="P447" s="8" t="s">
        <v>101</v>
      </c>
      <c r="Q447" s="8"/>
      <c r="R447" s="8" t="s">
        <v>3661</v>
      </c>
    </row>
    <row r="448" spans="1:18" ht="26.15" customHeight="1">
      <c r="A448" s="7">
        <v>442</v>
      </c>
      <c r="B448" s="8" t="s">
        <v>3662</v>
      </c>
      <c r="C448" s="8" t="s">
        <v>3114</v>
      </c>
      <c r="D448" s="8" t="s">
        <v>3663</v>
      </c>
      <c r="E448" s="8" t="s">
        <v>3116</v>
      </c>
      <c r="F448" s="9" t="s">
        <v>3123</v>
      </c>
      <c r="G448" s="10">
        <v>43633</v>
      </c>
      <c r="H448" s="8" t="s">
        <v>95</v>
      </c>
      <c r="I448" s="11">
        <v>8874410</v>
      </c>
      <c r="J448" s="8" t="s">
        <v>96</v>
      </c>
      <c r="K448" s="8" t="s">
        <v>97</v>
      </c>
      <c r="L448" s="7">
        <v>2015</v>
      </c>
      <c r="M448" s="8" t="s">
        <v>79</v>
      </c>
      <c r="N448" s="11">
        <v>163285834</v>
      </c>
      <c r="O448" s="8" t="s">
        <v>100</v>
      </c>
      <c r="P448" s="8" t="s">
        <v>101</v>
      </c>
      <c r="Q448" s="8"/>
      <c r="R448" s="8" t="s">
        <v>3357</v>
      </c>
    </row>
    <row r="449" spans="1:18" ht="26.15" customHeight="1">
      <c r="A449" s="7">
        <v>443</v>
      </c>
      <c r="B449" s="8" t="s">
        <v>3530</v>
      </c>
      <c r="C449" s="8" t="s">
        <v>3114</v>
      </c>
      <c r="D449" s="8" t="s">
        <v>3531</v>
      </c>
      <c r="E449" s="8" t="s">
        <v>3116</v>
      </c>
      <c r="F449" s="9" t="s">
        <v>3117</v>
      </c>
      <c r="G449" s="10">
        <v>43633</v>
      </c>
      <c r="H449" s="8" t="s">
        <v>95</v>
      </c>
      <c r="I449" s="11">
        <v>8874410</v>
      </c>
      <c r="J449" s="8" t="s">
        <v>96</v>
      </c>
      <c r="K449" s="8" t="s">
        <v>97</v>
      </c>
      <c r="L449" s="7">
        <v>2015</v>
      </c>
      <c r="M449" s="8" t="s">
        <v>79</v>
      </c>
      <c r="N449" s="11">
        <v>163285834</v>
      </c>
      <c r="O449" s="8" t="s">
        <v>100</v>
      </c>
      <c r="P449" s="8" t="s">
        <v>101</v>
      </c>
      <c r="Q449" s="8"/>
      <c r="R449" s="8" t="s">
        <v>3204</v>
      </c>
    </row>
    <row r="450" spans="1:18" ht="26.15" customHeight="1">
      <c r="A450" s="7">
        <v>444</v>
      </c>
      <c r="B450" s="8" t="s">
        <v>929</v>
      </c>
      <c r="C450" s="8" t="s">
        <v>3127</v>
      </c>
      <c r="D450" s="8"/>
      <c r="E450" s="8" t="s">
        <v>3128</v>
      </c>
      <c r="F450" s="9" t="s">
        <v>3123</v>
      </c>
      <c r="G450" s="10">
        <v>43633</v>
      </c>
      <c r="H450" s="8" t="s">
        <v>95</v>
      </c>
      <c r="I450" s="11">
        <v>8874410</v>
      </c>
      <c r="J450" s="8" t="s">
        <v>96</v>
      </c>
      <c r="K450" s="8" t="s">
        <v>97</v>
      </c>
      <c r="L450" s="7">
        <v>2015</v>
      </c>
      <c r="M450" s="8" t="s">
        <v>79</v>
      </c>
      <c r="N450" s="11">
        <v>163285834</v>
      </c>
      <c r="O450" s="8" t="s">
        <v>100</v>
      </c>
      <c r="P450" s="8" t="s">
        <v>101</v>
      </c>
      <c r="Q450" s="8"/>
      <c r="R450" s="8"/>
    </row>
    <row r="451" spans="1:18" ht="26.15" customHeight="1">
      <c r="A451" s="7">
        <v>445</v>
      </c>
      <c r="B451" s="8" t="s">
        <v>3664</v>
      </c>
      <c r="C451" s="8" t="s">
        <v>3139</v>
      </c>
      <c r="D451" s="8" t="s">
        <v>3665</v>
      </c>
      <c r="E451" s="8" t="s">
        <v>3116</v>
      </c>
      <c r="F451" s="9" t="s">
        <v>3123</v>
      </c>
      <c r="G451" s="10">
        <v>43629</v>
      </c>
      <c r="H451" s="8" t="s">
        <v>184</v>
      </c>
      <c r="I451" s="11">
        <v>1700000</v>
      </c>
      <c r="J451" s="8" t="s">
        <v>353</v>
      </c>
      <c r="K451" s="8" t="s">
        <v>354</v>
      </c>
      <c r="L451" s="7">
        <v>2013</v>
      </c>
      <c r="M451" s="8" t="s">
        <v>357</v>
      </c>
      <c r="N451" s="11">
        <v>9700000</v>
      </c>
      <c r="O451" s="8" t="s">
        <v>358</v>
      </c>
      <c r="P451" s="8" t="s">
        <v>359</v>
      </c>
      <c r="Q451" s="8"/>
      <c r="R451" s="8" t="s">
        <v>3666</v>
      </c>
    </row>
    <row r="452" spans="1:18" ht="26.15" customHeight="1">
      <c r="A452" s="7">
        <v>446</v>
      </c>
      <c r="B452" s="8" t="s">
        <v>78</v>
      </c>
      <c r="C452" s="8" t="s">
        <v>3114</v>
      </c>
      <c r="D452" s="8" t="s">
        <v>3146</v>
      </c>
      <c r="E452" s="8" t="s">
        <v>3116</v>
      </c>
      <c r="F452" s="9" t="s">
        <v>3117</v>
      </c>
      <c r="G452" s="10">
        <v>43628</v>
      </c>
      <c r="H452" s="8" t="s">
        <v>25</v>
      </c>
      <c r="I452" s="11">
        <v>12954300</v>
      </c>
      <c r="J452" s="8" t="s">
        <v>74</v>
      </c>
      <c r="K452" s="8" t="s">
        <v>75</v>
      </c>
      <c r="L452" s="7">
        <v>2015</v>
      </c>
      <c r="M452" s="8" t="s">
        <v>79</v>
      </c>
      <c r="N452" s="11">
        <v>36362460</v>
      </c>
      <c r="O452" s="8" t="s">
        <v>80</v>
      </c>
      <c r="P452" s="8" t="s">
        <v>81</v>
      </c>
      <c r="Q452" s="8"/>
      <c r="R452" s="8" t="s">
        <v>3135</v>
      </c>
    </row>
    <row r="453" spans="1:18" ht="26.15" customHeight="1">
      <c r="A453" s="7">
        <v>447</v>
      </c>
      <c r="B453" s="8" t="s">
        <v>3667</v>
      </c>
      <c r="C453" s="8" t="s">
        <v>3127</v>
      </c>
      <c r="D453" s="8"/>
      <c r="E453" s="8" t="s">
        <v>3128</v>
      </c>
      <c r="F453" s="9" t="s">
        <v>3123</v>
      </c>
      <c r="G453" s="10">
        <v>43628</v>
      </c>
      <c r="H453" s="8" t="s">
        <v>25</v>
      </c>
      <c r="I453" s="11">
        <v>12954300</v>
      </c>
      <c r="J453" s="8" t="s">
        <v>74</v>
      </c>
      <c r="K453" s="8" t="s">
        <v>75</v>
      </c>
      <c r="L453" s="7">
        <v>2015</v>
      </c>
      <c r="M453" s="8" t="s">
        <v>79</v>
      </c>
      <c r="N453" s="11">
        <v>36362460</v>
      </c>
      <c r="O453" s="8" t="s">
        <v>80</v>
      </c>
      <c r="P453" s="8" t="s">
        <v>81</v>
      </c>
      <c r="Q453" s="8"/>
      <c r="R453" s="8"/>
    </row>
    <row r="454" spans="1:18" ht="26.15" customHeight="1">
      <c r="A454" s="7">
        <v>448</v>
      </c>
      <c r="B454" s="8" t="s">
        <v>3668</v>
      </c>
      <c r="C454" s="8" t="s">
        <v>3127</v>
      </c>
      <c r="D454" s="8"/>
      <c r="E454" s="8" t="s">
        <v>3128</v>
      </c>
      <c r="F454" s="9" t="s">
        <v>3123</v>
      </c>
      <c r="G454" s="10">
        <v>43628</v>
      </c>
      <c r="H454" s="8" t="s">
        <v>25</v>
      </c>
      <c r="I454" s="11">
        <v>12954300</v>
      </c>
      <c r="J454" s="8" t="s">
        <v>74</v>
      </c>
      <c r="K454" s="8" t="s">
        <v>75</v>
      </c>
      <c r="L454" s="7">
        <v>2015</v>
      </c>
      <c r="M454" s="8" t="s">
        <v>79</v>
      </c>
      <c r="N454" s="11">
        <v>36362460</v>
      </c>
      <c r="O454" s="8" t="s">
        <v>80</v>
      </c>
      <c r="P454" s="8" t="s">
        <v>81</v>
      </c>
      <c r="Q454" s="8"/>
      <c r="R454" s="8"/>
    </row>
    <row r="455" spans="1:18" ht="26.15" customHeight="1">
      <c r="A455" s="7">
        <v>449</v>
      </c>
      <c r="B455" s="8" t="s">
        <v>1242</v>
      </c>
      <c r="C455" s="8" t="s">
        <v>3114</v>
      </c>
      <c r="D455" s="8" t="s">
        <v>3151</v>
      </c>
      <c r="E455" s="8" t="s">
        <v>3116</v>
      </c>
      <c r="F455" s="9" t="s">
        <v>3123</v>
      </c>
      <c r="G455" s="10">
        <v>43628</v>
      </c>
      <c r="H455" s="8" t="s">
        <v>25</v>
      </c>
      <c r="I455" s="11">
        <v>12954300</v>
      </c>
      <c r="J455" s="8" t="s">
        <v>74</v>
      </c>
      <c r="K455" s="8" t="s">
        <v>75</v>
      </c>
      <c r="L455" s="7">
        <v>2015</v>
      </c>
      <c r="M455" s="8" t="s">
        <v>79</v>
      </c>
      <c r="N455" s="11">
        <v>36362460</v>
      </c>
      <c r="O455" s="8" t="s">
        <v>80</v>
      </c>
      <c r="P455" s="8" t="s">
        <v>81</v>
      </c>
      <c r="Q455" s="8"/>
      <c r="R455" s="8" t="s">
        <v>79</v>
      </c>
    </row>
    <row r="456" spans="1:18" ht="26.15" customHeight="1">
      <c r="A456" s="7">
        <v>450</v>
      </c>
      <c r="B456" s="8" t="s">
        <v>2355</v>
      </c>
      <c r="C456" s="8" t="s">
        <v>3114</v>
      </c>
      <c r="D456" s="8" t="s">
        <v>3147</v>
      </c>
      <c r="E456" s="8" t="s">
        <v>3116</v>
      </c>
      <c r="F456" s="9" t="s">
        <v>3123</v>
      </c>
      <c r="G456" s="10">
        <v>43628</v>
      </c>
      <c r="H456" s="8" t="s">
        <v>25</v>
      </c>
      <c r="I456" s="11">
        <v>12954300</v>
      </c>
      <c r="J456" s="8" t="s">
        <v>74</v>
      </c>
      <c r="K456" s="8" t="s">
        <v>75</v>
      </c>
      <c r="L456" s="7">
        <v>2015</v>
      </c>
      <c r="M456" s="8" t="s">
        <v>79</v>
      </c>
      <c r="N456" s="11">
        <v>36362460</v>
      </c>
      <c r="O456" s="8" t="s">
        <v>80</v>
      </c>
      <c r="P456" s="8" t="s">
        <v>81</v>
      </c>
      <c r="Q456" s="8"/>
      <c r="R456" s="8" t="s">
        <v>3148</v>
      </c>
    </row>
    <row r="457" spans="1:18" ht="26.15" customHeight="1">
      <c r="A457" s="7">
        <v>451</v>
      </c>
      <c r="B457" s="8" t="s">
        <v>29</v>
      </c>
      <c r="C457" s="8" t="s">
        <v>3114</v>
      </c>
      <c r="D457" s="8" t="s">
        <v>3115</v>
      </c>
      <c r="E457" s="8" t="s">
        <v>3116</v>
      </c>
      <c r="F457" s="9" t="s">
        <v>3123</v>
      </c>
      <c r="G457" s="10">
        <v>43628</v>
      </c>
      <c r="H457" s="8" t="s">
        <v>25</v>
      </c>
      <c r="I457" s="11">
        <v>12954300</v>
      </c>
      <c r="J457" s="8" t="s">
        <v>74</v>
      </c>
      <c r="K457" s="8" t="s">
        <v>75</v>
      </c>
      <c r="L457" s="7">
        <v>2015</v>
      </c>
      <c r="M457" s="8" t="s">
        <v>79</v>
      </c>
      <c r="N457" s="11">
        <v>36362460</v>
      </c>
      <c r="O457" s="8" t="s">
        <v>80</v>
      </c>
      <c r="P457" s="8" t="s">
        <v>81</v>
      </c>
      <c r="Q457" s="8"/>
      <c r="R457" s="8" t="s">
        <v>3118</v>
      </c>
    </row>
    <row r="458" spans="1:18" ht="26.15" customHeight="1">
      <c r="A458" s="7">
        <v>452</v>
      </c>
      <c r="B458" s="8" t="s">
        <v>1831</v>
      </c>
      <c r="C458" s="8"/>
      <c r="D458" s="8" t="s">
        <v>3567</v>
      </c>
      <c r="E458" s="8" t="s">
        <v>3116</v>
      </c>
      <c r="F458" s="9" t="s">
        <v>3123</v>
      </c>
      <c r="G458" s="10">
        <v>43619</v>
      </c>
      <c r="H458" s="8" t="s">
        <v>302</v>
      </c>
      <c r="I458" s="11">
        <v>2871620</v>
      </c>
      <c r="J458" s="8" t="s">
        <v>96</v>
      </c>
      <c r="K458" s="8" t="s">
        <v>97</v>
      </c>
      <c r="L458" s="7">
        <v>2015</v>
      </c>
      <c r="M458" s="8" t="s">
        <v>79</v>
      </c>
      <c r="N458" s="11">
        <v>163285834</v>
      </c>
      <c r="O458" s="8" t="s">
        <v>100</v>
      </c>
      <c r="P458" s="8" t="s">
        <v>101</v>
      </c>
      <c r="Q458" s="8"/>
      <c r="R458" s="8" t="s">
        <v>128</v>
      </c>
    </row>
    <row r="459" spans="1:18" ht="26.15" customHeight="1">
      <c r="A459" s="7">
        <v>453</v>
      </c>
      <c r="B459" s="8" t="s">
        <v>3639</v>
      </c>
      <c r="C459" s="8" t="s">
        <v>3114</v>
      </c>
      <c r="D459" s="8" t="s">
        <v>3640</v>
      </c>
      <c r="E459" s="8" t="s">
        <v>3116</v>
      </c>
      <c r="F459" s="9" t="s">
        <v>3123</v>
      </c>
      <c r="G459" s="10">
        <v>43617</v>
      </c>
      <c r="H459" s="8" t="s">
        <v>184</v>
      </c>
      <c r="I459" s="11" t="s">
        <v>50</v>
      </c>
      <c r="J459" s="8" t="s">
        <v>976</v>
      </c>
      <c r="K459" s="8" t="s">
        <v>977</v>
      </c>
      <c r="L459" s="7">
        <v>2019</v>
      </c>
      <c r="M459" s="8" t="s">
        <v>79</v>
      </c>
      <c r="N459" s="11"/>
      <c r="O459" s="8" t="s">
        <v>978</v>
      </c>
      <c r="P459" s="8" t="s">
        <v>979</v>
      </c>
      <c r="Q459" s="8"/>
      <c r="R459" s="8" t="s">
        <v>79</v>
      </c>
    </row>
    <row r="460" spans="1:18" ht="26.15" customHeight="1">
      <c r="A460" s="7">
        <v>454</v>
      </c>
      <c r="B460" s="8" t="s">
        <v>983</v>
      </c>
      <c r="C460" s="8" t="s">
        <v>3139</v>
      </c>
      <c r="D460" s="8" t="s">
        <v>3669</v>
      </c>
      <c r="E460" s="8" t="s">
        <v>3116</v>
      </c>
      <c r="F460" s="9" t="s">
        <v>3117</v>
      </c>
      <c r="G460" s="10">
        <v>43615</v>
      </c>
      <c r="H460" s="8" t="s">
        <v>109</v>
      </c>
      <c r="I460" s="11" t="s">
        <v>50</v>
      </c>
      <c r="J460" s="8" t="s">
        <v>980</v>
      </c>
      <c r="K460" s="8" t="s">
        <v>981</v>
      </c>
      <c r="L460" s="7">
        <v>2012</v>
      </c>
      <c r="M460" s="8" t="s">
        <v>181</v>
      </c>
      <c r="N460" s="11">
        <v>987327</v>
      </c>
      <c r="O460" s="8" t="s">
        <v>984</v>
      </c>
      <c r="P460" s="8" t="s">
        <v>435</v>
      </c>
      <c r="Q460" s="8"/>
      <c r="R460" s="8" t="s">
        <v>3169</v>
      </c>
    </row>
    <row r="461" spans="1:18" ht="26.15" customHeight="1">
      <c r="A461" s="7">
        <v>455</v>
      </c>
      <c r="B461" s="8" t="s">
        <v>988</v>
      </c>
      <c r="C461" s="8" t="s">
        <v>3127</v>
      </c>
      <c r="D461" s="8"/>
      <c r="E461" s="8" t="s">
        <v>3128</v>
      </c>
      <c r="F461" s="9" t="s">
        <v>3117</v>
      </c>
      <c r="G461" s="10">
        <v>43615</v>
      </c>
      <c r="H461" s="8" t="s">
        <v>124</v>
      </c>
      <c r="I461" s="11">
        <v>136390</v>
      </c>
      <c r="J461" s="8" t="s">
        <v>985</v>
      </c>
      <c r="K461" s="8" t="s">
        <v>986</v>
      </c>
      <c r="L461" s="7">
        <v>2017</v>
      </c>
      <c r="M461" s="8" t="s">
        <v>47</v>
      </c>
      <c r="N461" s="11">
        <v>136390</v>
      </c>
      <c r="O461" s="8" t="s">
        <v>989</v>
      </c>
      <c r="P461" s="8" t="s">
        <v>990</v>
      </c>
      <c r="Q461" s="8"/>
      <c r="R461" s="8"/>
    </row>
    <row r="462" spans="1:18" ht="26.15" customHeight="1">
      <c r="A462" s="7">
        <v>456</v>
      </c>
      <c r="B462" s="8" t="s">
        <v>3670</v>
      </c>
      <c r="C462" s="8" t="s">
        <v>3127</v>
      </c>
      <c r="D462" s="8"/>
      <c r="E462" s="8" t="s">
        <v>3128</v>
      </c>
      <c r="F462" s="9" t="s">
        <v>3123</v>
      </c>
      <c r="G462" s="10">
        <v>43615</v>
      </c>
      <c r="H462" s="8" t="s">
        <v>124</v>
      </c>
      <c r="I462" s="11">
        <v>136390</v>
      </c>
      <c r="J462" s="8" t="s">
        <v>985</v>
      </c>
      <c r="K462" s="8" t="s">
        <v>986</v>
      </c>
      <c r="L462" s="7">
        <v>2017</v>
      </c>
      <c r="M462" s="8" t="s">
        <v>47</v>
      </c>
      <c r="N462" s="11">
        <v>136390</v>
      </c>
      <c r="O462" s="8" t="s">
        <v>989</v>
      </c>
      <c r="P462" s="8" t="s">
        <v>990</v>
      </c>
      <c r="Q462" s="8"/>
      <c r="R462" s="8"/>
    </row>
    <row r="463" spans="1:18" ht="26.15" customHeight="1">
      <c r="A463" s="7">
        <v>457</v>
      </c>
      <c r="B463" s="8" t="s">
        <v>3671</v>
      </c>
      <c r="C463" s="8" t="s">
        <v>3127</v>
      </c>
      <c r="D463" s="8"/>
      <c r="E463" s="8" t="s">
        <v>3128</v>
      </c>
      <c r="F463" s="9" t="s">
        <v>3123</v>
      </c>
      <c r="G463" s="10">
        <v>43615</v>
      </c>
      <c r="H463" s="8" t="s">
        <v>124</v>
      </c>
      <c r="I463" s="11">
        <v>136390</v>
      </c>
      <c r="J463" s="8" t="s">
        <v>985</v>
      </c>
      <c r="K463" s="8" t="s">
        <v>986</v>
      </c>
      <c r="L463" s="7">
        <v>2017</v>
      </c>
      <c r="M463" s="8" t="s">
        <v>47</v>
      </c>
      <c r="N463" s="11">
        <v>136390</v>
      </c>
      <c r="O463" s="8" t="s">
        <v>989</v>
      </c>
      <c r="P463" s="8" t="s">
        <v>990</v>
      </c>
      <c r="Q463" s="8"/>
      <c r="R463" s="8"/>
    </row>
    <row r="464" spans="1:18" ht="26.15" customHeight="1">
      <c r="A464" s="7">
        <v>458</v>
      </c>
      <c r="B464" s="8" t="s">
        <v>3672</v>
      </c>
      <c r="C464" s="8" t="s">
        <v>3127</v>
      </c>
      <c r="D464" s="8"/>
      <c r="E464" s="8" t="s">
        <v>3128</v>
      </c>
      <c r="F464" s="9" t="s">
        <v>3123</v>
      </c>
      <c r="G464" s="10">
        <v>43615</v>
      </c>
      <c r="H464" s="8" t="s">
        <v>289</v>
      </c>
      <c r="I464" s="11">
        <v>157428</v>
      </c>
      <c r="J464" s="8" t="s">
        <v>991</v>
      </c>
      <c r="K464" s="8" t="s">
        <v>992</v>
      </c>
      <c r="L464" s="7">
        <v>2014</v>
      </c>
      <c r="M464" s="8" t="s">
        <v>128</v>
      </c>
      <c r="N464" s="11">
        <v>1570818</v>
      </c>
      <c r="O464" s="8" t="s">
        <v>994</v>
      </c>
      <c r="P464" s="8" t="s">
        <v>995</v>
      </c>
      <c r="Q464" s="8"/>
      <c r="R464" s="8"/>
    </row>
    <row r="465" spans="1:18" ht="26.15" customHeight="1">
      <c r="A465" s="7">
        <v>459</v>
      </c>
      <c r="B465" s="8" t="s">
        <v>3673</v>
      </c>
      <c r="C465" s="8" t="s">
        <v>3127</v>
      </c>
      <c r="D465" s="8"/>
      <c r="E465" s="8" t="s">
        <v>3128</v>
      </c>
      <c r="F465" s="9" t="s">
        <v>3123</v>
      </c>
      <c r="G465" s="10">
        <v>43615</v>
      </c>
      <c r="H465" s="8" t="s">
        <v>289</v>
      </c>
      <c r="I465" s="11">
        <v>157428</v>
      </c>
      <c r="J465" s="8" t="s">
        <v>991</v>
      </c>
      <c r="K465" s="8" t="s">
        <v>992</v>
      </c>
      <c r="L465" s="7">
        <v>2014</v>
      </c>
      <c r="M465" s="8" t="s">
        <v>128</v>
      </c>
      <c r="N465" s="11">
        <v>1570818</v>
      </c>
      <c r="O465" s="8" t="s">
        <v>994</v>
      </c>
      <c r="P465" s="8" t="s">
        <v>995</v>
      </c>
      <c r="Q465" s="8"/>
      <c r="R465" s="8"/>
    </row>
    <row r="466" spans="1:18" ht="26.15" customHeight="1">
      <c r="A466" s="7">
        <v>460</v>
      </c>
      <c r="B466" s="8" t="s">
        <v>3674</v>
      </c>
      <c r="C466" s="8" t="s">
        <v>3127</v>
      </c>
      <c r="D466" s="8"/>
      <c r="E466" s="8" t="s">
        <v>3128</v>
      </c>
      <c r="F466" s="9" t="s">
        <v>3123</v>
      </c>
      <c r="G466" s="10">
        <v>43615</v>
      </c>
      <c r="H466" s="8" t="s">
        <v>289</v>
      </c>
      <c r="I466" s="11">
        <v>157428</v>
      </c>
      <c r="J466" s="8" t="s">
        <v>991</v>
      </c>
      <c r="K466" s="8" t="s">
        <v>992</v>
      </c>
      <c r="L466" s="7">
        <v>2014</v>
      </c>
      <c r="M466" s="8" t="s">
        <v>128</v>
      </c>
      <c r="N466" s="11">
        <v>1570818</v>
      </c>
      <c r="O466" s="8" t="s">
        <v>994</v>
      </c>
      <c r="P466" s="8" t="s">
        <v>995</v>
      </c>
      <c r="Q466" s="8"/>
      <c r="R466" s="8"/>
    </row>
    <row r="467" spans="1:18" ht="26.15" customHeight="1">
      <c r="A467" s="7">
        <v>461</v>
      </c>
      <c r="B467" s="8" t="s">
        <v>3675</v>
      </c>
      <c r="C467" s="8" t="s">
        <v>3127</v>
      </c>
      <c r="D467" s="8"/>
      <c r="E467" s="8" t="s">
        <v>3128</v>
      </c>
      <c r="F467" s="9" t="s">
        <v>3123</v>
      </c>
      <c r="G467" s="10">
        <v>43615</v>
      </c>
      <c r="H467" s="8" t="s">
        <v>289</v>
      </c>
      <c r="I467" s="11">
        <v>157428</v>
      </c>
      <c r="J467" s="8" t="s">
        <v>991</v>
      </c>
      <c r="K467" s="8" t="s">
        <v>992</v>
      </c>
      <c r="L467" s="7">
        <v>2014</v>
      </c>
      <c r="M467" s="8" t="s">
        <v>128</v>
      </c>
      <c r="N467" s="11">
        <v>1570818</v>
      </c>
      <c r="O467" s="8" t="s">
        <v>994</v>
      </c>
      <c r="P467" s="8" t="s">
        <v>995</v>
      </c>
      <c r="Q467" s="8"/>
      <c r="R467" s="8"/>
    </row>
    <row r="468" spans="1:18" ht="26.15" customHeight="1">
      <c r="A468" s="7">
        <v>462</v>
      </c>
      <c r="B468" s="8" t="s">
        <v>1000</v>
      </c>
      <c r="C468" s="8"/>
      <c r="D468" s="8" t="s">
        <v>3676</v>
      </c>
      <c r="E468" s="8" t="s">
        <v>3116</v>
      </c>
      <c r="F468" s="9" t="s">
        <v>3117</v>
      </c>
      <c r="G468" s="10">
        <v>43613</v>
      </c>
      <c r="H468" s="8" t="s">
        <v>34</v>
      </c>
      <c r="I468" s="11">
        <v>2000000</v>
      </c>
      <c r="J468" s="8" t="s">
        <v>996</v>
      </c>
      <c r="K468" s="8" t="s">
        <v>997</v>
      </c>
      <c r="L468" s="7">
        <v>2018</v>
      </c>
      <c r="M468" s="8" t="s">
        <v>313</v>
      </c>
      <c r="N468" s="11">
        <v>2000000</v>
      </c>
      <c r="O468" s="8" t="s">
        <v>1001</v>
      </c>
      <c r="P468" s="8" t="s">
        <v>1002</v>
      </c>
      <c r="Q468" s="8"/>
      <c r="R468" s="8" t="s">
        <v>313</v>
      </c>
    </row>
    <row r="469" spans="1:18" ht="26.15" customHeight="1">
      <c r="A469" s="7">
        <v>463</v>
      </c>
      <c r="B469" s="8" t="s">
        <v>3677</v>
      </c>
      <c r="C469" s="8" t="s">
        <v>3114</v>
      </c>
      <c r="D469" s="8" t="s">
        <v>3678</v>
      </c>
      <c r="E469" s="8" t="s">
        <v>3116</v>
      </c>
      <c r="F469" s="9" t="s">
        <v>3123</v>
      </c>
      <c r="G469" s="10">
        <v>43613</v>
      </c>
      <c r="H469" s="8" t="s">
        <v>34</v>
      </c>
      <c r="I469" s="11">
        <v>2000000</v>
      </c>
      <c r="J469" s="8" t="s">
        <v>996</v>
      </c>
      <c r="K469" s="8" t="s">
        <v>997</v>
      </c>
      <c r="L469" s="7">
        <v>2018</v>
      </c>
      <c r="M469" s="8" t="s">
        <v>313</v>
      </c>
      <c r="N469" s="11">
        <v>2000000</v>
      </c>
      <c r="O469" s="8" t="s">
        <v>1001</v>
      </c>
      <c r="P469" s="8" t="s">
        <v>1002</v>
      </c>
      <c r="Q469" s="8"/>
      <c r="R469" s="8" t="s">
        <v>3311</v>
      </c>
    </row>
    <row r="470" spans="1:18" ht="26.15" customHeight="1">
      <c r="A470" s="7">
        <v>464</v>
      </c>
      <c r="B470" s="8" t="s">
        <v>3679</v>
      </c>
      <c r="C470" s="8" t="s">
        <v>3127</v>
      </c>
      <c r="D470" s="8"/>
      <c r="E470" s="8" t="s">
        <v>3128</v>
      </c>
      <c r="F470" s="9" t="s">
        <v>3123</v>
      </c>
      <c r="G470" s="10">
        <v>43613</v>
      </c>
      <c r="H470" s="8" t="s">
        <v>34</v>
      </c>
      <c r="I470" s="11">
        <v>2000000</v>
      </c>
      <c r="J470" s="8" t="s">
        <v>996</v>
      </c>
      <c r="K470" s="8" t="s">
        <v>997</v>
      </c>
      <c r="L470" s="7">
        <v>2018</v>
      </c>
      <c r="M470" s="8" t="s">
        <v>313</v>
      </c>
      <c r="N470" s="11">
        <v>2000000</v>
      </c>
      <c r="O470" s="8" t="s">
        <v>1001</v>
      </c>
      <c r="P470" s="8" t="s">
        <v>1002</v>
      </c>
      <c r="Q470" s="8"/>
      <c r="R470" s="8"/>
    </row>
    <row r="471" spans="1:18" ht="26.15" customHeight="1">
      <c r="A471" s="7">
        <v>465</v>
      </c>
      <c r="B471" s="8" t="s">
        <v>3680</v>
      </c>
      <c r="C471" s="8" t="s">
        <v>3127</v>
      </c>
      <c r="D471" s="8"/>
      <c r="E471" s="8" t="s">
        <v>3128</v>
      </c>
      <c r="F471" s="9" t="s">
        <v>3123</v>
      </c>
      <c r="G471" s="10">
        <v>43613</v>
      </c>
      <c r="H471" s="8" t="s">
        <v>34</v>
      </c>
      <c r="I471" s="11">
        <v>2000000</v>
      </c>
      <c r="J471" s="8" t="s">
        <v>996</v>
      </c>
      <c r="K471" s="8" t="s">
        <v>997</v>
      </c>
      <c r="L471" s="7">
        <v>2018</v>
      </c>
      <c r="M471" s="8" t="s">
        <v>313</v>
      </c>
      <c r="N471" s="11">
        <v>2000000</v>
      </c>
      <c r="O471" s="8" t="s">
        <v>1001</v>
      </c>
      <c r="P471" s="8" t="s">
        <v>1002</v>
      </c>
      <c r="Q471" s="8"/>
      <c r="R471" s="8"/>
    </row>
    <row r="472" spans="1:18" ht="26.15" customHeight="1">
      <c r="A472" s="7">
        <v>466</v>
      </c>
      <c r="B472" s="8" t="s">
        <v>690</v>
      </c>
      <c r="C472" s="8"/>
      <c r="D472" s="8" t="s">
        <v>3540</v>
      </c>
      <c r="E472" s="8" t="s">
        <v>3116</v>
      </c>
      <c r="F472" s="9" t="s">
        <v>3117</v>
      </c>
      <c r="G472" s="10">
        <v>43613</v>
      </c>
      <c r="H472" s="8" t="s">
        <v>109</v>
      </c>
      <c r="I472" s="11">
        <v>6000000</v>
      </c>
      <c r="J472" s="8" t="s">
        <v>687</v>
      </c>
      <c r="K472" s="8" t="s">
        <v>688</v>
      </c>
      <c r="L472" s="7">
        <v>2008</v>
      </c>
      <c r="M472" s="8" t="s">
        <v>691</v>
      </c>
      <c r="N472" s="11">
        <v>14500000</v>
      </c>
      <c r="O472" s="8" t="s">
        <v>692</v>
      </c>
      <c r="P472" s="8" t="s">
        <v>693</v>
      </c>
      <c r="Q472" s="8"/>
      <c r="R472" s="8" t="s">
        <v>3269</v>
      </c>
    </row>
    <row r="473" spans="1:18" ht="26.15" customHeight="1">
      <c r="A473" s="7">
        <v>467</v>
      </c>
      <c r="B473" s="8" t="s">
        <v>924</v>
      </c>
      <c r="C473" s="8" t="s">
        <v>3114</v>
      </c>
      <c r="D473" s="8" t="s">
        <v>3337</v>
      </c>
      <c r="E473" s="8" t="s">
        <v>3116</v>
      </c>
      <c r="F473" s="9" t="s">
        <v>3117</v>
      </c>
      <c r="G473" s="10">
        <v>43612</v>
      </c>
      <c r="H473" s="8" t="s">
        <v>109</v>
      </c>
      <c r="I473" s="11">
        <v>10000000</v>
      </c>
      <c r="J473" s="8" t="s">
        <v>485</v>
      </c>
      <c r="K473" s="8" t="s">
        <v>486</v>
      </c>
      <c r="L473" s="7">
        <v>2015</v>
      </c>
      <c r="M473" s="8" t="s">
        <v>207</v>
      </c>
      <c r="N473" s="11">
        <v>29000000</v>
      </c>
      <c r="O473" s="8" t="s">
        <v>489</v>
      </c>
      <c r="P473" s="8" t="s">
        <v>490</v>
      </c>
      <c r="Q473" s="8"/>
      <c r="R473" s="8" t="s">
        <v>3204</v>
      </c>
    </row>
    <row r="474" spans="1:18" ht="26.15" customHeight="1">
      <c r="A474" s="7">
        <v>468</v>
      </c>
      <c r="B474" s="8" t="s">
        <v>3428</v>
      </c>
      <c r="C474" s="8" t="s">
        <v>3114</v>
      </c>
      <c r="D474" s="8" t="s">
        <v>3429</v>
      </c>
      <c r="E474" s="8" t="s">
        <v>3116</v>
      </c>
      <c r="F474" s="9" t="s">
        <v>3123</v>
      </c>
      <c r="G474" s="10">
        <v>43612</v>
      </c>
      <c r="H474" s="8" t="s">
        <v>109</v>
      </c>
      <c r="I474" s="11">
        <v>10000000</v>
      </c>
      <c r="J474" s="8" t="s">
        <v>485</v>
      </c>
      <c r="K474" s="8" t="s">
        <v>486</v>
      </c>
      <c r="L474" s="7">
        <v>2015</v>
      </c>
      <c r="M474" s="8" t="s">
        <v>207</v>
      </c>
      <c r="N474" s="11">
        <v>29000000</v>
      </c>
      <c r="O474" s="8" t="s">
        <v>489</v>
      </c>
      <c r="P474" s="8" t="s">
        <v>490</v>
      </c>
      <c r="Q474" s="8"/>
      <c r="R474" s="8" t="s">
        <v>207</v>
      </c>
    </row>
    <row r="475" spans="1:18" ht="26.15" customHeight="1">
      <c r="A475" s="7">
        <v>469</v>
      </c>
      <c r="B475" s="8" t="s">
        <v>3436</v>
      </c>
      <c r="C475" s="8" t="s">
        <v>3114</v>
      </c>
      <c r="D475" s="8" t="s">
        <v>3437</v>
      </c>
      <c r="E475" s="8" t="s">
        <v>3116</v>
      </c>
      <c r="F475" s="9" t="s">
        <v>3123</v>
      </c>
      <c r="G475" s="10">
        <v>43612</v>
      </c>
      <c r="H475" s="8" t="s">
        <v>109</v>
      </c>
      <c r="I475" s="11">
        <v>10000000</v>
      </c>
      <c r="J475" s="8" t="s">
        <v>485</v>
      </c>
      <c r="K475" s="8" t="s">
        <v>486</v>
      </c>
      <c r="L475" s="7">
        <v>2015</v>
      </c>
      <c r="M475" s="8" t="s">
        <v>207</v>
      </c>
      <c r="N475" s="11">
        <v>29000000</v>
      </c>
      <c r="O475" s="8" t="s">
        <v>489</v>
      </c>
      <c r="P475" s="8" t="s">
        <v>490</v>
      </c>
      <c r="Q475" s="8"/>
      <c r="R475" s="8" t="s">
        <v>3204</v>
      </c>
    </row>
    <row r="476" spans="1:18" ht="26.15" customHeight="1">
      <c r="A476" s="7">
        <v>470</v>
      </c>
      <c r="B476" s="8" t="s">
        <v>3681</v>
      </c>
      <c r="C476" s="8" t="s">
        <v>3114</v>
      </c>
      <c r="D476" s="8" t="s">
        <v>3682</v>
      </c>
      <c r="E476" s="8" t="s">
        <v>3116</v>
      </c>
      <c r="F476" s="9" t="s">
        <v>3123</v>
      </c>
      <c r="G476" s="10">
        <v>43612</v>
      </c>
      <c r="H476" s="8" t="s">
        <v>109</v>
      </c>
      <c r="I476" s="11">
        <v>10000000</v>
      </c>
      <c r="J476" s="8" t="s">
        <v>485</v>
      </c>
      <c r="K476" s="8" t="s">
        <v>486</v>
      </c>
      <c r="L476" s="7">
        <v>2015</v>
      </c>
      <c r="M476" s="8" t="s">
        <v>207</v>
      </c>
      <c r="N476" s="11">
        <v>29000000</v>
      </c>
      <c r="O476" s="8" t="s">
        <v>489</v>
      </c>
      <c r="P476" s="8" t="s">
        <v>490</v>
      </c>
      <c r="Q476" s="8"/>
      <c r="R476" s="8" t="s">
        <v>3118</v>
      </c>
    </row>
    <row r="477" spans="1:18" ht="26.15" customHeight="1">
      <c r="A477" s="7">
        <v>471</v>
      </c>
      <c r="B477" s="8" t="s">
        <v>3683</v>
      </c>
      <c r="C477" s="8" t="s">
        <v>3114</v>
      </c>
      <c r="D477" s="8" t="s">
        <v>3684</v>
      </c>
      <c r="E477" s="8" t="s">
        <v>3116</v>
      </c>
      <c r="F477" s="9" t="s">
        <v>3123</v>
      </c>
      <c r="G477" s="10">
        <v>43612</v>
      </c>
      <c r="H477" s="8" t="s">
        <v>109</v>
      </c>
      <c r="I477" s="11">
        <v>10000000</v>
      </c>
      <c r="J477" s="8" t="s">
        <v>485</v>
      </c>
      <c r="K477" s="8" t="s">
        <v>486</v>
      </c>
      <c r="L477" s="7">
        <v>2015</v>
      </c>
      <c r="M477" s="8" t="s">
        <v>207</v>
      </c>
      <c r="N477" s="11">
        <v>29000000</v>
      </c>
      <c r="O477" s="8" t="s">
        <v>489</v>
      </c>
      <c r="P477" s="8" t="s">
        <v>490</v>
      </c>
      <c r="Q477" s="8"/>
      <c r="R477" s="8" t="s">
        <v>3118</v>
      </c>
    </row>
    <row r="478" spans="1:18" ht="26.15" customHeight="1">
      <c r="A478" s="7">
        <v>472</v>
      </c>
      <c r="B478" s="8" t="s">
        <v>1007</v>
      </c>
      <c r="C478" s="8" t="s">
        <v>3139</v>
      </c>
      <c r="D478" s="8" t="s">
        <v>1007</v>
      </c>
      <c r="E478" s="8" t="s">
        <v>3116</v>
      </c>
      <c r="F478" s="9" t="s">
        <v>3123</v>
      </c>
      <c r="G478" s="10">
        <v>43608</v>
      </c>
      <c r="H478" s="8" t="s">
        <v>184</v>
      </c>
      <c r="I478" s="11">
        <v>2010000</v>
      </c>
      <c r="J478" s="8" t="s">
        <v>1005</v>
      </c>
      <c r="K478" s="8" t="s">
        <v>1006</v>
      </c>
      <c r="L478" s="7">
        <v>1965</v>
      </c>
      <c r="M478" s="8" t="s">
        <v>369</v>
      </c>
      <c r="N478" s="11"/>
      <c r="O478" s="8" t="s">
        <v>1008</v>
      </c>
      <c r="P478" s="8" t="s">
        <v>1009</v>
      </c>
      <c r="Q478" s="8"/>
      <c r="R478" s="8"/>
    </row>
    <row r="479" spans="1:18" ht="26.15" customHeight="1">
      <c r="A479" s="7">
        <v>473</v>
      </c>
      <c r="B479" s="8" t="s">
        <v>3685</v>
      </c>
      <c r="C479" s="8" t="s">
        <v>3114</v>
      </c>
      <c r="D479" s="8" t="s">
        <v>3686</v>
      </c>
      <c r="E479" s="8" t="s">
        <v>3116</v>
      </c>
      <c r="F479" s="9" t="s">
        <v>3123</v>
      </c>
      <c r="G479" s="10">
        <v>43606</v>
      </c>
      <c r="H479" s="8" t="s">
        <v>184</v>
      </c>
      <c r="I479" s="11" t="s">
        <v>50</v>
      </c>
      <c r="J479" s="8" t="s">
        <v>308</v>
      </c>
      <c r="K479" s="8" t="s">
        <v>309</v>
      </c>
      <c r="L479" s="7">
        <v>2017</v>
      </c>
      <c r="M479" s="8" t="s">
        <v>313</v>
      </c>
      <c r="N479" s="11">
        <v>6014060</v>
      </c>
      <c r="O479" s="8" t="s">
        <v>314</v>
      </c>
      <c r="P479" s="8" t="s">
        <v>315</v>
      </c>
      <c r="Q479" s="8"/>
      <c r="R479" s="8" t="s">
        <v>3204</v>
      </c>
    </row>
    <row r="480" spans="1:18" ht="26.15" customHeight="1">
      <c r="A480" s="7">
        <v>474</v>
      </c>
      <c r="B480" s="8" t="s">
        <v>1014</v>
      </c>
      <c r="C480" s="8" t="s">
        <v>3114</v>
      </c>
      <c r="D480" s="8" t="s">
        <v>3687</v>
      </c>
      <c r="E480" s="8" t="s">
        <v>3116</v>
      </c>
      <c r="F480" s="9" t="s">
        <v>3117</v>
      </c>
      <c r="G480" s="10">
        <v>43605</v>
      </c>
      <c r="H480" s="8" t="s">
        <v>34</v>
      </c>
      <c r="I480" s="11">
        <v>100000</v>
      </c>
      <c r="J480" s="8" t="s">
        <v>1011</v>
      </c>
      <c r="K480" s="8" t="s">
        <v>1012</v>
      </c>
      <c r="L480" s="7">
        <v>2017</v>
      </c>
      <c r="M480" s="8" t="s">
        <v>1015</v>
      </c>
      <c r="N480" s="11">
        <v>100000</v>
      </c>
      <c r="O480" s="8" t="s">
        <v>1016</v>
      </c>
      <c r="P480" s="8" t="s">
        <v>1017</v>
      </c>
      <c r="Q480" s="8"/>
      <c r="R480" s="8" t="s">
        <v>3688</v>
      </c>
    </row>
    <row r="481" spans="1:18" ht="26.15" customHeight="1">
      <c r="A481" s="7">
        <v>475</v>
      </c>
      <c r="B481" s="8" t="s">
        <v>3689</v>
      </c>
      <c r="C481" s="8" t="s">
        <v>3114</v>
      </c>
      <c r="D481" s="8" t="s">
        <v>3690</v>
      </c>
      <c r="E481" s="8" t="s">
        <v>3116</v>
      </c>
      <c r="F481" s="9" t="s">
        <v>3123</v>
      </c>
      <c r="G481" s="10">
        <v>43602</v>
      </c>
      <c r="H481" s="8" t="s">
        <v>184</v>
      </c>
      <c r="I481" s="11">
        <v>40000</v>
      </c>
      <c r="J481" s="8" t="s">
        <v>1018</v>
      </c>
      <c r="K481" s="8" t="s">
        <v>1019</v>
      </c>
      <c r="L481" s="7">
        <v>2017</v>
      </c>
      <c r="M481" s="8" t="s">
        <v>56</v>
      </c>
      <c r="N481" s="11"/>
      <c r="O481" s="8" t="s">
        <v>1021</v>
      </c>
      <c r="P481" s="8" t="s">
        <v>1022</v>
      </c>
      <c r="Q481" s="8"/>
      <c r="R481" s="8" t="s">
        <v>299</v>
      </c>
    </row>
    <row r="482" spans="1:18" ht="26.15" customHeight="1">
      <c r="A482" s="7">
        <v>476</v>
      </c>
      <c r="B482" s="8" t="s">
        <v>1831</v>
      </c>
      <c r="C482" s="8"/>
      <c r="D482" s="8" t="s">
        <v>3567</v>
      </c>
      <c r="E482" s="8" t="s">
        <v>3116</v>
      </c>
      <c r="F482" s="9" t="s">
        <v>3123</v>
      </c>
      <c r="G482" s="10">
        <v>43600</v>
      </c>
      <c r="H482" s="8" t="s">
        <v>302</v>
      </c>
      <c r="I482" s="11">
        <v>2834610</v>
      </c>
      <c r="J482" s="8" t="s">
        <v>458</v>
      </c>
      <c r="K482" s="8" t="s">
        <v>459</v>
      </c>
      <c r="L482" s="7">
        <v>2012</v>
      </c>
      <c r="M482" s="8" t="s">
        <v>462</v>
      </c>
      <c r="N482" s="11">
        <v>16507907</v>
      </c>
      <c r="O482" s="8" t="s">
        <v>463</v>
      </c>
      <c r="P482" s="8" t="s">
        <v>464</v>
      </c>
      <c r="Q482" s="8"/>
      <c r="R482" s="8" t="s">
        <v>128</v>
      </c>
    </row>
    <row r="483" spans="1:18" ht="26.15" customHeight="1">
      <c r="A483" s="7">
        <v>477</v>
      </c>
      <c r="B483" s="8" t="s">
        <v>1023</v>
      </c>
      <c r="C483" s="8" t="s">
        <v>3127</v>
      </c>
      <c r="D483" s="8"/>
      <c r="E483" s="8" t="s">
        <v>3128</v>
      </c>
      <c r="F483" s="9" t="s">
        <v>3117</v>
      </c>
      <c r="G483" s="10">
        <v>43600</v>
      </c>
      <c r="H483" s="8" t="s">
        <v>124</v>
      </c>
      <c r="I483" s="11">
        <v>56692</v>
      </c>
      <c r="J483" s="8" t="s">
        <v>573</v>
      </c>
      <c r="K483" s="8" t="s">
        <v>574</v>
      </c>
      <c r="L483" s="7">
        <v>2017</v>
      </c>
      <c r="M483" s="8" t="s">
        <v>128</v>
      </c>
      <c r="N483" s="11">
        <v>365851</v>
      </c>
      <c r="O483" s="8" t="s">
        <v>578</v>
      </c>
      <c r="P483" s="8" t="s">
        <v>579</v>
      </c>
      <c r="Q483" s="8"/>
      <c r="R483" s="8"/>
    </row>
    <row r="484" spans="1:18" ht="26.15" customHeight="1">
      <c r="A484" s="7">
        <v>478</v>
      </c>
      <c r="B484" s="8" t="s">
        <v>3691</v>
      </c>
      <c r="C484" s="8" t="s">
        <v>3139</v>
      </c>
      <c r="D484" s="8" t="s">
        <v>3692</v>
      </c>
      <c r="E484" s="8" t="s">
        <v>3116</v>
      </c>
      <c r="F484" s="9" t="s">
        <v>3117</v>
      </c>
      <c r="G484" s="10">
        <v>43600</v>
      </c>
      <c r="H484" s="8" t="s">
        <v>34</v>
      </c>
      <c r="I484" s="11">
        <v>1900000</v>
      </c>
      <c r="J484" s="8" t="s">
        <v>1024</v>
      </c>
      <c r="K484" s="8" t="s">
        <v>1025</v>
      </c>
      <c r="L484" s="7">
        <v>2013</v>
      </c>
      <c r="M484" s="8" t="s">
        <v>1028</v>
      </c>
      <c r="N484" s="11">
        <v>1900000</v>
      </c>
      <c r="O484" s="8" t="s">
        <v>1029</v>
      </c>
      <c r="P484" s="8" t="s">
        <v>1030</v>
      </c>
      <c r="Q484" s="8"/>
      <c r="R484" s="8"/>
    </row>
    <row r="485" spans="1:18" ht="26.15" customHeight="1">
      <c r="A485" s="7">
        <v>479</v>
      </c>
      <c r="B485" s="8" t="s">
        <v>3693</v>
      </c>
      <c r="C485" s="8" t="s">
        <v>3139</v>
      </c>
      <c r="D485" s="8" t="s">
        <v>3693</v>
      </c>
      <c r="E485" s="8" t="s">
        <v>3116</v>
      </c>
      <c r="F485" s="9" t="s">
        <v>3117</v>
      </c>
      <c r="G485" s="10">
        <v>43600</v>
      </c>
      <c r="H485" s="8" t="s">
        <v>34</v>
      </c>
      <c r="I485" s="11">
        <v>1900000</v>
      </c>
      <c r="J485" s="8" t="s">
        <v>1024</v>
      </c>
      <c r="K485" s="8" t="s">
        <v>1025</v>
      </c>
      <c r="L485" s="7">
        <v>2013</v>
      </c>
      <c r="M485" s="8" t="s">
        <v>1028</v>
      </c>
      <c r="N485" s="11">
        <v>1900000</v>
      </c>
      <c r="O485" s="8" t="s">
        <v>1029</v>
      </c>
      <c r="P485" s="8" t="s">
        <v>1030</v>
      </c>
      <c r="Q485" s="8"/>
      <c r="R485" s="8"/>
    </row>
    <row r="486" spans="1:18" ht="26.15" customHeight="1">
      <c r="A486" s="7">
        <v>480</v>
      </c>
      <c r="B486" s="8" t="s">
        <v>3694</v>
      </c>
      <c r="C486" s="8" t="s">
        <v>3139</v>
      </c>
      <c r="D486" s="8" t="s">
        <v>3695</v>
      </c>
      <c r="E486" s="8" t="s">
        <v>3116</v>
      </c>
      <c r="F486" s="9" t="s">
        <v>3117</v>
      </c>
      <c r="G486" s="10">
        <v>43598</v>
      </c>
      <c r="H486" s="8" t="s">
        <v>34</v>
      </c>
      <c r="I486" s="11" t="s">
        <v>50</v>
      </c>
      <c r="J486" s="8" t="s">
        <v>1031</v>
      </c>
      <c r="K486" s="8" t="s">
        <v>1032</v>
      </c>
      <c r="L486" s="7">
        <v>2017</v>
      </c>
      <c r="M486" s="8" t="s">
        <v>1035</v>
      </c>
      <c r="N486" s="11"/>
      <c r="O486" s="8" t="s">
        <v>1036</v>
      </c>
      <c r="P486" s="8" t="s">
        <v>1037</v>
      </c>
      <c r="Q486" s="8"/>
      <c r="R486" s="8"/>
    </row>
    <row r="487" spans="1:18" ht="26.15" customHeight="1">
      <c r="A487" s="7">
        <v>481</v>
      </c>
      <c r="B487" s="8" t="s">
        <v>3696</v>
      </c>
      <c r="C487" s="8" t="s">
        <v>3114</v>
      </c>
      <c r="D487" s="8" t="s">
        <v>3697</v>
      </c>
      <c r="E487" s="8" t="s">
        <v>3116</v>
      </c>
      <c r="F487" s="9" t="s">
        <v>3117</v>
      </c>
      <c r="G487" s="10">
        <v>43598</v>
      </c>
      <c r="H487" s="8" t="s">
        <v>34</v>
      </c>
      <c r="I487" s="11" t="s">
        <v>50</v>
      </c>
      <c r="J487" s="8" t="s">
        <v>1031</v>
      </c>
      <c r="K487" s="8" t="s">
        <v>1032</v>
      </c>
      <c r="L487" s="7">
        <v>2017</v>
      </c>
      <c r="M487" s="8" t="s">
        <v>1035</v>
      </c>
      <c r="N487" s="11"/>
      <c r="O487" s="8" t="s">
        <v>1036</v>
      </c>
      <c r="P487" s="8" t="s">
        <v>1037</v>
      </c>
      <c r="Q487" s="8"/>
      <c r="R487" s="8" t="s">
        <v>3220</v>
      </c>
    </row>
    <row r="488" spans="1:18" ht="26.15" customHeight="1">
      <c r="A488" s="7">
        <v>482</v>
      </c>
      <c r="B488" s="8" t="s">
        <v>1041</v>
      </c>
      <c r="C488" s="8" t="s">
        <v>3114</v>
      </c>
      <c r="D488" s="8" t="s">
        <v>3698</v>
      </c>
      <c r="E488" s="8" t="s">
        <v>3116</v>
      </c>
      <c r="F488" s="9" t="s">
        <v>3117</v>
      </c>
      <c r="G488" s="10">
        <v>43591</v>
      </c>
      <c r="H488" s="8" t="s">
        <v>34</v>
      </c>
      <c r="I488" s="11" t="s">
        <v>50</v>
      </c>
      <c r="J488" s="8" t="s">
        <v>1038</v>
      </c>
      <c r="K488" s="8" t="s">
        <v>1039</v>
      </c>
      <c r="L488" s="7">
        <v>2017</v>
      </c>
      <c r="M488" s="8" t="s">
        <v>1042</v>
      </c>
      <c r="N488" s="11"/>
      <c r="O488" s="8" t="s">
        <v>1043</v>
      </c>
      <c r="P488" s="8" t="s">
        <v>1044</v>
      </c>
      <c r="Q488" s="8"/>
      <c r="R488" s="8" t="s">
        <v>3204</v>
      </c>
    </row>
    <row r="489" spans="1:18" ht="26.15" customHeight="1">
      <c r="A489" s="7">
        <v>483</v>
      </c>
      <c r="B489" s="8" t="s">
        <v>3699</v>
      </c>
      <c r="C489" s="8" t="s">
        <v>3127</v>
      </c>
      <c r="D489" s="8"/>
      <c r="E489" s="8" t="s">
        <v>3128</v>
      </c>
      <c r="F489" s="9" t="s">
        <v>3123</v>
      </c>
      <c r="G489" s="10">
        <v>43591</v>
      </c>
      <c r="H489" s="8" t="s">
        <v>109</v>
      </c>
      <c r="I489" s="11">
        <v>4500000</v>
      </c>
      <c r="J489" s="8" t="s">
        <v>1045</v>
      </c>
      <c r="K489" s="8" t="s">
        <v>1046</v>
      </c>
      <c r="L489" s="7">
        <v>2016</v>
      </c>
      <c r="M489" s="8" t="s">
        <v>369</v>
      </c>
      <c r="N489" s="11">
        <v>9004795</v>
      </c>
      <c r="O489" s="8" t="s">
        <v>1050</v>
      </c>
      <c r="P489" s="8" t="s">
        <v>1051</v>
      </c>
      <c r="Q489" s="8"/>
      <c r="R489" s="8"/>
    </row>
    <row r="490" spans="1:18" ht="26.15" customHeight="1">
      <c r="A490" s="7">
        <v>484</v>
      </c>
      <c r="B490" s="8" t="s">
        <v>3700</v>
      </c>
      <c r="C490" s="8" t="s">
        <v>3127</v>
      </c>
      <c r="D490" s="8"/>
      <c r="E490" s="8" t="s">
        <v>3128</v>
      </c>
      <c r="F490" s="9" t="s">
        <v>3123</v>
      </c>
      <c r="G490" s="10">
        <v>43591</v>
      </c>
      <c r="H490" s="8" t="s">
        <v>109</v>
      </c>
      <c r="I490" s="11">
        <v>4500000</v>
      </c>
      <c r="J490" s="8" t="s">
        <v>1045</v>
      </c>
      <c r="K490" s="8" t="s">
        <v>1046</v>
      </c>
      <c r="L490" s="7">
        <v>2016</v>
      </c>
      <c r="M490" s="8" t="s">
        <v>369</v>
      </c>
      <c r="N490" s="11">
        <v>9004795</v>
      </c>
      <c r="O490" s="8" t="s">
        <v>1050</v>
      </c>
      <c r="P490" s="8" t="s">
        <v>1051</v>
      </c>
      <c r="Q490" s="8"/>
      <c r="R490" s="8"/>
    </row>
    <row r="491" spans="1:18" ht="26.15" customHeight="1">
      <c r="A491" s="7">
        <v>485</v>
      </c>
      <c r="B491" s="8" t="s">
        <v>3701</v>
      </c>
      <c r="C491" s="8" t="s">
        <v>3127</v>
      </c>
      <c r="D491" s="8"/>
      <c r="E491" s="8" t="s">
        <v>3128</v>
      </c>
      <c r="F491" s="9" t="s">
        <v>3123</v>
      </c>
      <c r="G491" s="10">
        <v>43591</v>
      </c>
      <c r="H491" s="8" t="s">
        <v>109</v>
      </c>
      <c r="I491" s="11">
        <v>4500000</v>
      </c>
      <c r="J491" s="8" t="s">
        <v>1045</v>
      </c>
      <c r="K491" s="8" t="s">
        <v>1046</v>
      </c>
      <c r="L491" s="7">
        <v>2016</v>
      </c>
      <c r="M491" s="8" t="s">
        <v>369</v>
      </c>
      <c r="N491" s="11">
        <v>9004795</v>
      </c>
      <c r="O491" s="8" t="s">
        <v>1050</v>
      </c>
      <c r="P491" s="8" t="s">
        <v>1051</v>
      </c>
      <c r="Q491" s="8"/>
      <c r="R491" s="8"/>
    </row>
    <row r="492" spans="1:18" ht="26.15" customHeight="1">
      <c r="A492" s="7">
        <v>486</v>
      </c>
      <c r="B492" s="8" t="s">
        <v>3702</v>
      </c>
      <c r="C492" s="8" t="s">
        <v>3127</v>
      </c>
      <c r="D492" s="8"/>
      <c r="E492" s="8" t="s">
        <v>3128</v>
      </c>
      <c r="F492" s="9" t="s">
        <v>3123</v>
      </c>
      <c r="G492" s="10">
        <v>43591</v>
      </c>
      <c r="H492" s="8" t="s">
        <v>109</v>
      </c>
      <c r="I492" s="11">
        <v>4500000</v>
      </c>
      <c r="J492" s="8" t="s">
        <v>1045</v>
      </c>
      <c r="K492" s="8" t="s">
        <v>1046</v>
      </c>
      <c r="L492" s="7">
        <v>2016</v>
      </c>
      <c r="M492" s="8" t="s">
        <v>369</v>
      </c>
      <c r="N492" s="11">
        <v>9004795</v>
      </c>
      <c r="O492" s="8" t="s">
        <v>1050</v>
      </c>
      <c r="P492" s="8" t="s">
        <v>1051</v>
      </c>
      <c r="Q492" s="8"/>
      <c r="R492" s="8"/>
    </row>
    <row r="493" spans="1:18" ht="26.15" customHeight="1">
      <c r="A493" s="7">
        <v>487</v>
      </c>
      <c r="B493" s="8" t="s">
        <v>3703</v>
      </c>
      <c r="C493" s="8" t="s">
        <v>3127</v>
      </c>
      <c r="D493" s="8"/>
      <c r="E493" s="8" t="s">
        <v>3128</v>
      </c>
      <c r="F493" s="9" t="s">
        <v>3123</v>
      </c>
      <c r="G493" s="10">
        <v>43591</v>
      </c>
      <c r="H493" s="8" t="s">
        <v>109</v>
      </c>
      <c r="I493" s="11">
        <v>4500000</v>
      </c>
      <c r="J493" s="8" t="s">
        <v>1045</v>
      </c>
      <c r="K493" s="8" t="s">
        <v>1046</v>
      </c>
      <c r="L493" s="7">
        <v>2016</v>
      </c>
      <c r="M493" s="8" t="s">
        <v>369</v>
      </c>
      <c r="N493" s="11">
        <v>9004795</v>
      </c>
      <c r="O493" s="8" t="s">
        <v>1050</v>
      </c>
      <c r="P493" s="8" t="s">
        <v>1051</v>
      </c>
      <c r="Q493" s="8"/>
      <c r="R493" s="8"/>
    </row>
    <row r="494" spans="1:18" ht="26.15" customHeight="1">
      <c r="A494" s="7">
        <v>488</v>
      </c>
      <c r="B494" s="8" t="s">
        <v>3704</v>
      </c>
      <c r="C494" s="8" t="s">
        <v>3127</v>
      </c>
      <c r="D494" s="8"/>
      <c r="E494" s="8" t="s">
        <v>3128</v>
      </c>
      <c r="F494" s="9" t="s">
        <v>3123</v>
      </c>
      <c r="G494" s="10">
        <v>43591</v>
      </c>
      <c r="H494" s="8" t="s">
        <v>109</v>
      </c>
      <c r="I494" s="11">
        <v>4500000</v>
      </c>
      <c r="J494" s="8" t="s">
        <v>1045</v>
      </c>
      <c r="K494" s="8" t="s">
        <v>1046</v>
      </c>
      <c r="L494" s="7">
        <v>2016</v>
      </c>
      <c r="M494" s="8" t="s">
        <v>369</v>
      </c>
      <c r="N494" s="11">
        <v>9004795</v>
      </c>
      <c r="O494" s="8" t="s">
        <v>1050</v>
      </c>
      <c r="P494" s="8" t="s">
        <v>1051</v>
      </c>
      <c r="Q494" s="8"/>
      <c r="R494" s="8"/>
    </row>
    <row r="495" spans="1:18" ht="26.15" customHeight="1">
      <c r="A495" s="7">
        <v>489</v>
      </c>
      <c r="B495" s="8" t="s">
        <v>1049</v>
      </c>
      <c r="C495" s="8" t="s">
        <v>3114</v>
      </c>
      <c r="D495" s="8" t="s">
        <v>3705</v>
      </c>
      <c r="E495" s="8" t="s">
        <v>3116</v>
      </c>
      <c r="F495" s="9" t="s">
        <v>3117</v>
      </c>
      <c r="G495" s="10">
        <v>43591</v>
      </c>
      <c r="H495" s="8" t="s">
        <v>109</v>
      </c>
      <c r="I495" s="11">
        <v>4500000</v>
      </c>
      <c r="J495" s="8" t="s">
        <v>1045</v>
      </c>
      <c r="K495" s="8" t="s">
        <v>1046</v>
      </c>
      <c r="L495" s="7">
        <v>2016</v>
      </c>
      <c r="M495" s="8" t="s">
        <v>369</v>
      </c>
      <c r="N495" s="11">
        <v>9004795</v>
      </c>
      <c r="O495" s="8" t="s">
        <v>1050</v>
      </c>
      <c r="P495" s="8" t="s">
        <v>1051</v>
      </c>
      <c r="Q495" s="8"/>
      <c r="R495" s="8" t="s">
        <v>3706</v>
      </c>
    </row>
    <row r="496" spans="1:18" ht="26.15" customHeight="1">
      <c r="A496" s="7">
        <v>490</v>
      </c>
      <c r="B496" s="8" t="s">
        <v>1055</v>
      </c>
      <c r="C496" s="8" t="s">
        <v>3139</v>
      </c>
      <c r="D496" s="8" t="s">
        <v>3707</v>
      </c>
      <c r="E496" s="8" t="s">
        <v>3116</v>
      </c>
      <c r="F496" s="9" t="s">
        <v>3117</v>
      </c>
      <c r="G496" s="10">
        <v>43591</v>
      </c>
      <c r="H496" s="8" t="s">
        <v>34</v>
      </c>
      <c r="I496" s="11">
        <v>100000</v>
      </c>
      <c r="J496" s="8" t="s">
        <v>1052</v>
      </c>
      <c r="K496" s="8" t="s">
        <v>1053</v>
      </c>
      <c r="L496" s="7">
        <v>2015</v>
      </c>
      <c r="M496" s="8" t="s">
        <v>299</v>
      </c>
      <c r="N496" s="11">
        <v>100000</v>
      </c>
      <c r="O496" s="8" t="s">
        <v>1056</v>
      </c>
      <c r="P496" s="8" t="s">
        <v>1057</v>
      </c>
      <c r="Q496" s="8"/>
      <c r="R496" s="8" t="s">
        <v>3708</v>
      </c>
    </row>
    <row r="497" spans="1:18" ht="26.15" customHeight="1">
      <c r="A497" s="7">
        <v>491</v>
      </c>
      <c r="B497" s="8" t="s">
        <v>1060</v>
      </c>
      <c r="C497" s="8" t="s">
        <v>3127</v>
      </c>
      <c r="D497" s="8"/>
      <c r="E497" s="8" t="s">
        <v>3128</v>
      </c>
      <c r="F497" s="9" t="s">
        <v>3117</v>
      </c>
      <c r="G497" s="10">
        <v>43587</v>
      </c>
      <c r="H497" s="8" t="s">
        <v>124</v>
      </c>
      <c r="I497" s="11">
        <v>64533</v>
      </c>
      <c r="J497" s="8" t="s">
        <v>1058</v>
      </c>
      <c r="K497" s="8" t="s">
        <v>1059</v>
      </c>
      <c r="L497" s="7">
        <v>2017</v>
      </c>
      <c r="M497" s="8" t="s">
        <v>313</v>
      </c>
      <c r="N497" s="11">
        <v>101208</v>
      </c>
      <c r="O497" s="8" t="s">
        <v>1061</v>
      </c>
      <c r="P497" s="8" t="s">
        <v>1062</v>
      </c>
      <c r="Q497" s="8"/>
      <c r="R497" s="8"/>
    </row>
    <row r="498" spans="1:18" ht="26.15" customHeight="1">
      <c r="A498" s="7">
        <v>492</v>
      </c>
      <c r="B498" s="8" t="s">
        <v>3709</v>
      </c>
      <c r="C498" s="8"/>
      <c r="D498" s="8" t="s">
        <v>3710</v>
      </c>
      <c r="E498" s="8" t="s">
        <v>3116</v>
      </c>
      <c r="F498" s="9" t="s">
        <v>3123</v>
      </c>
      <c r="G498" s="10">
        <v>43587</v>
      </c>
      <c r="H498" s="8" t="s">
        <v>184</v>
      </c>
      <c r="I498" s="11">
        <v>10000</v>
      </c>
      <c r="J498" s="8" t="s">
        <v>1063</v>
      </c>
      <c r="K498" s="8" t="s">
        <v>1064</v>
      </c>
      <c r="L498" s="7">
        <v>2016</v>
      </c>
      <c r="M498" s="8" t="s">
        <v>79</v>
      </c>
      <c r="N498" s="11"/>
      <c r="O498" s="8" t="s">
        <v>1066</v>
      </c>
      <c r="P498" s="8" t="s">
        <v>1067</v>
      </c>
      <c r="Q498" s="8"/>
      <c r="R498" s="8"/>
    </row>
    <row r="499" spans="1:18" ht="26.15" customHeight="1">
      <c r="A499" s="7">
        <v>493</v>
      </c>
      <c r="B499" s="8" t="s">
        <v>1070</v>
      </c>
      <c r="C499" s="8" t="s">
        <v>3114</v>
      </c>
      <c r="D499" s="8" t="s">
        <v>3711</v>
      </c>
      <c r="E499" s="8" t="s">
        <v>3116</v>
      </c>
      <c r="F499" s="9" t="s">
        <v>3117</v>
      </c>
      <c r="G499" s="10">
        <v>43580</v>
      </c>
      <c r="H499" s="8" t="s">
        <v>34</v>
      </c>
      <c r="I499" s="11" t="s">
        <v>50</v>
      </c>
      <c r="J499" s="8" t="s">
        <v>553</v>
      </c>
      <c r="K499" s="8" t="s">
        <v>554</v>
      </c>
      <c r="L499" s="7">
        <v>2017</v>
      </c>
      <c r="M499" s="8" t="s">
        <v>188</v>
      </c>
      <c r="N499" s="11">
        <v>348442</v>
      </c>
      <c r="O499" s="8" t="s">
        <v>556</v>
      </c>
      <c r="P499" s="8" t="s">
        <v>557</v>
      </c>
      <c r="Q499" s="8"/>
      <c r="R499" s="8" t="s">
        <v>3311</v>
      </c>
    </row>
    <row r="500" spans="1:18" ht="26.15" customHeight="1">
      <c r="A500" s="7">
        <v>494</v>
      </c>
      <c r="B500" s="8" t="s">
        <v>1072</v>
      </c>
      <c r="C500" s="8" t="s">
        <v>3114</v>
      </c>
      <c r="D500" s="8" t="s">
        <v>3658</v>
      </c>
      <c r="E500" s="8" t="s">
        <v>3116</v>
      </c>
      <c r="F500" s="9" t="s">
        <v>3117</v>
      </c>
      <c r="G500" s="10">
        <v>43579</v>
      </c>
      <c r="H500" s="8" t="s">
        <v>95</v>
      </c>
      <c r="I500" s="11">
        <v>89500000</v>
      </c>
      <c r="J500" s="8" t="s">
        <v>96</v>
      </c>
      <c r="K500" s="8" t="s">
        <v>97</v>
      </c>
      <c r="L500" s="7">
        <v>2015</v>
      </c>
      <c r="M500" s="8" t="s">
        <v>79</v>
      </c>
      <c r="N500" s="11">
        <v>163285834</v>
      </c>
      <c r="O500" s="8" t="s">
        <v>100</v>
      </c>
      <c r="P500" s="8" t="s">
        <v>101</v>
      </c>
      <c r="Q500" s="8"/>
      <c r="R500" s="8" t="s">
        <v>3145</v>
      </c>
    </row>
    <row r="501" spans="1:18" ht="26.15" customHeight="1">
      <c r="A501" s="7">
        <v>495</v>
      </c>
      <c r="B501" s="8" t="s">
        <v>3530</v>
      </c>
      <c r="C501" s="8" t="s">
        <v>3114</v>
      </c>
      <c r="D501" s="8" t="s">
        <v>3531</v>
      </c>
      <c r="E501" s="8" t="s">
        <v>3116</v>
      </c>
      <c r="F501" s="9" t="s">
        <v>3123</v>
      </c>
      <c r="G501" s="10">
        <v>43579</v>
      </c>
      <c r="H501" s="8" t="s">
        <v>95</v>
      </c>
      <c r="I501" s="11">
        <v>89500000</v>
      </c>
      <c r="J501" s="8" t="s">
        <v>96</v>
      </c>
      <c r="K501" s="8" t="s">
        <v>97</v>
      </c>
      <c r="L501" s="7">
        <v>2015</v>
      </c>
      <c r="M501" s="8" t="s">
        <v>79</v>
      </c>
      <c r="N501" s="11">
        <v>163285834</v>
      </c>
      <c r="O501" s="8" t="s">
        <v>100</v>
      </c>
      <c r="P501" s="8" t="s">
        <v>101</v>
      </c>
      <c r="Q501" s="8"/>
      <c r="R501" s="8" t="s">
        <v>3204</v>
      </c>
    </row>
    <row r="502" spans="1:18" ht="26.15" customHeight="1">
      <c r="A502" s="7">
        <v>496</v>
      </c>
      <c r="B502" s="8" t="s">
        <v>1074</v>
      </c>
      <c r="C502" s="8" t="s">
        <v>3127</v>
      </c>
      <c r="D502" s="8"/>
      <c r="E502" s="8" t="s">
        <v>3128</v>
      </c>
      <c r="F502" s="9" t="s">
        <v>3117</v>
      </c>
      <c r="G502" s="10">
        <v>43575</v>
      </c>
      <c r="H502" s="8" t="s">
        <v>124</v>
      </c>
      <c r="I502" s="11" t="s">
        <v>50</v>
      </c>
      <c r="J502" s="8" t="s">
        <v>59</v>
      </c>
      <c r="K502" s="8" t="s">
        <v>60</v>
      </c>
      <c r="L502" s="7">
        <v>2016</v>
      </c>
      <c r="M502" s="8" t="s">
        <v>63</v>
      </c>
      <c r="N502" s="11">
        <v>1550000</v>
      </c>
      <c r="O502" s="8" t="s">
        <v>64</v>
      </c>
      <c r="P502" s="8" t="s">
        <v>65</v>
      </c>
      <c r="Q502" s="8"/>
      <c r="R502" s="8"/>
    </row>
    <row r="503" spans="1:18" ht="26.15" customHeight="1">
      <c r="A503" s="7">
        <v>497</v>
      </c>
      <c r="B503" s="8" t="s">
        <v>1078</v>
      </c>
      <c r="C503" s="8" t="s">
        <v>3114</v>
      </c>
      <c r="D503" s="8" t="s">
        <v>3712</v>
      </c>
      <c r="E503" s="8" t="s">
        <v>3116</v>
      </c>
      <c r="F503" s="9" t="s">
        <v>3117</v>
      </c>
      <c r="G503" s="10">
        <v>43573</v>
      </c>
      <c r="H503" s="8" t="s">
        <v>109</v>
      </c>
      <c r="I503" s="11" t="s">
        <v>50</v>
      </c>
      <c r="J503" s="8" t="s">
        <v>1075</v>
      </c>
      <c r="K503" s="8" t="s">
        <v>1076</v>
      </c>
      <c r="L503" s="7">
        <v>2016</v>
      </c>
      <c r="M503" s="8" t="s">
        <v>278</v>
      </c>
      <c r="N503" s="11"/>
      <c r="O503" s="8" t="s">
        <v>1079</v>
      </c>
      <c r="P503" s="8" t="s">
        <v>1080</v>
      </c>
      <c r="Q503" s="8"/>
      <c r="R503" s="8" t="s">
        <v>278</v>
      </c>
    </row>
    <row r="504" spans="1:18" ht="26.15" customHeight="1">
      <c r="A504" s="7">
        <v>498</v>
      </c>
      <c r="B504" s="8" t="s">
        <v>798</v>
      </c>
      <c r="C504" s="8" t="s">
        <v>3114</v>
      </c>
      <c r="D504" s="8" t="s">
        <v>3581</v>
      </c>
      <c r="E504" s="8" t="s">
        <v>3116</v>
      </c>
      <c r="F504" s="9" t="s">
        <v>3117</v>
      </c>
      <c r="G504" s="10">
        <v>43572</v>
      </c>
      <c r="H504" s="8" t="s">
        <v>34</v>
      </c>
      <c r="I504" s="11">
        <v>120000</v>
      </c>
      <c r="J504" s="8" t="s">
        <v>1082</v>
      </c>
      <c r="K504" s="8" t="s">
        <v>1083</v>
      </c>
      <c r="L504" s="7">
        <v>2016</v>
      </c>
      <c r="M504" s="8" t="s">
        <v>1086</v>
      </c>
      <c r="N504" s="11">
        <v>120000</v>
      </c>
      <c r="O504" s="8" t="s">
        <v>1087</v>
      </c>
      <c r="P504" s="8" t="s">
        <v>1088</v>
      </c>
      <c r="Q504" s="8"/>
      <c r="R504" s="8" t="s">
        <v>3582</v>
      </c>
    </row>
    <row r="505" spans="1:18" ht="26.15" customHeight="1">
      <c r="A505" s="7">
        <v>499</v>
      </c>
      <c r="B505" s="8" t="s">
        <v>3713</v>
      </c>
      <c r="C505" s="8" t="s">
        <v>3114</v>
      </c>
      <c r="D505" s="8" t="s">
        <v>3714</v>
      </c>
      <c r="E505" s="8" t="s">
        <v>3116</v>
      </c>
      <c r="F505" s="9" t="s">
        <v>3117</v>
      </c>
      <c r="G505" s="10">
        <v>43572</v>
      </c>
      <c r="H505" s="8" t="s">
        <v>34</v>
      </c>
      <c r="I505" s="11">
        <v>120000</v>
      </c>
      <c r="J505" s="8" t="s">
        <v>1082</v>
      </c>
      <c r="K505" s="8" t="s">
        <v>1083</v>
      </c>
      <c r="L505" s="7">
        <v>2016</v>
      </c>
      <c r="M505" s="8" t="s">
        <v>1086</v>
      </c>
      <c r="N505" s="11">
        <v>120000</v>
      </c>
      <c r="O505" s="8" t="s">
        <v>1087</v>
      </c>
      <c r="P505" s="8" t="s">
        <v>1088</v>
      </c>
      <c r="Q505" s="8"/>
      <c r="R505" s="8" t="s">
        <v>3597</v>
      </c>
    </row>
    <row r="506" spans="1:18" ht="26.15" customHeight="1">
      <c r="A506" s="7">
        <v>500</v>
      </c>
      <c r="B506" s="8" t="s">
        <v>1091</v>
      </c>
      <c r="C506" s="8" t="s">
        <v>3139</v>
      </c>
      <c r="D506" s="8" t="s">
        <v>3237</v>
      </c>
      <c r="E506" s="8" t="s">
        <v>3116</v>
      </c>
      <c r="F506" s="9" t="s">
        <v>3117</v>
      </c>
      <c r="G506" s="10">
        <v>43566</v>
      </c>
      <c r="H506" s="8" t="s">
        <v>34</v>
      </c>
      <c r="I506" s="11">
        <v>86599</v>
      </c>
      <c r="J506" s="8" t="s">
        <v>42</v>
      </c>
      <c r="K506" s="8" t="s">
        <v>43</v>
      </c>
      <c r="L506" s="7">
        <v>2017</v>
      </c>
      <c r="M506" s="8" t="s">
        <v>47</v>
      </c>
      <c r="N506" s="11">
        <v>3160468</v>
      </c>
      <c r="O506" s="8" t="s">
        <v>48</v>
      </c>
      <c r="P506" s="8" t="s">
        <v>49</v>
      </c>
      <c r="Q506" s="8"/>
      <c r="R506" s="8" t="s">
        <v>3138</v>
      </c>
    </row>
    <row r="507" spans="1:18" ht="26.15" customHeight="1">
      <c r="A507" s="7">
        <v>501</v>
      </c>
      <c r="B507" s="8" t="s">
        <v>3650</v>
      </c>
      <c r="C507" s="8" t="s">
        <v>3127</v>
      </c>
      <c r="D507" s="8"/>
      <c r="E507" s="8" t="s">
        <v>3128</v>
      </c>
      <c r="F507" s="9" t="s">
        <v>3123</v>
      </c>
      <c r="G507" s="10">
        <v>43566</v>
      </c>
      <c r="H507" s="8" t="s">
        <v>34</v>
      </c>
      <c r="I507" s="11">
        <v>86599</v>
      </c>
      <c r="J507" s="8" t="s">
        <v>42</v>
      </c>
      <c r="K507" s="8" t="s">
        <v>43</v>
      </c>
      <c r="L507" s="7">
        <v>2017</v>
      </c>
      <c r="M507" s="8" t="s">
        <v>47</v>
      </c>
      <c r="N507" s="11">
        <v>3160468</v>
      </c>
      <c r="O507" s="8" t="s">
        <v>48</v>
      </c>
      <c r="P507" s="8" t="s">
        <v>49</v>
      </c>
      <c r="Q507" s="8"/>
      <c r="R507" s="8"/>
    </row>
    <row r="508" spans="1:18" ht="26.15" customHeight="1">
      <c r="A508" s="7">
        <v>502</v>
      </c>
      <c r="B508" s="8" t="s">
        <v>3715</v>
      </c>
      <c r="C508" s="8" t="s">
        <v>3127</v>
      </c>
      <c r="D508" s="8"/>
      <c r="E508" s="8" t="s">
        <v>3128</v>
      </c>
      <c r="F508" s="9" t="s">
        <v>3123</v>
      </c>
      <c r="G508" s="10">
        <v>43566</v>
      </c>
      <c r="H508" s="8" t="s">
        <v>34</v>
      </c>
      <c r="I508" s="11">
        <v>86599</v>
      </c>
      <c r="J508" s="8" t="s">
        <v>42</v>
      </c>
      <c r="K508" s="8" t="s">
        <v>43</v>
      </c>
      <c r="L508" s="7">
        <v>2017</v>
      </c>
      <c r="M508" s="8" t="s">
        <v>47</v>
      </c>
      <c r="N508" s="11">
        <v>3160468</v>
      </c>
      <c r="O508" s="8" t="s">
        <v>48</v>
      </c>
      <c r="P508" s="8" t="s">
        <v>49</v>
      </c>
      <c r="Q508" s="8"/>
      <c r="R508" s="8"/>
    </row>
    <row r="509" spans="1:18" ht="26.15" customHeight="1">
      <c r="A509" s="7">
        <v>503</v>
      </c>
      <c r="B509" s="8" t="s">
        <v>1093</v>
      </c>
      <c r="C509" s="8" t="s">
        <v>3114</v>
      </c>
      <c r="D509" s="8" t="s">
        <v>3638</v>
      </c>
      <c r="E509" s="8" t="s">
        <v>3116</v>
      </c>
      <c r="F509" s="9" t="s">
        <v>3117</v>
      </c>
      <c r="G509" s="10">
        <v>43565</v>
      </c>
      <c r="H509" s="8" t="s">
        <v>109</v>
      </c>
      <c r="I509" s="11">
        <v>2012080</v>
      </c>
      <c r="J509" s="8" t="s">
        <v>897</v>
      </c>
      <c r="K509" s="8" t="s">
        <v>898</v>
      </c>
      <c r="L509" s="7">
        <v>2016</v>
      </c>
      <c r="M509" s="8" t="s">
        <v>902</v>
      </c>
      <c r="N509" s="11">
        <v>8062080</v>
      </c>
      <c r="O509" s="8" t="s">
        <v>903</v>
      </c>
      <c r="P509" s="8" t="s">
        <v>904</v>
      </c>
      <c r="Q509" s="8"/>
      <c r="R509" s="8" t="s">
        <v>121</v>
      </c>
    </row>
    <row r="510" spans="1:18" ht="26.15" customHeight="1">
      <c r="A510" s="7">
        <v>504</v>
      </c>
      <c r="B510" s="8" t="s">
        <v>515</v>
      </c>
      <c r="C510" s="8" t="s">
        <v>3114</v>
      </c>
      <c r="D510" s="8" t="s">
        <v>3460</v>
      </c>
      <c r="E510" s="8" t="s">
        <v>3116</v>
      </c>
      <c r="F510" s="9" t="s">
        <v>3117</v>
      </c>
      <c r="G510" s="10">
        <v>43559</v>
      </c>
      <c r="H510" s="8" t="s">
        <v>34</v>
      </c>
      <c r="I510" s="11">
        <v>100000</v>
      </c>
      <c r="J510" s="8" t="s">
        <v>1094</v>
      </c>
      <c r="K510" s="8" t="s">
        <v>1095</v>
      </c>
      <c r="L510" s="7">
        <v>2013</v>
      </c>
      <c r="M510" s="8" t="s">
        <v>278</v>
      </c>
      <c r="N510" s="11">
        <v>100000</v>
      </c>
      <c r="O510" s="8" t="s">
        <v>1096</v>
      </c>
      <c r="P510" s="8" t="s">
        <v>1097</v>
      </c>
      <c r="Q510" s="8"/>
      <c r="R510" s="8" t="s">
        <v>3392</v>
      </c>
    </row>
    <row r="511" spans="1:18" ht="26.15" customHeight="1">
      <c r="A511" s="7">
        <v>505</v>
      </c>
      <c r="B511" s="8" t="s">
        <v>2355</v>
      </c>
      <c r="C511" s="8" t="s">
        <v>3114</v>
      </c>
      <c r="D511" s="8" t="s">
        <v>3147</v>
      </c>
      <c r="E511" s="8" t="s">
        <v>3116</v>
      </c>
      <c r="F511" s="9" t="s">
        <v>3117</v>
      </c>
      <c r="G511" s="10">
        <v>43558</v>
      </c>
      <c r="H511" s="8" t="s">
        <v>34</v>
      </c>
      <c r="I511" s="11">
        <v>2021980</v>
      </c>
      <c r="J511" s="8" t="s">
        <v>404</v>
      </c>
      <c r="K511" s="8" t="s">
        <v>405</v>
      </c>
      <c r="L511" s="7">
        <v>2016</v>
      </c>
      <c r="M511" s="8" t="s">
        <v>79</v>
      </c>
      <c r="N511" s="11">
        <v>8750809</v>
      </c>
      <c r="O511" s="8" t="s">
        <v>408</v>
      </c>
      <c r="P511" s="8" t="s">
        <v>409</v>
      </c>
      <c r="Q511" s="8"/>
      <c r="R511" s="8" t="s">
        <v>3148</v>
      </c>
    </row>
    <row r="512" spans="1:18" ht="26.15" customHeight="1">
      <c r="A512" s="7">
        <v>506</v>
      </c>
      <c r="B512" s="8" t="s">
        <v>644</v>
      </c>
      <c r="C512" s="8" t="s">
        <v>3114</v>
      </c>
      <c r="D512" s="8" t="s">
        <v>3162</v>
      </c>
      <c r="E512" s="8" t="s">
        <v>3116</v>
      </c>
      <c r="F512" s="9" t="s">
        <v>3117</v>
      </c>
      <c r="G512" s="10">
        <v>43558</v>
      </c>
      <c r="H512" s="8" t="s">
        <v>34</v>
      </c>
      <c r="I512" s="11">
        <v>2021980</v>
      </c>
      <c r="J512" s="8" t="s">
        <v>404</v>
      </c>
      <c r="K512" s="8" t="s">
        <v>405</v>
      </c>
      <c r="L512" s="7">
        <v>2016</v>
      </c>
      <c r="M512" s="8" t="s">
        <v>79</v>
      </c>
      <c r="N512" s="11">
        <v>8750809</v>
      </c>
      <c r="O512" s="8" t="s">
        <v>408</v>
      </c>
      <c r="P512" s="8" t="s">
        <v>409</v>
      </c>
      <c r="Q512" s="8"/>
      <c r="R512" s="8" t="s">
        <v>313</v>
      </c>
    </row>
    <row r="513" spans="1:18" ht="26.15" customHeight="1">
      <c r="A513" s="7">
        <v>507</v>
      </c>
      <c r="B513" s="8" t="s">
        <v>1102</v>
      </c>
      <c r="C513" s="8" t="s">
        <v>3127</v>
      </c>
      <c r="D513" s="8"/>
      <c r="E513" s="8" t="s">
        <v>3128</v>
      </c>
      <c r="F513" s="9" t="s">
        <v>3123</v>
      </c>
      <c r="G513" s="10">
        <v>43557</v>
      </c>
      <c r="H513" s="8" t="s">
        <v>170</v>
      </c>
      <c r="I513" s="11">
        <v>4253253</v>
      </c>
      <c r="J513" s="8" t="s">
        <v>1100</v>
      </c>
      <c r="K513" s="8" t="s">
        <v>1101</v>
      </c>
      <c r="L513" s="7">
        <v>2015</v>
      </c>
      <c r="M513" s="8" t="s">
        <v>1103</v>
      </c>
      <c r="N513" s="11">
        <v>2000000</v>
      </c>
      <c r="O513" s="8" t="s">
        <v>1104</v>
      </c>
      <c r="P513" s="8" t="s">
        <v>1105</v>
      </c>
      <c r="Q513" s="8"/>
      <c r="R513" s="8"/>
    </row>
    <row r="514" spans="1:18" ht="26.15" customHeight="1">
      <c r="A514" s="7">
        <v>508</v>
      </c>
      <c r="B514" s="8" t="s">
        <v>1107</v>
      </c>
      <c r="C514" s="8" t="s">
        <v>3114</v>
      </c>
      <c r="D514" s="8" t="s">
        <v>3716</v>
      </c>
      <c r="E514" s="8" t="s">
        <v>3116</v>
      </c>
      <c r="F514" s="9" t="s">
        <v>3117</v>
      </c>
      <c r="G514" s="10">
        <v>43556</v>
      </c>
      <c r="H514" s="8" t="s">
        <v>34</v>
      </c>
      <c r="I514" s="11">
        <v>1489730</v>
      </c>
      <c r="J514" s="8" t="s">
        <v>329</v>
      </c>
      <c r="K514" s="8" t="s">
        <v>330</v>
      </c>
      <c r="L514" s="7">
        <v>2015</v>
      </c>
      <c r="M514" s="8" t="s">
        <v>333</v>
      </c>
      <c r="N514" s="11">
        <v>1489730</v>
      </c>
      <c r="O514" s="8" t="s">
        <v>334</v>
      </c>
      <c r="P514" s="8" t="s">
        <v>335</v>
      </c>
      <c r="Q514" s="8"/>
      <c r="R514" s="8" t="s">
        <v>1732</v>
      </c>
    </row>
    <row r="515" spans="1:18" ht="26.15" customHeight="1">
      <c r="A515" s="7">
        <v>509</v>
      </c>
      <c r="B515" s="8" t="s">
        <v>1111</v>
      </c>
      <c r="C515" s="8" t="s">
        <v>3114</v>
      </c>
      <c r="D515" s="8" t="s">
        <v>3717</v>
      </c>
      <c r="E515" s="8" t="s">
        <v>3116</v>
      </c>
      <c r="F515" s="9" t="s">
        <v>3117</v>
      </c>
      <c r="G515" s="10">
        <v>43556</v>
      </c>
      <c r="H515" s="8" t="s">
        <v>109</v>
      </c>
      <c r="I515" s="11" t="s">
        <v>50</v>
      </c>
      <c r="J515" s="8" t="s">
        <v>1108</v>
      </c>
      <c r="K515" s="8" t="s">
        <v>1109</v>
      </c>
      <c r="L515" s="7">
        <v>2015</v>
      </c>
      <c r="M515" s="8" t="s">
        <v>1112</v>
      </c>
      <c r="N515" s="11"/>
      <c r="O515" s="8" t="s">
        <v>1113</v>
      </c>
      <c r="P515" s="8" t="s">
        <v>1114</v>
      </c>
      <c r="Q515" s="8"/>
      <c r="R515" s="8" t="s">
        <v>3718</v>
      </c>
    </row>
    <row r="516" spans="1:18" ht="26.15" customHeight="1">
      <c r="A516" s="7">
        <v>510</v>
      </c>
      <c r="B516" s="8" t="s">
        <v>3719</v>
      </c>
      <c r="C516" s="8" t="s">
        <v>3114</v>
      </c>
      <c r="D516" s="8" t="s">
        <v>3720</v>
      </c>
      <c r="E516" s="8" t="s">
        <v>3116</v>
      </c>
      <c r="F516" s="9" t="s">
        <v>3123</v>
      </c>
      <c r="G516" s="10">
        <v>43556</v>
      </c>
      <c r="H516" s="8" t="s">
        <v>109</v>
      </c>
      <c r="I516" s="11" t="s">
        <v>50</v>
      </c>
      <c r="J516" s="8" t="s">
        <v>1108</v>
      </c>
      <c r="K516" s="8" t="s">
        <v>1109</v>
      </c>
      <c r="L516" s="7">
        <v>2015</v>
      </c>
      <c r="M516" s="8" t="s">
        <v>1112</v>
      </c>
      <c r="N516" s="11"/>
      <c r="O516" s="8" t="s">
        <v>1113</v>
      </c>
      <c r="P516" s="8" t="s">
        <v>1114</v>
      </c>
      <c r="Q516" s="8"/>
      <c r="R516" s="8" t="s">
        <v>278</v>
      </c>
    </row>
    <row r="517" spans="1:18" ht="26.15" customHeight="1">
      <c r="A517" s="7">
        <v>511</v>
      </c>
      <c r="B517" s="8" t="s">
        <v>3721</v>
      </c>
      <c r="C517" s="8" t="s">
        <v>3114</v>
      </c>
      <c r="D517" s="8" t="s">
        <v>3722</v>
      </c>
      <c r="E517" s="8" t="s">
        <v>3116</v>
      </c>
      <c r="F517" s="9" t="s">
        <v>3123</v>
      </c>
      <c r="G517" s="10">
        <v>43556</v>
      </c>
      <c r="H517" s="8" t="s">
        <v>109</v>
      </c>
      <c r="I517" s="11" t="s">
        <v>50</v>
      </c>
      <c r="J517" s="8" t="s">
        <v>1108</v>
      </c>
      <c r="K517" s="8" t="s">
        <v>1109</v>
      </c>
      <c r="L517" s="7">
        <v>2015</v>
      </c>
      <c r="M517" s="8" t="s">
        <v>1112</v>
      </c>
      <c r="N517" s="11"/>
      <c r="O517" s="8" t="s">
        <v>1113</v>
      </c>
      <c r="P517" s="8" t="s">
        <v>1114</v>
      </c>
      <c r="Q517" s="8"/>
      <c r="R517" s="8" t="s">
        <v>278</v>
      </c>
    </row>
    <row r="518" spans="1:18" ht="26.15" customHeight="1">
      <c r="A518" s="7">
        <v>512</v>
      </c>
      <c r="B518" s="8" t="s">
        <v>3723</v>
      </c>
      <c r="C518" s="8" t="s">
        <v>3114</v>
      </c>
      <c r="D518" s="8" t="s">
        <v>3724</v>
      </c>
      <c r="E518" s="8" t="s">
        <v>3116</v>
      </c>
      <c r="F518" s="9" t="s">
        <v>3123</v>
      </c>
      <c r="G518" s="10">
        <v>43556</v>
      </c>
      <c r="H518" s="8" t="s">
        <v>109</v>
      </c>
      <c r="I518" s="11" t="s">
        <v>50</v>
      </c>
      <c r="J518" s="8" t="s">
        <v>1108</v>
      </c>
      <c r="K518" s="8" t="s">
        <v>1109</v>
      </c>
      <c r="L518" s="7">
        <v>2015</v>
      </c>
      <c r="M518" s="8" t="s">
        <v>1112</v>
      </c>
      <c r="N518" s="11"/>
      <c r="O518" s="8" t="s">
        <v>1113</v>
      </c>
      <c r="P518" s="8" t="s">
        <v>1114</v>
      </c>
      <c r="Q518" s="8"/>
      <c r="R518" s="8" t="s">
        <v>3725</v>
      </c>
    </row>
    <row r="519" spans="1:18" ht="26.15" customHeight="1">
      <c r="A519" s="7">
        <v>513</v>
      </c>
      <c r="B519" s="8" t="s">
        <v>3726</v>
      </c>
      <c r="C519" s="8" t="s">
        <v>3114</v>
      </c>
      <c r="D519" s="8" t="s">
        <v>3727</v>
      </c>
      <c r="E519" s="8" t="s">
        <v>3116</v>
      </c>
      <c r="F519" s="9" t="s">
        <v>3123</v>
      </c>
      <c r="G519" s="10">
        <v>43554</v>
      </c>
      <c r="H519" s="8" t="s">
        <v>289</v>
      </c>
      <c r="I519" s="11">
        <v>1152780</v>
      </c>
      <c r="J519" s="8" t="s">
        <v>1115</v>
      </c>
      <c r="K519" s="8" t="s">
        <v>1116</v>
      </c>
      <c r="L519" s="7">
        <v>2009</v>
      </c>
      <c r="M519" s="8" t="s">
        <v>313</v>
      </c>
      <c r="N519" s="11">
        <v>14634837</v>
      </c>
      <c r="O519" s="8" t="s">
        <v>1118</v>
      </c>
      <c r="P519" s="8" t="s">
        <v>1119</v>
      </c>
      <c r="Q519" s="8"/>
      <c r="R519" s="8" t="s">
        <v>313</v>
      </c>
    </row>
    <row r="520" spans="1:18" ht="26.15" customHeight="1">
      <c r="A520" s="7">
        <v>514</v>
      </c>
      <c r="B520" s="8" t="s">
        <v>1123</v>
      </c>
      <c r="C520" s="8" t="s">
        <v>3114</v>
      </c>
      <c r="D520" s="8" t="s">
        <v>3728</v>
      </c>
      <c r="E520" s="8" t="s">
        <v>3116</v>
      </c>
      <c r="F520" s="9" t="s">
        <v>3117</v>
      </c>
      <c r="G520" s="10">
        <v>43553</v>
      </c>
      <c r="H520" s="8" t="s">
        <v>95</v>
      </c>
      <c r="I520" s="11" t="s">
        <v>50</v>
      </c>
      <c r="J520" s="8" t="s">
        <v>1120</v>
      </c>
      <c r="K520" s="8" t="s">
        <v>1121</v>
      </c>
      <c r="L520" s="7">
        <v>2014</v>
      </c>
      <c r="M520" s="8" t="s">
        <v>894</v>
      </c>
      <c r="N520" s="11">
        <v>73326732</v>
      </c>
      <c r="O520" s="8" t="s">
        <v>1124</v>
      </c>
      <c r="P520" s="8" t="s">
        <v>1125</v>
      </c>
      <c r="Q520" s="8"/>
      <c r="R520" s="8" t="s">
        <v>278</v>
      </c>
    </row>
    <row r="521" spans="1:18" ht="26.15" customHeight="1">
      <c r="A521" s="7">
        <v>515</v>
      </c>
      <c r="B521" s="8" t="s">
        <v>1129</v>
      </c>
      <c r="C521" s="8"/>
      <c r="D521" s="8" t="s">
        <v>3729</v>
      </c>
      <c r="E521" s="8" t="s">
        <v>3116</v>
      </c>
      <c r="F521" s="9" t="s">
        <v>3117</v>
      </c>
      <c r="G521" s="10">
        <v>43552</v>
      </c>
      <c r="H521" s="8" t="s">
        <v>34</v>
      </c>
      <c r="I521" s="11">
        <v>216833</v>
      </c>
      <c r="J521" s="8" t="s">
        <v>1126</v>
      </c>
      <c r="K521" s="8" t="s">
        <v>1127</v>
      </c>
      <c r="L521" s="7">
        <v>2013</v>
      </c>
      <c r="M521" s="8" t="s">
        <v>47</v>
      </c>
      <c r="N521" s="11">
        <v>264994</v>
      </c>
      <c r="O521" s="8" t="s">
        <v>1130</v>
      </c>
      <c r="P521" s="8" t="s">
        <v>968</v>
      </c>
      <c r="Q521" s="8"/>
      <c r="R521" s="8"/>
    </row>
    <row r="522" spans="1:18" ht="26.15" customHeight="1">
      <c r="A522" s="7">
        <v>516</v>
      </c>
      <c r="B522" s="8" t="s">
        <v>1134</v>
      </c>
      <c r="C522" s="8" t="s">
        <v>3114</v>
      </c>
      <c r="D522" s="8" t="s">
        <v>3193</v>
      </c>
      <c r="E522" s="8" t="s">
        <v>3116</v>
      </c>
      <c r="F522" s="9" t="s">
        <v>3117</v>
      </c>
      <c r="G522" s="10">
        <v>43551</v>
      </c>
      <c r="H522" s="8" t="s">
        <v>109</v>
      </c>
      <c r="I522" s="11">
        <v>2400000</v>
      </c>
      <c r="J522" s="8" t="s">
        <v>1131</v>
      </c>
      <c r="K522" s="8" t="s">
        <v>1132</v>
      </c>
      <c r="L522" s="7">
        <v>2013</v>
      </c>
      <c r="M522" s="8" t="s">
        <v>357</v>
      </c>
      <c r="N522" s="11">
        <v>2400000</v>
      </c>
      <c r="O522" s="8" t="s">
        <v>1135</v>
      </c>
      <c r="P522" s="8" t="s">
        <v>1136</v>
      </c>
      <c r="Q522" s="8"/>
      <c r="R522" s="8" t="s">
        <v>3194</v>
      </c>
    </row>
    <row r="523" spans="1:18" ht="26.15" customHeight="1">
      <c r="A523" s="7">
        <v>517</v>
      </c>
      <c r="B523" s="8" t="s">
        <v>356</v>
      </c>
      <c r="C523" s="8" t="s">
        <v>3114</v>
      </c>
      <c r="D523" s="8" t="s">
        <v>3341</v>
      </c>
      <c r="E523" s="8" t="s">
        <v>3116</v>
      </c>
      <c r="F523" s="9" t="s">
        <v>3123</v>
      </c>
      <c r="G523" s="10">
        <v>43551</v>
      </c>
      <c r="H523" s="8" t="s">
        <v>109</v>
      </c>
      <c r="I523" s="11">
        <v>2400000</v>
      </c>
      <c r="J523" s="8" t="s">
        <v>1131</v>
      </c>
      <c r="K523" s="8" t="s">
        <v>1132</v>
      </c>
      <c r="L523" s="7">
        <v>2013</v>
      </c>
      <c r="M523" s="8" t="s">
        <v>357</v>
      </c>
      <c r="N523" s="11">
        <v>2400000</v>
      </c>
      <c r="O523" s="8" t="s">
        <v>1135</v>
      </c>
      <c r="P523" s="8" t="s">
        <v>1136</v>
      </c>
      <c r="Q523" s="8"/>
      <c r="R523" s="8" t="s">
        <v>357</v>
      </c>
    </row>
    <row r="524" spans="1:18" ht="26.15" customHeight="1">
      <c r="A524" s="7">
        <v>518</v>
      </c>
      <c r="B524" s="8" t="s">
        <v>1140</v>
      </c>
      <c r="C524" s="8" t="s">
        <v>3114</v>
      </c>
      <c r="D524" s="8" t="s">
        <v>3730</v>
      </c>
      <c r="E524" s="8" t="s">
        <v>3116</v>
      </c>
      <c r="F524" s="9" t="s">
        <v>3117</v>
      </c>
      <c r="G524" s="10">
        <v>43551</v>
      </c>
      <c r="H524" s="8" t="s">
        <v>109</v>
      </c>
      <c r="I524" s="11">
        <v>14893400</v>
      </c>
      <c r="J524" s="8" t="s">
        <v>1137</v>
      </c>
      <c r="K524" s="8" t="s">
        <v>1138</v>
      </c>
      <c r="L524" s="7">
        <v>2016</v>
      </c>
      <c r="M524" s="8" t="s">
        <v>1141</v>
      </c>
      <c r="N524" s="11">
        <v>14893400</v>
      </c>
      <c r="O524" s="8" t="s">
        <v>1142</v>
      </c>
      <c r="P524" s="8" t="s">
        <v>1143</v>
      </c>
      <c r="Q524" s="8"/>
      <c r="R524" s="8" t="s">
        <v>278</v>
      </c>
    </row>
    <row r="525" spans="1:18" ht="26.15" customHeight="1">
      <c r="A525" s="7">
        <v>519</v>
      </c>
      <c r="B525" s="8" t="s">
        <v>1078</v>
      </c>
      <c r="C525" s="8" t="s">
        <v>3114</v>
      </c>
      <c r="D525" s="8" t="s">
        <v>3712</v>
      </c>
      <c r="E525" s="8" t="s">
        <v>3116</v>
      </c>
      <c r="F525" s="9" t="s">
        <v>3123</v>
      </c>
      <c r="G525" s="10">
        <v>43551</v>
      </c>
      <c r="H525" s="8" t="s">
        <v>109</v>
      </c>
      <c r="I525" s="11">
        <v>14893400</v>
      </c>
      <c r="J525" s="8" t="s">
        <v>1137</v>
      </c>
      <c r="K525" s="8" t="s">
        <v>1138</v>
      </c>
      <c r="L525" s="7">
        <v>2016</v>
      </c>
      <c r="M525" s="8" t="s">
        <v>1141</v>
      </c>
      <c r="N525" s="11">
        <v>14893400</v>
      </c>
      <c r="O525" s="8" t="s">
        <v>1142</v>
      </c>
      <c r="P525" s="8" t="s">
        <v>1143</v>
      </c>
      <c r="Q525" s="8"/>
      <c r="R525" s="8" t="s">
        <v>278</v>
      </c>
    </row>
    <row r="526" spans="1:18" ht="26.15" customHeight="1">
      <c r="A526" s="7">
        <v>520</v>
      </c>
      <c r="B526" s="8" t="s">
        <v>3731</v>
      </c>
      <c r="C526" s="8" t="s">
        <v>3114</v>
      </c>
      <c r="D526" s="8" t="s">
        <v>3732</v>
      </c>
      <c r="E526" s="8" t="s">
        <v>3116</v>
      </c>
      <c r="F526" s="9" t="s">
        <v>3123</v>
      </c>
      <c r="G526" s="10">
        <v>43551</v>
      </c>
      <c r="H526" s="8" t="s">
        <v>109</v>
      </c>
      <c r="I526" s="11">
        <v>14893400</v>
      </c>
      <c r="J526" s="8" t="s">
        <v>1137</v>
      </c>
      <c r="K526" s="8" t="s">
        <v>1138</v>
      </c>
      <c r="L526" s="7">
        <v>2016</v>
      </c>
      <c r="M526" s="8" t="s">
        <v>1141</v>
      </c>
      <c r="N526" s="11">
        <v>14893400</v>
      </c>
      <c r="O526" s="8" t="s">
        <v>1142</v>
      </c>
      <c r="P526" s="8" t="s">
        <v>1143</v>
      </c>
      <c r="Q526" s="8"/>
      <c r="R526" s="8" t="s">
        <v>3138</v>
      </c>
    </row>
    <row r="527" spans="1:18" ht="26.15" customHeight="1">
      <c r="A527" s="7">
        <v>521</v>
      </c>
      <c r="B527" s="8" t="s">
        <v>3733</v>
      </c>
      <c r="C527" s="8" t="s">
        <v>3114</v>
      </c>
      <c r="D527" s="8" t="s">
        <v>3734</v>
      </c>
      <c r="E527" s="8" t="s">
        <v>3116</v>
      </c>
      <c r="F527" s="9" t="s">
        <v>3123</v>
      </c>
      <c r="G527" s="10">
        <v>43551</v>
      </c>
      <c r="H527" s="8" t="s">
        <v>109</v>
      </c>
      <c r="I527" s="11">
        <v>14893400</v>
      </c>
      <c r="J527" s="8" t="s">
        <v>1137</v>
      </c>
      <c r="K527" s="8" t="s">
        <v>1138</v>
      </c>
      <c r="L527" s="7">
        <v>2016</v>
      </c>
      <c r="M527" s="8" t="s">
        <v>1141</v>
      </c>
      <c r="N527" s="11">
        <v>14893400</v>
      </c>
      <c r="O527" s="8" t="s">
        <v>1142</v>
      </c>
      <c r="P527" s="8" t="s">
        <v>1143</v>
      </c>
      <c r="Q527" s="8"/>
      <c r="R527" s="8" t="s">
        <v>278</v>
      </c>
    </row>
    <row r="528" spans="1:18" ht="26.15" customHeight="1">
      <c r="A528" s="7">
        <v>522</v>
      </c>
      <c r="B528" s="8" t="s">
        <v>3735</v>
      </c>
      <c r="C528" s="8" t="s">
        <v>3114</v>
      </c>
      <c r="D528" s="8" t="s">
        <v>3736</v>
      </c>
      <c r="E528" s="8" t="s">
        <v>3116</v>
      </c>
      <c r="F528" s="9" t="s">
        <v>3123</v>
      </c>
      <c r="G528" s="10">
        <v>43551</v>
      </c>
      <c r="H528" s="8" t="s">
        <v>109</v>
      </c>
      <c r="I528" s="11">
        <v>14893400</v>
      </c>
      <c r="J528" s="8" t="s">
        <v>1137</v>
      </c>
      <c r="K528" s="8" t="s">
        <v>1138</v>
      </c>
      <c r="L528" s="7">
        <v>2016</v>
      </c>
      <c r="M528" s="8" t="s">
        <v>1141</v>
      </c>
      <c r="N528" s="11">
        <v>14893400</v>
      </c>
      <c r="O528" s="8" t="s">
        <v>1142</v>
      </c>
      <c r="P528" s="8" t="s">
        <v>1143</v>
      </c>
      <c r="Q528" s="8"/>
      <c r="R528" s="8" t="s">
        <v>1528</v>
      </c>
    </row>
    <row r="529" spans="1:18" ht="26.15" customHeight="1">
      <c r="A529" s="7">
        <v>523</v>
      </c>
      <c r="B529" s="8" t="s">
        <v>3737</v>
      </c>
      <c r="C529" s="8" t="s">
        <v>3114</v>
      </c>
      <c r="D529" s="8" t="s">
        <v>3738</v>
      </c>
      <c r="E529" s="8" t="s">
        <v>3116</v>
      </c>
      <c r="F529" s="9" t="s">
        <v>3123</v>
      </c>
      <c r="G529" s="10">
        <v>43551</v>
      </c>
      <c r="H529" s="8" t="s">
        <v>109</v>
      </c>
      <c r="I529" s="11">
        <v>14893400</v>
      </c>
      <c r="J529" s="8" t="s">
        <v>1137</v>
      </c>
      <c r="K529" s="8" t="s">
        <v>1138</v>
      </c>
      <c r="L529" s="7">
        <v>2016</v>
      </c>
      <c r="M529" s="8" t="s">
        <v>1141</v>
      </c>
      <c r="N529" s="11">
        <v>14893400</v>
      </c>
      <c r="O529" s="8" t="s">
        <v>1142</v>
      </c>
      <c r="P529" s="8" t="s">
        <v>1143</v>
      </c>
      <c r="Q529" s="8"/>
      <c r="R529" s="8" t="s">
        <v>1479</v>
      </c>
    </row>
    <row r="530" spans="1:18" ht="26.15" customHeight="1">
      <c r="A530" s="7">
        <v>524</v>
      </c>
      <c r="B530" s="8" t="s">
        <v>1146</v>
      </c>
      <c r="C530" s="8" t="s">
        <v>3114</v>
      </c>
      <c r="D530" s="8" t="s">
        <v>3458</v>
      </c>
      <c r="E530" s="8" t="s">
        <v>3116</v>
      </c>
      <c r="F530" s="9" t="s">
        <v>3117</v>
      </c>
      <c r="G530" s="10">
        <v>43545</v>
      </c>
      <c r="H530" s="8" t="s">
        <v>34</v>
      </c>
      <c r="I530" s="11">
        <v>72624</v>
      </c>
      <c r="J530" s="8" t="s">
        <v>707</v>
      </c>
      <c r="K530" s="8" t="s">
        <v>708</v>
      </c>
      <c r="L530" s="7">
        <v>2018</v>
      </c>
      <c r="M530" s="8" t="s">
        <v>79</v>
      </c>
      <c r="N530" s="11">
        <v>1819105</v>
      </c>
      <c r="O530" s="8" t="s">
        <v>710</v>
      </c>
      <c r="P530" s="8" t="s">
        <v>711</v>
      </c>
      <c r="Q530" s="8"/>
      <c r="R530" s="8" t="s">
        <v>3459</v>
      </c>
    </row>
    <row r="531" spans="1:18" ht="26.15" customHeight="1">
      <c r="A531" s="7">
        <v>525</v>
      </c>
      <c r="B531" s="8" t="s">
        <v>3739</v>
      </c>
      <c r="C531" s="8" t="s">
        <v>3139</v>
      </c>
      <c r="D531" s="8" t="s">
        <v>3740</v>
      </c>
      <c r="E531" s="8" t="s">
        <v>3116</v>
      </c>
      <c r="F531" s="9" t="s">
        <v>3117</v>
      </c>
      <c r="G531" s="10">
        <v>43545</v>
      </c>
      <c r="H531" s="8" t="s">
        <v>34</v>
      </c>
      <c r="I531" s="11">
        <v>1000000</v>
      </c>
      <c r="J531" s="8" t="s">
        <v>1147</v>
      </c>
      <c r="K531" s="8" t="s">
        <v>1148</v>
      </c>
      <c r="L531" s="7">
        <v>2016</v>
      </c>
      <c r="M531" s="8" t="s">
        <v>1151</v>
      </c>
      <c r="N531" s="11">
        <v>2000000</v>
      </c>
      <c r="O531" s="8" t="s">
        <v>1152</v>
      </c>
      <c r="P531" s="8" t="s">
        <v>1153</v>
      </c>
      <c r="Q531" s="8"/>
      <c r="R531" s="8" t="s">
        <v>3120</v>
      </c>
    </row>
    <row r="532" spans="1:18" ht="26.15" customHeight="1">
      <c r="A532" s="7">
        <v>526</v>
      </c>
      <c r="B532" s="8" t="s">
        <v>798</v>
      </c>
      <c r="C532" s="8" t="s">
        <v>3114</v>
      </c>
      <c r="D532" s="8" t="s">
        <v>3581</v>
      </c>
      <c r="E532" s="8" t="s">
        <v>3116</v>
      </c>
      <c r="F532" s="9" t="s">
        <v>3117</v>
      </c>
      <c r="G532" s="10">
        <v>43545</v>
      </c>
      <c r="H532" s="8" t="s">
        <v>34</v>
      </c>
      <c r="I532" s="11">
        <v>1000000</v>
      </c>
      <c r="J532" s="8" t="s">
        <v>1147</v>
      </c>
      <c r="K532" s="8" t="s">
        <v>1148</v>
      </c>
      <c r="L532" s="7">
        <v>2016</v>
      </c>
      <c r="M532" s="8" t="s">
        <v>1151</v>
      </c>
      <c r="N532" s="11">
        <v>2000000</v>
      </c>
      <c r="O532" s="8" t="s">
        <v>1152</v>
      </c>
      <c r="P532" s="8" t="s">
        <v>1153</v>
      </c>
      <c r="Q532" s="8"/>
      <c r="R532" s="8" t="s">
        <v>3582</v>
      </c>
    </row>
    <row r="533" spans="1:18" ht="26.15" customHeight="1">
      <c r="A533" s="7">
        <v>527</v>
      </c>
      <c r="B533" s="8" t="s">
        <v>1158</v>
      </c>
      <c r="C533" s="8" t="s">
        <v>3127</v>
      </c>
      <c r="D533" s="8"/>
      <c r="E533" s="8" t="s">
        <v>3128</v>
      </c>
      <c r="F533" s="9" t="s">
        <v>3117</v>
      </c>
      <c r="G533" s="10">
        <v>43544</v>
      </c>
      <c r="H533" s="8" t="s">
        <v>34</v>
      </c>
      <c r="I533" s="11">
        <v>108836</v>
      </c>
      <c r="J533" s="8" t="s">
        <v>1154</v>
      </c>
      <c r="K533" s="8" t="s">
        <v>1155</v>
      </c>
      <c r="L533" s="7">
        <v>2017</v>
      </c>
      <c r="M533" s="8" t="s">
        <v>79</v>
      </c>
      <c r="N533" s="11">
        <v>108836</v>
      </c>
      <c r="O533" s="8" t="s">
        <v>1159</v>
      </c>
      <c r="P533" s="8" t="s">
        <v>1160</v>
      </c>
      <c r="Q533" s="8"/>
      <c r="R533" s="8"/>
    </row>
    <row r="534" spans="1:18" ht="26.15" customHeight="1">
      <c r="A534" s="7">
        <v>528</v>
      </c>
      <c r="B534" s="8" t="s">
        <v>3741</v>
      </c>
      <c r="C534" s="8" t="s">
        <v>3127</v>
      </c>
      <c r="D534" s="8"/>
      <c r="E534" s="8" t="s">
        <v>3128</v>
      </c>
      <c r="F534" s="9" t="s">
        <v>3123</v>
      </c>
      <c r="G534" s="10">
        <v>43544</v>
      </c>
      <c r="H534" s="8" t="s">
        <v>34</v>
      </c>
      <c r="I534" s="11">
        <v>108836</v>
      </c>
      <c r="J534" s="8" t="s">
        <v>1154</v>
      </c>
      <c r="K534" s="8" t="s">
        <v>1155</v>
      </c>
      <c r="L534" s="7">
        <v>2017</v>
      </c>
      <c r="M534" s="8" t="s">
        <v>79</v>
      </c>
      <c r="N534" s="11">
        <v>108836</v>
      </c>
      <c r="O534" s="8" t="s">
        <v>1159</v>
      </c>
      <c r="P534" s="8" t="s">
        <v>1160</v>
      </c>
      <c r="Q534" s="8"/>
      <c r="R534" s="8"/>
    </row>
    <row r="535" spans="1:18" ht="26.15" customHeight="1">
      <c r="A535" s="7">
        <v>529</v>
      </c>
      <c r="B535" s="8" t="s">
        <v>3374</v>
      </c>
      <c r="C535" s="8" t="s">
        <v>3114</v>
      </c>
      <c r="D535" s="8" t="s">
        <v>3375</v>
      </c>
      <c r="E535" s="8" t="s">
        <v>3116</v>
      </c>
      <c r="F535" s="9" t="s">
        <v>3123</v>
      </c>
      <c r="G535" s="10">
        <v>43544</v>
      </c>
      <c r="H535" s="8" t="s">
        <v>34</v>
      </c>
      <c r="I535" s="11">
        <v>108836</v>
      </c>
      <c r="J535" s="8" t="s">
        <v>1154</v>
      </c>
      <c r="K535" s="8" t="s">
        <v>1155</v>
      </c>
      <c r="L535" s="7">
        <v>2017</v>
      </c>
      <c r="M535" s="8" t="s">
        <v>79</v>
      </c>
      <c r="N535" s="11">
        <v>108836</v>
      </c>
      <c r="O535" s="8" t="s">
        <v>1159</v>
      </c>
      <c r="P535" s="8" t="s">
        <v>1160</v>
      </c>
      <c r="Q535" s="8"/>
      <c r="R535" s="8" t="s">
        <v>79</v>
      </c>
    </row>
    <row r="536" spans="1:18" ht="26.15" customHeight="1">
      <c r="A536" s="7">
        <v>530</v>
      </c>
      <c r="B536" s="8" t="s">
        <v>3742</v>
      </c>
      <c r="C536" s="8" t="s">
        <v>3127</v>
      </c>
      <c r="D536" s="8"/>
      <c r="E536" s="8" t="s">
        <v>3128</v>
      </c>
      <c r="F536" s="9" t="s">
        <v>3123</v>
      </c>
      <c r="G536" s="10">
        <v>43544</v>
      </c>
      <c r="H536" s="8" t="s">
        <v>34</v>
      </c>
      <c r="I536" s="11">
        <v>108836</v>
      </c>
      <c r="J536" s="8" t="s">
        <v>1154</v>
      </c>
      <c r="K536" s="8" t="s">
        <v>1155</v>
      </c>
      <c r="L536" s="7">
        <v>2017</v>
      </c>
      <c r="M536" s="8" t="s">
        <v>79</v>
      </c>
      <c r="N536" s="11">
        <v>108836</v>
      </c>
      <c r="O536" s="8" t="s">
        <v>1159</v>
      </c>
      <c r="P536" s="8" t="s">
        <v>1160</v>
      </c>
      <c r="Q536" s="8"/>
      <c r="R536" s="8"/>
    </row>
    <row r="537" spans="1:18" ht="26.15" customHeight="1">
      <c r="A537" s="7">
        <v>531</v>
      </c>
      <c r="B537" s="8" t="s">
        <v>3233</v>
      </c>
      <c r="C537" s="8" t="s">
        <v>3127</v>
      </c>
      <c r="D537" s="8"/>
      <c r="E537" s="8" t="s">
        <v>3128</v>
      </c>
      <c r="F537" s="9" t="s">
        <v>3123</v>
      </c>
      <c r="G537" s="10">
        <v>43544</v>
      </c>
      <c r="H537" s="8" t="s">
        <v>34</v>
      </c>
      <c r="I537" s="11">
        <v>108836</v>
      </c>
      <c r="J537" s="8" t="s">
        <v>1154</v>
      </c>
      <c r="K537" s="8" t="s">
        <v>1155</v>
      </c>
      <c r="L537" s="7">
        <v>2017</v>
      </c>
      <c r="M537" s="8" t="s">
        <v>79</v>
      </c>
      <c r="N537" s="11">
        <v>108836</v>
      </c>
      <c r="O537" s="8" t="s">
        <v>1159</v>
      </c>
      <c r="P537" s="8" t="s">
        <v>1160</v>
      </c>
      <c r="Q537" s="8"/>
      <c r="R537" s="8"/>
    </row>
    <row r="538" spans="1:18" ht="26.15" customHeight="1">
      <c r="A538" s="7">
        <v>532</v>
      </c>
      <c r="B538" s="8" t="s">
        <v>3743</v>
      </c>
      <c r="C538" s="8" t="s">
        <v>3127</v>
      </c>
      <c r="D538" s="8"/>
      <c r="E538" s="8" t="s">
        <v>3128</v>
      </c>
      <c r="F538" s="9" t="s">
        <v>3123</v>
      </c>
      <c r="G538" s="10">
        <v>43544</v>
      </c>
      <c r="H538" s="8" t="s">
        <v>34</v>
      </c>
      <c r="I538" s="11">
        <v>108836</v>
      </c>
      <c r="J538" s="8" t="s">
        <v>1154</v>
      </c>
      <c r="K538" s="8" t="s">
        <v>1155</v>
      </c>
      <c r="L538" s="7">
        <v>2017</v>
      </c>
      <c r="M538" s="8" t="s">
        <v>79</v>
      </c>
      <c r="N538" s="11">
        <v>108836</v>
      </c>
      <c r="O538" s="8" t="s">
        <v>1159</v>
      </c>
      <c r="P538" s="8" t="s">
        <v>1160</v>
      </c>
      <c r="Q538" s="8"/>
      <c r="R538" s="8"/>
    </row>
    <row r="539" spans="1:18" ht="26.15" customHeight="1">
      <c r="A539" s="7">
        <v>533</v>
      </c>
      <c r="B539" s="8" t="s">
        <v>3744</v>
      </c>
      <c r="C539" s="8" t="s">
        <v>3127</v>
      </c>
      <c r="D539" s="8"/>
      <c r="E539" s="8" t="s">
        <v>3128</v>
      </c>
      <c r="F539" s="9" t="s">
        <v>3123</v>
      </c>
      <c r="G539" s="10">
        <v>43544</v>
      </c>
      <c r="H539" s="8" t="s">
        <v>34</v>
      </c>
      <c r="I539" s="11">
        <v>108836</v>
      </c>
      <c r="J539" s="8" t="s">
        <v>1154</v>
      </c>
      <c r="K539" s="8" t="s">
        <v>1155</v>
      </c>
      <c r="L539" s="7">
        <v>2017</v>
      </c>
      <c r="M539" s="8" t="s">
        <v>79</v>
      </c>
      <c r="N539" s="11">
        <v>108836</v>
      </c>
      <c r="O539" s="8" t="s">
        <v>1159</v>
      </c>
      <c r="P539" s="8" t="s">
        <v>1160</v>
      </c>
      <c r="Q539" s="8"/>
      <c r="R539" s="8"/>
    </row>
    <row r="540" spans="1:18" ht="26.15" customHeight="1">
      <c r="A540" s="7">
        <v>534</v>
      </c>
      <c r="B540" s="8" t="s">
        <v>3416</v>
      </c>
      <c r="C540" s="8" t="s">
        <v>3139</v>
      </c>
      <c r="D540" s="8" t="s">
        <v>3417</v>
      </c>
      <c r="E540" s="8" t="s">
        <v>3116</v>
      </c>
      <c r="F540" s="9" t="s">
        <v>3123</v>
      </c>
      <c r="G540" s="10">
        <v>43544</v>
      </c>
      <c r="H540" s="8" t="s">
        <v>34</v>
      </c>
      <c r="I540" s="11">
        <v>108836</v>
      </c>
      <c r="J540" s="8" t="s">
        <v>1154</v>
      </c>
      <c r="K540" s="8" t="s">
        <v>1155</v>
      </c>
      <c r="L540" s="7">
        <v>2017</v>
      </c>
      <c r="M540" s="8" t="s">
        <v>79</v>
      </c>
      <c r="N540" s="11">
        <v>108836</v>
      </c>
      <c r="O540" s="8" t="s">
        <v>1159</v>
      </c>
      <c r="P540" s="8" t="s">
        <v>1160</v>
      </c>
      <c r="Q540" s="8"/>
      <c r="R540" s="8" t="s">
        <v>3418</v>
      </c>
    </row>
    <row r="541" spans="1:18" ht="26.15" customHeight="1">
      <c r="A541" s="7">
        <v>535</v>
      </c>
      <c r="B541" s="8" t="s">
        <v>1164</v>
      </c>
      <c r="C541" s="8" t="s">
        <v>3114</v>
      </c>
      <c r="D541" s="8" t="s">
        <v>3745</v>
      </c>
      <c r="E541" s="8" t="s">
        <v>3116</v>
      </c>
      <c r="F541" s="9" t="s">
        <v>3117</v>
      </c>
      <c r="G541" s="10">
        <v>43544</v>
      </c>
      <c r="H541" s="8" t="s">
        <v>34</v>
      </c>
      <c r="I541" s="11">
        <v>25000</v>
      </c>
      <c r="J541" s="8" t="s">
        <v>1161</v>
      </c>
      <c r="K541" s="8" t="s">
        <v>1162</v>
      </c>
      <c r="L541" s="7">
        <v>2017</v>
      </c>
      <c r="M541" s="8" t="s">
        <v>1165</v>
      </c>
      <c r="N541" s="11">
        <v>25000</v>
      </c>
      <c r="O541" s="8" t="s">
        <v>1166</v>
      </c>
      <c r="P541" s="8" t="s">
        <v>1167</v>
      </c>
      <c r="Q541" s="8"/>
      <c r="R541" s="8" t="s">
        <v>792</v>
      </c>
    </row>
    <row r="542" spans="1:18" ht="26.15" customHeight="1">
      <c r="A542" s="7">
        <v>536</v>
      </c>
      <c r="B542" s="8" t="s">
        <v>644</v>
      </c>
      <c r="C542" s="8" t="s">
        <v>3114</v>
      </c>
      <c r="D542" s="8" t="s">
        <v>3162</v>
      </c>
      <c r="E542" s="8" t="s">
        <v>3116</v>
      </c>
      <c r="F542" s="9" t="s">
        <v>3117</v>
      </c>
      <c r="G542" s="10">
        <v>43541</v>
      </c>
      <c r="H542" s="8" t="s">
        <v>34</v>
      </c>
      <c r="I542" s="11">
        <v>4346310</v>
      </c>
      <c r="J542" s="8" t="s">
        <v>458</v>
      </c>
      <c r="K542" s="8" t="s">
        <v>459</v>
      </c>
      <c r="L542" s="7">
        <v>2012</v>
      </c>
      <c r="M542" s="8" t="s">
        <v>462</v>
      </c>
      <c r="N542" s="11">
        <v>16507907</v>
      </c>
      <c r="O542" s="8" t="s">
        <v>463</v>
      </c>
      <c r="P542" s="8" t="s">
        <v>464</v>
      </c>
      <c r="Q542" s="8"/>
      <c r="R542" s="8" t="s">
        <v>313</v>
      </c>
    </row>
    <row r="543" spans="1:18" ht="26.15" customHeight="1">
      <c r="A543" s="7">
        <v>537</v>
      </c>
      <c r="B543" s="8" t="s">
        <v>492</v>
      </c>
      <c r="C543" s="8" t="s">
        <v>3114</v>
      </c>
      <c r="D543" s="8" t="s">
        <v>3144</v>
      </c>
      <c r="E543" s="8" t="s">
        <v>3116</v>
      </c>
      <c r="F543" s="9" t="s">
        <v>3117</v>
      </c>
      <c r="G543" s="10">
        <v>43541</v>
      </c>
      <c r="H543" s="8" t="s">
        <v>34</v>
      </c>
      <c r="I543" s="11">
        <v>4346310</v>
      </c>
      <c r="J543" s="8" t="s">
        <v>458</v>
      </c>
      <c r="K543" s="8" t="s">
        <v>459</v>
      </c>
      <c r="L543" s="7">
        <v>2012</v>
      </c>
      <c r="M543" s="8" t="s">
        <v>462</v>
      </c>
      <c r="N543" s="11">
        <v>16507907</v>
      </c>
      <c r="O543" s="8" t="s">
        <v>463</v>
      </c>
      <c r="P543" s="8" t="s">
        <v>464</v>
      </c>
      <c r="Q543" s="8"/>
      <c r="R543" s="8" t="s">
        <v>3145</v>
      </c>
    </row>
    <row r="544" spans="1:18" ht="26.15" customHeight="1">
      <c r="A544" s="7">
        <v>538</v>
      </c>
      <c r="B544" s="8" t="s">
        <v>3746</v>
      </c>
      <c r="C544" s="8" t="s">
        <v>3127</v>
      </c>
      <c r="D544" s="8"/>
      <c r="E544" s="8" t="s">
        <v>3128</v>
      </c>
      <c r="F544" s="9" t="s">
        <v>3123</v>
      </c>
      <c r="G544" s="10">
        <v>43541</v>
      </c>
      <c r="H544" s="8" t="s">
        <v>34</v>
      </c>
      <c r="I544" s="11">
        <v>4346310</v>
      </c>
      <c r="J544" s="8" t="s">
        <v>458</v>
      </c>
      <c r="K544" s="8" t="s">
        <v>459</v>
      </c>
      <c r="L544" s="7">
        <v>2012</v>
      </c>
      <c r="M544" s="8" t="s">
        <v>462</v>
      </c>
      <c r="N544" s="11">
        <v>16507907</v>
      </c>
      <c r="O544" s="8" t="s">
        <v>463</v>
      </c>
      <c r="P544" s="8" t="s">
        <v>464</v>
      </c>
      <c r="Q544" s="8"/>
      <c r="R544" s="8"/>
    </row>
    <row r="545" spans="1:18" ht="26.15" customHeight="1">
      <c r="A545" s="7">
        <v>539</v>
      </c>
      <c r="B545" s="8" t="s">
        <v>3414</v>
      </c>
      <c r="C545" s="8" t="s">
        <v>3114</v>
      </c>
      <c r="D545" s="8" t="s">
        <v>3415</v>
      </c>
      <c r="E545" s="8" t="s">
        <v>3116</v>
      </c>
      <c r="F545" s="9" t="s">
        <v>3117</v>
      </c>
      <c r="G545" s="10">
        <v>43541</v>
      </c>
      <c r="H545" s="8" t="s">
        <v>34</v>
      </c>
      <c r="I545" s="11">
        <v>4346310</v>
      </c>
      <c r="J545" s="8" t="s">
        <v>458</v>
      </c>
      <c r="K545" s="8" t="s">
        <v>459</v>
      </c>
      <c r="L545" s="7">
        <v>2012</v>
      </c>
      <c r="M545" s="8" t="s">
        <v>462</v>
      </c>
      <c r="N545" s="11">
        <v>16507907</v>
      </c>
      <c r="O545" s="8" t="s">
        <v>463</v>
      </c>
      <c r="P545" s="8" t="s">
        <v>464</v>
      </c>
      <c r="Q545" s="8"/>
      <c r="R545" s="8" t="s">
        <v>79</v>
      </c>
    </row>
    <row r="546" spans="1:18" ht="26.15" customHeight="1">
      <c r="A546" s="7">
        <v>540</v>
      </c>
      <c r="B546" s="8" t="s">
        <v>3747</v>
      </c>
      <c r="C546" s="8" t="s">
        <v>3127</v>
      </c>
      <c r="D546" s="8"/>
      <c r="E546" s="8" t="s">
        <v>3128</v>
      </c>
      <c r="F546" s="9" t="s">
        <v>3123</v>
      </c>
      <c r="G546" s="10">
        <v>43541</v>
      </c>
      <c r="H546" s="8" t="s">
        <v>34</v>
      </c>
      <c r="I546" s="11">
        <v>4346310</v>
      </c>
      <c r="J546" s="8" t="s">
        <v>458</v>
      </c>
      <c r="K546" s="8" t="s">
        <v>459</v>
      </c>
      <c r="L546" s="7">
        <v>2012</v>
      </c>
      <c r="M546" s="8" t="s">
        <v>462</v>
      </c>
      <c r="N546" s="11">
        <v>16507907</v>
      </c>
      <c r="O546" s="8" t="s">
        <v>463</v>
      </c>
      <c r="P546" s="8" t="s">
        <v>464</v>
      </c>
      <c r="Q546" s="8"/>
      <c r="R546" s="8"/>
    </row>
    <row r="547" spans="1:18" ht="26.15" customHeight="1">
      <c r="A547" s="7">
        <v>541</v>
      </c>
      <c r="B547" s="8" t="s">
        <v>3748</v>
      </c>
      <c r="C547" s="8" t="s">
        <v>3127</v>
      </c>
      <c r="D547" s="8"/>
      <c r="E547" s="8" t="s">
        <v>3128</v>
      </c>
      <c r="F547" s="9" t="s">
        <v>3123</v>
      </c>
      <c r="G547" s="10">
        <v>43541</v>
      </c>
      <c r="H547" s="8" t="s">
        <v>34</v>
      </c>
      <c r="I547" s="11">
        <v>4346310</v>
      </c>
      <c r="J547" s="8" t="s">
        <v>458</v>
      </c>
      <c r="K547" s="8" t="s">
        <v>459</v>
      </c>
      <c r="L547" s="7">
        <v>2012</v>
      </c>
      <c r="M547" s="8" t="s">
        <v>462</v>
      </c>
      <c r="N547" s="11">
        <v>16507907</v>
      </c>
      <c r="O547" s="8" t="s">
        <v>463</v>
      </c>
      <c r="P547" s="8" t="s">
        <v>464</v>
      </c>
      <c r="Q547" s="8"/>
      <c r="R547" s="8"/>
    </row>
    <row r="548" spans="1:18" ht="26.15" customHeight="1">
      <c r="A548" s="7">
        <v>542</v>
      </c>
      <c r="B548" s="8" t="s">
        <v>1831</v>
      </c>
      <c r="C548" s="8"/>
      <c r="D548" s="8" t="s">
        <v>3567</v>
      </c>
      <c r="E548" s="8" t="s">
        <v>3116</v>
      </c>
      <c r="F548" s="9" t="s">
        <v>3123</v>
      </c>
      <c r="G548" s="10">
        <v>43541</v>
      </c>
      <c r="H548" s="8" t="s">
        <v>34</v>
      </c>
      <c r="I548" s="11">
        <v>4346310</v>
      </c>
      <c r="J548" s="8" t="s">
        <v>458</v>
      </c>
      <c r="K548" s="8" t="s">
        <v>459</v>
      </c>
      <c r="L548" s="7">
        <v>2012</v>
      </c>
      <c r="M548" s="8" t="s">
        <v>462</v>
      </c>
      <c r="N548" s="11">
        <v>16507907</v>
      </c>
      <c r="O548" s="8" t="s">
        <v>463</v>
      </c>
      <c r="P548" s="8" t="s">
        <v>464</v>
      </c>
      <c r="Q548" s="8"/>
      <c r="R548" s="8" t="s">
        <v>128</v>
      </c>
    </row>
    <row r="549" spans="1:18" ht="26.15" customHeight="1">
      <c r="A549" s="7">
        <v>543</v>
      </c>
      <c r="B549" s="8" t="s">
        <v>1174</v>
      </c>
      <c r="C549" s="8" t="s">
        <v>3114</v>
      </c>
      <c r="D549" s="8" t="s">
        <v>3519</v>
      </c>
      <c r="E549" s="8" t="s">
        <v>3116</v>
      </c>
      <c r="F549" s="9" t="s">
        <v>3117</v>
      </c>
      <c r="G549" s="10">
        <v>43536</v>
      </c>
      <c r="H549" s="8" t="s">
        <v>95</v>
      </c>
      <c r="I549" s="11">
        <v>31182200</v>
      </c>
      <c r="J549" s="8" t="s">
        <v>1171</v>
      </c>
      <c r="K549" s="8" t="s">
        <v>1172</v>
      </c>
      <c r="L549" s="7">
        <v>2008</v>
      </c>
      <c r="M549" s="8" t="s">
        <v>47</v>
      </c>
      <c r="N549" s="11">
        <v>47182672</v>
      </c>
      <c r="O549" s="8" t="s">
        <v>1175</v>
      </c>
      <c r="P549" s="8" t="s">
        <v>1176</v>
      </c>
      <c r="Q549" s="8"/>
      <c r="R549" s="8" t="s">
        <v>3520</v>
      </c>
    </row>
    <row r="550" spans="1:18" ht="26.15" customHeight="1">
      <c r="A550" s="7">
        <v>544</v>
      </c>
      <c r="B550" s="8" t="s">
        <v>1308</v>
      </c>
      <c r="C550" s="8" t="s">
        <v>3114</v>
      </c>
      <c r="D550" s="8" t="s">
        <v>3469</v>
      </c>
      <c r="E550" s="8" t="s">
        <v>3116</v>
      </c>
      <c r="F550" s="9" t="s">
        <v>3123</v>
      </c>
      <c r="G550" s="10">
        <v>43536</v>
      </c>
      <c r="H550" s="8" t="s">
        <v>95</v>
      </c>
      <c r="I550" s="11">
        <v>31182200</v>
      </c>
      <c r="J550" s="8" t="s">
        <v>1171</v>
      </c>
      <c r="K550" s="8" t="s">
        <v>1172</v>
      </c>
      <c r="L550" s="7">
        <v>2008</v>
      </c>
      <c r="M550" s="8" t="s">
        <v>47</v>
      </c>
      <c r="N550" s="11">
        <v>47182672</v>
      </c>
      <c r="O550" s="8" t="s">
        <v>1175</v>
      </c>
      <c r="P550" s="8" t="s">
        <v>1176</v>
      </c>
      <c r="Q550" s="8"/>
      <c r="R550" s="8" t="s">
        <v>3470</v>
      </c>
    </row>
    <row r="551" spans="1:18" ht="26.15" customHeight="1">
      <c r="A551" s="7">
        <v>545</v>
      </c>
      <c r="B551" s="8" t="s">
        <v>113</v>
      </c>
      <c r="C551" s="8" t="s">
        <v>3114</v>
      </c>
      <c r="D551" s="8" t="s">
        <v>3163</v>
      </c>
      <c r="E551" s="8" t="s">
        <v>3116</v>
      </c>
      <c r="F551" s="9" t="s">
        <v>3123</v>
      </c>
      <c r="G551" s="10">
        <v>43536</v>
      </c>
      <c r="H551" s="8" t="s">
        <v>95</v>
      </c>
      <c r="I551" s="11">
        <v>31182200</v>
      </c>
      <c r="J551" s="8" t="s">
        <v>1171</v>
      </c>
      <c r="K551" s="8" t="s">
        <v>1172</v>
      </c>
      <c r="L551" s="7">
        <v>2008</v>
      </c>
      <c r="M551" s="8" t="s">
        <v>47</v>
      </c>
      <c r="N551" s="11">
        <v>47182672</v>
      </c>
      <c r="O551" s="8" t="s">
        <v>1175</v>
      </c>
      <c r="P551" s="8" t="s">
        <v>1176</v>
      </c>
      <c r="Q551" s="8"/>
      <c r="R551" s="8" t="s">
        <v>79</v>
      </c>
    </row>
    <row r="552" spans="1:18" ht="26.15" customHeight="1">
      <c r="A552" s="7">
        <v>546</v>
      </c>
      <c r="B552" s="8" t="s">
        <v>3749</v>
      </c>
      <c r="C552" s="8" t="s">
        <v>3114</v>
      </c>
      <c r="D552" s="8" t="s">
        <v>3750</v>
      </c>
      <c r="E552" s="8" t="s">
        <v>3116</v>
      </c>
      <c r="F552" s="9" t="s">
        <v>3123</v>
      </c>
      <c r="G552" s="10">
        <v>43536</v>
      </c>
      <c r="H552" s="8" t="s">
        <v>95</v>
      </c>
      <c r="I552" s="11">
        <v>31182200</v>
      </c>
      <c r="J552" s="8" t="s">
        <v>1171</v>
      </c>
      <c r="K552" s="8" t="s">
        <v>1172</v>
      </c>
      <c r="L552" s="7">
        <v>2008</v>
      </c>
      <c r="M552" s="8" t="s">
        <v>47</v>
      </c>
      <c r="N552" s="11">
        <v>47182672</v>
      </c>
      <c r="O552" s="8" t="s">
        <v>1175</v>
      </c>
      <c r="P552" s="8" t="s">
        <v>1176</v>
      </c>
      <c r="Q552" s="8"/>
      <c r="R552" s="8" t="s">
        <v>3194</v>
      </c>
    </row>
    <row r="553" spans="1:18" ht="26.15" customHeight="1">
      <c r="A553" s="7">
        <v>547</v>
      </c>
      <c r="B553" s="8" t="s">
        <v>484</v>
      </c>
      <c r="C553" s="8" t="s">
        <v>3114</v>
      </c>
      <c r="D553" s="8" t="s">
        <v>3164</v>
      </c>
      <c r="E553" s="8" t="s">
        <v>3116</v>
      </c>
      <c r="F553" s="9" t="s">
        <v>3123</v>
      </c>
      <c r="G553" s="10">
        <v>43536</v>
      </c>
      <c r="H553" s="8" t="s">
        <v>95</v>
      </c>
      <c r="I553" s="11">
        <v>31182200</v>
      </c>
      <c r="J553" s="8" t="s">
        <v>1171</v>
      </c>
      <c r="K553" s="8" t="s">
        <v>1172</v>
      </c>
      <c r="L553" s="7">
        <v>2008</v>
      </c>
      <c r="M553" s="8" t="s">
        <v>47</v>
      </c>
      <c r="N553" s="11">
        <v>47182672</v>
      </c>
      <c r="O553" s="8" t="s">
        <v>1175</v>
      </c>
      <c r="P553" s="8" t="s">
        <v>1176</v>
      </c>
      <c r="Q553" s="8"/>
      <c r="R553" s="8" t="s">
        <v>313</v>
      </c>
    </row>
    <row r="554" spans="1:18" ht="26.15" customHeight="1">
      <c r="A554" s="7">
        <v>548</v>
      </c>
      <c r="B554" s="8" t="s">
        <v>644</v>
      </c>
      <c r="C554" s="8" t="s">
        <v>3114</v>
      </c>
      <c r="D554" s="8" t="s">
        <v>3162</v>
      </c>
      <c r="E554" s="8" t="s">
        <v>3116</v>
      </c>
      <c r="F554" s="9" t="s">
        <v>3117</v>
      </c>
      <c r="G554" s="10">
        <v>43535</v>
      </c>
      <c r="H554" s="8" t="s">
        <v>34</v>
      </c>
      <c r="I554" s="11">
        <v>2139340</v>
      </c>
      <c r="J554" s="8" t="s">
        <v>1178</v>
      </c>
      <c r="K554" s="8" t="s">
        <v>1179</v>
      </c>
      <c r="L554" s="7">
        <v>2015</v>
      </c>
      <c r="M554" s="8" t="s">
        <v>79</v>
      </c>
      <c r="N554" s="11">
        <v>2139340</v>
      </c>
      <c r="O554" s="8" t="s">
        <v>1183</v>
      </c>
      <c r="P554" s="8" t="s">
        <v>1184</v>
      </c>
      <c r="Q554" s="8"/>
      <c r="R554" s="8" t="s">
        <v>313</v>
      </c>
    </row>
    <row r="555" spans="1:18" ht="26.15" customHeight="1">
      <c r="A555" s="7">
        <v>549</v>
      </c>
      <c r="B555" s="8" t="s">
        <v>928</v>
      </c>
      <c r="C555" s="8" t="s">
        <v>3114</v>
      </c>
      <c r="D555" s="8" t="s">
        <v>3301</v>
      </c>
      <c r="E555" s="8" t="s">
        <v>3116</v>
      </c>
      <c r="F555" s="9" t="s">
        <v>3117</v>
      </c>
      <c r="G555" s="10">
        <v>43535</v>
      </c>
      <c r="H555" s="8" t="s">
        <v>34</v>
      </c>
      <c r="I555" s="11">
        <v>2139340</v>
      </c>
      <c r="J555" s="8" t="s">
        <v>1178</v>
      </c>
      <c r="K555" s="8" t="s">
        <v>1179</v>
      </c>
      <c r="L555" s="7">
        <v>2015</v>
      </c>
      <c r="M555" s="8" t="s">
        <v>79</v>
      </c>
      <c r="N555" s="11">
        <v>2139340</v>
      </c>
      <c r="O555" s="8" t="s">
        <v>1183</v>
      </c>
      <c r="P555" s="8" t="s">
        <v>1184</v>
      </c>
      <c r="Q555" s="8"/>
      <c r="R555" s="8" t="s">
        <v>313</v>
      </c>
    </row>
    <row r="556" spans="1:18" ht="26.15" customHeight="1">
      <c r="A556" s="7">
        <v>550</v>
      </c>
      <c r="B556" s="8" t="s">
        <v>2275</v>
      </c>
      <c r="C556" s="8" t="s">
        <v>3114</v>
      </c>
      <c r="D556" s="8" t="s">
        <v>3409</v>
      </c>
      <c r="E556" s="8" t="s">
        <v>3116</v>
      </c>
      <c r="F556" s="9" t="s">
        <v>3123</v>
      </c>
      <c r="G556" s="10">
        <v>43535</v>
      </c>
      <c r="H556" s="8" t="s">
        <v>34</v>
      </c>
      <c r="I556" s="11">
        <v>2139340</v>
      </c>
      <c r="J556" s="8" t="s">
        <v>1178</v>
      </c>
      <c r="K556" s="8" t="s">
        <v>1179</v>
      </c>
      <c r="L556" s="7">
        <v>2015</v>
      </c>
      <c r="M556" s="8" t="s">
        <v>79</v>
      </c>
      <c r="N556" s="11">
        <v>2139340</v>
      </c>
      <c r="O556" s="8" t="s">
        <v>1183</v>
      </c>
      <c r="P556" s="8" t="s">
        <v>1184</v>
      </c>
      <c r="Q556" s="8"/>
      <c r="R556" s="8" t="s">
        <v>3204</v>
      </c>
    </row>
    <row r="557" spans="1:18" ht="26.15" customHeight="1">
      <c r="A557" s="7">
        <v>551</v>
      </c>
      <c r="B557" s="8" t="s">
        <v>3751</v>
      </c>
      <c r="C557" s="8" t="s">
        <v>3127</v>
      </c>
      <c r="D557" s="8"/>
      <c r="E557" s="8" t="s">
        <v>3128</v>
      </c>
      <c r="F557" s="9" t="s">
        <v>3123</v>
      </c>
      <c r="G557" s="10">
        <v>43535</v>
      </c>
      <c r="H557" s="8" t="s">
        <v>34</v>
      </c>
      <c r="I557" s="11">
        <v>2139340</v>
      </c>
      <c r="J557" s="8" t="s">
        <v>1178</v>
      </c>
      <c r="K557" s="8" t="s">
        <v>1179</v>
      </c>
      <c r="L557" s="7">
        <v>2015</v>
      </c>
      <c r="M557" s="8" t="s">
        <v>79</v>
      </c>
      <c r="N557" s="11">
        <v>2139340</v>
      </c>
      <c r="O557" s="8" t="s">
        <v>1183</v>
      </c>
      <c r="P557" s="8" t="s">
        <v>1184</v>
      </c>
      <c r="Q557" s="8"/>
      <c r="R557" s="8"/>
    </row>
    <row r="558" spans="1:18" ht="26.15" customHeight="1">
      <c r="A558" s="7">
        <v>552</v>
      </c>
      <c r="B558" s="8" t="s">
        <v>3752</v>
      </c>
      <c r="C558" s="8" t="s">
        <v>3127</v>
      </c>
      <c r="D558" s="8"/>
      <c r="E558" s="8" t="s">
        <v>3128</v>
      </c>
      <c r="F558" s="9" t="s">
        <v>3123</v>
      </c>
      <c r="G558" s="10">
        <v>43535</v>
      </c>
      <c r="H558" s="8" t="s">
        <v>34</v>
      </c>
      <c r="I558" s="11">
        <v>2139340</v>
      </c>
      <c r="J558" s="8" t="s">
        <v>1178</v>
      </c>
      <c r="K558" s="8" t="s">
        <v>1179</v>
      </c>
      <c r="L558" s="7">
        <v>2015</v>
      </c>
      <c r="M558" s="8" t="s">
        <v>79</v>
      </c>
      <c r="N558" s="11">
        <v>2139340</v>
      </c>
      <c r="O558" s="8" t="s">
        <v>1183</v>
      </c>
      <c r="P558" s="8" t="s">
        <v>1184</v>
      </c>
      <c r="Q558" s="8"/>
      <c r="R558" s="8"/>
    </row>
    <row r="559" spans="1:18" ht="26.15" customHeight="1">
      <c r="A559" s="7">
        <v>553</v>
      </c>
      <c r="B559" s="8" t="s">
        <v>3753</v>
      </c>
      <c r="C559" s="8" t="s">
        <v>3127</v>
      </c>
      <c r="D559" s="8"/>
      <c r="E559" s="8" t="s">
        <v>3128</v>
      </c>
      <c r="F559" s="9" t="s">
        <v>3123</v>
      </c>
      <c r="G559" s="10">
        <v>43535</v>
      </c>
      <c r="H559" s="8" t="s">
        <v>34</v>
      </c>
      <c r="I559" s="11">
        <v>2139340</v>
      </c>
      <c r="J559" s="8" t="s">
        <v>1178</v>
      </c>
      <c r="K559" s="8" t="s">
        <v>1179</v>
      </c>
      <c r="L559" s="7">
        <v>2015</v>
      </c>
      <c r="M559" s="8" t="s">
        <v>79</v>
      </c>
      <c r="N559" s="11">
        <v>2139340</v>
      </c>
      <c r="O559" s="8" t="s">
        <v>1183</v>
      </c>
      <c r="P559" s="8" t="s">
        <v>1184</v>
      </c>
      <c r="Q559" s="8"/>
      <c r="R559" s="8"/>
    </row>
    <row r="560" spans="1:18" ht="26.15" customHeight="1">
      <c r="A560" s="7">
        <v>554</v>
      </c>
      <c r="B560" s="8" t="s">
        <v>609</v>
      </c>
      <c r="C560" s="8" t="s">
        <v>3114</v>
      </c>
      <c r="D560" s="8" t="s">
        <v>3122</v>
      </c>
      <c r="E560" s="8" t="s">
        <v>3116</v>
      </c>
      <c r="F560" s="9" t="s">
        <v>3117</v>
      </c>
      <c r="G560" s="10">
        <v>43530</v>
      </c>
      <c r="H560" s="8" t="s">
        <v>34</v>
      </c>
      <c r="I560" s="11">
        <v>481083</v>
      </c>
      <c r="J560" s="8" t="s">
        <v>1191</v>
      </c>
      <c r="K560" s="8" t="s">
        <v>1192</v>
      </c>
      <c r="L560" s="7">
        <v>2017</v>
      </c>
      <c r="M560" s="8" t="s">
        <v>47</v>
      </c>
      <c r="N560" s="11">
        <v>567108</v>
      </c>
      <c r="O560" s="8" t="s">
        <v>1194</v>
      </c>
      <c r="P560" s="8" t="s">
        <v>1195</v>
      </c>
      <c r="Q560" s="8"/>
      <c r="R560" s="8" t="s">
        <v>313</v>
      </c>
    </row>
    <row r="561" spans="1:18" ht="26.15" customHeight="1">
      <c r="A561" s="7">
        <v>555</v>
      </c>
      <c r="B561" s="8" t="s">
        <v>3650</v>
      </c>
      <c r="C561" s="8" t="s">
        <v>3127</v>
      </c>
      <c r="D561" s="8"/>
      <c r="E561" s="8" t="s">
        <v>3128</v>
      </c>
      <c r="F561" s="9" t="s">
        <v>3123</v>
      </c>
      <c r="G561" s="10">
        <v>43530</v>
      </c>
      <c r="H561" s="8" t="s">
        <v>34</v>
      </c>
      <c r="I561" s="11">
        <v>481083</v>
      </c>
      <c r="J561" s="8" t="s">
        <v>1191</v>
      </c>
      <c r="K561" s="8" t="s">
        <v>1192</v>
      </c>
      <c r="L561" s="7">
        <v>2017</v>
      </c>
      <c r="M561" s="8" t="s">
        <v>47</v>
      </c>
      <c r="N561" s="11">
        <v>567108</v>
      </c>
      <c r="O561" s="8" t="s">
        <v>1194</v>
      </c>
      <c r="P561" s="8" t="s">
        <v>1195</v>
      </c>
      <c r="Q561" s="8"/>
      <c r="R561" s="8"/>
    </row>
    <row r="562" spans="1:18" ht="26.15" customHeight="1">
      <c r="A562" s="7">
        <v>556</v>
      </c>
      <c r="B562" s="8" t="s">
        <v>3754</v>
      </c>
      <c r="C562" s="8" t="s">
        <v>3127</v>
      </c>
      <c r="D562" s="8"/>
      <c r="E562" s="8" t="s">
        <v>3128</v>
      </c>
      <c r="F562" s="9" t="s">
        <v>3123</v>
      </c>
      <c r="G562" s="10">
        <v>43530</v>
      </c>
      <c r="H562" s="8" t="s">
        <v>34</v>
      </c>
      <c r="I562" s="11">
        <v>481083</v>
      </c>
      <c r="J562" s="8" t="s">
        <v>1191</v>
      </c>
      <c r="K562" s="8" t="s">
        <v>1192</v>
      </c>
      <c r="L562" s="7">
        <v>2017</v>
      </c>
      <c r="M562" s="8" t="s">
        <v>47</v>
      </c>
      <c r="N562" s="11">
        <v>567108</v>
      </c>
      <c r="O562" s="8" t="s">
        <v>1194</v>
      </c>
      <c r="P562" s="8" t="s">
        <v>1195</v>
      </c>
      <c r="Q562" s="8"/>
      <c r="R562" s="8"/>
    </row>
    <row r="563" spans="1:18" ht="26.15" customHeight="1">
      <c r="A563" s="7">
        <v>557</v>
      </c>
      <c r="B563" s="8" t="s">
        <v>45</v>
      </c>
      <c r="C563" s="8" t="s">
        <v>3127</v>
      </c>
      <c r="D563" s="8"/>
      <c r="E563" s="8" t="s">
        <v>3128</v>
      </c>
      <c r="F563" s="9" t="s">
        <v>3123</v>
      </c>
      <c r="G563" s="10">
        <v>43530</v>
      </c>
      <c r="H563" s="8" t="s">
        <v>34</v>
      </c>
      <c r="I563" s="11">
        <v>481083</v>
      </c>
      <c r="J563" s="8" t="s">
        <v>1191</v>
      </c>
      <c r="K563" s="8" t="s">
        <v>1192</v>
      </c>
      <c r="L563" s="7">
        <v>2017</v>
      </c>
      <c r="M563" s="8" t="s">
        <v>47</v>
      </c>
      <c r="N563" s="11">
        <v>567108</v>
      </c>
      <c r="O563" s="8" t="s">
        <v>1194</v>
      </c>
      <c r="P563" s="8" t="s">
        <v>1195</v>
      </c>
      <c r="Q563" s="8"/>
      <c r="R563" s="8"/>
    </row>
    <row r="564" spans="1:18" ht="26.15" customHeight="1">
      <c r="A564" s="7">
        <v>558</v>
      </c>
      <c r="B564" s="8" t="s">
        <v>1199</v>
      </c>
      <c r="C564" s="8" t="s">
        <v>3114</v>
      </c>
      <c r="D564" s="8" t="s">
        <v>3755</v>
      </c>
      <c r="E564" s="8" t="s">
        <v>3116</v>
      </c>
      <c r="F564" s="9" t="s">
        <v>3117</v>
      </c>
      <c r="G564" s="10">
        <v>43529</v>
      </c>
      <c r="H564" s="8" t="s">
        <v>34</v>
      </c>
      <c r="I564" s="11">
        <v>25000</v>
      </c>
      <c r="J564" s="8" t="s">
        <v>1196</v>
      </c>
      <c r="K564" s="8" t="s">
        <v>1197</v>
      </c>
      <c r="L564" s="7">
        <v>2016</v>
      </c>
      <c r="M564" s="8" t="s">
        <v>39</v>
      </c>
      <c r="N564" s="11">
        <v>652000</v>
      </c>
      <c r="O564" s="8" t="s">
        <v>389</v>
      </c>
      <c r="P564" s="8" t="s">
        <v>1200</v>
      </c>
      <c r="Q564" s="8"/>
      <c r="R564" s="8" t="s">
        <v>3145</v>
      </c>
    </row>
    <row r="565" spans="1:18" ht="26.15" customHeight="1">
      <c r="A565" s="7">
        <v>559</v>
      </c>
      <c r="B565" s="8" t="s">
        <v>928</v>
      </c>
      <c r="C565" s="8" t="s">
        <v>3114</v>
      </c>
      <c r="D565" s="8" t="s">
        <v>3301</v>
      </c>
      <c r="E565" s="8" t="s">
        <v>3116</v>
      </c>
      <c r="F565" s="9" t="s">
        <v>3117</v>
      </c>
      <c r="G565" s="10">
        <v>43525</v>
      </c>
      <c r="H565" s="8" t="s">
        <v>34</v>
      </c>
      <c r="I565" s="11">
        <v>2055900</v>
      </c>
      <c r="J565" s="8" t="s">
        <v>308</v>
      </c>
      <c r="K565" s="8" t="s">
        <v>309</v>
      </c>
      <c r="L565" s="7">
        <v>2017</v>
      </c>
      <c r="M565" s="8" t="s">
        <v>313</v>
      </c>
      <c r="N565" s="11">
        <v>6014060</v>
      </c>
      <c r="O565" s="8" t="s">
        <v>314</v>
      </c>
      <c r="P565" s="8" t="s">
        <v>315</v>
      </c>
      <c r="Q565" s="8"/>
      <c r="R565" s="8" t="s">
        <v>313</v>
      </c>
    </row>
    <row r="566" spans="1:18" ht="26.15" customHeight="1">
      <c r="A566" s="7">
        <v>560</v>
      </c>
      <c r="B566" s="8" t="s">
        <v>3756</v>
      </c>
      <c r="C566" s="8" t="s">
        <v>3139</v>
      </c>
      <c r="D566" s="8" t="s">
        <v>3757</v>
      </c>
      <c r="E566" s="8" t="s">
        <v>3116</v>
      </c>
      <c r="F566" s="9" t="s">
        <v>3123</v>
      </c>
      <c r="G566" s="10">
        <v>43525</v>
      </c>
      <c r="H566" s="8" t="s">
        <v>34</v>
      </c>
      <c r="I566" s="11">
        <v>2055900</v>
      </c>
      <c r="J566" s="8" t="s">
        <v>308</v>
      </c>
      <c r="K566" s="8" t="s">
        <v>309</v>
      </c>
      <c r="L566" s="7">
        <v>2017</v>
      </c>
      <c r="M566" s="8" t="s">
        <v>313</v>
      </c>
      <c r="N566" s="11">
        <v>6014060</v>
      </c>
      <c r="O566" s="8" t="s">
        <v>314</v>
      </c>
      <c r="P566" s="8" t="s">
        <v>315</v>
      </c>
      <c r="Q566" s="8"/>
      <c r="R566" s="8" t="s">
        <v>313</v>
      </c>
    </row>
    <row r="567" spans="1:18" ht="26.15" customHeight="1">
      <c r="A567" s="7">
        <v>561</v>
      </c>
      <c r="B567" s="8" t="s">
        <v>1091</v>
      </c>
      <c r="C567" s="8" t="s">
        <v>3139</v>
      </c>
      <c r="D567" s="8" t="s">
        <v>3237</v>
      </c>
      <c r="E567" s="8" t="s">
        <v>3116</v>
      </c>
      <c r="F567" s="9" t="s">
        <v>3123</v>
      </c>
      <c r="G567" s="10">
        <v>43525</v>
      </c>
      <c r="H567" s="8" t="s">
        <v>34</v>
      </c>
      <c r="I567" s="11">
        <v>2055900</v>
      </c>
      <c r="J567" s="8" t="s">
        <v>308</v>
      </c>
      <c r="K567" s="8" t="s">
        <v>309</v>
      </c>
      <c r="L567" s="7">
        <v>2017</v>
      </c>
      <c r="M567" s="8" t="s">
        <v>313</v>
      </c>
      <c r="N567" s="11">
        <v>6014060</v>
      </c>
      <c r="O567" s="8" t="s">
        <v>314</v>
      </c>
      <c r="P567" s="8" t="s">
        <v>315</v>
      </c>
      <c r="Q567" s="8"/>
      <c r="R567" s="8" t="s">
        <v>3138</v>
      </c>
    </row>
    <row r="568" spans="1:18" ht="26.15" customHeight="1">
      <c r="A568" s="7">
        <v>562</v>
      </c>
      <c r="B568" s="8" t="s">
        <v>3758</v>
      </c>
      <c r="C568" s="8"/>
      <c r="D568" s="8" t="s">
        <v>3759</v>
      </c>
      <c r="E568" s="8" t="s">
        <v>3116</v>
      </c>
      <c r="F568" s="9" t="s">
        <v>3123</v>
      </c>
      <c r="G568" s="10">
        <v>43525</v>
      </c>
      <c r="H568" s="8" t="s">
        <v>34</v>
      </c>
      <c r="I568" s="11">
        <v>2055900</v>
      </c>
      <c r="J568" s="8" t="s">
        <v>308</v>
      </c>
      <c r="K568" s="8" t="s">
        <v>309</v>
      </c>
      <c r="L568" s="7">
        <v>2017</v>
      </c>
      <c r="M568" s="8" t="s">
        <v>313</v>
      </c>
      <c r="N568" s="11">
        <v>6014060</v>
      </c>
      <c r="O568" s="8" t="s">
        <v>314</v>
      </c>
      <c r="P568" s="8" t="s">
        <v>315</v>
      </c>
      <c r="Q568" s="8"/>
      <c r="R568" s="8" t="s">
        <v>313</v>
      </c>
    </row>
    <row r="569" spans="1:18" ht="26.15" customHeight="1">
      <c r="A569" s="7">
        <v>563</v>
      </c>
      <c r="B569" s="8" t="s">
        <v>3124</v>
      </c>
      <c r="C569" s="8" t="s">
        <v>3114</v>
      </c>
      <c r="D569" s="8" t="s">
        <v>3125</v>
      </c>
      <c r="E569" s="8" t="s">
        <v>3116</v>
      </c>
      <c r="F569" s="9" t="s">
        <v>3123</v>
      </c>
      <c r="G569" s="10">
        <v>43525</v>
      </c>
      <c r="H569" s="8" t="s">
        <v>34</v>
      </c>
      <c r="I569" s="11">
        <v>2055900</v>
      </c>
      <c r="J569" s="8" t="s">
        <v>308</v>
      </c>
      <c r="K569" s="8" t="s">
        <v>309</v>
      </c>
      <c r="L569" s="7">
        <v>2017</v>
      </c>
      <c r="M569" s="8" t="s">
        <v>313</v>
      </c>
      <c r="N569" s="11">
        <v>6014060</v>
      </c>
      <c r="O569" s="8" t="s">
        <v>314</v>
      </c>
      <c r="P569" s="8" t="s">
        <v>315</v>
      </c>
      <c r="Q569" s="8"/>
      <c r="R569" s="8" t="s">
        <v>3126</v>
      </c>
    </row>
    <row r="570" spans="1:18" ht="26.15" customHeight="1">
      <c r="A570" s="7">
        <v>564</v>
      </c>
      <c r="B570" s="8" t="s">
        <v>3760</v>
      </c>
      <c r="C570" s="8" t="s">
        <v>3139</v>
      </c>
      <c r="D570" s="8" t="s">
        <v>3761</v>
      </c>
      <c r="E570" s="8" t="s">
        <v>3116</v>
      </c>
      <c r="F570" s="9" t="s">
        <v>3123</v>
      </c>
      <c r="G570" s="10">
        <v>43525</v>
      </c>
      <c r="H570" s="8" t="s">
        <v>34</v>
      </c>
      <c r="I570" s="11">
        <v>2055900</v>
      </c>
      <c r="J570" s="8" t="s">
        <v>308</v>
      </c>
      <c r="K570" s="8" t="s">
        <v>309</v>
      </c>
      <c r="L570" s="7">
        <v>2017</v>
      </c>
      <c r="M570" s="8" t="s">
        <v>313</v>
      </c>
      <c r="N570" s="11">
        <v>6014060</v>
      </c>
      <c r="O570" s="8" t="s">
        <v>314</v>
      </c>
      <c r="P570" s="8" t="s">
        <v>315</v>
      </c>
      <c r="Q570" s="8"/>
      <c r="R570" s="8" t="s">
        <v>3762</v>
      </c>
    </row>
    <row r="571" spans="1:18" ht="26.15" customHeight="1">
      <c r="A571" s="7">
        <v>565</v>
      </c>
      <c r="B571" s="8" t="s">
        <v>3302</v>
      </c>
      <c r="C571" s="8" t="s">
        <v>3114</v>
      </c>
      <c r="D571" s="8" t="s">
        <v>3303</v>
      </c>
      <c r="E571" s="8" t="s">
        <v>3116</v>
      </c>
      <c r="F571" s="9" t="s">
        <v>3123</v>
      </c>
      <c r="G571" s="10">
        <v>43525</v>
      </c>
      <c r="H571" s="8" t="s">
        <v>34</v>
      </c>
      <c r="I571" s="11">
        <v>2055900</v>
      </c>
      <c r="J571" s="8" t="s">
        <v>308</v>
      </c>
      <c r="K571" s="8" t="s">
        <v>309</v>
      </c>
      <c r="L571" s="7">
        <v>2017</v>
      </c>
      <c r="M571" s="8" t="s">
        <v>313</v>
      </c>
      <c r="N571" s="11">
        <v>6014060</v>
      </c>
      <c r="O571" s="8" t="s">
        <v>314</v>
      </c>
      <c r="P571" s="8" t="s">
        <v>315</v>
      </c>
      <c r="Q571" s="8"/>
      <c r="R571" s="8" t="s">
        <v>313</v>
      </c>
    </row>
    <row r="572" spans="1:18" ht="26.15" customHeight="1">
      <c r="A572" s="7">
        <v>566</v>
      </c>
      <c r="B572" s="8" t="s">
        <v>3763</v>
      </c>
      <c r="C572" s="8" t="s">
        <v>3127</v>
      </c>
      <c r="D572" s="8"/>
      <c r="E572" s="8" t="s">
        <v>3128</v>
      </c>
      <c r="F572" s="9" t="s">
        <v>3123</v>
      </c>
      <c r="G572" s="10">
        <v>43525</v>
      </c>
      <c r="H572" s="8" t="s">
        <v>34</v>
      </c>
      <c r="I572" s="11">
        <v>2055900</v>
      </c>
      <c r="J572" s="8" t="s">
        <v>308</v>
      </c>
      <c r="K572" s="8" t="s">
        <v>309</v>
      </c>
      <c r="L572" s="7">
        <v>2017</v>
      </c>
      <c r="M572" s="8" t="s">
        <v>313</v>
      </c>
      <c r="N572" s="11">
        <v>6014060</v>
      </c>
      <c r="O572" s="8" t="s">
        <v>314</v>
      </c>
      <c r="P572" s="8" t="s">
        <v>315</v>
      </c>
      <c r="Q572" s="8"/>
      <c r="R572" s="8"/>
    </row>
    <row r="573" spans="1:18" ht="26.15" customHeight="1">
      <c r="A573" s="7">
        <v>567</v>
      </c>
      <c r="B573" s="8" t="s">
        <v>3764</v>
      </c>
      <c r="C573" s="8" t="s">
        <v>3127</v>
      </c>
      <c r="D573" s="8"/>
      <c r="E573" s="8" t="s">
        <v>3128</v>
      </c>
      <c r="F573" s="9" t="s">
        <v>3123</v>
      </c>
      <c r="G573" s="10">
        <v>43525</v>
      </c>
      <c r="H573" s="8" t="s">
        <v>34</v>
      </c>
      <c r="I573" s="11">
        <v>2055900</v>
      </c>
      <c r="J573" s="8" t="s">
        <v>308</v>
      </c>
      <c r="K573" s="8" t="s">
        <v>309</v>
      </c>
      <c r="L573" s="7">
        <v>2017</v>
      </c>
      <c r="M573" s="8" t="s">
        <v>313</v>
      </c>
      <c r="N573" s="11">
        <v>6014060</v>
      </c>
      <c r="O573" s="8" t="s">
        <v>314</v>
      </c>
      <c r="P573" s="8" t="s">
        <v>315</v>
      </c>
      <c r="Q573" s="8"/>
      <c r="R573" s="8"/>
    </row>
    <row r="574" spans="1:18" ht="26.15" customHeight="1">
      <c r="A574" s="7">
        <v>568</v>
      </c>
      <c r="B574" s="8" t="s">
        <v>3312</v>
      </c>
      <c r="C574" s="8" t="s">
        <v>3127</v>
      </c>
      <c r="D574" s="8"/>
      <c r="E574" s="8" t="s">
        <v>3128</v>
      </c>
      <c r="F574" s="9" t="s">
        <v>3123</v>
      </c>
      <c r="G574" s="10">
        <v>43525</v>
      </c>
      <c r="H574" s="8" t="s">
        <v>34</v>
      </c>
      <c r="I574" s="11">
        <v>2055900</v>
      </c>
      <c r="J574" s="8" t="s">
        <v>308</v>
      </c>
      <c r="K574" s="8" t="s">
        <v>309</v>
      </c>
      <c r="L574" s="7">
        <v>2017</v>
      </c>
      <c r="M574" s="8" t="s">
        <v>313</v>
      </c>
      <c r="N574" s="11">
        <v>6014060</v>
      </c>
      <c r="O574" s="8" t="s">
        <v>314</v>
      </c>
      <c r="P574" s="8" t="s">
        <v>315</v>
      </c>
      <c r="Q574" s="8"/>
      <c r="R574" s="8"/>
    </row>
    <row r="575" spans="1:18" ht="26.15" customHeight="1">
      <c r="A575" s="7">
        <v>569</v>
      </c>
      <c r="B575" s="8" t="s">
        <v>3308</v>
      </c>
      <c r="C575" s="8" t="s">
        <v>3127</v>
      </c>
      <c r="D575" s="8"/>
      <c r="E575" s="8" t="s">
        <v>3128</v>
      </c>
      <c r="F575" s="9" t="s">
        <v>3123</v>
      </c>
      <c r="G575" s="10">
        <v>43525</v>
      </c>
      <c r="H575" s="8" t="s">
        <v>34</v>
      </c>
      <c r="I575" s="11">
        <v>2055900</v>
      </c>
      <c r="J575" s="8" t="s">
        <v>308</v>
      </c>
      <c r="K575" s="8" t="s">
        <v>309</v>
      </c>
      <c r="L575" s="7">
        <v>2017</v>
      </c>
      <c r="M575" s="8" t="s">
        <v>313</v>
      </c>
      <c r="N575" s="11">
        <v>6014060</v>
      </c>
      <c r="O575" s="8" t="s">
        <v>314</v>
      </c>
      <c r="P575" s="8" t="s">
        <v>315</v>
      </c>
      <c r="Q575" s="8"/>
      <c r="R575" s="8"/>
    </row>
    <row r="576" spans="1:18" ht="26.15" customHeight="1">
      <c r="A576" s="7">
        <v>570</v>
      </c>
      <c r="B576" s="8" t="s">
        <v>1204</v>
      </c>
      <c r="C576" s="8" t="s">
        <v>3114</v>
      </c>
      <c r="D576" s="8" t="s">
        <v>3765</v>
      </c>
      <c r="E576" s="8" t="s">
        <v>3116</v>
      </c>
      <c r="F576" s="9" t="s">
        <v>3117</v>
      </c>
      <c r="G576" s="10">
        <v>43523</v>
      </c>
      <c r="H576" s="8" t="s">
        <v>109</v>
      </c>
      <c r="I576" s="11">
        <v>2000000</v>
      </c>
      <c r="J576" s="8" t="s">
        <v>378</v>
      </c>
      <c r="K576" s="8" t="s">
        <v>379</v>
      </c>
      <c r="L576" s="7">
        <v>2014</v>
      </c>
      <c r="M576" s="8" t="s">
        <v>382</v>
      </c>
      <c r="N576" s="11">
        <v>10111973</v>
      </c>
      <c r="O576" s="8" t="s">
        <v>383</v>
      </c>
      <c r="P576" s="8" t="s">
        <v>384</v>
      </c>
      <c r="Q576" s="8"/>
      <c r="R576" s="8" t="s">
        <v>804</v>
      </c>
    </row>
    <row r="577" spans="1:18" ht="26.15" customHeight="1">
      <c r="A577" s="7">
        <v>571</v>
      </c>
      <c r="B577" s="8" t="s">
        <v>882</v>
      </c>
      <c r="C577" s="8" t="s">
        <v>3114</v>
      </c>
      <c r="D577" s="8" t="s">
        <v>3624</v>
      </c>
      <c r="E577" s="8" t="s">
        <v>3116</v>
      </c>
      <c r="F577" s="9" t="s">
        <v>3123</v>
      </c>
      <c r="G577" s="10">
        <v>43503</v>
      </c>
      <c r="H577" s="8" t="s">
        <v>109</v>
      </c>
      <c r="I577" s="11">
        <v>697943</v>
      </c>
      <c r="J577" s="8" t="s">
        <v>878</v>
      </c>
      <c r="K577" s="8" t="s">
        <v>879</v>
      </c>
      <c r="L577" s="7">
        <v>2015</v>
      </c>
      <c r="M577" s="8" t="s">
        <v>56</v>
      </c>
      <c r="N577" s="11">
        <v>9059375</v>
      </c>
      <c r="O577" s="8" t="s">
        <v>883</v>
      </c>
      <c r="P577" s="8" t="s">
        <v>884</v>
      </c>
      <c r="Q577" s="8"/>
      <c r="R577" s="8" t="s">
        <v>313</v>
      </c>
    </row>
    <row r="578" spans="1:18" ht="26.15" customHeight="1">
      <c r="A578" s="7">
        <v>572</v>
      </c>
      <c r="B578" s="8" t="s">
        <v>1534</v>
      </c>
      <c r="C578" s="8" t="s">
        <v>3114</v>
      </c>
      <c r="D578" s="8" t="s">
        <v>3766</v>
      </c>
      <c r="E578" s="8" t="s">
        <v>3116</v>
      </c>
      <c r="F578" s="9" t="s">
        <v>3123</v>
      </c>
      <c r="G578" s="10">
        <v>43500</v>
      </c>
      <c r="H578" s="8" t="s">
        <v>34</v>
      </c>
      <c r="I578" s="11" t="s">
        <v>50</v>
      </c>
      <c r="J578" s="8" t="s">
        <v>1205</v>
      </c>
      <c r="K578" s="8" t="s">
        <v>1206</v>
      </c>
      <c r="L578" s="7">
        <v>2014</v>
      </c>
      <c r="M578" s="8" t="s">
        <v>39</v>
      </c>
      <c r="N578" s="11"/>
      <c r="O578" s="8" t="s">
        <v>1209</v>
      </c>
      <c r="P578" s="8" t="s">
        <v>1210</v>
      </c>
      <c r="Q578" s="8"/>
      <c r="R578" s="8" t="s">
        <v>3632</v>
      </c>
    </row>
    <row r="579" spans="1:18" ht="26.15" customHeight="1">
      <c r="A579" s="7">
        <v>573</v>
      </c>
      <c r="B579" s="8" t="s">
        <v>3767</v>
      </c>
      <c r="C579" s="8" t="s">
        <v>3139</v>
      </c>
      <c r="D579" s="8" t="s">
        <v>3768</v>
      </c>
      <c r="E579" s="8" t="s">
        <v>3116</v>
      </c>
      <c r="F579" s="9" t="s">
        <v>3117</v>
      </c>
      <c r="G579" s="10">
        <v>43500</v>
      </c>
      <c r="H579" s="8" t="s">
        <v>34</v>
      </c>
      <c r="I579" s="11" t="s">
        <v>50</v>
      </c>
      <c r="J579" s="8" t="s">
        <v>1205</v>
      </c>
      <c r="K579" s="8" t="s">
        <v>1206</v>
      </c>
      <c r="L579" s="7">
        <v>2014</v>
      </c>
      <c r="M579" s="8" t="s">
        <v>39</v>
      </c>
      <c r="N579" s="11"/>
      <c r="O579" s="8" t="s">
        <v>1209</v>
      </c>
      <c r="P579" s="8" t="s">
        <v>1210</v>
      </c>
      <c r="Q579" s="8"/>
      <c r="R579" s="8" t="s">
        <v>3769</v>
      </c>
    </row>
    <row r="580" spans="1:18" ht="26.15" customHeight="1">
      <c r="A580" s="7">
        <v>574</v>
      </c>
      <c r="B580" s="8" t="s">
        <v>3770</v>
      </c>
      <c r="C580" s="8" t="s">
        <v>3114</v>
      </c>
      <c r="D580" s="8" t="s">
        <v>3771</v>
      </c>
      <c r="E580" s="8" t="s">
        <v>3116</v>
      </c>
      <c r="F580" s="9" t="s">
        <v>3117</v>
      </c>
      <c r="G580" s="10">
        <v>43500</v>
      </c>
      <c r="H580" s="8" t="s">
        <v>34</v>
      </c>
      <c r="I580" s="11" t="s">
        <v>50</v>
      </c>
      <c r="J580" s="8" t="s">
        <v>1205</v>
      </c>
      <c r="K580" s="8" t="s">
        <v>1206</v>
      </c>
      <c r="L580" s="7">
        <v>2014</v>
      </c>
      <c r="M580" s="8" t="s">
        <v>39</v>
      </c>
      <c r="N580" s="11"/>
      <c r="O580" s="8" t="s">
        <v>1209</v>
      </c>
      <c r="P580" s="8" t="s">
        <v>1210</v>
      </c>
      <c r="Q580" s="8"/>
      <c r="R580" s="8" t="s">
        <v>3772</v>
      </c>
    </row>
    <row r="581" spans="1:18" ht="26.15" customHeight="1">
      <c r="A581" s="7">
        <v>575</v>
      </c>
      <c r="B581" s="8" t="s">
        <v>3773</v>
      </c>
      <c r="C581" s="8" t="s">
        <v>3114</v>
      </c>
      <c r="D581" s="8" t="s">
        <v>3774</v>
      </c>
      <c r="E581" s="8" t="s">
        <v>3116</v>
      </c>
      <c r="F581" s="9" t="s">
        <v>3117</v>
      </c>
      <c r="G581" s="10">
        <v>43500</v>
      </c>
      <c r="H581" s="8" t="s">
        <v>34</v>
      </c>
      <c r="I581" s="11" t="s">
        <v>50</v>
      </c>
      <c r="J581" s="8" t="s">
        <v>1205</v>
      </c>
      <c r="K581" s="8" t="s">
        <v>1206</v>
      </c>
      <c r="L581" s="7">
        <v>2014</v>
      </c>
      <c r="M581" s="8" t="s">
        <v>39</v>
      </c>
      <c r="N581" s="11"/>
      <c r="O581" s="8" t="s">
        <v>1209</v>
      </c>
      <c r="P581" s="8" t="s">
        <v>1210</v>
      </c>
      <c r="Q581" s="8"/>
      <c r="R581" s="8" t="s">
        <v>3775</v>
      </c>
    </row>
    <row r="582" spans="1:18" ht="26.15" customHeight="1">
      <c r="A582" s="7">
        <v>576</v>
      </c>
      <c r="B582" s="8" t="s">
        <v>3776</v>
      </c>
      <c r="C582" s="8" t="s">
        <v>3139</v>
      </c>
      <c r="D582" s="8" t="s">
        <v>3776</v>
      </c>
      <c r="E582" s="8" t="s">
        <v>3116</v>
      </c>
      <c r="F582" s="9" t="s">
        <v>3117</v>
      </c>
      <c r="G582" s="10">
        <v>43500</v>
      </c>
      <c r="H582" s="8" t="s">
        <v>34</v>
      </c>
      <c r="I582" s="11" t="s">
        <v>50</v>
      </c>
      <c r="J582" s="8" t="s">
        <v>1205</v>
      </c>
      <c r="K582" s="8" t="s">
        <v>1206</v>
      </c>
      <c r="L582" s="7">
        <v>2014</v>
      </c>
      <c r="M582" s="8" t="s">
        <v>39</v>
      </c>
      <c r="N582" s="11"/>
      <c r="O582" s="8" t="s">
        <v>1209</v>
      </c>
      <c r="P582" s="8" t="s">
        <v>1210</v>
      </c>
      <c r="Q582" s="8"/>
      <c r="R582" s="8"/>
    </row>
    <row r="583" spans="1:18" ht="26.15" customHeight="1">
      <c r="A583" s="7">
        <v>577</v>
      </c>
      <c r="B583" s="8" t="s">
        <v>1214</v>
      </c>
      <c r="C583" s="8" t="s">
        <v>3114</v>
      </c>
      <c r="D583" s="8" t="s">
        <v>3777</v>
      </c>
      <c r="E583" s="8" t="s">
        <v>3116</v>
      </c>
      <c r="F583" s="9" t="s">
        <v>3117</v>
      </c>
      <c r="G583" s="10">
        <v>43497</v>
      </c>
      <c r="H583" s="8" t="s">
        <v>34</v>
      </c>
      <c r="I583" s="11">
        <v>1496022</v>
      </c>
      <c r="J583" s="8" t="s">
        <v>1211</v>
      </c>
      <c r="K583" s="8" t="s">
        <v>1212</v>
      </c>
      <c r="L583" s="7">
        <v>2013</v>
      </c>
      <c r="M583" s="8" t="s">
        <v>1215</v>
      </c>
      <c r="N583" s="11">
        <v>1496022</v>
      </c>
      <c r="O583" s="8" t="s">
        <v>1216</v>
      </c>
      <c r="P583" s="8" t="s">
        <v>1217</v>
      </c>
      <c r="Q583" s="8"/>
      <c r="R583" s="8" t="s">
        <v>415</v>
      </c>
    </row>
    <row r="584" spans="1:18" ht="26.15" customHeight="1">
      <c r="A584" s="7">
        <v>578</v>
      </c>
      <c r="B584" s="8" t="s">
        <v>1221</v>
      </c>
      <c r="C584" s="8" t="s">
        <v>3139</v>
      </c>
      <c r="D584" s="8" t="s">
        <v>3778</v>
      </c>
      <c r="E584" s="8" t="s">
        <v>3116</v>
      </c>
      <c r="F584" s="9" t="s">
        <v>3117</v>
      </c>
      <c r="G584" s="10">
        <v>43491</v>
      </c>
      <c r="H584" s="8" t="s">
        <v>109</v>
      </c>
      <c r="I584" s="11">
        <v>3000000</v>
      </c>
      <c r="J584" s="8" t="s">
        <v>1218</v>
      </c>
      <c r="K584" s="8" t="s">
        <v>1219</v>
      </c>
      <c r="L584" s="7">
        <v>2018</v>
      </c>
      <c r="M584" s="8" t="s">
        <v>1222</v>
      </c>
      <c r="N584" s="11">
        <v>3000000</v>
      </c>
      <c r="O584" s="8" t="s">
        <v>1223</v>
      </c>
      <c r="P584" s="8" t="s">
        <v>1224</v>
      </c>
      <c r="Q584" s="8"/>
      <c r="R584" s="8" t="s">
        <v>3145</v>
      </c>
    </row>
    <row r="585" spans="1:18" ht="26.15" customHeight="1">
      <c r="A585" s="7">
        <v>579</v>
      </c>
      <c r="B585" s="8" t="s">
        <v>1228</v>
      </c>
      <c r="C585" s="8"/>
      <c r="D585" s="8" t="s">
        <v>3779</v>
      </c>
      <c r="E585" s="8" t="s">
        <v>3116</v>
      </c>
      <c r="F585" s="9" t="s">
        <v>3117</v>
      </c>
      <c r="G585" s="10">
        <v>43487</v>
      </c>
      <c r="H585" s="8" t="s">
        <v>34</v>
      </c>
      <c r="I585" s="11" t="s">
        <v>50</v>
      </c>
      <c r="J585" s="8" t="s">
        <v>1225</v>
      </c>
      <c r="K585" s="8" t="s">
        <v>1226</v>
      </c>
      <c r="L585" s="7">
        <v>2017</v>
      </c>
      <c r="M585" s="8" t="s">
        <v>313</v>
      </c>
      <c r="N585" s="11"/>
      <c r="O585" s="8" t="s">
        <v>1229</v>
      </c>
      <c r="P585" s="8" t="s">
        <v>1230</v>
      </c>
      <c r="Q585" s="8"/>
      <c r="R585" s="8" t="s">
        <v>56</v>
      </c>
    </row>
    <row r="586" spans="1:18" ht="26.15" customHeight="1">
      <c r="A586" s="7">
        <v>580</v>
      </c>
      <c r="B586" s="8" t="s">
        <v>1228</v>
      </c>
      <c r="C586" s="8"/>
      <c r="D586" s="8" t="s">
        <v>3779</v>
      </c>
      <c r="E586" s="8" t="s">
        <v>3116</v>
      </c>
      <c r="F586" s="9" t="s">
        <v>3117</v>
      </c>
      <c r="G586" s="10">
        <v>43487</v>
      </c>
      <c r="H586" s="8" t="s">
        <v>34</v>
      </c>
      <c r="I586" s="11" t="s">
        <v>50</v>
      </c>
      <c r="J586" s="8" t="s">
        <v>1231</v>
      </c>
      <c r="K586" s="8" t="s">
        <v>1232</v>
      </c>
      <c r="L586" s="7">
        <v>2017</v>
      </c>
      <c r="M586" s="8" t="s">
        <v>313</v>
      </c>
      <c r="N586" s="11"/>
      <c r="O586" s="8" t="s">
        <v>1233</v>
      </c>
      <c r="P586" s="8" t="s">
        <v>1234</v>
      </c>
      <c r="Q586" s="8"/>
      <c r="R586" s="8" t="s">
        <v>56</v>
      </c>
    </row>
    <row r="587" spans="1:18" ht="26.15" customHeight="1">
      <c r="A587" s="7">
        <v>581</v>
      </c>
      <c r="B587" s="8" t="s">
        <v>1228</v>
      </c>
      <c r="C587" s="8"/>
      <c r="D587" s="8" t="s">
        <v>3779</v>
      </c>
      <c r="E587" s="8" t="s">
        <v>3116</v>
      </c>
      <c r="F587" s="9" t="s">
        <v>3117</v>
      </c>
      <c r="G587" s="10">
        <v>43487</v>
      </c>
      <c r="H587" s="8" t="s">
        <v>34</v>
      </c>
      <c r="I587" s="11" t="s">
        <v>50</v>
      </c>
      <c r="J587" s="8" t="s">
        <v>1235</v>
      </c>
      <c r="K587" s="8" t="s">
        <v>1236</v>
      </c>
      <c r="L587" s="7">
        <v>2014</v>
      </c>
      <c r="M587" s="8" t="s">
        <v>56</v>
      </c>
      <c r="N587" s="11"/>
      <c r="O587" s="8" t="s">
        <v>1237</v>
      </c>
      <c r="P587" s="8" t="s">
        <v>1238</v>
      </c>
      <c r="Q587" s="8"/>
      <c r="R587" s="8" t="s">
        <v>56</v>
      </c>
    </row>
    <row r="588" spans="1:18" ht="26.15" customHeight="1">
      <c r="A588" s="7">
        <v>582</v>
      </c>
      <c r="B588" s="8" t="s">
        <v>1242</v>
      </c>
      <c r="C588" s="8" t="s">
        <v>3114</v>
      </c>
      <c r="D588" s="8" t="s">
        <v>3151</v>
      </c>
      <c r="E588" s="8" t="s">
        <v>3116</v>
      </c>
      <c r="F588" s="9" t="s">
        <v>3117</v>
      </c>
      <c r="G588" s="10">
        <v>43486</v>
      </c>
      <c r="H588" s="8" t="s">
        <v>34</v>
      </c>
      <c r="I588" s="11">
        <v>2000000</v>
      </c>
      <c r="J588" s="8" t="s">
        <v>1239</v>
      </c>
      <c r="K588" s="8" t="s">
        <v>1240</v>
      </c>
      <c r="L588" s="7">
        <v>2016</v>
      </c>
      <c r="M588" s="8" t="s">
        <v>1243</v>
      </c>
      <c r="N588" s="11">
        <v>4352191</v>
      </c>
      <c r="O588" s="8" t="s">
        <v>1244</v>
      </c>
      <c r="P588" s="8" t="s">
        <v>1245</v>
      </c>
      <c r="Q588" s="8"/>
      <c r="R588" s="8" t="s">
        <v>79</v>
      </c>
    </row>
    <row r="589" spans="1:18" ht="26.15" customHeight="1">
      <c r="A589" s="7">
        <v>583</v>
      </c>
      <c r="B589" s="8" t="s">
        <v>644</v>
      </c>
      <c r="C589" s="8" t="s">
        <v>3114</v>
      </c>
      <c r="D589" s="8" t="s">
        <v>3162</v>
      </c>
      <c r="E589" s="8" t="s">
        <v>3116</v>
      </c>
      <c r="F589" s="9" t="s">
        <v>3123</v>
      </c>
      <c r="G589" s="10">
        <v>43486</v>
      </c>
      <c r="H589" s="8" t="s">
        <v>34</v>
      </c>
      <c r="I589" s="11">
        <v>2000000</v>
      </c>
      <c r="J589" s="8" t="s">
        <v>1239</v>
      </c>
      <c r="K589" s="8" t="s">
        <v>1240</v>
      </c>
      <c r="L589" s="7">
        <v>2016</v>
      </c>
      <c r="M589" s="8" t="s">
        <v>1243</v>
      </c>
      <c r="N589" s="11">
        <v>4352191</v>
      </c>
      <c r="O589" s="8" t="s">
        <v>1244</v>
      </c>
      <c r="P589" s="8" t="s">
        <v>1245</v>
      </c>
      <c r="Q589" s="8"/>
      <c r="R589" s="8" t="s">
        <v>313</v>
      </c>
    </row>
    <row r="590" spans="1:18" ht="26.15" customHeight="1">
      <c r="A590" s="7">
        <v>584</v>
      </c>
      <c r="B590" s="8" t="s">
        <v>1250</v>
      </c>
      <c r="C590" s="8" t="s">
        <v>3114</v>
      </c>
      <c r="D590" s="8" t="s">
        <v>3780</v>
      </c>
      <c r="E590" s="8" t="s">
        <v>3116</v>
      </c>
      <c r="F590" s="9" t="s">
        <v>3117</v>
      </c>
      <c r="G590" s="10">
        <v>43481</v>
      </c>
      <c r="H590" s="8" t="s">
        <v>109</v>
      </c>
      <c r="I590" s="11">
        <v>11500000</v>
      </c>
      <c r="J590" s="8" t="s">
        <v>1246</v>
      </c>
      <c r="K590" s="8" t="s">
        <v>1247</v>
      </c>
      <c r="L590" s="7">
        <v>2017</v>
      </c>
      <c r="M590" s="8" t="s">
        <v>1251</v>
      </c>
      <c r="N590" s="11">
        <v>15000000</v>
      </c>
      <c r="O590" s="8" t="s">
        <v>1252</v>
      </c>
      <c r="P590" s="8" t="s">
        <v>1253</v>
      </c>
      <c r="Q590" s="8"/>
      <c r="R590" s="8" t="s">
        <v>369</v>
      </c>
    </row>
    <row r="591" spans="1:18" ht="26.15" customHeight="1">
      <c r="A591" s="7">
        <v>585</v>
      </c>
      <c r="B591" s="8" t="s">
        <v>3781</v>
      </c>
      <c r="C591" s="8" t="s">
        <v>3114</v>
      </c>
      <c r="D591" s="8" t="s">
        <v>3782</v>
      </c>
      <c r="E591" s="8" t="s">
        <v>3116</v>
      </c>
      <c r="F591" s="9" t="s">
        <v>3123</v>
      </c>
      <c r="G591" s="10">
        <v>43481</v>
      </c>
      <c r="H591" s="8" t="s">
        <v>109</v>
      </c>
      <c r="I591" s="11">
        <v>11500000</v>
      </c>
      <c r="J591" s="8" t="s">
        <v>1246</v>
      </c>
      <c r="K591" s="8" t="s">
        <v>1247</v>
      </c>
      <c r="L591" s="7">
        <v>2017</v>
      </c>
      <c r="M591" s="8" t="s">
        <v>1251</v>
      </c>
      <c r="N591" s="11">
        <v>15000000</v>
      </c>
      <c r="O591" s="8" t="s">
        <v>1252</v>
      </c>
      <c r="P591" s="8" t="s">
        <v>1253</v>
      </c>
      <c r="Q591" s="8"/>
      <c r="R591" s="8" t="s">
        <v>1251</v>
      </c>
    </row>
    <row r="592" spans="1:18" ht="26.15" customHeight="1">
      <c r="A592" s="7">
        <v>586</v>
      </c>
      <c r="B592" s="8" t="s">
        <v>1249</v>
      </c>
      <c r="C592" s="8" t="s">
        <v>3127</v>
      </c>
      <c r="D592" s="8"/>
      <c r="E592" s="8" t="s">
        <v>3128</v>
      </c>
      <c r="F592" s="9" t="s">
        <v>3123</v>
      </c>
      <c r="G592" s="10">
        <v>43481</v>
      </c>
      <c r="H592" s="8" t="s">
        <v>109</v>
      </c>
      <c r="I592" s="11">
        <v>11500000</v>
      </c>
      <c r="J592" s="8" t="s">
        <v>1246</v>
      </c>
      <c r="K592" s="8" t="s">
        <v>1247</v>
      </c>
      <c r="L592" s="7">
        <v>2017</v>
      </c>
      <c r="M592" s="8" t="s">
        <v>1251</v>
      </c>
      <c r="N592" s="11">
        <v>15000000</v>
      </c>
      <c r="O592" s="8" t="s">
        <v>1252</v>
      </c>
      <c r="P592" s="8" t="s">
        <v>1253</v>
      </c>
      <c r="Q592" s="8"/>
      <c r="R592" s="8"/>
    </row>
    <row r="593" spans="1:18" ht="26.15" customHeight="1">
      <c r="A593" s="7">
        <v>587</v>
      </c>
      <c r="B593" s="8" t="s">
        <v>3783</v>
      </c>
      <c r="C593" s="8" t="s">
        <v>3139</v>
      </c>
      <c r="D593" s="8" t="s">
        <v>3784</v>
      </c>
      <c r="E593" s="8" t="s">
        <v>3116</v>
      </c>
      <c r="F593" s="9" t="s">
        <v>3123</v>
      </c>
      <c r="G593" s="10">
        <v>43481</v>
      </c>
      <c r="H593" s="8" t="s">
        <v>109</v>
      </c>
      <c r="I593" s="11">
        <v>11500000</v>
      </c>
      <c r="J593" s="8" t="s">
        <v>1246</v>
      </c>
      <c r="K593" s="8" t="s">
        <v>1247</v>
      </c>
      <c r="L593" s="7">
        <v>2017</v>
      </c>
      <c r="M593" s="8" t="s">
        <v>1251</v>
      </c>
      <c r="N593" s="11">
        <v>15000000</v>
      </c>
      <c r="O593" s="8" t="s">
        <v>1252</v>
      </c>
      <c r="P593" s="8" t="s">
        <v>1253</v>
      </c>
      <c r="Q593" s="8"/>
      <c r="R593" s="8" t="s">
        <v>369</v>
      </c>
    </row>
    <row r="594" spans="1:18" ht="26.15" customHeight="1">
      <c r="A594" s="7">
        <v>588</v>
      </c>
      <c r="B594" s="8" t="s">
        <v>3785</v>
      </c>
      <c r="C594" s="8" t="s">
        <v>3139</v>
      </c>
      <c r="D594" s="8" t="s">
        <v>3786</v>
      </c>
      <c r="E594" s="8" t="s">
        <v>3116</v>
      </c>
      <c r="F594" s="9" t="s">
        <v>3123</v>
      </c>
      <c r="G594" s="10">
        <v>43481</v>
      </c>
      <c r="H594" s="8" t="s">
        <v>109</v>
      </c>
      <c r="I594" s="11">
        <v>11500000</v>
      </c>
      <c r="J594" s="8" t="s">
        <v>1246</v>
      </c>
      <c r="K594" s="8" t="s">
        <v>1247</v>
      </c>
      <c r="L594" s="7">
        <v>2017</v>
      </c>
      <c r="M594" s="8" t="s">
        <v>1251</v>
      </c>
      <c r="N594" s="11">
        <v>15000000</v>
      </c>
      <c r="O594" s="8" t="s">
        <v>1252</v>
      </c>
      <c r="P594" s="8" t="s">
        <v>1253</v>
      </c>
      <c r="Q594" s="8"/>
      <c r="R594" s="8"/>
    </row>
    <row r="595" spans="1:18" ht="26.15" customHeight="1">
      <c r="A595" s="7">
        <v>589</v>
      </c>
      <c r="B595" s="8" t="s">
        <v>3218</v>
      </c>
      <c r="C595" s="8" t="s">
        <v>3114</v>
      </c>
      <c r="D595" s="8" t="s">
        <v>3219</v>
      </c>
      <c r="E595" s="8" t="s">
        <v>3116</v>
      </c>
      <c r="F595" s="9" t="s">
        <v>3123</v>
      </c>
      <c r="G595" s="10">
        <v>43481</v>
      </c>
      <c r="H595" s="8" t="s">
        <v>109</v>
      </c>
      <c r="I595" s="11">
        <v>11500000</v>
      </c>
      <c r="J595" s="8" t="s">
        <v>1246</v>
      </c>
      <c r="K595" s="8" t="s">
        <v>1247</v>
      </c>
      <c r="L595" s="7">
        <v>2017</v>
      </c>
      <c r="M595" s="8" t="s">
        <v>1251</v>
      </c>
      <c r="N595" s="11">
        <v>15000000</v>
      </c>
      <c r="O595" s="8" t="s">
        <v>1252</v>
      </c>
      <c r="P595" s="8" t="s">
        <v>1253</v>
      </c>
      <c r="Q595" s="8"/>
      <c r="R595" s="8" t="s">
        <v>3220</v>
      </c>
    </row>
    <row r="596" spans="1:18" ht="26.15" customHeight="1">
      <c r="A596" s="7">
        <v>590</v>
      </c>
      <c r="B596" s="8" t="s">
        <v>3787</v>
      </c>
      <c r="C596" s="8" t="s">
        <v>3139</v>
      </c>
      <c r="D596" s="8" t="s">
        <v>3788</v>
      </c>
      <c r="E596" s="8" t="s">
        <v>3116</v>
      </c>
      <c r="F596" s="9" t="s">
        <v>3123</v>
      </c>
      <c r="G596" s="10">
        <v>43480</v>
      </c>
      <c r="H596" s="8" t="s">
        <v>25</v>
      </c>
      <c r="I596" s="11">
        <v>16975700</v>
      </c>
      <c r="J596" s="8" t="s">
        <v>185</v>
      </c>
      <c r="K596" s="8" t="s">
        <v>186</v>
      </c>
      <c r="L596" s="7">
        <v>2015</v>
      </c>
      <c r="M596" s="8" t="s">
        <v>188</v>
      </c>
      <c r="N596" s="11">
        <v>65736870</v>
      </c>
      <c r="O596" s="8" t="s">
        <v>189</v>
      </c>
      <c r="P596" s="8" t="s">
        <v>190</v>
      </c>
      <c r="Q596" s="8"/>
      <c r="R596" s="8" t="s">
        <v>188</v>
      </c>
    </row>
    <row r="597" spans="1:18" ht="26.15" customHeight="1">
      <c r="A597" s="7">
        <v>591</v>
      </c>
      <c r="B597" s="8" t="s">
        <v>3789</v>
      </c>
      <c r="C597" s="8" t="s">
        <v>3114</v>
      </c>
      <c r="D597" s="8" t="s">
        <v>3790</v>
      </c>
      <c r="E597" s="8" t="s">
        <v>3116</v>
      </c>
      <c r="F597" s="9" t="s">
        <v>3123</v>
      </c>
      <c r="G597" s="10">
        <v>43480</v>
      </c>
      <c r="H597" s="8" t="s">
        <v>25</v>
      </c>
      <c r="I597" s="11">
        <v>16975700</v>
      </c>
      <c r="J597" s="8" t="s">
        <v>185</v>
      </c>
      <c r="K597" s="8" t="s">
        <v>186</v>
      </c>
      <c r="L597" s="7">
        <v>2015</v>
      </c>
      <c r="M597" s="8" t="s">
        <v>188</v>
      </c>
      <c r="N597" s="11">
        <v>65736870</v>
      </c>
      <c r="O597" s="8" t="s">
        <v>189</v>
      </c>
      <c r="P597" s="8" t="s">
        <v>190</v>
      </c>
      <c r="Q597" s="8"/>
      <c r="R597" s="8" t="s">
        <v>181</v>
      </c>
    </row>
    <row r="598" spans="1:18" ht="26.15" customHeight="1">
      <c r="A598" s="7">
        <v>592</v>
      </c>
      <c r="B598" s="8" t="s">
        <v>813</v>
      </c>
      <c r="C598" s="8" t="s">
        <v>3139</v>
      </c>
      <c r="D598" s="8" t="s">
        <v>3587</v>
      </c>
      <c r="E598" s="8" t="s">
        <v>3116</v>
      </c>
      <c r="F598" s="9" t="s">
        <v>3117</v>
      </c>
      <c r="G598" s="10">
        <v>43480</v>
      </c>
      <c r="H598" s="8" t="s">
        <v>25</v>
      </c>
      <c r="I598" s="11">
        <v>16975700</v>
      </c>
      <c r="J598" s="8" t="s">
        <v>185</v>
      </c>
      <c r="K598" s="8" t="s">
        <v>186</v>
      </c>
      <c r="L598" s="7">
        <v>2015</v>
      </c>
      <c r="M598" s="8" t="s">
        <v>188</v>
      </c>
      <c r="N598" s="11">
        <v>65736870</v>
      </c>
      <c r="O598" s="8" t="s">
        <v>189</v>
      </c>
      <c r="P598" s="8" t="s">
        <v>190</v>
      </c>
      <c r="Q598" s="8"/>
      <c r="R598" s="8" t="s">
        <v>3145</v>
      </c>
    </row>
    <row r="599" spans="1:18" ht="26.15" customHeight="1">
      <c r="A599" s="7">
        <v>593</v>
      </c>
      <c r="B599" s="8" t="s">
        <v>3787</v>
      </c>
      <c r="C599" s="8" t="s">
        <v>3139</v>
      </c>
      <c r="D599" s="8" t="s">
        <v>3788</v>
      </c>
      <c r="E599" s="8" t="s">
        <v>3116</v>
      </c>
      <c r="F599" s="9" t="s">
        <v>3123</v>
      </c>
      <c r="G599" s="10">
        <v>43480</v>
      </c>
      <c r="H599" s="8" t="s">
        <v>289</v>
      </c>
      <c r="I599" s="11" t="s">
        <v>50</v>
      </c>
      <c r="J599" s="8" t="s">
        <v>185</v>
      </c>
      <c r="K599" s="8" t="s">
        <v>186</v>
      </c>
      <c r="L599" s="7">
        <v>2015</v>
      </c>
      <c r="M599" s="8" t="s">
        <v>188</v>
      </c>
      <c r="N599" s="11">
        <v>65736870</v>
      </c>
      <c r="O599" s="8" t="s">
        <v>189</v>
      </c>
      <c r="P599" s="8" t="s">
        <v>190</v>
      </c>
      <c r="Q599" s="8"/>
      <c r="R599" s="8" t="s">
        <v>188</v>
      </c>
    </row>
    <row r="600" spans="1:18" ht="26.15" customHeight="1">
      <c r="A600" s="7">
        <v>594</v>
      </c>
      <c r="B600" s="8" t="s">
        <v>3789</v>
      </c>
      <c r="C600" s="8" t="s">
        <v>3114</v>
      </c>
      <c r="D600" s="8" t="s">
        <v>3790</v>
      </c>
      <c r="E600" s="8" t="s">
        <v>3116</v>
      </c>
      <c r="F600" s="9" t="s">
        <v>3123</v>
      </c>
      <c r="G600" s="10">
        <v>43480</v>
      </c>
      <c r="H600" s="8" t="s">
        <v>289</v>
      </c>
      <c r="I600" s="11" t="s">
        <v>50</v>
      </c>
      <c r="J600" s="8" t="s">
        <v>185</v>
      </c>
      <c r="K600" s="8" t="s">
        <v>186</v>
      </c>
      <c r="L600" s="7">
        <v>2015</v>
      </c>
      <c r="M600" s="8" t="s">
        <v>188</v>
      </c>
      <c r="N600" s="11">
        <v>65736870</v>
      </c>
      <c r="O600" s="8" t="s">
        <v>189</v>
      </c>
      <c r="P600" s="8" t="s">
        <v>190</v>
      </c>
      <c r="Q600" s="8"/>
      <c r="R600" s="8" t="s">
        <v>181</v>
      </c>
    </row>
    <row r="601" spans="1:18" ht="26.15" customHeight="1">
      <c r="A601" s="7">
        <v>595</v>
      </c>
      <c r="B601" s="8" t="s">
        <v>746</v>
      </c>
      <c r="C601" s="8" t="s">
        <v>3114</v>
      </c>
      <c r="D601" s="8" t="s">
        <v>3475</v>
      </c>
      <c r="E601" s="8" t="s">
        <v>3116</v>
      </c>
      <c r="F601" s="9" t="s">
        <v>3123</v>
      </c>
      <c r="G601" s="10">
        <v>43480</v>
      </c>
      <c r="H601" s="8" t="s">
        <v>289</v>
      </c>
      <c r="I601" s="11" t="s">
        <v>50</v>
      </c>
      <c r="J601" s="8" t="s">
        <v>185</v>
      </c>
      <c r="K601" s="8" t="s">
        <v>186</v>
      </c>
      <c r="L601" s="7">
        <v>2015</v>
      </c>
      <c r="M601" s="8" t="s">
        <v>188</v>
      </c>
      <c r="N601" s="11">
        <v>65736870</v>
      </c>
      <c r="O601" s="8" t="s">
        <v>189</v>
      </c>
      <c r="P601" s="8" t="s">
        <v>190</v>
      </c>
      <c r="Q601" s="8"/>
      <c r="R601" s="8" t="s">
        <v>79</v>
      </c>
    </row>
    <row r="602" spans="1:18" ht="26.15" customHeight="1">
      <c r="A602" s="7">
        <v>596</v>
      </c>
      <c r="B602" s="8" t="s">
        <v>3689</v>
      </c>
      <c r="C602" s="8" t="s">
        <v>3114</v>
      </c>
      <c r="D602" s="8" t="s">
        <v>3690</v>
      </c>
      <c r="E602" s="8" t="s">
        <v>3116</v>
      </c>
      <c r="F602" s="9" t="s">
        <v>3123</v>
      </c>
      <c r="G602" s="10">
        <v>43480</v>
      </c>
      <c r="H602" s="8" t="s">
        <v>184</v>
      </c>
      <c r="I602" s="11">
        <v>80000</v>
      </c>
      <c r="J602" s="8" t="s">
        <v>1256</v>
      </c>
      <c r="K602" s="8" t="s">
        <v>1257</v>
      </c>
      <c r="L602" s="7">
        <v>2016</v>
      </c>
      <c r="M602" s="8" t="s">
        <v>1258</v>
      </c>
      <c r="N602" s="11"/>
      <c r="O602" s="8" t="s">
        <v>1259</v>
      </c>
      <c r="P602" s="8" t="s">
        <v>1260</v>
      </c>
      <c r="Q602" s="8"/>
      <c r="R602" s="8" t="s">
        <v>299</v>
      </c>
    </row>
    <row r="603" spans="1:18" ht="26.15" customHeight="1">
      <c r="A603" s="7">
        <v>597</v>
      </c>
      <c r="B603" s="8" t="s">
        <v>1263</v>
      </c>
      <c r="C603" s="8" t="s">
        <v>3139</v>
      </c>
      <c r="D603" s="8" t="s">
        <v>3791</v>
      </c>
      <c r="E603" s="8" t="s">
        <v>3116</v>
      </c>
      <c r="F603" s="9" t="s">
        <v>3117</v>
      </c>
      <c r="G603" s="10">
        <v>43479</v>
      </c>
      <c r="H603" s="8" t="s">
        <v>34</v>
      </c>
      <c r="I603" s="11">
        <v>923440</v>
      </c>
      <c r="J603" s="8" t="s">
        <v>160</v>
      </c>
      <c r="K603" s="8" t="s">
        <v>161</v>
      </c>
      <c r="L603" s="7">
        <v>2016</v>
      </c>
      <c r="M603" s="8" t="s">
        <v>128</v>
      </c>
      <c r="N603" s="11">
        <v>5866696</v>
      </c>
      <c r="O603" s="8" t="s">
        <v>164</v>
      </c>
      <c r="P603" s="8" t="s">
        <v>165</v>
      </c>
      <c r="Q603" s="8"/>
      <c r="R603" s="8" t="s">
        <v>79</v>
      </c>
    </row>
    <row r="604" spans="1:18" ht="26.15" customHeight="1">
      <c r="A604" s="7">
        <v>598</v>
      </c>
      <c r="B604" s="8" t="s">
        <v>3395</v>
      </c>
      <c r="C604" s="8" t="s">
        <v>3114</v>
      </c>
      <c r="D604" s="8" t="s">
        <v>3396</v>
      </c>
      <c r="E604" s="8" t="s">
        <v>3116</v>
      </c>
      <c r="F604" s="9" t="s">
        <v>3123</v>
      </c>
      <c r="G604" s="10">
        <v>43479</v>
      </c>
      <c r="H604" s="8" t="s">
        <v>34</v>
      </c>
      <c r="I604" s="11">
        <v>923440</v>
      </c>
      <c r="J604" s="8" t="s">
        <v>160</v>
      </c>
      <c r="K604" s="8" t="s">
        <v>161</v>
      </c>
      <c r="L604" s="7">
        <v>2016</v>
      </c>
      <c r="M604" s="8" t="s">
        <v>128</v>
      </c>
      <c r="N604" s="11">
        <v>5866696</v>
      </c>
      <c r="O604" s="8" t="s">
        <v>164</v>
      </c>
      <c r="P604" s="8" t="s">
        <v>165</v>
      </c>
      <c r="Q604" s="8"/>
      <c r="R604" s="8" t="s">
        <v>128</v>
      </c>
    </row>
    <row r="605" spans="1:18" ht="26.15" customHeight="1">
      <c r="A605" s="7">
        <v>599</v>
      </c>
      <c r="B605" s="8" t="s">
        <v>2017</v>
      </c>
      <c r="C605" s="8" t="s">
        <v>3114</v>
      </c>
      <c r="D605" s="8" t="s">
        <v>3792</v>
      </c>
      <c r="E605" s="8" t="s">
        <v>3116</v>
      </c>
      <c r="F605" s="9" t="s">
        <v>3123</v>
      </c>
      <c r="G605" s="10">
        <v>43479</v>
      </c>
      <c r="H605" s="8" t="s">
        <v>34</v>
      </c>
      <c r="I605" s="11">
        <v>923440</v>
      </c>
      <c r="J605" s="8" t="s">
        <v>160</v>
      </c>
      <c r="K605" s="8" t="s">
        <v>161</v>
      </c>
      <c r="L605" s="7">
        <v>2016</v>
      </c>
      <c r="M605" s="8" t="s">
        <v>128</v>
      </c>
      <c r="N605" s="11">
        <v>5866696</v>
      </c>
      <c r="O605" s="8" t="s">
        <v>164</v>
      </c>
      <c r="P605" s="8" t="s">
        <v>165</v>
      </c>
      <c r="Q605" s="8"/>
      <c r="R605" s="8" t="s">
        <v>3543</v>
      </c>
    </row>
    <row r="606" spans="1:18" ht="26.15" customHeight="1">
      <c r="A606" s="7">
        <v>600</v>
      </c>
      <c r="B606" s="8" t="s">
        <v>3793</v>
      </c>
      <c r="C606" s="8" t="s">
        <v>3139</v>
      </c>
      <c r="D606" s="8" t="s">
        <v>3794</v>
      </c>
      <c r="E606" s="8" t="s">
        <v>3116</v>
      </c>
      <c r="F606" s="9" t="s">
        <v>3123</v>
      </c>
      <c r="G606" s="10">
        <v>43479</v>
      </c>
      <c r="H606" s="8" t="s">
        <v>34</v>
      </c>
      <c r="I606" s="11">
        <v>923440</v>
      </c>
      <c r="J606" s="8" t="s">
        <v>160</v>
      </c>
      <c r="K606" s="8" t="s">
        <v>161</v>
      </c>
      <c r="L606" s="7">
        <v>2016</v>
      </c>
      <c r="M606" s="8" t="s">
        <v>128</v>
      </c>
      <c r="N606" s="11">
        <v>5866696</v>
      </c>
      <c r="O606" s="8" t="s">
        <v>164</v>
      </c>
      <c r="P606" s="8" t="s">
        <v>165</v>
      </c>
      <c r="Q606" s="8"/>
      <c r="R606" s="8" t="s">
        <v>79</v>
      </c>
    </row>
    <row r="607" spans="1:18" ht="26.15" customHeight="1">
      <c r="A607" s="7">
        <v>601</v>
      </c>
      <c r="B607" s="8" t="s">
        <v>3795</v>
      </c>
      <c r="C607" s="8"/>
      <c r="D607" s="8" t="s">
        <v>3795</v>
      </c>
      <c r="E607" s="8" t="s">
        <v>3116</v>
      </c>
      <c r="F607" s="9" t="s">
        <v>3123</v>
      </c>
      <c r="G607" s="10">
        <v>43479</v>
      </c>
      <c r="H607" s="8" t="s">
        <v>34</v>
      </c>
      <c r="I607" s="11">
        <v>923440</v>
      </c>
      <c r="J607" s="8" t="s">
        <v>160</v>
      </c>
      <c r="K607" s="8" t="s">
        <v>161</v>
      </c>
      <c r="L607" s="7">
        <v>2016</v>
      </c>
      <c r="M607" s="8" t="s">
        <v>128</v>
      </c>
      <c r="N607" s="11">
        <v>5866696</v>
      </c>
      <c r="O607" s="8" t="s">
        <v>164</v>
      </c>
      <c r="P607" s="8" t="s">
        <v>165</v>
      </c>
      <c r="Q607" s="8"/>
      <c r="R607" s="8"/>
    </row>
    <row r="608" spans="1:18" ht="26.15" customHeight="1">
      <c r="A608" s="7">
        <v>602</v>
      </c>
      <c r="B608" s="8" t="s">
        <v>3796</v>
      </c>
      <c r="C608" s="8"/>
      <c r="D608" s="8" t="s">
        <v>3797</v>
      </c>
      <c r="E608" s="8" t="s">
        <v>3116</v>
      </c>
      <c r="F608" s="9" t="s">
        <v>3123</v>
      </c>
      <c r="G608" s="10">
        <v>43479</v>
      </c>
      <c r="H608" s="8" t="s">
        <v>34</v>
      </c>
      <c r="I608" s="11">
        <v>923440</v>
      </c>
      <c r="J608" s="8" t="s">
        <v>160</v>
      </c>
      <c r="K608" s="8" t="s">
        <v>161</v>
      </c>
      <c r="L608" s="7">
        <v>2016</v>
      </c>
      <c r="M608" s="8" t="s">
        <v>128</v>
      </c>
      <c r="N608" s="11">
        <v>5866696</v>
      </c>
      <c r="O608" s="8" t="s">
        <v>164</v>
      </c>
      <c r="P608" s="8" t="s">
        <v>165</v>
      </c>
      <c r="Q608" s="8"/>
      <c r="R608" s="8" t="s">
        <v>56</v>
      </c>
    </row>
    <row r="609" spans="1:18" ht="26.15" customHeight="1">
      <c r="A609" s="7">
        <v>603</v>
      </c>
      <c r="B609" s="8" t="s">
        <v>3798</v>
      </c>
      <c r="C609" s="8" t="s">
        <v>3127</v>
      </c>
      <c r="D609" s="8"/>
      <c r="E609" s="8" t="s">
        <v>3128</v>
      </c>
      <c r="F609" s="9" t="s">
        <v>3123</v>
      </c>
      <c r="G609" s="10">
        <v>43479</v>
      </c>
      <c r="H609" s="8" t="s">
        <v>34</v>
      </c>
      <c r="I609" s="11">
        <v>923440</v>
      </c>
      <c r="J609" s="8" t="s">
        <v>160</v>
      </c>
      <c r="K609" s="8" t="s">
        <v>161</v>
      </c>
      <c r="L609" s="7">
        <v>2016</v>
      </c>
      <c r="M609" s="8" t="s">
        <v>128</v>
      </c>
      <c r="N609" s="11">
        <v>5866696</v>
      </c>
      <c r="O609" s="8" t="s">
        <v>164</v>
      </c>
      <c r="P609" s="8" t="s">
        <v>165</v>
      </c>
      <c r="Q609" s="8"/>
      <c r="R609" s="8"/>
    </row>
    <row r="610" spans="1:18" ht="26.15" customHeight="1">
      <c r="A610" s="7">
        <v>604</v>
      </c>
      <c r="B610" s="8" t="s">
        <v>2358</v>
      </c>
      <c r="C610" s="8" t="s">
        <v>3114</v>
      </c>
      <c r="D610" s="8" t="s">
        <v>3799</v>
      </c>
      <c r="E610" s="8" t="s">
        <v>3116</v>
      </c>
      <c r="F610" s="9" t="s">
        <v>3123</v>
      </c>
      <c r="G610" s="10">
        <v>43479</v>
      </c>
      <c r="H610" s="8" t="s">
        <v>34</v>
      </c>
      <c r="I610" s="11">
        <v>923440</v>
      </c>
      <c r="J610" s="8" t="s">
        <v>160</v>
      </c>
      <c r="K610" s="8" t="s">
        <v>161</v>
      </c>
      <c r="L610" s="7">
        <v>2016</v>
      </c>
      <c r="M610" s="8" t="s">
        <v>128</v>
      </c>
      <c r="N610" s="11">
        <v>5866696</v>
      </c>
      <c r="O610" s="8" t="s">
        <v>164</v>
      </c>
      <c r="P610" s="8" t="s">
        <v>165</v>
      </c>
      <c r="Q610" s="8"/>
      <c r="R610" s="8" t="s">
        <v>79</v>
      </c>
    </row>
    <row r="611" spans="1:18" ht="26.15" customHeight="1">
      <c r="A611" s="7">
        <v>605</v>
      </c>
      <c r="B611" s="8" t="s">
        <v>3800</v>
      </c>
      <c r="C611" s="8" t="s">
        <v>3127</v>
      </c>
      <c r="D611" s="8"/>
      <c r="E611" s="8" t="s">
        <v>3128</v>
      </c>
      <c r="F611" s="9" t="s">
        <v>3123</v>
      </c>
      <c r="G611" s="10">
        <v>43479</v>
      </c>
      <c r="H611" s="8" t="s">
        <v>34</v>
      </c>
      <c r="I611" s="11">
        <v>923440</v>
      </c>
      <c r="J611" s="8" t="s">
        <v>160</v>
      </c>
      <c r="K611" s="8" t="s">
        <v>161</v>
      </c>
      <c r="L611" s="7">
        <v>2016</v>
      </c>
      <c r="M611" s="8" t="s">
        <v>128</v>
      </c>
      <c r="N611" s="11">
        <v>5866696</v>
      </c>
      <c r="O611" s="8" t="s">
        <v>164</v>
      </c>
      <c r="P611" s="8" t="s">
        <v>165</v>
      </c>
      <c r="Q611" s="8"/>
      <c r="R611" s="8"/>
    </row>
    <row r="612" spans="1:18" ht="26.15" customHeight="1">
      <c r="A612" s="7">
        <v>606</v>
      </c>
      <c r="B612" s="8" t="s">
        <v>3801</v>
      </c>
      <c r="C612" s="8" t="s">
        <v>3127</v>
      </c>
      <c r="D612" s="8"/>
      <c r="E612" s="8" t="s">
        <v>3128</v>
      </c>
      <c r="F612" s="9" t="s">
        <v>3123</v>
      </c>
      <c r="G612" s="10">
        <v>43479</v>
      </c>
      <c r="H612" s="8" t="s">
        <v>34</v>
      </c>
      <c r="I612" s="11">
        <v>923440</v>
      </c>
      <c r="J612" s="8" t="s">
        <v>160</v>
      </c>
      <c r="K612" s="8" t="s">
        <v>161</v>
      </c>
      <c r="L612" s="7">
        <v>2016</v>
      </c>
      <c r="M612" s="8" t="s">
        <v>128</v>
      </c>
      <c r="N612" s="11">
        <v>5866696</v>
      </c>
      <c r="O612" s="8" t="s">
        <v>164</v>
      </c>
      <c r="P612" s="8" t="s">
        <v>165</v>
      </c>
      <c r="Q612" s="8"/>
      <c r="R612" s="8"/>
    </row>
    <row r="613" spans="1:18" ht="26.15" customHeight="1">
      <c r="A613" s="7">
        <v>607</v>
      </c>
      <c r="B613" s="8" t="s">
        <v>3802</v>
      </c>
      <c r="C613" s="8" t="s">
        <v>3127</v>
      </c>
      <c r="D613" s="8"/>
      <c r="E613" s="8" t="s">
        <v>3128</v>
      </c>
      <c r="F613" s="9" t="s">
        <v>3123</v>
      </c>
      <c r="G613" s="10">
        <v>43479</v>
      </c>
      <c r="H613" s="8" t="s">
        <v>34</v>
      </c>
      <c r="I613" s="11">
        <v>923440</v>
      </c>
      <c r="J613" s="8" t="s">
        <v>160</v>
      </c>
      <c r="K613" s="8" t="s">
        <v>161</v>
      </c>
      <c r="L613" s="7">
        <v>2016</v>
      </c>
      <c r="M613" s="8" t="s">
        <v>128</v>
      </c>
      <c r="N613" s="11">
        <v>5866696</v>
      </c>
      <c r="O613" s="8" t="s">
        <v>164</v>
      </c>
      <c r="P613" s="8" t="s">
        <v>165</v>
      </c>
      <c r="Q613" s="8"/>
      <c r="R613" s="8"/>
    </row>
    <row r="614" spans="1:18" ht="26.15" customHeight="1">
      <c r="A614" s="7">
        <v>608</v>
      </c>
      <c r="B614" s="8" t="s">
        <v>3803</v>
      </c>
      <c r="C614" s="8" t="s">
        <v>3127</v>
      </c>
      <c r="D614" s="8"/>
      <c r="E614" s="8" t="s">
        <v>3128</v>
      </c>
      <c r="F614" s="9" t="s">
        <v>3123</v>
      </c>
      <c r="G614" s="10">
        <v>43479</v>
      </c>
      <c r="H614" s="8" t="s">
        <v>34</v>
      </c>
      <c r="I614" s="11">
        <v>923440</v>
      </c>
      <c r="J614" s="8" t="s">
        <v>160</v>
      </c>
      <c r="K614" s="8" t="s">
        <v>161</v>
      </c>
      <c r="L614" s="7">
        <v>2016</v>
      </c>
      <c r="M614" s="8" t="s">
        <v>128</v>
      </c>
      <c r="N614" s="11">
        <v>5866696</v>
      </c>
      <c r="O614" s="8" t="s">
        <v>164</v>
      </c>
      <c r="P614" s="8" t="s">
        <v>165</v>
      </c>
      <c r="Q614" s="8"/>
      <c r="R614" s="8"/>
    </row>
    <row r="615" spans="1:18" ht="26.15" customHeight="1">
      <c r="A615" s="7">
        <v>609</v>
      </c>
      <c r="B615" s="8" t="s">
        <v>3804</v>
      </c>
      <c r="C615" s="8" t="s">
        <v>3127</v>
      </c>
      <c r="D615" s="8"/>
      <c r="E615" s="8" t="s">
        <v>3128</v>
      </c>
      <c r="F615" s="9" t="s">
        <v>3123</v>
      </c>
      <c r="G615" s="10">
        <v>43479</v>
      </c>
      <c r="H615" s="8" t="s">
        <v>34</v>
      </c>
      <c r="I615" s="11">
        <v>923440</v>
      </c>
      <c r="J615" s="8" t="s">
        <v>160</v>
      </c>
      <c r="K615" s="8" t="s">
        <v>161</v>
      </c>
      <c r="L615" s="7">
        <v>2016</v>
      </c>
      <c r="M615" s="8" t="s">
        <v>128</v>
      </c>
      <c r="N615" s="11">
        <v>5866696</v>
      </c>
      <c r="O615" s="8" t="s">
        <v>164</v>
      </c>
      <c r="P615" s="8" t="s">
        <v>165</v>
      </c>
      <c r="Q615" s="8"/>
      <c r="R615" s="8"/>
    </row>
    <row r="616" spans="1:18" ht="26.15" customHeight="1">
      <c r="A616" s="7">
        <v>610</v>
      </c>
      <c r="B616" s="8" t="s">
        <v>3805</v>
      </c>
      <c r="C616" s="8" t="s">
        <v>3127</v>
      </c>
      <c r="D616" s="8"/>
      <c r="E616" s="8" t="s">
        <v>3128</v>
      </c>
      <c r="F616" s="9" t="s">
        <v>3123</v>
      </c>
      <c r="G616" s="10">
        <v>43479</v>
      </c>
      <c r="H616" s="8" t="s">
        <v>34</v>
      </c>
      <c r="I616" s="11">
        <v>923440</v>
      </c>
      <c r="J616" s="8" t="s">
        <v>160</v>
      </c>
      <c r="K616" s="8" t="s">
        <v>161</v>
      </c>
      <c r="L616" s="7">
        <v>2016</v>
      </c>
      <c r="M616" s="8" t="s">
        <v>128</v>
      </c>
      <c r="N616" s="11">
        <v>5866696</v>
      </c>
      <c r="O616" s="8" t="s">
        <v>164</v>
      </c>
      <c r="P616" s="8" t="s">
        <v>165</v>
      </c>
      <c r="Q616" s="8"/>
      <c r="R616" s="8"/>
    </row>
    <row r="617" spans="1:18" ht="26.15" customHeight="1">
      <c r="A617" s="7">
        <v>611</v>
      </c>
      <c r="B617" s="8" t="s">
        <v>3806</v>
      </c>
      <c r="C617" s="8" t="s">
        <v>3127</v>
      </c>
      <c r="D617" s="8"/>
      <c r="E617" s="8" t="s">
        <v>3128</v>
      </c>
      <c r="F617" s="9" t="s">
        <v>3123</v>
      </c>
      <c r="G617" s="10">
        <v>43479</v>
      </c>
      <c r="H617" s="8" t="s">
        <v>34</v>
      </c>
      <c r="I617" s="11">
        <v>923440</v>
      </c>
      <c r="J617" s="8" t="s">
        <v>160</v>
      </c>
      <c r="K617" s="8" t="s">
        <v>161</v>
      </c>
      <c r="L617" s="7">
        <v>2016</v>
      </c>
      <c r="M617" s="8" t="s">
        <v>128</v>
      </c>
      <c r="N617" s="11">
        <v>5866696</v>
      </c>
      <c r="O617" s="8" t="s">
        <v>164</v>
      </c>
      <c r="P617" s="8" t="s">
        <v>165</v>
      </c>
      <c r="Q617" s="8"/>
      <c r="R617" s="8"/>
    </row>
    <row r="618" spans="1:18" ht="26.15" customHeight="1">
      <c r="A618" s="7">
        <v>612</v>
      </c>
      <c r="B618" s="8" t="s">
        <v>609</v>
      </c>
      <c r="C618" s="8" t="s">
        <v>3114</v>
      </c>
      <c r="D618" s="8" t="s">
        <v>3122</v>
      </c>
      <c r="E618" s="8" t="s">
        <v>3116</v>
      </c>
      <c r="F618" s="9" t="s">
        <v>3117</v>
      </c>
      <c r="G618" s="10">
        <v>43476</v>
      </c>
      <c r="H618" s="8" t="s">
        <v>34</v>
      </c>
      <c r="I618" s="11">
        <v>482957</v>
      </c>
      <c r="J618" s="8" t="s">
        <v>42</v>
      </c>
      <c r="K618" s="8" t="s">
        <v>43</v>
      </c>
      <c r="L618" s="7">
        <v>2017</v>
      </c>
      <c r="M618" s="8" t="s">
        <v>47</v>
      </c>
      <c r="N618" s="11">
        <v>3160468</v>
      </c>
      <c r="O618" s="8" t="s">
        <v>48</v>
      </c>
      <c r="P618" s="8" t="s">
        <v>49</v>
      </c>
      <c r="Q618" s="8"/>
      <c r="R618" s="8" t="s">
        <v>313</v>
      </c>
    </row>
    <row r="619" spans="1:18" ht="26.15" customHeight="1">
      <c r="A619" s="7">
        <v>613</v>
      </c>
      <c r="B619" s="8" t="s">
        <v>882</v>
      </c>
      <c r="C619" s="8" t="s">
        <v>3114</v>
      </c>
      <c r="D619" s="8" t="s">
        <v>3624</v>
      </c>
      <c r="E619" s="8" t="s">
        <v>3116</v>
      </c>
      <c r="F619" s="9" t="s">
        <v>3117</v>
      </c>
      <c r="G619" s="10">
        <v>43469</v>
      </c>
      <c r="H619" s="8" t="s">
        <v>109</v>
      </c>
      <c r="I619" s="11">
        <v>428051</v>
      </c>
      <c r="J619" s="8" t="s">
        <v>878</v>
      </c>
      <c r="K619" s="8" t="s">
        <v>879</v>
      </c>
      <c r="L619" s="7">
        <v>2015</v>
      </c>
      <c r="M619" s="8" t="s">
        <v>56</v>
      </c>
      <c r="N619" s="11">
        <v>9059375</v>
      </c>
      <c r="O619" s="8" t="s">
        <v>883</v>
      </c>
      <c r="P619" s="8" t="s">
        <v>884</v>
      </c>
      <c r="Q619" s="8"/>
      <c r="R619" s="8" t="s">
        <v>313</v>
      </c>
    </row>
    <row r="620" spans="1:18" ht="26.15" customHeight="1">
      <c r="A620" s="7">
        <v>614</v>
      </c>
      <c r="B620" s="8" t="s">
        <v>3807</v>
      </c>
      <c r="C620" s="8" t="s">
        <v>3139</v>
      </c>
      <c r="D620" s="8" t="s">
        <v>3807</v>
      </c>
      <c r="E620" s="8" t="s">
        <v>3116</v>
      </c>
      <c r="F620" s="9" t="s">
        <v>3123</v>
      </c>
      <c r="G620" s="10">
        <v>43467</v>
      </c>
      <c r="H620" s="8" t="s">
        <v>95</v>
      </c>
      <c r="I620" s="11" t="s">
        <v>50</v>
      </c>
      <c r="J620" s="8" t="s">
        <v>1265</v>
      </c>
      <c r="K620" s="8" t="s">
        <v>1266</v>
      </c>
      <c r="L620" s="7">
        <v>2011</v>
      </c>
      <c r="M620" s="8" t="s">
        <v>278</v>
      </c>
      <c r="N620" s="11">
        <v>20000000</v>
      </c>
      <c r="O620" s="8" t="s">
        <v>1268</v>
      </c>
      <c r="P620" s="8" t="s">
        <v>1269</v>
      </c>
      <c r="Q620" s="8"/>
      <c r="R620" s="8"/>
    </row>
    <row r="621" spans="1:18" ht="26.15" customHeight="1">
      <c r="A621" s="7">
        <v>615</v>
      </c>
      <c r="B621" s="8" t="s">
        <v>1123</v>
      </c>
      <c r="C621" s="8" t="s">
        <v>3114</v>
      </c>
      <c r="D621" s="8" t="s">
        <v>3728</v>
      </c>
      <c r="E621" s="8" t="s">
        <v>3116</v>
      </c>
      <c r="F621" s="9" t="s">
        <v>3117</v>
      </c>
      <c r="G621" s="10">
        <v>43467</v>
      </c>
      <c r="H621" s="8" t="s">
        <v>95</v>
      </c>
      <c r="I621" s="11" t="s">
        <v>50</v>
      </c>
      <c r="J621" s="8" t="s">
        <v>1265</v>
      </c>
      <c r="K621" s="8" t="s">
        <v>1266</v>
      </c>
      <c r="L621" s="7">
        <v>2011</v>
      </c>
      <c r="M621" s="8" t="s">
        <v>278</v>
      </c>
      <c r="N621" s="11">
        <v>20000000</v>
      </c>
      <c r="O621" s="8" t="s">
        <v>1268</v>
      </c>
      <c r="P621" s="8" t="s">
        <v>1269</v>
      </c>
      <c r="Q621" s="8"/>
      <c r="R621" s="8" t="s">
        <v>278</v>
      </c>
    </row>
    <row r="622" spans="1:18" ht="26.15" customHeight="1">
      <c r="A622" s="7">
        <v>616</v>
      </c>
      <c r="B622" s="8" t="s">
        <v>461</v>
      </c>
      <c r="C622" s="8" t="s">
        <v>3114</v>
      </c>
      <c r="D622" s="8" t="s">
        <v>3413</v>
      </c>
      <c r="E622" s="8" t="s">
        <v>3116</v>
      </c>
      <c r="F622" s="9" t="s">
        <v>3123</v>
      </c>
      <c r="G622" s="10">
        <v>43467</v>
      </c>
      <c r="H622" s="8" t="s">
        <v>95</v>
      </c>
      <c r="I622" s="11" t="s">
        <v>50</v>
      </c>
      <c r="J622" s="8" t="s">
        <v>1265</v>
      </c>
      <c r="K622" s="8" t="s">
        <v>1266</v>
      </c>
      <c r="L622" s="7">
        <v>2011</v>
      </c>
      <c r="M622" s="8" t="s">
        <v>278</v>
      </c>
      <c r="N622" s="11">
        <v>20000000</v>
      </c>
      <c r="O622" s="8" t="s">
        <v>1268</v>
      </c>
      <c r="P622" s="8" t="s">
        <v>1269</v>
      </c>
      <c r="Q622" s="8"/>
      <c r="R622" s="8" t="s">
        <v>3148</v>
      </c>
    </row>
    <row r="623" spans="1:18" ht="26.15" customHeight="1">
      <c r="A623" s="7">
        <v>617</v>
      </c>
      <c r="B623" s="8" t="s">
        <v>1271</v>
      </c>
      <c r="C623" s="8" t="s">
        <v>3114</v>
      </c>
      <c r="D623" s="8" t="s">
        <v>3808</v>
      </c>
      <c r="E623" s="8" t="s">
        <v>3116</v>
      </c>
      <c r="F623" s="9" t="s">
        <v>3117</v>
      </c>
      <c r="G623" s="10">
        <v>43461</v>
      </c>
      <c r="H623" s="8" t="s">
        <v>25</v>
      </c>
      <c r="I623" s="11">
        <v>1000000</v>
      </c>
      <c r="J623" s="8" t="s">
        <v>96</v>
      </c>
      <c r="K623" s="8" t="s">
        <v>97</v>
      </c>
      <c r="L623" s="7">
        <v>2015</v>
      </c>
      <c r="M623" s="8" t="s">
        <v>79</v>
      </c>
      <c r="N623" s="11">
        <v>163285834</v>
      </c>
      <c r="O623" s="8" t="s">
        <v>100</v>
      </c>
      <c r="P623" s="8" t="s">
        <v>101</v>
      </c>
      <c r="Q623" s="8"/>
      <c r="R623" s="8" t="s">
        <v>3809</v>
      </c>
    </row>
    <row r="624" spans="1:18" ht="26.15" customHeight="1">
      <c r="A624" s="7">
        <v>618</v>
      </c>
      <c r="B624" s="8" t="s">
        <v>1273</v>
      </c>
      <c r="C624" s="8" t="s">
        <v>3127</v>
      </c>
      <c r="D624" s="8"/>
      <c r="E624" s="8" t="s">
        <v>3128</v>
      </c>
      <c r="F624" s="9" t="s">
        <v>3117</v>
      </c>
      <c r="G624" s="10">
        <v>43461</v>
      </c>
      <c r="H624" s="8" t="s">
        <v>124</v>
      </c>
      <c r="I624" s="11">
        <v>35857</v>
      </c>
      <c r="J624" s="8" t="s">
        <v>1191</v>
      </c>
      <c r="K624" s="8" t="s">
        <v>1192</v>
      </c>
      <c r="L624" s="7">
        <v>2017</v>
      </c>
      <c r="M624" s="8" t="s">
        <v>47</v>
      </c>
      <c r="N624" s="11">
        <v>567108</v>
      </c>
      <c r="O624" s="8" t="s">
        <v>1194</v>
      </c>
      <c r="P624" s="8" t="s">
        <v>1195</v>
      </c>
      <c r="Q624" s="8"/>
      <c r="R624" s="8"/>
    </row>
    <row r="625" spans="1:18" ht="26.15" customHeight="1">
      <c r="A625" s="7">
        <v>619</v>
      </c>
      <c r="B625" s="8" t="s">
        <v>3650</v>
      </c>
      <c r="C625" s="8" t="s">
        <v>3127</v>
      </c>
      <c r="D625" s="8"/>
      <c r="E625" s="8" t="s">
        <v>3128</v>
      </c>
      <c r="F625" s="9" t="s">
        <v>3123</v>
      </c>
      <c r="G625" s="10">
        <v>43461</v>
      </c>
      <c r="H625" s="8" t="s">
        <v>124</v>
      </c>
      <c r="I625" s="11">
        <v>35857</v>
      </c>
      <c r="J625" s="8" t="s">
        <v>1191</v>
      </c>
      <c r="K625" s="8" t="s">
        <v>1192</v>
      </c>
      <c r="L625" s="7">
        <v>2017</v>
      </c>
      <c r="M625" s="8" t="s">
        <v>47</v>
      </c>
      <c r="N625" s="11">
        <v>567108</v>
      </c>
      <c r="O625" s="8" t="s">
        <v>1194</v>
      </c>
      <c r="P625" s="8" t="s">
        <v>1195</v>
      </c>
      <c r="Q625" s="8"/>
      <c r="R625" s="8"/>
    </row>
    <row r="626" spans="1:18" ht="26.15" customHeight="1">
      <c r="A626" s="7">
        <v>620</v>
      </c>
      <c r="B626" s="8" t="s">
        <v>1275</v>
      </c>
      <c r="C626" s="8" t="s">
        <v>3114</v>
      </c>
      <c r="D626" s="8" t="s">
        <v>3810</v>
      </c>
      <c r="E626" s="8" t="s">
        <v>3116</v>
      </c>
      <c r="F626" s="9" t="s">
        <v>3117</v>
      </c>
      <c r="G626" s="10">
        <v>43460</v>
      </c>
      <c r="H626" s="8" t="s">
        <v>109</v>
      </c>
      <c r="I626" s="11">
        <v>500000</v>
      </c>
      <c r="J626" s="8" t="s">
        <v>885</v>
      </c>
      <c r="K626" s="8" t="s">
        <v>886</v>
      </c>
      <c r="L626" s="7">
        <v>2013</v>
      </c>
      <c r="M626" s="8" t="s">
        <v>369</v>
      </c>
      <c r="N626" s="11">
        <v>30000000</v>
      </c>
      <c r="O626" s="8" t="s">
        <v>889</v>
      </c>
      <c r="P626" s="8" t="s">
        <v>890</v>
      </c>
      <c r="Q626" s="8"/>
      <c r="R626" s="8" t="s">
        <v>3811</v>
      </c>
    </row>
    <row r="627" spans="1:18" ht="26.15" customHeight="1">
      <c r="A627" s="7">
        <v>621</v>
      </c>
      <c r="B627" s="8" t="s">
        <v>3812</v>
      </c>
      <c r="C627" s="8" t="s">
        <v>3139</v>
      </c>
      <c r="D627" s="8" t="s">
        <v>3813</v>
      </c>
      <c r="E627" s="8" t="s">
        <v>3116</v>
      </c>
      <c r="F627" s="9" t="s">
        <v>3123</v>
      </c>
      <c r="G627" s="10">
        <v>43455</v>
      </c>
      <c r="H627" s="8" t="s">
        <v>184</v>
      </c>
      <c r="I627" s="11">
        <v>250000</v>
      </c>
      <c r="J627" s="8" t="s">
        <v>1282</v>
      </c>
      <c r="K627" s="8" t="s">
        <v>1283</v>
      </c>
      <c r="L627" s="7">
        <v>2015</v>
      </c>
      <c r="M627" s="8" t="s">
        <v>1285</v>
      </c>
      <c r="N627" s="11">
        <v>650000</v>
      </c>
      <c r="O627" s="8" t="s">
        <v>1286</v>
      </c>
      <c r="P627" s="8" t="s">
        <v>1287</v>
      </c>
      <c r="Q627" s="8"/>
      <c r="R627" s="8" t="s">
        <v>3357</v>
      </c>
    </row>
    <row r="628" spans="1:18" ht="26.15" customHeight="1">
      <c r="A628" s="7">
        <v>622</v>
      </c>
      <c r="B628" s="8" t="s">
        <v>3814</v>
      </c>
      <c r="C628" s="8" t="s">
        <v>3114</v>
      </c>
      <c r="D628" s="8" t="s">
        <v>3815</v>
      </c>
      <c r="E628" s="8" t="s">
        <v>3116</v>
      </c>
      <c r="F628" s="9" t="s">
        <v>3123</v>
      </c>
      <c r="G628" s="10">
        <v>43455</v>
      </c>
      <c r="H628" s="8" t="s">
        <v>184</v>
      </c>
      <c r="I628" s="11">
        <v>250000</v>
      </c>
      <c r="J628" s="8" t="s">
        <v>1282</v>
      </c>
      <c r="K628" s="8" t="s">
        <v>1283</v>
      </c>
      <c r="L628" s="7">
        <v>2015</v>
      </c>
      <c r="M628" s="8" t="s">
        <v>1285</v>
      </c>
      <c r="N628" s="11">
        <v>650000</v>
      </c>
      <c r="O628" s="8" t="s">
        <v>1286</v>
      </c>
      <c r="P628" s="8" t="s">
        <v>1287</v>
      </c>
      <c r="Q628" s="8"/>
      <c r="R628" s="8" t="s">
        <v>3357</v>
      </c>
    </row>
    <row r="629" spans="1:18" ht="26.15" customHeight="1">
      <c r="A629" s="7">
        <v>623</v>
      </c>
      <c r="B629" s="8" t="s">
        <v>3816</v>
      </c>
      <c r="C629" s="8" t="s">
        <v>3139</v>
      </c>
      <c r="D629" s="8" t="s">
        <v>3816</v>
      </c>
      <c r="E629" s="8" t="s">
        <v>3116</v>
      </c>
      <c r="F629" s="9" t="s">
        <v>3123</v>
      </c>
      <c r="G629" s="10">
        <v>43455</v>
      </c>
      <c r="H629" s="8" t="s">
        <v>184</v>
      </c>
      <c r="I629" s="11">
        <v>250000</v>
      </c>
      <c r="J629" s="8" t="s">
        <v>1282</v>
      </c>
      <c r="K629" s="8" t="s">
        <v>1283</v>
      </c>
      <c r="L629" s="7">
        <v>2015</v>
      </c>
      <c r="M629" s="8" t="s">
        <v>1285</v>
      </c>
      <c r="N629" s="11">
        <v>650000</v>
      </c>
      <c r="O629" s="8" t="s">
        <v>1286</v>
      </c>
      <c r="P629" s="8" t="s">
        <v>1287</v>
      </c>
      <c r="Q629" s="8"/>
      <c r="R629" s="8"/>
    </row>
    <row r="630" spans="1:18" ht="26.15" customHeight="1">
      <c r="A630" s="7">
        <v>624</v>
      </c>
      <c r="B630" s="8" t="s">
        <v>3817</v>
      </c>
      <c r="C630" s="8" t="s">
        <v>3127</v>
      </c>
      <c r="D630" s="8"/>
      <c r="E630" s="8" t="s">
        <v>3128</v>
      </c>
      <c r="F630" s="9" t="s">
        <v>3117</v>
      </c>
      <c r="G630" s="10">
        <v>43452</v>
      </c>
      <c r="H630" s="8" t="s">
        <v>34</v>
      </c>
      <c r="I630" s="11">
        <v>195480</v>
      </c>
      <c r="J630" s="8" t="s">
        <v>1288</v>
      </c>
      <c r="K630" s="8" t="s">
        <v>1289</v>
      </c>
      <c r="L630" s="7">
        <v>2016</v>
      </c>
      <c r="M630" s="8" t="s">
        <v>313</v>
      </c>
      <c r="N630" s="11">
        <v>195480</v>
      </c>
      <c r="O630" s="8" t="s">
        <v>1293</v>
      </c>
      <c r="P630" s="8" t="s">
        <v>1294</v>
      </c>
      <c r="Q630" s="8"/>
      <c r="R630" s="8"/>
    </row>
    <row r="631" spans="1:18" ht="26.15" customHeight="1">
      <c r="A631" s="7">
        <v>625</v>
      </c>
      <c r="B631" s="8" t="s">
        <v>3818</v>
      </c>
      <c r="C631" s="8" t="s">
        <v>3127</v>
      </c>
      <c r="D631" s="8"/>
      <c r="E631" s="8" t="s">
        <v>3128</v>
      </c>
      <c r="F631" s="9" t="s">
        <v>3117</v>
      </c>
      <c r="G631" s="10">
        <v>43452</v>
      </c>
      <c r="H631" s="8" t="s">
        <v>34</v>
      </c>
      <c r="I631" s="11">
        <v>195480</v>
      </c>
      <c r="J631" s="8" t="s">
        <v>1288</v>
      </c>
      <c r="K631" s="8" t="s">
        <v>1289</v>
      </c>
      <c r="L631" s="7">
        <v>2016</v>
      </c>
      <c r="M631" s="8" t="s">
        <v>313</v>
      </c>
      <c r="N631" s="11">
        <v>195480</v>
      </c>
      <c r="O631" s="8" t="s">
        <v>1293</v>
      </c>
      <c r="P631" s="8" t="s">
        <v>1294</v>
      </c>
      <c r="Q631" s="8"/>
      <c r="R631" s="8"/>
    </row>
    <row r="632" spans="1:18" ht="26.15" customHeight="1">
      <c r="A632" s="7">
        <v>626</v>
      </c>
      <c r="B632" s="8" t="s">
        <v>3819</v>
      </c>
      <c r="C632" s="8" t="s">
        <v>3127</v>
      </c>
      <c r="D632" s="8"/>
      <c r="E632" s="8" t="s">
        <v>3128</v>
      </c>
      <c r="F632" s="9" t="s">
        <v>3117</v>
      </c>
      <c r="G632" s="10">
        <v>43452</v>
      </c>
      <c r="H632" s="8" t="s">
        <v>34</v>
      </c>
      <c r="I632" s="11">
        <v>195480</v>
      </c>
      <c r="J632" s="8" t="s">
        <v>1288</v>
      </c>
      <c r="K632" s="8" t="s">
        <v>1289</v>
      </c>
      <c r="L632" s="7">
        <v>2016</v>
      </c>
      <c r="M632" s="8" t="s">
        <v>313</v>
      </c>
      <c r="N632" s="11">
        <v>195480</v>
      </c>
      <c r="O632" s="8" t="s">
        <v>1293</v>
      </c>
      <c r="P632" s="8" t="s">
        <v>1294</v>
      </c>
      <c r="Q632" s="8"/>
      <c r="R632" s="8"/>
    </row>
    <row r="633" spans="1:18" ht="26.15" customHeight="1">
      <c r="A633" s="7">
        <v>627</v>
      </c>
      <c r="B633" s="8" t="s">
        <v>3820</v>
      </c>
      <c r="C633" s="8" t="s">
        <v>3127</v>
      </c>
      <c r="D633" s="8"/>
      <c r="E633" s="8" t="s">
        <v>3128</v>
      </c>
      <c r="F633" s="9" t="s">
        <v>3117</v>
      </c>
      <c r="G633" s="10">
        <v>43452</v>
      </c>
      <c r="H633" s="8" t="s">
        <v>34</v>
      </c>
      <c r="I633" s="11">
        <v>195480</v>
      </c>
      <c r="J633" s="8" t="s">
        <v>1288</v>
      </c>
      <c r="K633" s="8" t="s">
        <v>1289</v>
      </c>
      <c r="L633" s="7">
        <v>2016</v>
      </c>
      <c r="M633" s="8" t="s">
        <v>313</v>
      </c>
      <c r="N633" s="11">
        <v>195480</v>
      </c>
      <c r="O633" s="8" t="s">
        <v>1293</v>
      </c>
      <c r="P633" s="8" t="s">
        <v>1294</v>
      </c>
      <c r="Q633" s="8"/>
      <c r="R633" s="8"/>
    </row>
    <row r="634" spans="1:18" ht="26.15" customHeight="1">
      <c r="A634" s="7">
        <v>628</v>
      </c>
      <c r="B634" s="8" t="s">
        <v>3821</v>
      </c>
      <c r="C634" s="8" t="s">
        <v>3127</v>
      </c>
      <c r="D634" s="8"/>
      <c r="E634" s="8" t="s">
        <v>3128</v>
      </c>
      <c r="F634" s="9" t="s">
        <v>3117</v>
      </c>
      <c r="G634" s="10">
        <v>43452</v>
      </c>
      <c r="H634" s="8" t="s">
        <v>34</v>
      </c>
      <c r="I634" s="11">
        <v>195480</v>
      </c>
      <c r="J634" s="8" t="s">
        <v>1288</v>
      </c>
      <c r="K634" s="8" t="s">
        <v>1289</v>
      </c>
      <c r="L634" s="7">
        <v>2016</v>
      </c>
      <c r="M634" s="8" t="s">
        <v>313</v>
      </c>
      <c r="N634" s="11">
        <v>195480</v>
      </c>
      <c r="O634" s="8" t="s">
        <v>1293</v>
      </c>
      <c r="P634" s="8" t="s">
        <v>1294</v>
      </c>
      <c r="Q634" s="8"/>
      <c r="R634" s="8"/>
    </row>
    <row r="635" spans="1:18" ht="26.15" customHeight="1">
      <c r="A635" s="7">
        <v>629</v>
      </c>
      <c r="B635" s="8" t="s">
        <v>3822</v>
      </c>
      <c r="C635" s="8" t="s">
        <v>3139</v>
      </c>
      <c r="D635" s="8" t="s">
        <v>3823</v>
      </c>
      <c r="E635" s="8" t="s">
        <v>3116</v>
      </c>
      <c r="F635" s="9" t="s">
        <v>3123</v>
      </c>
      <c r="G635" s="10">
        <v>43452</v>
      </c>
      <c r="H635" s="8" t="s">
        <v>34</v>
      </c>
      <c r="I635" s="11">
        <v>195480</v>
      </c>
      <c r="J635" s="8" t="s">
        <v>1288</v>
      </c>
      <c r="K635" s="8" t="s">
        <v>1289</v>
      </c>
      <c r="L635" s="7">
        <v>2016</v>
      </c>
      <c r="M635" s="8" t="s">
        <v>313</v>
      </c>
      <c r="N635" s="11">
        <v>195480</v>
      </c>
      <c r="O635" s="8" t="s">
        <v>1293</v>
      </c>
      <c r="P635" s="8" t="s">
        <v>1294</v>
      </c>
      <c r="Q635" s="8"/>
      <c r="R635" s="8"/>
    </row>
    <row r="636" spans="1:18" ht="26.15" customHeight="1">
      <c r="A636" s="7">
        <v>630</v>
      </c>
      <c r="B636" s="8" t="s">
        <v>3824</v>
      </c>
      <c r="C636" s="8" t="s">
        <v>3127</v>
      </c>
      <c r="D636" s="8"/>
      <c r="E636" s="8" t="s">
        <v>3128</v>
      </c>
      <c r="F636" s="9" t="s">
        <v>3123</v>
      </c>
      <c r="G636" s="10">
        <v>43452</v>
      </c>
      <c r="H636" s="8" t="s">
        <v>34</v>
      </c>
      <c r="I636" s="11">
        <v>195480</v>
      </c>
      <c r="J636" s="8" t="s">
        <v>1288</v>
      </c>
      <c r="K636" s="8" t="s">
        <v>1289</v>
      </c>
      <c r="L636" s="7">
        <v>2016</v>
      </c>
      <c r="M636" s="8" t="s">
        <v>313</v>
      </c>
      <c r="N636" s="11">
        <v>195480</v>
      </c>
      <c r="O636" s="8" t="s">
        <v>1293</v>
      </c>
      <c r="P636" s="8" t="s">
        <v>1294</v>
      </c>
      <c r="Q636" s="8"/>
      <c r="R636" s="8"/>
    </row>
    <row r="637" spans="1:18" ht="26.15" customHeight="1">
      <c r="A637" s="7">
        <v>631</v>
      </c>
      <c r="B637" s="8" t="s">
        <v>3825</v>
      </c>
      <c r="C637" s="8" t="s">
        <v>3127</v>
      </c>
      <c r="D637" s="8"/>
      <c r="E637" s="8" t="s">
        <v>3128</v>
      </c>
      <c r="F637" s="9" t="s">
        <v>3123</v>
      </c>
      <c r="G637" s="10">
        <v>43452</v>
      </c>
      <c r="H637" s="8" t="s">
        <v>34</v>
      </c>
      <c r="I637" s="11">
        <v>195480</v>
      </c>
      <c r="J637" s="8" t="s">
        <v>1288</v>
      </c>
      <c r="K637" s="8" t="s">
        <v>1289</v>
      </c>
      <c r="L637" s="7">
        <v>2016</v>
      </c>
      <c r="M637" s="8" t="s">
        <v>313</v>
      </c>
      <c r="N637" s="11">
        <v>195480</v>
      </c>
      <c r="O637" s="8" t="s">
        <v>1293</v>
      </c>
      <c r="P637" s="8" t="s">
        <v>1294</v>
      </c>
      <c r="Q637" s="8"/>
      <c r="R637" s="8"/>
    </row>
    <row r="638" spans="1:18" ht="26.15" customHeight="1">
      <c r="A638" s="7">
        <v>632</v>
      </c>
      <c r="B638" s="8" t="s">
        <v>3826</v>
      </c>
      <c r="C638" s="8" t="s">
        <v>3127</v>
      </c>
      <c r="D638" s="8"/>
      <c r="E638" s="8" t="s">
        <v>3128</v>
      </c>
      <c r="F638" s="9" t="s">
        <v>3123</v>
      </c>
      <c r="G638" s="10">
        <v>43452</v>
      </c>
      <c r="H638" s="8" t="s">
        <v>34</v>
      </c>
      <c r="I638" s="11">
        <v>195480</v>
      </c>
      <c r="J638" s="8" t="s">
        <v>1288</v>
      </c>
      <c r="K638" s="8" t="s">
        <v>1289</v>
      </c>
      <c r="L638" s="7">
        <v>2016</v>
      </c>
      <c r="M638" s="8" t="s">
        <v>313</v>
      </c>
      <c r="N638" s="11">
        <v>195480</v>
      </c>
      <c r="O638" s="8" t="s">
        <v>1293</v>
      </c>
      <c r="P638" s="8" t="s">
        <v>1294</v>
      </c>
      <c r="Q638" s="8"/>
      <c r="R638" s="8"/>
    </row>
    <row r="639" spans="1:18" ht="26.15" customHeight="1">
      <c r="A639" s="7">
        <v>633</v>
      </c>
      <c r="B639" s="8" t="s">
        <v>3827</v>
      </c>
      <c r="C639" s="8" t="s">
        <v>3127</v>
      </c>
      <c r="D639" s="8"/>
      <c r="E639" s="8" t="s">
        <v>3128</v>
      </c>
      <c r="F639" s="9" t="s">
        <v>3123</v>
      </c>
      <c r="G639" s="10">
        <v>43452</v>
      </c>
      <c r="H639" s="8" t="s">
        <v>34</v>
      </c>
      <c r="I639" s="11">
        <v>195480</v>
      </c>
      <c r="J639" s="8" t="s">
        <v>1288</v>
      </c>
      <c r="K639" s="8" t="s">
        <v>1289</v>
      </c>
      <c r="L639" s="7">
        <v>2016</v>
      </c>
      <c r="M639" s="8" t="s">
        <v>313</v>
      </c>
      <c r="N639" s="11">
        <v>195480</v>
      </c>
      <c r="O639" s="8" t="s">
        <v>1293</v>
      </c>
      <c r="P639" s="8" t="s">
        <v>1294</v>
      </c>
      <c r="Q639" s="8"/>
      <c r="R639" s="8"/>
    </row>
    <row r="640" spans="1:18" ht="26.15" customHeight="1">
      <c r="A640" s="7">
        <v>634</v>
      </c>
      <c r="B640" s="8" t="s">
        <v>3828</v>
      </c>
      <c r="C640" s="8" t="s">
        <v>3127</v>
      </c>
      <c r="D640" s="8"/>
      <c r="E640" s="8" t="s">
        <v>3128</v>
      </c>
      <c r="F640" s="9" t="s">
        <v>3117</v>
      </c>
      <c r="G640" s="10">
        <v>43452</v>
      </c>
      <c r="H640" s="8" t="s">
        <v>34</v>
      </c>
      <c r="I640" s="11">
        <v>195480</v>
      </c>
      <c r="J640" s="8" t="s">
        <v>1288</v>
      </c>
      <c r="K640" s="8" t="s">
        <v>1289</v>
      </c>
      <c r="L640" s="7">
        <v>2016</v>
      </c>
      <c r="M640" s="8" t="s">
        <v>313</v>
      </c>
      <c r="N640" s="11">
        <v>195480</v>
      </c>
      <c r="O640" s="8" t="s">
        <v>1293</v>
      </c>
      <c r="P640" s="8" t="s">
        <v>1294</v>
      </c>
      <c r="Q640" s="8"/>
      <c r="R640" s="8"/>
    </row>
    <row r="641" spans="1:18" ht="26.15" customHeight="1">
      <c r="A641" s="7">
        <v>635</v>
      </c>
      <c r="B641" s="8" t="s">
        <v>3829</v>
      </c>
      <c r="C641" s="8" t="s">
        <v>3127</v>
      </c>
      <c r="D641" s="8"/>
      <c r="E641" s="8" t="s">
        <v>3128</v>
      </c>
      <c r="F641" s="9" t="s">
        <v>3123</v>
      </c>
      <c r="G641" s="10">
        <v>43452</v>
      </c>
      <c r="H641" s="8" t="s">
        <v>34</v>
      </c>
      <c r="I641" s="11">
        <v>195480</v>
      </c>
      <c r="J641" s="8" t="s">
        <v>1288</v>
      </c>
      <c r="K641" s="8" t="s">
        <v>1289</v>
      </c>
      <c r="L641" s="7">
        <v>2016</v>
      </c>
      <c r="M641" s="8" t="s">
        <v>313</v>
      </c>
      <c r="N641" s="11">
        <v>195480</v>
      </c>
      <c r="O641" s="8" t="s">
        <v>1293</v>
      </c>
      <c r="P641" s="8" t="s">
        <v>1294</v>
      </c>
      <c r="Q641" s="8"/>
      <c r="R641" s="8"/>
    </row>
    <row r="642" spans="1:18" ht="26.15" customHeight="1">
      <c r="A642" s="7">
        <v>636</v>
      </c>
      <c r="B642" s="8" t="s">
        <v>3830</v>
      </c>
      <c r="C642" s="8" t="s">
        <v>3127</v>
      </c>
      <c r="D642" s="8"/>
      <c r="E642" s="8" t="s">
        <v>3128</v>
      </c>
      <c r="F642" s="9" t="s">
        <v>3123</v>
      </c>
      <c r="G642" s="10">
        <v>43452</v>
      </c>
      <c r="H642" s="8" t="s">
        <v>34</v>
      </c>
      <c r="I642" s="11">
        <v>195480</v>
      </c>
      <c r="J642" s="8" t="s">
        <v>1288</v>
      </c>
      <c r="K642" s="8" t="s">
        <v>1289</v>
      </c>
      <c r="L642" s="7">
        <v>2016</v>
      </c>
      <c r="M642" s="8" t="s">
        <v>313</v>
      </c>
      <c r="N642" s="11">
        <v>195480</v>
      </c>
      <c r="O642" s="8" t="s">
        <v>1293</v>
      </c>
      <c r="P642" s="8" t="s">
        <v>1294</v>
      </c>
      <c r="Q642" s="8"/>
      <c r="R642" s="8"/>
    </row>
    <row r="643" spans="1:18" ht="26.15" customHeight="1">
      <c r="A643" s="7">
        <v>637</v>
      </c>
      <c r="B643" s="8" t="s">
        <v>3831</v>
      </c>
      <c r="C643" s="8" t="s">
        <v>3127</v>
      </c>
      <c r="D643" s="8"/>
      <c r="E643" s="8" t="s">
        <v>3128</v>
      </c>
      <c r="F643" s="9" t="s">
        <v>3123</v>
      </c>
      <c r="G643" s="10">
        <v>43452</v>
      </c>
      <c r="H643" s="8" t="s">
        <v>34</v>
      </c>
      <c r="I643" s="11">
        <v>195480</v>
      </c>
      <c r="J643" s="8" t="s">
        <v>1288</v>
      </c>
      <c r="K643" s="8" t="s">
        <v>1289</v>
      </c>
      <c r="L643" s="7">
        <v>2016</v>
      </c>
      <c r="M643" s="8" t="s">
        <v>313</v>
      </c>
      <c r="N643" s="11">
        <v>195480</v>
      </c>
      <c r="O643" s="8" t="s">
        <v>1293</v>
      </c>
      <c r="P643" s="8" t="s">
        <v>1294</v>
      </c>
      <c r="Q643" s="8"/>
      <c r="R643" s="8"/>
    </row>
    <row r="644" spans="1:18" ht="26.15" customHeight="1">
      <c r="A644" s="7">
        <v>638</v>
      </c>
      <c r="B644" s="8" t="s">
        <v>3832</v>
      </c>
      <c r="C644" s="8" t="s">
        <v>3127</v>
      </c>
      <c r="D644" s="8"/>
      <c r="E644" s="8" t="s">
        <v>3128</v>
      </c>
      <c r="F644" s="9" t="s">
        <v>3123</v>
      </c>
      <c r="G644" s="10">
        <v>43452</v>
      </c>
      <c r="H644" s="8" t="s">
        <v>34</v>
      </c>
      <c r="I644" s="11">
        <v>195480</v>
      </c>
      <c r="J644" s="8" t="s">
        <v>1288</v>
      </c>
      <c r="K644" s="8" t="s">
        <v>1289</v>
      </c>
      <c r="L644" s="7">
        <v>2016</v>
      </c>
      <c r="M644" s="8" t="s">
        <v>313</v>
      </c>
      <c r="N644" s="11">
        <v>195480</v>
      </c>
      <c r="O644" s="8" t="s">
        <v>1293</v>
      </c>
      <c r="P644" s="8" t="s">
        <v>1294</v>
      </c>
      <c r="Q644" s="8"/>
      <c r="R644" s="8"/>
    </row>
    <row r="645" spans="1:18" ht="26.15" customHeight="1">
      <c r="A645" s="7">
        <v>639</v>
      </c>
      <c r="B645" s="8" t="s">
        <v>3833</v>
      </c>
      <c r="C645" s="8" t="s">
        <v>3127</v>
      </c>
      <c r="D645" s="8"/>
      <c r="E645" s="8" t="s">
        <v>3128</v>
      </c>
      <c r="F645" s="9" t="s">
        <v>3123</v>
      </c>
      <c r="G645" s="10">
        <v>43452</v>
      </c>
      <c r="H645" s="8" t="s">
        <v>34</v>
      </c>
      <c r="I645" s="11">
        <v>195480</v>
      </c>
      <c r="J645" s="8" t="s">
        <v>1288</v>
      </c>
      <c r="K645" s="8" t="s">
        <v>1289</v>
      </c>
      <c r="L645" s="7">
        <v>2016</v>
      </c>
      <c r="M645" s="8" t="s">
        <v>313</v>
      </c>
      <c r="N645" s="11">
        <v>195480</v>
      </c>
      <c r="O645" s="8" t="s">
        <v>1293</v>
      </c>
      <c r="P645" s="8" t="s">
        <v>1294</v>
      </c>
      <c r="Q645" s="8"/>
      <c r="R645" s="8"/>
    </row>
    <row r="646" spans="1:18" ht="26.15" customHeight="1">
      <c r="A646" s="7">
        <v>640</v>
      </c>
      <c r="B646" s="8" t="s">
        <v>3834</v>
      </c>
      <c r="C646" s="8" t="s">
        <v>3127</v>
      </c>
      <c r="D646" s="8"/>
      <c r="E646" s="8" t="s">
        <v>3128</v>
      </c>
      <c r="F646" s="9" t="s">
        <v>3123</v>
      </c>
      <c r="G646" s="10">
        <v>43452</v>
      </c>
      <c r="H646" s="8" t="s">
        <v>34</v>
      </c>
      <c r="I646" s="11">
        <v>195480</v>
      </c>
      <c r="J646" s="8" t="s">
        <v>1288</v>
      </c>
      <c r="K646" s="8" t="s">
        <v>1289</v>
      </c>
      <c r="L646" s="7">
        <v>2016</v>
      </c>
      <c r="M646" s="8" t="s">
        <v>313</v>
      </c>
      <c r="N646" s="11">
        <v>195480</v>
      </c>
      <c r="O646" s="8" t="s">
        <v>1293</v>
      </c>
      <c r="P646" s="8" t="s">
        <v>1294</v>
      </c>
      <c r="Q646" s="8"/>
      <c r="R646" s="8"/>
    </row>
    <row r="647" spans="1:18" ht="26.15" customHeight="1">
      <c r="A647" s="7">
        <v>641</v>
      </c>
      <c r="B647" s="8" t="s">
        <v>3535</v>
      </c>
      <c r="C647" s="8" t="s">
        <v>3114</v>
      </c>
      <c r="D647" s="8" t="s">
        <v>3536</v>
      </c>
      <c r="E647" s="8" t="s">
        <v>3116</v>
      </c>
      <c r="F647" s="9" t="s">
        <v>3123</v>
      </c>
      <c r="G647" s="10">
        <v>43448</v>
      </c>
      <c r="H647" s="8" t="s">
        <v>34</v>
      </c>
      <c r="I647" s="11">
        <v>650000</v>
      </c>
      <c r="J647" s="8" t="s">
        <v>1282</v>
      </c>
      <c r="K647" s="8" t="s">
        <v>1283</v>
      </c>
      <c r="L647" s="7">
        <v>2015</v>
      </c>
      <c r="M647" s="8" t="s">
        <v>1285</v>
      </c>
      <c r="N647" s="11">
        <v>650000</v>
      </c>
      <c r="O647" s="8" t="s">
        <v>1286</v>
      </c>
      <c r="P647" s="8" t="s">
        <v>1287</v>
      </c>
      <c r="Q647" s="8"/>
      <c r="R647" s="8" t="s">
        <v>3537</v>
      </c>
    </row>
    <row r="648" spans="1:18" ht="26.15" customHeight="1">
      <c r="A648" s="7">
        <v>642</v>
      </c>
      <c r="B648" s="8" t="s">
        <v>3812</v>
      </c>
      <c r="C648" s="8" t="s">
        <v>3139</v>
      </c>
      <c r="D648" s="8" t="s">
        <v>3813</v>
      </c>
      <c r="E648" s="8" t="s">
        <v>3116</v>
      </c>
      <c r="F648" s="9" t="s">
        <v>3123</v>
      </c>
      <c r="G648" s="10">
        <v>43448</v>
      </c>
      <c r="H648" s="8" t="s">
        <v>34</v>
      </c>
      <c r="I648" s="11">
        <v>650000</v>
      </c>
      <c r="J648" s="8" t="s">
        <v>1282</v>
      </c>
      <c r="K648" s="8" t="s">
        <v>1283</v>
      </c>
      <c r="L648" s="7">
        <v>2015</v>
      </c>
      <c r="M648" s="8" t="s">
        <v>1285</v>
      </c>
      <c r="N648" s="11">
        <v>650000</v>
      </c>
      <c r="O648" s="8" t="s">
        <v>1286</v>
      </c>
      <c r="P648" s="8" t="s">
        <v>1287</v>
      </c>
      <c r="Q648" s="8"/>
      <c r="R648" s="8" t="s">
        <v>3357</v>
      </c>
    </row>
    <row r="649" spans="1:18" ht="26.15" customHeight="1">
      <c r="A649" s="7">
        <v>643</v>
      </c>
      <c r="B649" s="8" t="s">
        <v>1299</v>
      </c>
      <c r="C649" s="8" t="s">
        <v>3114</v>
      </c>
      <c r="D649" s="8" t="s">
        <v>3835</v>
      </c>
      <c r="E649" s="8" t="s">
        <v>3116</v>
      </c>
      <c r="F649" s="9" t="s">
        <v>3117</v>
      </c>
      <c r="G649" s="10">
        <v>43448</v>
      </c>
      <c r="H649" s="8" t="s">
        <v>34</v>
      </c>
      <c r="I649" s="11" t="s">
        <v>50</v>
      </c>
      <c r="J649" s="8" t="s">
        <v>1296</v>
      </c>
      <c r="K649" s="8" t="s">
        <v>1297</v>
      </c>
      <c r="L649" s="7">
        <v>2009</v>
      </c>
      <c r="M649" s="8" t="s">
        <v>1300</v>
      </c>
      <c r="N649" s="11"/>
      <c r="O649" s="8" t="s">
        <v>1301</v>
      </c>
      <c r="P649" s="8" t="s">
        <v>1302</v>
      </c>
      <c r="Q649" s="8"/>
      <c r="R649" s="8" t="s">
        <v>1300</v>
      </c>
    </row>
    <row r="650" spans="1:18" ht="26.15" customHeight="1">
      <c r="A650" s="7">
        <v>644</v>
      </c>
      <c r="B650" s="8" t="s">
        <v>1308</v>
      </c>
      <c r="C650" s="8" t="s">
        <v>3114</v>
      </c>
      <c r="D650" s="8" t="s">
        <v>3469</v>
      </c>
      <c r="E650" s="8" t="s">
        <v>3116</v>
      </c>
      <c r="F650" s="9" t="s">
        <v>3117</v>
      </c>
      <c r="G650" s="10">
        <v>43446</v>
      </c>
      <c r="H650" s="8" t="s">
        <v>25</v>
      </c>
      <c r="I650" s="11">
        <v>34739400</v>
      </c>
      <c r="J650" s="8" t="s">
        <v>96</v>
      </c>
      <c r="K650" s="8" t="s">
        <v>97</v>
      </c>
      <c r="L650" s="7">
        <v>2015</v>
      </c>
      <c r="M650" s="8" t="s">
        <v>79</v>
      </c>
      <c r="N650" s="11">
        <v>163285834</v>
      </c>
      <c r="O650" s="8" t="s">
        <v>100</v>
      </c>
      <c r="P650" s="8" t="s">
        <v>101</v>
      </c>
      <c r="Q650" s="8"/>
      <c r="R650" s="8" t="s">
        <v>3470</v>
      </c>
    </row>
    <row r="651" spans="1:18" ht="26.15" customHeight="1">
      <c r="A651" s="7">
        <v>645</v>
      </c>
      <c r="B651" s="8" t="s">
        <v>2539</v>
      </c>
      <c r="C651" s="8" t="s">
        <v>3114</v>
      </c>
      <c r="D651" s="8" t="s">
        <v>3353</v>
      </c>
      <c r="E651" s="8" t="s">
        <v>3116</v>
      </c>
      <c r="F651" s="9" t="s">
        <v>3117</v>
      </c>
      <c r="G651" s="10">
        <v>43446</v>
      </c>
      <c r="H651" s="8" t="s">
        <v>25</v>
      </c>
      <c r="I651" s="11">
        <v>34739400</v>
      </c>
      <c r="J651" s="8" t="s">
        <v>96</v>
      </c>
      <c r="K651" s="8" t="s">
        <v>97</v>
      </c>
      <c r="L651" s="7">
        <v>2015</v>
      </c>
      <c r="M651" s="8" t="s">
        <v>79</v>
      </c>
      <c r="N651" s="11">
        <v>163285834</v>
      </c>
      <c r="O651" s="8" t="s">
        <v>100</v>
      </c>
      <c r="P651" s="8" t="s">
        <v>101</v>
      </c>
      <c r="Q651" s="8"/>
      <c r="R651" s="8" t="s">
        <v>3354</v>
      </c>
    </row>
    <row r="652" spans="1:18" ht="26.15" customHeight="1">
      <c r="A652" s="7">
        <v>646</v>
      </c>
      <c r="B652" s="8" t="s">
        <v>3836</v>
      </c>
      <c r="C652" s="8" t="s">
        <v>3114</v>
      </c>
      <c r="D652" s="8" t="s">
        <v>3837</v>
      </c>
      <c r="E652" s="8" t="s">
        <v>3116</v>
      </c>
      <c r="F652" s="9" t="s">
        <v>3123</v>
      </c>
      <c r="G652" s="10">
        <v>43446</v>
      </c>
      <c r="H652" s="8" t="s">
        <v>25</v>
      </c>
      <c r="I652" s="11">
        <v>34739400</v>
      </c>
      <c r="J652" s="8" t="s">
        <v>96</v>
      </c>
      <c r="K652" s="8" t="s">
        <v>97</v>
      </c>
      <c r="L652" s="7">
        <v>2015</v>
      </c>
      <c r="M652" s="8" t="s">
        <v>79</v>
      </c>
      <c r="N652" s="11">
        <v>163285834</v>
      </c>
      <c r="O652" s="8" t="s">
        <v>100</v>
      </c>
      <c r="P652" s="8" t="s">
        <v>101</v>
      </c>
      <c r="Q652" s="8"/>
      <c r="R652" s="8" t="s">
        <v>3838</v>
      </c>
    </row>
    <row r="653" spans="1:18" ht="26.15" customHeight="1">
      <c r="A653" s="7">
        <v>647</v>
      </c>
      <c r="B653" s="8" t="s">
        <v>1146</v>
      </c>
      <c r="C653" s="8" t="s">
        <v>3114</v>
      </c>
      <c r="D653" s="8" t="s">
        <v>3458</v>
      </c>
      <c r="E653" s="8" t="s">
        <v>3116</v>
      </c>
      <c r="F653" s="9" t="s">
        <v>3123</v>
      </c>
      <c r="G653" s="10">
        <v>43446</v>
      </c>
      <c r="H653" s="8" t="s">
        <v>25</v>
      </c>
      <c r="I653" s="11">
        <v>34739400</v>
      </c>
      <c r="J653" s="8" t="s">
        <v>96</v>
      </c>
      <c r="K653" s="8" t="s">
        <v>97</v>
      </c>
      <c r="L653" s="7">
        <v>2015</v>
      </c>
      <c r="M653" s="8" t="s">
        <v>79</v>
      </c>
      <c r="N653" s="11">
        <v>163285834</v>
      </c>
      <c r="O653" s="8" t="s">
        <v>100</v>
      </c>
      <c r="P653" s="8" t="s">
        <v>101</v>
      </c>
      <c r="Q653" s="8"/>
      <c r="R653" s="8" t="s">
        <v>3459</v>
      </c>
    </row>
    <row r="654" spans="1:18" ht="26.15" customHeight="1">
      <c r="A654" s="7">
        <v>648</v>
      </c>
      <c r="B654" s="8" t="s">
        <v>2033</v>
      </c>
      <c r="C654" s="8" t="s">
        <v>3114</v>
      </c>
      <c r="D654" s="8" t="s">
        <v>3839</v>
      </c>
      <c r="E654" s="8" t="s">
        <v>3116</v>
      </c>
      <c r="F654" s="9" t="s">
        <v>3123</v>
      </c>
      <c r="G654" s="10">
        <v>43446</v>
      </c>
      <c r="H654" s="8" t="s">
        <v>25</v>
      </c>
      <c r="I654" s="11">
        <v>34739400</v>
      </c>
      <c r="J654" s="8" t="s">
        <v>96</v>
      </c>
      <c r="K654" s="8" t="s">
        <v>97</v>
      </c>
      <c r="L654" s="7">
        <v>2015</v>
      </c>
      <c r="M654" s="8" t="s">
        <v>79</v>
      </c>
      <c r="N654" s="11">
        <v>163285834</v>
      </c>
      <c r="O654" s="8" t="s">
        <v>100</v>
      </c>
      <c r="P654" s="8" t="s">
        <v>101</v>
      </c>
      <c r="Q654" s="8"/>
      <c r="R654" s="8" t="s">
        <v>3214</v>
      </c>
    </row>
    <row r="655" spans="1:18" ht="26.15" customHeight="1">
      <c r="A655" s="7">
        <v>649</v>
      </c>
      <c r="B655" s="8" t="s">
        <v>3840</v>
      </c>
      <c r="C655" s="8" t="s">
        <v>3127</v>
      </c>
      <c r="D655" s="8"/>
      <c r="E655" s="8" t="s">
        <v>3128</v>
      </c>
      <c r="F655" s="9" t="s">
        <v>3123</v>
      </c>
      <c r="G655" s="10">
        <v>43446</v>
      </c>
      <c r="H655" s="8" t="s">
        <v>25</v>
      </c>
      <c r="I655" s="11">
        <v>34739400</v>
      </c>
      <c r="J655" s="8" t="s">
        <v>96</v>
      </c>
      <c r="K655" s="8" t="s">
        <v>97</v>
      </c>
      <c r="L655" s="7">
        <v>2015</v>
      </c>
      <c r="M655" s="8" t="s">
        <v>79</v>
      </c>
      <c r="N655" s="11">
        <v>163285834</v>
      </c>
      <c r="O655" s="8" t="s">
        <v>100</v>
      </c>
      <c r="P655" s="8" t="s">
        <v>101</v>
      </c>
      <c r="Q655" s="8"/>
      <c r="R655" s="8"/>
    </row>
    <row r="656" spans="1:18" ht="26.15" customHeight="1">
      <c r="A656" s="7">
        <v>650</v>
      </c>
      <c r="B656" s="8" t="s">
        <v>3841</v>
      </c>
      <c r="C656" s="8" t="s">
        <v>3127</v>
      </c>
      <c r="D656" s="8"/>
      <c r="E656" s="8" t="s">
        <v>3128</v>
      </c>
      <c r="F656" s="9" t="s">
        <v>3123</v>
      </c>
      <c r="G656" s="10">
        <v>43446</v>
      </c>
      <c r="H656" s="8" t="s">
        <v>25</v>
      </c>
      <c r="I656" s="11">
        <v>34739400</v>
      </c>
      <c r="J656" s="8" t="s">
        <v>96</v>
      </c>
      <c r="K656" s="8" t="s">
        <v>97</v>
      </c>
      <c r="L656" s="7">
        <v>2015</v>
      </c>
      <c r="M656" s="8" t="s">
        <v>79</v>
      </c>
      <c r="N656" s="11">
        <v>163285834</v>
      </c>
      <c r="O656" s="8" t="s">
        <v>100</v>
      </c>
      <c r="P656" s="8" t="s">
        <v>101</v>
      </c>
      <c r="Q656" s="8"/>
      <c r="R656" s="8"/>
    </row>
    <row r="657" spans="1:18" ht="26.15" customHeight="1">
      <c r="A657" s="7">
        <v>651</v>
      </c>
      <c r="B657" s="8" t="s">
        <v>1831</v>
      </c>
      <c r="C657" s="8"/>
      <c r="D657" s="8" t="s">
        <v>3567</v>
      </c>
      <c r="E657" s="8" t="s">
        <v>3116</v>
      </c>
      <c r="F657" s="9" t="s">
        <v>3123</v>
      </c>
      <c r="G657" s="10">
        <v>43446</v>
      </c>
      <c r="H657" s="8" t="s">
        <v>25</v>
      </c>
      <c r="I657" s="11">
        <v>34739400</v>
      </c>
      <c r="J657" s="8" t="s">
        <v>96</v>
      </c>
      <c r="K657" s="8" t="s">
        <v>97</v>
      </c>
      <c r="L657" s="7">
        <v>2015</v>
      </c>
      <c r="M657" s="8" t="s">
        <v>79</v>
      </c>
      <c r="N657" s="11">
        <v>163285834</v>
      </c>
      <c r="O657" s="8" t="s">
        <v>100</v>
      </c>
      <c r="P657" s="8" t="s">
        <v>101</v>
      </c>
      <c r="Q657" s="8"/>
      <c r="R657" s="8" t="s">
        <v>128</v>
      </c>
    </row>
    <row r="658" spans="1:18" ht="26.15" customHeight="1">
      <c r="A658" s="7">
        <v>652</v>
      </c>
      <c r="B658" s="8" t="s">
        <v>3842</v>
      </c>
      <c r="C658" s="8" t="s">
        <v>3127</v>
      </c>
      <c r="D658" s="8"/>
      <c r="E658" s="8" t="s">
        <v>3128</v>
      </c>
      <c r="F658" s="9" t="s">
        <v>3123</v>
      </c>
      <c r="G658" s="10">
        <v>43446</v>
      </c>
      <c r="H658" s="8" t="s">
        <v>25</v>
      </c>
      <c r="I658" s="11">
        <v>34739400</v>
      </c>
      <c r="J658" s="8" t="s">
        <v>96</v>
      </c>
      <c r="K658" s="8" t="s">
        <v>97</v>
      </c>
      <c r="L658" s="7">
        <v>2015</v>
      </c>
      <c r="M658" s="8" t="s">
        <v>79</v>
      </c>
      <c r="N658" s="11">
        <v>163285834</v>
      </c>
      <c r="O658" s="8" t="s">
        <v>100</v>
      </c>
      <c r="P658" s="8" t="s">
        <v>101</v>
      </c>
      <c r="Q658" s="8"/>
      <c r="R658" s="8"/>
    </row>
    <row r="659" spans="1:18" ht="26.15" customHeight="1">
      <c r="A659" s="7">
        <v>653</v>
      </c>
      <c r="B659" s="8" t="s">
        <v>3843</v>
      </c>
      <c r="C659" s="8" t="s">
        <v>3139</v>
      </c>
      <c r="D659" s="8" t="s">
        <v>3844</v>
      </c>
      <c r="E659" s="8" t="s">
        <v>3116</v>
      </c>
      <c r="F659" s="9" t="s">
        <v>3123</v>
      </c>
      <c r="G659" s="10">
        <v>43446</v>
      </c>
      <c r="H659" s="8" t="s">
        <v>25</v>
      </c>
      <c r="I659" s="11">
        <v>34739400</v>
      </c>
      <c r="J659" s="8" t="s">
        <v>96</v>
      </c>
      <c r="K659" s="8" t="s">
        <v>97</v>
      </c>
      <c r="L659" s="7">
        <v>2015</v>
      </c>
      <c r="M659" s="8" t="s">
        <v>79</v>
      </c>
      <c r="N659" s="11">
        <v>163285834</v>
      </c>
      <c r="O659" s="8" t="s">
        <v>100</v>
      </c>
      <c r="P659" s="8" t="s">
        <v>101</v>
      </c>
      <c r="Q659" s="8"/>
      <c r="R659" s="8" t="s">
        <v>128</v>
      </c>
    </row>
    <row r="660" spans="1:18" ht="26.15" customHeight="1">
      <c r="A660" s="7">
        <v>654</v>
      </c>
      <c r="B660" s="8" t="s">
        <v>1308</v>
      </c>
      <c r="C660" s="8" t="s">
        <v>3114</v>
      </c>
      <c r="D660" s="8" t="s">
        <v>3469</v>
      </c>
      <c r="E660" s="8" t="s">
        <v>3116</v>
      </c>
      <c r="F660" s="9" t="s">
        <v>3117</v>
      </c>
      <c r="G660" s="10">
        <v>43446</v>
      </c>
      <c r="H660" s="8" t="s">
        <v>34</v>
      </c>
      <c r="I660" s="11">
        <v>1121360</v>
      </c>
      <c r="J660" s="8" t="s">
        <v>398</v>
      </c>
      <c r="K660" s="8" t="s">
        <v>399</v>
      </c>
      <c r="L660" s="7">
        <v>2017</v>
      </c>
      <c r="M660" s="8" t="s">
        <v>79</v>
      </c>
      <c r="N660" s="11">
        <v>6930813</v>
      </c>
      <c r="O660" s="8" t="s">
        <v>402</v>
      </c>
      <c r="P660" s="8" t="s">
        <v>403</v>
      </c>
      <c r="Q660" s="8"/>
      <c r="R660" s="8" t="s">
        <v>3470</v>
      </c>
    </row>
    <row r="661" spans="1:18" ht="26.15" customHeight="1">
      <c r="A661" s="7">
        <v>655</v>
      </c>
      <c r="B661" s="8" t="s">
        <v>2164</v>
      </c>
      <c r="C661" s="8" t="s">
        <v>3114</v>
      </c>
      <c r="D661" s="8" t="s">
        <v>3471</v>
      </c>
      <c r="E661" s="8" t="s">
        <v>3116</v>
      </c>
      <c r="F661" s="9" t="s">
        <v>3123</v>
      </c>
      <c r="G661" s="10">
        <v>43446</v>
      </c>
      <c r="H661" s="8" t="s">
        <v>34</v>
      </c>
      <c r="I661" s="11">
        <v>1121360</v>
      </c>
      <c r="J661" s="8" t="s">
        <v>398</v>
      </c>
      <c r="K661" s="8" t="s">
        <v>399</v>
      </c>
      <c r="L661" s="7">
        <v>2017</v>
      </c>
      <c r="M661" s="8" t="s">
        <v>79</v>
      </c>
      <c r="N661" s="11">
        <v>6930813</v>
      </c>
      <c r="O661" s="8" t="s">
        <v>402</v>
      </c>
      <c r="P661" s="8" t="s">
        <v>403</v>
      </c>
      <c r="Q661" s="8"/>
      <c r="R661" s="8" t="s">
        <v>3148</v>
      </c>
    </row>
    <row r="662" spans="1:18" ht="26.15" customHeight="1">
      <c r="A662" s="7">
        <v>656</v>
      </c>
      <c r="B662" s="8" t="s">
        <v>1307</v>
      </c>
      <c r="C662" s="8" t="s">
        <v>3127</v>
      </c>
      <c r="D662" s="8"/>
      <c r="E662" s="8" t="s">
        <v>3128</v>
      </c>
      <c r="F662" s="9" t="s">
        <v>3123</v>
      </c>
      <c r="G662" s="10">
        <v>43446</v>
      </c>
      <c r="H662" s="8" t="s">
        <v>34</v>
      </c>
      <c r="I662" s="11">
        <v>1121360</v>
      </c>
      <c r="J662" s="8" t="s">
        <v>398</v>
      </c>
      <c r="K662" s="8" t="s">
        <v>399</v>
      </c>
      <c r="L662" s="7">
        <v>2017</v>
      </c>
      <c r="M662" s="8" t="s">
        <v>79</v>
      </c>
      <c r="N662" s="11">
        <v>6930813</v>
      </c>
      <c r="O662" s="8" t="s">
        <v>402</v>
      </c>
      <c r="P662" s="8" t="s">
        <v>403</v>
      </c>
      <c r="Q662" s="8"/>
      <c r="R662" s="8"/>
    </row>
    <row r="663" spans="1:18" ht="26.15" customHeight="1">
      <c r="A663" s="7">
        <v>657</v>
      </c>
      <c r="B663" s="8" t="s">
        <v>1311</v>
      </c>
      <c r="C663" s="8" t="s">
        <v>3139</v>
      </c>
      <c r="D663" s="8" t="s">
        <v>3523</v>
      </c>
      <c r="E663" s="8" t="s">
        <v>3116</v>
      </c>
      <c r="F663" s="9" t="s">
        <v>3117</v>
      </c>
      <c r="G663" s="10">
        <v>43444</v>
      </c>
      <c r="H663" s="8" t="s">
        <v>1309</v>
      </c>
      <c r="I663" s="11">
        <v>25000000</v>
      </c>
      <c r="J663" s="8" t="s">
        <v>628</v>
      </c>
      <c r="K663" s="8" t="s">
        <v>629</v>
      </c>
      <c r="L663" s="7">
        <v>2015</v>
      </c>
      <c r="M663" s="8" t="s">
        <v>79</v>
      </c>
      <c r="N663" s="11">
        <v>94500000</v>
      </c>
      <c r="O663" s="8" t="s">
        <v>632</v>
      </c>
      <c r="P663" s="8" t="s">
        <v>633</v>
      </c>
      <c r="Q663" s="8"/>
      <c r="R663" s="8" t="s">
        <v>3156</v>
      </c>
    </row>
    <row r="664" spans="1:18" ht="26.15" customHeight="1">
      <c r="A664" s="7">
        <v>658</v>
      </c>
      <c r="B664" s="8" t="s">
        <v>3517</v>
      </c>
      <c r="C664" s="8" t="s">
        <v>3114</v>
      </c>
      <c r="D664" s="8" t="s">
        <v>3518</v>
      </c>
      <c r="E664" s="8" t="s">
        <v>3116</v>
      </c>
      <c r="F664" s="9" t="s">
        <v>3123</v>
      </c>
      <c r="G664" s="10">
        <v>43444</v>
      </c>
      <c r="H664" s="8" t="s">
        <v>1309</v>
      </c>
      <c r="I664" s="11">
        <v>25000000</v>
      </c>
      <c r="J664" s="8" t="s">
        <v>628</v>
      </c>
      <c r="K664" s="8" t="s">
        <v>629</v>
      </c>
      <c r="L664" s="7">
        <v>2015</v>
      </c>
      <c r="M664" s="8" t="s">
        <v>79</v>
      </c>
      <c r="N664" s="11">
        <v>94500000</v>
      </c>
      <c r="O664" s="8" t="s">
        <v>632</v>
      </c>
      <c r="P664" s="8" t="s">
        <v>633</v>
      </c>
      <c r="Q664" s="8"/>
      <c r="R664" s="8" t="s">
        <v>79</v>
      </c>
    </row>
    <row r="665" spans="1:18" ht="26.15" customHeight="1">
      <c r="A665" s="7">
        <v>659</v>
      </c>
      <c r="B665" s="8" t="s">
        <v>1174</v>
      </c>
      <c r="C665" s="8" t="s">
        <v>3114</v>
      </c>
      <c r="D665" s="8" t="s">
        <v>3519</v>
      </c>
      <c r="E665" s="8" t="s">
        <v>3116</v>
      </c>
      <c r="F665" s="9" t="s">
        <v>3123</v>
      </c>
      <c r="G665" s="10">
        <v>43444</v>
      </c>
      <c r="H665" s="8" t="s">
        <v>1309</v>
      </c>
      <c r="I665" s="11">
        <v>25000000</v>
      </c>
      <c r="J665" s="8" t="s">
        <v>628</v>
      </c>
      <c r="K665" s="8" t="s">
        <v>629</v>
      </c>
      <c r="L665" s="7">
        <v>2015</v>
      </c>
      <c r="M665" s="8" t="s">
        <v>79</v>
      </c>
      <c r="N665" s="11">
        <v>94500000</v>
      </c>
      <c r="O665" s="8" t="s">
        <v>632</v>
      </c>
      <c r="P665" s="8" t="s">
        <v>633</v>
      </c>
      <c r="Q665" s="8"/>
      <c r="R665" s="8" t="s">
        <v>3520</v>
      </c>
    </row>
    <row r="666" spans="1:18" ht="26.15" customHeight="1">
      <c r="A666" s="7">
        <v>660</v>
      </c>
      <c r="B666" s="8" t="s">
        <v>3845</v>
      </c>
      <c r="C666" s="8" t="s">
        <v>3114</v>
      </c>
      <c r="D666" s="8" t="s">
        <v>3846</v>
      </c>
      <c r="E666" s="8" t="s">
        <v>3116</v>
      </c>
      <c r="F666" s="9" t="s">
        <v>3123</v>
      </c>
      <c r="G666" s="10">
        <v>43444</v>
      </c>
      <c r="H666" s="8" t="s">
        <v>1309</v>
      </c>
      <c r="I666" s="11">
        <v>25000000</v>
      </c>
      <c r="J666" s="8" t="s">
        <v>628</v>
      </c>
      <c r="K666" s="8" t="s">
        <v>629</v>
      </c>
      <c r="L666" s="7">
        <v>2015</v>
      </c>
      <c r="M666" s="8" t="s">
        <v>79</v>
      </c>
      <c r="N666" s="11">
        <v>94500000</v>
      </c>
      <c r="O666" s="8" t="s">
        <v>632</v>
      </c>
      <c r="P666" s="8" t="s">
        <v>633</v>
      </c>
      <c r="Q666" s="8"/>
      <c r="R666" s="8" t="s">
        <v>3192</v>
      </c>
    </row>
    <row r="667" spans="1:18" ht="26.15" customHeight="1">
      <c r="A667" s="7">
        <v>661</v>
      </c>
      <c r="B667" s="8" t="s">
        <v>3521</v>
      </c>
      <c r="C667" s="8"/>
      <c r="D667" s="8" t="s">
        <v>3522</v>
      </c>
      <c r="E667" s="8" t="s">
        <v>3116</v>
      </c>
      <c r="F667" s="9" t="s">
        <v>3123</v>
      </c>
      <c r="G667" s="10">
        <v>43444</v>
      </c>
      <c r="H667" s="8" t="s">
        <v>1309</v>
      </c>
      <c r="I667" s="11">
        <v>25000000</v>
      </c>
      <c r="J667" s="8" t="s">
        <v>628</v>
      </c>
      <c r="K667" s="8" t="s">
        <v>629</v>
      </c>
      <c r="L667" s="7">
        <v>2015</v>
      </c>
      <c r="M667" s="8" t="s">
        <v>79</v>
      </c>
      <c r="N667" s="11">
        <v>94500000</v>
      </c>
      <c r="O667" s="8" t="s">
        <v>632</v>
      </c>
      <c r="P667" s="8" t="s">
        <v>633</v>
      </c>
      <c r="Q667" s="8"/>
      <c r="R667" s="8" t="s">
        <v>3402</v>
      </c>
    </row>
    <row r="668" spans="1:18" ht="26.15" customHeight="1">
      <c r="A668" s="7">
        <v>662</v>
      </c>
      <c r="B668" s="8" t="s">
        <v>3432</v>
      </c>
      <c r="C668" s="8" t="s">
        <v>3114</v>
      </c>
      <c r="D668" s="8" t="s">
        <v>3433</v>
      </c>
      <c r="E668" s="8" t="s">
        <v>3116</v>
      </c>
      <c r="F668" s="9" t="s">
        <v>3123</v>
      </c>
      <c r="G668" s="10">
        <v>43444</v>
      </c>
      <c r="H668" s="8" t="s">
        <v>1309</v>
      </c>
      <c r="I668" s="11">
        <v>25000000</v>
      </c>
      <c r="J668" s="8" t="s">
        <v>628</v>
      </c>
      <c r="K668" s="8" t="s">
        <v>629</v>
      </c>
      <c r="L668" s="7">
        <v>2015</v>
      </c>
      <c r="M668" s="8" t="s">
        <v>79</v>
      </c>
      <c r="N668" s="11">
        <v>94500000</v>
      </c>
      <c r="O668" s="8" t="s">
        <v>632</v>
      </c>
      <c r="P668" s="8" t="s">
        <v>633</v>
      </c>
      <c r="Q668" s="8"/>
      <c r="R668" s="8" t="s">
        <v>3204</v>
      </c>
    </row>
    <row r="669" spans="1:18" ht="26.15" customHeight="1">
      <c r="A669" s="7">
        <v>663</v>
      </c>
      <c r="B669" s="8" t="s">
        <v>3847</v>
      </c>
      <c r="C669" s="8" t="s">
        <v>3114</v>
      </c>
      <c r="D669" s="8" t="s">
        <v>3848</v>
      </c>
      <c r="E669" s="8" t="s">
        <v>3116</v>
      </c>
      <c r="F669" s="9" t="s">
        <v>3123</v>
      </c>
      <c r="G669" s="10">
        <v>43443</v>
      </c>
      <c r="H669" s="8" t="s">
        <v>184</v>
      </c>
      <c r="I669" s="11" t="s">
        <v>50</v>
      </c>
      <c r="J669" s="8" t="s">
        <v>1312</v>
      </c>
      <c r="K669" s="8" t="s">
        <v>1313</v>
      </c>
      <c r="L669" s="7">
        <v>2013</v>
      </c>
      <c r="M669" s="8" t="s">
        <v>704</v>
      </c>
      <c r="N669" s="11"/>
      <c r="O669" s="8" t="s">
        <v>1315</v>
      </c>
      <c r="P669" s="8" t="s">
        <v>1316</v>
      </c>
      <c r="Q669" s="8"/>
      <c r="R669" s="8" t="s">
        <v>3145</v>
      </c>
    </row>
    <row r="670" spans="1:18" ht="26.15" customHeight="1">
      <c r="A670" s="7">
        <v>664</v>
      </c>
      <c r="B670" s="8" t="s">
        <v>3849</v>
      </c>
      <c r="C670" s="8" t="s">
        <v>3114</v>
      </c>
      <c r="D670" s="8" t="s">
        <v>3850</v>
      </c>
      <c r="E670" s="8" t="s">
        <v>3116</v>
      </c>
      <c r="F670" s="9" t="s">
        <v>3123</v>
      </c>
      <c r="G670" s="10">
        <v>43438</v>
      </c>
      <c r="H670" s="8" t="s">
        <v>34</v>
      </c>
      <c r="I670" s="11" t="s">
        <v>50</v>
      </c>
      <c r="J670" s="8" t="s">
        <v>1317</v>
      </c>
      <c r="K670" s="8" t="s">
        <v>1318</v>
      </c>
      <c r="L670" s="7">
        <v>2014</v>
      </c>
      <c r="M670" s="8" t="s">
        <v>1320</v>
      </c>
      <c r="N670" s="11"/>
      <c r="O670" s="8" t="s">
        <v>1321</v>
      </c>
      <c r="P670" s="8" t="s">
        <v>435</v>
      </c>
      <c r="Q670" s="8"/>
      <c r="R670" s="8" t="s">
        <v>1732</v>
      </c>
    </row>
    <row r="671" spans="1:18" ht="26.15" customHeight="1">
      <c r="A671" s="7">
        <v>665</v>
      </c>
      <c r="B671" s="8" t="s">
        <v>1325</v>
      </c>
      <c r="C671" s="8" t="s">
        <v>3114</v>
      </c>
      <c r="D671" s="8" t="s">
        <v>3851</v>
      </c>
      <c r="E671" s="8" t="s">
        <v>3116</v>
      </c>
      <c r="F671" s="9" t="s">
        <v>3117</v>
      </c>
      <c r="G671" s="10">
        <v>43434</v>
      </c>
      <c r="H671" s="8" t="s">
        <v>34</v>
      </c>
      <c r="I671" s="11">
        <v>778495</v>
      </c>
      <c r="J671" s="8" t="s">
        <v>1322</v>
      </c>
      <c r="K671" s="8" t="s">
        <v>1323</v>
      </c>
      <c r="L671" s="7">
        <v>2010</v>
      </c>
      <c r="M671" s="8" t="s">
        <v>1326</v>
      </c>
      <c r="N671" s="11">
        <v>778495</v>
      </c>
      <c r="O671" s="8" t="s">
        <v>1327</v>
      </c>
      <c r="P671" s="8" t="s">
        <v>1328</v>
      </c>
      <c r="Q671" s="8"/>
      <c r="R671" s="8" t="s">
        <v>3220</v>
      </c>
    </row>
    <row r="672" spans="1:18" ht="26.15" customHeight="1">
      <c r="A672" s="7">
        <v>666</v>
      </c>
      <c r="B672" s="8" t="s">
        <v>3286</v>
      </c>
      <c r="C672" s="8" t="s">
        <v>3114</v>
      </c>
      <c r="D672" s="8" t="s">
        <v>3287</v>
      </c>
      <c r="E672" s="8" t="s">
        <v>3116</v>
      </c>
      <c r="F672" s="9" t="s">
        <v>3123</v>
      </c>
      <c r="G672" s="10">
        <v>43430</v>
      </c>
      <c r="H672" s="8" t="s">
        <v>34</v>
      </c>
      <c r="I672" s="11">
        <v>300000</v>
      </c>
      <c r="J672" s="8" t="s">
        <v>512</v>
      </c>
      <c r="K672" s="8" t="s">
        <v>513</v>
      </c>
      <c r="L672" s="7">
        <v>2014</v>
      </c>
      <c r="M672" s="8" t="s">
        <v>516</v>
      </c>
      <c r="N672" s="11">
        <v>400000</v>
      </c>
      <c r="O672" s="8" t="s">
        <v>517</v>
      </c>
      <c r="P672" s="8" t="s">
        <v>518</v>
      </c>
      <c r="Q672" s="8"/>
      <c r="R672" s="8" t="s">
        <v>1487</v>
      </c>
    </row>
    <row r="673" spans="1:18" ht="26.15" customHeight="1">
      <c r="A673" s="7">
        <v>667</v>
      </c>
      <c r="B673" s="8" t="s">
        <v>113</v>
      </c>
      <c r="C673" s="8" t="s">
        <v>3114</v>
      </c>
      <c r="D673" s="8" t="s">
        <v>3163</v>
      </c>
      <c r="E673" s="8" t="s">
        <v>3116</v>
      </c>
      <c r="F673" s="9" t="s">
        <v>3117</v>
      </c>
      <c r="G673" s="10">
        <v>43424</v>
      </c>
      <c r="H673" s="8" t="s">
        <v>25</v>
      </c>
      <c r="I673" s="11">
        <v>8113650</v>
      </c>
      <c r="J673" s="8" t="s">
        <v>1330</v>
      </c>
      <c r="K673" s="8" t="s">
        <v>1331</v>
      </c>
      <c r="L673" s="7">
        <v>2010</v>
      </c>
      <c r="M673" s="8" t="s">
        <v>79</v>
      </c>
      <c r="N673" s="11">
        <v>15568800</v>
      </c>
      <c r="O673" s="8" t="s">
        <v>1334</v>
      </c>
      <c r="P673" s="8" t="s">
        <v>1335</v>
      </c>
      <c r="Q673" s="8"/>
      <c r="R673" s="8" t="s">
        <v>79</v>
      </c>
    </row>
    <row r="674" spans="1:18" ht="26.15" customHeight="1">
      <c r="A674" s="7">
        <v>668</v>
      </c>
      <c r="B674" s="8" t="s">
        <v>3683</v>
      </c>
      <c r="C674" s="8" t="s">
        <v>3114</v>
      </c>
      <c r="D674" s="8" t="s">
        <v>3684</v>
      </c>
      <c r="E674" s="8" t="s">
        <v>3116</v>
      </c>
      <c r="F674" s="9" t="s">
        <v>3117</v>
      </c>
      <c r="G674" s="10">
        <v>43424</v>
      </c>
      <c r="H674" s="8" t="s">
        <v>25</v>
      </c>
      <c r="I674" s="11">
        <v>8113650</v>
      </c>
      <c r="J674" s="8" t="s">
        <v>1330</v>
      </c>
      <c r="K674" s="8" t="s">
        <v>1331</v>
      </c>
      <c r="L674" s="7">
        <v>2010</v>
      </c>
      <c r="M674" s="8" t="s">
        <v>79</v>
      </c>
      <c r="N674" s="11">
        <v>15568800</v>
      </c>
      <c r="O674" s="8" t="s">
        <v>1334</v>
      </c>
      <c r="P674" s="8" t="s">
        <v>1335</v>
      </c>
      <c r="Q674" s="8"/>
      <c r="R674" s="8" t="s">
        <v>3118</v>
      </c>
    </row>
    <row r="675" spans="1:18" ht="26.15" customHeight="1">
      <c r="A675" s="7">
        <v>669</v>
      </c>
      <c r="B675" s="8" t="s">
        <v>401</v>
      </c>
      <c r="C675" s="8"/>
      <c r="D675" s="8" t="s">
        <v>3385</v>
      </c>
      <c r="E675" s="8" t="s">
        <v>3116</v>
      </c>
      <c r="F675" s="9" t="s">
        <v>3123</v>
      </c>
      <c r="G675" s="10">
        <v>43424</v>
      </c>
      <c r="H675" s="8" t="s">
        <v>25</v>
      </c>
      <c r="I675" s="11">
        <v>8113650</v>
      </c>
      <c r="J675" s="8" t="s">
        <v>1330</v>
      </c>
      <c r="K675" s="8" t="s">
        <v>1331</v>
      </c>
      <c r="L675" s="7">
        <v>2010</v>
      </c>
      <c r="M675" s="8" t="s">
        <v>79</v>
      </c>
      <c r="N675" s="11">
        <v>15568800</v>
      </c>
      <c r="O675" s="8" t="s">
        <v>1334</v>
      </c>
      <c r="P675" s="8" t="s">
        <v>1335</v>
      </c>
      <c r="Q675" s="8"/>
      <c r="R675" s="8" t="s">
        <v>313</v>
      </c>
    </row>
    <row r="676" spans="1:18" ht="26.15" customHeight="1">
      <c r="A676" s="7">
        <v>670</v>
      </c>
      <c r="B676" s="8" t="s">
        <v>773</v>
      </c>
      <c r="C676" s="8" t="s">
        <v>3114</v>
      </c>
      <c r="D676" s="8" t="s">
        <v>3557</v>
      </c>
      <c r="E676" s="8" t="s">
        <v>3116</v>
      </c>
      <c r="F676" s="9" t="s">
        <v>3117</v>
      </c>
      <c r="G676" s="10">
        <v>43419</v>
      </c>
      <c r="H676" s="8" t="s">
        <v>25</v>
      </c>
      <c r="I676" s="11">
        <v>10000000</v>
      </c>
      <c r="J676" s="8" t="s">
        <v>473</v>
      </c>
      <c r="K676" s="8" t="s">
        <v>474</v>
      </c>
      <c r="L676" s="7">
        <v>2014</v>
      </c>
      <c r="M676" s="8" t="s">
        <v>39</v>
      </c>
      <c r="N676" s="11">
        <v>46450000</v>
      </c>
      <c r="O676" s="8" t="s">
        <v>475</v>
      </c>
      <c r="P676" s="8" t="s">
        <v>476</v>
      </c>
      <c r="Q676" s="8"/>
      <c r="R676" s="8" t="s">
        <v>3425</v>
      </c>
    </row>
    <row r="677" spans="1:18" ht="26.15" customHeight="1">
      <c r="A677" s="7">
        <v>671</v>
      </c>
      <c r="B677" s="8" t="s">
        <v>3558</v>
      </c>
      <c r="C677" s="8" t="s">
        <v>3114</v>
      </c>
      <c r="D677" s="8" t="s">
        <v>3559</v>
      </c>
      <c r="E677" s="8" t="s">
        <v>3116</v>
      </c>
      <c r="F677" s="9" t="s">
        <v>3117</v>
      </c>
      <c r="G677" s="10">
        <v>43419</v>
      </c>
      <c r="H677" s="8" t="s">
        <v>25</v>
      </c>
      <c r="I677" s="11">
        <v>10000000</v>
      </c>
      <c r="J677" s="8" t="s">
        <v>473</v>
      </c>
      <c r="K677" s="8" t="s">
        <v>474</v>
      </c>
      <c r="L677" s="7">
        <v>2014</v>
      </c>
      <c r="M677" s="8" t="s">
        <v>39</v>
      </c>
      <c r="N677" s="11">
        <v>46450000</v>
      </c>
      <c r="O677" s="8" t="s">
        <v>475</v>
      </c>
      <c r="P677" s="8" t="s">
        <v>476</v>
      </c>
      <c r="Q677" s="8"/>
      <c r="R677" s="8" t="s">
        <v>39</v>
      </c>
    </row>
    <row r="678" spans="1:18" ht="26.15" customHeight="1">
      <c r="A678" s="7">
        <v>672</v>
      </c>
      <c r="B678" s="8" t="s">
        <v>2297</v>
      </c>
      <c r="C678" s="8" t="s">
        <v>3114</v>
      </c>
      <c r="D678" s="8" t="s">
        <v>3852</v>
      </c>
      <c r="E678" s="8" t="s">
        <v>3116</v>
      </c>
      <c r="F678" s="9" t="s">
        <v>3123</v>
      </c>
      <c r="G678" s="10">
        <v>43419</v>
      </c>
      <c r="H678" s="8" t="s">
        <v>25</v>
      </c>
      <c r="I678" s="11">
        <v>10000000</v>
      </c>
      <c r="J678" s="8" t="s">
        <v>473</v>
      </c>
      <c r="K678" s="8" t="s">
        <v>474</v>
      </c>
      <c r="L678" s="7">
        <v>2014</v>
      </c>
      <c r="M678" s="8" t="s">
        <v>39</v>
      </c>
      <c r="N678" s="11">
        <v>46450000</v>
      </c>
      <c r="O678" s="8" t="s">
        <v>475</v>
      </c>
      <c r="P678" s="8" t="s">
        <v>476</v>
      </c>
      <c r="Q678" s="8"/>
      <c r="R678" s="8" t="s">
        <v>3853</v>
      </c>
    </row>
    <row r="679" spans="1:18" ht="26.15" customHeight="1">
      <c r="A679" s="7">
        <v>673</v>
      </c>
      <c r="B679" s="8" t="s">
        <v>2022</v>
      </c>
      <c r="C679" s="8" t="s">
        <v>3114</v>
      </c>
      <c r="D679" s="8" t="s">
        <v>3854</v>
      </c>
      <c r="E679" s="8" t="s">
        <v>3116</v>
      </c>
      <c r="F679" s="9" t="s">
        <v>3117</v>
      </c>
      <c r="G679" s="10">
        <v>43419</v>
      </c>
      <c r="H679" s="8" t="s">
        <v>25</v>
      </c>
      <c r="I679" s="11">
        <v>10000000</v>
      </c>
      <c r="J679" s="8" t="s">
        <v>473</v>
      </c>
      <c r="K679" s="8" t="s">
        <v>474</v>
      </c>
      <c r="L679" s="7">
        <v>2014</v>
      </c>
      <c r="M679" s="8" t="s">
        <v>39</v>
      </c>
      <c r="N679" s="11">
        <v>46450000</v>
      </c>
      <c r="O679" s="8" t="s">
        <v>475</v>
      </c>
      <c r="P679" s="8" t="s">
        <v>476</v>
      </c>
      <c r="Q679" s="8"/>
      <c r="R679" s="8" t="s">
        <v>3597</v>
      </c>
    </row>
    <row r="680" spans="1:18" ht="26.15" customHeight="1">
      <c r="A680" s="7">
        <v>674</v>
      </c>
      <c r="B680" s="8" t="s">
        <v>1337</v>
      </c>
      <c r="C680" s="8" t="s">
        <v>3127</v>
      </c>
      <c r="D680" s="8"/>
      <c r="E680" s="8" t="s">
        <v>3128</v>
      </c>
      <c r="F680" s="9" t="s">
        <v>3123</v>
      </c>
      <c r="G680" s="10">
        <v>43419</v>
      </c>
      <c r="H680" s="8" t="s">
        <v>25</v>
      </c>
      <c r="I680" s="11">
        <v>10000000</v>
      </c>
      <c r="J680" s="8" t="s">
        <v>473</v>
      </c>
      <c r="K680" s="8" t="s">
        <v>474</v>
      </c>
      <c r="L680" s="7">
        <v>2014</v>
      </c>
      <c r="M680" s="8" t="s">
        <v>39</v>
      </c>
      <c r="N680" s="11">
        <v>46450000</v>
      </c>
      <c r="O680" s="8" t="s">
        <v>475</v>
      </c>
      <c r="P680" s="8" t="s">
        <v>476</v>
      </c>
      <c r="Q680" s="8"/>
      <c r="R680" s="8"/>
    </row>
    <row r="681" spans="1:18" ht="26.15" customHeight="1">
      <c r="A681" s="7">
        <v>675</v>
      </c>
      <c r="B681" s="8" t="s">
        <v>3855</v>
      </c>
      <c r="C681" s="8" t="s">
        <v>3139</v>
      </c>
      <c r="D681" s="8" t="s">
        <v>3856</v>
      </c>
      <c r="E681" s="8" t="s">
        <v>3116</v>
      </c>
      <c r="F681" s="9" t="s">
        <v>3123</v>
      </c>
      <c r="G681" s="10">
        <v>43419</v>
      </c>
      <c r="H681" s="8" t="s">
        <v>25</v>
      </c>
      <c r="I681" s="11">
        <v>10000000</v>
      </c>
      <c r="J681" s="8" t="s">
        <v>473</v>
      </c>
      <c r="K681" s="8" t="s">
        <v>474</v>
      </c>
      <c r="L681" s="7">
        <v>2014</v>
      </c>
      <c r="M681" s="8" t="s">
        <v>39</v>
      </c>
      <c r="N681" s="11">
        <v>46450000</v>
      </c>
      <c r="O681" s="8" t="s">
        <v>475</v>
      </c>
      <c r="P681" s="8" t="s">
        <v>476</v>
      </c>
      <c r="Q681" s="8"/>
      <c r="R681" s="8"/>
    </row>
    <row r="682" spans="1:18" ht="26.15" customHeight="1">
      <c r="A682" s="7">
        <v>676</v>
      </c>
      <c r="B682" s="8" t="s">
        <v>3857</v>
      </c>
      <c r="C682" s="8" t="s">
        <v>3114</v>
      </c>
      <c r="D682" s="8" t="s">
        <v>3858</v>
      </c>
      <c r="E682" s="8" t="s">
        <v>3116</v>
      </c>
      <c r="F682" s="9" t="s">
        <v>3123</v>
      </c>
      <c r="G682" s="10">
        <v>43419</v>
      </c>
      <c r="H682" s="8" t="s">
        <v>25</v>
      </c>
      <c r="I682" s="11">
        <v>10000000</v>
      </c>
      <c r="J682" s="8" t="s">
        <v>473</v>
      </c>
      <c r="K682" s="8" t="s">
        <v>474</v>
      </c>
      <c r="L682" s="7">
        <v>2014</v>
      </c>
      <c r="M682" s="8" t="s">
        <v>39</v>
      </c>
      <c r="N682" s="11">
        <v>46450000</v>
      </c>
      <c r="O682" s="8" t="s">
        <v>475</v>
      </c>
      <c r="P682" s="8" t="s">
        <v>476</v>
      </c>
      <c r="Q682" s="8"/>
      <c r="R682" s="8" t="s">
        <v>3363</v>
      </c>
    </row>
    <row r="683" spans="1:18" ht="26.15" customHeight="1">
      <c r="A683" s="7">
        <v>677</v>
      </c>
      <c r="B683" s="8" t="s">
        <v>3859</v>
      </c>
      <c r="C683" s="8" t="s">
        <v>3114</v>
      </c>
      <c r="D683" s="8" t="s">
        <v>3860</v>
      </c>
      <c r="E683" s="8" t="s">
        <v>3116</v>
      </c>
      <c r="F683" s="9" t="s">
        <v>3123</v>
      </c>
      <c r="G683" s="10">
        <v>43419</v>
      </c>
      <c r="H683" s="8" t="s">
        <v>25</v>
      </c>
      <c r="I683" s="11">
        <v>10000000</v>
      </c>
      <c r="J683" s="8" t="s">
        <v>473</v>
      </c>
      <c r="K683" s="8" t="s">
        <v>474</v>
      </c>
      <c r="L683" s="7">
        <v>2014</v>
      </c>
      <c r="M683" s="8" t="s">
        <v>39</v>
      </c>
      <c r="N683" s="11">
        <v>46450000</v>
      </c>
      <c r="O683" s="8" t="s">
        <v>475</v>
      </c>
      <c r="P683" s="8" t="s">
        <v>476</v>
      </c>
      <c r="Q683" s="8"/>
      <c r="R683" s="8" t="s">
        <v>382</v>
      </c>
    </row>
    <row r="684" spans="1:18" ht="26.15" customHeight="1">
      <c r="A684" s="7">
        <v>678</v>
      </c>
      <c r="B684" s="8" t="s">
        <v>3861</v>
      </c>
      <c r="C684" s="8" t="s">
        <v>3114</v>
      </c>
      <c r="D684" s="8" t="s">
        <v>3862</v>
      </c>
      <c r="E684" s="8" t="s">
        <v>3116</v>
      </c>
      <c r="F684" s="9" t="s">
        <v>3123</v>
      </c>
      <c r="G684" s="10">
        <v>43419</v>
      </c>
      <c r="H684" s="8" t="s">
        <v>25</v>
      </c>
      <c r="I684" s="11">
        <v>10000000</v>
      </c>
      <c r="J684" s="8" t="s">
        <v>473</v>
      </c>
      <c r="K684" s="8" t="s">
        <v>474</v>
      </c>
      <c r="L684" s="7">
        <v>2014</v>
      </c>
      <c r="M684" s="8" t="s">
        <v>39</v>
      </c>
      <c r="N684" s="11">
        <v>46450000</v>
      </c>
      <c r="O684" s="8" t="s">
        <v>475</v>
      </c>
      <c r="P684" s="8" t="s">
        <v>476</v>
      </c>
      <c r="Q684" s="8"/>
      <c r="R684" s="8" t="s">
        <v>3360</v>
      </c>
    </row>
    <row r="685" spans="1:18" ht="26.15" customHeight="1">
      <c r="A685" s="7">
        <v>679</v>
      </c>
      <c r="B685" s="8" t="s">
        <v>1538</v>
      </c>
      <c r="C685" s="8" t="s">
        <v>3114</v>
      </c>
      <c r="D685" s="8" t="s">
        <v>3863</v>
      </c>
      <c r="E685" s="8" t="s">
        <v>3116</v>
      </c>
      <c r="F685" s="9" t="s">
        <v>3123</v>
      </c>
      <c r="G685" s="10">
        <v>43419</v>
      </c>
      <c r="H685" s="8" t="s">
        <v>25</v>
      </c>
      <c r="I685" s="11">
        <v>10000000</v>
      </c>
      <c r="J685" s="8" t="s">
        <v>473</v>
      </c>
      <c r="K685" s="8" t="s">
        <v>474</v>
      </c>
      <c r="L685" s="7">
        <v>2014</v>
      </c>
      <c r="M685" s="8" t="s">
        <v>39</v>
      </c>
      <c r="N685" s="11">
        <v>46450000</v>
      </c>
      <c r="O685" s="8" t="s">
        <v>475</v>
      </c>
      <c r="P685" s="8" t="s">
        <v>476</v>
      </c>
      <c r="Q685" s="8"/>
      <c r="R685" s="8" t="s">
        <v>3864</v>
      </c>
    </row>
    <row r="686" spans="1:18" ht="26.15" customHeight="1">
      <c r="A686" s="7">
        <v>680</v>
      </c>
      <c r="B686" s="8" t="s">
        <v>3562</v>
      </c>
      <c r="C686" s="8" t="s">
        <v>3114</v>
      </c>
      <c r="D686" s="8" t="s">
        <v>3563</v>
      </c>
      <c r="E686" s="8" t="s">
        <v>3116</v>
      </c>
      <c r="F686" s="9" t="s">
        <v>3123</v>
      </c>
      <c r="G686" s="10">
        <v>43419</v>
      </c>
      <c r="H686" s="8" t="s">
        <v>25</v>
      </c>
      <c r="I686" s="11">
        <v>10000000</v>
      </c>
      <c r="J686" s="8" t="s">
        <v>473</v>
      </c>
      <c r="K686" s="8" t="s">
        <v>474</v>
      </c>
      <c r="L686" s="7">
        <v>2014</v>
      </c>
      <c r="M686" s="8" t="s">
        <v>39</v>
      </c>
      <c r="N686" s="11">
        <v>46450000</v>
      </c>
      <c r="O686" s="8" t="s">
        <v>475</v>
      </c>
      <c r="P686" s="8" t="s">
        <v>476</v>
      </c>
      <c r="Q686" s="8"/>
      <c r="R686" s="8" t="s">
        <v>3564</v>
      </c>
    </row>
    <row r="687" spans="1:18" ht="26.15" customHeight="1">
      <c r="A687" s="7">
        <v>681</v>
      </c>
      <c r="B687" s="8" t="s">
        <v>2731</v>
      </c>
      <c r="C687" s="8" t="s">
        <v>3114</v>
      </c>
      <c r="D687" s="8" t="s">
        <v>3865</v>
      </c>
      <c r="E687" s="8" t="s">
        <v>3116</v>
      </c>
      <c r="F687" s="9" t="s">
        <v>3123</v>
      </c>
      <c r="G687" s="10">
        <v>43419</v>
      </c>
      <c r="H687" s="8" t="s">
        <v>25</v>
      </c>
      <c r="I687" s="11">
        <v>10000000</v>
      </c>
      <c r="J687" s="8" t="s">
        <v>473</v>
      </c>
      <c r="K687" s="8" t="s">
        <v>474</v>
      </c>
      <c r="L687" s="7">
        <v>2014</v>
      </c>
      <c r="M687" s="8" t="s">
        <v>39</v>
      </c>
      <c r="N687" s="11">
        <v>46450000</v>
      </c>
      <c r="O687" s="8" t="s">
        <v>475</v>
      </c>
      <c r="P687" s="8" t="s">
        <v>476</v>
      </c>
      <c r="Q687" s="8"/>
      <c r="R687" s="8" t="s">
        <v>3425</v>
      </c>
    </row>
    <row r="688" spans="1:18" ht="26.15" customHeight="1">
      <c r="A688" s="7">
        <v>682</v>
      </c>
      <c r="B688" s="8" t="s">
        <v>1134</v>
      </c>
      <c r="C688" s="8" t="s">
        <v>3114</v>
      </c>
      <c r="D688" s="8" t="s">
        <v>3193</v>
      </c>
      <c r="E688" s="8" t="s">
        <v>3116</v>
      </c>
      <c r="F688" s="9" t="s">
        <v>3117</v>
      </c>
      <c r="G688" s="10">
        <v>43417</v>
      </c>
      <c r="H688" s="8" t="s">
        <v>109</v>
      </c>
      <c r="I688" s="11">
        <v>4000000</v>
      </c>
      <c r="J688" s="8" t="s">
        <v>210</v>
      </c>
      <c r="K688" s="8" t="s">
        <v>211</v>
      </c>
      <c r="L688" s="7">
        <v>2013</v>
      </c>
      <c r="M688" s="8" t="s">
        <v>214</v>
      </c>
      <c r="N688" s="11">
        <v>4000000</v>
      </c>
      <c r="O688" s="8" t="s">
        <v>215</v>
      </c>
      <c r="P688" s="8" t="s">
        <v>216</v>
      </c>
      <c r="Q688" s="8"/>
      <c r="R688" s="8" t="s">
        <v>3194</v>
      </c>
    </row>
    <row r="689" spans="1:18" ht="26.15" customHeight="1">
      <c r="A689" s="7">
        <v>683</v>
      </c>
      <c r="B689" s="8" t="s">
        <v>3190</v>
      </c>
      <c r="C689" s="8" t="s">
        <v>3114</v>
      </c>
      <c r="D689" s="8" t="s">
        <v>3191</v>
      </c>
      <c r="E689" s="8" t="s">
        <v>3116</v>
      </c>
      <c r="F689" s="9" t="s">
        <v>3117</v>
      </c>
      <c r="G689" s="10">
        <v>43417</v>
      </c>
      <c r="H689" s="8" t="s">
        <v>109</v>
      </c>
      <c r="I689" s="11">
        <v>4000000</v>
      </c>
      <c r="J689" s="8" t="s">
        <v>210</v>
      </c>
      <c r="K689" s="8" t="s">
        <v>211</v>
      </c>
      <c r="L689" s="7">
        <v>2013</v>
      </c>
      <c r="M689" s="8" t="s">
        <v>214</v>
      </c>
      <c r="N689" s="11">
        <v>4000000</v>
      </c>
      <c r="O689" s="8" t="s">
        <v>215</v>
      </c>
      <c r="P689" s="8" t="s">
        <v>216</v>
      </c>
      <c r="Q689" s="8"/>
      <c r="R689" s="8" t="s">
        <v>3192</v>
      </c>
    </row>
    <row r="690" spans="1:18" ht="26.15" customHeight="1">
      <c r="A690" s="7">
        <v>684</v>
      </c>
      <c r="B690" s="8" t="s">
        <v>3866</v>
      </c>
      <c r="C690" s="8" t="s">
        <v>3114</v>
      </c>
      <c r="D690" s="8" t="s">
        <v>3867</v>
      </c>
      <c r="E690" s="8" t="s">
        <v>3116</v>
      </c>
      <c r="F690" s="9" t="s">
        <v>3117</v>
      </c>
      <c r="G690" s="10">
        <v>43417</v>
      </c>
      <c r="H690" s="8" t="s">
        <v>109</v>
      </c>
      <c r="I690" s="11">
        <v>4000000</v>
      </c>
      <c r="J690" s="8" t="s">
        <v>210</v>
      </c>
      <c r="K690" s="8" t="s">
        <v>211</v>
      </c>
      <c r="L690" s="7">
        <v>2013</v>
      </c>
      <c r="M690" s="8" t="s">
        <v>214</v>
      </c>
      <c r="N690" s="11">
        <v>4000000</v>
      </c>
      <c r="O690" s="8" t="s">
        <v>215</v>
      </c>
      <c r="P690" s="8" t="s">
        <v>216</v>
      </c>
      <c r="Q690" s="8"/>
      <c r="R690" s="8" t="s">
        <v>2390</v>
      </c>
    </row>
    <row r="691" spans="1:18" ht="26.15" customHeight="1">
      <c r="A691" s="7">
        <v>685</v>
      </c>
      <c r="B691" s="8" t="s">
        <v>3868</v>
      </c>
      <c r="C691" s="8" t="s">
        <v>3114</v>
      </c>
      <c r="D691" s="8" t="s">
        <v>3869</v>
      </c>
      <c r="E691" s="8" t="s">
        <v>3116</v>
      </c>
      <c r="F691" s="9" t="s">
        <v>3117</v>
      </c>
      <c r="G691" s="10">
        <v>43417</v>
      </c>
      <c r="H691" s="8" t="s">
        <v>109</v>
      </c>
      <c r="I691" s="11">
        <v>4000000</v>
      </c>
      <c r="J691" s="8" t="s">
        <v>210</v>
      </c>
      <c r="K691" s="8" t="s">
        <v>211</v>
      </c>
      <c r="L691" s="7">
        <v>2013</v>
      </c>
      <c r="M691" s="8" t="s">
        <v>214</v>
      </c>
      <c r="N691" s="11">
        <v>4000000</v>
      </c>
      <c r="O691" s="8" t="s">
        <v>215</v>
      </c>
      <c r="P691" s="8" t="s">
        <v>216</v>
      </c>
      <c r="Q691" s="8"/>
      <c r="R691" s="8" t="s">
        <v>3470</v>
      </c>
    </row>
    <row r="692" spans="1:18" ht="26.15" customHeight="1">
      <c r="A692" s="7">
        <v>686</v>
      </c>
      <c r="B692" s="8" t="s">
        <v>3870</v>
      </c>
      <c r="C692" s="8"/>
      <c r="D692" s="8" t="s">
        <v>3871</v>
      </c>
      <c r="E692" s="8" t="s">
        <v>3116</v>
      </c>
      <c r="F692" s="9" t="s">
        <v>3117</v>
      </c>
      <c r="G692" s="10">
        <v>43417</v>
      </c>
      <c r="H692" s="8" t="s">
        <v>109</v>
      </c>
      <c r="I692" s="11">
        <v>4000000</v>
      </c>
      <c r="J692" s="8" t="s">
        <v>210</v>
      </c>
      <c r="K692" s="8" t="s">
        <v>211</v>
      </c>
      <c r="L692" s="7">
        <v>2013</v>
      </c>
      <c r="M692" s="8" t="s">
        <v>214</v>
      </c>
      <c r="N692" s="11">
        <v>4000000</v>
      </c>
      <c r="O692" s="8" t="s">
        <v>215</v>
      </c>
      <c r="P692" s="8" t="s">
        <v>216</v>
      </c>
      <c r="Q692" s="8"/>
      <c r="R692" s="8" t="s">
        <v>3582</v>
      </c>
    </row>
    <row r="693" spans="1:18" ht="26.15" customHeight="1">
      <c r="A693" s="7">
        <v>687</v>
      </c>
      <c r="B693" s="8" t="s">
        <v>3872</v>
      </c>
      <c r="C693" s="8" t="s">
        <v>3114</v>
      </c>
      <c r="D693" s="8" t="s">
        <v>3873</v>
      </c>
      <c r="E693" s="8" t="s">
        <v>3116</v>
      </c>
      <c r="F693" s="9" t="s">
        <v>3117</v>
      </c>
      <c r="G693" s="10">
        <v>43417</v>
      </c>
      <c r="H693" s="8" t="s">
        <v>109</v>
      </c>
      <c r="I693" s="11">
        <v>4000000</v>
      </c>
      <c r="J693" s="8" t="s">
        <v>210</v>
      </c>
      <c r="K693" s="8" t="s">
        <v>211</v>
      </c>
      <c r="L693" s="7">
        <v>2013</v>
      </c>
      <c r="M693" s="8" t="s">
        <v>214</v>
      </c>
      <c r="N693" s="11">
        <v>4000000</v>
      </c>
      <c r="O693" s="8" t="s">
        <v>215</v>
      </c>
      <c r="P693" s="8" t="s">
        <v>216</v>
      </c>
      <c r="Q693" s="8"/>
      <c r="R693" s="8" t="s">
        <v>207</v>
      </c>
    </row>
    <row r="694" spans="1:18" ht="26.15" customHeight="1">
      <c r="A694" s="7">
        <v>688</v>
      </c>
      <c r="B694" s="8" t="s">
        <v>2537</v>
      </c>
      <c r="C694" s="8" t="s">
        <v>3114</v>
      </c>
      <c r="D694" s="8" t="s">
        <v>3874</v>
      </c>
      <c r="E694" s="8" t="s">
        <v>3116</v>
      </c>
      <c r="F694" s="9" t="s">
        <v>3117</v>
      </c>
      <c r="G694" s="10">
        <v>43417</v>
      </c>
      <c r="H694" s="8" t="s">
        <v>109</v>
      </c>
      <c r="I694" s="11">
        <v>4000000</v>
      </c>
      <c r="J694" s="8" t="s">
        <v>210</v>
      </c>
      <c r="K694" s="8" t="s">
        <v>211</v>
      </c>
      <c r="L694" s="7">
        <v>2013</v>
      </c>
      <c r="M694" s="8" t="s">
        <v>214</v>
      </c>
      <c r="N694" s="11">
        <v>4000000</v>
      </c>
      <c r="O694" s="8" t="s">
        <v>215</v>
      </c>
      <c r="P694" s="8" t="s">
        <v>216</v>
      </c>
      <c r="Q694" s="8"/>
      <c r="R694" s="8" t="s">
        <v>3204</v>
      </c>
    </row>
    <row r="695" spans="1:18" ht="26.15" customHeight="1">
      <c r="A695" s="7">
        <v>689</v>
      </c>
      <c r="B695" s="8" t="s">
        <v>2696</v>
      </c>
      <c r="C695" s="8" t="s">
        <v>3114</v>
      </c>
      <c r="D695" s="8" t="s">
        <v>3875</v>
      </c>
      <c r="E695" s="8" t="s">
        <v>3116</v>
      </c>
      <c r="F695" s="9" t="s">
        <v>3123</v>
      </c>
      <c r="G695" s="10">
        <v>43413</v>
      </c>
      <c r="H695" s="8" t="s">
        <v>95</v>
      </c>
      <c r="I695" s="11" t="s">
        <v>50</v>
      </c>
      <c r="J695" s="8" t="s">
        <v>1341</v>
      </c>
      <c r="K695" s="8" t="s">
        <v>1342</v>
      </c>
      <c r="L695" s="7">
        <v>2006</v>
      </c>
      <c r="M695" s="8" t="s">
        <v>1344</v>
      </c>
      <c r="N695" s="11"/>
      <c r="O695" s="8" t="s">
        <v>1345</v>
      </c>
      <c r="P695" s="8" t="s">
        <v>1346</v>
      </c>
      <c r="Q695" s="8"/>
      <c r="R695" s="8" t="s">
        <v>3876</v>
      </c>
    </row>
    <row r="696" spans="1:18" ht="26.15" customHeight="1">
      <c r="A696" s="7">
        <v>690</v>
      </c>
      <c r="B696" s="8" t="s">
        <v>3877</v>
      </c>
      <c r="C696" s="8" t="s">
        <v>3114</v>
      </c>
      <c r="D696" s="8" t="s">
        <v>3878</v>
      </c>
      <c r="E696" s="8" t="s">
        <v>3116</v>
      </c>
      <c r="F696" s="9" t="s">
        <v>3123</v>
      </c>
      <c r="G696" s="10">
        <v>43412</v>
      </c>
      <c r="H696" s="8" t="s">
        <v>34</v>
      </c>
      <c r="I696" s="11">
        <v>300000</v>
      </c>
      <c r="J696" s="8" t="s">
        <v>1347</v>
      </c>
      <c r="K696" s="8" t="s">
        <v>1348</v>
      </c>
      <c r="L696" s="7">
        <v>2016</v>
      </c>
      <c r="M696" s="8" t="s">
        <v>1350</v>
      </c>
      <c r="N696" s="11">
        <v>300000</v>
      </c>
      <c r="O696" s="8" t="s">
        <v>1351</v>
      </c>
      <c r="P696" s="8" t="s">
        <v>1352</v>
      </c>
      <c r="Q696" s="8"/>
      <c r="R696" s="8" t="s">
        <v>3148</v>
      </c>
    </row>
    <row r="697" spans="1:18" ht="26.15" customHeight="1">
      <c r="A697" s="7">
        <v>691</v>
      </c>
      <c r="B697" s="8" t="s">
        <v>1609</v>
      </c>
      <c r="C697" s="8" t="s">
        <v>3114</v>
      </c>
      <c r="D697" s="8" t="s">
        <v>3544</v>
      </c>
      <c r="E697" s="8" t="s">
        <v>3116</v>
      </c>
      <c r="F697" s="9" t="s">
        <v>3123</v>
      </c>
      <c r="G697" s="10">
        <v>43411</v>
      </c>
      <c r="H697" s="8" t="s">
        <v>184</v>
      </c>
      <c r="I697" s="11" t="s">
        <v>50</v>
      </c>
      <c r="J697" s="8" t="s">
        <v>1353</v>
      </c>
      <c r="K697" s="8" t="s">
        <v>1354</v>
      </c>
      <c r="L697" s="7">
        <v>2013</v>
      </c>
      <c r="M697" s="8" t="s">
        <v>1355</v>
      </c>
      <c r="N697" s="11"/>
      <c r="O697" s="8" t="s">
        <v>1356</v>
      </c>
      <c r="P697" s="8" t="s">
        <v>1357</v>
      </c>
      <c r="Q697" s="8"/>
      <c r="R697" s="8" t="s">
        <v>3166</v>
      </c>
    </row>
    <row r="698" spans="1:18" ht="26.15" customHeight="1">
      <c r="A698" s="7">
        <v>692</v>
      </c>
      <c r="B698" s="8" t="s">
        <v>3212</v>
      </c>
      <c r="C698" s="8" t="s">
        <v>3114</v>
      </c>
      <c r="D698" s="8" t="s">
        <v>3213</v>
      </c>
      <c r="E698" s="8" t="s">
        <v>3116</v>
      </c>
      <c r="F698" s="9" t="s">
        <v>3123</v>
      </c>
      <c r="G698" s="10">
        <v>43410</v>
      </c>
      <c r="H698" s="8" t="s">
        <v>25</v>
      </c>
      <c r="I698" s="11">
        <v>20000000</v>
      </c>
      <c r="J698" s="8" t="s">
        <v>228</v>
      </c>
      <c r="K698" s="8" t="s">
        <v>229</v>
      </c>
      <c r="L698" s="7">
        <v>2015</v>
      </c>
      <c r="M698" s="8" t="s">
        <v>233</v>
      </c>
      <c r="N698" s="11">
        <v>60000000</v>
      </c>
      <c r="O698" s="8" t="s">
        <v>234</v>
      </c>
      <c r="P698" s="8" t="s">
        <v>235</v>
      </c>
      <c r="Q698" s="8"/>
      <c r="R698" s="8" t="s">
        <v>3214</v>
      </c>
    </row>
    <row r="699" spans="1:18" ht="26.15" customHeight="1">
      <c r="A699" s="7">
        <v>693</v>
      </c>
      <c r="B699" s="8" t="s">
        <v>3140</v>
      </c>
      <c r="C699" s="8" t="s">
        <v>3139</v>
      </c>
      <c r="D699" s="8" t="s">
        <v>3141</v>
      </c>
      <c r="E699" s="8" t="s">
        <v>3116</v>
      </c>
      <c r="F699" s="9" t="s">
        <v>3123</v>
      </c>
      <c r="G699" s="10">
        <v>43410</v>
      </c>
      <c r="H699" s="8" t="s">
        <v>25</v>
      </c>
      <c r="I699" s="11">
        <v>20000000</v>
      </c>
      <c r="J699" s="8" t="s">
        <v>228</v>
      </c>
      <c r="K699" s="8" t="s">
        <v>229</v>
      </c>
      <c r="L699" s="7">
        <v>2015</v>
      </c>
      <c r="M699" s="8" t="s">
        <v>233</v>
      </c>
      <c r="N699" s="11">
        <v>60000000</v>
      </c>
      <c r="O699" s="8" t="s">
        <v>234</v>
      </c>
      <c r="P699" s="8" t="s">
        <v>235</v>
      </c>
      <c r="Q699" s="8"/>
      <c r="R699" s="8" t="s">
        <v>954</v>
      </c>
    </row>
    <row r="700" spans="1:18" ht="26.15" customHeight="1">
      <c r="A700" s="7">
        <v>694</v>
      </c>
      <c r="B700" s="8" t="s">
        <v>2122</v>
      </c>
      <c r="C700" s="8" t="s">
        <v>3127</v>
      </c>
      <c r="D700" s="8"/>
      <c r="E700" s="8" t="s">
        <v>3128</v>
      </c>
      <c r="F700" s="9" t="s">
        <v>3123</v>
      </c>
      <c r="G700" s="10">
        <v>43410</v>
      </c>
      <c r="H700" s="8" t="s">
        <v>25</v>
      </c>
      <c r="I700" s="11">
        <v>20000000</v>
      </c>
      <c r="J700" s="8" t="s">
        <v>228</v>
      </c>
      <c r="K700" s="8" t="s">
        <v>229</v>
      </c>
      <c r="L700" s="7">
        <v>2015</v>
      </c>
      <c r="M700" s="8" t="s">
        <v>233</v>
      </c>
      <c r="N700" s="11">
        <v>60000000</v>
      </c>
      <c r="O700" s="8" t="s">
        <v>234</v>
      </c>
      <c r="P700" s="8" t="s">
        <v>235</v>
      </c>
      <c r="Q700" s="8"/>
      <c r="R700" s="8"/>
    </row>
    <row r="701" spans="1:18" ht="26.15" customHeight="1">
      <c r="A701" s="7">
        <v>695</v>
      </c>
      <c r="B701" s="8" t="s">
        <v>231</v>
      </c>
      <c r="C701" s="8" t="s">
        <v>3127</v>
      </c>
      <c r="D701" s="8"/>
      <c r="E701" s="8" t="s">
        <v>3128</v>
      </c>
      <c r="F701" s="9" t="s">
        <v>3123</v>
      </c>
      <c r="G701" s="10">
        <v>43410</v>
      </c>
      <c r="H701" s="8" t="s">
        <v>25</v>
      </c>
      <c r="I701" s="11">
        <v>20000000</v>
      </c>
      <c r="J701" s="8" t="s">
        <v>228</v>
      </c>
      <c r="K701" s="8" t="s">
        <v>229</v>
      </c>
      <c r="L701" s="7">
        <v>2015</v>
      </c>
      <c r="M701" s="8" t="s">
        <v>233</v>
      </c>
      <c r="N701" s="11">
        <v>60000000</v>
      </c>
      <c r="O701" s="8" t="s">
        <v>234</v>
      </c>
      <c r="P701" s="8" t="s">
        <v>235</v>
      </c>
      <c r="Q701" s="8"/>
      <c r="R701" s="8"/>
    </row>
    <row r="702" spans="1:18" ht="26.15" customHeight="1">
      <c r="A702" s="7">
        <v>696</v>
      </c>
      <c r="B702" s="8" t="s">
        <v>3879</v>
      </c>
      <c r="C702" s="8" t="s">
        <v>3139</v>
      </c>
      <c r="D702" s="8" t="s">
        <v>3880</v>
      </c>
      <c r="E702" s="8" t="s">
        <v>3116</v>
      </c>
      <c r="F702" s="9" t="s">
        <v>3123</v>
      </c>
      <c r="G702" s="10">
        <v>43410</v>
      </c>
      <c r="H702" s="8" t="s">
        <v>25</v>
      </c>
      <c r="I702" s="11">
        <v>20000000</v>
      </c>
      <c r="J702" s="8" t="s">
        <v>228</v>
      </c>
      <c r="K702" s="8" t="s">
        <v>229</v>
      </c>
      <c r="L702" s="7">
        <v>2015</v>
      </c>
      <c r="M702" s="8" t="s">
        <v>233</v>
      </c>
      <c r="N702" s="11">
        <v>60000000</v>
      </c>
      <c r="O702" s="8" t="s">
        <v>234</v>
      </c>
      <c r="P702" s="8" t="s">
        <v>235</v>
      </c>
      <c r="Q702" s="8"/>
      <c r="R702" s="8" t="s">
        <v>3881</v>
      </c>
    </row>
    <row r="703" spans="1:18" ht="26.15" customHeight="1">
      <c r="A703" s="7">
        <v>697</v>
      </c>
      <c r="B703" s="8" t="s">
        <v>3601</v>
      </c>
      <c r="C703" s="8" t="s">
        <v>3114</v>
      </c>
      <c r="D703" s="8" t="s">
        <v>3602</v>
      </c>
      <c r="E703" s="8" t="s">
        <v>3116</v>
      </c>
      <c r="F703" s="9" t="s">
        <v>3123</v>
      </c>
      <c r="G703" s="10">
        <v>43410</v>
      </c>
      <c r="H703" s="8" t="s">
        <v>25</v>
      </c>
      <c r="I703" s="11">
        <v>20000000</v>
      </c>
      <c r="J703" s="8" t="s">
        <v>228</v>
      </c>
      <c r="K703" s="8" t="s">
        <v>229</v>
      </c>
      <c r="L703" s="7">
        <v>2015</v>
      </c>
      <c r="M703" s="8" t="s">
        <v>233</v>
      </c>
      <c r="N703" s="11">
        <v>60000000</v>
      </c>
      <c r="O703" s="8" t="s">
        <v>234</v>
      </c>
      <c r="P703" s="8" t="s">
        <v>235</v>
      </c>
      <c r="Q703" s="8"/>
      <c r="R703" s="8" t="s">
        <v>3138</v>
      </c>
    </row>
    <row r="704" spans="1:18" ht="26.15" customHeight="1">
      <c r="A704" s="7">
        <v>698</v>
      </c>
      <c r="B704" s="8" t="s">
        <v>3625</v>
      </c>
      <c r="C704" s="8" t="s">
        <v>3139</v>
      </c>
      <c r="D704" s="8" t="s">
        <v>3626</v>
      </c>
      <c r="E704" s="8" t="s">
        <v>3116</v>
      </c>
      <c r="F704" s="9" t="s">
        <v>3123</v>
      </c>
      <c r="G704" s="10">
        <v>43410</v>
      </c>
      <c r="H704" s="8" t="s">
        <v>25</v>
      </c>
      <c r="I704" s="11">
        <v>20000000</v>
      </c>
      <c r="J704" s="8" t="s">
        <v>228</v>
      </c>
      <c r="K704" s="8" t="s">
        <v>229</v>
      </c>
      <c r="L704" s="7">
        <v>2015</v>
      </c>
      <c r="M704" s="8" t="s">
        <v>233</v>
      </c>
      <c r="N704" s="11">
        <v>60000000</v>
      </c>
      <c r="O704" s="8" t="s">
        <v>234</v>
      </c>
      <c r="P704" s="8" t="s">
        <v>235</v>
      </c>
      <c r="Q704" s="8"/>
      <c r="R704" s="8" t="s">
        <v>3145</v>
      </c>
    </row>
    <row r="705" spans="1:18" ht="26.15" customHeight="1">
      <c r="A705" s="7">
        <v>699</v>
      </c>
      <c r="B705" s="8" t="s">
        <v>3215</v>
      </c>
      <c r="C705" s="8" t="s">
        <v>3114</v>
      </c>
      <c r="D705" s="8" t="s">
        <v>3216</v>
      </c>
      <c r="E705" s="8" t="s">
        <v>3116</v>
      </c>
      <c r="F705" s="9" t="s">
        <v>3123</v>
      </c>
      <c r="G705" s="10">
        <v>43410</v>
      </c>
      <c r="H705" s="8" t="s">
        <v>25</v>
      </c>
      <c r="I705" s="11">
        <v>20000000</v>
      </c>
      <c r="J705" s="8" t="s">
        <v>228</v>
      </c>
      <c r="K705" s="8" t="s">
        <v>229</v>
      </c>
      <c r="L705" s="7">
        <v>2015</v>
      </c>
      <c r="M705" s="8" t="s">
        <v>233</v>
      </c>
      <c r="N705" s="11">
        <v>60000000</v>
      </c>
      <c r="O705" s="8" t="s">
        <v>234</v>
      </c>
      <c r="P705" s="8" t="s">
        <v>235</v>
      </c>
      <c r="Q705" s="8"/>
      <c r="R705" s="8" t="s">
        <v>3217</v>
      </c>
    </row>
    <row r="706" spans="1:18" ht="26.15" customHeight="1">
      <c r="A706" s="7">
        <v>700</v>
      </c>
      <c r="B706" s="8" t="s">
        <v>1360</v>
      </c>
      <c r="C706" s="8" t="s">
        <v>3114</v>
      </c>
      <c r="D706" s="8" t="s">
        <v>3882</v>
      </c>
      <c r="E706" s="8" t="s">
        <v>3116</v>
      </c>
      <c r="F706" s="9" t="s">
        <v>3117</v>
      </c>
      <c r="G706" s="10">
        <v>43410</v>
      </c>
      <c r="H706" s="8" t="s">
        <v>25</v>
      </c>
      <c r="I706" s="11">
        <v>20000000</v>
      </c>
      <c r="J706" s="8" t="s">
        <v>228</v>
      </c>
      <c r="K706" s="8" t="s">
        <v>229</v>
      </c>
      <c r="L706" s="7">
        <v>2015</v>
      </c>
      <c r="M706" s="8" t="s">
        <v>233</v>
      </c>
      <c r="N706" s="11">
        <v>60000000</v>
      </c>
      <c r="O706" s="8" t="s">
        <v>234</v>
      </c>
      <c r="P706" s="8" t="s">
        <v>235</v>
      </c>
      <c r="Q706" s="8"/>
      <c r="R706" s="8" t="s">
        <v>3883</v>
      </c>
    </row>
    <row r="707" spans="1:18" ht="26.15" customHeight="1">
      <c r="A707" s="7">
        <v>701</v>
      </c>
      <c r="B707" s="8" t="s">
        <v>3218</v>
      </c>
      <c r="C707" s="8" t="s">
        <v>3114</v>
      </c>
      <c r="D707" s="8" t="s">
        <v>3219</v>
      </c>
      <c r="E707" s="8" t="s">
        <v>3116</v>
      </c>
      <c r="F707" s="9" t="s">
        <v>3123</v>
      </c>
      <c r="G707" s="10">
        <v>43410</v>
      </c>
      <c r="H707" s="8" t="s">
        <v>25</v>
      </c>
      <c r="I707" s="11">
        <v>20000000</v>
      </c>
      <c r="J707" s="8" t="s">
        <v>228</v>
      </c>
      <c r="K707" s="8" t="s">
        <v>229</v>
      </c>
      <c r="L707" s="7">
        <v>2015</v>
      </c>
      <c r="M707" s="8" t="s">
        <v>233</v>
      </c>
      <c r="N707" s="11">
        <v>60000000</v>
      </c>
      <c r="O707" s="8" t="s">
        <v>234</v>
      </c>
      <c r="P707" s="8" t="s">
        <v>235</v>
      </c>
      <c r="Q707" s="8"/>
      <c r="R707" s="8" t="s">
        <v>3220</v>
      </c>
    </row>
    <row r="708" spans="1:18" ht="26.15" customHeight="1">
      <c r="A708" s="7">
        <v>702</v>
      </c>
      <c r="B708" s="8" t="s">
        <v>1364</v>
      </c>
      <c r="C708" s="8" t="s">
        <v>3114</v>
      </c>
      <c r="D708" s="8" t="s">
        <v>3884</v>
      </c>
      <c r="E708" s="8" t="s">
        <v>3116</v>
      </c>
      <c r="F708" s="9" t="s">
        <v>3117</v>
      </c>
      <c r="G708" s="10">
        <v>43406</v>
      </c>
      <c r="H708" s="8" t="s">
        <v>34</v>
      </c>
      <c r="I708" s="11">
        <v>100000</v>
      </c>
      <c r="J708" s="8" t="s">
        <v>1361</v>
      </c>
      <c r="K708" s="8" t="s">
        <v>1362</v>
      </c>
      <c r="L708" s="7">
        <v>2018</v>
      </c>
      <c r="M708" s="8" t="s">
        <v>1285</v>
      </c>
      <c r="N708" s="11">
        <v>100000</v>
      </c>
      <c r="O708" s="8" t="s">
        <v>1365</v>
      </c>
      <c r="P708" s="8" t="s">
        <v>1366</v>
      </c>
      <c r="Q708" s="8"/>
      <c r="R708" s="8" t="s">
        <v>1285</v>
      </c>
    </row>
    <row r="709" spans="1:18" ht="26.15" customHeight="1">
      <c r="A709" s="7">
        <v>703</v>
      </c>
      <c r="B709" s="8" t="s">
        <v>1370</v>
      </c>
      <c r="C709" s="8" t="s">
        <v>3114</v>
      </c>
      <c r="D709" s="8" t="s">
        <v>3885</v>
      </c>
      <c r="E709" s="8" t="s">
        <v>3116</v>
      </c>
      <c r="F709" s="9" t="s">
        <v>3117</v>
      </c>
      <c r="G709" s="10">
        <v>43405</v>
      </c>
      <c r="H709" s="8" t="s">
        <v>34</v>
      </c>
      <c r="I709" s="11">
        <v>100000</v>
      </c>
      <c r="J709" s="8" t="s">
        <v>1367</v>
      </c>
      <c r="K709" s="8" t="s">
        <v>1368</v>
      </c>
      <c r="L709" s="7">
        <v>2018</v>
      </c>
      <c r="M709" s="8" t="s">
        <v>1285</v>
      </c>
      <c r="N709" s="11">
        <v>100000</v>
      </c>
      <c r="O709" s="8" t="s">
        <v>1371</v>
      </c>
      <c r="P709" s="8" t="s">
        <v>1372</v>
      </c>
      <c r="Q709" s="8"/>
      <c r="R709" s="8" t="s">
        <v>1285</v>
      </c>
    </row>
    <row r="710" spans="1:18" ht="26.15" customHeight="1">
      <c r="A710" s="7">
        <v>704</v>
      </c>
      <c r="B710" s="8" t="s">
        <v>1375</v>
      </c>
      <c r="C710" s="8" t="s">
        <v>3139</v>
      </c>
      <c r="D710" s="8" t="s">
        <v>1375</v>
      </c>
      <c r="E710" s="8" t="s">
        <v>3116</v>
      </c>
      <c r="F710" s="9" t="s">
        <v>3117</v>
      </c>
      <c r="G710" s="10">
        <v>43405</v>
      </c>
      <c r="H710" s="8" t="s">
        <v>34</v>
      </c>
      <c r="I710" s="11">
        <v>100000</v>
      </c>
      <c r="J710" s="8" t="s">
        <v>1373</v>
      </c>
      <c r="K710" s="8" t="s">
        <v>1374</v>
      </c>
      <c r="L710" s="7">
        <v>2016</v>
      </c>
      <c r="M710" s="8" t="s">
        <v>1376</v>
      </c>
      <c r="N710" s="11">
        <v>100000</v>
      </c>
      <c r="O710" s="8" t="s">
        <v>1365</v>
      </c>
      <c r="P710" s="8" t="s">
        <v>1377</v>
      </c>
      <c r="Q710" s="8"/>
      <c r="R710" s="8"/>
    </row>
    <row r="711" spans="1:18" ht="26.15" customHeight="1">
      <c r="A711" s="7">
        <v>705</v>
      </c>
      <c r="B711" s="8" t="s">
        <v>1091</v>
      </c>
      <c r="C711" s="8" t="s">
        <v>3139</v>
      </c>
      <c r="D711" s="8" t="s">
        <v>3237</v>
      </c>
      <c r="E711" s="8" t="s">
        <v>3116</v>
      </c>
      <c r="F711" s="9" t="s">
        <v>3117</v>
      </c>
      <c r="G711" s="10">
        <v>43405</v>
      </c>
      <c r="H711" s="8" t="s">
        <v>34</v>
      </c>
      <c r="I711" s="11">
        <v>243579</v>
      </c>
      <c r="J711" s="8" t="s">
        <v>391</v>
      </c>
      <c r="K711" s="8" t="s">
        <v>392</v>
      </c>
      <c r="L711" s="7">
        <v>2017</v>
      </c>
      <c r="M711" s="8" t="s">
        <v>395</v>
      </c>
      <c r="N711" s="11">
        <v>751549</v>
      </c>
      <c r="O711" s="8" t="s">
        <v>396</v>
      </c>
      <c r="P711" s="8" t="s">
        <v>397</v>
      </c>
      <c r="Q711" s="8"/>
      <c r="R711" s="8" t="s">
        <v>3138</v>
      </c>
    </row>
    <row r="712" spans="1:18" ht="26.15" customHeight="1">
      <c r="A712" s="7">
        <v>706</v>
      </c>
      <c r="B712" s="8" t="s">
        <v>3886</v>
      </c>
      <c r="C712" s="8" t="s">
        <v>3127</v>
      </c>
      <c r="D712" s="8"/>
      <c r="E712" s="8" t="s">
        <v>3128</v>
      </c>
      <c r="F712" s="9" t="s">
        <v>3123</v>
      </c>
      <c r="G712" s="10">
        <v>43405</v>
      </c>
      <c r="H712" s="8" t="s">
        <v>34</v>
      </c>
      <c r="I712" s="11">
        <v>243579</v>
      </c>
      <c r="J712" s="8" t="s">
        <v>391</v>
      </c>
      <c r="K712" s="8" t="s">
        <v>392</v>
      </c>
      <c r="L712" s="7">
        <v>2017</v>
      </c>
      <c r="M712" s="8" t="s">
        <v>395</v>
      </c>
      <c r="N712" s="11">
        <v>751549</v>
      </c>
      <c r="O712" s="8" t="s">
        <v>396</v>
      </c>
      <c r="P712" s="8" t="s">
        <v>397</v>
      </c>
      <c r="Q712" s="8"/>
      <c r="R712" s="8"/>
    </row>
    <row r="713" spans="1:18" ht="26.15" customHeight="1">
      <c r="A713" s="7">
        <v>707</v>
      </c>
      <c r="B713" s="8" t="s">
        <v>3374</v>
      </c>
      <c r="C713" s="8" t="s">
        <v>3114</v>
      </c>
      <c r="D713" s="8" t="s">
        <v>3375</v>
      </c>
      <c r="E713" s="8" t="s">
        <v>3116</v>
      </c>
      <c r="F713" s="9" t="s">
        <v>3123</v>
      </c>
      <c r="G713" s="10">
        <v>43405</v>
      </c>
      <c r="H713" s="8" t="s">
        <v>34</v>
      </c>
      <c r="I713" s="11">
        <v>243579</v>
      </c>
      <c r="J713" s="8" t="s">
        <v>391</v>
      </c>
      <c r="K713" s="8" t="s">
        <v>392</v>
      </c>
      <c r="L713" s="7">
        <v>2017</v>
      </c>
      <c r="M713" s="8" t="s">
        <v>395</v>
      </c>
      <c r="N713" s="11">
        <v>751549</v>
      </c>
      <c r="O713" s="8" t="s">
        <v>396</v>
      </c>
      <c r="P713" s="8" t="s">
        <v>397</v>
      </c>
      <c r="Q713" s="8"/>
      <c r="R713" s="8" t="s">
        <v>79</v>
      </c>
    </row>
    <row r="714" spans="1:18" ht="26.15" customHeight="1">
      <c r="A714" s="7">
        <v>708</v>
      </c>
      <c r="B714" s="8" t="s">
        <v>3383</v>
      </c>
      <c r="C714" s="8" t="s">
        <v>3127</v>
      </c>
      <c r="D714" s="8"/>
      <c r="E714" s="8" t="s">
        <v>3128</v>
      </c>
      <c r="F714" s="9" t="s">
        <v>3123</v>
      </c>
      <c r="G714" s="10">
        <v>43405</v>
      </c>
      <c r="H714" s="8" t="s">
        <v>34</v>
      </c>
      <c r="I714" s="11">
        <v>243579</v>
      </c>
      <c r="J714" s="8" t="s">
        <v>391</v>
      </c>
      <c r="K714" s="8" t="s">
        <v>392</v>
      </c>
      <c r="L714" s="7">
        <v>2017</v>
      </c>
      <c r="M714" s="8" t="s">
        <v>395</v>
      </c>
      <c r="N714" s="11">
        <v>751549</v>
      </c>
      <c r="O714" s="8" t="s">
        <v>396</v>
      </c>
      <c r="P714" s="8" t="s">
        <v>397</v>
      </c>
      <c r="Q714" s="8"/>
      <c r="R714" s="8"/>
    </row>
    <row r="715" spans="1:18" ht="26.15" customHeight="1">
      <c r="A715" s="7">
        <v>709</v>
      </c>
      <c r="B715" s="8" t="s">
        <v>3251</v>
      </c>
      <c r="C715" s="8" t="s">
        <v>3127</v>
      </c>
      <c r="D715" s="8"/>
      <c r="E715" s="8" t="s">
        <v>3128</v>
      </c>
      <c r="F715" s="9" t="s">
        <v>3123</v>
      </c>
      <c r="G715" s="10">
        <v>43405</v>
      </c>
      <c r="H715" s="8" t="s">
        <v>34</v>
      </c>
      <c r="I715" s="11">
        <v>243579</v>
      </c>
      <c r="J715" s="8" t="s">
        <v>391</v>
      </c>
      <c r="K715" s="8" t="s">
        <v>392</v>
      </c>
      <c r="L715" s="7">
        <v>2017</v>
      </c>
      <c r="M715" s="8" t="s">
        <v>395</v>
      </c>
      <c r="N715" s="11">
        <v>751549</v>
      </c>
      <c r="O715" s="8" t="s">
        <v>396</v>
      </c>
      <c r="P715" s="8" t="s">
        <v>397</v>
      </c>
      <c r="Q715" s="8"/>
      <c r="R715" s="8"/>
    </row>
    <row r="716" spans="1:18" ht="26.15" customHeight="1">
      <c r="A716" s="7">
        <v>710</v>
      </c>
      <c r="B716" s="8" t="s">
        <v>3887</v>
      </c>
      <c r="C716" s="8" t="s">
        <v>3127</v>
      </c>
      <c r="D716" s="8"/>
      <c r="E716" s="8" t="s">
        <v>3128</v>
      </c>
      <c r="F716" s="9" t="s">
        <v>3123</v>
      </c>
      <c r="G716" s="10">
        <v>43405</v>
      </c>
      <c r="H716" s="8" t="s">
        <v>34</v>
      </c>
      <c r="I716" s="11">
        <v>243579</v>
      </c>
      <c r="J716" s="8" t="s">
        <v>391</v>
      </c>
      <c r="K716" s="8" t="s">
        <v>392</v>
      </c>
      <c r="L716" s="7">
        <v>2017</v>
      </c>
      <c r="M716" s="8" t="s">
        <v>395</v>
      </c>
      <c r="N716" s="11">
        <v>751549</v>
      </c>
      <c r="O716" s="8" t="s">
        <v>396</v>
      </c>
      <c r="P716" s="8" t="s">
        <v>397</v>
      </c>
      <c r="Q716" s="8"/>
      <c r="R716" s="8"/>
    </row>
    <row r="717" spans="1:18" ht="26.15" customHeight="1">
      <c r="A717" s="7">
        <v>711</v>
      </c>
      <c r="B717" s="8" t="s">
        <v>3888</v>
      </c>
      <c r="C717" s="8" t="s">
        <v>3127</v>
      </c>
      <c r="D717" s="8"/>
      <c r="E717" s="8" t="s">
        <v>3128</v>
      </c>
      <c r="F717" s="9" t="s">
        <v>3123</v>
      </c>
      <c r="G717" s="10">
        <v>43405</v>
      </c>
      <c r="H717" s="8" t="s">
        <v>34</v>
      </c>
      <c r="I717" s="11">
        <v>243579</v>
      </c>
      <c r="J717" s="8" t="s">
        <v>391</v>
      </c>
      <c r="K717" s="8" t="s">
        <v>392</v>
      </c>
      <c r="L717" s="7">
        <v>2017</v>
      </c>
      <c r="M717" s="8" t="s">
        <v>395</v>
      </c>
      <c r="N717" s="11">
        <v>751549</v>
      </c>
      <c r="O717" s="8" t="s">
        <v>396</v>
      </c>
      <c r="P717" s="8" t="s">
        <v>397</v>
      </c>
      <c r="Q717" s="8"/>
      <c r="R717" s="8"/>
    </row>
    <row r="718" spans="1:18" ht="26.15" customHeight="1">
      <c r="A718" s="7">
        <v>712</v>
      </c>
      <c r="B718" s="8" t="s">
        <v>3889</v>
      </c>
      <c r="C718" s="8" t="s">
        <v>3127</v>
      </c>
      <c r="D718" s="8"/>
      <c r="E718" s="8" t="s">
        <v>3128</v>
      </c>
      <c r="F718" s="9" t="s">
        <v>3123</v>
      </c>
      <c r="G718" s="10">
        <v>43405</v>
      </c>
      <c r="H718" s="8" t="s">
        <v>34</v>
      </c>
      <c r="I718" s="11">
        <v>243579</v>
      </c>
      <c r="J718" s="8" t="s">
        <v>391</v>
      </c>
      <c r="K718" s="8" t="s">
        <v>392</v>
      </c>
      <c r="L718" s="7">
        <v>2017</v>
      </c>
      <c r="M718" s="8" t="s">
        <v>395</v>
      </c>
      <c r="N718" s="11">
        <v>751549</v>
      </c>
      <c r="O718" s="8" t="s">
        <v>396</v>
      </c>
      <c r="P718" s="8" t="s">
        <v>397</v>
      </c>
      <c r="Q718" s="8"/>
      <c r="R718" s="8"/>
    </row>
    <row r="719" spans="1:18" ht="26.15" customHeight="1">
      <c r="A719" s="7">
        <v>713</v>
      </c>
      <c r="B719" s="8" t="s">
        <v>3890</v>
      </c>
      <c r="C719" s="8" t="s">
        <v>3127</v>
      </c>
      <c r="D719" s="8"/>
      <c r="E719" s="8" t="s">
        <v>3128</v>
      </c>
      <c r="F719" s="9" t="s">
        <v>3123</v>
      </c>
      <c r="G719" s="10">
        <v>43405</v>
      </c>
      <c r="H719" s="8" t="s">
        <v>34</v>
      </c>
      <c r="I719" s="11">
        <v>243579</v>
      </c>
      <c r="J719" s="8" t="s">
        <v>391</v>
      </c>
      <c r="K719" s="8" t="s">
        <v>392</v>
      </c>
      <c r="L719" s="7">
        <v>2017</v>
      </c>
      <c r="M719" s="8" t="s">
        <v>395</v>
      </c>
      <c r="N719" s="11">
        <v>751549</v>
      </c>
      <c r="O719" s="8" t="s">
        <v>396</v>
      </c>
      <c r="P719" s="8" t="s">
        <v>397</v>
      </c>
      <c r="Q719" s="8"/>
      <c r="R719" s="8"/>
    </row>
    <row r="720" spans="1:18" ht="26.15" customHeight="1">
      <c r="A720" s="7">
        <v>714</v>
      </c>
      <c r="B720" s="8" t="s">
        <v>3891</v>
      </c>
      <c r="C720" s="8" t="s">
        <v>3127</v>
      </c>
      <c r="D720" s="8"/>
      <c r="E720" s="8" t="s">
        <v>3128</v>
      </c>
      <c r="F720" s="9" t="s">
        <v>3123</v>
      </c>
      <c r="G720" s="10">
        <v>43405</v>
      </c>
      <c r="H720" s="8" t="s">
        <v>34</v>
      </c>
      <c r="I720" s="11">
        <v>243579</v>
      </c>
      <c r="J720" s="8" t="s">
        <v>391</v>
      </c>
      <c r="K720" s="8" t="s">
        <v>392</v>
      </c>
      <c r="L720" s="7">
        <v>2017</v>
      </c>
      <c r="M720" s="8" t="s">
        <v>395</v>
      </c>
      <c r="N720" s="11">
        <v>751549</v>
      </c>
      <c r="O720" s="8" t="s">
        <v>396</v>
      </c>
      <c r="P720" s="8" t="s">
        <v>397</v>
      </c>
      <c r="Q720" s="8"/>
      <c r="R720" s="8"/>
    </row>
    <row r="721" spans="1:18" ht="26.15" customHeight="1">
      <c r="A721" s="7">
        <v>715</v>
      </c>
      <c r="B721" s="8" t="s">
        <v>3892</v>
      </c>
      <c r="C721" s="8" t="s">
        <v>3127</v>
      </c>
      <c r="D721" s="8"/>
      <c r="E721" s="8" t="s">
        <v>3128</v>
      </c>
      <c r="F721" s="9" t="s">
        <v>3123</v>
      </c>
      <c r="G721" s="10">
        <v>43405</v>
      </c>
      <c r="H721" s="8" t="s">
        <v>34</v>
      </c>
      <c r="I721" s="11">
        <v>243579</v>
      </c>
      <c r="J721" s="8" t="s">
        <v>391</v>
      </c>
      <c r="K721" s="8" t="s">
        <v>392</v>
      </c>
      <c r="L721" s="7">
        <v>2017</v>
      </c>
      <c r="M721" s="8" t="s">
        <v>395</v>
      </c>
      <c r="N721" s="11">
        <v>751549</v>
      </c>
      <c r="O721" s="8" t="s">
        <v>396</v>
      </c>
      <c r="P721" s="8" t="s">
        <v>397</v>
      </c>
      <c r="Q721" s="8"/>
      <c r="R721" s="8"/>
    </row>
    <row r="722" spans="1:18" ht="26.15" customHeight="1">
      <c r="A722" s="7">
        <v>716</v>
      </c>
      <c r="B722" s="8" t="s">
        <v>3893</v>
      </c>
      <c r="C722" s="8" t="s">
        <v>3127</v>
      </c>
      <c r="D722" s="8"/>
      <c r="E722" s="8" t="s">
        <v>3128</v>
      </c>
      <c r="F722" s="9" t="s">
        <v>3123</v>
      </c>
      <c r="G722" s="10">
        <v>43405</v>
      </c>
      <c r="H722" s="8" t="s">
        <v>34</v>
      </c>
      <c r="I722" s="11">
        <v>243579</v>
      </c>
      <c r="J722" s="8" t="s">
        <v>391</v>
      </c>
      <c r="K722" s="8" t="s">
        <v>392</v>
      </c>
      <c r="L722" s="7">
        <v>2017</v>
      </c>
      <c r="M722" s="8" t="s">
        <v>395</v>
      </c>
      <c r="N722" s="11">
        <v>751549</v>
      </c>
      <c r="O722" s="8" t="s">
        <v>396</v>
      </c>
      <c r="P722" s="8" t="s">
        <v>397</v>
      </c>
      <c r="Q722" s="8"/>
      <c r="R722" s="8"/>
    </row>
    <row r="723" spans="1:18" ht="26.15" customHeight="1">
      <c r="A723" s="7">
        <v>717</v>
      </c>
      <c r="B723" s="8" t="s">
        <v>3894</v>
      </c>
      <c r="C723" s="8" t="s">
        <v>3127</v>
      </c>
      <c r="D723" s="8"/>
      <c r="E723" s="8" t="s">
        <v>3128</v>
      </c>
      <c r="F723" s="9" t="s">
        <v>3123</v>
      </c>
      <c r="G723" s="10">
        <v>43405</v>
      </c>
      <c r="H723" s="8" t="s">
        <v>34</v>
      </c>
      <c r="I723" s="11">
        <v>243579</v>
      </c>
      <c r="J723" s="8" t="s">
        <v>391</v>
      </c>
      <c r="K723" s="8" t="s">
        <v>392</v>
      </c>
      <c r="L723" s="7">
        <v>2017</v>
      </c>
      <c r="M723" s="8" t="s">
        <v>395</v>
      </c>
      <c r="N723" s="11">
        <v>751549</v>
      </c>
      <c r="O723" s="8" t="s">
        <v>396</v>
      </c>
      <c r="P723" s="8" t="s">
        <v>397</v>
      </c>
      <c r="Q723" s="8"/>
      <c r="R723" s="8"/>
    </row>
    <row r="724" spans="1:18" ht="26.15" customHeight="1">
      <c r="A724" s="7">
        <v>718</v>
      </c>
      <c r="B724" s="8" t="s">
        <v>3895</v>
      </c>
      <c r="C724" s="8" t="s">
        <v>3127</v>
      </c>
      <c r="D724" s="8"/>
      <c r="E724" s="8" t="s">
        <v>3128</v>
      </c>
      <c r="F724" s="9" t="s">
        <v>3123</v>
      </c>
      <c r="G724" s="10">
        <v>43405</v>
      </c>
      <c r="H724" s="8" t="s">
        <v>34</v>
      </c>
      <c r="I724" s="11">
        <v>243579</v>
      </c>
      <c r="J724" s="8" t="s">
        <v>391</v>
      </c>
      <c r="K724" s="8" t="s">
        <v>392</v>
      </c>
      <c r="L724" s="7">
        <v>2017</v>
      </c>
      <c r="M724" s="8" t="s">
        <v>395</v>
      </c>
      <c r="N724" s="11">
        <v>751549</v>
      </c>
      <c r="O724" s="8" t="s">
        <v>396</v>
      </c>
      <c r="P724" s="8" t="s">
        <v>397</v>
      </c>
      <c r="Q724" s="8"/>
      <c r="R724" s="8"/>
    </row>
    <row r="725" spans="1:18" ht="26.15" customHeight="1">
      <c r="A725" s="7">
        <v>719</v>
      </c>
      <c r="B725" s="8" t="s">
        <v>3896</v>
      </c>
      <c r="C725" s="8" t="s">
        <v>3127</v>
      </c>
      <c r="D725" s="8"/>
      <c r="E725" s="8" t="s">
        <v>3128</v>
      </c>
      <c r="F725" s="9" t="s">
        <v>3123</v>
      </c>
      <c r="G725" s="10">
        <v>43405</v>
      </c>
      <c r="H725" s="8" t="s">
        <v>34</v>
      </c>
      <c r="I725" s="11">
        <v>243579</v>
      </c>
      <c r="J725" s="8" t="s">
        <v>391</v>
      </c>
      <c r="K725" s="8" t="s">
        <v>392</v>
      </c>
      <c r="L725" s="7">
        <v>2017</v>
      </c>
      <c r="M725" s="8" t="s">
        <v>395</v>
      </c>
      <c r="N725" s="11">
        <v>751549</v>
      </c>
      <c r="O725" s="8" t="s">
        <v>396</v>
      </c>
      <c r="P725" s="8" t="s">
        <v>397</v>
      </c>
      <c r="Q725" s="8"/>
      <c r="R725" s="8"/>
    </row>
    <row r="726" spans="1:18" ht="26.15" customHeight="1">
      <c r="A726" s="7">
        <v>720</v>
      </c>
      <c r="B726" s="8" t="s">
        <v>3897</v>
      </c>
      <c r="C726" s="8" t="s">
        <v>3127</v>
      </c>
      <c r="D726" s="8"/>
      <c r="E726" s="8" t="s">
        <v>3128</v>
      </c>
      <c r="F726" s="9" t="s">
        <v>3123</v>
      </c>
      <c r="G726" s="10">
        <v>43405</v>
      </c>
      <c r="H726" s="8" t="s">
        <v>34</v>
      </c>
      <c r="I726" s="11">
        <v>243579</v>
      </c>
      <c r="J726" s="8" t="s">
        <v>391</v>
      </c>
      <c r="K726" s="8" t="s">
        <v>392</v>
      </c>
      <c r="L726" s="7">
        <v>2017</v>
      </c>
      <c r="M726" s="8" t="s">
        <v>395</v>
      </c>
      <c r="N726" s="11">
        <v>751549</v>
      </c>
      <c r="O726" s="8" t="s">
        <v>396</v>
      </c>
      <c r="P726" s="8" t="s">
        <v>397</v>
      </c>
      <c r="Q726" s="8"/>
      <c r="R726" s="8"/>
    </row>
    <row r="727" spans="1:18" ht="26.15" customHeight="1">
      <c r="A727" s="7">
        <v>721</v>
      </c>
      <c r="B727" s="8" t="s">
        <v>3898</v>
      </c>
      <c r="C727" s="8" t="s">
        <v>3127</v>
      </c>
      <c r="D727" s="8"/>
      <c r="E727" s="8" t="s">
        <v>3128</v>
      </c>
      <c r="F727" s="9" t="s">
        <v>3123</v>
      </c>
      <c r="G727" s="10">
        <v>43405</v>
      </c>
      <c r="H727" s="8" t="s">
        <v>34</v>
      </c>
      <c r="I727" s="11">
        <v>243579</v>
      </c>
      <c r="J727" s="8" t="s">
        <v>391</v>
      </c>
      <c r="K727" s="8" t="s">
        <v>392</v>
      </c>
      <c r="L727" s="7">
        <v>2017</v>
      </c>
      <c r="M727" s="8" t="s">
        <v>395</v>
      </c>
      <c r="N727" s="11">
        <v>751549</v>
      </c>
      <c r="O727" s="8" t="s">
        <v>396</v>
      </c>
      <c r="P727" s="8" t="s">
        <v>397</v>
      </c>
      <c r="Q727" s="8"/>
      <c r="R727" s="8"/>
    </row>
    <row r="728" spans="1:18" ht="26.15" customHeight="1">
      <c r="A728" s="7">
        <v>722</v>
      </c>
      <c r="B728" s="8" t="s">
        <v>3379</v>
      </c>
      <c r="C728" s="8" t="s">
        <v>3127</v>
      </c>
      <c r="D728" s="8"/>
      <c r="E728" s="8" t="s">
        <v>3128</v>
      </c>
      <c r="F728" s="9" t="s">
        <v>3123</v>
      </c>
      <c r="G728" s="10">
        <v>43405</v>
      </c>
      <c r="H728" s="8" t="s">
        <v>34</v>
      </c>
      <c r="I728" s="11">
        <v>243579</v>
      </c>
      <c r="J728" s="8" t="s">
        <v>391</v>
      </c>
      <c r="K728" s="8" t="s">
        <v>392</v>
      </c>
      <c r="L728" s="7">
        <v>2017</v>
      </c>
      <c r="M728" s="8" t="s">
        <v>395</v>
      </c>
      <c r="N728" s="11">
        <v>751549</v>
      </c>
      <c r="O728" s="8" t="s">
        <v>396</v>
      </c>
      <c r="P728" s="8" t="s">
        <v>397</v>
      </c>
      <c r="Q728" s="8"/>
      <c r="R728" s="8"/>
    </row>
    <row r="729" spans="1:18" ht="26.15" customHeight="1">
      <c r="A729" s="7">
        <v>723</v>
      </c>
      <c r="B729" s="8" t="s">
        <v>1908</v>
      </c>
      <c r="C729" s="8" t="s">
        <v>3127</v>
      </c>
      <c r="D729" s="8"/>
      <c r="E729" s="8" t="s">
        <v>3128</v>
      </c>
      <c r="F729" s="9" t="s">
        <v>3123</v>
      </c>
      <c r="G729" s="10">
        <v>43405</v>
      </c>
      <c r="H729" s="8" t="s">
        <v>34</v>
      </c>
      <c r="I729" s="11">
        <v>243579</v>
      </c>
      <c r="J729" s="8" t="s">
        <v>391</v>
      </c>
      <c r="K729" s="8" t="s">
        <v>392</v>
      </c>
      <c r="L729" s="7">
        <v>2017</v>
      </c>
      <c r="M729" s="8" t="s">
        <v>395</v>
      </c>
      <c r="N729" s="11">
        <v>751549</v>
      </c>
      <c r="O729" s="8" t="s">
        <v>396</v>
      </c>
      <c r="P729" s="8" t="s">
        <v>397</v>
      </c>
      <c r="Q729" s="8"/>
      <c r="R729" s="8"/>
    </row>
    <row r="730" spans="1:18" ht="26.15" customHeight="1">
      <c r="A730" s="7">
        <v>724</v>
      </c>
      <c r="B730" s="8" t="s">
        <v>3378</v>
      </c>
      <c r="C730" s="8" t="s">
        <v>3127</v>
      </c>
      <c r="D730" s="8"/>
      <c r="E730" s="8" t="s">
        <v>3128</v>
      </c>
      <c r="F730" s="9" t="s">
        <v>3123</v>
      </c>
      <c r="G730" s="10">
        <v>43405</v>
      </c>
      <c r="H730" s="8" t="s">
        <v>34</v>
      </c>
      <c r="I730" s="11">
        <v>243579</v>
      </c>
      <c r="J730" s="8" t="s">
        <v>391</v>
      </c>
      <c r="K730" s="8" t="s">
        <v>392</v>
      </c>
      <c r="L730" s="7">
        <v>2017</v>
      </c>
      <c r="M730" s="8" t="s">
        <v>395</v>
      </c>
      <c r="N730" s="11">
        <v>751549</v>
      </c>
      <c r="O730" s="8" t="s">
        <v>396</v>
      </c>
      <c r="P730" s="8" t="s">
        <v>397</v>
      </c>
      <c r="Q730" s="8"/>
      <c r="R730" s="8"/>
    </row>
    <row r="731" spans="1:18" ht="26.15" customHeight="1">
      <c r="A731" s="7">
        <v>725</v>
      </c>
      <c r="B731" s="8" t="s">
        <v>3899</v>
      </c>
      <c r="C731" s="8" t="s">
        <v>3127</v>
      </c>
      <c r="D731" s="8"/>
      <c r="E731" s="8" t="s">
        <v>3128</v>
      </c>
      <c r="F731" s="9" t="s">
        <v>3123</v>
      </c>
      <c r="G731" s="10">
        <v>43405</v>
      </c>
      <c r="H731" s="8" t="s">
        <v>34</v>
      </c>
      <c r="I731" s="11">
        <v>243579</v>
      </c>
      <c r="J731" s="8" t="s">
        <v>391</v>
      </c>
      <c r="K731" s="8" t="s">
        <v>392</v>
      </c>
      <c r="L731" s="7">
        <v>2017</v>
      </c>
      <c r="M731" s="8" t="s">
        <v>395</v>
      </c>
      <c r="N731" s="11">
        <v>751549</v>
      </c>
      <c r="O731" s="8" t="s">
        <v>396</v>
      </c>
      <c r="P731" s="8" t="s">
        <v>397</v>
      </c>
      <c r="Q731" s="8"/>
      <c r="R731" s="8"/>
    </row>
    <row r="732" spans="1:18" ht="26.15" customHeight="1">
      <c r="A732" s="7">
        <v>726</v>
      </c>
      <c r="B732" s="8" t="s">
        <v>3900</v>
      </c>
      <c r="C732" s="8" t="s">
        <v>3127</v>
      </c>
      <c r="D732" s="8"/>
      <c r="E732" s="8" t="s">
        <v>3128</v>
      </c>
      <c r="F732" s="9" t="s">
        <v>3123</v>
      </c>
      <c r="G732" s="10">
        <v>43405</v>
      </c>
      <c r="H732" s="8" t="s">
        <v>34</v>
      </c>
      <c r="I732" s="11">
        <v>243579</v>
      </c>
      <c r="J732" s="8" t="s">
        <v>391</v>
      </c>
      <c r="K732" s="8" t="s">
        <v>392</v>
      </c>
      <c r="L732" s="7">
        <v>2017</v>
      </c>
      <c r="M732" s="8" t="s">
        <v>395</v>
      </c>
      <c r="N732" s="11">
        <v>751549</v>
      </c>
      <c r="O732" s="8" t="s">
        <v>396</v>
      </c>
      <c r="P732" s="8" t="s">
        <v>397</v>
      </c>
      <c r="Q732" s="8"/>
      <c r="R732" s="8"/>
    </row>
    <row r="733" spans="1:18" ht="26.15" customHeight="1">
      <c r="A733" s="7">
        <v>727</v>
      </c>
      <c r="B733" s="8" t="s">
        <v>3376</v>
      </c>
      <c r="C733" s="8" t="s">
        <v>3127</v>
      </c>
      <c r="D733" s="8"/>
      <c r="E733" s="8" t="s">
        <v>3128</v>
      </c>
      <c r="F733" s="9" t="s">
        <v>3117</v>
      </c>
      <c r="G733" s="10">
        <v>43405</v>
      </c>
      <c r="H733" s="8" t="s">
        <v>34</v>
      </c>
      <c r="I733" s="11">
        <v>243579</v>
      </c>
      <c r="J733" s="8" t="s">
        <v>391</v>
      </c>
      <c r="K733" s="8" t="s">
        <v>392</v>
      </c>
      <c r="L733" s="7">
        <v>2017</v>
      </c>
      <c r="M733" s="8" t="s">
        <v>395</v>
      </c>
      <c r="N733" s="11">
        <v>751549</v>
      </c>
      <c r="O733" s="8" t="s">
        <v>396</v>
      </c>
      <c r="P733" s="8" t="s">
        <v>397</v>
      </c>
      <c r="Q733" s="8"/>
      <c r="R733" s="8"/>
    </row>
    <row r="734" spans="1:18" ht="26.15" customHeight="1">
      <c r="A734" s="7">
        <v>728</v>
      </c>
      <c r="B734" s="8" t="s">
        <v>3377</v>
      </c>
      <c r="C734" s="8" t="s">
        <v>3127</v>
      </c>
      <c r="D734" s="8"/>
      <c r="E734" s="8" t="s">
        <v>3128</v>
      </c>
      <c r="F734" s="9" t="s">
        <v>3123</v>
      </c>
      <c r="G734" s="10">
        <v>43405</v>
      </c>
      <c r="H734" s="8" t="s">
        <v>34</v>
      </c>
      <c r="I734" s="11">
        <v>243579</v>
      </c>
      <c r="J734" s="8" t="s">
        <v>391</v>
      </c>
      <c r="K734" s="8" t="s">
        <v>392</v>
      </c>
      <c r="L734" s="7">
        <v>2017</v>
      </c>
      <c r="M734" s="8" t="s">
        <v>395</v>
      </c>
      <c r="N734" s="11">
        <v>751549</v>
      </c>
      <c r="O734" s="8" t="s">
        <v>396</v>
      </c>
      <c r="P734" s="8" t="s">
        <v>397</v>
      </c>
      <c r="Q734" s="8"/>
      <c r="R734" s="8"/>
    </row>
    <row r="735" spans="1:18" ht="26.15" customHeight="1">
      <c r="A735" s="7">
        <v>729</v>
      </c>
      <c r="B735" s="8" t="s">
        <v>3901</v>
      </c>
      <c r="C735" s="8" t="s">
        <v>3114</v>
      </c>
      <c r="D735" s="8" t="s">
        <v>3902</v>
      </c>
      <c r="E735" s="8" t="s">
        <v>3116</v>
      </c>
      <c r="F735" s="9" t="s">
        <v>3123</v>
      </c>
      <c r="G735" s="10">
        <v>43403</v>
      </c>
      <c r="H735" s="8" t="s">
        <v>184</v>
      </c>
      <c r="I735" s="11">
        <v>1090000</v>
      </c>
      <c r="J735" s="8" t="s">
        <v>385</v>
      </c>
      <c r="K735" s="8" t="s">
        <v>386</v>
      </c>
      <c r="L735" s="7">
        <v>2016</v>
      </c>
      <c r="M735" s="8" t="s">
        <v>39</v>
      </c>
      <c r="N735" s="11">
        <v>14260613</v>
      </c>
      <c r="O735" s="8" t="s">
        <v>389</v>
      </c>
      <c r="P735" s="8" t="s">
        <v>390</v>
      </c>
      <c r="Q735" s="8"/>
      <c r="R735" s="8" t="s">
        <v>3632</v>
      </c>
    </row>
    <row r="736" spans="1:18" ht="26.15" customHeight="1">
      <c r="A736" s="7">
        <v>730</v>
      </c>
      <c r="B736" s="8" t="s">
        <v>3901</v>
      </c>
      <c r="C736" s="8" t="s">
        <v>3114</v>
      </c>
      <c r="D736" s="8" t="s">
        <v>3902</v>
      </c>
      <c r="E736" s="8" t="s">
        <v>3116</v>
      </c>
      <c r="F736" s="9" t="s">
        <v>3123</v>
      </c>
      <c r="G736" s="10">
        <v>43403</v>
      </c>
      <c r="H736" s="8" t="s">
        <v>184</v>
      </c>
      <c r="I736" s="11">
        <v>692000</v>
      </c>
      <c r="J736" s="8" t="s">
        <v>963</v>
      </c>
      <c r="K736" s="8" t="s">
        <v>964</v>
      </c>
      <c r="L736" s="7">
        <v>2003</v>
      </c>
      <c r="M736" s="8" t="s">
        <v>966</v>
      </c>
      <c r="N736" s="11"/>
      <c r="O736" s="8" t="s">
        <v>967</v>
      </c>
      <c r="P736" s="8" t="s">
        <v>968</v>
      </c>
      <c r="Q736" s="8"/>
      <c r="R736" s="8" t="s">
        <v>3632</v>
      </c>
    </row>
    <row r="737" spans="1:18" ht="26.15" customHeight="1">
      <c r="A737" s="7">
        <v>731</v>
      </c>
      <c r="B737" s="8" t="s">
        <v>3903</v>
      </c>
      <c r="C737" s="8" t="s">
        <v>3114</v>
      </c>
      <c r="D737" s="8" t="s">
        <v>3904</v>
      </c>
      <c r="E737" s="8" t="s">
        <v>3116</v>
      </c>
      <c r="F737" s="9" t="s">
        <v>3123</v>
      </c>
      <c r="G737" s="10">
        <v>43389</v>
      </c>
      <c r="H737" s="8" t="s">
        <v>289</v>
      </c>
      <c r="I737" s="11">
        <v>1500000</v>
      </c>
      <c r="J737" s="8" t="s">
        <v>266</v>
      </c>
      <c r="K737" s="8" t="s">
        <v>267</v>
      </c>
      <c r="L737" s="7">
        <v>2008</v>
      </c>
      <c r="M737" s="8" t="s">
        <v>270</v>
      </c>
      <c r="N737" s="11">
        <v>14000000</v>
      </c>
      <c r="O737" s="8" t="s">
        <v>271</v>
      </c>
      <c r="P737" s="8" t="s">
        <v>272</v>
      </c>
      <c r="Q737" s="8"/>
      <c r="R737" s="8" t="s">
        <v>3905</v>
      </c>
    </row>
    <row r="738" spans="1:18" ht="26.15" customHeight="1">
      <c r="A738" s="7">
        <v>732</v>
      </c>
      <c r="B738" s="8" t="s">
        <v>1395</v>
      </c>
      <c r="C738" s="8" t="s">
        <v>3114</v>
      </c>
      <c r="D738" s="8" t="s">
        <v>3906</v>
      </c>
      <c r="E738" s="8" t="s">
        <v>3116</v>
      </c>
      <c r="F738" s="9" t="s">
        <v>3117</v>
      </c>
      <c r="G738" s="10">
        <v>43389</v>
      </c>
      <c r="H738" s="8" t="s">
        <v>34</v>
      </c>
      <c r="I738" s="11">
        <v>75000</v>
      </c>
      <c r="J738" s="8" t="s">
        <v>1392</v>
      </c>
      <c r="K738" s="8" t="s">
        <v>1393</v>
      </c>
      <c r="L738" s="7">
        <v>2015</v>
      </c>
      <c r="M738" s="8" t="s">
        <v>1396</v>
      </c>
      <c r="N738" s="11">
        <v>75000</v>
      </c>
      <c r="O738" s="8" t="s">
        <v>1397</v>
      </c>
      <c r="P738" s="8" t="s">
        <v>1398</v>
      </c>
      <c r="Q738" s="8"/>
      <c r="R738" s="8" t="s">
        <v>3425</v>
      </c>
    </row>
    <row r="739" spans="1:18" ht="26.15" customHeight="1">
      <c r="A739" s="7">
        <v>733</v>
      </c>
      <c r="B739" s="8" t="s">
        <v>1400</v>
      </c>
      <c r="C739" s="8" t="s">
        <v>3139</v>
      </c>
      <c r="D739" s="8" t="s">
        <v>3907</v>
      </c>
      <c r="E739" s="8" t="s">
        <v>3116</v>
      </c>
      <c r="F739" s="9" t="s">
        <v>3117</v>
      </c>
      <c r="G739" s="10">
        <v>43389</v>
      </c>
      <c r="H739" s="8" t="s">
        <v>109</v>
      </c>
      <c r="I739" s="11">
        <v>216721</v>
      </c>
      <c r="J739" s="8" t="s">
        <v>622</v>
      </c>
      <c r="K739" s="8" t="s">
        <v>623</v>
      </c>
      <c r="L739" s="7">
        <v>2011</v>
      </c>
      <c r="M739" s="8" t="s">
        <v>79</v>
      </c>
      <c r="N739" s="11">
        <v>3574388</v>
      </c>
      <c r="O739" s="8" t="s">
        <v>625</v>
      </c>
      <c r="P739" s="8" t="s">
        <v>626</v>
      </c>
      <c r="Q739" s="8"/>
      <c r="R739" s="8" t="s">
        <v>79</v>
      </c>
    </row>
    <row r="740" spans="1:18" ht="26.15" customHeight="1">
      <c r="A740" s="7">
        <v>734</v>
      </c>
      <c r="B740" s="8" t="s">
        <v>3908</v>
      </c>
      <c r="C740" s="8" t="s">
        <v>3139</v>
      </c>
      <c r="D740" s="8" t="s">
        <v>3909</v>
      </c>
      <c r="E740" s="8" t="s">
        <v>3116</v>
      </c>
      <c r="F740" s="9" t="s">
        <v>3123</v>
      </c>
      <c r="G740" s="10">
        <v>43389</v>
      </c>
      <c r="H740" s="8" t="s">
        <v>34</v>
      </c>
      <c r="I740" s="11">
        <v>176086</v>
      </c>
      <c r="J740" s="8" t="s">
        <v>146</v>
      </c>
      <c r="K740" s="8" t="s">
        <v>147</v>
      </c>
      <c r="L740" s="7">
        <v>2015</v>
      </c>
      <c r="M740" s="8" t="s">
        <v>150</v>
      </c>
      <c r="N740" s="11">
        <v>883280</v>
      </c>
      <c r="O740" s="8" t="s">
        <v>151</v>
      </c>
      <c r="P740" s="8" t="s">
        <v>152</v>
      </c>
      <c r="Q740" s="8"/>
      <c r="R740" s="8" t="s">
        <v>3910</v>
      </c>
    </row>
    <row r="741" spans="1:18" ht="26.15" customHeight="1">
      <c r="A741" s="7">
        <v>735</v>
      </c>
      <c r="B741" s="8" t="s">
        <v>3911</v>
      </c>
      <c r="C741" s="8" t="s">
        <v>3127</v>
      </c>
      <c r="D741" s="8"/>
      <c r="E741" s="8" t="s">
        <v>3128</v>
      </c>
      <c r="F741" s="9" t="s">
        <v>3117</v>
      </c>
      <c r="G741" s="10">
        <v>43389</v>
      </c>
      <c r="H741" s="8" t="s">
        <v>34</v>
      </c>
      <c r="I741" s="11">
        <v>176086</v>
      </c>
      <c r="J741" s="8" t="s">
        <v>146</v>
      </c>
      <c r="K741" s="8" t="s">
        <v>147</v>
      </c>
      <c r="L741" s="7">
        <v>2015</v>
      </c>
      <c r="M741" s="8" t="s">
        <v>150</v>
      </c>
      <c r="N741" s="11">
        <v>883280</v>
      </c>
      <c r="O741" s="8" t="s">
        <v>151</v>
      </c>
      <c r="P741" s="8" t="s">
        <v>152</v>
      </c>
      <c r="Q741" s="8"/>
      <c r="R741" s="8"/>
    </row>
    <row r="742" spans="1:18" ht="26.15" customHeight="1">
      <c r="A742" s="7">
        <v>736</v>
      </c>
      <c r="B742" s="8" t="s">
        <v>3912</v>
      </c>
      <c r="C742" s="8" t="s">
        <v>3127</v>
      </c>
      <c r="D742" s="8"/>
      <c r="E742" s="8" t="s">
        <v>3128</v>
      </c>
      <c r="F742" s="9" t="s">
        <v>3117</v>
      </c>
      <c r="G742" s="10">
        <v>43389</v>
      </c>
      <c r="H742" s="8" t="s">
        <v>34</v>
      </c>
      <c r="I742" s="11">
        <v>176086</v>
      </c>
      <c r="J742" s="8" t="s">
        <v>146</v>
      </c>
      <c r="K742" s="8" t="s">
        <v>147</v>
      </c>
      <c r="L742" s="7">
        <v>2015</v>
      </c>
      <c r="M742" s="8" t="s">
        <v>150</v>
      </c>
      <c r="N742" s="11">
        <v>883280</v>
      </c>
      <c r="O742" s="8" t="s">
        <v>151</v>
      </c>
      <c r="P742" s="8" t="s">
        <v>152</v>
      </c>
      <c r="Q742" s="8"/>
      <c r="R742" s="8"/>
    </row>
    <row r="743" spans="1:18" ht="26.15" customHeight="1">
      <c r="A743" s="7">
        <v>737</v>
      </c>
      <c r="B743" s="8" t="s">
        <v>3913</v>
      </c>
      <c r="C743" s="8" t="s">
        <v>3127</v>
      </c>
      <c r="D743" s="8"/>
      <c r="E743" s="8" t="s">
        <v>3128</v>
      </c>
      <c r="F743" s="9" t="s">
        <v>3117</v>
      </c>
      <c r="G743" s="10">
        <v>43389</v>
      </c>
      <c r="H743" s="8" t="s">
        <v>34</v>
      </c>
      <c r="I743" s="11">
        <v>176086</v>
      </c>
      <c r="J743" s="8" t="s">
        <v>146</v>
      </c>
      <c r="K743" s="8" t="s">
        <v>147</v>
      </c>
      <c r="L743" s="7">
        <v>2015</v>
      </c>
      <c r="M743" s="8" t="s">
        <v>150</v>
      </c>
      <c r="N743" s="11">
        <v>883280</v>
      </c>
      <c r="O743" s="8" t="s">
        <v>151</v>
      </c>
      <c r="P743" s="8" t="s">
        <v>152</v>
      </c>
      <c r="Q743" s="8"/>
      <c r="R743" s="8"/>
    </row>
    <row r="744" spans="1:18" ht="26.15" customHeight="1">
      <c r="A744" s="7">
        <v>738</v>
      </c>
      <c r="B744" s="8" t="s">
        <v>3914</v>
      </c>
      <c r="C744" s="8" t="s">
        <v>3127</v>
      </c>
      <c r="D744" s="8"/>
      <c r="E744" s="8" t="s">
        <v>3128</v>
      </c>
      <c r="F744" s="9" t="s">
        <v>3117</v>
      </c>
      <c r="G744" s="10">
        <v>43389</v>
      </c>
      <c r="H744" s="8" t="s">
        <v>34</v>
      </c>
      <c r="I744" s="11">
        <v>176086</v>
      </c>
      <c r="J744" s="8" t="s">
        <v>146</v>
      </c>
      <c r="K744" s="8" t="s">
        <v>147</v>
      </c>
      <c r="L744" s="7">
        <v>2015</v>
      </c>
      <c r="M744" s="8" t="s">
        <v>150</v>
      </c>
      <c r="N744" s="11">
        <v>883280</v>
      </c>
      <c r="O744" s="8" t="s">
        <v>151</v>
      </c>
      <c r="P744" s="8" t="s">
        <v>152</v>
      </c>
      <c r="Q744" s="8"/>
      <c r="R744" s="8"/>
    </row>
    <row r="745" spans="1:18" ht="26.15" customHeight="1">
      <c r="A745" s="7">
        <v>739</v>
      </c>
      <c r="B745" s="8" t="s">
        <v>3915</v>
      </c>
      <c r="C745" s="8" t="s">
        <v>3127</v>
      </c>
      <c r="D745" s="8"/>
      <c r="E745" s="8" t="s">
        <v>3128</v>
      </c>
      <c r="F745" s="9" t="s">
        <v>3117</v>
      </c>
      <c r="G745" s="10">
        <v>43389</v>
      </c>
      <c r="H745" s="8" t="s">
        <v>34</v>
      </c>
      <c r="I745" s="11">
        <v>176086</v>
      </c>
      <c r="J745" s="8" t="s">
        <v>146</v>
      </c>
      <c r="K745" s="8" t="s">
        <v>147</v>
      </c>
      <c r="L745" s="7">
        <v>2015</v>
      </c>
      <c r="M745" s="8" t="s">
        <v>150</v>
      </c>
      <c r="N745" s="11">
        <v>883280</v>
      </c>
      <c r="O745" s="8" t="s">
        <v>151</v>
      </c>
      <c r="P745" s="8" t="s">
        <v>152</v>
      </c>
      <c r="Q745" s="8"/>
      <c r="R745" s="8"/>
    </row>
    <row r="746" spans="1:18" ht="26.15" customHeight="1">
      <c r="A746" s="7">
        <v>740</v>
      </c>
      <c r="B746" s="8" t="s">
        <v>3916</v>
      </c>
      <c r="C746" s="8" t="s">
        <v>3127</v>
      </c>
      <c r="D746" s="8"/>
      <c r="E746" s="8" t="s">
        <v>3128</v>
      </c>
      <c r="F746" s="9" t="s">
        <v>3117</v>
      </c>
      <c r="G746" s="10">
        <v>43389</v>
      </c>
      <c r="H746" s="8" t="s">
        <v>34</v>
      </c>
      <c r="I746" s="11">
        <v>176086</v>
      </c>
      <c r="J746" s="8" t="s">
        <v>146</v>
      </c>
      <c r="K746" s="8" t="s">
        <v>147</v>
      </c>
      <c r="L746" s="7">
        <v>2015</v>
      </c>
      <c r="M746" s="8" t="s">
        <v>150</v>
      </c>
      <c r="N746" s="11">
        <v>883280</v>
      </c>
      <c r="O746" s="8" t="s">
        <v>151</v>
      </c>
      <c r="P746" s="8" t="s">
        <v>152</v>
      </c>
      <c r="Q746" s="8"/>
      <c r="R746" s="8"/>
    </row>
    <row r="747" spans="1:18" ht="26.15" customHeight="1">
      <c r="A747" s="7">
        <v>741</v>
      </c>
      <c r="B747" s="8" t="s">
        <v>3917</v>
      </c>
      <c r="C747" s="8" t="s">
        <v>3127</v>
      </c>
      <c r="D747" s="8"/>
      <c r="E747" s="8" t="s">
        <v>3128</v>
      </c>
      <c r="F747" s="9" t="s">
        <v>3117</v>
      </c>
      <c r="G747" s="10">
        <v>43389</v>
      </c>
      <c r="H747" s="8" t="s">
        <v>34</v>
      </c>
      <c r="I747" s="11">
        <v>176086</v>
      </c>
      <c r="J747" s="8" t="s">
        <v>146</v>
      </c>
      <c r="K747" s="8" t="s">
        <v>147</v>
      </c>
      <c r="L747" s="7">
        <v>2015</v>
      </c>
      <c r="M747" s="8" t="s">
        <v>150</v>
      </c>
      <c r="N747" s="11">
        <v>883280</v>
      </c>
      <c r="O747" s="8" t="s">
        <v>151</v>
      </c>
      <c r="P747" s="8" t="s">
        <v>152</v>
      </c>
      <c r="Q747" s="8"/>
      <c r="R747" s="8"/>
    </row>
    <row r="748" spans="1:18" ht="26.15" customHeight="1">
      <c r="A748" s="7">
        <v>742</v>
      </c>
      <c r="B748" s="8" t="s">
        <v>3918</v>
      </c>
      <c r="C748" s="8" t="s">
        <v>3127</v>
      </c>
      <c r="D748" s="8"/>
      <c r="E748" s="8" t="s">
        <v>3128</v>
      </c>
      <c r="F748" s="9" t="s">
        <v>3117</v>
      </c>
      <c r="G748" s="10">
        <v>43389</v>
      </c>
      <c r="H748" s="8" t="s">
        <v>34</v>
      </c>
      <c r="I748" s="11">
        <v>176086</v>
      </c>
      <c r="J748" s="8" t="s">
        <v>146</v>
      </c>
      <c r="K748" s="8" t="s">
        <v>147</v>
      </c>
      <c r="L748" s="7">
        <v>2015</v>
      </c>
      <c r="M748" s="8" t="s">
        <v>150</v>
      </c>
      <c r="N748" s="11">
        <v>883280</v>
      </c>
      <c r="O748" s="8" t="s">
        <v>151</v>
      </c>
      <c r="P748" s="8" t="s">
        <v>152</v>
      </c>
      <c r="Q748" s="8"/>
      <c r="R748" s="8"/>
    </row>
    <row r="749" spans="1:18" ht="26.15" customHeight="1">
      <c r="A749" s="7">
        <v>743</v>
      </c>
      <c r="B749" s="8" t="s">
        <v>3919</v>
      </c>
      <c r="C749" s="8" t="s">
        <v>3127</v>
      </c>
      <c r="D749" s="8"/>
      <c r="E749" s="8" t="s">
        <v>3128</v>
      </c>
      <c r="F749" s="9" t="s">
        <v>3117</v>
      </c>
      <c r="G749" s="10">
        <v>43389</v>
      </c>
      <c r="H749" s="8" t="s">
        <v>34</v>
      </c>
      <c r="I749" s="11">
        <v>176086</v>
      </c>
      <c r="J749" s="8" t="s">
        <v>146</v>
      </c>
      <c r="K749" s="8" t="s">
        <v>147</v>
      </c>
      <c r="L749" s="7">
        <v>2015</v>
      </c>
      <c r="M749" s="8" t="s">
        <v>150</v>
      </c>
      <c r="N749" s="11">
        <v>883280</v>
      </c>
      <c r="O749" s="8" t="s">
        <v>151</v>
      </c>
      <c r="P749" s="8" t="s">
        <v>152</v>
      </c>
      <c r="Q749" s="8"/>
      <c r="R749" s="8"/>
    </row>
    <row r="750" spans="1:18" ht="26.15" customHeight="1">
      <c r="A750" s="7">
        <v>744</v>
      </c>
      <c r="B750" s="8" t="s">
        <v>3920</v>
      </c>
      <c r="C750" s="8" t="s">
        <v>3127</v>
      </c>
      <c r="D750" s="8"/>
      <c r="E750" s="8" t="s">
        <v>3128</v>
      </c>
      <c r="F750" s="9" t="s">
        <v>3117</v>
      </c>
      <c r="G750" s="10">
        <v>43389</v>
      </c>
      <c r="H750" s="8" t="s">
        <v>34</v>
      </c>
      <c r="I750" s="11">
        <v>176086</v>
      </c>
      <c r="J750" s="8" t="s">
        <v>146</v>
      </c>
      <c r="K750" s="8" t="s">
        <v>147</v>
      </c>
      <c r="L750" s="7">
        <v>2015</v>
      </c>
      <c r="M750" s="8" t="s">
        <v>150</v>
      </c>
      <c r="N750" s="11">
        <v>883280</v>
      </c>
      <c r="O750" s="8" t="s">
        <v>151</v>
      </c>
      <c r="P750" s="8" t="s">
        <v>152</v>
      </c>
      <c r="Q750" s="8"/>
      <c r="R750" s="8"/>
    </row>
    <row r="751" spans="1:18" ht="26.15" customHeight="1">
      <c r="A751" s="7">
        <v>745</v>
      </c>
      <c r="B751" s="8" t="s">
        <v>3921</v>
      </c>
      <c r="C751" s="8" t="s">
        <v>3127</v>
      </c>
      <c r="D751" s="8"/>
      <c r="E751" s="8" t="s">
        <v>3128</v>
      </c>
      <c r="F751" s="9" t="s">
        <v>3117</v>
      </c>
      <c r="G751" s="10">
        <v>43389</v>
      </c>
      <c r="H751" s="8" t="s">
        <v>34</v>
      </c>
      <c r="I751" s="11">
        <v>176086</v>
      </c>
      <c r="J751" s="8" t="s">
        <v>146</v>
      </c>
      <c r="K751" s="8" t="s">
        <v>147</v>
      </c>
      <c r="L751" s="7">
        <v>2015</v>
      </c>
      <c r="M751" s="8" t="s">
        <v>150</v>
      </c>
      <c r="N751" s="11">
        <v>883280</v>
      </c>
      <c r="O751" s="8" t="s">
        <v>151</v>
      </c>
      <c r="P751" s="8" t="s">
        <v>152</v>
      </c>
      <c r="Q751" s="8"/>
      <c r="R751" s="8"/>
    </row>
    <row r="752" spans="1:18" ht="26.15" customHeight="1">
      <c r="A752" s="7">
        <v>746</v>
      </c>
      <c r="B752" s="8" t="s">
        <v>3922</v>
      </c>
      <c r="C752" s="8" t="s">
        <v>3127</v>
      </c>
      <c r="D752" s="8"/>
      <c r="E752" s="8" t="s">
        <v>3128</v>
      </c>
      <c r="F752" s="9" t="s">
        <v>3117</v>
      </c>
      <c r="G752" s="10">
        <v>43389</v>
      </c>
      <c r="H752" s="8" t="s">
        <v>34</v>
      </c>
      <c r="I752" s="11">
        <v>176086</v>
      </c>
      <c r="J752" s="8" t="s">
        <v>146</v>
      </c>
      <c r="K752" s="8" t="s">
        <v>147</v>
      </c>
      <c r="L752" s="7">
        <v>2015</v>
      </c>
      <c r="M752" s="8" t="s">
        <v>150</v>
      </c>
      <c r="N752" s="11">
        <v>883280</v>
      </c>
      <c r="O752" s="8" t="s">
        <v>151</v>
      </c>
      <c r="P752" s="8" t="s">
        <v>152</v>
      </c>
      <c r="Q752" s="8"/>
      <c r="R752" s="8"/>
    </row>
    <row r="753" spans="1:18" ht="26.15" customHeight="1">
      <c r="A753" s="7">
        <v>747</v>
      </c>
      <c r="B753" s="8" t="s">
        <v>3923</v>
      </c>
      <c r="C753" s="8" t="s">
        <v>3127</v>
      </c>
      <c r="D753" s="8"/>
      <c r="E753" s="8" t="s">
        <v>3128</v>
      </c>
      <c r="F753" s="9" t="s">
        <v>3117</v>
      </c>
      <c r="G753" s="10">
        <v>43389</v>
      </c>
      <c r="H753" s="8" t="s">
        <v>34</v>
      </c>
      <c r="I753" s="11">
        <v>176086</v>
      </c>
      <c r="J753" s="8" t="s">
        <v>146</v>
      </c>
      <c r="K753" s="8" t="s">
        <v>147</v>
      </c>
      <c r="L753" s="7">
        <v>2015</v>
      </c>
      <c r="M753" s="8" t="s">
        <v>150</v>
      </c>
      <c r="N753" s="11">
        <v>883280</v>
      </c>
      <c r="O753" s="8" t="s">
        <v>151</v>
      </c>
      <c r="P753" s="8" t="s">
        <v>152</v>
      </c>
      <c r="Q753" s="8"/>
      <c r="R753" s="8"/>
    </row>
    <row r="754" spans="1:18" ht="26.15" customHeight="1">
      <c r="A754" s="7">
        <v>748</v>
      </c>
      <c r="B754" s="8" t="s">
        <v>3924</v>
      </c>
      <c r="C754" s="8" t="s">
        <v>3127</v>
      </c>
      <c r="D754" s="8"/>
      <c r="E754" s="8" t="s">
        <v>3128</v>
      </c>
      <c r="F754" s="9" t="s">
        <v>3117</v>
      </c>
      <c r="G754" s="10">
        <v>43389</v>
      </c>
      <c r="H754" s="8" t="s">
        <v>34</v>
      </c>
      <c r="I754" s="11">
        <v>176086</v>
      </c>
      <c r="J754" s="8" t="s">
        <v>146</v>
      </c>
      <c r="K754" s="8" t="s">
        <v>147</v>
      </c>
      <c r="L754" s="7">
        <v>2015</v>
      </c>
      <c r="M754" s="8" t="s">
        <v>150</v>
      </c>
      <c r="N754" s="11">
        <v>883280</v>
      </c>
      <c r="O754" s="8" t="s">
        <v>151</v>
      </c>
      <c r="P754" s="8" t="s">
        <v>152</v>
      </c>
      <c r="Q754" s="8"/>
      <c r="R754" s="8"/>
    </row>
    <row r="755" spans="1:18" ht="26.15" customHeight="1">
      <c r="A755" s="7">
        <v>749</v>
      </c>
      <c r="B755" s="8" t="s">
        <v>3925</v>
      </c>
      <c r="C755" s="8" t="s">
        <v>3127</v>
      </c>
      <c r="D755" s="8"/>
      <c r="E755" s="8" t="s">
        <v>3128</v>
      </c>
      <c r="F755" s="9" t="s">
        <v>3117</v>
      </c>
      <c r="G755" s="10">
        <v>43389</v>
      </c>
      <c r="H755" s="8" t="s">
        <v>34</v>
      </c>
      <c r="I755" s="11">
        <v>176086</v>
      </c>
      <c r="J755" s="8" t="s">
        <v>146</v>
      </c>
      <c r="K755" s="8" t="s">
        <v>147</v>
      </c>
      <c r="L755" s="7">
        <v>2015</v>
      </c>
      <c r="M755" s="8" t="s">
        <v>150</v>
      </c>
      <c r="N755" s="11">
        <v>883280</v>
      </c>
      <c r="O755" s="8" t="s">
        <v>151</v>
      </c>
      <c r="P755" s="8" t="s">
        <v>152</v>
      </c>
      <c r="Q755" s="8"/>
      <c r="R755" s="8"/>
    </row>
    <row r="756" spans="1:18" ht="26.15" customHeight="1">
      <c r="A756" s="7">
        <v>750</v>
      </c>
      <c r="B756" s="8" t="s">
        <v>3926</v>
      </c>
      <c r="C756" s="8" t="s">
        <v>3127</v>
      </c>
      <c r="D756" s="8"/>
      <c r="E756" s="8" t="s">
        <v>3128</v>
      </c>
      <c r="F756" s="9" t="s">
        <v>3117</v>
      </c>
      <c r="G756" s="10">
        <v>43389</v>
      </c>
      <c r="H756" s="8" t="s">
        <v>34</v>
      </c>
      <c r="I756" s="11">
        <v>176086</v>
      </c>
      <c r="J756" s="8" t="s">
        <v>146</v>
      </c>
      <c r="K756" s="8" t="s">
        <v>147</v>
      </c>
      <c r="L756" s="7">
        <v>2015</v>
      </c>
      <c r="M756" s="8" t="s">
        <v>150</v>
      </c>
      <c r="N756" s="11">
        <v>883280</v>
      </c>
      <c r="O756" s="8" t="s">
        <v>151</v>
      </c>
      <c r="P756" s="8" t="s">
        <v>152</v>
      </c>
      <c r="Q756" s="8"/>
      <c r="R756" s="8"/>
    </row>
    <row r="757" spans="1:18" ht="26.15" customHeight="1">
      <c r="A757" s="7">
        <v>751</v>
      </c>
      <c r="B757" s="8" t="s">
        <v>3927</v>
      </c>
      <c r="C757" s="8" t="s">
        <v>3127</v>
      </c>
      <c r="D757" s="8"/>
      <c r="E757" s="8" t="s">
        <v>3128</v>
      </c>
      <c r="F757" s="9" t="s">
        <v>3117</v>
      </c>
      <c r="G757" s="10">
        <v>43389</v>
      </c>
      <c r="H757" s="8" t="s">
        <v>34</v>
      </c>
      <c r="I757" s="11">
        <v>176086</v>
      </c>
      <c r="J757" s="8" t="s">
        <v>146</v>
      </c>
      <c r="K757" s="8" t="s">
        <v>147</v>
      </c>
      <c r="L757" s="7">
        <v>2015</v>
      </c>
      <c r="M757" s="8" t="s">
        <v>150</v>
      </c>
      <c r="N757" s="11">
        <v>883280</v>
      </c>
      <c r="O757" s="8" t="s">
        <v>151</v>
      </c>
      <c r="P757" s="8" t="s">
        <v>152</v>
      </c>
      <c r="Q757" s="8"/>
      <c r="R757" s="8"/>
    </row>
    <row r="758" spans="1:18" ht="26.15" customHeight="1">
      <c r="A758" s="7">
        <v>752</v>
      </c>
      <c r="B758" s="8" t="s">
        <v>3928</v>
      </c>
      <c r="C758" s="8" t="s">
        <v>3127</v>
      </c>
      <c r="D758" s="8"/>
      <c r="E758" s="8" t="s">
        <v>3128</v>
      </c>
      <c r="F758" s="9" t="s">
        <v>3117</v>
      </c>
      <c r="G758" s="10">
        <v>43389</v>
      </c>
      <c r="H758" s="8" t="s">
        <v>34</v>
      </c>
      <c r="I758" s="11">
        <v>176086</v>
      </c>
      <c r="J758" s="8" t="s">
        <v>146</v>
      </c>
      <c r="K758" s="8" t="s">
        <v>147</v>
      </c>
      <c r="L758" s="7">
        <v>2015</v>
      </c>
      <c r="M758" s="8" t="s">
        <v>150</v>
      </c>
      <c r="N758" s="11">
        <v>883280</v>
      </c>
      <c r="O758" s="8" t="s">
        <v>151</v>
      </c>
      <c r="P758" s="8" t="s">
        <v>152</v>
      </c>
      <c r="Q758" s="8"/>
      <c r="R758" s="8"/>
    </row>
    <row r="759" spans="1:18" ht="26.15" customHeight="1">
      <c r="A759" s="7">
        <v>753</v>
      </c>
      <c r="B759" s="8" t="s">
        <v>3929</v>
      </c>
      <c r="C759" s="8" t="s">
        <v>3114</v>
      </c>
      <c r="D759" s="8" t="s">
        <v>3930</v>
      </c>
      <c r="E759" s="8" t="s">
        <v>3116</v>
      </c>
      <c r="F759" s="9" t="s">
        <v>3123</v>
      </c>
      <c r="G759" s="10">
        <v>43389</v>
      </c>
      <c r="H759" s="8" t="s">
        <v>34</v>
      </c>
      <c r="I759" s="11">
        <v>176086</v>
      </c>
      <c r="J759" s="8" t="s">
        <v>146</v>
      </c>
      <c r="K759" s="8" t="s">
        <v>147</v>
      </c>
      <c r="L759" s="7">
        <v>2015</v>
      </c>
      <c r="M759" s="8" t="s">
        <v>150</v>
      </c>
      <c r="N759" s="11">
        <v>883280</v>
      </c>
      <c r="O759" s="8" t="s">
        <v>151</v>
      </c>
      <c r="P759" s="8" t="s">
        <v>152</v>
      </c>
      <c r="Q759" s="8"/>
      <c r="R759" s="8" t="s">
        <v>313</v>
      </c>
    </row>
    <row r="760" spans="1:18" ht="26.15" customHeight="1">
      <c r="A760" s="7">
        <v>754</v>
      </c>
      <c r="B760" s="8" t="s">
        <v>3931</v>
      </c>
      <c r="C760" s="8" t="s">
        <v>3127</v>
      </c>
      <c r="D760" s="8"/>
      <c r="E760" s="8" t="s">
        <v>3128</v>
      </c>
      <c r="F760" s="9" t="s">
        <v>3117</v>
      </c>
      <c r="G760" s="10">
        <v>43389</v>
      </c>
      <c r="H760" s="8" t="s">
        <v>34</v>
      </c>
      <c r="I760" s="11">
        <v>176086</v>
      </c>
      <c r="J760" s="8" t="s">
        <v>146</v>
      </c>
      <c r="K760" s="8" t="s">
        <v>147</v>
      </c>
      <c r="L760" s="7">
        <v>2015</v>
      </c>
      <c r="M760" s="8" t="s">
        <v>150</v>
      </c>
      <c r="N760" s="11">
        <v>883280</v>
      </c>
      <c r="O760" s="8" t="s">
        <v>151</v>
      </c>
      <c r="P760" s="8" t="s">
        <v>152</v>
      </c>
      <c r="Q760" s="8"/>
      <c r="R760" s="8"/>
    </row>
    <row r="761" spans="1:18" ht="26.15" customHeight="1">
      <c r="A761" s="7">
        <v>755</v>
      </c>
      <c r="B761" s="8" t="s">
        <v>3932</v>
      </c>
      <c r="C761" s="8" t="s">
        <v>3127</v>
      </c>
      <c r="D761" s="8"/>
      <c r="E761" s="8" t="s">
        <v>3128</v>
      </c>
      <c r="F761" s="9" t="s">
        <v>3123</v>
      </c>
      <c r="G761" s="10">
        <v>43389</v>
      </c>
      <c r="H761" s="8" t="s">
        <v>34</v>
      </c>
      <c r="I761" s="11">
        <v>176086</v>
      </c>
      <c r="J761" s="8" t="s">
        <v>146</v>
      </c>
      <c r="K761" s="8" t="s">
        <v>147</v>
      </c>
      <c r="L761" s="7">
        <v>2015</v>
      </c>
      <c r="M761" s="8" t="s">
        <v>150</v>
      </c>
      <c r="N761" s="11">
        <v>883280</v>
      </c>
      <c r="O761" s="8" t="s">
        <v>151</v>
      </c>
      <c r="P761" s="8" t="s">
        <v>152</v>
      </c>
      <c r="Q761" s="8"/>
      <c r="R761" s="8"/>
    </row>
    <row r="762" spans="1:18" ht="26.15" customHeight="1">
      <c r="A762" s="7">
        <v>756</v>
      </c>
      <c r="B762" s="8" t="s">
        <v>3933</v>
      </c>
      <c r="C762" s="8" t="s">
        <v>3127</v>
      </c>
      <c r="D762" s="8"/>
      <c r="E762" s="8" t="s">
        <v>3128</v>
      </c>
      <c r="F762" s="9" t="s">
        <v>3123</v>
      </c>
      <c r="G762" s="10">
        <v>43389</v>
      </c>
      <c r="H762" s="8" t="s">
        <v>34</v>
      </c>
      <c r="I762" s="11">
        <v>176086</v>
      </c>
      <c r="J762" s="8" t="s">
        <v>146</v>
      </c>
      <c r="K762" s="8" t="s">
        <v>147</v>
      </c>
      <c r="L762" s="7">
        <v>2015</v>
      </c>
      <c r="M762" s="8" t="s">
        <v>150</v>
      </c>
      <c r="N762" s="11">
        <v>883280</v>
      </c>
      <c r="O762" s="8" t="s">
        <v>151</v>
      </c>
      <c r="P762" s="8" t="s">
        <v>152</v>
      </c>
      <c r="Q762" s="8"/>
      <c r="R762" s="8"/>
    </row>
    <row r="763" spans="1:18" ht="26.15" customHeight="1">
      <c r="A763" s="7">
        <v>757</v>
      </c>
      <c r="B763" s="8" t="s">
        <v>3934</v>
      </c>
      <c r="C763" s="8" t="s">
        <v>3127</v>
      </c>
      <c r="D763" s="8"/>
      <c r="E763" s="8" t="s">
        <v>3128</v>
      </c>
      <c r="F763" s="9" t="s">
        <v>3123</v>
      </c>
      <c r="G763" s="10">
        <v>43389</v>
      </c>
      <c r="H763" s="8" t="s">
        <v>34</v>
      </c>
      <c r="I763" s="11">
        <v>176086</v>
      </c>
      <c r="J763" s="8" t="s">
        <v>146</v>
      </c>
      <c r="K763" s="8" t="s">
        <v>147</v>
      </c>
      <c r="L763" s="7">
        <v>2015</v>
      </c>
      <c r="M763" s="8" t="s">
        <v>150</v>
      </c>
      <c r="N763" s="11">
        <v>883280</v>
      </c>
      <c r="O763" s="8" t="s">
        <v>151</v>
      </c>
      <c r="P763" s="8" t="s">
        <v>152</v>
      </c>
      <c r="Q763" s="8"/>
      <c r="R763" s="8"/>
    </row>
    <row r="764" spans="1:18" ht="26.15" customHeight="1">
      <c r="A764" s="7">
        <v>758</v>
      </c>
      <c r="B764" s="8" t="s">
        <v>3935</v>
      </c>
      <c r="C764" s="8" t="s">
        <v>3127</v>
      </c>
      <c r="D764" s="8"/>
      <c r="E764" s="8" t="s">
        <v>3128</v>
      </c>
      <c r="F764" s="9" t="s">
        <v>3123</v>
      </c>
      <c r="G764" s="10">
        <v>43389</v>
      </c>
      <c r="H764" s="8" t="s">
        <v>34</v>
      </c>
      <c r="I764" s="11">
        <v>176086</v>
      </c>
      <c r="J764" s="8" t="s">
        <v>146</v>
      </c>
      <c r="K764" s="8" t="s">
        <v>147</v>
      </c>
      <c r="L764" s="7">
        <v>2015</v>
      </c>
      <c r="M764" s="8" t="s">
        <v>150</v>
      </c>
      <c r="N764" s="11">
        <v>883280</v>
      </c>
      <c r="O764" s="8" t="s">
        <v>151</v>
      </c>
      <c r="P764" s="8" t="s">
        <v>152</v>
      </c>
      <c r="Q764" s="8"/>
      <c r="R764" s="8"/>
    </row>
    <row r="765" spans="1:18" ht="26.15" customHeight="1">
      <c r="A765" s="7">
        <v>759</v>
      </c>
      <c r="B765" s="8" t="s">
        <v>3936</v>
      </c>
      <c r="C765" s="8" t="s">
        <v>3127</v>
      </c>
      <c r="D765" s="8"/>
      <c r="E765" s="8" t="s">
        <v>3128</v>
      </c>
      <c r="F765" s="9" t="s">
        <v>3123</v>
      </c>
      <c r="G765" s="10">
        <v>43389</v>
      </c>
      <c r="H765" s="8" t="s">
        <v>34</v>
      </c>
      <c r="I765" s="11">
        <v>176086</v>
      </c>
      <c r="J765" s="8" t="s">
        <v>146</v>
      </c>
      <c r="K765" s="8" t="s">
        <v>147</v>
      </c>
      <c r="L765" s="7">
        <v>2015</v>
      </c>
      <c r="M765" s="8" t="s">
        <v>150</v>
      </c>
      <c r="N765" s="11">
        <v>883280</v>
      </c>
      <c r="O765" s="8" t="s">
        <v>151</v>
      </c>
      <c r="P765" s="8" t="s">
        <v>152</v>
      </c>
      <c r="Q765" s="8"/>
      <c r="R765" s="8"/>
    </row>
    <row r="766" spans="1:18" ht="26.15" customHeight="1">
      <c r="A766" s="7">
        <v>760</v>
      </c>
      <c r="B766" s="8" t="s">
        <v>3937</v>
      </c>
      <c r="C766" s="8" t="s">
        <v>3127</v>
      </c>
      <c r="D766" s="8"/>
      <c r="E766" s="8" t="s">
        <v>3128</v>
      </c>
      <c r="F766" s="9" t="s">
        <v>3117</v>
      </c>
      <c r="G766" s="10">
        <v>43389</v>
      </c>
      <c r="H766" s="8" t="s">
        <v>34</v>
      </c>
      <c r="I766" s="11">
        <v>176086</v>
      </c>
      <c r="J766" s="8" t="s">
        <v>146</v>
      </c>
      <c r="K766" s="8" t="s">
        <v>147</v>
      </c>
      <c r="L766" s="7">
        <v>2015</v>
      </c>
      <c r="M766" s="8" t="s">
        <v>150</v>
      </c>
      <c r="N766" s="11">
        <v>883280</v>
      </c>
      <c r="O766" s="8" t="s">
        <v>151</v>
      </c>
      <c r="P766" s="8" t="s">
        <v>152</v>
      </c>
      <c r="Q766" s="8"/>
      <c r="R766" s="8"/>
    </row>
    <row r="767" spans="1:18" ht="26.15" customHeight="1">
      <c r="A767" s="7">
        <v>761</v>
      </c>
      <c r="B767" s="8" t="s">
        <v>3938</v>
      </c>
      <c r="C767" s="8" t="s">
        <v>3127</v>
      </c>
      <c r="D767" s="8"/>
      <c r="E767" s="8" t="s">
        <v>3128</v>
      </c>
      <c r="F767" s="9" t="s">
        <v>3123</v>
      </c>
      <c r="G767" s="10">
        <v>43389</v>
      </c>
      <c r="H767" s="8" t="s">
        <v>34</v>
      </c>
      <c r="I767" s="11">
        <v>176086</v>
      </c>
      <c r="J767" s="8" t="s">
        <v>146</v>
      </c>
      <c r="K767" s="8" t="s">
        <v>147</v>
      </c>
      <c r="L767" s="7">
        <v>2015</v>
      </c>
      <c r="M767" s="8" t="s">
        <v>150</v>
      </c>
      <c r="N767" s="11">
        <v>883280</v>
      </c>
      <c r="O767" s="8" t="s">
        <v>151</v>
      </c>
      <c r="P767" s="8" t="s">
        <v>152</v>
      </c>
      <c r="Q767" s="8"/>
      <c r="R767" s="8"/>
    </row>
    <row r="768" spans="1:18" ht="26.15" customHeight="1">
      <c r="A768" s="7">
        <v>762</v>
      </c>
      <c r="B768" s="8" t="s">
        <v>3939</v>
      </c>
      <c r="C768" s="8" t="s">
        <v>3127</v>
      </c>
      <c r="D768" s="8"/>
      <c r="E768" s="8" t="s">
        <v>3128</v>
      </c>
      <c r="F768" s="9" t="s">
        <v>3123</v>
      </c>
      <c r="G768" s="10">
        <v>43389</v>
      </c>
      <c r="H768" s="8" t="s">
        <v>34</v>
      </c>
      <c r="I768" s="11">
        <v>176086</v>
      </c>
      <c r="J768" s="8" t="s">
        <v>146</v>
      </c>
      <c r="K768" s="8" t="s">
        <v>147</v>
      </c>
      <c r="L768" s="7">
        <v>2015</v>
      </c>
      <c r="M768" s="8" t="s">
        <v>150</v>
      </c>
      <c r="N768" s="11">
        <v>883280</v>
      </c>
      <c r="O768" s="8" t="s">
        <v>151</v>
      </c>
      <c r="P768" s="8" t="s">
        <v>152</v>
      </c>
      <c r="Q768" s="8"/>
      <c r="R768" s="8"/>
    </row>
    <row r="769" spans="1:18" ht="26.15" customHeight="1">
      <c r="A769" s="7">
        <v>763</v>
      </c>
      <c r="B769" s="8" t="s">
        <v>3940</v>
      </c>
      <c r="C769" s="8" t="s">
        <v>3127</v>
      </c>
      <c r="D769" s="8"/>
      <c r="E769" s="8" t="s">
        <v>3128</v>
      </c>
      <c r="F769" s="9" t="s">
        <v>3123</v>
      </c>
      <c r="G769" s="10">
        <v>43389</v>
      </c>
      <c r="H769" s="8" t="s">
        <v>34</v>
      </c>
      <c r="I769" s="11">
        <v>176086</v>
      </c>
      <c r="J769" s="8" t="s">
        <v>146</v>
      </c>
      <c r="K769" s="8" t="s">
        <v>147</v>
      </c>
      <c r="L769" s="7">
        <v>2015</v>
      </c>
      <c r="M769" s="8" t="s">
        <v>150</v>
      </c>
      <c r="N769" s="11">
        <v>883280</v>
      </c>
      <c r="O769" s="8" t="s">
        <v>151</v>
      </c>
      <c r="P769" s="8" t="s">
        <v>152</v>
      </c>
      <c r="Q769" s="8"/>
      <c r="R769" s="8"/>
    </row>
    <row r="770" spans="1:18" ht="26.15" customHeight="1">
      <c r="A770" s="7">
        <v>764</v>
      </c>
      <c r="B770" s="8" t="s">
        <v>3941</v>
      </c>
      <c r="C770" s="8" t="s">
        <v>3127</v>
      </c>
      <c r="D770" s="8"/>
      <c r="E770" s="8" t="s">
        <v>3128</v>
      </c>
      <c r="F770" s="9" t="s">
        <v>3123</v>
      </c>
      <c r="G770" s="10">
        <v>43389</v>
      </c>
      <c r="H770" s="8" t="s">
        <v>34</v>
      </c>
      <c r="I770" s="11">
        <v>176086</v>
      </c>
      <c r="J770" s="8" t="s">
        <v>146</v>
      </c>
      <c r="K770" s="8" t="s">
        <v>147</v>
      </c>
      <c r="L770" s="7">
        <v>2015</v>
      </c>
      <c r="M770" s="8" t="s">
        <v>150</v>
      </c>
      <c r="N770" s="11">
        <v>883280</v>
      </c>
      <c r="O770" s="8" t="s">
        <v>151</v>
      </c>
      <c r="P770" s="8" t="s">
        <v>152</v>
      </c>
      <c r="Q770" s="8"/>
      <c r="R770" s="8"/>
    </row>
    <row r="771" spans="1:18" ht="26.15" customHeight="1">
      <c r="A771" s="7">
        <v>765</v>
      </c>
      <c r="B771" s="8" t="s">
        <v>3942</v>
      </c>
      <c r="C771" s="8" t="s">
        <v>3127</v>
      </c>
      <c r="D771" s="8"/>
      <c r="E771" s="8" t="s">
        <v>3128</v>
      </c>
      <c r="F771" s="9" t="s">
        <v>3123</v>
      </c>
      <c r="G771" s="10">
        <v>43389</v>
      </c>
      <c r="H771" s="8" t="s">
        <v>34</v>
      </c>
      <c r="I771" s="11">
        <v>176086</v>
      </c>
      <c r="J771" s="8" t="s">
        <v>146</v>
      </c>
      <c r="K771" s="8" t="s">
        <v>147</v>
      </c>
      <c r="L771" s="7">
        <v>2015</v>
      </c>
      <c r="M771" s="8" t="s">
        <v>150</v>
      </c>
      <c r="N771" s="11">
        <v>883280</v>
      </c>
      <c r="O771" s="8" t="s">
        <v>151</v>
      </c>
      <c r="P771" s="8" t="s">
        <v>152</v>
      </c>
      <c r="Q771" s="8"/>
      <c r="R771" s="8"/>
    </row>
    <row r="772" spans="1:18" ht="26.15" customHeight="1">
      <c r="A772" s="7">
        <v>766</v>
      </c>
      <c r="B772" s="8" t="s">
        <v>3943</v>
      </c>
      <c r="C772" s="8" t="s">
        <v>3139</v>
      </c>
      <c r="D772" s="8" t="s">
        <v>3944</v>
      </c>
      <c r="E772" s="8" t="s">
        <v>3116</v>
      </c>
      <c r="F772" s="9" t="s">
        <v>3123</v>
      </c>
      <c r="G772" s="10">
        <v>43389</v>
      </c>
      <c r="H772" s="8" t="s">
        <v>34</v>
      </c>
      <c r="I772" s="11">
        <v>176086</v>
      </c>
      <c r="J772" s="8" t="s">
        <v>146</v>
      </c>
      <c r="K772" s="8" t="s">
        <v>147</v>
      </c>
      <c r="L772" s="7">
        <v>2015</v>
      </c>
      <c r="M772" s="8" t="s">
        <v>150</v>
      </c>
      <c r="N772" s="11">
        <v>883280</v>
      </c>
      <c r="O772" s="8" t="s">
        <v>151</v>
      </c>
      <c r="P772" s="8" t="s">
        <v>152</v>
      </c>
      <c r="Q772" s="8"/>
      <c r="R772" s="8" t="s">
        <v>79</v>
      </c>
    </row>
    <row r="773" spans="1:18" ht="26.15" customHeight="1">
      <c r="A773" s="7">
        <v>767</v>
      </c>
      <c r="B773" s="8" t="s">
        <v>3945</v>
      </c>
      <c r="C773" s="8" t="s">
        <v>3127</v>
      </c>
      <c r="D773" s="8"/>
      <c r="E773" s="8" t="s">
        <v>3128</v>
      </c>
      <c r="F773" s="9" t="s">
        <v>3123</v>
      </c>
      <c r="G773" s="10">
        <v>43389</v>
      </c>
      <c r="H773" s="8" t="s">
        <v>34</v>
      </c>
      <c r="I773" s="11">
        <v>176086</v>
      </c>
      <c r="J773" s="8" t="s">
        <v>146</v>
      </c>
      <c r="K773" s="8" t="s">
        <v>147</v>
      </c>
      <c r="L773" s="7">
        <v>2015</v>
      </c>
      <c r="M773" s="8" t="s">
        <v>150</v>
      </c>
      <c r="N773" s="11">
        <v>883280</v>
      </c>
      <c r="O773" s="8" t="s">
        <v>151</v>
      </c>
      <c r="P773" s="8" t="s">
        <v>152</v>
      </c>
      <c r="Q773" s="8"/>
      <c r="R773" s="8"/>
    </row>
    <row r="774" spans="1:18" ht="26.15" customHeight="1">
      <c r="A774" s="7">
        <v>768</v>
      </c>
      <c r="B774" s="8" t="s">
        <v>3946</v>
      </c>
      <c r="C774" s="8" t="s">
        <v>3127</v>
      </c>
      <c r="D774" s="8"/>
      <c r="E774" s="8" t="s">
        <v>3128</v>
      </c>
      <c r="F774" s="9" t="s">
        <v>3123</v>
      </c>
      <c r="G774" s="10">
        <v>43389</v>
      </c>
      <c r="H774" s="8" t="s">
        <v>34</v>
      </c>
      <c r="I774" s="11">
        <v>176086</v>
      </c>
      <c r="J774" s="8" t="s">
        <v>146</v>
      </c>
      <c r="K774" s="8" t="s">
        <v>147</v>
      </c>
      <c r="L774" s="7">
        <v>2015</v>
      </c>
      <c r="M774" s="8" t="s">
        <v>150</v>
      </c>
      <c r="N774" s="11">
        <v>883280</v>
      </c>
      <c r="O774" s="8" t="s">
        <v>151</v>
      </c>
      <c r="P774" s="8" t="s">
        <v>152</v>
      </c>
      <c r="Q774" s="8"/>
      <c r="R774" s="8"/>
    </row>
    <row r="775" spans="1:18" ht="26.15" customHeight="1">
      <c r="A775" s="7">
        <v>769</v>
      </c>
      <c r="B775" s="8" t="s">
        <v>3947</v>
      </c>
      <c r="C775" s="8" t="s">
        <v>3127</v>
      </c>
      <c r="D775" s="8"/>
      <c r="E775" s="8" t="s">
        <v>3128</v>
      </c>
      <c r="F775" s="9" t="s">
        <v>3123</v>
      </c>
      <c r="G775" s="10">
        <v>43389</v>
      </c>
      <c r="H775" s="8" t="s">
        <v>34</v>
      </c>
      <c r="I775" s="11">
        <v>176086</v>
      </c>
      <c r="J775" s="8" t="s">
        <v>146</v>
      </c>
      <c r="K775" s="8" t="s">
        <v>147</v>
      </c>
      <c r="L775" s="7">
        <v>2015</v>
      </c>
      <c r="M775" s="8" t="s">
        <v>150</v>
      </c>
      <c r="N775" s="11">
        <v>883280</v>
      </c>
      <c r="O775" s="8" t="s">
        <v>151</v>
      </c>
      <c r="P775" s="8" t="s">
        <v>152</v>
      </c>
      <c r="Q775" s="8"/>
      <c r="R775" s="8"/>
    </row>
    <row r="776" spans="1:18" ht="26.15" customHeight="1">
      <c r="A776" s="7">
        <v>770</v>
      </c>
      <c r="B776" s="8" t="s">
        <v>3948</v>
      </c>
      <c r="C776" s="8" t="s">
        <v>3127</v>
      </c>
      <c r="D776" s="8"/>
      <c r="E776" s="8" t="s">
        <v>3128</v>
      </c>
      <c r="F776" s="9" t="s">
        <v>3123</v>
      </c>
      <c r="G776" s="10">
        <v>43389</v>
      </c>
      <c r="H776" s="8" t="s">
        <v>34</v>
      </c>
      <c r="I776" s="11">
        <v>176086</v>
      </c>
      <c r="J776" s="8" t="s">
        <v>146</v>
      </c>
      <c r="K776" s="8" t="s">
        <v>147</v>
      </c>
      <c r="L776" s="7">
        <v>2015</v>
      </c>
      <c r="M776" s="8" t="s">
        <v>150</v>
      </c>
      <c r="N776" s="11">
        <v>883280</v>
      </c>
      <c r="O776" s="8" t="s">
        <v>151</v>
      </c>
      <c r="P776" s="8" t="s">
        <v>152</v>
      </c>
      <c r="Q776" s="8"/>
      <c r="R776" s="8"/>
    </row>
    <row r="777" spans="1:18" ht="26.15" customHeight="1">
      <c r="A777" s="7">
        <v>771</v>
      </c>
      <c r="B777" s="8" t="s">
        <v>3949</v>
      </c>
      <c r="C777" s="8" t="s">
        <v>3127</v>
      </c>
      <c r="D777" s="8"/>
      <c r="E777" s="8" t="s">
        <v>3128</v>
      </c>
      <c r="F777" s="9" t="s">
        <v>3117</v>
      </c>
      <c r="G777" s="10">
        <v>43389</v>
      </c>
      <c r="H777" s="8" t="s">
        <v>34</v>
      </c>
      <c r="I777" s="11">
        <v>176086</v>
      </c>
      <c r="J777" s="8" t="s">
        <v>146</v>
      </c>
      <c r="K777" s="8" t="s">
        <v>147</v>
      </c>
      <c r="L777" s="7">
        <v>2015</v>
      </c>
      <c r="M777" s="8" t="s">
        <v>150</v>
      </c>
      <c r="N777" s="11">
        <v>883280</v>
      </c>
      <c r="O777" s="8" t="s">
        <v>151</v>
      </c>
      <c r="P777" s="8" t="s">
        <v>152</v>
      </c>
      <c r="Q777" s="8"/>
      <c r="R777" s="8"/>
    </row>
    <row r="778" spans="1:18" ht="26.15" customHeight="1">
      <c r="A778" s="7">
        <v>772</v>
      </c>
      <c r="B778" s="8" t="s">
        <v>3950</v>
      </c>
      <c r="C778" s="8" t="s">
        <v>3127</v>
      </c>
      <c r="D778" s="8"/>
      <c r="E778" s="8" t="s">
        <v>3128</v>
      </c>
      <c r="F778" s="9" t="s">
        <v>3123</v>
      </c>
      <c r="G778" s="10">
        <v>43389</v>
      </c>
      <c r="H778" s="8" t="s">
        <v>34</v>
      </c>
      <c r="I778" s="11">
        <v>176086</v>
      </c>
      <c r="J778" s="8" t="s">
        <v>146</v>
      </c>
      <c r="K778" s="8" t="s">
        <v>147</v>
      </c>
      <c r="L778" s="7">
        <v>2015</v>
      </c>
      <c r="M778" s="8" t="s">
        <v>150</v>
      </c>
      <c r="N778" s="11">
        <v>883280</v>
      </c>
      <c r="O778" s="8" t="s">
        <v>151</v>
      </c>
      <c r="P778" s="8" t="s">
        <v>152</v>
      </c>
      <c r="Q778" s="8"/>
      <c r="R778" s="8"/>
    </row>
    <row r="779" spans="1:18" ht="26.15" customHeight="1">
      <c r="A779" s="7">
        <v>773</v>
      </c>
      <c r="B779" s="8" t="s">
        <v>3951</v>
      </c>
      <c r="C779" s="8" t="s">
        <v>3127</v>
      </c>
      <c r="D779" s="8"/>
      <c r="E779" s="8" t="s">
        <v>3128</v>
      </c>
      <c r="F779" s="9" t="s">
        <v>3123</v>
      </c>
      <c r="G779" s="10">
        <v>43389</v>
      </c>
      <c r="H779" s="8" t="s">
        <v>34</v>
      </c>
      <c r="I779" s="11">
        <v>176086</v>
      </c>
      <c r="J779" s="8" t="s">
        <v>146</v>
      </c>
      <c r="K779" s="8" t="s">
        <v>147</v>
      </c>
      <c r="L779" s="7">
        <v>2015</v>
      </c>
      <c r="M779" s="8" t="s">
        <v>150</v>
      </c>
      <c r="N779" s="11">
        <v>883280</v>
      </c>
      <c r="O779" s="8" t="s">
        <v>151</v>
      </c>
      <c r="P779" s="8" t="s">
        <v>152</v>
      </c>
      <c r="Q779" s="8"/>
      <c r="R779" s="8"/>
    </row>
    <row r="780" spans="1:18" ht="26.15" customHeight="1">
      <c r="A780" s="7">
        <v>774</v>
      </c>
      <c r="B780" s="8" t="s">
        <v>3952</v>
      </c>
      <c r="C780" s="8" t="s">
        <v>3127</v>
      </c>
      <c r="D780" s="8"/>
      <c r="E780" s="8" t="s">
        <v>3128</v>
      </c>
      <c r="F780" s="9" t="s">
        <v>3123</v>
      </c>
      <c r="G780" s="10">
        <v>43389</v>
      </c>
      <c r="H780" s="8" t="s">
        <v>34</v>
      </c>
      <c r="I780" s="11">
        <v>176086</v>
      </c>
      <c r="J780" s="8" t="s">
        <v>146</v>
      </c>
      <c r="K780" s="8" t="s">
        <v>147</v>
      </c>
      <c r="L780" s="7">
        <v>2015</v>
      </c>
      <c r="M780" s="8" t="s">
        <v>150</v>
      </c>
      <c r="N780" s="11">
        <v>883280</v>
      </c>
      <c r="O780" s="8" t="s">
        <v>151</v>
      </c>
      <c r="P780" s="8" t="s">
        <v>152</v>
      </c>
      <c r="Q780" s="8"/>
      <c r="R780" s="8"/>
    </row>
    <row r="781" spans="1:18" ht="26.15" customHeight="1">
      <c r="A781" s="7">
        <v>775</v>
      </c>
      <c r="B781" s="8" t="s">
        <v>3953</v>
      </c>
      <c r="C781" s="8" t="s">
        <v>3127</v>
      </c>
      <c r="D781" s="8"/>
      <c r="E781" s="8" t="s">
        <v>3128</v>
      </c>
      <c r="F781" s="9" t="s">
        <v>3123</v>
      </c>
      <c r="G781" s="10">
        <v>43389</v>
      </c>
      <c r="H781" s="8" t="s">
        <v>34</v>
      </c>
      <c r="I781" s="11">
        <v>176086</v>
      </c>
      <c r="J781" s="8" t="s">
        <v>146</v>
      </c>
      <c r="K781" s="8" t="s">
        <v>147</v>
      </c>
      <c r="L781" s="7">
        <v>2015</v>
      </c>
      <c r="M781" s="8" t="s">
        <v>150</v>
      </c>
      <c r="N781" s="11">
        <v>883280</v>
      </c>
      <c r="O781" s="8" t="s">
        <v>151</v>
      </c>
      <c r="P781" s="8" t="s">
        <v>152</v>
      </c>
      <c r="Q781" s="8"/>
      <c r="R781" s="8"/>
    </row>
    <row r="782" spans="1:18" ht="26.15" customHeight="1">
      <c r="A782" s="7">
        <v>776</v>
      </c>
      <c r="B782" s="8" t="s">
        <v>3954</v>
      </c>
      <c r="C782" s="8" t="s">
        <v>3127</v>
      </c>
      <c r="D782" s="8"/>
      <c r="E782" s="8" t="s">
        <v>3128</v>
      </c>
      <c r="F782" s="9" t="s">
        <v>3123</v>
      </c>
      <c r="G782" s="10">
        <v>43389</v>
      </c>
      <c r="H782" s="8" t="s">
        <v>34</v>
      </c>
      <c r="I782" s="11">
        <v>176086</v>
      </c>
      <c r="J782" s="8" t="s">
        <v>146</v>
      </c>
      <c r="K782" s="8" t="s">
        <v>147</v>
      </c>
      <c r="L782" s="7">
        <v>2015</v>
      </c>
      <c r="M782" s="8" t="s">
        <v>150</v>
      </c>
      <c r="N782" s="11">
        <v>883280</v>
      </c>
      <c r="O782" s="8" t="s">
        <v>151</v>
      </c>
      <c r="P782" s="8" t="s">
        <v>152</v>
      </c>
      <c r="Q782" s="8"/>
      <c r="R782" s="8"/>
    </row>
    <row r="783" spans="1:18" ht="26.15" customHeight="1">
      <c r="A783" s="7">
        <v>777</v>
      </c>
      <c r="B783" s="8" t="s">
        <v>149</v>
      </c>
      <c r="C783" s="8" t="s">
        <v>3114</v>
      </c>
      <c r="D783" s="8" t="s">
        <v>3168</v>
      </c>
      <c r="E783" s="8" t="s">
        <v>3116</v>
      </c>
      <c r="F783" s="9" t="s">
        <v>3123</v>
      </c>
      <c r="G783" s="10">
        <v>43389</v>
      </c>
      <c r="H783" s="8" t="s">
        <v>34</v>
      </c>
      <c r="I783" s="11">
        <v>176086</v>
      </c>
      <c r="J783" s="8" t="s">
        <v>146</v>
      </c>
      <c r="K783" s="8" t="s">
        <v>147</v>
      </c>
      <c r="L783" s="7">
        <v>2015</v>
      </c>
      <c r="M783" s="8" t="s">
        <v>150</v>
      </c>
      <c r="N783" s="11">
        <v>883280</v>
      </c>
      <c r="O783" s="8" t="s">
        <v>151</v>
      </c>
      <c r="P783" s="8" t="s">
        <v>152</v>
      </c>
      <c r="Q783" s="8"/>
      <c r="R783" s="8" t="s">
        <v>3169</v>
      </c>
    </row>
    <row r="784" spans="1:18" ht="26.15" customHeight="1">
      <c r="A784" s="7">
        <v>778</v>
      </c>
      <c r="B784" s="8" t="s">
        <v>3955</v>
      </c>
      <c r="C784" s="8" t="s">
        <v>3114</v>
      </c>
      <c r="D784" s="8" t="s">
        <v>3956</v>
      </c>
      <c r="E784" s="8" t="s">
        <v>3116</v>
      </c>
      <c r="F784" s="9" t="s">
        <v>3123</v>
      </c>
      <c r="G784" s="10">
        <v>43388</v>
      </c>
      <c r="H784" s="8" t="s">
        <v>34</v>
      </c>
      <c r="I784" s="11" t="s">
        <v>50</v>
      </c>
      <c r="J784" s="8" t="s">
        <v>829</v>
      </c>
      <c r="K784" s="8" t="s">
        <v>830</v>
      </c>
      <c r="L784" s="7">
        <v>2015</v>
      </c>
      <c r="M784" s="8" t="s">
        <v>207</v>
      </c>
      <c r="N784" s="11">
        <v>1070000</v>
      </c>
      <c r="O784" s="8" t="s">
        <v>833</v>
      </c>
      <c r="P784" s="8" t="s">
        <v>834</v>
      </c>
      <c r="Q784" s="8"/>
      <c r="R784" s="8" t="s">
        <v>3957</v>
      </c>
    </row>
    <row r="785" spans="1:18" ht="26.15" customHeight="1">
      <c r="A785" s="7">
        <v>779</v>
      </c>
      <c r="B785" s="8" t="s">
        <v>1406</v>
      </c>
      <c r="C785" s="8" t="s">
        <v>3114</v>
      </c>
      <c r="D785" s="8" t="s">
        <v>3958</v>
      </c>
      <c r="E785" s="8" t="s">
        <v>3116</v>
      </c>
      <c r="F785" s="9" t="s">
        <v>3117</v>
      </c>
      <c r="G785" s="10">
        <v>43388</v>
      </c>
      <c r="H785" s="8" t="s">
        <v>34</v>
      </c>
      <c r="I785" s="11" t="s">
        <v>50</v>
      </c>
      <c r="J785" s="8" t="s">
        <v>829</v>
      </c>
      <c r="K785" s="8" t="s">
        <v>830</v>
      </c>
      <c r="L785" s="7">
        <v>2015</v>
      </c>
      <c r="M785" s="8" t="s">
        <v>207</v>
      </c>
      <c r="N785" s="11">
        <v>1070000</v>
      </c>
      <c r="O785" s="8" t="s">
        <v>833</v>
      </c>
      <c r="P785" s="8" t="s">
        <v>834</v>
      </c>
      <c r="Q785" s="8"/>
      <c r="R785" s="8" t="s">
        <v>3156</v>
      </c>
    </row>
    <row r="786" spans="1:18" ht="26.15" customHeight="1">
      <c r="A786" s="7">
        <v>780</v>
      </c>
      <c r="B786" s="8" t="s">
        <v>3959</v>
      </c>
      <c r="C786" s="8" t="s">
        <v>3114</v>
      </c>
      <c r="D786" s="8" t="s">
        <v>3960</v>
      </c>
      <c r="E786" s="8" t="s">
        <v>3116</v>
      </c>
      <c r="F786" s="9" t="s">
        <v>3117</v>
      </c>
      <c r="G786" s="10">
        <v>43382</v>
      </c>
      <c r="H786" s="8" t="s">
        <v>1410</v>
      </c>
      <c r="I786" s="11">
        <v>600000000</v>
      </c>
      <c r="J786" s="8" t="s">
        <v>1411</v>
      </c>
      <c r="K786" s="8" t="s">
        <v>1412</v>
      </c>
      <c r="L786" s="7">
        <v>2014</v>
      </c>
      <c r="M786" s="8" t="s">
        <v>278</v>
      </c>
      <c r="N786" s="11">
        <v>1303000000</v>
      </c>
      <c r="O786" s="8" t="s">
        <v>1415</v>
      </c>
      <c r="P786" s="8" t="s">
        <v>1416</v>
      </c>
      <c r="Q786" s="8"/>
      <c r="R786" s="8" t="s">
        <v>1215</v>
      </c>
    </row>
    <row r="787" spans="1:18" ht="26.15" customHeight="1">
      <c r="A787" s="7">
        <v>781</v>
      </c>
      <c r="B787" s="8" t="s">
        <v>1072</v>
      </c>
      <c r="C787" s="8" t="s">
        <v>3114</v>
      </c>
      <c r="D787" s="8" t="s">
        <v>3658</v>
      </c>
      <c r="E787" s="8" t="s">
        <v>3116</v>
      </c>
      <c r="F787" s="9" t="s">
        <v>3117</v>
      </c>
      <c r="G787" s="10">
        <v>43382</v>
      </c>
      <c r="H787" s="8" t="s">
        <v>1410</v>
      </c>
      <c r="I787" s="11">
        <v>600000000</v>
      </c>
      <c r="J787" s="8" t="s">
        <v>1411</v>
      </c>
      <c r="K787" s="8" t="s">
        <v>1412</v>
      </c>
      <c r="L787" s="7">
        <v>2014</v>
      </c>
      <c r="M787" s="8" t="s">
        <v>278</v>
      </c>
      <c r="N787" s="11">
        <v>1303000000</v>
      </c>
      <c r="O787" s="8" t="s">
        <v>1415</v>
      </c>
      <c r="P787" s="8" t="s">
        <v>1416</v>
      </c>
      <c r="Q787" s="8"/>
      <c r="R787" s="8" t="s">
        <v>3145</v>
      </c>
    </row>
    <row r="788" spans="1:18" ht="26.15" customHeight="1">
      <c r="A788" s="7">
        <v>782</v>
      </c>
      <c r="B788" s="8" t="s">
        <v>1146</v>
      </c>
      <c r="C788" s="8" t="s">
        <v>3114</v>
      </c>
      <c r="D788" s="8" t="s">
        <v>3458</v>
      </c>
      <c r="E788" s="8" t="s">
        <v>3116</v>
      </c>
      <c r="F788" s="9" t="s">
        <v>3117</v>
      </c>
      <c r="G788" s="10">
        <v>43379</v>
      </c>
      <c r="H788" s="8" t="s">
        <v>109</v>
      </c>
      <c r="I788" s="11">
        <v>2800000</v>
      </c>
      <c r="J788" s="8" t="s">
        <v>1417</v>
      </c>
      <c r="K788" s="8" t="s">
        <v>1418</v>
      </c>
      <c r="L788" s="7">
        <v>2015</v>
      </c>
      <c r="M788" s="8" t="s">
        <v>157</v>
      </c>
      <c r="N788" s="11">
        <v>2800000</v>
      </c>
      <c r="O788" s="8" t="s">
        <v>1422</v>
      </c>
      <c r="P788" s="8" t="s">
        <v>1423</v>
      </c>
      <c r="Q788" s="8"/>
      <c r="R788" s="8" t="s">
        <v>3459</v>
      </c>
    </row>
    <row r="789" spans="1:18" ht="26.15" customHeight="1">
      <c r="A789" s="7">
        <v>783</v>
      </c>
      <c r="B789" s="8" t="s">
        <v>3961</v>
      </c>
      <c r="C789" s="8" t="s">
        <v>3114</v>
      </c>
      <c r="D789" s="8" t="s">
        <v>3962</v>
      </c>
      <c r="E789" s="8" t="s">
        <v>3116</v>
      </c>
      <c r="F789" s="9" t="s">
        <v>3117</v>
      </c>
      <c r="G789" s="10">
        <v>43379</v>
      </c>
      <c r="H789" s="8" t="s">
        <v>109</v>
      </c>
      <c r="I789" s="11">
        <v>2800000</v>
      </c>
      <c r="J789" s="8" t="s">
        <v>1417</v>
      </c>
      <c r="K789" s="8" t="s">
        <v>1418</v>
      </c>
      <c r="L789" s="7">
        <v>2015</v>
      </c>
      <c r="M789" s="8" t="s">
        <v>157</v>
      </c>
      <c r="N789" s="11">
        <v>2800000</v>
      </c>
      <c r="O789" s="8" t="s">
        <v>1422</v>
      </c>
      <c r="P789" s="8" t="s">
        <v>1423</v>
      </c>
      <c r="Q789" s="8"/>
      <c r="R789" s="8" t="s">
        <v>3963</v>
      </c>
    </row>
    <row r="790" spans="1:18" ht="26.15" customHeight="1">
      <c r="A790" s="7">
        <v>784</v>
      </c>
      <c r="B790" s="8" t="s">
        <v>3964</v>
      </c>
      <c r="C790" s="8" t="s">
        <v>3139</v>
      </c>
      <c r="D790" s="8" t="s">
        <v>3964</v>
      </c>
      <c r="E790" s="8" t="s">
        <v>3116</v>
      </c>
      <c r="F790" s="9" t="s">
        <v>3117</v>
      </c>
      <c r="G790" s="10">
        <v>43379</v>
      </c>
      <c r="H790" s="8" t="s">
        <v>109</v>
      </c>
      <c r="I790" s="11">
        <v>2800000</v>
      </c>
      <c r="J790" s="8" t="s">
        <v>1417</v>
      </c>
      <c r="K790" s="8" t="s">
        <v>1418</v>
      </c>
      <c r="L790" s="7">
        <v>2015</v>
      </c>
      <c r="M790" s="8" t="s">
        <v>157</v>
      </c>
      <c r="N790" s="11">
        <v>2800000</v>
      </c>
      <c r="O790" s="8" t="s">
        <v>1422</v>
      </c>
      <c r="P790" s="8" t="s">
        <v>1423</v>
      </c>
      <c r="Q790" s="8"/>
      <c r="R790" s="8"/>
    </row>
    <row r="791" spans="1:18" ht="26.15" customHeight="1">
      <c r="A791" s="7">
        <v>785</v>
      </c>
      <c r="B791" s="8" t="s">
        <v>3965</v>
      </c>
      <c r="C791" s="8" t="s">
        <v>3114</v>
      </c>
      <c r="D791" s="8" t="s">
        <v>3966</v>
      </c>
      <c r="E791" s="8" t="s">
        <v>3116</v>
      </c>
      <c r="F791" s="9" t="s">
        <v>3117</v>
      </c>
      <c r="G791" s="10">
        <v>43379</v>
      </c>
      <c r="H791" s="8" t="s">
        <v>109</v>
      </c>
      <c r="I791" s="11">
        <v>2800000</v>
      </c>
      <c r="J791" s="8" t="s">
        <v>1417</v>
      </c>
      <c r="K791" s="8" t="s">
        <v>1418</v>
      </c>
      <c r="L791" s="7">
        <v>2015</v>
      </c>
      <c r="M791" s="8" t="s">
        <v>157</v>
      </c>
      <c r="N791" s="11">
        <v>2800000</v>
      </c>
      <c r="O791" s="8" t="s">
        <v>1422</v>
      </c>
      <c r="P791" s="8" t="s">
        <v>1423</v>
      </c>
      <c r="Q791" s="8"/>
      <c r="R791" s="8" t="s">
        <v>3967</v>
      </c>
    </row>
    <row r="792" spans="1:18" ht="26.15" customHeight="1">
      <c r="A792" s="7">
        <v>786</v>
      </c>
      <c r="B792" s="8" t="s">
        <v>3968</v>
      </c>
      <c r="C792" s="8" t="s">
        <v>3127</v>
      </c>
      <c r="D792" s="8"/>
      <c r="E792" s="8" t="s">
        <v>3128</v>
      </c>
      <c r="F792" s="9" t="s">
        <v>3123</v>
      </c>
      <c r="G792" s="10">
        <v>43379</v>
      </c>
      <c r="H792" s="8" t="s">
        <v>109</v>
      </c>
      <c r="I792" s="11">
        <v>2800000</v>
      </c>
      <c r="J792" s="8" t="s">
        <v>1417</v>
      </c>
      <c r="K792" s="8" t="s">
        <v>1418</v>
      </c>
      <c r="L792" s="7">
        <v>2015</v>
      </c>
      <c r="M792" s="8" t="s">
        <v>157</v>
      </c>
      <c r="N792" s="11">
        <v>2800000</v>
      </c>
      <c r="O792" s="8" t="s">
        <v>1422</v>
      </c>
      <c r="P792" s="8" t="s">
        <v>1423</v>
      </c>
      <c r="Q792" s="8"/>
      <c r="R792" s="8"/>
    </row>
    <row r="793" spans="1:18" ht="26.15" customHeight="1">
      <c r="A793" s="7">
        <v>787</v>
      </c>
      <c r="B793" s="8" t="s">
        <v>3969</v>
      </c>
      <c r="C793" s="8" t="s">
        <v>3127</v>
      </c>
      <c r="D793" s="8"/>
      <c r="E793" s="8" t="s">
        <v>3128</v>
      </c>
      <c r="F793" s="9" t="s">
        <v>3123</v>
      </c>
      <c r="G793" s="10">
        <v>43379</v>
      </c>
      <c r="H793" s="8" t="s">
        <v>109</v>
      </c>
      <c r="I793" s="11">
        <v>2800000</v>
      </c>
      <c r="J793" s="8" t="s">
        <v>1417</v>
      </c>
      <c r="K793" s="8" t="s">
        <v>1418</v>
      </c>
      <c r="L793" s="7">
        <v>2015</v>
      </c>
      <c r="M793" s="8" t="s">
        <v>157</v>
      </c>
      <c r="N793" s="11">
        <v>2800000</v>
      </c>
      <c r="O793" s="8" t="s">
        <v>1422</v>
      </c>
      <c r="P793" s="8" t="s">
        <v>1423</v>
      </c>
      <c r="Q793" s="8"/>
      <c r="R793" s="8"/>
    </row>
    <row r="794" spans="1:18" ht="26.15" customHeight="1">
      <c r="A794" s="7">
        <v>788</v>
      </c>
      <c r="B794" s="8" t="s">
        <v>3970</v>
      </c>
      <c r="C794" s="8" t="s">
        <v>3127</v>
      </c>
      <c r="D794" s="8"/>
      <c r="E794" s="8" t="s">
        <v>3128</v>
      </c>
      <c r="F794" s="9" t="s">
        <v>3123</v>
      </c>
      <c r="G794" s="10">
        <v>43379</v>
      </c>
      <c r="H794" s="8" t="s">
        <v>109</v>
      </c>
      <c r="I794" s="11">
        <v>2800000</v>
      </c>
      <c r="J794" s="8" t="s">
        <v>1417</v>
      </c>
      <c r="K794" s="8" t="s">
        <v>1418</v>
      </c>
      <c r="L794" s="7">
        <v>2015</v>
      </c>
      <c r="M794" s="8" t="s">
        <v>157</v>
      </c>
      <c r="N794" s="11">
        <v>2800000</v>
      </c>
      <c r="O794" s="8" t="s">
        <v>1422</v>
      </c>
      <c r="P794" s="8" t="s">
        <v>1423</v>
      </c>
      <c r="Q794" s="8"/>
      <c r="R794" s="8"/>
    </row>
    <row r="795" spans="1:18" ht="26.15" customHeight="1">
      <c r="A795" s="7">
        <v>789</v>
      </c>
      <c r="B795" s="8" t="s">
        <v>3971</v>
      </c>
      <c r="C795" s="8" t="s">
        <v>3114</v>
      </c>
      <c r="D795" s="8" t="s">
        <v>3972</v>
      </c>
      <c r="E795" s="8" t="s">
        <v>3116</v>
      </c>
      <c r="F795" s="9" t="s">
        <v>3123</v>
      </c>
      <c r="G795" s="10">
        <v>43370</v>
      </c>
      <c r="H795" s="8" t="s">
        <v>25</v>
      </c>
      <c r="I795" s="11">
        <v>7270620</v>
      </c>
      <c r="J795" s="8" t="s">
        <v>1424</v>
      </c>
      <c r="K795" s="8" t="s">
        <v>1425</v>
      </c>
      <c r="L795" s="7">
        <v>2004</v>
      </c>
      <c r="M795" s="8" t="s">
        <v>1427</v>
      </c>
      <c r="N795" s="11">
        <v>7270620</v>
      </c>
      <c r="O795" s="8" t="s">
        <v>1428</v>
      </c>
      <c r="P795" s="8" t="s">
        <v>1429</v>
      </c>
      <c r="Q795" s="8"/>
      <c r="R795" s="8" t="s">
        <v>278</v>
      </c>
    </row>
    <row r="796" spans="1:18" ht="26.15" customHeight="1">
      <c r="A796" s="7">
        <v>790</v>
      </c>
      <c r="B796" s="8" t="s">
        <v>1174</v>
      </c>
      <c r="C796" s="8" t="s">
        <v>3114</v>
      </c>
      <c r="D796" s="8" t="s">
        <v>3519</v>
      </c>
      <c r="E796" s="8" t="s">
        <v>3116</v>
      </c>
      <c r="F796" s="9" t="s">
        <v>3117</v>
      </c>
      <c r="G796" s="10">
        <v>43369</v>
      </c>
      <c r="H796" s="8" t="s">
        <v>95</v>
      </c>
      <c r="I796" s="11">
        <v>25000000</v>
      </c>
      <c r="J796" s="8" t="s">
        <v>628</v>
      </c>
      <c r="K796" s="8" t="s">
        <v>629</v>
      </c>
      <c r="L796" s="7">
        <v>2015</v>
      </c>
      <c r="M796" s="8" t="s">
        <v>79</v>
      </c>
      <c r="N796" s="11">
        <v>94500000</v>
      </c>
      <c r="O796" s="8" t="s">
        <v>632</v>
      </c>
      <c r="P796" s="8" t="s">
        <v>633</v>
      </c>
      <c r="Q796" s="8"/>
      <c r="R796" s="8" t="s">
        <v>3520</v>
      </c>
    </row>
    <row r="797" spans="1:18" ht="26.15" customHeight="1">
      <c r="A797" s="7">
        <v>791</v>
      </c>
      <c r="B797" s="8" t="s">
        <v>2164</v>
      </c>
      <c r="C797" s="8" t="s">
        <v>3114</v>
      </c>
      <c r="D797" s="8" t="s">
        <v>3471</v>
      </c>
      <c r="E797" s="8" t="s">
        <v>3116</v>
      </c>
      <c r="F797" s="9" t="s">
        <v>3123</v>
      </c>
      <c r="G797" s="10">
        <v>43369</v>
      </c>
      <c r="H797" s="8" t="s">
        <v>95</v>
      </c>
      <c r="I797" s="11">
        <v>25000000</v>
      </c>
      <c r="J797" s="8" t="s">
        <v>628</v>
      </c>
      <c r="K797" s="8" t="s">
        <v>629</v>
      </c>
      <c r="L797" s="7">
        <v>2015</v>
      </c>
      <c r="M797" s="8" t="s">
        <v>79</v>
      </c>
      <c r="N797" s="11">
        <v>94500000</v>
      </c>
      <c r="O797" s="8" t="s">
        <v>632</v>
      </c>
      <c r="P797" s="8" t="s">
        <v>633</v>
      </c>
      <c r="Q797" s="8"/>
      <c r="R797" s="8" t="s">
        <v>3148</v>
      </c>
    </row>
    <row r="798" spans="1:18" ht="26.15" customHeight="1">
      <c r="A798" s="7">
        <v>792</v>
      </c>
      <c r="B798" s="8" t="s">
        <v>3517</v>
      </c>
      <c r="C798" s="8" t="s">
        <v>3114</v>
      </c>
      <c r="D798" s="8" t="s">
        <v>3518</v>
      </c>
      <c r="E798" s="8" t="s">
        <v>3116</v>
      </c>
      <c r="F798" s="9" t="s">
        <v>3123</v>
      </c>
      <c r="G798" s="10">
        <v>43369</v>
      </c>
      <c r="H798" s="8" t="s">
        <v>95</v>
      </c>
      <c r="I798" s="11">
        <v>25000000</v>
      </c>
      <c r="J798" s="8" t="s">
        <v>628</v>
      </c>
      <c r="K798" s="8" t="s">
        <v>629</v>
      </c>
      <c r="L798" s="7">
        <v>2015</v>
      </c>
      <c r="M798" s="8" t="s">
        <v>79</v>
      </c>
      <c r="N798" s="11">
        <v>94500000</v>
      </c>
      <c r="O798" s="8" t="s">
        <v>632</v>
      </c>
      <c r="P798" s="8" t="s">
        <v>633</v>
      </c>
      <c r="Q798" s="8"/>
      <c r="R798" s="8" t="s">
        <v>79</v>
      </c>
    </row>
    <row r="799" spans="1:18" ht="26.15" customHeight="1">
      <c r="A799" s="7">
        <v>793</v>
      </c>
      <c r="B799" s="8" t="s">
        <v>3472</v>
      </c>
      <c r="C799" s="8"/>
      <c r="D799" s="8" t="s">
        <v>3473</v>
      </c>
      <c r="E799" s="8" t="s">
        <v>3116</v>
      </c>
      <c r="F799" s="9" t="s">
        <v>3123</v>
      </c>
      <c r="G799" s="10">
        <v>43369</v>
      </c>
      <c r="H799" s="8" t="s">
        <v>95</v>
      </c>
      <c r="I799" s="11">
        <v>25000000</v>
      </c>
      <c r="J799" s="8" t="s">
        <v>628</v>
      </c>
      <c r="K799" s="8" t="s">
        <v>629</v>
      </c>
      <c r="L799" s="7">
        <v>2015</v>
      </c>
      <c r="M799" s="8" t="s">
        <v>79</v>
      </c>
      <c r="N799" s="11">
        <v>94500000</v>
      </c>
      <c r="O799" s="8" t="s">
        <v>632</v>
      </c>
      <c r="P799" s="8" t="s">
        <v>633</v>
      </c>
      <c r="Q799" s="8"/>
      <c r="R799" s="8" t="s">
        <v>313</v>
      </c>
    </row>
    <row r="800" spans="1:18" ht="26.15" customHeight="1">
      <c r="A800" s="7">
        <v>794</v>
      </c>
      <c r="B800" s="8" t="s">
        <v>1431</v>
      </c>
      <c r="C800" s="8" t="s">
        <v>3127</v>
      </c>
      <c r="D800" s="8"/>
      <c r="E800" s="8" t="s">
        <v>3128</v>
      </c>
      <c r="F800" s="9" t="s">
        <v>3123</v>
      </c>
      <c r="G800" s="10">
        <v>43369</v>
      </c>
      <c r="H800" s="8" t="s">
        <v>95</v>
      </c>
      <c r="I800" s="11">
        <v>25000000</v>
      </c>
      <c r="J800" s="8" t="s">
        <v>628</v>
      </c>
      <c r="K800" s="8" t="s">
        <v>629</v>
      </c>
      <c r="L800" s="7">
        <v>2015</v>
      </c>
      <c r="M800" s="8" t="s">
        <v>79</v>
      </c>
      <c r="N800" s="11">
        <v>94500000</v>
      </c>
      <c r="O800" s="8" t="s">
        <v>632</v>
      </c>
      <c r="P800" s="8" t="s">
        <v>633</v>
      </c>
      <c r="Q800" s="8"/>
      <c r="R800" s="8"/>
    </row>
    <row r="801" spans="1:18" ht="26.15" customHeight="1">
      <c r="A801" s="7">
        <v>795</v>
      </c>
      <c r="B801" s="8" t="s">
        <v>3845</v>
      </c>
      <c r="C801" s="8" t="s">
        <v>3114</v>
      </c>
      <c r="D801" s="8" t="s">
        <v>3846</v>
      </c>
      <c r="E801" s="8" t="s">
        <v>3116</v>
      </c>
      <c r="F801" s="9" t="s">
        <v>3123</v>
      </c>
      <c r="G801" s="10">
        <v>43369</v>
      </c>
      <c r="H801" s="8" t="s">
        <v>95</v>
      </c>
      <c r="I801" s="11">
        <v>25000000</v>
      </c>
      <c r="J801" s="8" t="s">
        <v>628</v>
      </c>
      <c r="K801" s="8" t="s">
        <v>629</v>
      </c>
      <c r="L801" s="7">
        <v>2015</v>
      </c>
      <c r="M801" s="8" t="s">
        <v>79</v>
      </c>
      <c r="N801" s="11">
        <v>94500000</v>
      </c>
      <c r="O801" s="8" t="s">
        <v>632</v>
      </c>
      <c r="P801" s="8" t="s">
        <v>633</v>
      </c>
      <c r="Q801" s="8"/>
      <c r="R801" s="8" t="s">
        <v>3192</v>
      </c>
    </row>
    <row r="802" spans="1:18" ht="26.15" customHeight="1">
      <c r="A802" s="7">
        <v>796</v>
      </c>
      <c r="B802" s="8" t="s">
        <v>3521</v>
      </c>
      <c r="C802" s="8"/>
      <c r="D802" s="8" t="s">
        <v>3522</v>
      </c>
      <c r="E802" s="8" t="s">
        <v>3116</v>
      </c>
      <c r="F802" s="9" t="s">
        <v>3123</v>
      </c>
      <c r="G802" s="10">
        <v>43369</v>
      </c>
      <c r="H802" s="8" t="s">
        <v>95</v>
      </c>
      <c r="I802" s="11">
        <v>25000000</v>
      </c>
      <c r="J802" s="8" t="s">
        <v>628</v>
      </c>
      <c r="K802" s="8" t="s">
        <v>629</v>
      </c>
      <c r="L802" s="7">
        <v>2015</v>
      </c>
      <c r="M802" s="8" t="s">
        <v>79</v>
      </c>
      <c r="N802" s="11">
        <v>94500000</v>
      </c>
      <c r="O802" s="8" t="s">
        <v>632</v>
      </c>
      <c r="P802" s="8" t="s">
        <v>633</v>
      </c>
      <c r="Q802" s="8"/>
      <c r="R802" s="8" t="s">
        <v>3402</v>
      </c>
    </row>
    <row r="803" spans="1:18" ht="26.15" customHeight="1">
      <c r="A803" s="7">
        <v>797</v>
      </c>
      <c r="B803" s="8" t="s">
        <v>3432</v>
      </c>
      <c r="C803" s="8" t="s">
        <v>3114</v>
      </c>
      <c r="D803" s="8" t="s">
        <v>3433</v>
      </c>
      <c r="E803" s="8" t="s">
        <v>3116</v>
      </c>
      <c r="F803" s="9" t="s">
        <v>3117</v>
      </c>
      <c r="G803" s="10">
        <v>43369</v>
      </c>
      <c r="H803" s="8" t="s">
        <v>95</v>
      </c>
      <c r="I803" s="11">
        <v>25000000</v>
      </c>
      <c r="J803" s="8" t="s">
        <v>628</v>
      </c>
      <c r="K803" s="8" t="s">
        <v>629</v>
      </c>
      <c r="L803" s="7">
        <v>2015</v>
      </c>
      <c r="M803" s="8" t="s">
        <v>79</v>
      </c>
      <c r="N803" s="11">
        <v>94500000</v>
      </c>
      <c r="O803" s="8" t="s">
        <v>632</v>
      </c>
      <c r="P803" s="8" t="s">
        <v>633</v>
      </c>
      <c r="Q803" s="8"/>
      <c r="R803" s="8" t="s">
        <v>3204</v>
      </c>
    </row>
    <row r="804" spans="1:18" ht="26.15" customHeight="1">
      <c r="A804" s="7">
        <v>798</v>
      </c>
      <c r="B804" s="8" t="s">
        <v>3973</v>
      </c>
      <c r="C804" s="8" t="s">
        <v>3114</v>
      </c>
      <c r="D804" s="8" t="s">
        <v>3974</v>
      </c>
      <c r="E804" s="8" t="s">
        <v>3116</v>
      </c>
      <c r="F804" s="9" t="s">
        <v>3123</v>
      </c>
      <c r="G804" s="10">
        <v>43368</v>
      </c>
      <c r="H804" s="8" t="s">
        <v>34</v>
      </c>
      <c r="I804" s="11">
        <v>1475750</v>
      </c>
      <c r="J804" s="8" t="s">
        <v>1434</v>
      </c>
      <c r="K804" s="8" t="s">
        <v>1435</v>
      </c>
      <c r="L804" s="7">
        <v>2015</v>
      </c>
      <c r="M804" s="8" t="s">
        <v>584</v>
      </c>
      <c r="N804" s="11">
        <v>1475750</v>
      </c>
      <c r="O804" s="8" t="s">
        <v>1437</v>
      </c>
      <c r="P804" s="8" t="s">
        <v>1438</v>
      </c>
      <c r="Q804" s="8"/>
      <c r="R804" s="8" t="s">
        <v>3975</v>
      </c>
    </row>
    <row r="805" spans="1:18" ht="26.15" customHeight="1">
      <c r="A805" s="7">
        <v>799</v>
      </c>
      <c r="B805" s="8" t="s">
        <v>1439</v>
      </c>
      <c r="C805" s="8" t="s">
        <v>3139</v>
      </c>
      <c r="D805" s="8" t="s">
        <v>1439</v>
      </c>
      <c r="E805" s="8" t="s">
        <v>3116</v>
      </c>
      <c r="F805" s="9" t="s">
        <v>3123</v>
      </c>
      <c r="G805" s="10">
        <v>43362</v>
      </c>
      <c r="H805" s="8" t="s">
        <v>184</v>
      </c>
      <c r="I805" s="11">
        <v>100000</v>
      </c>
      <c r="J805" s="8" t="s">
        <v>1011</v>
      </c>
      <c r="K805" s="8" t="s">
        <v>1012</v>
      </c>
      <c r="L805" s="7">
        <v>2017</v>
      </c>
      <c r="M805" s="8" t="s">
        <v>1015</v>
      </c>
      <c r="N805" s="11">
        <v>100000</v>
      </c>
      <c r="O805" s="8" t="s">
        <v>1016</v>
      </c>
      <c r="P805" s="8" t="s">
        <v>1017</v>
      </c>
      <c r="Q805" s="8"/>
      <c r="R805" s="8"/>
    </row>
    <row r="806" spans="1:18" ht="26.15" customHeight="1">
      <c r="A806" s="7">
        <v>800</v>
      </c>
      <c r="B806" s="8" t="s">
        <v>1441</v>
      </c>
      <c r="C806" s="8" t="s">
        <v>3139</v>
      </c>
      <c r="D806" s="8" t="s">
        <v>3976</v>
      </c>
      <c r="E806" s="8" t="s">
        <v>3116</v>
      </c>
      <c r="F806" s="9" t="s">
        <v>3117</v>
      </c>
      <c r="G806" s="10">
        <v>43360</v>
      </c>
      <c r="H806" s="8" t="s">
        <v>34</v>
      </c>
      <c r="I806" s="11">
        <v>2000000</v>
      </c>
      <c r="J806" s="8" t="s">
        <v>1100</v>
      </c>
      <c r="K806" s="8" t="s">
        <v>1101</v>
      </c>
      <c r="L806" s="7">
        <v>2015</v>
      </c>
      <c r="M806" s="8" t="s">
        <v>1103</v>
      </c>
      <c r="N806" s="11">
        <v>2000000</v>
      </c>
      <c r="O806" s="8" t="s">
        <v>1104</v>
      </c>
      <c r="P806" s="8" t="s">
        <v>1105</v>
      </c>
      <c r="Q806" s="8"/>
      <c r="R806" s="8" t="s">
        <v>3977</v>
      </c>
    </row>
    <row r="807" spans="1:18" ht="26.15" customHeight="1">
      <c r="A807" s="7">
        <v>801</v>
      </c>
      <c r="B807" s="8" t="s">
        <v>3978</v>
      </c>
      <c r="C807" s="8" t="s">
        <v>3139</v>
      </c>
      <c r="D807" s="8" t="s">
        <v>3979</v>
      </c>
      <c r="E807" s="8" t="s">
        <v>3116</v>
      </c>
      <c r="F807" s="9" t="s">
        <v>3123</v>
      </c>
      <c r="G807" s="10">
        <v>43356</v>
      </c>
      <c r="H807" s="8" t="s">
        <v>528</v>
      </c>
      <c r="I807" s="11" t="s">
        <v>50</v>
      </c>
      <c r="J807" s="8" t="s">
        <v>1442</v>
      </c>
      <c r="K807" s="8" t="s">
        <v>1443</v>
      </c>
      <c r="L807" s="7">
        <v>2001</v>
      </c>
      <c r="M807" s="8" t="s">
        <v>1445</v>
      </c>
      <c r="N807" s="11"/>
      <c r="O807" s="8" t="s">
        <v>1446</v>
      </c>
      <c r="P807" s="8" t="s">
        <v>1447</v>
      </c>
      <c r="Q807" s="8"/>
      <c r="R807" s="8" t="s">
        <v>3980</v>
      </c>
    </row>
    <row r="808" spans="1:18" ht="26.15" customHeight="1">
      <c r="A808" s="7">
        <v>802</v>
      </c>
      <c r="B808" s="8" t="s">
        <v>3639</v>
      </c>
      <c r="C808" s="8" t="s">
        <v>3114</v>
      </c>
      <c r="D808" s="8" t="s">
        <v>3640</v>
      </c>
      <c r="E808" s="8" t="s">
        <v>3116</v>
      </c>
      <c r="F808" s="9" t="s">
        <v>3123</v>
      </c>
      <c r="G808" s="10">
        <v>43355</v>
      </c>
      <c r="H808" s="8" t="s">
        <v>184</v>
      </c>
      <c r="I808" s="11" t="s">
        <v>50</v>
      </c>
      <c r="J808" s="8" t="s">
        <v>1448</v>
      </c>
      <c r="K808" s="8" t="s">
        <v>1449</v>
      </c>
      <c r="L808" s="7">
        <v>2016</v>
      </c>
      <c r="M808" s="8" t="s">
        <v>1450</v>
      </c>
      <c r="N808" s="11">
        <v>114859</v>
      </c>
      <c r="O808" s="8" t="s">
        <v>1451</v>
      </c>
      <c r="P808" s="8" t="s">
        <v>1452</v>
      </c>
      <c r="Q808" s="8"/>
      <c r="R808" s="8" t="s">
        <v>79</v>
      </c>
    </row>
    <row r="809" spans="1:18" ht="26.15" customHeight="1">
      <c r="A809" s="7">
        <v>803</v>
      </c>
      <c r="B809" s="8" t="s">
        <v>3639</v>
      </c>
      <c r="C809" s="8" t="s">
        <v>3114</v>
      </c>
      <c r="D809" s="8" t="s">
        <v>3640</v>
      </c>
      <c r="E809" s="8" t="s">
        <v>3116</v>
      </c>
      <c r="F809" s="9" t="s">
        <v>3123</v>
      </c>
      <c r="G809" s="10">
        <v>43354</v>
      </c>
      <c r="H809" s="8" t="s">
        <v>184</v>
      </c>
      <c r="I809" s="11" t="s">
        <v>50</v>
      </c>
      <c r="J809" s="8" t="s">
        <v>1453</v>
      </c>
      <c r="K809" s="8" t="s">
        <v>1454</v>
      </c>
      <c r="L809" s="7">
        <v>2017</v>
      </c>
      <c r="M809" s="8" t="s">
        <v>79</v>
      </c>
      <c r="N809" s="11"/>
      <c r="O809" s="8" t="s">
        <v>1455</v>
      </c>
      <c r="P809" s="8" t="s">
        <v>1456</v>
      </c>
      <c r="Q809" s="8"/>
      <c r="R809" s="8" t="s">
        <v>79</v>
      </c>
    </row>
    <row r="810" spans="1:18" ht="26.15" customHeight="1">
      <c r="A810" s="7">
        <v>804</v>
      </c>
      <c r="B810" s="8" t="s">
        <v>3981</v>
      </c>
      <c r="C810" s="8" t="s">
        <v>3114</v>
      </c>
      <c r="D810" s="8" t="s">
        <v>3982</v>
      </c>
      <c r="E810" s="8" t="s">
        <v>3116</v>
      </c>
      <c r="F810" s="9" t="s">
        <v>3123</v>
      </c>
      <c r="G810" s="10">
        <v>43353</v>
      </c>
      <c r="H810" s="8" t="s">
        <v>34</v>
      </c>
      <c r="I810" s="11" t="s">
        <v>50</v>
      </c>
      <c r="J810" s="8" t="s">
        <v>1457</v>
      </c>
      <c r="K810" s="8" t="s">
        <v>1458</v>
      </c>
      <c r="L810" s="7">
        <v>2018</v>
      </c>
      <c r="M810" s="8" t="s">
        <v>704</v>
      </c>
      <c r="N810" s="11"/>
      <c r="O810" s="8" t="s">
        <v>1460</v>
      </c>
      <c r="P810" s="8" t="s">
        <v>1461</v>
      </c>
      <c r="Q810" s="8"/>
      <c r="R810" s="8" t="s">
        <v>704</v>
      </c>
    </row>
    <row r="811" spans="1:18" ht="26.15" customHeight="1">
      <c r="A811" s="7">
        <v>805</v>
      </c>
      <c r="B811" s="8" t="s">
        <v>1467</v>
      </c>
      <c r="C811" s="8" t="s">
        <v>3114</v>
      </c>
      <c r="D811" s="8" t="s">
        <v>3196</v>
      </c>
      <c r="E811" s="8" t="s">
        <v>3116</v>
      </c>
      <c r="F811" s="9" t="s">
        <v>3117</v>
      </c>
      <c r="G811" s="10">
        <v>43341</v>
      </c>
      <c r="H811" s="8" t="s">
        <v>34</v>
      </c>
      <c r="I811" s="11">
        <v>107546</v>
      </c>
      <c r="J811" s="8" t="s">
        <v>217</v>
      </c>
      <c r="K811" s="8" t="s">
        <v>218</v>
      </c>
      <c r="L811" s="7">
        <v>2015</v>
      </c>
      <c r="M811" s="8" t="s">
        <v>79</v>
      </c>
      <c r="N811" s="11">
        <v>2569628</v>
      </c>
      <c r="O811" s="8" t="s">
        <v>221</v>
      </c>
      <c r="P811" s="8" t="s">
        <v>222</v>
      </c>
      <c r="Q811" s="8"/>
      <c r="R811" s="8" t="s">
        <v>313</v>
      </c>
    </row>
    <row r="812" spans="1:18" ht="26.15" customHeight="1">
      <c r="A812" s="7">
        <v>806</v>
      </c>
      <c r="B812" s="8" t="s">
        <v>1469</v>
      </c>
      <c r="C812" s="8" t="s">
        <v>3139</v>
      </c>
      <c r="D812" s="8" t="s">
        <v>3585</v>
      </c>
      <c r="E812" s="8" t="s">
        <v>3116</v>
      </c>
      <c r="F812" s="9" t="s">
        <v>3117</v>
      </c>
      <c r="G812" s="10">
        <v>43337</v>
      </c>
      <c r="H812" s="8" t="s">
        <v>34</v>
      </c>
      <c r="I812" s="11">
        <v>27847</v>
      </c>
      <c r="J812" s="8" t="s">
        <v>835</v>
      </c>
      <c r="K812" s="8" t="s">
        <v>836</v>
      </c>
      <c r="L812" s="7">
        <v>2017</v>
      </c>
      <c r="M812" s="8" t="s">
        <v>188</v>
      </c>
      <c r="N812" s="11">
        <v>1101687</v>
      </c>
      <c r="O812" s="8" t="s">
        <v>839</v>
      </c>
      <c r="P812" s="8" t="s">
        <v>840</v>
      </c>
      <c r="Q812" s="8"/>
      <c r="R812" s="8" t="s">
        <v>3586</v>
      </c>
    </row>
    <row r="813" spans="1:18" ht="26.15" customHeight="1">
      <c r="A813" s="7">
        <v>807</v>
      </c>
      <c r="B813" s="8" t="s">
        <v>1469</v>
      </c>
      <c r="C813" s="8" t="s">
        <v>3139</v>
      </c>
      <c r="D813" s="8" t="s">
        <v>3585</v>
      </c>
      <c r="E813" s="8" t="s">
        <v>3116</v>
      </c>
      <c r="F813" s="9" t="s">
        <v>3117</v>
      </c>
      <c r="G813" s="10">
        <v>43337</v>
      </c>
      <c r="H813" s="8" t="s">
        <v>34</v>
      </c>
      <c r="I813" s="11">
        <v>27847</v>
      </c>
      <c r="J813" s="8" t="s">
        <v>807</v>
      </c>
      <c r="K813" s="8" t="s">
        <v>808</v>
      </c>
      <c r="L813" s="7">
        <v>2017</v>
      </c>
      <c r="M813" s="8" t="s">
        <v>188</v>
      </c>
      <c r="N813" s="11">
        <v>1127847</v>
      </c>
      <c r="O813" s="8" t="s">
        <v>810</v>
      </c>
      <c r="P813" s="8" t="s">
        <v>811</v>
      </c>
      <c r="Q813" s="8"/>
      <c r="R813" s="8" t="s">
        <v>3586</v>
      </c>
    </row>
    <row r="814" spans="1:18" ht="26.15" customHeight="1">
      <c r="A814" s="7">
        <v>808</v>
      </c>
      <c r="B814" s="8" t="s">
        <v>3983</v>
      </c>
      <c r="C814" s="8" t="s">
        <v>3114</v>
      </c>
      <c r="D814" s="8" t="s">
        <v>3984</v>
      </c>
      <c r="E814" s="8" t="s">
        <v>3116</v>
      </c>
      <c r="F814" s="9" t="s">
        <v>3123</v>
      </c>
      <c r="G814" s="10">
        <v>43336</v>
      </c>
      <c r="H814" s="8" t="s">
        <v>109</v>
      </c>
      <c r="I814" s="11">
        <v>7273280</v>
      </c>
      <c r="J814" s="8" t="s">
        <v>1470</v>
      </c>
      <c r="K814" s="8" t="s">
        <v>1471</v>
      </c>
      <c r="L814" s="7">
        <v>2014</v>
      </c>
      <c r="M814" s="8" t="s">
        <v>1473</v>
      </c>
      <c r="N814" s="11">
        <v>7273280</v>
      </c>
      <c r="O814" s="8" t="s">
        <v>1474</v>
      </c>
      <c r="P814" s="8" t="s">
        <v>1475</v>
      </c>
      <c r="Q814" s="8"/>
      <c r="R814" s="8" t="s">
        <v>677</v>
      </c>
    </row>
    <row r="815" spans="1:18" ht="26.15" customHeight="1">
      <c r="A815" s="7">
        <v>809</v>
      </c>
      <c r="B815" s="8" t="s">
        <v>3985</v>
      </c>
      <c r="C815" s="8" t="s">
        <v>3114</v>
      </c>
      <c r="D815" s="8" t="s">
        <v>3986</v>
      </c>
      <c r="E815" s="8" t="s">
        <v>3116</v>
      </c>
      <c r="F815" s="9" t="s">
        <v>3123</v>
      </c>
      <c r="G815" s="10">
        <v>43336</v>
      </c>
      <c r="H815" s="8" t="s">
        <v>109</v>
      </c>
      <c r="I815" s="11">
        <v>7273280</v>
      </c>
      <c r="J815" s="8" t="s">
        <v>1470</v>
      </c>
      <c r="K815" s="8" t="s">
        <v>1471</v>
      </c>
      <c r="L815" s="7">
        <v>2014</v>
      </c>
      <c r="M815" s="8" t="s">
        <v>1473</v>
      </c>
      <c r="N815" s="11">
        <v>7273280</v>
      </c>
      <c r="O815" s="8" t="s">
        <v>1474</v>
      </c>
      <c r="P815" s="8" t="s">
        <v>1475</v>
      </c>
      <c r="Q815" s="8"/>
      <c r="R815" s="8" t="s">
        <v>1473</v>
      </c>
    </row>
    <row r="816" spans="1:18" ht="26.15" customHeight="1">
      <c r="A816" s="7">
        <v>810</v>
      </c>
      <c r="B816" s="8" t="s">
        <v>3987</v>
      </c>
      <c r="C816" s="8" t="s">
        <v>3139</v>
      </c>
      <c r="D816" s="8" t="s">
        <v>3988</v>
      </c>
      <c r="E816" s="8" t="s">
        <v>3116</v>
      </c>
      <c r="F816" s="9" t="s">
        <v>3123</v>
      </c>
      <c r="G816" s="10">
        <v>43335</v>
      </c>
      <c r="H816" s="8" t="s">
        <v>25</v>
      </c>
      <c r="I816" s="11" t="s">
        <v>50</v>
      </c>
      <c r="J816" s="8" t="s">
        <v>1476</v>
      </c>
      <c r="K816" s="8" t="s">
        <v>1477</v>
      </c>
      <c r="L816" s="7">
        <v>2014</v>
      </c>
      <c r="M816" s="8" t="s">
        <v>1479</v>
      </c>
      <c r="N816" s="11">
        <v>6141730</v>
      </c>
      <c r="O816" s="8" t="s">
        <v>1480</v>
      </c>
      <c r="P816" s="8" t="s">
        <v>1481</v>
      </c>
      <c r="Q816" s="8"/>
      <c r="R816" s="8"/>
    </row>
    <row r="817" spans="1:18" ht="26.15" customHeight="1">
      <c r="A817" s="7">
        <v>811</v>
      </c>
      <c r="B817" s="8" t="s">
        <v>2531</v>
      </c>
      <c r="C817" s="8" t="s">
        <v>3114</v>
      </c>
      <c r="D817" s="8" t="s">
        <v>3635</v>
      </c>
      <c r="E817" s="8" t="s">
        <v>3116</v>
      </c>
      <c r="F817" s="9" t="s">
        <v>3123</v>
      </c>
      <c r="G817" s="10">
        <v>43332</v>
      </c>
      <c r="H817" s="8" t="s">
        <v>25</v>
      </c>
      <c r="I817" s="11">
        <v>29085600</v>
      </c>
      <c r="J817" s="8" t="s">
        <v>1120</v>
      </c>
      <c r="K817" s="8" t="s">
        <v>1121</v>
      </c>
      <c r="L817" s="7">
        <v>2014</v>
      </c>
      <c r="M817" s="8" t="s">
        <v>894</v>
      </c>
      <c r="N817" s="11">
        <v>73326732</v>
      </c>
      <c r="O817" s="8" t="s">
        <v>1124</v>
      </c>
      <c r="P817" s="8" t="s">
        <v>1125</v>
      </c>
      <c r="Q817" s="8"/>
      <c r="R817" s="8" t="s">
        <v>1141</v>
      </c>
    </row>
    <row r="818" spans="1:18" ht="26.15" customHeight="1">
      <c r="A818" s="7">
        <v>812</v>
      </c>
      <c r="B818" s="8" t="s">
        <v>1123</v>
      </c>
      <c r="C818" s="8" t="s">
        <v>3114</v>
      </c>
      <c r="D818" s="8" t="s">
        <v>3728</v>
      </c>
      <c r="E818" s="8" t="s">
        <v>3116</v>
      </c>
      <c r="F818" s="9" t="s">
        <v>3123</v>
      </c>
      <c r="G818" s="10">
        <v>43332</v>
      </c>
      <c r="H818" s="8" t="s">
        <v>25</v>
      </c>
      <c r="I818" s="11">
        <v>29085600</v>
      </c>
      <c r="J818" s="8" t="s">
        <v>1120</v>
      </c>
      <c r="K818" s="8" t="s">
        <v>1121</v>
      </c>
      <c r="L818" s="7">
        <v>2014</v>
      </c>
      <c r="M818" s="8" t="s">
        <v>894</v>
      </c>
      <c r="N818" s="11">
        <v>73326732</v>
      </c>
      <c r="O818" s="8" t="s">
        <v>1124</v>
      </c>
      <c r="P818" s="8" t="s">
        <v>1125</v>
      </c>
      <c r="Q818" s="8"/>
      <c r="R818" s="8" t="s">
        <v>278</v>
      </c>
    </row>
    <row r="819" spans="1:18" ht="26.15" customHeight="1">
      <c r="A819" s="7">
        <v>813</v>
      </c>
      <c r="B819" s="8" t="s">
        <v>1486</v>
      </c>
      <c r="C819" s="8" t="s">
        <v>3139</v>
      </c>
      <c r="D819" s="8" t="s">
        <v>3989</v>
      </c>
      <c r="E819" s="8" t="s">
        <v>3116</v>
      </c>
      <c r="F819" s="9" t="s">
        <v>3117</v>
      </c>
      <c r="G819" s="10">
        <v>43326</v>
      </c>
      <c r="H819" s="8" t="s">
        <v>109</v>
      </c>
      <c r="I819" s="11" t="s">
        <v>50</v>
      </c>
      <c r="J819" s="8" t="s">
        <v>1483</v>
      </c>
      <c r="K819" s="8" t="s">
        <v>1484</v>
      </c>
      <c r="L819" s="7">
        <v>2013</v>
      </c>
      <c r="M819" s="8" t="s">
        <v>1487</v>
      </c>
      <c r="N819" s="11"/>
      <c r="O819" s="8" t="s">
        <v>1488</v>
      </c>
      <c r="P819" s="8" t="s">
        <v>1489</v>
      </c>
      <c r="Q819" s="8"/>
      <c r="R819" s="8" t="s">
        <v>3990</v>
      </c>
    </row>
    <row r="820" spans="1:18" ht="26.15" customHeight="1">
      <c r="A820" s="7">
        <v>814</v>
      </c>
      <c r="B820" s="8" t="s">
        <v>1493</v>
      </c>
      <c r="C820" s="8" t="s">
        <v>3127</v>
      </c>
      <c r="D820" s="8"/>
      <c r="E820" s="8" t="s">
        <v>3128</v>
      </c>
      <c r="F820" s="9" t="s">
        <v>3123</v>
      </c>
      <c r="G820" s="10">
        <v>43325</v>
      </c>
      <c r="H820" s="8" t="s">
        <v>34</v>
      </c>
      <c r="I820" s="11">
        <v>274776</v>
      </c>
      <c r="J820" s="8" t="s">
        <v>1490</v>
      </c>
      <c r="K820" s="8" t="s">
        <v>1491</v>
      </c>
      <c r="L820" s="7">
        <v>2016</v>
      </c>
      <c r="M820" s="8" t="s">
        <v>1494</v>
      </c>
      <c r="N820" s="11">
        <v>774776</v>
      </c>
      <c r="O820" s="8" t="s">
        <v>1495</v>
      </c>
      <c r="P820" s="8" t="s">
        <v>1496</v>
      </c>
      <c r="Q820" s="8"/>
      <c r="R820" s="8"/>
    </row>
    <row r="821" spans="1:18" ht="26.15" customHeight="1">
      <c r="A821" s="7">
        <v>815</v>
      </c>
      <c r="B821" s="8" t="s">
        <v>1467</v>
      </c>
      <c r="C821" s="8" t="s">
        <v>3114</v>
      </c>
      <c r="D821" s="8" t="s">
        <v>3196</v>
      </c>
      <c r="E821" s="8" t="s">
        <v>3116</v>
      </c>
      <c r="F821" s="9" t="s">
        <v>3117</v>
      </c>
      <c r="G821" s="10">
        <v>43325</v>
      </c>
      <c r="H821" s="8" t="s">
        <v>34</v>
      </c>
      <c r="I821" s="11">
        <v>274776</v>
      </c>
      <c r="J821" s="8" t="s">
        <v>1490</v>
      </c>
      <c r="K821" s="8" t="s">
        <v>1491</v>
      </c>
      <c r="L821" s="7">
        <v>2016</v>
      </c>
      <c r="M821" s="8" t="s">
        <v>1494</v>
      </c>
      <c r="N821" s="11">
        <v>774776</v>
      </c>
      <c r="O821" s="8" t="s">
        <v>1495</v>
      </c>
      <c r="P821" s="8" t="s">
        <v>1496</v>
      </c>
      <c r="Q821" s="8"/>
      <c r="R821" s="8" t="s">
        <v>313</v>
      </c>
    </row>
    <row r="822" spans="1:18" ht="26.15" customHeight="1">
      <c r="A822" s="7">
        <v>816</v>
      </c>
      <c r="B822" s="8" t="s">
        <v>3991</v>
      </c>
      <c r="C822" s="8" t="s">
        <v>3114</v>
      </c>
      <c r="D822" s="8" t="s">
        <v>3992</v>
      </c>
      <c r="E822" s="8" t="s">
        <v>3116</v>
      </c>
      <c r="F822" s="9" t="s">
        <v>3123</v>
      </c>
      <c r="G822" s="10">
        <v>43325</v>
      </c>
      <c r="H822" s="8" t="s">
        <v>34</v>
      </c>
      <c r="I822" s="11">
        <v>274776</v>
      </c>
      <c r="J822" s="8" t="s">
        <v>1490</v>
      </c>
      <c r="K822" s="8" t="s">
        <v>1491</v>
      </c>
      <c r="L822" s="7">
        <v>2016</v>
      </c>
      <c r="M822" s="8" t="s">
        <v>1494</v>
      </c>
      <c r="N822" s="11">
        <v>774776</v>
      </c>
      <c r="O822" s="8" t="s">
        <v>1495</v>
      </c>
      <c r="P822" s="8" t="s">
        <v>1496</v>
      </c>
      <c r="Q822" s="8"/>
      <c r="R822" s="8" t="s">
        <v>3311</v>
      </c>
    </row>
    <row r="823" spans="1:18" ht="26.15" customHeight="1">
      <c r="A823" s="7">
        <v>817</v>
      </c>
      <c r="B823" s="8" t="s">
        <v>1499</v>
      </c>
      <c r="C823" s="8" t="s">
        <v>3139</v>
      </c>
      <c r="D823" s="8" t="s">
        <v>3993</v>
      </c>
      <c r="E823" s="8" t="s">
        <v>3116</v>
      </c>
      <c r="F823" s="9" t="s">
        <v>3117</v>
      </c>
      <c r="G823" s="10">
        <v>43323</v>
      </c>
      <c r="H823" s="8" t="s">
        <v>34</v>
      </c>
      <c r="I823" s="11">
        <v>696265</v>
      </c>
      <c r="J823" s="8" t="s">
        <v>991</v>
      </c>
      <c r="K823" s="8" t="s">
        <v>992</v>
      </c>
      <c r="L823" s="7">
        <v>2014</v>
      </c>
      <c r="M823" s="8" t="s">
        <v>128</v>
      </c>
      <c r="N823" s="11">
        <v>1570818</v>
      </c>
      <c r="O823" s="8" t="s">
        <v>994</v>
      </c>
      <c r="P823" s="8" t="s">
        <v>995</v>
      </c>
      <c r="Q823" s="8"/>
      <c r="R823" s="8" t="s">
        <v>3994</v>
      </c>
    </row>
    <row r="824" spans="1:18" ht="26.15" customHeight="1">
      <c r="A824" s="7">
        <v>818</v>
      </c>
      <c r="B824" s="8" t="s">
        <v>3995</v>
      </c>
      <c r="C824" s="8" t="s">
        <v>3127</v>
      </c>
      <c r="D824" s="8"/>
      <c r="E824" s="8" t="s">
        <v>3128</v>
      </c>
      <c r="F824" s="9" t="s">
        <v>3123</v>
      </c>
      <c r="G824" s="10">
        <v>43323</v>
      </c>
      <c r="H824" s="8" t="s">
        <v>34</v>
      </c>
      <c r="I824" s="11">
        <v>696265</v>
      </c>
      <c r="J824" s="8" t="s">
        <v>991</v>
      </c>
      <c r="K824" s="8" t="s">
        <v>992</v>
      </c>
      <c r="L824" s="7">
        <v>2014</v>
      </c>
      <c r="M824" s="8" t="s">
        <v>128</v>
      </c>
      <c r="N824" s="11">
        <v>1570818</v>
      </c>
      <c r="O824" s="8" t="s">
        <v>994</v>
      </c>
      <c r="P824" s="8" t="s">
        <v>995</v>
      </c>
      <c r="Q824" s="8"/>
      <c r="R824" s="8"/>
    </row>
    <row r="825" spans="1:18" ht="26.15" customHeight="1">
      <c r="A825" s="7">
        <v>819</v>
      </c>
      <c r="B825" s="8" t="s">
        <v>3996</v>
      </c>
      <c r="C825" s="8" t="s">
        <v>3127</v>
      </c>
      <c r="D825" s="8"/>
      <c r="E825" s="8" t="s">
        <v>3128</v>
      </c>
      <c r="F825" s="9" t="s">
        <v>3123</v>
      </c>
      <c r="G825" s="10">
        <v>43323</v>
      </c>
      <c r="H825" s="8" t="s">
        <v>34</v>
      </c>
      <c r="I825" s="11">
        <v>696265</v>
      </c>
      <c r="J825" s="8" t="s">
        <v>991</v>
      </c>
      <c r="K825" s="8" t="s">
        <v>992</v>
      </c>
      <c r="L825" s="7">
        <v>2014</v>
      </c>
      <c r="M825" s="8" t="s">
        <v>128</v>
      </c>
      <c r="N825" s="11">
        <v>1570818</v>
      </c>
      <c r="O825" s="8" t="s">
        <v>994</v>
      </c>
      <c r="P825" s="8" t="s">
        <v>995</v>
      </c>
      <c r="Q825" s="8"/>
      <c r="R825" s="8"/>
    </row>
    <row r="826" spans="1:18" ht="26.15" customHeight="1">
      <c r="A826" s="7">
        <v>820</v>
      </c>
      <c r="B826" s="8" t="s">
        <v>870</v>
      </c>
      <c r="C826" s="8" t="s">
        <v>3139</v>
      </c>
      <c r="D826" s="8" t="s">
        <v>3619</v>
      </c>
      <c r="E826" s="8" t="s">
        <v>3116</v>
      </c>
      <c r="F826" s="9" t="s">
        <v>3123</v>
      </c>
      <c r="G826" s="10">
        <v>43323</v>
      </c>
      <c r="H826" s="8" t="s">
        <v>34</v>
      </c>
      <c r="I826" s="11">
        <v>696265</v>
      </c>
      <c r="J826" s="8" t="s">
        <v>991</v>
      </c>
      <c r="K826" s="8" t="s">
        <v>992</v>
      </c>
      <c r="L826" s="7">
        <v>2014</v>
      </c>
      <c r="M826" s="8" t="s">
        <v>128</v>
      </c>
      <c r="N826" s="11">
        <v>1570818</v>
      </c>
      <c r="O826" s="8" t="s">
        <v>994</v>
      </c>
      <c r="P826" s="8" t="s">
        <v>995</v>
      </c>
      <c r="Q826" s="8"/>
      <c r="R826" s="8" t="s">
        <v>56</v>
      </c>
    </row>
    <row r="827" spans="1:18" ht="26.15" customHeight="1">
      <c r="A827" s="7">
        <v>821</v>
      </c>
      <c r="B827" s="8" t="s">
        <v>3997</v>
      </c>
      <c r="C827" s="8" t="s">
        <v>3127</v>
      </c>
      <c r="D827" s="8"/>
      <c r="E827" s="8" t="s">
        <v>3128</v>
      </c>
      <c r="F827" s="9" t="s">
        <v>3123</v>
      </c>
      <c r="G827" s="10">
        <v>43323</v>
      </c>
      <c r="H827" s="8" t="s">
        <v>34</v>
      </c>
      <c r="I827" s="11">
        <v>696265</v>
      </c>
      <c r="J827" s="8" t="s">
        <v>991</v>
      </c>
      <c r="K827" s="8" t="s">
        <v>992</v>
      </c>
      <c r="L827" s="7">
        <v>2014</v>
      </c>
      <c r="M827" s="8" t="s">
        <v>128</v>
      </c>
      <c r="N827" s="11">
        <v>1570818</v>
      </c>
      <c r="O827" s="8" t="s">
        <v>994</v>
      </c>
      <c r="P827" s="8" t="s">
        <v>995</v>
      </c>
      <c r="Q827" s="8"/>
      <c r="R827" s="8"/>
    </row>
    <row r="828" spans="1:18" ht="26.15" customHeight="1">
      <c r="A828" s="7">
        <v>822</v>
      </c>
      <c r="B828" s="8" t="s">
        <v>3998</v>
      </c>
      <c r="C828" s="8" t="s">
        <v>3127</v>
      </c>
      <c r="D828" s="8"/>
      <c r="E828" s="8" t="s">
        <v>3128</v>
      </c>
      <c r="F828" s="9" t="s">
        <v>3123</v>
      </c>
      <c r="G828" s="10">
        <v>43323</v>
      </c>
      <c r="H828" s="8" t="s">
        <v>34</v>
      </c>
      <c r="I828" s="11">
        <v>696265</v>
      </c>
      <c r="J828" s="8" t="s">
        <v>991</v>
      </c>
      <c r="K828" s="8" t="s">
        <v>992</v>
      </c>
      <c r="L828" s="7">
        <v>2014</v>
      </c>
      <c r="M828" s="8" t="s">
        <v>128</v>
      </c>
      <c r="N828" s="11">
        <v>1570818</v>
      </c>
      <c r="O828" s="8" t="s">
        <v>994</v>
      </c>
      <c r="P828" s="8" t="s">
        <v>995</v>
      </c>
      <c r="Q828" s="8"/>
      <c r="R828" s="8"/>
    </row>
    <row r="829" spans="1:18" ht="26.15" customHeight="1">
      <c r="A829" s="7">
        <v>823</v>
      </c>
      <c r="B829" s="8" t="s">
        <v>1407</v>
      </c>
      <c r="C829" s="8" t="s">
        <v>3139</v>
      </c>
      <c r="D829" s="8" t="s">
        <v>1408</v>
      </c>
      <c r="E829" s="8" t="s">
        <v>3116</v>
      </c>
      <c r="F829" s="9" t="s">
        <v>3117</v>
      </c>
      <c r="G829" s="10">
        <v>43322</v>
      </c>
      <c r="H829" s="8" t="s">
        <v>34</v>
      </c>
      <c r="I829" s="11">
        <v>611924</v>
      </c>
      <c r="J829" s="8" t="s">
        <v>1500</v>
      </c>
      <c r="K829" s="8" t="s">
        <v>1501</v>
      </c>
      <c r="L829" s="7">
        <v>2004</v>
      </c>
      <c r="M829" s="8" t="s">
        <v>56</v>
      </c>
      <c r="N829" s="11">
        <v>2111924</v>
      </c>
      <c r="O829" s="8" t="s">
        <v>1503</v>
      </c>
      <c r="P829" s="8" t="s">
        <v>1504</v>
      </c>
      <c r="Q829" s="8"/>
      <c r="R829" s="8" t="s">
        <v>313</v>
      </c>
    </row>
    <row r="830" spans="1:18" ht="26.15" customHeight="1">
      <c r="A830" s="7">
        <v>824</v>
      </c>
      <c r="B830" s="8" t="s">
        <v>1513</v>
      </c>
      <c r="C830" s="8" t="s">
        <v>3114</v>
      </c>
      <c r="D830" s="8" t="s">
        <v>3999</v>
      </c>
      <c r="E830" s="8" t="s">
        <v>3116</v>
      </c>
      <c r="F830" s="9" t="s">
        <v>3117</v>
      </c>
      <c r="G830" s="10">
        <v>43313</v>
      </c>
      <c r="H830" s="8" t="s">
        <v>34</v>
      </c>
      <c r="I830" s="11" t="s">
        <v>50</v>
      </c>
      <c r="J830" s="8" t="s">
        <v>1510</v>
      </c>
      <c r="K830" s="8" t="s">
        <v>1511</v>
      </c>
      <c r="L830" s="7">
        <v>2015</v>
      </c>
      <c r="M830" s="8" t="s">
        <v>1514</v>
      </c>
      <c r="N830" s="11"/>
      <c r="O830" s="8" t="s">
        <v>1515</v>
      </c>
      <c r="P830" s="8" t="s">
        <v>1516</v>
      </c>
      <c r="Q830" s="8"/>
      <c r="R830" s="8"/>
    </row>
    <row r="831" spans="1:18" ht="26.15" customHeight="1">
      <c r="A831" s="7">
        <v>825</v>
      </c>
      <c r="B831" s="8" t="s">
        <v>1308</v>
      </c>
      <c r="C831" s="8" t="s">
        <v>3114</v>
      </c>
      <c r="D831" s="8" t="s">
        <v>3469</v>
      </c>
      <c r="E831" s="8" t="s">
        <v>3116</v>
      </c>
      <c r="F831" s="9" t="s">
        <v>3117</v>
      </c>
      <c r="G831" s="10">
        <v>43312</v>
      </c>
      <c r="H831" s="8" t="s">
        <v>25</v>
      </c>
      <c r="I831" s="11">
        <v>4909570</v>
      </c>
      <c r="J831" s="8" t="s">
        <v>96</v>
      </c>
      <c r="K831" s="8" t="s">
        <v>97</v>
      </c>
      <c r="L831" s="7">
        <v>2015</v>
      </c>
      <c r="M831" s="8" t="s">
        <v>79</v>
      </c>
      <c r="N831" s="11">
        <v>163285834</v>
      </c>
      <c r="O831" s="8" t="s">
        <v>100</v>
      </c>
      <c r="P831" s="8" t="s">
        <v>101</v>
      </c>
      <c r="Q831" s="8"/>
      <c r="R831" s="8" t="s">
        <v>3470</v>
      </c>
    </row>
    <row r="832" spans="1:18" ht="26.15" customHeight="1">
      <c r="A832" s="7">
        <v>826</v>
      </c>
      <c r="B832" s="8" t="s">
        <v>1146</v>
      </c>
      <c r="C832" s="8" t="s">
        <v>3114</v>
      </c>
      <c r="D832" s="8" t="s">
        <v>3458</v>
      </c>
      <c r="E832" s="8" t="s">
        <v>3116</v>
      </c>
      <c r="F832" s="9" t="s">
        <v>3123</v>
      </c>
      <c r="G832" s="10">
        <v>43312</v>
      </c>
      <c r="H832" s="8" t="s">
        <v>25</v>
      </c>
      <c r="I832" s="11">
        <v>4909570</v>
      </c>
      <c r="J832" s="8" t="s">
        <v>96</v>
      </c>
      <c r="K832" s="8" t="s">
        <v>97</v>
      </c>
      <c r="L832" s="7">
        <v>2015</v>
      </c>
      <c r="M832" s="8" t="s">
        <v>79</v>
      </c>
      <c r="N832" s="11">
        <v>163285834</v>
      </c>
      <c r="O832" s="8" t="s">
        <v>100</v>
      </c>
      <c r="P832" s="8" t="s">
        <v>101</v>
      </c>
      <c r="Q832" s="8"/>
      <c r="R832" s="8" t="s">
        <v>3459</v>
      </c>
    </row>
    <row r="833" spans="1:18" ht="26.15" customHeight="1">
      <c r="A833" s="7">
        <v>827</v>
      </c>
      <c r="B833" s="8" t="s">
        <v>4000</v>
      </c>
      <c r="C833" s="8" t="s">
        <v>3139</v>
      </c>
      <c r="D833" s="8" t="s">
        <v>4001</v>
      </c>
      <c r="E833" s="8" t="s">
        <v>3116</v>
      </c>
      <c r="F833" s="9" t="s">
        <v>3117</v>
      </c>
      <c r="G833" s="10">
        <v>43312</v>
      </c>
      <c r="H833" s="8" t="s">
        <v>25</v>
      </c>
      <c r="I833" s="11">
        <v>4909570</v>
      </c>
      <c r="J833" s="8" t="s">
        <v>96</v>
      </c>
      <c r="K833" s="8" t="s">
        <v>97</v>
      </c>
      <c r="L833" s="7">
        <v>2015</v>
      </c>
      <c r="M833" s="8" t="s">
        <v>79</v>
      </c>
      <c r="N833" s="11">
        <v>163285834</v>
      </c>
      <c r="O833" s="8" t="s">
        <v>100</v>
      </c>
      <c r="P833" s="8" t="s">
        <v>101</v>
      </c>
      <c r="Q833" s="8"/>
      <c r="R833" s="8"/>
    </row>
    <row r="834" spans="1:18" ht="26.15" customHeight="1">
      <c r="A834" s="7">
        <v>828</v>
      </c>
      <c r="B834" s="8" t="s">
        <v>3841</v>
      </c>
      <c r="C834" s="8" t="s">
        <v>3127</v>
      </c>
      <c r="D834" s="8"/>
      <c r="E834" s="8" t="s">
        <v>3128</v>
      </c>
      <c r="F834" s="9" t="s">
        <v>3123</v>
      </c>
      <c r="G834" s="10">
        <v>43312</v>
      </c>
      <c r="H834" s="8" t="s">
        <v>25</v>
      </c>
      <c r="I834" s="11">
        <v>4909570</v>
      </c>
      <c r="J834" s="8" t="s">
        <v>96</v>
      </c>
      <c r="K834" s="8" t="s">
        <v>97</v>
      </c>
      <c r="L834" s="7">
        <v>2015</v>
      </c>
      <c r="M834" s="8" t="s">
        <v>79</v>
      </c>
      <c r="N834" s="11">
        <v>163285834</v>
      </c>
      <c r="O834" s="8" t="s">
        <v>100</v>
      </c>
      <c r="P834" s="8" t="s">
        <v>101</v>
      </c>
      <c r="Q834" s="8"/>
      <c r="R834" s="8"/>
    </row>
    <row r="835" spans="1:18" ht="26.15" customHeight="1">
      <c r="A835" s="7">
        <v>829</v>
      </c>
      <c r="B835" s="8" t="s">
        <v>2033</v>
      </c>
      <c r="C835" s="8" t="s">
        <v>3114</v>
      </c>
      <c r="D835" s="8" t="s">
        <v>3839</v>
      </c>
      <c r="E835" s="8" t="s">
        <v>3116</v>
      </c>
      <c r="F835" s="9" t="s">
        <v>3123</v>
      </c>
      <c r="G835" s="10">
        <v>43312</v>
      </c>
      <c r="H835" s="8" t="s">
        <v>25</v>
      </c>
      <c r="I835" s="11">
        <v>4909570</v>
      </c>
      <c r="J835" s="8" t="s">
        <v>96</v>
      </c>
      <c r="K835" s="8" t="s">
        <v>97</v>
      </c>
      <c r="L835" s="7">
        <v>2015</v>
      </c>
      <c r="M835" s="8" t="s">
        <v>79</v>
      </c>
      <c r="N835" s="11">
        <v>163285834</v>
      </c>
      <c r="O835" s="8" t="s">
        <v>100</v>
      </c>
      <c r="P835" s="8" t="s">
        <v>101</v>
      </c>
      <c r="Q835" s="8"/>
      <c r="R835" s="8" t="s">
        <v>3214</v>
      </c>
    </row>
    <row r="836" spans="1:18" ht="26.15" customHeight="1">
      <c r="A836" s="7">
        <v>830</v>
      </c>
      <c r="B836" s="8" t="s">
        <v>3842</v>
      </c>
      <c r="C836" s="8" t="s">
        <v>3127</v>
      </c>
      <c r="D836" s="8"/>
      <c r="E836" s="8" t="s">
        <v>3128</v>
      </c>
      <c r="F836" s="9" t="s">
        <v>3123</v>
      </c>
      <c r="G836" s="10">
        <v>43312</v>
      </c>
      <c r="H836" s="8" t="s">
        <v>25</v>
      </c>
      <c r="I836" s="11">
        <v>4909570</v>
      </c>
      <c r="J836" s="8" t="s">
        <v>96</v>
      </c>
      <c r="K836" s="8" t="s">
        <v>97</v>
      </c>
      <c r="L836" s="7">
        <v>2015</v>
      </c>
      <c r="M836" s="8" t="s">
        <v>79</v>
      </c>
      <c r="N836" s="11">
        <v>163285834</v>
      </c>
      <c r="O836" s="8" t="s">
        <v>100</v>
      </c>
      <c r="P836" s="8" t="s">
        <v>101</v>
      </c>
      <c r="Q836" s="8"/>
      <c r="R836" s="8"/>
    </row>
    <row r="837" spans="1:18" ht="26.15" customHeight="1">
      <c r="A837" s="7">
        <v>831</v>
      </c>
      <c r="B837" s="8" t="s">
        <v>624</v>
      </c>
      <c r="C837" s="8" t="s">
        <v>3127</v>
      </c>
      <c r="D837" s="8"/>
      <c r="E837" s="8" t="s">
        <v>3128</v>
      </c>
      <c r="F837" s="9" t="s">
        <v>3123</v>
      </c>
      <c r="G837" s="10">
        <v>43308</v>
      </c>
      <c r="H837" s="8" t="s">
        <v>289</v>
      </c>
      <c r="I837" s="11">
        <v>43688</v>
      </c>
      <c r="J837" s="8" t="s">
        <v>622</v>
      </c>
      <c r="K837" s="8" t="s">
        <v>623</v>
      </c>
      <c r="L837" s="7">
        <v>2011</v>
      </c>
      <c r="M837" s="8" t="s">
        <v>79</v>
      </c>
      <c r="N837" s="11">
        <v>3574388</v>
      </c>
      <c r="O837" s="8" t="s">
        <v>625</v>
      </c>
      <c r="P837" s="8" t="s">
        <v>626</v>
      </c>
      <c r="Q837" s="8"/>
      <c r="R837" s="8"/>
    </row>
    <row r="838" spans="1:18" ht="26.15" customHeight="1">
      <c r="A838" s="7">
        <v>832</v>
      </c>
      <c r="B838" s="8" t="s">
        <v>4002</v>
      </c>
      <c r="C838" s="8" t="s">
        <v>3139</v>
      </c>
      <c r="D838" s="8" t="s">
        <v>4003</v>
      </c>
      <c r="E838" s="8" t="s">
        <v>3116</v>
      </c>
      <c r="F838" s="9" t="s">
        <v>3123</v>
      </c>
      <c r="G838" s="10">
        <v>43305</v>
      </c>
      <c r="H838" s="8" t="s">
        <v>34</v>
      </c>
      <c r="I838" s="11">
        <v>1475230</v>
      </c>
      <c r="J838" s="8" t="s">
        <v>1525</v>
      </c>
      <c r="K838" s="8" t="s">
        <v>1526</v>
      </c>
      <c r="L838" s="7">
        <v>2015</v>
      </c>
      <c r="M838" s="8" t="s">
        <v>1528</v>
      </c>
      <c r="N838" s="11">
        <v>1475230</v>
      </c>
      <c r="O838" s="8" t="s">
        <v>1529</v>
      </c>
      <c r="P838" s="8" t="s">
        <v>1530</v>
      </c>
      <c r="Q838" s="8"/>
      <c r="R838" s="8"/>
    </row>
    <row r="839" spans="1:18" ht="26.15" customHeight="1">
      <c r="A839" s="7">
        <v>833</v>
      </c>
      <c r="B839" s="8" t="s">
        <v>1534</v>
      </c>
      <c r="C839" s="8" t="s">
        <v>3114</v>
      </c>
      <c r="D839" s="8" t="s">
        <v>3766</v>
      </c>
      <c r="E839" s="8" t="s">
        <v>3116</v>
      </c>
      <c r="F839" s="9" t="s">
        <v>3117</v>
      </c>
      <c r="G839" s="10">
        <v>43304</v>
      </c>
      <c r="H839" s="8" t="s">
        <v>34</v>
      </c>
      <c r="I839" s="11" t="s">
        <v>50</v>
      </c>
      <c r="J839" s="8" t="s">
        <v>1531</v>
      </c>
      <c r="K839" s="8" t="s">
        <v>1532</v>
      </c>
      <c r="L839" s="7">
        <v>2014</v>
      </c>
      <c r="M839" s="8" t="s">
        <v>762</v>
      </c>
      <c r="N839" s="11"/>
      <c r="O839" s="8" t="s">
        <v>1535</v>
      </c>
      <c r="P839" s="8" t="s">
        <v>1536</v>
      </c>
      <c r="Q839" s="8"/>
      <c r="R839" s="8" t="s">
        <v>3632</v>
      </c>
    </row>
    <row r="840" spans="1:18" ht="26.15" customHeight="1">
      <c r="A840" s="7">
        <v>834</v>
      </c>
      <c r="B840" s="8" t="s">
        <v>1538</v>
      </c>
      <c r="C840" s="8" t="s">
        <v>3114</v>
      </c>
      <c r="D840" s="8" t="s">
        <v>3863</v>
      </c>
      <c r="E840" s="8" t="s">
        <v>3116</v>
      </c>
      <c r="F840" s="9" t="s">
        <v>3117</v>
      </c>
      <c r="G840" s="10">
        <v>43304</v>
      </c>
      <c r="H840" s="8" t="s">
        <v>34</v>
      </c>
      <c r="I840" s="11">
        <v>627000</v>
      </c>
      <c r="J840" s="8" t="s">
        <v>1196</v>
      </c>
      <c r="K840" s="8" t="s">
        <v>1197</v>
      </c>
      <c r="L840" s="7">
        <v>2016</v>
      </c>
      <c r="M840" s="8" t="s">
        <v>39</v>
      </c>
      <c r="N840" s="11">
        <v>652000</v>
      </c>
      <c r="O840" s="8" t="s">
        <v>389</v>
      </c>
      <c r="P840" s="8" t="s">
        <v>1200</v>
      </c>
      <c r="Q840" s="8"/>
      <c r="R840" s="8" t="s">
        <v>3864</v>
      </c>
    </row>
    <row r="841" spans="1:18" ht="26.15" customHeight="1">
      <c r="A841" s="7">
        <v>835</v>
      </c>
      <c r="B841" s="8" t="s">
        <v>1199</v>
      </c>
      <c r="C841" s="8" t="s">
        <v>3114</v>
      </c>
      <c r="D841" s="8" t="s">
        <v>3755</v>
      </c>
      <c r="E841" s="8" t="s">
        <v>3116</v>
      </c>
      <c r="F841" s="9" t="s">
        <v>3123</v>
      </c>
      <c r="G841" s="10">
        <v>43304</v>
      </c>
      <c r="H841" s="8" t="s">
        <v>34</v>
      </c>
      <c r="I841" s="11">
        <v>627000</v>
      </c>
      <c r="J841" s="8" t="s">
        <v>1196</v>
      </c>
      <c r="K841" s="8" t="s">
        <v>1197</v>
      </c>
      <c r="L841" s="7">
        <v>2016</v>
      </c>
      <c r="M841" s="8" t="s">
        <v>39</v>
      </c>
      <c r="N841" s="11">
        <v>652000</v>
      </c>
      <c r="O841" s="8" t="s">
        <v>389</v>
      </c>
      <c r="P841" s="8" t="s">
        <v>1200</v>
      </c>
      <c r="Q841" s="8"/>
      <c r="R841" s="8" t="s">
        <v>3145</v>
      </c>
    </row>
    <row r="842" spans="1:18" ht="26.15" customHeight="1">
      <c r="A842" s="7">
        <v>836</v>
      </c>
      <c r="B842" s="8" t="s">
        <v>4004</v>
      </c>
      <c r="C842" s="8"/>
      <c r="D842" s="8" t="s">
        <v>4005</v>
      </c>
      <c r="E842" s="8" t="s">
        <v>3116</v>
      </c>
      <c r="F842" s="9" t="s">
        <v>3123</v>
      </c>
      <c r="G842" s="10">
        <v>43304</v>
      </c>
      <c r="H842" s="8" t="s">
        <v>34</v>
      </c>
      <c r="I842" s="11">
        <v>627000</v>
      </c>
      <c r="J842" s="8" t="s">
        <v>1196</v>
      </c>
      <c r="K842" s="8" t="s">
        <v>1197</v>
      </c>
      <c r="L842" s="7">
        <v>2016</v>
      </c>
      <c r="M842" s="8" t="s">
        <v>39</v>
      </c>
      <c r="N842" s="11">
        <v>652000</v>
      </c>
      <c r="O842" s="8" t="s">
        <v>389</v>
      </c>
      <c r="P842" s="8" t="s">
        <v>1200</v>
      </c>
      <c r="Q842" s="8"/>
      <c r="R842" s="8" t="s">
        <v>3118</v>
      </c>
    </row>
    <row r="843" spans="1:18" ht="26.15" customHeight="1">
      <c r="A843" s="7">
        <v>837</v>
      </c>
      <c r="B843" s="8" t="s">
        <v>4006</v>
      </c>
      <c r="C843" s="8" t="s">
        <v>3139</v>
      </c>
      <c r="D843" s="8" t="s">
        <v>4007</v>
      </c>
      <c r="E843" s="8" t="s">
        <v>3116</v>
      </c>
      <c r="F843" s="9" t="s">
        <v>3123</v>
      </c>
      <c r="G843" s="10">
        <v>43304</v>
      </c>
      <c r="H843" s="8" t="s">
        <v>109</v>
      </c>
      <c r="I843" s="11" t="s">
        <v>50</v>
      </c>
      <c r="J843" s="8" t="s">
        <v>1539</v>
      </c>
      <c r="K843" s="8" t="s">
        <v>1540</v>
      </c>
      <c r="L843" s="7">
        <v>2012</v>
      </c>
      <c r="M843" s="8" t="s">
        <v>39</v>
      </c>
      <c r="N843" s="11">
        <v>150000</v>
      </c>
      <c r="O843" s="8" t="s">
        <v>1542</v>
      </c>
      <c r="P843" s="8" t="s">
        <v>1543</v>
      </c>
      <c r="Q843" s="8"/>
      <c r="R843" s="8" t="s">
        <v>3280</v>
      </c>
    </row>
    <row r="844" spans="1:18" ht="26.15" customHeight="1">
      <c r="A844" s="7">
        <v>838</v>
      </c>
      <c r="B844" s="8" t="s">
        <v>4008</v>
      </c>
      <c r="C844" s="8" t="s">
        <v>3139</v>
      </c>
      <c r="D844" s="8" t="s">
        <v>4009</v>
      </c>
      <c r="E844" s="8" t="s">
        <v>3116</v>
      </c>
      <c r="F844" s="9" t="s">
        <v>3123</v>
      </c>
      <c r="G844" s="10">
        <v>43301</v>
      </c>
      <c r="H844" s="8" t="s">
        <v>25</v>
      </c>
      <c r="I844" s="11">
        <v>26610600</v>
      </c>
      <c r="J844" s="8" t="s">
        <v>1544</v>
      </c>
      <c r="K844" s="8" t="s">
        <v>1545</v>
      </c>
      <c r="L844" s="7">
        <v>2015</v>
      </c>
      <c r="M844" s="8" t="s">
        <v>1528</v>
      </c>
      <c r="N844" s="11">
        <v>62610600</v>
      </c>
      <c r="O844" s="8" t="s">
        <v>1547</v>
      </c>
      <c r="P844" s="8" t="s">
        <v>1416</v>
      </c>
      <c r="Q844" s="8"/>
      <c r="R844" s="8" t="s">
        <v>278</v>
      </c>
    </row>
    <row r="845" spans="1:18" ht="26.15" customHeight="1">
      <c r="A845" s="7">
        <v>839</v>
      </c>
      <c r="B845" s="8" t="s">
        <v>4010</v>
      </c>
      <c r="C845" s="8" t="s">
        <v>3139</v>
      </c>
      <c r="D845" s="8" t="s">
        <v>4011</v>
      </c>
      <c r="E845" s="8" t="s">
        <v>3116</v>
      </c>
      <c r="F845" s="9" t="s">
        <v>3123</v>
      </c>
      <c r="G845" s="10">
        <v>43296</v>
      </c>
      <c r="H845" s="8" t="s">
        <v>34</v>
      </c>
      <c r="I845" s="11">
        <v>218911</v>
      </c>
      <c r="J845" s="8" t="s">
        <v>1554</v>
      </c>
      <c r="K845" s="8" t="s">
        <v>1555</v>
      </c>
      <c r="L845" s="7">
        <v>2013</v>
      </c>
      <c r="M845" s="8" t="s">
        <v>188</v>
      </c>
      <c r="N845" s="11">
        <v>234941</v>
      </c>
      <c r="O845" s="8" t="s">
        <v>1558</v>
      </c>
      <c r="P845" s="8" t="s">
        <v>1559</v>
      </c>
      <c r="Q845" s="8"/>
      <c r="R845" s="8" t="s">
        <v>188</v>
      </c>
    </row>
    <row r="846" spans="1:18" ht="26.15" customHeight="1">
      <c r="A846" s="7">
        <v>840</v>
      </c>
      <c r="B846" s="8" t="s">
        <v>4012</v>
      </c>
      <c r="C846" s="8" t="s">
        <v>3127</v>
      </c>
      <c r="D846" s="8"/>
      <c r="E846" s="8" t="s">
        <v>3128</v>
      </c>
      <c r="F846" s="9" t="s">
        <v>3123</v>
      </c>
      <c r="G846" s="10">
        <v>43296</v>
      </c>
      <c r="H846" s="8" t="s">
        <v>34</v>
      </c>
      <c r="I846" s="11">
        <v>218911</v>
      </c>
      <c r="J846" s="8" t="s">
        <v>1554</v>
      </c>
      <c r="K846" s="8" t="s">
        <v>1555</v>
      </c>
      <c r="L846" s="7">
        <v>2013</v>
      </c>
      <c r="M846" s="8" t="s">
        <v>188</v>
      </c>
      <c r="N846" s="11">
        <v>234941</v>
      </c>
      <c r="O846" s="8" t="s">
        <v>1558</v>
      </c>
      <c r="P846" s="8" t="s">
        <v>1559</v>
      </c>
      <c r="Q846" s="8"/>
      <c r="R846" s="8"/>
    </row>
    <row r="847" spans="1:18" ht="26.15" customHeight="1">
      <c r="A847" s="7">
        <v>841</v>
      </c>
      <c r="B847" s="8" t="s">
        <v>4013</v>
      </c>
      <c r="C847" s="8" t="s">
        <v>3127</v>
      </c>
      <c r="D847" s="8"/>
      <c r="E847" s="8" t="s">
        <v>3128</v>
      </c>
      <c r="F847" s="9" t="s">
        <v>3123</v>
      </c>
      <c r="G847" s="10">
        <v>43296</v>
      </c>
      <c r="H847" s="8" t="s">
        <v>34</v>
      </c>
      <c r="I847" s="11">
        <v>218911</v>
      </c>
      <c r="J847" s="8" t="s">
        <v>1554</v>
      </c>
      <c r="K847" s="8" t="s">
        <v>1555</v>
      </c>
      <c r="L847" s="7">
        <v>2013</v>
      </c>
      <c r="M847" s="8" t="s">
        <v>188</v>
      </c>
      <c r="N847" s="11">
        <v>234941</v>
      </c>
      <c r="O847" s="8" t="s">
        <v>1558</v>
      </c>
      <c r="P847" s="8" t="s">
        <v>1559</v>
      </c>
      <c r="Q847" s="8"/>
      <c r="R847" s="8"/>
    </row>
    <row r="848" spans="1:18" ht="26.15" customHeight="1">
      <c r="A848" s="7">
        <v>842</v>
      </c>
      <c r="B848" s="8" t="s">
        <v>4014</v>
      </c>
      <c r="C848" s="8" t="s">
        <v>3127</v>
      </c>
      <c r="D848" s="8"/>
      <c r="E848" s="8" t="s">
        <v>3128</v>
      </c>
      <c r="F848" s="9" t="s">
        <v>3123</v>
      </c>
      <c r="G848" s="10">
        <v>43296</v>
      </c>
      <c r="H848" s="8" t="s">
        <v>34</v>
      </c>
      <c r="I848" s="11">
        <v>218911</v>
      </c>
      <c r="J848" s="8" t="s">
        <v>1554</v>
      </c>
      <c r="K848" s="8" t="s">
        <v>1555</v>
      </c>
      <c r="L848" s="7">
        <v>2013</v>
      </c>
      <c r="M848" s="8" t="s">
        <v>188</v>
      </c>
      <c r="N848" s="11">
        <v>234941</v>
      </c>
      <c r="O848" s="8" t="s">
        <v>1558</v>
      </c>
      <c r="P848" s="8" t="s">
        <v>1559</v>
      </c>
      <c r="Q848" s="8"/>
      <c r="R848" s="8"/>
    </row>
    <row r="849" spans="1:18" ht="26.15" customHeight="1">
      <c r="A849" s="7">
        <v>843</v>
      </c>
      <c r="B849" s="8" t="s">
        <v>4015</v>
      </c>
      <c r="C849" s="8" t="s">
        <v>3127</v>
      </c>
      <c r="D849" s="8"/>
      <c r="E849" s="8" t="s">
        <v>3128</v>
      </c>
      <c r="F849" s="9" t="s">
        <v>3123</v>
      </c>
      <c r="G849" s="10">
        <v>43296</v>
      </c>
      <c r="H849" s="8" t="s">
        <v>34</v>
      </c>
      <c r="I849" s="11">
        <v>218911</v>
      </c>
      <c r="J849" s="8" t="s">
        <v>1554</v>
      </c>
      <c r="K849" s="8" t="s">
        <v>1555</v>
      </c>
      <c r="L849" s="7">
        <v>2013</v>
      </c>
      <c r="M849" s="8" t="s">
        <v>188</v>
      </c>
      <c r="N849" s="11">
        <v>234941</v>
      </c>
      <c r="O849" s="8" t="s">
        <v>1558</v>
      </c>
      <c r="P849" s="8" t="s">
        <v>1559</v>
      </c>
      <c r="Q849" s="8"/>
      <c r="R849" s="8"/>
    </row>
    <row r="850" spans="1:18" ht="26.15" customHeight="1">
      <c r="A850" s="7">
        <v>844</v>
      </c>
      <c r="B850" s="8" t="s">
        <v>4016</v>
      </c>
      <c r="C850" s="8" t="s">
        <v>3127</v>
      </c>
      <c r="D850" s="8"/>
      <c r="E850" s="8" t="s">
        <v>3128</v>
      </c>
      <c r="F850" s="9" t="s">
        <v>3123</v>
      </c>
      <c r="G850" s="10">
        <v>43296</v>
      </c>
      <c r="H850" s="8" t="s">
        <v>34</v>
      </c>
      <c r="I850" s="11">
        <v>218911</v>
      </c>
      <c r="J850" s="8" t="s">
        <v>1554</v>
      </c>
      <c r="K850" s="8" t="s">
        <v>1555</v>
      </c>
      <c r="L850" s="7">
        <v>2013</v>
      </c>
      <c r="M850" s="8" t="s">
        <v>188</v>
      </c>
      <c r="N850" s="11">
        <v>234941</v>
      </c>
      <c r="O850" s="8" t="s">
        <v>1558</v>
      </c>
      <c r="P850" s="8" t="s">
        <v>1559</v>
      </c>
      <c r="Q850" s="8"/>
      <c r="R850" s="8"/>
    </row>
    <row r="851" spans="1:18" ht="26.15" customHeight="1">
      <c r="A851" s="7">
        <v>845</v>
      </c>
      <c r="B851" s="8" t="s">
        <v>4017</v>
      </c>
      <c r="C851" s="8" t="s">
        <v>3127</v>
      </c>
      <c r="D851" s="8"/>
      <c r="E851" s="8" t="s">
        <v>3128</v>
      </c>
      <c r="F851" s="9" t="s">
        <v>3123</v>
      </c>
      <c r="G851" s="10">
        <v>43296</v>
      </c>
      <c r="H851" s="8" t="s">
        <v>34</v>
      </c>
      <c r="I851" s="11">
        <v>218911</v>
      </c>
      <c r="J851" s="8" t="s">
        <v>1554</v>
      </c>
      <c r="K851" s="8" t="s">
        <v>1555</v>
      </c>
      <c r="L851" s="7">
        <v>2013</v>
      </c>
      <c r="M851" s="8" t="s">
        <v>188</v>
      </c>
      <c r="N851" s="11">
        <v>234941</v>
      </c>
      <c r="O851" s="8" t="s">
        <v>1558</v>
      </c>
      <c r="P851" s="8" t="s">
        <v>1559</v>
      </c>
      <c r="Q851" s="8"/>
      <c r="R851" s="8"/>
    </row>
    <row r="852" spans="1:18" ht="26.15" customHeight="1">
      <c r="A852" s="7">
        <v>846</v>
      </c>
      <c r="B852" s="8" t="s">
        <v>4018</v>
      </c>
      <c r="C852" s="8" t="s">
        <v>3127</v>
      </c>
      <c r="D852" s="8"/>
      <c r="E852" s="8" t="s">
        <v>3128</v>
      </c>
      <c r="F852" s="9" t="s">
        <v>3123</v>
      </c>
      <c r="G852" s="10">
        <v>43296</v>
      </c>
      <c r="H852" s="8" t="s">
        <v>34</v>
      </c>
      <c r="I852" s="11">
        <v>218911</v>
      </c>
      <c r="J852" s="8" t="s">
        <v>1554</v>
      </c>
      <c r="K852" s="8" t="s">
        <v>1555</v>
      </c>
      <c r="L852" s="7">
        <v>2013</v>
      </c>
      <c r="M852" s="8" t="s">
        <v>188</v>
      </c>
      <c r="N852" s="11">
        <v>234941</v>
      </c>
      <c r="O852" s="8" t="s">
        <v>1558</v>
      </c>
      <c r="P852" s="8" t="s">
        <v>1559</v>
      </c>
      <c r="Q852" s="8"/>
      <c r="R852" s="8"/>
    </row>
    <row r="853" spans="1:18" ht="26.15" customHeight="1">
      <c r="A853" s="7">
        <v>847</v>
      </c>
      <c r="B853" s="8" t="s">
        <v>4019</v>
      </c>
      <c r="C853" s="8" t="s">
        <v>3127</v>
      </c>
      <c r="D853" s="8"/>
      <c r="E853" s="8" t="s">
        <v>3128</v>
      </c>
      <c r="F853" s="9" t="s">
        <v>3123</v>
      </c>
      <c r="G853" s="10">
        <v>43296</v>
      </c>
      <c r="H853" s="8" t="s">
        <v>34</v>
      </c>
      <c r="I853" s="11">
        <v>218911</v>
      </c>
      <c r="J853" s="8" t="s">
        <v>1554</v>
      </c>
      <c r="K853" s="8" t="s">
        <v>1555</v>
      </c>
      <c r="L853" s="7">
        <v>2013</v>
      </c>
      <c r="M853" s="8" t="s">
        <v>188</v>
      </c>
      <c r="N853" s="11">
        <v>234941</v>
      </c>
      <c r="O853" s="8" t="s">
        <v>1558</v>
      </c>
      <c r="P853" s="8" t="s">
        <v>1559</v>
      </c>
      <c r="Q853" s="8"/>
      <c r="R853" s="8"/>
    </row>
    <row r="854" spans="1:18" ht="26.15" customHeight="1">
      <c r="A854" s="7">
        <v>848</v>
      </c>
      <c r="B854" s="8" t="s">
        <v>4020</v>
      </c>
      <c r="C854" s="8" t="s">
        <v>3127</v>
      </c>
      <c r="D854" s="8"/>
      <c r="E854" s="8" t="s">
        <v>3128</v>
      </c>
      <c r="F854" s="9" t="s">
        <v>3123</v>
      </c>
      <c r="G854" s="10">
        <v>43296</v>
      </c>
      <c r="H854" s="8" t="s">
        <v>34</v>
      </c>
      <c r="I854" s="11">
        <v>218911</v>
      </c>
      <c r="J854" s="8" t="s">
        <v>1554</v>
      </c>
      <c r="K854" s="8" t="s">
        <v>1555</v>
      </c>
      <c r="L854" s="7">
        <v>2013</v>
      </c>
      <c r="M854" s="8" t="s">
        <v>188</v>
      </c>
      <c r="N854" s="11">
        <v>234941</v>
      </c>
      <c r="O854" s="8" t="s">
        <v>1558</v>
      </c>
      <c r="P854" s="8" t="s">
        <v>1559</v>
      </c>
      <c r="Q854" s="8"/>
      <c r="R854" s="8"/>
    </row>
    <row r="855" spans="1:18" ht="26.15" customHeight="1">
      <c r="A855" s="7">
        <v>849</v>
      </c>
      <c r="B855" s="8" t="s">
        <v>4021</v>
      </c>
      <c r="C855" s="8" t="s">
        <v>3127</v>
      </c>
      <c r="D855" s="8"/>
      <c r="E855" s="8" t="s">
        <v>3128</v>
      </c>
      <c r="F855" s="9" t="s">
        <v>3123</v>
      </c>
      <c r="G855" s="10">
        <v>43296</v>
      </c>
      <c r="H855" s="8" t="s">
        <v>34</v>
      </c>
      <c r="I855" s="11">
        <v>218911</v>
      </c>
      <c r="J855" s="8" t="s">
        <v>1554</v>
      </c>
      <c r="K855" s="8" t="s">
        <v>1555</v>
      </c>
      <c r="L855" s="7">
        <v>2013</v>
      </c>
      <c r="M855" s="8" t="s">
        <v>188</v>
      </c>
      <c r="N855" s="11">
        <v>234941</v>
      </c>
      <c r="O855" s="8" t="s">
        <v>1558</v>
      </c>
      <c r="P855" s="8" t="s">
        <v>1559</v>
      </c>
      <c r="Q855" s="8"/>
      <c r="R855" s="8"/>
    </row>
    <row r="856" spans="1:18" ht="26.15" customHeight="1">
      <c r="A856" s="7">
        <v>850</v>
      </c>
      <c r="B856" s="8" t="s">
        <v>4022</v>
      </c>
      <c r="C856" s="8" t="s">
        <v>3127</v>
      </c>
      <c r="D856" s="8"/>
      <c r="E856" s="8" t="s">
        <v>3128</v>
      </c>
      <c r="F856" s="9" t="s">
        <v>3123</v>
      </c>
      <c r="G856" s="10">
        <v>43296</v>
      </c>
      <c r="H856" s="8" t="s">
        <v>34</v>
      </c>
      <c r="I856" s="11">
        <v>218911</v>
      </c>
      <c r="J856" s="8" t="s">
        <v>1554</v>
      </c>
      <c r="K856" s="8" t="s">
        <v>1555</v>
      </c>
      <c r="L856" s="7">
        <v>2013</v>
      </c>
      <c r="M856" s="8" t="s">
        <v>188</v>
      </c>
      <c r="N856" s="11">
        <v>234941</v>
      </c>
      <c r="O856" s="8" t="s">
        <v>1558</v>
      </c>
      <c r="P856" s="8" t="s">
        <v>1559</v>
      </c>
      <c r="Q856" s="8"/>
      <c r="R856" s="8"/>
    </row>
    <row r="857" spans="1:18" ht="26.15" customHeight="1">
      <c r="A857" s="7">
        <v>851</v>
      </c>
      <c r="B857" s="8" t="s">
        <v>4023</v>
      </c>
      <c r="C857" s="8" t="s">
        <v>3127</v>
      </c>
      <c r="D857" s="8"/>
      <c r="E857" s="8" t="s">
        <v>3128</v>
      </c>
      <c r="F857" s="9" t="s">
        <v>3123</v>
      </c>
      <c r="G857" s="10">
        <v>43296</v>
      </c>
      <c r="H857" s="8" t="s">
        <v>34</v>
      </c>
      <c r="I857" s="11">
        <v>218911</v>
      </c>
      <c r="J857" s="8" t="s">
        <v>1554</v>
      </c>
      <c r="K857" s="8" t="s">
        <v>1555</v>
      </c>
      <c r="L857" s="7">
        <v>2013</v>
      </c>
      <c r="M857" s="8" t="s">
        <v>188</v>
      </c>
      <c r="N857" s="11">
        <v>234941</v>
      </c>
      <c r="O857" s="8" t="s">
        <v>1558</v>
      </c>
      <c r="P857" s="8" t="s">
        <v>1559</v>
      </c>
      <c r="Q857" s="8"/>
      <c r="R857" s="8"/>
    </row>
    <row r="858" spans="1:18" ht="26.15" customHeight="1">
      <c r="A858" s="7">
        <v>852</v>
      </c>
      <c r="B858" s="8" t="s">
        <v>4024</v>
      </c>
      <c r="C858" s="8" t="s">
        <v>3127</v>
      </c>
      <c r="D858" s="8"/>
      <c r="E858" s="8" t="s">
        <v>3128</v>
      </c>
      <c r="F858" s="9" t="s">
        <v>3123</v>
      </c>
      <c r="G858" s="10">
        <v>43296</v>
      </c>
      <c r="H858" s="8" t="s">
        <v>34</v>
      </c>
      <c r="I858" s="11">
        <v>218911</v>
      </c>
      <c r="J858" s="8" t="s">
        <v>1554</v>
      </c>
      <c r="K858" s="8" t="s">
        <v>1555</v>
      </c>
      <c r="L858" s="7">
        <v>2013</v>
      </c>
      <c r="M858" s="8" t="s">
        <v>188</v>
      </c>
      <c r="N858" s="11">
        <v>234941</v>
      </c>
      <c r="O858" s="8" t="s">
        <v>1558</v>
      </c>
      <c r="P858" s="8" t="s">
        <v>1559</v>
      </c>
      <c r="Q858" s="8"/>
      <c r="R858" s="8"/>
    </row>
    <row r="859" spans="1:18" ht="26.15" customHeight="1">
      <c r="A859" s="7">
        <v>853</v>
      </c>
      <c r="B859" s="8" t="s">
        <v>4025</v>
      </c>
      <c r="C859" s="8" t="s">
        <v>3127</v>
      </c>
      <c r="D859" s="8"/>
      <c r="E859" s="8" t="s">
        <v>3128</v>
      </c>
      <c r="F859" s="9" t="s">
        <v>3123</v>
      </c>
      <c r="G859" s="10">
        <v>43296</v>
      </c>
      <c r="H859" s="8" t="s">
        <v>34</v>
      </c>
      <c r="I859" s="11">
        <v>218911</v>
      </c>
      <c r="J859" s="8" t="s">
        <v>1554</v>
      </c>
      <c r="K859" s="8" t="s">
        <v>1555</v>
      </c>
      <c r="L859" s="7">
        <v>2013</v>
      </c>
      <c r="M859" s="8" t="s">
        <v>188</v>
      </c>
      <c r="N859" s="11">
        <v>234941</v>
      </c>
      <c r="O859" s="8" t="s">
        <v>1558</v>
      </c>
      <c r="P859" s="8" t="s">
        <v>1559</v>
      </c>
      <c r="Q859" s="8"/>
      <c r="R859" s="8"/>
    </row>
    <row r="860" spans="1:18" ht="26.15" customHeight="1">
      <c r="A860" s="7">
        <v>854</v>
      </c>
      <c r="B860" s="8" t="s">
        <v>4026</v>
      </c>
      <c r="C860" s="8" t="s">
        <v>3127</v>
      </c>
      <c r="D860" s="8"/>
      <c r="E860" s="8" t="s">
        <v>3128</v>
      </c>
      <c r="F860" s="9" t="s">
        <v>3123</v>
      </c>
      <c r="G860" s="10">
        <v>43296</v>
      </c>
      <c r="H860" s="8" t="s">
        <v>34</v>
      </c>
      <c r="I860" s="11">
        <v>218911</v>
      </c>
      <c r="J860" s="8" t="s">
        <v>1554</v>
      </c>
      <c r="K860" s="8" t="s">
        <v>1555</v>
      </c>
      <c r="L860" s="7">
        <v>2013</v>
      </c>
      <c r="M860" s="8" t="s">
        <v>188</v>
      </c>
      <c r="N860" s="11">
        <v>234941</v>
      </c>
      <c r="O860" s="8" t="s">
        <v>1558</v>
      </c>
      <c r="P860" s="8" t="s">
        <v>1559</v>
      </c>
      <c r="Q860" s="8"/>
      <c r="R860" s="8"/>
    </row>
    <row r="861" spans="1:18" ht="26.15" customHeight="1">
      <c r="A861" s="7">
        <v>855</v>
      </c>
      <c r="B861" s="8" t="s">
        <v>4027</v>
      </c>
      <c r="C861" s="8" t="s">
        <v>3127</v>
      </c>
      <c r="D861" s="8"/>
      <c r="E861" s="8" t="s">
        <v>3128</v>
      </c>
      <c r="F861" s="9" t="s">
        <v>3123</v>
      </c>
      <c r="G861" s="10">
        <v>43296</v>
      </c>
      <c r="H861" s="8" t="s">
        <v>34</v>
      </c>
      <c r="I861" s="11">
        <v>218911</v>
      </c>
      <c r="J861" s="8" t="s">
        <v>1554</v>
      </c>
      <c r="K861" s="8" t="s">
        <v>1555</v>
      </c>
      <c r="L861" s="7">
        <v>2013</v>
      </c>
      <c r="M861" s="8" t="s">
        <v>188</v>
      </c>
      <c r="N861" s="11">
        <v>234941</v>
      </c>
      <c r="O861" s="8" t="s">
        <v>1558</v>
      </c>
      <c r="P861" s="8" t="s">
        <v>1559</v>
      </c>
      <c r="Q861" s="8"/>
      <c r="R861" s="8"/>
    </row>
    <row r="862" spans="1:18" ht="26.15" customHeight="1">
      <c r="A862" s="7">
        <v>856</v>
      </c>
      <c r="B862" s="8" t="s">
        <v>4028</v>
      </c>
      <c r="C862" s="8" t="s">
        <v>3127</v>
      </c>
      <c r="D862" s="8"/>
      <c r="E862" s="8" t="s">
        <v>3128</v>
      </c>
      <c r="F862" s="9" t="s">
        <v>3123</v>
      </c>
      <c r="G862" s="10">
        <v>43296</v>
      </c>
      <c r="H862" s="8" t="s">
        <v>34</v>
      </c>
      <c r="I862" s="11">
        <v>218911</v>
      </c>
      <c r="J862" s="8" t="s">
        <v>1554</v>
      </c>
      <c r="K862" s="8" t="s">
        <v>1555</v>
      </c>
      <c r="L862" s="7">
        <v>2013</v>
      </c>
      <c r="M862" s="8" t="s">
        <v>188</v>
      </c>
      <c r="N862" s="11">
        <v>234941</v>
      </c>
      <c r="O862" s="8" t="s">
        <v>1558</v>
      </c>
      <c r="P862" s="8" t="s">
        <v>1559</v>
      </c>
      <c r="Q862" s="8"/>
      <c r="R862" s="8"/>
    </row>
    <row r="863" spans="1:18" ht="26.15" customHeight="1">
      <c r="A863" s="7">
        <v>857</v>
      </c>
      <c r="B863" s="8" t="s">
        <v>1562</v>
      </c>
      <c r="C863" s="8" t="s">
        <v>3139</v>
      </c>
      <c r="D863" s="8" t="s">
        <v>4029</v>
      </c>
      <c r="E863" s="8" t="s">
        <v>3116</v>
      </c>
      <c r="F863" s="9" t="s">
        <v>3117</v>
      </c>
      <c r="G863" s="10">
        <v>43294</v>
      </c>
      <c r="H863" s="8" t="s">
        <v>109</v>
      </c>
      <c r="I863" s="11">
        <v>2000000</v>
      </c>
      <c r="J863" s="8" t="s">
        <v>378</v>
      </c>
      <c r="K863" s="8" t="s">
        <v>379</v>
      </c>
      <c r="L863" s="7">
        <v>2014</v>
      </c>
      <c r="M863" s="8" t="s">
        <v>382</v>
      </c>
      <c r="N863" s="11">
        <v>10111973</v>
      </c>
      <c r="O863" s="8" t="s">
        <v>383</v>
      </c>
      <c r="P863" s="8" t="s">
        <v>384</v>
      </c>
      <c r="Q863" s="8"/>
      <c r="R863" s="8" t="s">
        <v>804</v>
      </c>
    </row>
    <row r="864" spans="1:18" ht="26.15" customHeight="1">
      <c r="A864" s="7">
        <v>858</v>
      </c>
      <c r="B864" s="8" t="s">
        <v>492</v>
      </c>
      <c r="C864" s="8" t="s">
        <v>3114</v>
      </c>
      <c r="D864" s="8" t="s">
        <v>3144</v>
      </c>
      <c r="E864" s="8" t="s">
        <v>3116</v>
      </c>
      <c r="F864" s="9" t="s">
        <v>3123</v>
      </c>
      <c r="G864" s="10">
        <v>43294</v>
      </c>
      <c r="H864" s="8" t="s">
        <v>109</v>
      </c>
      <c r="I864" s="11">
        <v>2000000</v>
      </c>
      <c r="J864" s="8" t="s">
        <v>378</v>
      </c>
      <c r="K864" s="8" t="s">
        <v>379</v>
      </c>
      <c r="L864" s="7">
        <v>2014</v>
      </c>
      <c r="M864" s="8" t="s">
        <v>382</v>
      </c>
      <c r="N864" s="11">
        <v>10111973</v>
      </c>
      <c r="O864" s="8" t="s">
        <v>383</v>
      </c>
      <c r="P864" s="8" t="s">
        <v>384</v>
      </c>
      <c r="Q864" s="8"/>
      <c r="R864" s="8" t="s">
        <v>3145</v>
      </c>
    </row>
    <row r="865" spans="1:18" ht="26.15" customHeight="1">
      <c r="A865" s="7">
        <v>859</v>
      </c>
      <c r="B865" s="8" t="s">
        <v>4030</v>
      </c>
      <c r="C865" s="8" t="s">
        <v>3114</v>
      </c>
      <c r="D865" s="8" t="s">
        <v>4031</v>
      </c>
      <c r="E865" s="8" t="s">
        <v>3116</v>
      </c>
      <c r="F865" s="9" t="s">
        <v>3123</v>
      </c>
      <c r="G865" s="10">
        <v>43294</v>
      </c>
      <c r="H865" s="8" t="s">
        <v>109</v>
      </c>
      <c r="I865" s="11">
        <v>2000000</v>
      </c>
      <c r="J865" s="8" t="s">
        <v>378</v>
      </c>
      <c r="K865" s="8" t="s">
        <v>379</v>
      </c>
      <c r="L865" s="7">
        <v>2014</v>
      </c>
      <c r="M865" s="8" t="s">
        <v>382</v>
      </c>
      <c r="N865" s="11">
        <v>10111973</v>
      </c>
      <c r="O865" s="8" t="s">
        <v>383</v>
      </c>
      <c r="P865" s="8" t="s">
        <v>384</v>
      </c>
      <c r="Q865" s="8"/>
      <c r="R865" s="8" t="s">
        <v>382</v>
      </c>
    </row>
    <row r="866" spans="1:18" ht="26.15" customHeight="1">
      <c r="A866" s="7">
        <v>860</v>
      </c>
      <c r="B866" s="8" t="s">
        <v>4032</v>
      </c>
      <c r="C866" s="8" t="s">
        <v>3114</v>
      </c>
      <c r="D866" s="8" t="s">
        <v>4033</v>
      </c>
      <c r="E866" s="8" t="s">
        <v>3116</v>
      </c>
      <c r="F866" s="9" t="s">
        <v>3123</v>
      </c>
      <c r="G866" s="10">
        <v>43294</v>
      </c>
      <c r="H866" s="8" t="s">
        <v>109</v>
      </c>
      <c r="I866" s="11">
        <v>2000000</v>
      </c>
      <c r="J866" s="8" t="s">
        <v>378</v>
      </c>
      <c r="K866" s="8" t="s">
        <v>379</v>
      </c>
      <c r="L866" s="7">
        <v>2014</v>
      </c>
      <c r="M866" s="8" t="s">
        <v>382</v>
      </c>
      <c r="N866" s="11">
        <v>10111973</v>
      </c>
      <c r="O866" s="8" t="s">
        <v>383</v>
      </c>
      <c r="P866" s="8" t="s">
        <v>384</v>
      </c>
      <c r="Q866" s="8"/>
      <c r="R866" s="8" t="s">
        <v>39</v>
      </c>
    </row>
    <row r="867" spans="1:18" ht="26.15" customHeight="1">
      <c r="A867" s="7">
        <v>861</v>
      </c>
      <c r="B867" s="8" t="s">
        <v>4034</v>
      </c>
      <c r="C867" s="8" t="s">
        <v>3127</v>
      </c>
      <c r="D867" s="8"/>
      <c r="E867" s="8" t="s">
        <v>3128</v>
      </c>
      <c r="F867" s="9" t="s">
        <v>3123</v>
      </c>
      <c r="G867" s="10">
        <v>43294</v>
      </c>
      <c r="H867" s="8" t="s">
        <v>109</v>
      </c>
      <c r="I867" s="11">
        <v>2000000</v>
      </c>
      <c r="J867" s="8" t="s">
        <v>378</v>
      </c>
      <c r="K867" s="8" t="s">
        <v>379</v>
      </c>
      <c r="L867" s="7">
        <v>2014</v>
      </c>
      <c r="M867" s="8" t="s">
        <v>382</v>
      </c>
      <c r="N867" s="11">
        <v>10111973</v>
      </c>
      <c r="O867" s="8" t="s">
        <v>383</v>
      </c>
      <c r="P867" s="8" t="s">
        <v>384</v>
      </c>
      <c r="Q867" s="8"/>
      <c r="R867" s="8"/>
    </row>
    <row r="868" spans="1:18" ht="26.15" customHeight="1">
      <c r="A868" s="7">
        <v>862</v>
      </c>
      <c r="B868" s="8" t="s">
        <v>4035</v>
      </c>
      <c r="C868" s="8" t="s">
        <v>3127</v>
      </c>
      <c r="D868" s="8"/>
      <c r="E868" s="8" t="s">
        <v>3128</v>
      </c>
      <c r="F868" s="9" t="s">
        <v>3123</v>
      </c>
      <c r="G868" s="10">
        <v>43294</v>
      </c>
      <c r="H868" s="8" t="s">
        <v>109</v>
      </c>
      <c r="I868" s="11">
        <v>2000000</v>
      </c>
      <c r="J868" s="8" t="s">
        <v>378</v>
      </c>
      <c r="K868" s="8" t="s">
        <v>379</v>
      </c>
      <c r="L868" s="7">
        <v>2014</v>
      </c>
      <c r="M868" s="8" t="s">
        <v>382</v>
      </c>
      <c r="N868" s="11">
        <v>10111973</v>
      </c>
      <c r="O868" s="8" t="s">
        <v>383</v>
      </c>
      <c r="P868" s="8" t="s">
        <v>384</v>
      </c>
      <c r="Q868" s="8"/>
      <c r="R868" s="8"/>
    </row>
    <row r="869" spans="1:18" ht="26.15" customHeight="1">
      <c r="A869" s="7">
        <v>863</v>
      </c>
      <c r="B869" s="8" t="s">
        <v>1091</v>
      </c>
      <c r="C869" s="8" t="s">
        <v>3139</v>
      </c>
      <c r="D869" s="8" t="s">
        <v>3237</v>
      </c>
      <c r="E869" s="8" t="s">
        <v>3116</v>
      </c>
      <c r="F869" s="9" t="s">
        <v>3123</v>
      </c>
      <c r="G869" s="10">
        <v>43294</v>
      </c>
      <c r="H869" s="8" t="s">
        <v>109</v>
      </c>
      <c r="I869" s="11">
        <v>2000000</v>
      </c>
      <c r="J869" s="8" t="s">
        <v>378</v>
      </c>
      <c r="K869" s="8" t="s">
        <v>379</v>
      </c>
      <c r="L869" s="7">
        <v>2014</v>
      </c>
      <c r="M869" s="8" t="s">
        <v>382</v>
      </c>
      <c r="N869" s="11">
        <v>10111973</v>
      </c>
      <c r="O869" s="8" t="s">
        <v>383</v>
      </c>
      <c r="P869" s="8" t="s">
        <v>384</v>
      </c>
      <c r="Q869" s="8"/>
      <c r="R869" s="8" t="s">
        <v>3138</v>
      </c>
    </row>
    <row r="870" spans="1:18" ht="26.15" customHeight="1">
      <c r="A870" s="7">
        <v>864</v>
      </c>
      <c r="B870" s="8" t="s">
        <v>4036</v>
      </c>
      <c r="C870" s="8" t="s">
        <v>3127</v>
      </c>
      <c r="D870" s="8"/>
      <c r="E870" s="8" t="s">
        <v>3128</v>
      </c>
      <c r="F870" s="9" t="s">
        <v>3123</v>
      </c>
      <c r="G870" s="10">
        <v>43294</v>
      </c>
      <c r="H870" s="8" t="s">
        <v>109</v>
      </c>
      <c r="I870" s="11">
        <v>2000000</v>
      </c>
      <c r="J870" s="8" t="s">
        <v>378</v>
      </c>
      <c r="K870" s="8" t="s">
        <v>379</v>
      </c>
      <c r="L870" s="7">
        <v>2014</v>
      </c>
      <c r="M870" s="8" t="s">
        <v>382</v>
      </c>
      <c r="N870" s="11">
        <v>10111973</v>
      </c>
      <c r="O870" s="8" t="s">
        <v>383</v>
      </c>
      <c r="P870" s="8" t="s">
        <v>384</v>
      </c>
      <c r="Q870" s="8"/>
      <c r="R870" s="8"/>
    </row>
    <row r="871" spans="1:18" ht="26.15" customHeight="1">
      <c r="A871" s="7">
        <v>865</v>
      </c>
      <c r="B871" s="8" t="s">
        <v>4037</v>
      </c>
      <c r="C871" s="8" t="s">
        <v>3139</v>
      </c>
      <c r="D871" s="8" t="s">
        <v>4038</v>
      </c>
      <c r="E871" s="8" t="s">
        <v>3116</v>
      </c>
      <c r="F871" s="9" t="s">
        <v>3123</v>
      </c>
      <c r="G871" s="10">
        <v>43292</v>
      </c>
      <c r="H871" s="8" t="s">
        <v>289</v>
      </c>
      <c r="I871" s="11">
        <v>250000</v>
      </c>
      <c r="J871" s="8" t="s">
        <v>385</v>
      </c>
      <c r="K871" s="8" t="s">
        <v>386</v>
      </c>
      <c r="L871" s="7">
        <v>2016</v>
      </c>
      <c r="M871" s="8" t="s">
        <v>39</v>
      </c>
      <c r="N871" s="11">
        <v>14260613</v>
      </c>
      <c r="O871" s="8" t="s">
        <v>389</v>
      </c>
      <c r="P871" s="8" t="s">
        <v>390</v>
      </c>
      <c r="Q871" s="8"/>
      <c r="R871" s="8" t="s">
        <v>3194</v>
      </c>
    </row>
    <row r="872" spans="1:18" ht="26.15" customHeight="1">
      <c r="A872" s="7">
        <v>866</v>
      </c>
      <c r="B872" s="8" t="s">
        <v>3174</v>
      </c>
      <c r="C872" s="8" t="s">
        <v>3114</v>
      </c>
      <c r="D872" s="8" t="s">
        <v>3175</v>
      </c>
      <c r="E872" s="8" t="s">
        <v>3116</v>
      </c>
      <c r="F872" s="9" t="s">
        <v>3123</v>
      </c>
      <c r="G872" s="10">
        <v>43292</v>
      </c>
      <c r="H872" s="8" t="s">
        <v>184</v>
      </c>
      <c r="I872" s="11">
        <v>250000</v>
      </c>
      <c r="J872" s="8" t="s">
        <v>385</v>
      </c>
      <c r="K872" s="8" t="s">
        <v>386</v>
      </c>
      <c r="L872" s="7">
        <v>2016</v>
      </c>
      <c r="M872" s="8" t="s">
        <v>39</v>
      </c>
      <c r="N872" s="11">
        <v>14260613</v>
      </c>
      <c r="O872" s="8" t="s">
        <v>389</v>
      </c>
      <c r="P872" s="8" t="s">
        <v>390</v>
      </c>
      <c r="Q872" s="8"/>
      <c r="R872" s="8" t="s">
        <v>3176</v>
      </c>
    </row>
    <row r="873" spans="1:18" ht="26.15" customHeight="1">
      <c r="A873" s="7">
        <v>867</v>
      </c>
      <c r="B873" s="8" t="s">
        <v>4039</v>
      </c>
      <c r="C873" s="8" t="s">
        <v>3114</v>
      </c>
      <c r="D873" s="8" t="s">
        <v>4040</v>
      </c>
      <c r="E873" s="8" t="s">
        <v>3116</v>
      </c>
      <c r="F873" s="9" t="s">
        <v>3123</v>
      </c>
      <c r="G873" s="10">
        <v>43292</v>
      </c>
      <c r="H873" s="8" t="s">
        <v>184</v>
      </c>
      <c r="I873" s="11" t="s">
        <v>50</v>
      </c>
      <c r="J873" s="8" t="s">
        <v>1564</v>
      </c>
      <c r="K873" s="8" t="s">
        <v>1565</v>
      </c>
      <c r="L873" s="7">
        <v>2014</v>
      </c>
      <c r="M873" s="8" t="s">
        <v>1567</v>
      </c>
      <c r="N873" s="11"/>
      <c r="O873" s="8" t="s">
        <v>1568</v>
      </c>
      <c r="P873" s="8" t="s">
        <v>1569</v>
      </c>
      <c r="Q873" s="8"/>
      <c r="R873" s="8" t="s">
        <v>954</v>
      </c>
    </row>
    <row r="874" spans="1:18" ht="26.15" customHeight="1">
      <c r="A874" s="7">
        <v>868</v>
      </c>
      <c r="B874" s="8" t="s">
        <v>4041</v>
      </c>
      <c r="C874" s="8" t="s">
        <v>3127</v>
      </c>
      <c r="D874" s="8"/>
      <c r="E874" s="8" t="s">
        <v>3128</v>
      </c>
      <c r="F874" s="9" t="s">
        <v>3123</v>
      </c>
      <c r="G874" s="10">
        <v>43286</v>
      </c>
      <c r="H874" s="8" t="s">
        <v>34</v>
      </c>
      <c r="I874" s="11">
        <v>469800</v>
      </c>
      <c r="J874" s="8" t="s">
        <v>404</v>
      </c>
      <c r="K874" s="8" t="s">
        <v>405</v>
      </c>
      <c r="L874" s="7">
        <v>2016</v>
      </c>
      <c r="M874" s="8" t="s">
        <v>79</v>
      </c>
      <c r="N874" s="11">
        <v>8750809</v>
      </c>
      <c r="O874" s="8" t="s">
        <v>408</v>
      </c>
      <c r="P874" s="8" t="s">
        <v>409</v>
      </c>
      <c r="Q874" s="8"/>
      <c r="R874" s="8"/>
    </row>
    <row r="875" spans="1:18" ht="26.15" customHeight="1">
      <c r="A875" s="7">
        <v>869</v>
      </c>
      <c r="B875" s="8" t="s">
        <v>4042</v>
      </c>
      <c r="C875" s="8" t="s">
        <v>3127</v>
      </c>
      <c r="D875" s="8"/>
      <c r="E875" s="8" t="s">
        <v>3128</v>
      </c>
      <c r="F875" s="9" t="s">
        <v>3123</v>
      </c>
      <c r="G875" s="10">
        <v>43286</v>
      </c>
      <c r="H875" s="8" t="s">
        <v>34</v>
      </c>
      <c r="I875" s="11">
        <v>469800</v>
      </c>
      <c r="J875" s="8" t="s">
        <v>404</v>
      </c>
      <c r="K875" s="8" t="s">
        <v>405</v>
      </c>
      <c r="L875" s="7">
        <v>2016</v>
      </c>
      <c r="M875" s="8" t="s">
        <v>79</v>
      </c>
      <c r="N875" s="11">
        <v>8750809</v>
      </c>
      <c r="O875" s="8" t="s">
        <v>408</v>
      </c>
      <c r="P875" s="8" t="s">
        <v>409</v>
      </c>
      <c r="Q875" s="8"/>
      <c r="R875" s="8"/>
    </row>
    <row r="876" spans="1:18" ht="26.15" customHeight="1">
      <c r="A876" s="7">
        <v>870</v>
      </c>
      <c r="B876" s="8" t="s">
        <v>4043</v>
      </c>
      <c r="C876" s="8" t="s">
        <v>3127</v>
      </c>
      <c r="D876" s="8"/>
      <c r="E876" s="8" t="s">
        <v>3128</v>
      </c>
      <c r="F876" s="9" t="s">
        <v>3123</v>
      </c>
      <c r="G876" s="10">
        <v>43286</v>
      </c>
      <c r="H876" s="8" t="s">
        <v>34</v>
      </c>
      <c r="I876" s="11">
        <v>469800</v>
      </c>
      <c r="J876" s="8" t="s">
        <v>404</v>
      </c>
      <c r="K876" s="8" t="s">
        <v>405</v>
      </c>
      <c r="L876" s="7">
        <v>2016</v>
      </c>
      <c r="M876" s="8" t="s">
        <v>79</v>
      </c>
      <c r="N876" s="11">
        <v>8750809</v>
      </c>
      <c r="O876" s="8" t="s">
        <v>408</v>
      </c>
      <c r="P876" s="8" t="s">
        <v>409</v>
      </c>
      <c r="Q876" s="8"/>
      <c r="R876" s="8"/>
    </row>
    <row r="877" spans="1:18" ht="26.15" customHeight="1">
      <c r="A877" s="7">
        <v>871</v>
      </c>
      <c r="B877" s="8" t="s">
        <v>4044</v>
      </c>
      <c r="C877" s="8" t="s">
        <v>3127</v>
      </c>
      <c r="D877" s="8"/>
      <c r="E877" s="8" t="s">
        <v>3128</v>
      </c>
      <c r="F877" s="9" t="s">
        <v>3123</v>
      </c>
      <c r="G877" s="10">
        <v>43286</v>
      </c>
      <c r="H877" s="8" t="s">
        <v>34</v>
      </c>
      <c r="I877" s="11">
        <v>469800</v>
      </c>
      <c r="J877" s="8" t="s">
        <v>404</v>
      </c>
      <c r="K877" s="8" t="s">
        <v>405</v>
      </c>
      <c r="L877" s="7">
        <v>2016</v>
      </c>
      <c r="M877" s="8" t="s">
        <v>79</v>
      </c>
      <c r="N877" s="11">
        <v>8750809</v>
      </c>
      <c r="O877" s="8" t="s">
        <v>408</v>
      </c>
      <c r="P877" s="8" t="s">
        <v>409</v>
      </c>
      <c r="Q877" s="8"/>
      <c r="R877" s="8"/>
    </row>
    <row r="878" spans="1:18" ht="26.15" customHeight="1">
      <c r="A878" s="7">
        <v>872</v>
      </c>
      <c r="B878" s="8" t="s">
        <v>870</v>
      </c>
      <c r="C878" s="8" t="s">
        <v>3139</v>
      </c>
      <c r="D878" s="8" t="s">
        <v>3619</v>
      </c>
      <c r="E878" s="8" t="s">
        <v>3116</v>
      </c>
      <c r="F878" s="9" t="s">
        <v>3117</v>
      </c>
      <c r="G878" s="10">
        <v>43286</v>
      </c>
      <c r="H878" s="8" t="s">
        <v>34</v>
      </c>
      <c r="I878" s="11">
        <v>469800</v>
      </c>
      <c r="J878" s="8" t="s">
        <v>404</v>
      </c>
      <c r="K878" s="8" t="s">
        <v>405</v>
      </c>
      <c r="L878" s="7">
        <v>2016</v>
      </c>
      <c r="M878" s="8" t="s">
        <v>79</v>
      </c>
      <c r="N878" s="11">
        <v>8750809</v>
      </c>
      <c r="O878" s="8" t="s">
        <v>408</v>
      </c>
      <c r="P878" s="8" t="s">
        <v>409</v>
      </c>
      <c r="Q878" s="8"/>
      <c r="R878" s="8" t="s">
        <v>56</v>
      </c>
    </row>
    <row r="879" spans="1:18" ht="26.15" customHeight="1">
      <c r="A879" s="7">
        <v>873</v>
      </c>
      <c r="B879" s="8" t="s">
        <v>4045</v>
      </c>
      <c r="C879" s="8" t="s">
        <v>3127</v>
      </c>
      <c r="D879" s="8"/>
      <c r="E879" s="8" t="s">
        <v>3128</v>
      </c>
      <c r="F879" s="9" t="s">
        <v>3123</v>
      </c>
      <c r="G879" s="10">
        <v>43286</v>
      </c>
      <c r="H879" s="8" t="s">
        <v>34</v>
      </c>
      <c r="I879" s="11">
        <v>469800</v>
      </c>
      <c r="J879" s="8" t="s">
        <v>404</v>
      </c>
      <c r="K879" s="8" t="s">
        <v>405</v>
      </c>
      <c r="L879" s="7">
        <v>2016</v>
      </c>
      <c r="M879" s="8" t="s">
        <v>79</v>
      </c>
      <c r="N879" s="11">
        <v>8750809</v>
      </c>
      <c r="O879" s="8" t="s">
        <v>408</v>
      </c>
      <c r="P879" s="8" t="s">
        <v>409</v>
      </c>
      <c r="Q879" s="8"/>
      <c r="R879" s="8"/>
    </row>
    <row r="880" spans="1:18" ht="26.15" customHeight="1">
      <c r="A880" s="7">
        <v>874</v>
      </c>
      <c r="B880" s="8" t="s">
        <v>4046</v>
      </c>
      <c r="C880" s="8" t="s">
        <v>3127</v>
      </c>
      <c r="D880" s="8"/>
      <c r="E880" s="8" t="s">
        <v>3128</v>
      </c>
      <c r="F880" s="9" t="s">
        <v>3123</v>
      </c>
      <c r="G880" s="10">
        <v>43286</v>
      </c>
      <c r="H880" s="8" t="s">
        <v>34</v>
      </c>
      <c r="I880" s="11">
        <v>469800</v>
      </c>
      <c r="J880" s="8" t="s">
        <v>404</v>
      </c>
      <c r="K880" s="8" t="s">
        <v>405</v>
      </c>
      <c r="L880" s="7">
        <v>2016</v>
      </c>
      <c r="M880" s="8" t="s">
        <v>79</v>
      </c>
      <c r="N880" s="11">
        <v>8750809</v>
      </c>
      <c r="O880" s="8" t="s">
        <v>408</v>
      </c>
      <c r="P880" s="8" t="s">
        <v>409</v>
      </c>
      <c r="Q880" s="8"/>
      <c r="R880" s="8"/>
    </row>
    <row r="881" spans="1:18" ht="26.15" customHeight="1">
      <c r="A881" s="7">
        <v>875</v>
      </c>
      <c r="B881" s="8" t="s">
        <v>4047</v>
      </c>
      <c r="C881" s="8" t="s">
        <v>3127</v>
      </c>
      <c r="D881" s="8"/>
      <c r="E881" s="8" t="s">
        <v>3128</v>
      </c>
      <c r="F881" s="9" t="s">
        <v>3123</v>
      </c>
      <c r="G881" s="10">
        <v>43286</v>
      </c>
      <c r="H881" s="8" t="s">
        <v>34</v>
      </c>
      <c r="I881" s="11">
        <v>469800</v>
      </c>
      <c r="J881" s="8" t="s">
        <v>404</v>
      </c>
      <c r="K881" s="8" t="s">
        <v>405</v>
      </c>
      <c r="L881" s="7">
        <v>2016</v>
      </c>
      <c r="M881" s="8" t="s">
        <v>79</v>
      </c>
      <c r="N881" s="11">
        <v>8750809</v>
      </c>
      <c r="O881" s="8" t="s">
        <v>408</v>
      </c>
      <c r="P881" s="8" t="s">
        <v>409</v>
      </c>
      <c r="Q881" s="8"/>
      <c r="R881" s="8"/>
    </row>
    <row r="882" spans="1:18" ht="26.15" customHeight="1">
      <c r="A882" s="7">
        <v>876</v>
      </c>
      <c r="B882" s="8" t="s">
        <v>4048</v>
      </c>
      <c r="C882" s="8" t="s">
        <v>3127</v>
      </c>
      <c r="D882" s="8"/>
      <c r="E882" s="8" t="s">
        <v>3128</v>
      </c>
      <c r="F882" s="9" t="s">
        <v>3123</v>
      </c>
      <c r="G882" s="10">
        <v>43286</v>
      </c>
      <c r="H882" s="8" t="s">
        <v>34</v>
      </c>
      <c r="I882" s="11">
        <v>469800</v>
      </c>
      <c r="J882" s="8" t="s">
        <v>404</v>
      </c>
      <c r="K882" s="8" t="s">
        <v>405</v>
      </c>
      <c r="L882" s="7">
        <v>2016</v>
      </c>
      <c r="M882" s="8" t="s">
        <v>79</v>
      </c>
      <c r="N882" s="11">
        <v>8750809</v>
      </c>
      <c r="O882" s="8" t="s">
        <v>408</v>
      </c>
      <c r="P882" s="8" t="s">
        <v>409</v>
      </c>
      <c r="Q882" s="8"/>
      <c r="R882" s="8"/>
    </row>
    <row r="883" spans="1:18" ht="26.15" customHeight="1">
      <c r="A883" s="7">
        <v>877</v>
      </c>
      <c r="B883" s="8" t="s">
        <v>4049</v>
      </c>
      <c r="C883" s="8" t="s">
        <v>3127</v>
      </c>
      <c r="D883" s="8"/>
      <c r="E883" s="8" t="s">
        <v>3128</v>
      </c>
      <c r="F883" s="9" t="s">
        <v>3123</v>
      </c>
      <c r="G883" s="10">
        <v>43286</v>
      </c>
      <c r="H883" s="8" t="s">
        <v>34</v>
      </c>
      <c r="I883" s="11">
        <v>469800</v>
      </c>
      <c r="J883" s="8" t="s">
        <v>404</v>
      </c>
      <c r="K883" s="8" t="s">
        <v>405</v>
      </c>
      <c r="L883" s="7">
        <v>2016</v>
      </c>
      <c r="M883" s="8" t="s">
        <v>79</v>
      </c>
      <c r="N883" s="11">
        <v>8750809</v>
      </c>
      <c r="O883" s="8" t="s">
        <v>408</v>
      </c>
      <c r="P883" s="8" t="s">
        <v>409</v>
      </c>
      <c r="Q883" s="8"/>
      <c r="R883" s="8"/>
    </row>
    <row r="884" spans="1:18" ht="26.15" customHeight="1">
      <c r="A884" s="7">
        <v>878</v>
      </c>
      <c r="B884" s="8" t="s">
        <v>4050</v>
      </c>
      <c r="C884" s="8" t="s">
        <v>3127</v>
      </c>
      <c r="D884" s="8"/>
      <c r="E884" s="8" t="s">
        <v>3128</v>
      </c>
      <c r="F884" s="9" t="s">
        <v>3123</v>
      </c>
      <c r="G884" s="10">
        <v>43286</v>
      </c>
      <c r="H884" s="8" t="s">
        <v>34</v>
      </c>
      <c r="I884" s="11">
        <v>469800</v>
      </c>
      <c r="J884" s="8" t="s">
        <v>404</v>
      </c>
      <c r="K884" s="8" t="s">
        <v>405</v>
      </c>
      <c r="L884" s="7">
        <v>2016</v>
      </c>
      <c r="M884" s="8" t="s">
        <v>79</v>
      </c>
      <c r="N884" s="11">
        <v>8750809</v>
      </c>
      <c r="O884" s="8" t="s">
        <v>408</v>
      </c>
      <c r="P884" s="8" t="s">
        <v>409</v>
      </c>
      <c r="Q884" s="8"/>
      <c r="R884" s="8"/>
    </row>
    <row r="885" spans="1:18" ht="26.15" customHeight="1">
      <c r="A885" s="7">
        <v>879</v>
      </c>
      <c r="B885" s="8" t="s">
        <v>4051</v>
      </c>
      <c r="C885" s="8" t="s">
        <v>3127</v>
      </c>
      <c r="D885" s="8"/>
      <c r="E885" s="8" t="s">
        <v>3128</v>
      </c>
      <c r="F885" s="9" t="s">
        <v>3123</v>
      </c>
      <c r="G885" s="10">
        <v>43286</v>
      </c>
      <c r="H885" s="8" t="s">
        <v>34</v>
      </c>
      <c r="I885" s="11">
        <v>469800</v>
      </c>
      <c r="J885" s="8" t="s">
        <v>404</v>
      </c>
      <c r="K885" s="8" t="s">
        <v>405</v>
      </c>
      <c r="L885" s="7">
        <v>2016</v>
      </c>
      <c r="M885" s="8" t="s">
        <v>79</v>
      </c>
      <c r="N885" s="11">
        <v>8750809</v>
      </c>
      <c r="O885" s="8" t="s">
        <v>408</v>
      </c>
      <c r="P885" s="8" t="s">
        <v>409</v>
      </c>
      <c r="Q885" s="8"/>
      <c r="R885" s="8"/>
    </row>
    <row r="886" spans="1:18" ht="26.15" customHeight="1">
      <c r="A886" s="7">
        <v>880</v>
      </c>
      <c r="B886" s="8" t="s">
        <v>2243</v>
      </c>
      <c r="C886" s="8" t="s">
        <v>3127</v>
      </c>
      <c r="D886" s="8"/>
      <c r="E886" s="8" t="s">
        <v>3128</v>
      </c>
      <c r="F886" s="9" t="s">
        <v>3123</v>
      </c>
      <c r="G886" s="10">
        <v>43286</v>
      </c>
      <c r="H886" s="8" t="s">
        <v>34</v>
      </c>
      <c r="I886" s="11">
        <v>469800</v>
      </c>
      <c r="J886" s="8" t="s">
        <v>404</v>
      </c>
      <c r="K886" s="8" t="s">
        <v>405</v>
      </c>
      <c r="L886" s="7">
        <v>2016</v>
      </c>
      <c r="M886" s="8" t="s">
        <v>79</v>
      </c>
      <c r="N886" s="11">
        <v>8750809</v>
      </c>
      <c r="O886" s="8" t="s">
        <v>408</v>
      </c>
      <c r="P886" s="8" t="s">
        <v>409</v>
      </c>
      <c r="Q886" s="8"/>
      <c r="R886" s="8"/>
    </row>
    <row r="887" spans="1:18" ht="26.15" customHeight="1">
      <c r="A887" s="7">
        <v>881</v>
      </c>
      <c r="B887" s="8" t="s">
        <v>4052</v>
      </c>
      <c r="C887" s="8" t="s">
        <v>3127</v>
      </c>
      <c r="D887" s="8"/>
      <c r="E887" s="8" t="s">
        <v>3128</v>
      </c>
      <c r="F887" s="9" t="s">
        <v>3123</v>
      </c>
      <c r="G887" s="10">
        <v>43286</v>
      </c>
      <c r="H887" s="8" t="s">
        <v>34</v>
      </c>
      <c r="I887" s="11">
        <v>469800</v>
      </c>
      <c r="J887" s="8" t="s">
        <v>404</v>
      </c>
      <c r="K887" s="8" t="s">
        <v>405</v>
      </c>
      <c r="L887" s="7">
        <v>2016</v>
      </c>
      <c r="M887" s="8" t="s">
        <v>79</v>
      </c>
      <c r="N887" s="11">
        <v>8750809</v>
      </c>
      <c r="O887" s="8" t="s">
        <v>408</v>
      </c>
      <c r="P887" s="8" t="s">
        <v>409</v>
      </c>
      <c r="Q887" s="8"/>
      <c r="R887" s="8"/>
    </row>
    <row r="888" spans="1:18" ht="26.15" customHeight="1">
      <c r="A888" s="7">
        <v>882</v>
      </c>
      <c r="B888" s="8" t="s">
        <v>4053</v>
      </c>
      <c r="C888" s="8" t="s">
        <v>3127</v>
      </c>
      <c r="D888" s="8"/>
      <c r="E888" s="8" t="s">
        <v>3128</v>
      </c>
      <c r="F888" s="9" t="s">
        <v>3123</v>
      </c>
      <c r="G888" s="10">
        <v>43286</v>
      </c>
      <c r="H888" s="8" t="s">
        <v>34</v>
      </c>
      <c r="I888" s="11">
        <v>469800</v>
      </c>
      <c r="J888" s="8" t="s">
        <v>404</v>
      </c>
      <c r="K888" s="8" t="s">
        <v>405</v>
      </c>
      <c r="L888" s="7">
        <v>2016</v>
      </c>
      <c r="M888" s="8" t="s">
        <v>79</v>
      </c>
      <c r="N888" s="11">
        <v>8750809</v>
      </c>
      <c r="O888" s="8" t="s">
        <v>408</v>
      </c>
      <c r="P888" s="8" t="s">
        <v>409</v>
      </c>
      <c r="Q888" s="8"/>
      <c r="R888" s="8"/>
    </row>
    <row r="889" spans="1:18" ht="26.15" customHeight="1">
      <c r="A889" s="7">
        <v>883</v>
      </c>
      <c r="B889" s="8" t="s">
        <v>4054</v>
      </c>
      <c r="C889" s="8" t="s">
        <v>3127</v>
      </c>
      <c r="D889" s="8"/>
      <c r="E889" s="8" t="s">
        <v>3128</v>
      </c>
      <c r="F889" s="9" t="s">
        <v>3123</v>
      </c>
      <c r="G889" s="10">
        <v>43286</v>
      </c>
      <c r="H889" s="8" t="s">
        <v>34</v>
      </c>
      <c r="I889" s="11">
        <v>469800</v>
      </c>
      <c r="J889" s="8" t="s">
        <v>404</v>
      </c>
      <c r="K889" s="8" t="s">
        <v>405</v>
      </c>
      <c r="L889" s="7">
        <v>2016</v>
      </c>
      <c r="M889" s="8" t="s">
        <v>79</v>
      </c>
      <c r="N889" s="11">
        <v>8750809</v>
      </c>
      <c r="O889" s="8" t="s">
        <v>408</v>
      </c>
      <c r="P889" s="8" t="s">
        <v>409</v>
      </c>
      <c r="Q889" s="8"/>
      <c r="R889" s="8"/>
    </row>
    <row r="890" spans="1:18" ht="26.15" customHeight="1">
      <c r="A890" s="7">
        <v>884</v>
      </c>
      <c r="B890" s="8" t="s">
        <v>4055</v>
      </c>
      <c r="C890" s="8" t="s">
        <v>3127</v>
      </c>
      <c r="D890" s="8"/>
      <c r="E890" s="8" t="s">
        <v>3128</v>
      </c>
      <c r="F890" s="9" t="s">
        <v>3123</v>
      </c>
      <c r="G890" s="10">
        <v>43286</v>
      </c>
      <c r="H890" s="8" t="s">
        <v>34</v>
      </c>
      <c r="I890" s="11">
        <v>469800</v>
      </c>
      <c r="J890" s="8" t="s">
        <v>404</v>
      </c>
      <c r="K890" s="8" t="s">
        <v>405</v>
      </c>
      <c r="L890" s="7">
        <v>2016</v>
      </c>
      <c r="M890" s="8" t="s">
        <v>79</v>
      </c>
      <c r="N890" s="11">
        <v>8750809</v>
      </c>
      <c r="O890" s="8" t="s">
        <v>408</v>
      </c>
      <c r="P890" s="8" t="s">
        <v>409</v>
      </c>
      <c r="Q890" s="8"/>
      <c r="R890" s="8"/>
    </row>
    <row r="891" spans="1:18" ht="26.15" customHeight="1">
      <c r="A891" s="7">
        <v>885</v>
      </c>
      <c r="B891" s="8" t="s">
        <v>4056</v>
      </c>
      <c r="C891" s="8" t="s">
        <v>3127</v>
      </c>
      <c r="D891" s="8"/>
      <c r="E891" s="8" t="s">
        <v>3128</v>
      </c>
      <c r="F891" s="9" t="s">
        <v>3123</v>
      </c>
      <c r="G891" s="10">
        <v>43286</v>
      </c>
      <c r="H891" s="8" t="s">
        <v>34</v>
      </c>
      <c r="I891" s="11">
        <v>469800</v>
      </c>
      <c r="J891" s="8" t="s">
        <v>404</v>
      </c>
      <c r="K891" s="8" t="s">
        <v>405</v>
      </c>
      <c r="L891" s="7">
        <v>2016</v>
      </c>
      <c r="M891" s="8" t="s">
        <v>79</v>
      </c>
      <c r="N891" s="11">
        <v>8750809</v>
      </c>
      <c r="O891" s="8" t="s">
        <v>408</v>
      </c>
      <c r="P891" s="8" t="s">
        <v>409</v>
      </c>
      <c r="Q891" s="8"/>
      <c r="R891" s="8"/>
    </row>
    <row r="892" spans="1:18" ht="26.15" customHeight="1">
      <c r="A892" s="7">
        <v>886</v>
      </c>
      <c r="B892" s="8" t="s">
        <v>4057</v>
      </c>
      <c r="C892" s="8" t="s">
        <v>3127</v>
      </c>
      <c r="D892" s="8"/>
      <c r="E892" s="8" t="s">
        <v>3128</v>
      </c>
      <c r="F892" s="9" t="s">
        <v>3123</v>
      </c>
      <c r="G892" s="10">
        <v>43286</v>
      </c>
      <c r="H892" s="8" t="s">
        <v>34</v>
      </c>
      <c r="I892" s="11">
        <v>469800</v>
      </c>
      <c r="J892" s="8" t="s">
        <v>404</v>
      </c>
      <c r="K892" s="8" t="s">
        <v>405</v>
      </c>
      <c r="L892" s="7">
        <v>2016</v>
      </c>
      <c r="M892" s="8" t="s">
        <v>79</v>
      </c>
      <c r="N892" s="11">
        <v>8750809</v>
      </c>
      <c r="O892" s="8" t="s">
        <v>408</v>
      </c>
      <c r="P892" s="8" t="s">
        <v>409</v>
      </c>
      <c r="Q892" s="8"/>
      <c r="R892" s="8"/>
    </row>
    <row r="893" spans="1:18" ht="26.15" customHeight="1">
      <c r="A893" s="7">
        <v>887</v>
      </c>
      <c r="B893" s="8" t="s">
        <v>4058</v>
      </c>
      <c r="C893" s="8" t="s">
        <v>3127</v>
      </c>
      <c r="D893" s="8"/>
      <c r="E893" s="8" t="s">
        <v>3128</v>
      </c>
      <c r="F893" s="9" t="s">
        <v>3123</v>
      </c>
      <c r="G893" s="10">
        <v>43286</v>
      </c>
      <c r="H893" s="8" t="s">
        <v>34</v>
      </c>
      <c r="I893" s="11">
        <v>469800</v>
      </c>
      <c r="J893" s="8" t="s">
        <v>404</v>
      </c>
      <c r="K893" s="8" t="s">
        <v>405</v>
      </c>
      <c r="L893" s="7">
        <v>2016</v>
      </c>
      <c r="M893" s="8" t="s">
        <v>79</v>
      </c>
      <c r="N893" s="11">
        <v>8750809</v>
      </c>
      <c r="O893" s="8" t="s">
        <v>408</v>
      </c>
      <c r="P893" s="8" t="s">
        <v>409</v>
      </c>
      <c r="Q893" s="8"/>
      <c r="R893" s="8"/>
    </row>
    <row r="894" spans="1:18" ht="26.15" customHeight="1">
      <c r="A894" s="7">
        <v>888</v>
      </c>
      <c r="B894" s="8" t="s">
        <v>1572</v>
      </c>
      <c r="C894" s="8" t="s">
        <v>3114</v>
      </c>
      <c r="D894" s="8" t="s">
        <v>4059</v>
      </c>
      <c r="E894" s="8" t="s">
        <v>3116</v>
      </c>
      <c r="F894" s="9" t="s">
        <v>3117</v>
      </c>
      <c r="G894" s="10">
        <v>43285</v>
      </c>
      <c r="H894" s="8" t="s">
        <v>109</v>
      </c>
      <c r="I894" s="11" t="s">
        <v>50</v>
      </c>
      <c r="J894" s="8" t="s">
        <v>871</v>
      </c>
      <c r="K894" s="8" t="s">
        <v>872</v>
      </c>
      <c r="L894" s="7">
        <v>2013</v>
      </c>
      <c r="M894" s="8" t="s">
        <v>875</v>
      </c>
      <c r="N894" s="11"/>
      <c r="O894" s="8" t="s">
        <v>876</v>
      </c>
      <c r="P894" s="8" t="s">
        <v>877</v>
      </c>
      <c r="Q894" s="8"/>
      <c r="R894" s="8" t="s">
        <v>278</v>
      </c>
    </row>
    <row r="895" spans="1:18" ht="26.15" customHeight="1">
      <c r="A895" s="7">
        <v>889</v>
      </c>
      <c r="B895" s="8" t="s">
        <v>1534</v>
      </c>
      <c r="C895" s="8" t="s">
        <v>3114</v>
      </c>
      <c r="D895" s="8" t="s">
        <v>3766</v>
      </c>
      <c r="E895" s="8" t="s">
        <v>3116</v>
      </c>
      <c r="F895" s="9" t="s">
        <v>3123</v>
      </c>
      <c r="G895" s="10">
        <v>43282</v>
      </c>
      <c r="H895" s="8" t="s">
        <v>34</v>
      </c>
      <c r="I895" s="11" t="s">
        <v>50</v>
      </c>
      <c r="J895" s="8" t="s">
        <v>1205</v>
      </c>
      <c r="K895" s="8" t="s">
        <v>1206</v>
      </c>
      <c r="L895" s="7">
        <v>2014</v>
      </c>
      <c r="M895" s="8" t="s">
        <v>39</v>
      </c>
      <c r="N895" s="11"/>
      <c r="O895" s="8" t="s">
        <v>1209</v>
      </c>
      <c r="P895" s="8" t="s">
        <v>1210</v>
      </c>
      <c r="Q895" s="8"/>
      <c r="R895" s="8" t="s">
        <v>3632</v>
      </c>
    </row>
    <row r="896" spans="1:18" ht="26.15" customHeight="1">
      <c r="A896" s="7">
        <v>890</v>
      </c>
      <c r="B896" s="8" t="s">
        <v>3376</v>
      </c>
      <c r="C896" s="8" t="s">
        <v>3127</v>
      </c>
      <c r="D896" s="8"/>
      <c r="E896" s="8" t="s">
        <v>3128</v>
      </c>
      <c r="F896" s="9" t="s">
        <v>3117</v>
      </c>
      <c r="G896" s="10">
        <v>43277</v>
      </c>
      <c r="H896" s="8" t="s">
        <v>124</v>
      </c>
      <c r="I896" s="11">
        <v>176255</v>
      </c>
      <c r="J896" s="8" t="s">
        <v>391</v>
      </c>
      <c r="K896" s="8" t="s">
        <v>392</v>
      </c>
      <c r="L896" s="7">
        <v>2017</v>
      </c>
      <c r="M896" s="8" t="s">
        <v>395</v>
      </c>
      <c r="N896" s="11">
        <v>751549</v>
      </c>
      <c r="O896" s="8" t="s">
        <v>396</v>
      </c>
      <c r="P896" s="8" t="s">
        <v>397</v>
      </c>
      <c r="Q896" s="8"/>
      <c r="R896" s="8"/>
    </row>
    <row r="897" spans="1:18" ht="26.15" customHeight="1">
      <c r="A897" s="7">
        <v>891</v>
      </c>
      <c r="B897" s="8" t="s">
        <v>3377</v>
      </c>
      <c r="C897" s="8" t="s">
        <v>3127</v>
      </c>
      <c r="D897" s="8"/>
      <c r="E897" s="8" t="s">
        <v>3128</v>
      </c>
      <c r="F897" s="9" t="s">
        <v>3117</v>
      </c>
      <c r="G897" s="10">
        <v>43277</v>
      </c>
      <c r="H897" s="8" t="s">
        <v>124</v>
      </c>
      <c r="I897" s="11">
        <v>176255</v>
      </c>
      <c r="J897" s="8" t="s">
        <v>391</v>
      </c>
      <c r="K897" s="8" t="s">
        <v>392</v>
      </c>
      <c r="L897" s="7">
        <v>2017</v>
      </c>
      <c r="M897" s="8" t="s">
        <v>395</v>
      </c>
      <c r="N897" s="11">
        <v>751549</v>
      </c>
      <c r="O897" s="8" t="s">
        <v>396</v>
      </c>
      <c r="P897" s="8" t="s">
        <v>397</v>
      </c>
      <c r="Q897" s="8"/>
      <c r="R897" s="8"/>
    </row>
    <row r="898" spans="1:18" ht="26.15" customHeight="1">
      <c r="A898" s="7">
        <v>892</v>
      </c>
      <c r="B898" s="8" t="s">
        <v>1908</v>
      </c>
      <c r="C898" s="8" t="s">
        <v>3127</v>
      </c>
      <c r="D898" s="8"/>
      <c r="E898" s="8" t="s">
        <v>3128</v>
      </c>
      <c r="F898" s="9" t="s">
        <v>3123</v>
      </c>
      <c r="G898" s="10">
        <v>43277</v>
      </c>
      <c r="H898" s="8" t="s">
        <v>124</v>
      </c>
      <c r="I898" s="11">
        <v>176255</v>
      </c>
      <c r="J898" s="8" t="s">
        <v>391</v>
      </c>
      <c r="K898" s="8" t="s">
        <v>392</v>
      </c>
      <c r="L898" s="7">
        <v>2017</v>
      </c>
      <c r="M898" s="8" t="s">
        <v>395</v>
      </c>
      <c r="N898" s="11">
        <v>751549</v>
      </c>
      <c r="O898" s="8" t="s">
        <v>396</v>
      </c>
      <c r="P898" s="8" t="s">
        <v>397</v>
      </c>
      <c r="Q898" s="8"/>
      <c r="R898" s="8"/>
    </row>
    <row r="899" spans="1:18" ht="26.15" customHeight="1">
      <c r="A899" s="7">
        <v>893</v>
      </c>
      <c r="B899" s="8" t="s">
        <v>4060</v>
      </c>
      <c r="C899" s="8" t="s">
        <v>3127</v>
      </c>
      <c r="D899" s="8"/>
      <c r="E899" s="8" t="s">
        <v>3128</v>
      </c>
      <c r="F899" s="9" t="s">
        <v>3123</v>
      </c>
      <c r="G899" s="10">
        <v>43277</v>
      </c>
      <c r="H899" s="8" t="s">
        <v>124</v>
      </c>
      <c r="I899" s="11">
        <v>176255</v>
      </c>
      <c r="J899" s="8" t="s">
        <v>391</v>
      </c>
      <c r="K899" s="8" t="s">
        <v>392</v>
      </c>
      <c r="L899" s="7">
        <v>2017</v>
      </c>
      <c r="M899" s="8" t="s">
        <v>395</v>
      </c>
      <c r="N899" s="11">
        <v>751549</v>
      </c>
      <c r="O899" s="8" t="s">
        <v>396</v>
      </c>
      <c r="P899" s="8" t="s">
        <v>397</v>
      </c>
      <c r="Q899" s="8"/>
      <c r="R899" s="8"/>
    </row>
    <row r="900" spans="1:18" ht="26.15" customHeight="1">
      <c r="A900" s="7">
        <v>894</v>
      </c>
      <c r="B900" s="8" t="s">
        <v>4061</v>
      </c>
      <c r="C900" s="8" t="s">
        <v>3127</v>
      </c>
      <c r="D900" s="8"/>
      <c r="E900" s="8" t="s">
        <v>3128</v>
      </c>
      <c r="F900" s="9" t="s">
        <v>3117</v>
      </c>
      <c r="G900" s="10">
        <v>43277</v>
      </c>
      <c r="H900" s="8" t="s">
        <v>124</v>
      </c>
      <c r="I900" s="11">
        <v>176255</v>
      </c>
      <c r="J900" s="8" t="s">
        <v>391</v>
      </c>
      <c r="K900" s="8" t="s">
        <v>392</v>
      </c>
      <c r="L900" s="7">
        <v>2017</v>
      </c>
      <c r="M900" s="8" t="s">
        <v>395</v>
      </c>
      <c r="N900" s="11">
        <v>751549</v>
      </c>
      <c r="O900" s="8" t="s">
        <v>396</v>
      </c>
      <c r="P900" s="8" t="s">
        <v>397</v>
      </c>
      <c r="Q900" s="8"/>
      <c r="R900" s="8"/>
    </row>
    <row r="901" spans="1:18" ht="26.15" customHeight="1">
      <c r="A901" s="7">
        <v>895</v>
      </c>
      <c r="B901" s="8" t="s">
        <v>4039</v>
      </c>
      <c r="C901" s="8" t="s">
        <v>3114</v>
      </c>
      <c r="D901" s="8" t="s">
        <v>4040</v>
      </c>
      <c r="E901" s="8" t="s">
        <v>3116</v>
      </c>
      <c r="F901" s="9" t="s">
        <v>3123</v>
      </c>
      <c r="G901" s="10">
        <v>43270</v>
      </c>
      <c r="H901" s="8" t="s">
        <v>34</v>
      </c>
      <c r="I901" s="11">
        <v>3000000</v>
      </c>
      <c r="J901" s="8" t="s">
        <v>1576</v>
      </c>
      <c r="K901" s="8" t="s">
        <v>1577</v>
      </c>
      <c r="L901" s="7">
        <v>2016</v>
      </c>
      <c r="M901" s="8" t="s">
        <v>1578</v>
      </c>
      <c r="N901" s="11">
        <v>3000000</v>
      </c>
      <c r="O901" s="8" t="s">
        <v>1579</v>
      </c>
      <c r="P901" s="8" t="s">
        <v>1580</v>
      </c>
      <c r="Q901" s="8"/>
      <c r="R901" s="8" t="s">
        <v>954</v>
      </c>
    </row>
    <row r="902" spans="1:18" ht="26.15" customHeight="1">
      <c r="A902" s="7">
        <v>896</v>
      </c>
      <c r="B902" s="8" t="s">
        <v>786</v>
      </c>
      <c r="C902" s="8" t="s">
        <v>3114</v>
      </c>
      <c r="D902" s="8" t="s">
        <v>3579</v>
      </c>
      <c r="E902" s="8" t="s">
        <v>3116</v>
      </c>
      <c r="F902" s="9" t="s">
        <v>3123</v>
      </c>
      <c r="G902" s="10">
        <v>43269</v>
      </c>
      <c r="H902" s="8" t="s">
        <v>34</v>
      </c>
      <c r="I902" s="11">
        <v>100000</v>
      </c>
      <c r="J902" s="8" t="s">
        <v>1581</v>
      </c>
      <c r="K902" s="8" t="s">
        <v>1582</v>
      </c>
      <c r="L902" s="7">
        <v>2014</v>
      </c>
      <c r="M902" s="8" t="s">
        <v>1583</v>
      </c>
      <c r="N902" s="11">
        <v>1150000</v>
      </c>
      <c r="O902" s="8" t="s">
        <v>1584</v>
      </c>
      <c r="P902" s="8" t="s">
        <v>1585</v>
      </c>
      <c r="Q902" s="8"/>
      <c r="R902" s="8" t="s">
        <v>3580</v>
      </c>
    </row>
    <row r="903" spans="1:18" ht="26.15" customHeight="1">
      <c r="A903" s="7">
        <v>897</v>
      </c>
      <c r="B903" s="8" t="s">
        <v>786</v>
      </c>
      <c r="C903" s="8" t="s">
        <v>3114</v>
      </c>
      <c r="D903" s="8" t="s">
        <v>3579</v>
      </c>
      <c r="E903" s="8" t="s">
        <v>3116</v>
      </c>
      <c r="F903" s="9" t="s">
        <v>3117</v>
      </c>
      <c r="G903" s="10">
        <v>43269</v>
      </c>
      <c r="H903" s="8" t="s">
        <v>34</v>
      </c>
      <c r="I903" s="11">
        <v>100000</v>
      </c>
      <c r="J903" s="8" t="s">
        <v>1586</v>
      </c>
      <c r="K903" s="8" t="s">
        <v>1587</v>
      </c>
      <c r="L903" s="7">
        <v>2014</v>
      </c>
      <c r="M903" s="8" t="s">
        <v>1588</v>
      </c>
      <c r="N903" s="11">
        <v>1600000</v>
      </c>
      <c r="O903" s="8" t="s">
        <v>1589</v>
      </c>
      <c r="P903" s="8" t="s">
        <v>1590</v>
      </c>
      <c r="Q903" s="8"/>
      <c r="R903" s="8" t="s">
        <v>3580</v>
      </c>
    </row>
    <row r="904" spans="1:18" ht="26.15" customHeight="1">
      <c r="A904" s="7">
        <v>898</v>
      </c>
      <c r="B904" s="8" t="s">
        <v>786</v>
      </c>
      <c r="C904" s="8" t="s">
        <v>3114</v>
      </c>
      <c r="D904" s="8" t="s">
        <v>3579</v>
      </c>
      <c r="E904" s="8" t="s">
        <v>3116</v>
      </c>
      <c r="F904" s="9" t="s">
        <v>3123</v>
      </c>
      <c r="G904" s="10">
        <v>43269</v>
      </c>
      <c r="H904" s="8" t="s">
        <v>34</v>
      </c>
      <c r="I904" s="11">
        <v>100000</v>
      </c>
      <c r="J904" s="8" t="s">
        <v>1591</v>
      </c>
      <c r="K904" s="8" t="s">
        <v>1592</v>
      </c>
      <c r="L904" s="7">
        <v>2017</v>
      </c>
      <c r="M904" s="8" t="s">
        <v>1588</v>
      </c>
      <c r="N904" s="11">
        <v>100000</v>
      </c>
      <c r="O904" s="8" t="s">
        <v>1593</v>
      </c>
      <c r="P904" s="8" t="s">
        <v>1594</v>
      </c>
      <c r="Q904" s="8"/>
      <c r="R904" s="8" t="s">
        <v>3580</v>
      </c>
    </row>
    <row r="905" spans="1:18" ht="26.15" customHeight="1">
      <c r="A905" s="7">
        <v>899</v>
      </c>
      <c r="B905" s="8" t="s">
        <v>4062</v>
      </c>
      <c r="C905" s="8" t="s">
        <v>3139</v>
      </c>
      <c r="D905" s="8" t="s">
        <v>4063</v>
      </c>
      <c r="E905" s="8" t="s">
        <v>3116</v>
      </c>
      <c r="F905" s="9" t="s">
        <v>3123</v>
      </c>
      <c r="G905" s="10">
        <v>43257</v>
      </c>
      <c r="H905" s="8" t="s">
        <v>109</v>
      </c>
      <c r="I905" s="11">
        <v>2653460</v>
      </c>
      <c r="J905" s="8" t="s">
        <v>1595</v>
      </c>
      <c r="K905" s="8" t="s">
        <v>1596</v>
      </c>
      <c r="L905" s="7">
        <v>2013</v>
      </c>
      <c r="M905" s="8" t="s">
        <v>1598</v>
      </c>
      <c r="N905" s="11">
        <v>2653460</v>
      </c>
      <c r="O905" s="8" t="s">
        <v>1599</v>
      </c>
      <c r="P905" s="8" t="s">
        <v>1447</v>
      </c>
      <c r="Q905" s="8"/>
      <c r="R905" s="8" t="s">
        <v>4064</v>
      </c>
    </row>
    <row r="906" spans="1:18" ht="26.15" customHeight="1">
      <c r="A906" s="7">
        <v>900</v>
      </c>
      <c r="B906" s="8" t="s">
        <v>4065</v>
      </c>
      <c r="C906" s="8" t="s">
        <v>3139</v>
      </c>
      <c r="D906" s="8" t="s">
        <v>4066</v>
      </c>
      <c r="E906" s="8" t="s">
        <v>3116</v>
      </c>
      <c r="F906" s="9" t="s">
        <v>3117</v>
      </c>
      <c r="G906" s="10">
        <v>43256</v>
      </c>
      <c r="H906" s="8" t="s">
        <v>34</v>
      </c>
      <c r="I906" s="11">
        <v>1850000</v>
      </c>
      <c r="J906" s="8" t="s">
        <v>191</v>
      </c>
      <c r="K906" s="8" t="s">
        <v>192</v>
      </c>
      <c r="L906" s="7">
        <v>2015</v>
      </c>
      <c r="M906" s="8" t="s">
        <v>195</v>
      </c>
      <c r="N906" s="11">
        <v>5000000</v>
      </c>
      <c r="O906" s="8" t="s">
        <v>196</v>
      </c>
      <c r="P906" s="8" t="s">
        <v>197</v>
      </c>
      <c r="Q906" s="8"/>
      <c r="R906" s="8" t="s">
        <v>3570</v>
      </c>
    </row>
    <row r="907" spans="1:18" ht="26.15" customHeight="1">
      <c r="A907" s="7">
        <v>901</v>
      </c>
      <c r="B907" s="8" t="s">
        <v>4067</v>
      </c>
      <c r="C907" s="8" t="s">
        <v>3139</v>
      </c>
      <c r="D907" s="8" t="s">
        <v>4068</v>
      </c>
      <c r="E907" s="8" t="s">
        <v>3116</v>
      </c>
      <c r="F907" s="9" t="s">
        <v>3117</v>
      </c>
      <c r="G907" s="10">
        <v>43256</v>
      </c>
      <c r="H907" s="8" t="s">
        <v>34</v>
      </c>
      <c r="I907" s="11">
        <v>1850000</v>
      </c>
      <c r="J907" s="8" t="s">
        <v>191</v>
      </c>
      <c r="K907" s="8" t="s">
        <v>192</v>
      </c>
      <c r="L907" s="7">
        <v>2015</v>
      </c>
      <c r="M907" s="8" t="s">
        <v>195</v>
      </c>
      <c r="N907" s="11">
        <v>5000000</v>
      </c>
      <c r="O907" s="8" t="s">
        <v>196</v>
      </c>
      <c r="P907" s="8" t="s">
        <v>197</v>
      </c>
      <c r="Q907" s="8"/>
      <c r="R907" s="8" t="s">
        <v>1300</v>
      </c>
    </row>
    <row r="908" spans="1:18" ht="26.15" customHeight="1">
      <c r="A908" s="7">
        <v>902</v>
      </c>
      <c r="B908" s="8" t="s">
        <v>3190</v>
      </c>
      <c r="C908" s="8" t="s">
        <v>3114</v>
      </c>
      <c r="D908" s="8" t="s">
        <v>3191</v>
      </c>
      <c r="E908" s="8" t="s">
        <v>3116</v>
      </c>
      <c r="F908" s="9" t="s">
        <v>3117</v>
      </c>
      <c r="G908" s="10">
        <v>43256</v>
      </c>
      <c r="H908" s="8" t="s">
        <v>34</v>
      </c>
      <c r="I908" s="11">
        <v>1850000</v>
      </c>
      <c r="J908" s="8" t="s">
        <v>191</v>
      </c>
      <c r="K908" s="8" t="s">
        <v>192</v>
      </c>
      <c r="L908" s="7">
        <v>2015</v>
      </c>
      <c r="M908" s="8" t="s">
        <v>195</v>
      </c>
      <c r="N908" s="11">
        <v>5000000</v>
      </c>
      <c r="O908" s="8" t="s">
        <v>196</v>
      </c>
      <c r="P908" s="8" t="s">
        <v>197</v>
      </c>
      <c r="Q908" s="8"/>
      <c r="R908" s="8" t="s">
        <v>3192</v>
      </c>
    </row>
    <row r="909" spans="1:18" ht="26.15" customHeight="1">
      <c r="A909" s="7">
        <v>903</v>
      </c>
      <c r="B909" s="8" t="s">
        <v>1299</v>
      </c>
      <c r="C909" s="8" t="s">
        <v>3114</v>
      </c>
      <c r="D909" s="8" t="s">
        <v>3835</v>
      </c>
      <c r="E909" s="8" t="s">
        <v>3116</v>
      </c>
      <c r="F909" s="9" t="s">
        <v>3117</v>
      </c>
      <c r="G909" s="10">
        <v>43256</v>
      </c>
      <c r="H909" s="8" t="s">
        <v>34</v>
      </c>
      <c r="I909" s="11">
        <v>1850000</v>
      </c>
      <c r="J909" s="8" t="s">
        <v>191</v>
      </c>
      <c r="K909" s="8" t="s">
        <v>192</v>
      </c>
      <c r="L909" s="7">
        <v>2015</v>
      </c>
      <c r="M909" s="8" t="s">
        <v>195</v>
      </c>
      <c r="N909" s="11">
        <v>5000000</v>
      </c>
      <c r="O909" s="8" t="s">
        <v>196</v>
      </c>
      <c r="P909" s="8" t="s">
        <v>197</v>
      </c>
      <c r="Q909" s="8"/>
      <c r="R909" s="8" t="s">
        <v>1300</v>
      </c>
    </row>
    <row r="910" spans="1:18" ht="26.15" customHeight="1">
      <c r="A910" s="7">
        <v>904</v>
      </c>
      <c r="B910" s="8" t="s">
        <v>1609</v>
      </c>
      <c r="C910" s="8" t="s">
        <v>3114</v>
      </c>
      <c r="D910" s="8" t="s">
        <v>3544</v>
      </c>
      <c r="E910" s="8" t="s">
        <v>3116</v>
      </c>
      <c r="F910" s="9" t="s">
        <v>3117</v>
      </c>
      <c r="G910" s="10">
        <v>43252</v>
      </c>
      <c r="H910" s="8" t="s">
        <v>34</v>
      </c>
      <c r="I910" s="11" t="s">
        <v>50</v>
      </c>
      <c r="J910" s="8" t="s">
        <v>1607</v>
      </c>
      <c r="K910" s="8" t="s">
        <v>1608</v>
      </c>
      <c r="L910" s="7">
        <v>2015</v>
      </c>
      <c r="M910" s="8" t="s">
        <v>1610</v>
      </c>
      <c r="N910" s="11"/>
      <c r="O910" s="8" t="s">
        <v>1611</v>
      </c>
      <c r="P910" s="8" t="s">
        <v>1612</v>
      </c>
      <c r="Q910" s="8"/>
      <c r="R910" s="8" t="s">
        <v>3166</v>
      </c>
    </row>
    <row r="911" spans="1:18" ht="26.15" customHeight="1">
      <c r="A911" s="7">
        <v>905</v>
      </c>
      <c r="B911" s="8" t="s">
        <v>3583</v>
      </c>
      <c r="C911" s="8" t="s">
        <v>3114</v>
      </c>
      <c r="D911" s="8" t="s">
        <v>3584</v>
      </c>
      <c r="E911" s="8" t="s">
        <v>3116</v>
      </c>
      <c r="F911" s="9" t="s">
        <v>3123</v>
      </c>
      <c r="G911" s="10">
        <v>43252</v>
      </c>
      <c r="H911" s="8" t="s">
        <v>184</v>
      </c>
      <c r="I911" s="11">
        <v>3182</v>
      </c>
      <c r="J911" s="8" t="s">
        <v>191</v>
      </c>
      <c r="K911" s="8" t="s">
        <v>192</v>
      </c>
      <c r="L911" s="7">
        <v>2015</v>
      </c>
      <c r="M911" s="8" t="s">
        <v>195</v>
      </c>
      <c r="N911" s="11">
        <v>5000000</v>
      </c>
      <c r="O911" s="8" t="s">
        <v>196</v>
      </c>
      <c r="P911" s="8" t="s">
        <v>197</v>
      </c>
      <c r="Q911" s="8"/>
      <c r="R911" s="8" t="s">
        <v>3357</v>
      </c>
    </row>
    <row r="912" spans="1:18" ht="26.15" customHeight="1">
      <c r="A912" s="7">
        <v>906</v>
      </c>
      <c r="B912" s="8" t="s">
        <v>1609</v>
      </c>
      <c r="C912" s="8" t="s">
        <v>3114</v>
      </c>
      <c r="D912" s="8" t="s">
        <v>3544</v>
      </c>
      <c r="E912" s="8" t="s">
        <v>3116</v>
      </c>
      <c r="F912" s="9" t="s">
        <v>3117</v>
      </c>
      <c r="G912" s="10">
        <v>43252</v>
      </c>
      <c r="H912" s="8" t="s">
        <v>34</v>
      </c>
      <c r="I912" s="11" t="s">
        <v>50</v>
      </c>
      <c r="J912" s="8" t="s">
        <v>1613</v>
      </c>
      <c r="K912" s="8" t="s">
        <v>1614</v>
      </c>
      <c r="L912" s="7">
        <v>2016</v>
      </c>
      <c r="M912" s="8" t="s">
        <v>1615</v>
      </c>
      <c r="N912" s="11"/>
      <c r="O912" s="8" t="s">
        <v>1616</v>
      </c>
      <c r="P912" s="8" t="s">
        <v>1617</v>
      </c>
      <c r="Q912" s="8"/>
      <c r="R912" s="8" t="s">
        <v>3166</v>
      </c>
    </row>
    <row r="913" spans="1:18" ht="26.15" customHeight="1">
      <c r="A913" s="7">
        <v>907</v>
      </c>
      <c r="B913" s="8" t="s">
        <v>1619</v>
      </c>
      <c r="C913" s="8" t="s">
        <v>3114</v>
      </c>
      <c r="D913" s="8" t="s">
        <v>3173</v>
      </c>
      <c r="E913" s="8" t="s">
        <v>3116</v>
      </c>
      <c r="F913" s="9" t="s">
        <v>3117</v>
      </c>
      <c r="G913" s="10">
        <v>43252</v>
      </c>
      <c r="H913" s="8" t="s">
        <v>34</v>
      </c>
      <c r="I913" s="11" t="s">
        <v>50</v>
      </c>
      <c r="J913" s="8" t="s">
        <v>177</v>
      </c>
      <c r="K913" s="8" t="s">
        <v>178</v>
      </c>
      <c r="L913" s="7">
        <v>2015</v>
      </c>
      <c r="M913" s="8" t="s">
        <v>181</v>
      </c>
      <c r="N913" s="11"/>
      <c r="O913" s="8" t="s">
        <v>182</v>
      </c>
      <c r="P913" s="8" t="s">
        <v>183</v>
      </c>
      <c r="Q913" s="8"/>
      <c r="R913" s="8" t="s">
        <v>3145</v>
      </c>
    </row>
    <row r="914" spans="1:18" ht="26.15" customHeight="1">
      <c r="A914" s="7">
        <v>908</v>
      </c>
      <c r="B914" s="8" t="s">
        <v>1621</v>
      </c>
      <c r="C914" s="8" t="s">
        <v>3139</v>
      </c>
      <c r="D914" s="8" t="s">
        <v>4069</v>
      </c>
      <c r="E914" s="8" t="s">
        <v>3116</v>
      </c>
      <c r="F914" s="9" t="s">
        <v>3117</v>
      </c>
      <c r="G914" s="10">
        <v>43252</v>
      </c>
      <c r="H914" s="8" t="s">
        <v>109</v>
      </c>
      <c r="I914" s="11">
        <v>1577228</v>
      </c>
      <c r="J914" s="8" t="s">
        <v>610</v>
      </c>
      <c r="K914" s="8" t="s">
        <v>611</v>
      </c>
      <c r="L914" s="7">
        <v>2011</v>
      </c>
      <c r="M914" s="8" t="s">
        <v>612</v>
      </c>
      <c r="N914" s="11">
        <v>1577228</v>
      </c>
      <c r="O914" s="8" t="s">
        <v>613</v>
      </c>
      <c r="P914" s="8" t="s">
        <v>614</v>
      </c>
      <c r="Q914" s="8"/>
      <c r="R914" s="8" t="s">
        <v>894</v>
      </c>
    </row>
    <row r="915" spans="1:18" ht="26.15" customHeight="1">
      <c r="A915" s="7">
        <v>909</v>
      </c>
      <c r="B915" s="8" t="s">
        <v>1625</v>
      </c>
      <c r="C915" s="8" t="s">
        <v>3139</v>
      </c>
      <c r="D915" s="8" t="s">
        <v>4070</v>
      </c>
      <c r="E915" s="8" t="s">
        <v>3116</v>
      </c>
      <c r="F915" s="9" t="s">
        <v>3117</v>
      </c>
      <c r="G915" s="10">
        <v>43252</v>
      </c>
      <c r="H915" s="8" t="s">
        <v>34</v>
      </c>
      <c r="I915" s="11">
        <v>50000</v>
      </c>
      <c r="J915" s="8" t="s">
        <v>1622</v>
      </c>
      <c r="K915" s="8" t="s">
        <v>1623</v>
      </c>
      <c r="L915" s="7">
        <v>2018</v>
      </c>
      <c r="M915" s="8" t="s">
        <v>1285</v>
      </c>
      <c r="N915" s="11">
        <v>50000</v>
      </c>
      <c r="O915" s="8" t="s">
        <v>1626</v>
      </c>
      <c r="P915" s="8" t="s">
        <v>1627</v>
      </c>
      <c r="Q915" s="8"/>
      <c r="R915" s="8" t="s">
        <v>4071</v>
      </c>
    </row>
    <row r="916" spans="1:18" ht="26.15" customHeight="1">
      <c r="A916" s="7">
        <v>910</v>
      </c>
      <c r="B916" s="8" t="s">
        <v>3683</v>
      </c>
      <c r="C916" s="8" t="s">
        <v>3114</v>
      </c>
      <c r="D916" s="8" t="s">
        <v>3684</v>
      </c>
      <c r="E916" s="8" t="s">
        <v>3116</v>
      </c>
      <c r="F916" s="9" t="s">
        <v>3117</v>
      </c>
      <c r="G916" s="10">
        <v>43251</v>
      </c>
      <c r="H916" s="8" t="s">
        <v>25</v>
      </c>
      <c r="I916" s="11">
        <v>14000000</v>
      </c>
      <c r="J916" s="8" t="s">
        <v>303</v>
      </c>
      <c r="K916" s="8" t="s">
        <v>304</v>
      </c>
      <c r="L916" s="7">
        <v>2011</v>
      </c>
      <c r="M916" s="8" t="s">
        <v>79</v>
      </c>
      <c r="N916" s="11">
        <v>19009146</v>
      </c>
      <c r="O916" s="8" t="s">
        <v>306</v>
      </c>
      <c r="P916" s="8" t="s">
        <v>307</v>
      </c>
      <c r="Q916" s="8"/>
      <c r="R916" s="8" t="s">
        <v>3118</v>
      </c>
    </row>
    <row r="917" spans="1:18" ht="26.15" customHeight="1">
      <c r="A917" s="7">
        <v>911</v>
      </c>
      <c r="B917" s="8" t="s">
        <v>4072</v>
      </c>
      <c r="C917" s="8"/>
      <c r="D917" s="8" t="s">
        <v>4073</v>
      </c>
      <c r="E917" s="8" t="s">
        <v>3116</v>
      </c>
      <c r="F917" s="9" t="s">
        <v>3117</v>
      </c>
      <c r="G917" s="10">
        <v>43251</v>
      </c>
      <c r="H917" s="8" t="s">
        <v>25</v>
      </c>
      <c r="I917" s="11">
        <v>14000000</v>
      </c>
      <c r="J917" s="8" t="s">
        <v>303</v>
      </c>
      <c r="K917" s="8" t="s">
        <v>304</v>
      </c>
      <c r="L917" s="7">
        <v>2011</v>
      </c>
      <c r="M917" s="8" t="s">
        <v>79</v>
      </c>
      <c r="N917" s="11">
        <v>19009146</v>
      </c>
      <c r="O917" s="8" t="s">
        <v>306</v>
      </c>
      <c r="P917" s="8" t="s">
        <v>307</v>
      </c>
      <c r="Q917" s="8"/>
      <c r="R917" s="8" t="s">
        <v>4074</v>
      </c>
    </row>
    <row r="918" spans="1:18" ht="26.15" customHeight="1">
      <c r="A918" s="7">
        <v>912</v>
      </c>
      <c r="B918" s="8" t="s">
        <v>2033</v>
      </c>
      <c r="C918" s="8" t="s">
        <v>3114</v>
      </c>
      <c r="D918" s="8" t="s">
        <v>3839</v>
      </c>
      <c r="E918" s="8" t="s">
        <v>3116</v>
      </c>
      <c r="F918" s="9" t="s">
        <v>3117</v>
      </c>
      <c r="G918" s="10">
        <v>43251</v>
      </c>
      <c r="H918" s="8" t="s">
        <v>25</v>
      </c>
      <c r="I918" s="11">
        <v>14000000</v>
      </c>
      <c r="J918" s="8" t="s">
        <v>303</v>
      </c>
      <c r="K918" s="8" t="s">
        <v>304</v>
      </c>
      <c r="L918" s="7">
        <v>2011</v>
      </c>
      <c r="M918" s="8" t="s">
        <v>79</v>
      </c>
      <c r="N918" s="11">
        <v>19009146</v>
      </c>
      <c r="O918" s="8" t="s">
        <v>306</v>
      </c>
      <c r="P918" s="8" t="s">
        <v>307</v>
      </c>
      <c r="Q918" s="8"/>
      <c r="R918" s="8" t="s">
        <v>3214</v>
      </c>
    </row>
    <row r="919" spans="1:18" ht="26.15" customHeight="1">
      <c r="A919" s="7">
        <v>913</v>
      </c>
      <c r="B919" s="8" t="s">
        <v>4075</v>
      </c>
      <c r="C919" s="8" t="s">
        <v>3139</v>
      </c>
      <c r="D919" s="8" t="s">
        <v>4076</v>
      </c>
      <c r="E919" s="8" t="s">
        <v>3116</v>
      </c>
      <c r="F919" s="9" t="s">
        <v>3117</v>
      </c>
      <c r="G919" s="10">
        <v>43251</v>
      </c>
      <c r="H919" s="8" t="s">
        <v>25</v>
      </c>
      <c r="I919" s="11">
        <v>14000000</v>
      </c>
      <c r="J919" s="8" t="s">
        <v>303</v>
      </c>
      <c r="K919" s="8" t="s">
        <v>304</v>
      </c>
      <c r="L919" s="7">
        <v>2011</v>
      </c>
      <c r="M919" s="8" t="s">
        <v>79</v>
      </c>
      <c r="N919" s="11">
        <v>19009146</v>
      </c>
      <c r="O919" s="8" t="s">
        <v>306</v>
      </c>
      <c r="P919" s="8" t="s">
        <v>307</v>
      </c>
      <c r="Q919" s="8"/>
      <c r="R919" s="8" t="s">
        <v>3269</v>
      </c>
    </row>
    <row r="920" spans="1:18" ht="26.15" customHeight="1">
      <c r="A920" s="7">
        <v>914</v>
      </c>
      <c r="B920" s="8" t="s">
        <v>644</v>
      </c>
      <c r="C920" s="8" t="s">
        <v>3114</v>
      </c>
      <c r="D920" s="8" t="s">
        <v>3162</v>
      </c>
      <c r="E920" s="8" t="s">
        <v>3116</v>
      </c>
      <c r="F920" s="9" t="s">
        <v>3123</v>
      </c>
      <c r="G920" s="10">
        <v>43251</v>
      </c>
      <c r="H920" s="8" t="s">
        <v>25</v>
      </c>
      <c r="I920" s="11">
        <v>14000000</v>
      </c>
      <c r="J920" s="8" t="s">
        <v>303</v>
      </c>
      <c r="K920" s="8" t="s">
        <v>304</v>
      </c>
      <c r="L920" s="7">
        <v>2011</v>
      </c>
      <c r="M920" s="8" t="s">
        <v>79</v>
      </c>
      <c r="N920" s="11">
        <v>19009146</v>
      </c>
      <c r="O920" s="8" t="s">
        <v>306</v>
      </c>
      <c r="P920" s="8" t="s">
        <v>307</v>
      </c>
      <c r="Q920" s="8"/>
      <c r="R920" s="8" t="s">
        <v>313</v>
      </c>
    </row>
    <row r="921" spans="1:18" ht="26.15" customHeight="1">
      <c r="A921" s="7">
        <v>915</v>
      </c>
      <c r="B921" s="8" t="s">
        <v>928</v>
      </c>
      <c r="C921" s="8" t="s">
        <v>3114</v>
      </c>
      <c r="D921" s="8" t="s">
        <v>3301</v>
      </c>
      <c r="E921" s="8" t="s">
        <v>3116</v>
      </c>
      <c r="F921" s="9" t="s">
        <v>3123</v>
      </c>
      <c r="G921" s="10">
        <v>43251</v>
      </c>
      <c r="H921" s="8" t="s">
        <v>25</v>
      </c>
      <c r="I921" s="11">
        <v>14000000</v>
      </c>
      <c r="J921" s="8" t="s">
        <v>303</v>
      </c>
      <c r="K921" s="8" t="s">
        <v>304</v>
      </c>
      <c r="L921" s="7">
        <v>2011</v>
      </c>
      <c r="M921" s="8" t="s">
        <v>79</v>
      </c>
      <c r="N921" s="11">
        <v>19009146</v>
      </c>
      <c r="O921" s="8" t="s">
        <v>306</v>
      </c>
      <c r="P921" s="8" t="s">
        <v>307</v>
      </c>
      <c r="Q921" s="8"/>
      <c r="R921" s="8" t="s">
        <v>313</v>
      </c>
    </row>
    <row r="922" spans="1:18" ht="26.15" customHeight="1">
      <c r="A922" s="7">
        <v>916</v>
      </c>
      <c r="B922" s="8" t="s">
        <v>1980</v>
      </c>
      <c r="C922" s="8" t="s">
        <v>3114</v>
      </c>
      <c r="D922" s="8" t="s">
        <v>3451</v>
      </c>
      <c r="E922" s="8" t="s">
        <v>3116</v>
      </c>
      <c r="F922" s="9" t="s">
        <v>3123</v>
      </c>
      <c r="G922" s="10">
        <v>43251</v>
      </c>
      <c r="H922" s="8" t="s">
        <v>25</v>
      </c>
      <c r="I922" s="11">
        <v>14000000</v>
      </c>
      <c r="J922" s="8" t="s">
        <v>303</v>
      </c>
      <c r="K922" s="8" t="s">
        <v>304</v>
      </c>
      <c r="L922" s="7">
        <v>2011</v>
      </c>
      <c r="M922" s="8" t="s">
        <v>79</v>
      </c>
      <c r="N922" s="11">
        <v>19009146</v>
      </c>
      <c r="O922" s="8" t="s">
        <v>306</v>
      </c>
      <c r="P922" s="8" t="s">
        <v>307</v>
      </c>
      <c r="Q922" s="8"/>
      <c r="R922" s="8" t="s">
        <v>56</v>
      </c>
    </row>
    <row r="923" spans="1:18" ht="26.15" customHeight="1">
      <c r="A923" s="7">
        <v>917</v>
      </c>
      <c r="B923" s="8" t="s">
        <v>2275</v>
      </c>
      <c r="C923" s="8" t="s">
        <v>3114</v>
      </c>
      <c r="D923" s="8" t="s">
        <v>3409</v>
      </c>
      <c r="E923" s="8" t="s">
        <v>3116</v>
      </c>
      <c r="F923" s="9" t="s">
        <v>3123</v>
      </c>
      <c r="G923" s="10">
        <v>43251</v>
      </c>
      <c r="H923" s="8" t="s">
        <v>25</v>
      </c>
      <c r="I923" s="11">
        <v>14000000</v>
      </c>
      <c r="J923" s="8" t="s">
        <v>303</v>
      </c>
      <c r="K923" s="8" t="s">
        <v>304</v>
      </c>
      <c r="L923" s="7">
        <v>2011</v>
      </c>
      <c r="M923" s="8" t="s">
        <v>79</v>
      </c>
      <c r="N923" s="11">
        <v>19009146</v>
      </c>
      <c r="O923" s="8" t="s">
        <v>306</v>
      </c>
      <c r="P923" s="8" t="s">
        <v>307</v>
      </c>
      <c r="Q923" s="8"/>
      <c r="R923" s="8" t="s">
        <v>3204</v>
      </c>
    </row>
    <row r="924" spans="1:18" ht="26.15" customHeight="1">
      <c r="A924" s="7">
        <v>918</v>
      </c>
      <c r="B924" s="8" t="s">
        <v>1629</v>
      </c>
      <c r="C924" s="8" t="s">
        <v>3127</v>
      </c>
      <c r="D924" s="8"/>
      <c r="E924" s="8" t="s">
        <v>3128</v>
      </c>
      <c r="F924" s="9" t="s">
        <v>3123</v>
      </c>
      <c r="G924" s="10">
        <v>43251</v>
      </c>
      <c r="H924" s="8" t="s">
        <v>25</v>
      </c>
      <c r="I924" s="11">
        <v>14000000</v>
      </c>
      <c r="J924" s="8" t="s">
        <v>303</v>
      </c>
      <c r="K924" s="8" t="s">
        <v>304</v>
      </c>
      <c r="L924" s="7">
        <v>2011</v>
      </c>
      <c r="M924" s="8" t="s">
        <v>79</v>
      </c>
      <c r="N924" s="11">
        <v>19009146</v>
      </c>
      <c r="O924" s="8" t="s">
        <v>306</v>
      </c>
      <c r="P924" s="8" t="s">
        <v>307</v>
      </c>
      <c r="Q924" s="8"/>
      <c r="R924" s="8"/>
    </row>
    <row r="925" spans="1:18" ht="26.15" customHeight="1">
      <c r="A925" s="7">
        <v>919</v>
      </c>
      <c r="B925" s="8" t="s">
        <v>4077</v>
      </c>
      <c r="C925" s="8" t="s">
        <v>3114</v>
      </c>
      <c r="D925" s="8" t="s">
        <v>4078</v>
      </c>
      <c r="E925" s="8" t="s">
        <v>3116</v>
      </c>
      <c r="F925" s="9" t="s">
        <v>3123</v>
      </c>
      <c r="G925" s="10">
        <v>43251</v>
      </c>
      <c r="H925" s="8" t="s">
        <v>25</v>
      </c>
      <c r="I925" s="11">
        <v>14000000</v>
      </c>
      <c r="J925" s="8" t="s">
        <v>303</v>
      </c>
      <c r="K925" s="8" t="s">
        <v>304</v>
      </c>
      <c r="L925" s="7">
        <v>2011</v>
      </c>
      <c r="M925" s="8" t="s">
        <v>79</v>
      </c>
      <c r="N925" s="11">
        <v>19009146</v>
      </c>
      <c r="O925" s="8" t="s">
        <v>306</v>
      </c>
      <c r="P925" s="8" t="s">
        <v>307</v>
      </c>
      <c r="Q925" s="8"/>
      <c r="R925" s="8" t="s">
        <v>188</v>
      </c>
    </row>
    <row r="926" spans="1:18" ht="26.15" customHeight="1">
      <c r="A926" s="7">
        <v>920</v>
      </c>
      <c r="B926" s="8" t="s">
        <v>798</v>
      </c>
      <c r="C926" s="8" t="s">
        <v>3114</v>
      </c>
      <c r="D926" s="8" t="s">
        <v>3581</v>
      </c>
      <c r="E926" s="8" t="s">
        <v>3116</v>
      </c>
      <c r="F926" s="9" t="s">
        <v>3117</v>
      </c>
      <c r="G926" s="10">
        <v>43247</v>
      </c>
      <c r="H926" s="8" t="s">
        <v>34</v>
      </c>
      <c r="I926" s="11" t="s">
        <v>50</v>
      </c>
      <c r="J926" s="8" t="s">
        <v>1635</v>
      </c>
      <c r="K926" s="8" t="s">
        <v>1636</v>
      </c>
      <c r="L926" s="7">
        <v>2017</v>
      </c>
      <c r="M926" s="8" t="s">
        <v>369</v>
      </c>
      <c r="N926" s="11"/>
      <c r="O926" s="8" t="s">
        <v>1637</v>
      </c>
      <c r="P926" s="8" t="s">
        <v>1638</v>
      </c>
      <c r="Q926" s="8"/>
      <c r="R926" s="8" t="s">
        <v>3582</v>
      </c>
    </row>
    <row r="927" spans="1:18" ht="26.15" customHeight="1">
      <c r="A927" s="7">
        <v>921</v>
      </c>
      <c r="B927" s="8" t="s">
        <v>4079</v>
      </c>
      <c r="C927" s="8" t="s">
        <v>3139</v>
      </c>
      <c r="D927" s="8" t="s">
        <v>4080</v>
      </c>
      <c r="E927" s="8" t="s">
        <v>3116</v>
      </c>
      <c r="F927" s="9" t="s">
        <v>3123</v>
      </c>
      <c r="G927" s="10">
        <v>43243</v>
      </c>
      <c r="H927" s="8" t="s">
        <v>34</v>
      </c>
      <c r="I927" s="11">
        <v>627744</v>
      </c>
      <c r="J927" s="8" t="s">
        <v>1639</v>
      </c>
      <c r="K927" s="8" t="s">
        <v>1640</v>
      </c>
      <c r="L927" s="7">
        <v>2016</v>
      </c>
      <c r="M927" s="8" t="s">
        <v>1642</v>
      </c>
      <c r="N927" s="11">
        <v>627744</v>
      </c>
      <c r="O927" s="8" t="s">
        <v>1643</v>
      </c>
      <c r="P927" s="8" t="s">
        <v>1644</v>
      </c>
      <c r="Q927" s="8"/>
      <c r="R927" s="8" t="s">
        <v>3580</v>
      </c>
    </row>
    <row r="928" spans="1:18" ht="26.15" customHeight="1">
      <c r="A928" s="7">
        <v>922</v>
      </c>
      <c r="B928" s="8" t="s">
        <v>4081</v>
      </c>
      <c r="C928" s="8" t="s">
        <v>3114</v>
      </c>
      <c r="D928" s="8" t="s">
        <v>4082</v>
      </c>
      <c r="E928" s="8" t="s">
        <v>3116</v>
      </c>
      <c r="F928" s="9" t="s">
        <v>3123</v>
      </c>
      <c r="G928" s="10">
        <v>43243</v>
      </c>
      <c r="H928" s="8" t="s">
        <v>34</v>
      </c>
      <c r="I928" s="11">
        <v>627744</v>
      </c>
      <c r="J928" s="8" t="s">
        <v>1639</v>
      </c>
      <c r="K928" s="8" t="s">
        <v>1640</v>
      </c>
      <c r="L928" s="7">
        <v>2016</v>
      </c>
      <c r="M928" s="8" t="s">
        <v>1642</v>
      </c>
      <c r="N928" s="11">
        <v>627744</v>
      </c>
      <c r="O928" s="8" t="s">
        <v>1643</v>
      </c>
      <c r="P928" s="8" t="s">
        <v>1644</v>
      </c>
      <c r="Q928" s="8"/>
      <c r="R928" s="8" t="s">
        <v>3220</v>
      </c>
    </row>
    <row r="929" spans="1:18" ht="26.15" customHeight="1">
      <c r="A929" s="7">
        <v>923</v>
      </c>
      <c r="B929" s="8" t="s">
        <v>4083</v>
      </c>
      <c r="C929" s="8" t="s">
        <v>3114</v>
      </c>
      <c r="D929" s="8" t="s">
        <v>4084</v>
      </c>
      <c r="E929" s="8" t="s">
        <v>3116</v>
      </c>
      <c r="F929" s="9" t="s">
        <v>3123</v>
      </c>
      <c r="G929" s="10">
        <v>43243</v>
      </c>
      <c r="H929" s="8" t="s">
        <v>34</v>
      </c>
      <c r="I929" s="11">
        <v>627744</v>
      </c>
      <c r="J929" s="8" t="s">
        <v>1639</v>
      </c>
      <c r="K929" s="8" t="s">
        <v>1640</v>
      </c>
      <c r="L929" s="7">
        <v>2016</v>
      </c>
      <c r="M929" s="8" t="s">
        <v>1642</v>
      </c>
      <c r="N929" s="11">
        <v>627744</v>
      </c>
      <c r="O929" s="8" t="s">
        <v>1643</v>
      </c>
      <c r="P929" s="8" t="s">
        <v>1644</v>
      </c>
      <c r="Q929" s="8"/>
      <c r="R929" s="8" t="s">
        <v>3220</v>
      </c>
    </row>
    <row r="930" spans="1:18" ht="26.15" customHeight="1">
      <c r="A930" s="7">
        <v>924</v>
      </c>
      <c r="B930" s="8" t="s">
        <v>1648</v>
      </c>
      <c r="C930" s="8" t="s">
        <v>3114</v>
      </c>
      <c r="D930" s="8" t="s">
        <v>4085</v>
      </c>
      <c r="E930" s="8" t="s">
        <v>3116</v>
      </c>
      <c r="F930" s="9" t="s">
        <v>3117</v>
      </c>
      <c r="G930" s="10">
        <v>43241</v>
      </c>
      <c r="H930" s="8" t="s">
        <v>109</v>
      </c>
      <c r="I930" s="11">
        <v>11100000</v>
      </c>
      <c r="J930" s="8" t="s">
        <v>1645</v>
      </c>
      <c r="K930" s="8" t="s">
        <v>1646</v>
      </c>
      <c r="L930" s="7">
        <v>2008</v>
      </c>
      <c r="M930" s="8" t="s">
        <v>698</v>
      </c>
      <c r="N930" s="11">
        <v>20810000</v>
      </c>
      <c r="O930" s="8" t="s">
        <v>1649</v>
      </c>
      <c r="P930" s="8" t="s">
        <v>1650</v>
      </c>
      <c r="Q930" s="8"/>
      <c r="R930" s="8" t="s">
        <v>3145</v>
      </c>
    </row>
    <row r="931" spans="1:18" ht="26.15" customHeight="1">
      <c r="A931" s="7">
        <v>925</v>
      </c>
      <c r="B931" s="8" t="s">
        <v>4086</v>
      </c>
      <c r="C931" s="8" t="s">
        <v>3114</v>
      </c>
      <c r="D931" s="8" t="s">
        <v>4087</v>
      </c>
      <c r="E931" s="8" t="s">
        <v>3116</v>
      </c>
      <c r="F931" s="9" t="s">
        <v>3123</v>
      </c>
      <c r="G931" s="10">
        <v>43238</v>
      </c>
      <c r="H931" s="8" t="s">
        <v>95</v>
      </c>
      <c r="I931" s="11">
        <v>31408700</v>
      </c>
      <c r="J931" s="8" t="s">
        <v>1652</v>
      </c>
      <c r="K931" s="8" t="s">
        <v>1653</v>
      </c>
      <c r="L931" s="7">
        <v>2015</v>
      </c>
      <c r="M931" s="8" t="s">
        <v>1655</v>
      </c>
      <c r="N931" s="11">
        <v>41586600</v>
      </c>
      <c r="O931" s="8" t="s">
        <v>1656</v>
      </c>
      <c r="P931" s="8" t="s">
        <v>1657</v>
      </c>
      <c r="Q931" s="8"/>
      <c r="R931" s="8" t="s">
        <v>1528</v>
      </c>
    </row>
    <row r="932" spans="1:18" ht="26.15" customHeight="1">
      <c r="A932" s="7">
        <v>926</v>
      </c>
      <c r="B932" s="8" t="s">
        <v>4088</v>
      </c>
      <c r="C932" s="8" t="s">
        <v>3114</v>
      </c>
      <c r="D932" s="8" t="s">
        <v>4089</v>
      </c>
      <c r="E932" s="8" t="s">
        <v>3116</v>
      </c>
      <c r="F932" s="9" t="s">
        <v>3123</v>
      </c>
      <c r="G932" s="10">
        <v>43238</v>
      </c>
      <c r="H932" s="8" t="s">
        <v>95</v>
      </c>
      <c r="I932" s="11">
        <v>31408700</v>
      </c>
      <c r="J932" s="8" t="s">
        <v>1652</v>
      </c>
      <c r="K932" s="8" t="s">
        <v>1653</v>
      </c>
      <c r="L932" s="7">
        <v>2015</v>
      </c>
      <c r="M932" s="8" t="s">
        <v>1655</v>
      </c>
      <c r="N932" s="11">
        <v>41586600</v>
      </c>
      <c r="O932" s="8" t="s">
        <v>1656</v>
      </c>
      <c r="P932" s="8" t="s">
        <v>1657</v>
      </c>
      <c r="Q932" s="8"/>
      <c r="R932" s="8" t="s">
        <v>278</v>
      </c>
    </row>
    <row r="933" spans="1:18" ht="26.15" customHeight="1">
      <c r="A933" s="7">
        <v>927</v>
      </c>
      <c r="B933" s="8" t="s">
        <v>1661</v>
      </c>
      <c r="C933" s="8" t="s">
        <v>3114</v>
      </c>
      <c r="D933" s="8" t="s">
        <v>4090</v>
      </c>
      <c r="E933" s="8" t="s">
        <v>3116</v>
      </c>
      <c r="F933" s="9" t="s">
        <v>3117</v>
      </c>
      <c r="G933" s="10">
        <v>43236</v>
      </c>
      <c r="H933" s="8" t="s">
        <v>34</v>
      </c>
      <c r="I933" s="11">
        <v>36777</v>
      </c>
      <c r="J933" s="8" t="s">
        <v>1658</v>
      </c>
      <c r="K933" s="8" t="s">
        <v>1659</v>
      </c>
      <c r="L933" s="7">
        <v>2015</v>
      </c>
      <c r="M933" s="8" t="s">
        <v>56</v>
      </c>
      <c r="N933" s="11">
        <v>36777</v>
      </c>
      <c r="O933" s="8" t="s">
        <v>1662</v>
      </c>
      <c r="P933" s="8" t="s">
        <v>1663</v>
      </c>
      <c r="Q933" s="8"/>
      <c r="R933" s="8" t="s">
        <v>181</v>
      </c>
    </row>
    <row r="934" spans="1:18" ht="26.15" customHeight="1">
      <c r="A934" s="7">
        <v>928</v>
      </c>
      <c r="B934" s="8" t="s">
        <v>4091</v>
      </c>
      <c r="C934" s="8" t="s">
        <v>3114</v>
      </c>
      <c r="D934" s="8" t="s">
        <v>4092</v>
      </c>
      <c r="E934" s="8" t="s">
        <v>3116</v>
      </c>
      <c r="F934" s="9" t="s">
        <v>3117</v>
      </c>
      <c r="G934" s="10">
        <v>43234</v>
      </c>
      <c r="H934" s="8" t="s">
        <v>34</v>
      </c>
      <c r="I934" s="11">
        <v>850000</v>
      </c>
      <c r="J934" s="8" t="s">
        <v>1581</v>
      </c>
      <c r="K934" s="8" t="s">
        <v>1582</v>
      </c>
      <c r="L934" s="7">
        <v>2014</v>
      </c>
      <c r="M934" s="8" t="s">
        <v>1583</v>
      </c>
      <c r="N934" s="11">
        <v>1150000</v>
      </c>
      <c r="O934" s="8" t="s">
        <v>1584</v>
      </c>
      <c r="P934" s="8" t="s">
        <v>1585</v>
      </c>
      <c r="Q934" s="8"/>
      <c r="R934" s="8" t="s">
        <v>1583</v>
      </c>
    </row>
    <row r="935" spans="1:18" ht="26.15" customHeight="1">
      <c r="A935" s="7">
        <v>929</v>
      </c>
      <c r="B935" s="8" t="s">
        <v>1678</v>
      </c>
      <c r="C935" s="8" t="s">
        <v>3114</v>
      </c>
      <c r="D935" s="8" t="s">
        <v>4093</v>
      </c>
      <c r="E935" s="8" t="s">
        <v>3116</v>
      </c>
      <c r="F935" s="9" t="s">
        <v>3117</v>
      </c>
      <c r="G935" s="10">
        <v>43234</v>
      </c>
      <c r="H935" s="8" t="s">
        <v>34</v>
      </c>
      <c r="I935" s="11">
        <v>850000</v>
      </c>
      <c r="J935" s="8" t="s">
        <v>1581</v>
      </c>
      <c r="K935" s="8" t="s">
        <v>1582</v>
      </c>
      <c r="L935" s="7">
        <v>2014</v>
      </c>
      <c r="M935" s="8" t="s">
        <v>1583</v>
      </c>
      <c r="N935" s="11">
        <v>1150000</v>
      </c>
      <c r="O935" s="8" t="s">
        <v>1584</v>
      </c>
      <c r="P935" s="8" t="s">
        <v>1585</v>
      </c>
      <c r="Q935" s="8"/>
      <c r="R935" s="8" t="s">
        <v>1588</v>
      </c>
    </row>
    <row r="936" spans="1:18" ht="26.15" customHeight="1">
      <c r="A936" s="7">
        <v>930</v>
      </c>
      <c r="B936" s="8" t="s">
        <v>1669</v>
      </c>
      <c r="C936" s="8" t="s">
        <v>3139</v>
      </c>
      <c r="D936" s="8" t="s">
        <v>4094</v>
      </c>
      <c r="E936" s="8" t="s">
        <v>3116</v>
      </c>
      <c r="F936" s="9" t="s">
        <v>3117</v>
      </c>
      <c r="G936" s="10">
        <v>43231</v>
      </c>
      <c r="H936" s="8" t="s">
        <v>34</v>
      </c>
      <c r="I936" s="11">
        <v>951381</v>
      </c>
      <c r="J936" s="8" t="s">
        <v>1666</v>
      </c>
      <c r="K936" s="8" t="s">
        <v>1667</v>
      </c>
      <c r="L936" s="7">
        <v>2016</v>
      </c>
      <c r="M936" s="8" t="s">
        <v>47</v>
      </c>
      <c r="N936" s="11">
        <v>951381</v>
      </c>
      <c r="O936" s="8" t="s">
        <v>1670</v>
      </c>
      <c r="P936" s="8" t="s">
        <v>1671</v>
      </c>
      <c r="Q936" s="8"/>
      <c r="R936" s="8"/>
    </row>
    <row r="937" spans="1:18" ht="26.15" customHeight="1">
      <c r="A937" s="7">
        <v>931</v>
      </c>
      <c r="B937" s="8" t="s">
        <v>4095</v>
      </c>
      <c r="C937" s="8" t="s">
        <v>3139</v>
      </c>
      <c r="D937" s="8" t="s">
        <v>4096</v>
      </c>
      <c r="E937" s="8" t="s">
        <v>3116</v>
      </c>
      <c r="F937" s="9" t="s">
        <v>3123</v>
      </c>
      <c r="G937" s="10">
        <v>43231</v>
      </c>
      <c r="H937" s="8" t="s">
        <v>109</v>
      </c>
      <c r="I937" s="11">
        <v>386498</v>
      </c>
      <c r="J937" s="8" t="s">
        <v>1672</v>
      </c>
      <c r="K937" s="8" t="s">
        <v>1673</v>
      </c>
      <c r="L937" s="7">
        <v>2017</v>
      </c>
      <c r="M937" s="8" t="s">
        <v>181</v>
      </c>
      <c r="N937" s="11">
        <v>5386498</v>
      </c>
      <c r="O937" s="8" t="s">
        <v>1675</v>
      </c>
      <c r="P937" s="8" t="s">
        <v>1676</v>
      </c>
      <c r="Q937" s="8"/>
      <c r="R937" s="8" t="s">
        <v>181</v>
      </c>
    </row>
    <row r="938" spans="1:18" ht="26.15" customHeight="1">
      <c r="A938" s="7">
        <v>932</v>
      </c>
      <c r="B938" s="8" t="s">
        <v>1678</v>
      </c>
      <c r="C938" s="8" t="s">
        <v>3114</v>
      </c>
      <c r="D938" s="8" t="s">
        <v>4093</v>
      </c>
      <c r="E938" s="8" t="s">
        <v>3116</v>
      </c>
      <c r="F938" s="9" t="s">
        <v>3117</v>
      </c>
      <c r="G938" s="10">
        <v>43228</v>
      </c>
      <c r="H938" s="8" t="s">
        <v>34</v>
      </c>
      <c r="I938" s="11">
        <v>200000</v>
      </c>
      <c r="J938" s="8" t="s">
        <v>1581</v>
      </c>
      <c r="K938" s="8" t="s">
        <v>1582</v>
      </c>
      <c r="L938" s="7">
        <v>2014</v>
      </c>
      <c r="M938" s="8" t="s">
        <v>1583</v>
      </c>
      <c r="N938" s="11">
        <v>1150000</v>
      </c>
      <c r="O938" s="8" t="s">
        <v>1584</v>
      </c>
      <c r="P938" s="8" t="s">
        <v>1585</v>
      </c>
      <c r="Q938" s="8"/>
      <c r="R938" s="8" t="s">
        <v>1588</v>
      </c>
    </row>
    <row r="939" spans="1:18" ht="26.15" customHeight="1">
      <c r="A939" s="7">
        <v>933</v>
      </c>
      <c r="B939" s="8" t="s">
        <v>1682</v>
      </c>
      <c r="C939" s="8" t="s">
        <v>3114</v>
      </c>
      <c r="D939" s="8" t="s">
        <v>4097</v>
      </c>
      <c r="E939" s="8" t="s">
        <v>3116</v>
      </c>
      <c r="F939" s="9" t="s">
        <v>3117</v>
      </c>
      <c r="G939" s="10">
        <v>43227</v>
      </c>
      <c r="H939" s="8" t="s">
        <v>95</v>
      </c>
      <c r="I939" s="11">
        <v>10000000</v>
      </c>
      <c r="J939" s="8" t="s">
        <v>1679</v>
      </c>
      <c r="K939" s="8" t="s">
        <v>1680</v>
      </c>
      <c r="L939" s="7">
        <v>2006</v>
      </c>
      <c r="M939" s="8" t="s">
        <v>135</v>
      </c>
      <c r="N939" s="11">
        <v>40000000</v>
      </c>
      <c r="O939" s="8" t="s">
        <v>1683</v>
      </c>
      <c r="P939" s="8" t="s">
        <v>1684</v>
      </c>
      <c r="Q939" s="8"/>
      <c r="R939" s="8" t="s">
        <v>3357</v>
      </c>
    </row>
    <row r="940" spans="1:18" ht="26.15" customHeight="1">
      <c r="A940" s="7">
        <v>934</v>
      </c>
      <c r="B940" s="8" t="s">
        <v>3630</v>
      </c>
      <c r="C940" s="8" t="s">
        <v>3114</v>
      </c>
      <c r="D940" s="8" t="s">
        <v>3631</v>
      </c>
      <c r="E940" s="8" t="s">
        <v>3116</v>
      </c>
      <c r="F940" s="9" t="s">
        <v>3123</v>
      </c>
      <c r="G940" s="10">
        <v>43227</v>
      </c>
      <c r="H940" s="8" t="s">
        <v>95</v>
      </c>
      <c r="I940" s="11">
        <v>10000000</v>
      </c>
      <c r="J940" s="8" t="s">
        <v>1679</v>
      </c>
      <c r="K940" s="8" t="s">
        <v>1680</v>
      </c>
      <c r="L940" s="7">
        <v>2006</v>
      </c>
      <c r="M940" s="8" t="s">
        <v>135</v>
      </c>
      <c r="N940" s="11">
        <v>40000000</v>
      </c>
      <c r="O940" s="8" t="s">
        <v>1683</v>
      </c>
      <c r="P940" s="8" t="s">
        <v>1684</v>
      </c>
      <c r="Q940" s="8"/>
      <c r="R940" s="8" t="s">
        <v>3632</v>
      </c>
    </row>
    <row r="941" spans="1:18" ht="26.15" customHeight="1">
      <c r="A941" s="7">
        <v>935</v>
      </c>
      <c r="B941" s="8" t="s">
        <v>4098</v>
      </c>
      <c r="C941" s="8" t="s">
        <v>3114</v>
      </c>
      <c r="D941" s="8" t="s">
        <v>4099</v>
      </c>
      <c r="E941" s="8" t="s">
        <v>3116</v>
      </c>
      <c r="F941" s="9" t="s">
        <v>3123</v>
      </c>
      <c r="G941" s="10">
        <v>43227</v>
      </c>
      <c r="H941" s="8" t="s">
        <v>95</v>
      </c>
      <c r="I941" s="11">
        <v>10000000</v>
      </c>
      <c r="J941" s="8" t="s">
        <v>1679</v>
      </c>
      <c r="K941" s="8" t="s">
        <v>1680</v>
      </c>
      <c r="L941" s="7">
        <v>2006</v>
      </c>
      <c r="M941" s="8" t="s">
        <v>135</v>
      </c>
      <c r="N941" s="11">
        <v>40000000</v>
      </c>
      <c r="O941" s="8" t="s">
        <v>1683</v>
      </c>
      <c r="P941" s="8" t="s">
        <v>1684</v>
      </c>
      <c r="Q941" s="8"/>
      <c r="R941" s="8" t="s">
        <v>3425</v>
      </c>
    </row>
    <row r="942" spans="1:18" ht="26.15" customHeight="1">
      <c r="A942" s="7">
        <v>936</v>
      </c>
      <c r="B942" s="8" t="s">
        <v>4100</v>
      </c>
      <c r="C942" s="8" t="s">
        <v>3114</v>
      </c>
      <c r="D942" s="8" t="s">
        <v>4101</v>
      </c>
      <c r="E942" s="8" t="s">
        <v>3116</v>
      </c>
      <c r="F942" s="9" t="s">
        <v>3123</v>
      </c>
      <c r="G942" s="10">
        <v>43225</v>
      </c>
      <c r="H942" s="8" t="s">
        <v>34</v>
      </c>
      <c r="I942" s="11">
        <v>716422</v>
      </c>
      <c r="J942" s="8" t="s">
        <v>1685</v>
      </c>
      <c r="K942" s="8" t="s">
        <v>1686</v>
      </c>
      <c r="L942" s="7">
        <v>2013</v>
      </c>
      <c r="M942" s="8" t="s">
        <v>79</v>
      </c>
      <c r="N942" s="11">
        <v>2257449</v>
      </c>
      <c r="O942" s="8" t="s">
        <v>1690</v>
      </c>
      <c r="P942" s="8" t="s">
        <v>1691</v>
      </c>
      <c r="Q942" s="8"/>
      <c r="R942" s="8" t="s">
        <v>56</v>
      </c>
    </row>
    <row r="943" spans="1:18" ht="26.15" customHeight="1">
      <c r="A943" s="7">
        <v>937</v>
      </c>
      <c r="B943" s="8" t="s">
        <v>4102</v>
      </c>
      <c r="C943" s="8" t="s">
        <v>3127</v>
      </c>
      <c r="D943" s="8"/>
      <c r="E943" s="8" t="s">
        <v>3128</v>
      </c>
      <c r="F943" s="9" t="s">
        <v>3117</v>
      </c>
      <c r="G943" s="10">
        <v>43225</v>
      </c>
      <c r="H943" s="8" t="s">
        <v>34</v>
      </c>
      <c r="I943" s="11">
        <v>716422</v>
      </c>
      <c r="J943" s="8" t="s">
        <v>1685</v>
      </c>
      <c r="K943" s="8" t="s">
        <v>1686</v>
      </c>
      <c r="L943" s="7">
        <v>2013</v>
      </c>
      <c r="M943" s="8" t="s">
        <v>79</v>
      </c>
      <c r="N943" s="11">
        <v>2257449</v>
      </c>
      <c r="O943" s="8" t="s">
        <v>1690</v>
      </c>
      <c r="P943" s="8" t="s">
        <v>1691</v>
      </c>
      <c r="Q943" s="8"/>
      <c r="R943" s="8"/>
    </row>
    <row r="944" spans="1:18" ht="26.15" customHeight="1">
      <c r="A944" s="7">
        <v>938</v>
      </c>
      <c r="B944" s="8" t="s">
        <v>4103</v>
      </c>
      <c r="C944" s="8" t="s">
        <v>3127</v>
      </c>
      <c r="D944" s="8"/>
      <c r="E944" s="8" t="s">
        <v>3128</v>
      </c>
      <c r="F944" s="9" t="s">
        <v>3117</v>
      </c>
      <c r="G944" s="10">
        <v>43225</v>
      </c>
      <c r="H944" s="8" t="s">
        <v>34</v>
      </c>
      <c r="I944" s="11">
        <v>716422</v>
      </c>
      <c r="J944" s="8" t="s">
        <v>1685</v>
      </c>
      <c r="K944" s="8" t="s">
        <v>1686</v>
      </c>
      <c r="L944" s="7">
        <v>2013</v>
      </c>
      <c r="M944" s="8" t="s">
        <v>79</v>
      </c>
      <c r="N944" s="11">
        <v>2257449</v>
      </c>
      <c r="O944" s="8" t="s">
        <v>1690</v>
      </c>
      <c r="P944" s="8" t="s">
        <v>1691</v>
      </c>
      <c r="Q944" s="8"/>
      <c r="R944" s="8"/>
    </row>
    <row r="945" spans="1:18" ht="26.15" customHeight="1">
      <c r="A945" s="7">
        <v>939</v>
      </c>
      <c r="B945" s="8" t="s">
        <v>4104</v>
      </c>
      <c r="C945" s="8" t="s">
        <v>3127</v>
      </c>
      <c r="D945" s="8"/>
      <c r="E945" s="8" t="s">
        <v>3128</v>
      </c>
      <c r="F945" s="9" t="s">
        <v>3123</v>
      </c>
      <c r="G945" s="10">
        <v>43225</v>
      </c>
      <c r="H945" s="8" t="s">
        <v>34</v>
      </c>
      <c r="I945" s="11">
        <v>716422</v>
      </c>
      <c r="J945" s="8" t="s">
        <v>1685</v>
      </c>
      <c r="K945" s="8" t="s">
        <v>1686</v>
      </c>
      <c r="L945" s="7">
        <v>2013</v>
      </c>
      <c r="M945" s="8" t="s">
        <v>79</v>
      </c>
      <c r="N945" s="11">
        <v>2257449</v>
      </c>
      <c r="O945" s="8" t="s">
        <v>1690</v>
      </c>
      <c r="P945" s="8" t="s">
        <v>1691</v>
      </c>
      <c r="Q945" s="8"/>
      <c r="R945" s="8"/>
    </row>
    <row r="946" spans="1:18" ht="26.15" customHeight="1">
      <c r="A946" s="7">
        <v>940</v>
      </c>
      <c r="B946" s="8" t="s">
        <v>4105</v>
      </c>
      <c r="C946" s="8" t="s">
        <v>3127</v>
      </c>
      <c r="D946" s="8"/>
      <c r="E946" s="8" t="s">
        <v>3128</v>
      </c>
      <c r="F946" s="9" t="s">
        <v>3123</v>
      </c>
      <c r="G946" s="10">
        <v>43225</v>
      </c>
      <c r="H946" s="8" t="s">
        <v>34</v>
      </c>
      <c r="I946" s="11">
        <v>716422</v>
      </c>
      <c r="J946" s="8" t="s">
        <v>1685</v>
      </c>
      <c r="K946" s="8" t="s">
        <v>1686</v>
      </c>
      <c r="L946" s="7">
        <v>2013</v>
      </c>
      <c r="M946" s="8" t="s">
        <v>79</v>
      </c>
      <c r="N946" s="11">
        <v>2257449</v>
      </c>
      <c r="O946" s="8" t="s">
        <v>1690</v>
      </c>
      <c r="P946" s="8" t="s">
        <v>1691</v>
      </c>
      <c r="Q946" s="8"/>
      <c r="R946" s="8"/>
    </row>
    <row r="947" spans="1:18" ht="26.15" customHeight="1">
      <c r="A947" s="7">
        <v>941</v>
      </c>
      <c r="B947" s="8" t="s">
        <v>4106</v>
      </c>
      <c r="C947" s="8" t="s">
        <v>3127</v>
      </c>
      <c r="D947" s="8"/>
      <c r="E947" s="8" t="s">
        <v>3128</v>
      </c>
      <c r="F947" s="9" t="s">
        <v>3123</v>
      </c>
      <c r="G947" s="10">
        <v>43225</v>
      </c>
      <c r="H947" s="8" t="s">
        <v>34</v>
      </c>
      <c r="I947" s="11">
        <v>716422</v>
      </c>
      <c r="J947" s="8" t="s">
        <v>1685</v>
      </c>
      <c r="K947" s="8" t="s">
        <v>1686</v>
      </c>
      <c r="L947" s="7">
        <v>2013</v>
      </c>
      <c r="M947" s="8" t="s">
        <v>79</v>
      </c>
      <c r="N947" s="11">
        <v>2257449</v>
      </c>
      <c r="O947" s="8" t="s">
        <v>1690</v>
      </c>
      <c r="P947" s="8" t="s">
        <v>1691</v>
      </c>
      <c r="Q947" s="8"/>
      <c r="R947" s="8"/>
    </row>
    <row r="948" spans="1:18" ht="26.15" customHeight="1">
      <c r="A948" s="7">
        <v>942</v>
      </c>
      <c r="B948" s="8" t="s">
        <v>4107</v>
      </c>
      <c r="C948" s="8" t="s">
        <v>3127</v>
      </c>
      <c r="D948" s="8"/>
      <c r="E948" s="8" t="s">
        <v>3128</v>
      </c>
      <c r="F948" s="9" t="s">
        <v>3123</v>
      </c>
      <c r="G948" s="10">
        <v>43225</v>
      </c>
      <c r="H948" s="8" t="s">
        <v>34</v>
      </c>
      <c r="I948" s="11">
        <v>716422</v>
      </c>
      <c r="J948" s="8" t="s">
        <v>1685</v>
      </c>
      <c r="K948" s="8" t="s">
        <v>1686</v>
      </c>
      <c r="L948" s="7">
        <v>2013</v>
      </c>
      <c r="M948" s="8" t="s">
        <v>79</v>
      </c>
      <c r="N948" s="11">
        <v>2257449</v>
      </c>
      <c r="O948" s="8" t="s">
        <v>1690</v>
      </c>
      <c r="P948" s="8" t="s">
        <v>1691</v>
      </c>
      <c r="Q948" s="8"/>
      <c r="R948" s="8"/>
    </row>
    <row r="949" spans="1:18" ht="26.15" customHeight="1">
      <c r="A949" s="7">
        <v>943</v>
      </c>
      <c r="B949" s="8" t="s">
        <v>4108</v>
      </c>
      <c r="C949" s="8" t="s">
        <v>3127</v>
      </c>
      <c r="D949" s="8"/>
      <c r="E949" s="8" t="s">
        <v>3128</v>
      </c>
      <c r="F949" s="9" t="s">
        <v>3117</v>
      </c>
      <c r="G949" s="10">
        <v>43225</v>
      </c>
      <c r="H949" s="8" t="s">
        <v>34</v>
      </c>
      <c r="I949" s="11">
        <v>716422</v>
      </c>
      <c r="J949" s="8" t="s">
        <v>1685</v>
      </c>
      <c r="K949" s="8" t="s">
        <v>1686</v>
      </c>
      <c r="L949" s="7">
        <v>2013</v>
      </c>
      <c r="M949" s="8" t="s">
        <v>79</v>
      </c>
      <c r="N949" s="11">
        <v>2257449</v>
      </c>
      <c r="O949" s="8" t="s">
        <v>1690</v>
      </c>
      <c r="P949" s="8" t="s">
        <v>1691</v>
      </c>
      <c r="Q949" s="8"/>
      <c r="R949" s="8"/>
    </row>
    <row r="950" spans="1:18" ht="26.15" customHeight="1">
      <c r="A950" s="7">
        <v>944</v>
      </c>
      <c r="B950" s="8" t="s">
        <v>4109</v>
      </c>
      <c r="C950" s="8" t="s">
        <v>3127</v>
      </c>
      <c r="D950" s="8"/>
      <c r="E950" s="8" t="s">
        <v>3128</v>
      </c>
      <c r="F950" s="9" t="s">
        <v>3123</v>
      </c>
      <c r="G950" s="10">
        <v>43225</v>
      </c>
      <c r="H950" s="8" t="s">
        <v>34</v>
      </c>
      <c r="I950" s="11">
        <v>716422</v>
      </c>
      <c r="J950" s="8" t="s">
        <v>1685</v>
      </c>
      <c r="K950" s="8" t="s">
        <v>1686</v>
      </c>
      <c r="L950" s="7">
        <v>2013</v>
      </c>
      <c r="M950" s="8" t="s">
        <v>79</v>
      </c>
      <c r="N950" s="11">
        <v>2257449</v>
      </c>
      <c r="O950" s="8" t="s">
        <v>1690</v>
      </c>
      <c r="P950" s="8" t="s">
        <v>1691</v>
      </c>
      <c r="Q950" s="8"/>
      <c r="R950" s="8"/>
    </row>
    <row r="951" spans="1:18" ht="26.15" customHeight="1">
      <c r="A951" s="7">
        <v>945</v>
      </c>
      <c r="B951" s="8" t="s">
        <v>4110</v>
      </c>
      <c r="C951" s="8" t="s">
        <v>3127</v>
      </c>
      <c r="D951" s="8"/>
      <c r="E951" s="8" t="s">
        <v>3128</v>
      </c>
      <c r="F951" s="9" t="s">
        <v>3123</v>
      </c>
      <c r="G951" s="10">
        <v>43225</v>
      </c>
      <c r="H951" s="8" t="s">
        <v>34</v>
      </c>
      <c r="I951" s="11">
        <v>716422</v>
      </c>
      <c r="J951" s="8" t="s">
        <v>1685</v>
      </c>
      <c r="K951" s="8" t="s">
        <v>1686</v>
      </c>
      <c r="L951" s="7">
        <v>2013</v>
      </c>
      <c r="M951" s="8" t="s">
        <v>79</v>
      </c>
      <c r="N951" s="11">
        <v>2257449</v>
      </c>
      <c r="O951" s="8" t="s">
        <v>1690</v>
      </c>
      <c r="P951" s="8" t="s">
        <v>1691</v>
      </c>
      <c r="Q951" s="8"/>
      <c r="R951" s="8"/>
    </row>
    <row r="952" spans="1:18" ht="26.15" customHeight="1">
      <c r="A952" s="7">
        <v>946</v>
      </c>
      <c r="B952" s="8" t="s">
        <v>3911</v>
      </c>
      <c r="C952" s="8" t="s">
        <v>3127</v>
      </c>
      <c r="D952" s="8"/>
      <c r="E952" s="8" t="s">
        <v>3128</v>
      </c>
      <c r="F952" s="9" t="s">
        <v>3123</v>
      </c>
      <c r="G952" s="10">
        <v>43225</v>
      </c>
      <c r="H952" s="8" t="s">
        <v>34</v>
      </c>
      <c r="I952" s="11">
        <v>716422</v>
      </c>
      <c r="J952" s="8" t="s">
        <v>1685</v>
      </c>
      <c r="K952" s="8" t="s">
        <v>1686</v>
      </c>
      <c r="L952" s="7">
        <v>2013</v>
      </c>
      <c r="M952" s="8" t="s">
        <v>79</v>
      </c>
      <c r="N952" s="11">
        <v>2257449</v>
      </c>
      <c r="O952" s="8" t="s">
        <v>1690</v>
      </c>
      <c r="P952" s="8" t="s">
        <v>1691</v>
      </c>
      <c r="Q952" s="8"/>
      <c r="R952" s="8"/>
    </row>
    <row r="953" spans="1:18" ht="26.15" customHeight="1">
      <c r="A953" s="7">
        <v>947</v>
      </c>
      <c r="B953" s="8" t="s">
        <v>4111</v>
      </c>
      <c r="C953" s="8" t="s">
        <v>3127</v>
      </c>
      <c r="D953" s="8"/>
      <c r="E953" s="8" t="s">
        <v>3128</v>
      </c>
      <c r="F953" s="9" t="s">
        <v>3123</v>
      </c>
      <c r="G953" s="10">
        <v>43225</v>
      </c>
      <c r="H953" s="8" t="s">
        <v>34</v>
      </c>
      <c r="I953" s="11">
        <v>716422</v>
      </c>
      <c r="J953" s="8" t="s">
        <v>1685</v>
      </c>
      <c r="K953" s="8" t="s">
        <v>1686</v>
      </c>
      <c r="L953" s="7">
        <v>2013</v>
      </c>
      <c r="M953" s="8" t="s">
        <v>79</v>
      </c>
      <c r="N953" s="11">
        <v>2257449</v>
      </c>
      <c r="O953" s="8" t="s">
        <v>1690</v>
      </c>
      <c r="P953" s="8" t="s">
        <v>1691</v>
      </c>
      <c r="Q953" s="8"/>
      <c r="R953" s="8"/>
    </row>
    <row r="954" spans="1:18" ht="26.15" customHeight="1">
      <c r="A954" s="7">
        <v>948</v>
      </c>
      <c r="B954" s="8" t="s">
        <v>3689</v>
      </c>
      <c r="C954" s="8" t="s">
        <v>3114</v>
      </c>
      <c r="D954" s="8" t="s">
        <v>3690</v>
      </c>
      <c r="E954" s="8" t="s">
        <v>3116</v>
      </c>
      <c r="F954" s="9" t="s">
        <v>3123</v>
      </c>
      <c r="G954" s="10">
        <v>43224</v>
      </c>
      <c r="H954" s="8" t="s">
        <v>184</v>
      </c>
      <c r="I954" s="11">
        <v>40000</v>
      </c>
      <c r="J954" s="8" t="s">
        <v>1692</v>
      </c>
      <c r="K954" s="8" t="s">
        <v>1693</v>
      </c>
      <c r="L954" s="7">
        <v>2017</v>
      </c>
      <c r="M954" s="8" t="s">
        <v>1285</v>
      </c>
      <c r="N954" s="11"/>
      <c r="O954" s="8" t="s">
        <v>1365</v>
      </c>
      <c r="P954" s="8" t="s">
        <v>1694</v>
      </c>
      <c r="Q954" s="8"/>
      <c r="R954" s="8" t="s">
        <v>299</v>
      </c>
    </row>
    <row r="955" spans="1:18" ht="26.15" customHeight="1">
      <c r="A955" s="7">
        <v>949</v>
      </c>
      <c r="B955" s="8" t="s">
        <v>1696</v>
      </c>
      <c r="C955" s="8" t="s">
        <v>3114</v>
      </c>
      <c r="D955" s="8" t="s">
        <v>4112</v>
      </c>
      <c r="E955" s="8" t="s">
        <v>3116</v>
      </c>
      <c r="F955" s="9" t="s">
        <v>3117</v>
      </c>
      <c r="G955" s="10">
        <v>43223</v>
      </c>
      <c r="H955" s="8" t="s">
        <v>34</v>
      </c>
      <c r="I955" s="11">
        <v>74832</v>
      </c>
      <c r="J955" s="8" t="s">
        <v>458</v>
      </c>
      <c r="K955" s="8" t="s">
        <v>459</v>
      </c>
      <c r="L955" s="7">
        <v>2012</v>
      </c>
      <c r="M955" s="8" t="s">
        <v>462</v>
      </c>
      <c r="N955" s="11">
        <v>16507907</v>
      </c>
      <c r="O955" s="8" t="s">
        <v>463</v>
      </c>
      <c r="P955" s="8" t="s">
        <v>464</v>
      </c>
      <c r="Q955" s="8"/>
      <c r="R955" s="8" t="s">
        <v>3169</v>
      </c>
    </row>
    <row r="956" spans="1:18" ht="26.15" customHeight="1">
      <c r="A956" s="7">
        <v>950</v>
      </c>
      <c r="B956" s="8" t="s">
        <v>1698</v>
      </c>
      <c r="C956" s="8" t="s">
        <v>3139</v>
      </c>
      <c r="D956" s="8" t="s">
        <v>4113</v>
      </c>
      <c r="E956" s="8" t="s">
        <v>3116</v>
      </c>
      <c r="F956" s="9" t="s">
        <v>3117</v>
      </c>
      <c r="G956" s="10">
        <v>43222</v>
      </c>
      <c r="H956" s="8" t="s">
        <v>109</v>
      </c>
      <c r="I956" s="11" t="s">
        <v>50</v>
      </c>
      <c r="J956" s="8" t="s">
        <v>885</v>
      </c>
      <c r="K956" s="8" t="s">
        <v>886</v>
      </c>
      <c r="L956" s="7">
        <v>2013</v>
      </c>
      <c r="M956" s="8" t="s">
        <v>369</v>
      </c>
      <c r="N956" s="11">
        <v>30000000</v>
      </c>
      <c r="O956" s="8" t="s">
        <v>889</v>
      </c>
      <c r="P956" s="8" t="s">
        <v>890</v>
      </c>
      <c r="Q956" s="8"/>
      <c r="R956" s="8" t="s">
        <v>369</v>
      </c>
    </row>
    <row r="957" spans="1:18" ht="26.15" customHeight="1">
      <c r="A957" s="7">
        <v>951</v>
      </c>
      <c r="B957" s="8" t="s">
        <v>4114</v>
      </c>
      <c r="C957" s="8" t="s">
        <v>3139</v>
      </c>
      <c r="D957" s="8" t="s">
        <v>4115</v>
      </c>
      <c r="E957" s="8" t="s">
        <v>3116</v>
      </c>
      <c r="F957" s="9" t="s">
        <v>3123</v>
      </c>
      <c r="G957" s="10">
        <v>43221</v>
      </c>
      <c r="H957" s="8" t="s">
        <v>184</v>
      </c>
      <c r="I957" s="11">
        <v>8143</v>
      </c>
      <c r="J957" s="8" t="s">
        <v>1699</v>
      </c>
      <c r="K957" s="8" t="s">
        <v>1700</v>
      </c>
      <c r="L957" s="7">
        <v>2019</v>
      </c>
      <c r="M957" s="8" t="s">
        <v>1702</v>
      </c>
      <c r="N957" s="11"/>
      <c r="O957" s="8" t="s">
        <v>1703</v>
      </c>
      <c r="P957" s="8" t="s">
        <v>1704</v>
      </c>
      <c r="Q957" s="8"/>
      <c r="R957" s="8"/>
    </row>
    <row r="958" spans="1:18" ht="26.15" customHeight="1">
      <c r="A958" s="7">
        <v>952</v>
      </c>
      <c r="B958" s="8" t="s">
        <v>644</v>
      </c>
      <c r="C958" s="8" t="s">
        <v>3114</v>
      </c>
      <c r="D958" s="8" t="s">
        <v>3162</v>
      </c>
      <c r="E958" s="8" t="s">
        <v>3116</v>
      </c>
      <c r="F958" s="9" t="s">
        <v>3123</v>
      </c>
      <c r="G958" s="10">
        <v>43220</v>
      </c>
      <c r="H958" s="8" t="s">
        <v>25</v>
      </c>
      <c r="I958" s="11">
        <v>5439750</v>
      </c>
      <c r="J958" s="8" t="s">
        <v>1705</v>
      </c>
      <c r="K958" s="8" t="s">
        <v>1706</v>
      </c>
      <c r="L958" s="7">
        <v>2012</v>
      </c>
      <c r="M958" s="8" t="s">
        <v>1709</v>
      </c>
      <c r="N958" s="11">
        <v>6780764</v>
      </c>
      <c r="O958" s="8" t="s">
        <v>1710</v>
      </c>
      <c r="P958" s="8" t="s">
        <v>1711</v>
      </c>
      <c r="Q958" s="8"/>
      <c r="R958" s="8" t="s">
        <v>313</v>
      </c>
    </row>
    <row r="959" spans="1:18" ht="26.15" customHeight="1">
      <c r="A959" s="7">
        <v>953</v>
      </c>
      <c r="B959" s="8" t="s">
        <v>1708</v>
      </c>
      <c r="C959" s="8" t="s">
        <v>3139</v>
      </c>
      <c r="D959" s="8" t="s">
        <v>4116</v>
      </c>
      <c r="E959" s="8" t="s">
        <v>3116</v>
      </c>
      <c r="F959" s="9" t="s">
        <v>3117</v>
      </c>
      <c r="G959" s="10">
        <v>43220</v>
      </c>
      <c r="H959" s="8" t="s">
        <v>25</v>
      </c>
      <c r="I959" s="11">
        <v>5439750</v>
      </c>
      <c r="J959" s="8" t="s">
        <v>1705</v>
      </c>
      <c r="K959" s="8" t="s">
        <v>1706</v>
      </c>
      <c r="L959" s="7">
        <v>2012</v>
      </c>
      <c r="M959" s="8" t="s">
        <v>1709</v>
      </c>
      <c r="N959" s="11">
        <v>6780764</v>
      </c>
      <c r="O959" s="8" t="s">
        <v>1710</v>
      </c>
      <c r="P959" s="8" t="s">
        <v>1711</v>
      </c>
      <c r="Q959" s="8"/>
      <c r="R959" s="8" t="s">
        <v>4117</v>
      </c>
    </row>
    <row r="960" spans="1:18" ht="26.15" customHeight="1">
      <c r="A960" s="7">
        <v>954</v>
      </c>
      <c r="B960" s="8" t="s">
        <v>1712</v>
      </c>
      <c r="C960" s="8" t="s">
        <v>3127</v>
      </c>
      <c r="D960" s="8"/>
      <c r="E960" s="8" t="s">
        <v>3128</v>
      </c>
      <c r="F960" s="9" t="s">
        <v>3117</v>
      </c>
      <c r="G960" s="10">
        <v>43218</v>
      </c>
      <c r="H960" s="8" t="s">
        <v>124</v>
      </c>
      <c r="I960" s="11">
        <v>7489</v>
      </c>
      <c r="J960" s="8" t="s">
        <v>1126</v>
      </c>
      <c r="K960" s="8" t="s">
        <v>1127</v>
      </c>
      <c r="L960" s="7">
        <v>2013</v>
      </c>
      <c r="M960" s="8" t="s">
        <v>47</v>
      </c>
      <c r="N960" s="11">
        <v>264994</v>
      </c>
      <c r="O960" s="8" t="s">
        <v>1130</v>
      </c>
      <c r="P960" s="8" t="s">
        <v>968</v>
      </c>
      <c r="Q960" s="8"/>
      <c r="R960" s="8"/>
    </row>
    <row r="961" spans="1:18" ht="26.15" customHeight="1">
      <c r="A961" s="7">
        <v>955</v>
      </c>
      <c r="B961" s="8" t="s">
        <v>1714</v>
      </c>
      <c r="C961" s="8" t="s">
        <v>3114</v>
      </c>
      <c r="D961" s="8" t="s">
        <v>4118</v>
      </c>
      <c r="E961" s="8" t="s">
        <v>3116</v>
      </c>
      <c r="F961" s="9" t="s">
        <v>3117</v>
      </c>
      <c r="G961" s="10">
        <v>43213</v>
      </c>
      <c r="H961" s="8" t="s">
        <v>34</v>
      </c>
      <c r="I961" s="11" t="s">
        <v>50</v>
      </c>
      <c r="J961" s="8" t="s">
        <v>485</v>
      </c>
      <c r="K961" s="8" t="s">
        <v>486</v>
      </c>
      <c r="L961" s="7">
        <v>2015</v>
      </c>
      <c r="M961" s="8" t="s">
        <v>207</v>
      </c>
      <c r="N961" s="11">
        <v>29000000</v>
      </c>
      <c r="O961" s="8" t="s">
        <v>489</v>
      </c>
      <c r="P961" s="8" t="s">
        <v>490</v>
      </c>
      <c r="Q961" s="8"/>
      <c r="R961" s="8" t="s">
        <v>2390</v>
      </c>
    </row>
    <row r="962" spans="1:18" ht="26.15" customHeight="1">
      <c r="A962" s="7">
        <v>956</v>
      </c>
      <c r="B962" s="8" t="s">
        <v>1717</v>
      </c>
      <c r="C962" s="8" t="s">
        <v>3139</v>
      </c>
      <c r="D962" s="8" t="s">
        <v>4119</v>
      </c>
      <c r="E962" s="8" t="s">
        <v>3116</v>
      </c>
      <c r="F962" s="9" t="s">
        <v>3117</v>
      </c>
      <c r="G962" s="10">
        <v>43213</v>
      </c>
      <c r="H962" s="8" t="s">
        <v>34</v>
      </c>
      <c r="I962" s="11">
        <v>38123</v>
      </c>
      <c r="J962" s="8" t="s">
        <v>991</v>
      </c>
      <c r="K962" s="8" t="s">
        <v>992</v>
      </c>
      <c r="L962" s="7">
        <v>2014</v>
      </c>
      <c r="M962" s="8" t="s">
        <v>128</v>
      </c>
      <c r="N962" s="11">
        <v>1570818</v>
      </c>
      <c r="O962" s="8" t="s">
        <v>994</v>
      </c>
      <c r="P962" s="8" t="s">
        <v>995</v>
      </c>
      <c r="Q962" s="8"/>
      <c r="R962" s="8" t="s">
        <v>56</v>
      </c>
    </row>
    <row r="963" spans="1:18" ht="26.15" customHeight="1">
      <c r="A963" s="7">
        <v>957</v>
      </c>
      <c r="B963" s="8" t="s">
        <v>1716</v>
      </c>
      <c r="C963" s="8" t="s">
        <v>3127</v>
      </c>
      <c r="D963" s="8"/>
      <c r="E963" s="8" t="s">
        <v>3128</v>
      </c>
      <c r="F963" s="9" t="s">
        <v>3123</v>
      </c>
      <c r="G963" s="10">
        <v>43213</v>
      </c>
      <c r="H963" s="8" t="s">
        <v>34</v>
      </c>
      <c r="I963" s="11">
        <v>38123</v>
      </c>
      <c r="J963" s="8" t="s">
        <v>991</v>
      </c>
      <c r="K963" s="8" t="s">
        <v>992</v>
      </c>
      <c r="L963" s="7">
        <v>2014</v>
      </c>
      <c r="M963" s="8" t="s">
        <v>128</v>
      </c>
      <c r="N963" s="11">
        <v>1570818</v>
      </c>
      <c r="O963" s="8" t="s">
        <v>994</v>
      </c>
      <c r="P963" s="8" t="s">
        <v>995</v>
      </c>
      <c r="Q963" s="8"/>
      <c r="R963" s="8"/>
    </row>
    <row r="964" spans="1:18" ht="26.15" customHeight="1">
      <c r="A964" s="7">
        <v>958</v>
      </c>
      <c r="B964" s="8" t="s">
        <v>4120</v>
      </c>
      <c r="C964" s="8" t="s">
        <v>3114</v>
      </c>
      <c r="D964" s="8" t="s">
        <v>4121</v>
      </c>
      <c r="E964" s="8" t="s">
        <v>3116</v>
      </c>
      <c r="F964" s="9" t="s">
        <v>3123</v>
      </c>
      <c r="G964" s="10">
        <v>43210</v>
      </c>
      <c r="H964" s="8" t="s">
        <v>34</v>
      </c>
      <c r="I964" s="11" t="s">
        <v>50</v>
      </c>
      <c r="J964" s="8" t="s">
        <v>1718</v>
      </c>
      <c r="K964" s="8" t="s">
        <v>1719</v>
      </c>
      <c r="L964" s="7">
        <v>2016</v>
      </c>
      <c r="M964" s="8" t="s">
        <v>1721</v>
      </c>
      <c r="N964" s="11"/>
      <c r="O964" s="8" t="s">
        <v>1722</v>
      </c>
      <c r="P964" s="8" t="s">
        <v>1723</v>
      </c>
      <c r="Q964" s="8"/>
      <c r="R964" s="8" t="s">
        <v>157</v>
      </c>
    </row>
    <row r="965" spans="1:18" ht="26.15" customHeight="1">
      <c r="A965" s="7">
        <v>959</v>
      </c>
      <c r="B965" s="8" t="s">
        <v>515</v>
      </c>
      <c r="C965" s="8" t="s">
        <v>3114</v>
      </c>
      <c r="D965" s="8" t="s">
        <v>3460</v>
      </c>
      <c r="E965" s="8" t="s">
        <v>3116</v>
      </c>
      <c r="F965" s="9" t="s">
        <v>3117</v>
      </c>
      <c r="G965" s="10">
        <v>43208</v>
      </c>
      <c r="H965" s="8" t="s">
        <v>34</v>
      </c>
      <c r="I965" s="11">
        <v>100000</v>
      </c>
      <c r="J965" s="8" t="s">
        <v>1724</v>
      </c>
      <c r="K965" s="8" t="s">
        <v>1725</v>
      </c>
      <c r="L965" s="7">
        <v>2015</v>
      </c>
      <c r="M965" s="8" t="s">
        <v>787</v>
      </c>
      <c r="N965" s="11">
        <v>810223</v>
      </c>
      <c r="O965" s="8" t="s">
        <v>1726</v>
      </c>
      <c r="P965" s="8" t="s">
        <v>1727</v>
      </c>
      <c r="Q965" s="8"/>
      <c r="R965" s="8" t="s">
        <v>3392</v>
      </c>
    </row>
    <row r="966" spans="1:18" ht="26.15" customHeight="1">
      <c r="A966" s="7">
        <v>960</v>
      </c>
      <c r="B966" s="8" t="s">
        <v>1731</v>
      </c>
      <c r="C966" s="8" t="s">
        <v>3114</v>
      </c>
      <c r="D966" s="8" t="s">
        <v>4122</v>
      </c>
      <c r="E966" s="8" t="s">
        <v>3116</v>
      </c>
      <c r="F966" s="9" t="s">
        <v>3117</v>
      </c>
      <c r="G966" s="10">
        <v>43208</v>
      </c>
      <c r="H966" s="8" t="s">
        <v>109</v>
      </c>
      <c r="I966" s="11" t="s">
        <v>50</v>
      </c>
      <c r="J966" s="8" t="s">
        <v>1728</v>
      </c>
      <c r="K966" s="8" t="s">
        <v>1729</v>
      </c>
      <c r="L966" s="7">
        <v>2015</v>
      </c>
      <c r="M966" s="8" t="s">
        <v>1732</v>
      </c>
      <c r="N966" s="11"/>
      <c r="O966" s="8" t="s">
        <v>1733</v>
      </c>
      <c r="P966" s="8" t="s">
        <v>1734</v>
      </c>
      <c r="Q966" s="8"/>
      <c r="R966" s="8" t="s">
        <v>1732</v>
      </c>
    </row>
    <row r="967" spans="1:18" ht="26.15" customHeight="1">
      <c r="A967" s="7">
        <v>961</v>
      </c>
      <c r="B967" s="8" t="s">
        <v>1736</v>
      </c>
      <c r="C967" s="8" t="s">
        <v>3114</v>
      </c>
      <c r="D967" s="8" t="s">
        <v>3550</v>
      </c>
      <c r="E967" s="8" t="s">
        <v>3116</v>
      </c>
      <c r="F967" s="9" t="s">
        <v>3117</v>
      </c>
      <c r="G967" s="10">
        <v>43206</v>
      </c>
      <c r="H967" s="8" t="s">
        <v>34</v>
      </c>
      <c r="I967" s="11">
        <v>120000</v>
      </c>
      <c r="J967" s="8" t="s">
        <v>712</v>
      </c>
      <c r="K967" s="8" t="s">
        <v>713</v>
      </c>
      <c r="L967" s="7">
        <v>2018</v>
      </c>
      <c r="M967" s="8" t="s">
        <v>79</v>
      </c>
      <c r="N967" s="11">
        <v>1720000</v>
      </c>
      <c r="O967" s="8" t="s">
        <v>710</v>
      </c>
      <c r="P967" s="8" t="s">
        <v>716</v>
      </c>
      <c r="Q967" s="8"/>
      <c r="R967" s="8" t="s">
        <v>157</v>
      </c>
    </row>
    <row r="968" spans="1:18" ht="26.15" customHeight="1">
      <c r="A968" s="7">
        <v>962</v>
      </c>
      <c r="B968" s="8" t="s">
        <v>4123</v>
      </c>
      <c r="C968" s="8" t="s">
        <v>3114</v>
      </c>
      <c r="D968" s="8" t="s">
        <v>4124</v>
      </c>
      <c r="E968" s="8" t="s">
        <v>3116</v>
      </c>
      <c r="F968" s="9" t="s">
        <v>3123</v>
      </c>
      <c r="G968" s="10">
        <v>43205</v>
      </c>
      <c r="H968" s="8" t="s">
        <v>34</v>
      </c>
      <c r="I968" s="11" t="s">
        <v>50</v>
      </c>
      <c r="J968" s="8" t="s">
        <v>664</v>
      </c>
      <c r="K968" s="8" t="s">
        <v>665</v>
      </c>
      <c r="L968" s="7">
        <v>2015</v>
      </c>
      <c r="M968" s="8" t="s">
        <v>382</v>
      </c>
      <c r="N968" s="11"/>
      <c r="O968" s="8" t="s">
        <v>667</v>
      </c>
      <c r="P968" s="8" t="s">
        <v>668</v>
      </c>
      <c r="Q968" s="8"/>
      <c r="R968" s="8" t="s">
        <v>3176</v>
      </c>
    </row>
    <row r="969" spans="1:18" ht="26.15" customHeight="1">
      <c r="A969" s="7">
        <v>963</v>
      </c>
      <c r="B969" s="8" t="s">
        <v>3689</v>
      </c>
      <c r="C969" s="8" t="s">
        <v>3114</v>
      </c>
      <c r="D969" s="8" t="s">
        <v>3690</v>
      </c>
      <c r="E969" s="8" t="s">
        <v>3116</v>
      </c>
      <c r="F969" s="9" t="s">
        <v>3123</v>
      </c>
      <c r="G969" s="10">
        <v>43203</v>
      </c>
      <c r="H969" s="8" t="s">
        <v>184</v>
      </c>
      <c r="I969" s="11">
        <v>15000</v>
      </c>
      <c r="J969" s="8" t="s">
        <v>1738</v>
      </c>
      <c r="K969" s="8" t="s">
        <v>1739</v>
      </c>
      <c r="L969" s="7">
        <v>2018</v>
      </c>
      <c r="M969" s="8" t="s">
        <v>1740</v>
      </c>
      <c r="N969" s="11"/>
      <c r="O969" s="8" t="s">
        <v>763</v>
      </c>
      <c r="P969" s="8" t="s">
        <v>1741</v>
      </c>
      <c r="Q969" s="8"/>
      <c r="R969" s="8" t="s">
        <v>299</v>
      </c>
    </row>
    <row r="970" spans="1:18" ht="26.15" customHeight="1">
      <c r="A970" s="7">
        <v>964</v>
      </c>
      <c r="B970" s="8" t="s">
        <v>588</v>
      </c>
      <c r="C970" s="8" t="s">
        <v>3114</v>
      </c>
      <c r="D970" s="8" t="s">
        <v>3504</v>
      </c>
      <c r="E970" s="8" t="s">
        <v>3116</v>
      </c>
      <c r="F970" s="9" t="s">
        <v>3123</v>
      </c>
      <c r="G970" s="10">
        <v>43203</v>
      </c>
      <c r="H970" s="8" t="s">
        <v>109</v>
      </c>
      <c r="I970" s="11">
        <v>885610</v>
      </c>
      <c r="J970" s="8" t="s">
        <v>1742</v>
      </c>
      <c r="K970" s="8" t="s">
        <v>1743</v>
      </c>
      <c r="L970" s="7">
        <v>2014</v>
      </c>
      <c r="M970" s="8" t="s">
        <v>1745</v>
      </c>
      <c r="N970" s="11">
        <v>885610</v>
      </c>
      <c r="O970" s="8" t="s">
        <v>1746</v>
      </c>
      <c r="P970" s="8" t="s">
        <v>1747</v>
      </c>
      <c r="Q970" s="8"/>
      <c r="R970" s="8" t="s">
        <v>3220</v>
      </c>
    </row>
    <row r="971" spans="1:18" ht="26.15" customHeight="1">
      <c r="A971" s="7">
        <v>965</v>
      </c>
      <c r="B971" s="8" t="s">
        <v>1751</v>
      </c>
      <c r="C971" s="8" t="s">
        <v>3114</v>
      </c>
      <c r="D971" s="8" t="s">
        <v>4125</v>
      </c>
      <c r="E971" s="8" t="s">
        <v>3116</v>
      </c>
      <c r="F971" s="9" t="s">
        <v>3117</v>
      </c>
      <c r="G971" s="10">
        <v>43202</v>
      </c>
      <c r="H971" s="8" t="s">
        <v>95</v>
      </c>
      <c r="I971" s="11" t="s">
        <v>50</v>
      </c>
      <c r="J971" s="8" t="s">
        <v>1748</v>
      </c>
      <c r="K971" s="8" t="s">
        <v>1749</v>
      </c>
      <c r="L971" s="7">
        <v>2014</v>
      </c>
      <c r="M971" s="8" t="s">
        <v>1222</v>
      </c>
      <c r="N971" s="11">
        <v>14470000</v>
      </c>
      <c r="O971" s="8" t="s">
        <v>1752</v>
      </c>
      <c r="P971" s="8" t="s">
        <v>1753</v>
      </c>
      <c r="Q971" s="8"/>
      <c r="R971" s="8" t="s">
        <v>1215</v>
      </c>
    </row>
    <row r="972" spans="1:18" ht="26.15" customHeight="1">
      <c r="A972" s="7">
        <v>966</v>
      </c>
      <c r="B972" s="8" t="s">
        <v>3472</v>
      </c>
      <c r="C972" s="8"/>
      <c r="D972" s="8" t="s">
        <v>3473</v>
      </c>
      <c r="E972" s="8" t="s">
        <v>3116</v>
      </c>
      <c r="F972" s="9" t="s">
        <v>3123</v>
      </c>
      <c r="G972" s="10">
        <v>43202</v>
      </c>
      <c r="H972" s="8" t="s">
        <v>95</v>
      </c>
      <c r="I972" s="11" t="s">
        <v>50</v>
      </c>
      <c r="J972" s="8" t="s">
        <v>1748</v>
      </c>
      <c r="K972" s="8" t="s">
        <v>1749</v>
      </c>
      <c r="L972" s="7">
        <v>2014</v>
      </c>
      <c r="M972" s="8" t="s">
        <v>1222</v>
      </c>
      <c r="N972" s="11">
        <v>14470000</v>
      </c>
      <c r="O972" s="8" t="s">
        <v>1752</v>
      </c>
      <c r="P972" s="8" t="s">
        <v>1753</v>
      </c>
      <c r="Q972" s="8"/>
      <c r="R972" s="8" t="s">
        <v>313</v>
      </c>
    </row>
    <row r="973" spans="1:18" ht="26.15" customHeight="1">
      <c r="A973" s="7">
        <v>967</v>
      </c>
      <c r="B973" s="8" t="s">
        <v>4126</v>
      </c>
      <c r="C973" s="8" t="s">
        <v>3114</v>
      </c>
      <c r="D973" s="8" t="s">
        <v>4127</v>
      </c>
      <c r="E973" s="8" t="s">
        <v>3116</v>
      </c>
      <c r="F973" s="9" t="s">
        <v>3123</v>
      </c>
      <c r="G973" s="10">
        <v>43202</v>
      </c>
      <c r="H973" s="8" t="s">
        <v>95</v>
      </c>
      <c r="I973" s="11" t="s">
        <v>50</v>
      </c>
      <c r="J973" s="8" t="s">
        <v>1748</v>
      </c>
      <c r="K973" s="8" t="s">
        <v>1749</v>
      </c>
      <c r="L973" s="7">
        <v>2014</v>
      </c>
      <c r="M973" s="8" t="s">
        <v>1222</v>
      </c>
      <c r="N973" s="11">
        <v>14470000</v>
      </c>
      <c r="O973" s="8" t="s">
        <v>1752</v>
      </c>
      <c r="P973" s="8" t="s">
        <v>1753</v>
      </c>
      <c r="Q973" s="8"/>
      <c r="R973" s="8" t="s">
        <v>1215</v>
      </c>
    </row>
    <row r="974" spans="1:18" ht="26.15" customHeight="1">
      <c r="A974" s="7">
        <v>968</v>
      </c>
      <c r="B974" s="8" t="s">
        <v>4128</v>
      </c>
      <c r="C974" s="8" t="s">
        <v>3114</v>
      </c>
      <c r="D974" s="8" t="s">
        <v>4129</v>
      </c>
      <c r="E974" s="8" t="s">
        <v>3116</v>
      </c>
      <c r="F974" s="9" t="s">
        <v>3123</v>
      </c>
      <c r="G974" s="10">
        <v>43202</v>
      </c>
      <c r="H974" s="8" t="s">
        <v>95</v>
      </c>
      <c r="I974" s="11" t="s">
        <v>50</v>
      </c>
      <c r="J974" s="8" t="s">
        <v>1748</v>
      </c>
      <c r="K974" s="8" t="s">
        <v>1749</v>
      </c>
      <c r="L974" s="7">
        <v>2014</v>
      </c>
      <c r="M974" s="8" t="s">
        <v>1222</v>
      </c>
      <c r="N974" s="11">
        <v>14470000</v>
      </c>
      <c r="O974" s="8" t="s">
        <v>1752</v>
      </c>
      <c r="P974" s="8" t="s">
        <v>1753</v>
      </c>
      <c r="Q974" s="8"/>
      <c r="R974" s="8" t="s">
        <v>1732</v>
      </c>
    </row>
    <row r="975" spans="1:18" ht="26.15" customHeight="1">
      <c r="A975" s="7">
        <v>969</v>
      </c>
      <c r="B975" s="8" t="s">
        <v>4088</v>
      </c>
      <c r="C975" s="8" t="s">
        <v>3114</v>
      </c>
      <c r="D975" s="8" t="s">
        <v>4089</v>
      </c>
      <c r="E975" s="8" t="s">
        <v>3116</v>
      </c>
      <c r="F975" s="9" t="s">
        <v>3123</v>
      </c>
      <c r="G975" s="10">
        <v>43202</v>
      </c>
      <c r="H975" s="8" t="s">
        <v>95</v>
      </c>
      <c r="I975" s="11" t="s">
        <v>50</v>
      </c>
      <c r="J975" s="8" t="s">
        <v>1748</v>
      </c>
      <c r="K975" s="8" t="s">
        <v>1749</v>
      </c>
      <c r="L975" s="7">
        <v>2014</v>
      </c>
      <c r="M975" s="8" t="s">
        <v>1222</v>
      </c>
      <c r="N975" s="11">
        <v>14470000</v>
      </c>
      <c r="O975" s="8" t="s">
        <v>1752</v>
      </c>
      <c r="P975" s="8" t="s">
        <v>1753</v>
      </c>
      <c r="Q975" s="8"/>
      <c r="R975" s="8" t="s">
        <v>278</v>
      </c>
    </row>
    <row r="976" spans="1:18" ht="26.15" customHeight="1">
      <c r="A976" s="7">
        <v>970</v>
      </c>
      <c r="B976" s="8" t="s">
        <v>4130</v>
      </c>
      <c r="C976" s="8" t="s">
        <v>3114</v>
      </c>
      <c r="D976" s="8" t="s">
        <v>4131</v>
      </c>
      <c r="E976" s="8" t="s">
        <v>3116</v>
      </c>
      <c r="F976" s="9" t="s">
        <v>3123</v>
      </c>
      <c r="G976" s="10">
        <v>43202</v>
      </c>
      <c r="H976" s="8" t="s">
        <v>95</v>
      </c>
      <c r="I976" s="11" t="s">
        <v>50</v>
      </c>
      <c r="J976" s="8" t="s">
        <v>1748</v>
      </c>
      <c r="K976" s="8" t="s">
        <v>1749</v>
      </c>
      <c r="L976" s="7">
        <v>2014</v>
      </c>
      <c r="M976" s="8" t="s">
        <v>1222</v>
      </c>
      <c r="N976" s="11">
        <v>14470000</v>
      </c>
      <c r="O976" s="8" t="s">
        <v>1752</v>
      </c>
      <c r="P976" s="8" t="s">
        <v>1753</v>
      </c>
      <c r="Q976" s="8"/>
      <c r="R976" s="8" t="s">
        <v>278</v>
      </c>
    </row>
    <row r="977" spans="1:18" ht="26.15" customHeight="1">
      <c r="A977" s="7">
        <v>971</v>
      </c>
      <c r="B977" s="8" t="s">
        <v>2418</v>
      </c>
      <c r="C977" s="8" t="s">
        <v>3114</v>
      </c>
      <c r="D977" s="8" t="s">
        <v>4132</v>
      </c>
      <c r="E977" s="8" t="s">
        <v>3116</v>
      </c>
      <c r="F977" s="9" t="s">
        <v>3123</v>
      </c>
      <c r="G977" s="10">
        <v>43202</v>
      </c>
      <c r="H977" s="8" t="s">
        <v>95</v>
      </c>
      <c r="I977" s="11" t="s">
        <v>50</v>
      </c>
      <c r="J977" s="8" t="s">
        <v>1748</v>
      </c>
      <c r="K977" s="8" t="s">
        <v>1749</v>
      </c>
      <c r="L977" s="7">
        <v>2014</v>
      </c>
      <c r="M977" s="8" t="s">
        <v>1222</v>
      </c>
      <c r="N977" s="11">
        <v>14470000</v>
      </c>
      <c r="O977" s="8" t="s">
        <v>1752</v>
      </c>
      <c r="P977" s="8" t="s">
        <v>1753</v>
      </c>
      <c r="Q977" s="8"/>
      <c r="R977" s="8" t="s">
        <v>278</v>
      </c>
    </row>
    <row r="978" spans="1:18" ht="26.15" customHeight="1">
      <c r="A978" s="7">
        <v>972</v>
      </c>
      <c r="B978" s="8" t="s">
        <v>1736</v>
      </c>
      <c r="C978" s="8" t="s">
        <v>3114</v>
      </c>
      <c r="D978" s="8" t="s">
        <v>3550</v>
      </c>
      <c r="E978" s="8" t="s">
        <v>3116</v>
      </c>
      <c r="F978" s="9" t="s">
        <v>3117</v>
      </c>
      <c r="G978" s="10">
        <v>43195</v>
      </c>
      <c r="H978" s="8" t="s">
        <v>34</v>
      </c>
      <c r="I978" s="11">
        <v>20152</v>
      </c>
      <c r="J978" s="8" t="s">
        <v>707</v>
      </c>
      <c r="K978" s="8" t="s">
        <v>708</v>
      </c>
      <c r="L978" s="7">
        <v>2018</v>
      </c>
      <c r="M978" s="8" t="s">
        <v>79</v>
      </c>
      <c r="N978" s="11">
        <v>1819105</v>
      </c>
      <c r="O978" s="8" t="s">
        <v>710</v>
      </c>
      <c r="P978" s="8" t="s">
        <v>711</v>
      </c>
      <c r="Q978" s="8"/>
      <c r="R978" s="8" t="s">
        <v>157</v>
      </c>
    </row>
    <row r="979" spans="1:18" ht="26.15" customHeight="1">
      <c r="A979" s="7">
        <v>973</v>
      </c>
      <c r="B979" s="8" t="s">
        <v>4133</v>
      </c>
      <c r="C979" s="8" t="s">
        <v>3139</v>
      </c>
      <c r="D979" s="8" t="s">
        <v>4134</v>
      </c>
      <c r="E979" s="8" t="s">
        <v>3116</v>
      </c>
      <c r="F979" s="9" t="s">
        <v>3123</v>
      </c>
      <c r="G979" s="10">
        <v>43193</v>
      </c>
      <c r="H979" s="8" t="s">
        <v>34</v>
      </c>
      <c r="I979" s="11">
        <v>460973</v>
      </c>
      <c r="J979" s="8" t="s">
        <v>1754</v>
      </c>
      <c r="K979" s="8" t="s">
        <v>1755</v>
      </c>
      <c r="L979" s="7">
        <v>2013</v>
      </c>
      <c r="M979" s="8" t="s">
        <v>313</v>
      </c>
      <c r="N979" s="11">
        <v>1437605</v>
      </c>
      <c r="O979" s="8" t="s">
        <v>1758</v>
      </c>
      <c r="P979" s="8" t="s">
        <v>1759</v>
      </c>
      <c r="Q979" s="8"/>
      <c r="R979" s="8" t="s">
        <v>56</v>
      </c>
    </row>
    <row r="980" spans="1:18" ht="26.15" customHeight="1">
      <c r="A980" s="7">
        <v>974</v>
      </c>
      <c r="B980" s="8" t="s">
        <v>1757</v>
      </c>
      <c r="C980" s="8" t="s">
        <v>3127</v>
      </c>
      <c r="D980" s="8"/>
      <c r="E980" s="8" t="s">
        <v>3128</v>
      </c>
      <c r="F980" s="9" t="s">
        <v>3123</v>
      </c>
      <c r="G980" s="10">
        <v>43193</v>
      </c>
      <c r="H980" s="8" t="s">
        <v>34</v>
      </c>
      <c r="I980" s="11">
        <v>460973</v>
      </c>
      <c r="J980" s="8" t="s">
        <v>1754</v>
      </c>
      <c r="K980" s="8" t="s">
        <v>1755</v>
      </c>
      <c r="L980" s="7">
        <v>2013</v>
      </c>
      <c r="M980" s="8" t="s">
        <v>313</v>
      </c>
      <c r="N980" s="11">
        <v>1437605</v>
      </c>
      <c r="O980" s="8" t="s">
        <v>1758</v>
      </c>
      <c r="P980" s="8" t="s">
        <v>1759</v>
      </c>
      <c r="Q980" s="8"/>
      <c r="R980" s="8"/>
    </row>
    <row r="981" spans="1:18" ht="26.15" customHeight="1">
      <c r="A981" s="7">
        <v>975</v>
      </c>
      <c r="B981" s="8" t="s">
        <v>1762</v>
      </c>
      <c r="C981" s="8" t="s">
        <v>3139</v>
      </c>
      <c r="D981" s="8" t="s">
        <v>4135</v>
      </c>
      <c r="E981" s="8" t="s">
        <v>3116</v>
      </c>
      <c r="F981" s="9" t="s">
        <v>3117</v>
      </c>
      <c r="G981" s="10">
        <v>43190</v>
      </c>
      <c r="H981" s="8" t="s">
        <v>109</v>
      </c>
      <c r="I981" s="11">
        <v>3966120</v>
      </c>
      <c r="J981" s="8" t="s">
        <v>185</v>
      </c>
      <c r="K981" s="8" t="s">
        <v>186</v>
      </c>
      <c r="L981" s="7">
        <v>2015</v>
      </c>
      <c r="M981" s="8" t="s">
        <v>188</v>
      </c>
      <c r="N981" s="11">
        <v>65736870</v>
      </c>
      <c r="O981" s="8" t="s">
        <v>189</v>
      </c>
      <c r="P981" s="8" t="s">
        <v>190</v>
      </c>
      <c r="Q981" s="8"/>
      <c r="R981" s="8" t="s">
        <v>47</v>
      </c>
    </row>
    <row r="982" spans="1:18" ht="26.15" customHeight="1">
      <c r="A982" s="7">
        <v>976</v>
      </c>
      <c r="B982" s="8" t="s">
        <v>4136</v>
      </c>
      <c r="C982" s="8" t="s">
        <v>3127</v>
      </c>
      <c r="D982" s="8"/>
      <c r="E982" s="8" t="s">
        <v>3128</v>
      </c>
      <c r="F982" s="9" t="s">
        <v>3123</v>
      </c>
      <c r="G982" s="10">
        <v>43190</v>
      </c>
      <c r="H982" s="8" t="s">
        <v>109</v>
      </c>
      <c r="I982" s="11">
        <v>3966120</v>
      </c>
      <c r="J982" s="8" t="s">
        <v>185</v>
      </c>
      <c r="K982" s="8" t="s">
        <v>186</v>
      </c>
      <c r="L982" s="7">
        <v>2015</v>
      </c>
      <c r="M982" s="8" t="s">
        <v>188</v>
      </c>
      <c r="N982" s="11">
        <v>65736870</v>
      </c>
      <c r="O982" s="8" t="s">
        <v>189</v>
      </c>
      <c r="P982" s="8" t="s">
        <v>190</v>
      </c>
      <c r="Q982" s="8"/>
      <c r="R982" s="8"/>
    </row>
    <row r="983" spans="1:18" ht="26.15" customHeight="1">
      <c r="A983" s="7">
        <v>977</v>
      </c>
      <c r="B983" s="8" t="s">
        <v>4137</v>
      </c>
      <c r="C983" s="8" t="s">
        <v>3127</v>
      </c>
      <c r="D983" s="8"/>
      <c r="E983" s="8" t="s">
        <v>3128</v>
      </c>
      <c r="F983" s="9" t="s">
        <v>3123</v>
      </c>
      <c r="G983" s="10">
        <v>43190</v>
      </c>
      <c r="H983" s="8" t="s">
        <v>109</v>
      </c>
      <c r="I983" s="11">
        <v>3966120</v>
      </c>
      <c r="J983" s="8" t="s">
        <v>185</v>
      </c>
      <c r="K983" s="8" t="s">
        <v>186</v>
      </c>
      <c r="L983" s="7">
        <v>2015</v>
      </c>
      <c r="M983" s="8" t="s">
        <v>188</v>
      </c>
      <c r="N983" s="11">
        <v>65736870</v>
      </c>
      <c r="O983" s="8" t="s">
        <v>189</v>
      </c>
      <c r="P983" s="8" t="s">
        <v>190</v>
      </c>
      <c r="Q983" s="8"/>
      <c r="R983" s="8"/>
    </row>
    <row r="984" spans="1:18" ht="26.15" customHeight="1">
      <c r="A984" s="7">
        <v>978</v>
      </c>
      <c r="B984" s="8" t="s">
        <v>4138</v>
      </c>
      <c r="C984" s="8" t="s">
        <v>3127</v>
      </c>
      <c r="D984" s="8"/>
      <c r="E984" s="8" t="s">
        <v>3128</v>
      </c>
      <c r="F984" s="9" t="s">
        <v>3123</v>
      </c>
      <c r="G984" s="10">
        <v>43190</v>
      </c>
      <c r="H984" s="8" t="s">
        <v>109</v>
      </c>
      <c r="I984" s="11">
        <v>3966120</v>
      </c>
      <c r="J984" s="8" t="s">
        <v>185</v>
      </c>
      <c r="K984" s="8" t="s">
        <v>186</v>
      </c>
      <c r="L984" s="7">
        <v>2015</v>
      </c>
      <c r="M984" s="8" t="s">
        <v>188</v>
      </c>
      <c r="N984" s="11">
        <v>65736870</v>
      </c>
      <c r="O984" s="8" t="s">
        <v>189</v>
      </c>
      <c r="P984" s="8" t="s">
        <v>190</v>
      </c>
      <c r="Q984" s="8"/>
      <c r="R984" s="8"/>
    </row>
    <row r="985" spans="1:18" ht="26.15" customHeight="1">
      <c r="A985" s="7">
        <v>979</v>
      </c>
      <c r="B985" s="8" t="s">
        <v>4139</v>
      </c>
      <c r="C985" s="8" t="s">
        <v>3127</v>
      </c>
      <c r="D985" s="8"/>
      <c r="E985" s="8" t="s">
        <v>3128</v>
      </c>
      <c r="F985" s="9" t="s">
        <v>3123</v>
      </c>
      <c r="G985" s="10">
        <v>43190</v>
      </c>
      <c r="H985" s="8" t="s">
        <v>109</v>
      </c>
      <c r="I985" s="11">
        <v>3966120</v>
      </c>
      <c r="J985" s="8" t="s">
        <v>185</v>
      </c>
      <c r="K985" s="8" t="s">
        <v>186</v>
      </c>
      <c r="L985" s="7">
        <v>2015</v>
      </c>
      <c r="M985" s="8" t="s">
        <v>188</v>
      </c>
      <c r="N985" s="11">
        <v>65736870</v>
      </c>
      <c r="O985" s="8" t="s">
        <v>189</v>
      </c>
      <c r="P985" s="8" t="s">
        <v>190</v>
      </c>
      <c r="Q985" s="8"/>
      <c r="R985" s="8"/>
    </row>
    <row r="986" spans="1:18" ht="26.15" customHeight="1">
      <c r="A986" s="7">
        <v>980</v>
      </c>
      <c r="B986" s="8" t="s">
        <v>4140</v>
      </c>
      <c r="C986" s="8" t="s">
        <v>3127</v>
      </c>
      <c r="D986" s="8"/>
      <c r="E986" s="8" t="s">
        <v>3128</v>
      </c>
      <c r="F986" s="9" t="s">
        <v>3123</v>
      </c>
      <c r="G986" s="10">
        <v>43190</v>
      </c>
      <c r="H986" s="8" t="s">
        <v>109</v>
      </c>
      <c r="I986" s="11">
        <v>3966120</v>
      </c>
      <c r="J986" s="8" t="s">
        <v>185</v>
      </c>
      <c r="K986" s="8" t="s">
        <v>186</v>
      </c>
      <c r="L986" s="7">
        <v>2015</v>
      </c>
      <c r="M986" s="8" t="s">
        <v>188</v>
      </c>
      <c r="N986" s="11">
        <v>65736870</v>
      </c>
      <c r="O986" s="8" t="s">
        <v>189</v>
      </c>
      <c r="P986" s="8" t="s">
        <v>190</v>
      </c>
      <c r="Q986" s="8"/>
      <c r="R986" s="8"/>
    </row>
    <row r="987" spans="1:18" ht="26.15" customHeight="1">
      <c r="A987" s="7">
        <v>981</v>
      </c>
      <c r="B987" s="8" t="s">
        <v>4141</v>
      </c>
      <c r="C987" s="8" t="s">
        <v>3127</v>
      </c>
      <c r="D987" s="8"/>
      <c r="E987" s="8" t="s">
        <v>3128</v>
      </c>
      <c r="F987" s="9" t="s">
        <v>3123</v>
      </c>
      <c r="G987" s="10">
        <v>43190</v>
      </c>
      <c r="H987" s="8" t="s">
        <v>109</v>
      </c>
      <c r="I987" s="11">
        <v>3966120</v>
      </c>
      <c r="J987" s="8" t="s">
        <v>185</v>
      </c>
      <c r="K987" s="8" t="s">
        <v>186</v>
      </c>
      <c r="L987" s="7">
        <v>2015</v>
      </c>
      <c r="M987" s="8" t="s">
        <v>188</v>
      </c>
      <c r="N987" s="11">
        <v>65736870</v>
      </c>
      <c r="O987" s="8" t="s">
        <v>189</v>
      </c>
      <c r="P987" s="8" t="s">
        <v>190</v>
      </c>
      <c r="Q987" s="8"/>
      <c r="R987" s="8"/>
    </row>
    <row r="988" spans="1:18" ht="26.15" customHeight="1">
      <c r="A988" s="7">
        <v>982</v>
      </c>
      <c r="B988" s="8" t="s">
        <v>1766</v>
      </c>
      <c r="C988" s="8" t="s">
        <v>3127</v>
      </c>
      <c r="D988" s="8"/>
      <c r="E988" s="8" t="s">
        <v>3128</v>
      </c>
      <c r="F988" s="9" t="s">
        <v>3117</v>
      </c>
      <c r="G988" s="10">
        <v>43190</v>
      </c>
      <c r="H988" s="8" t="s">
        <v>124</v>
      </c>
      <c r="I988" s="11">
        <v>215216</v>
      </c>
      <c r="J988" s="8" t="s">
        <v>1763</v>
      </c>
      <c r="K988" s="8" t="s">
        <v>1764</v>
      </c>
      <c r="L988" s="7">
        <v>2006</v>
      </c>
      <c r="M988" s="8" t="s">
        <v>47</v>
      </c>
      <c r="N988" s="11">
        <v>9099055</v>
      </c>
      <c r="O988" s="8" t="s">
        <v>1767</v>
      </c>
      <c r="P988" s="8" t="s">
        <v>1768</v>
      </c>
      <c r="Q988" s="8"/>
      <c r="R988" s="8"/>
    </row>
    <row r="989" spans="1:18" ht="26.15" customHeight="1">
      <c r="A989" s="7">
        <v>983</v>
      </c>
      <c r="B989" s="8" t="s">
        <v>4142</v>
      </c>
      <c r="C989" s="8" t="s">
        <v>3127</v>
      </c>
      <c r="D989" s="8"/>
      <c r="E989" s="8" t="s">
        <v>3128</v>
      </c>
      <c r="F989" s="9" t="s">
        <v>3123</v>
      </c>
      <c r="G989" s="10">
        <v>43190</v>
      </c>
      <c r="H989" s="8" t="s">
        <v>124</v>
      </c>
      <c r="I989" s="11">
        <v>215216</v>
      </c>
      <c r="J989" s="8" t="s">
        <v>1763</v>
      </c>
      <c r="K989" s="8" t="s">
        <v>1764</v>
      </c>
      <c r="L989" s="7">
        <v>2006</v>
      </c>
      <c r="M989" s="8" t="s">
        <v>47</v>
      </c>
      <c r="N989" s="11">
        <v>9099055</v>
      </c>
      <c r="O989" s="8" t="s">
        <v>1767</v>
      </c>
      <c r="P989" s="8" t="s">
        <v>1768</v>
      </c>
      <c r="Q989" s="8"/>
      <c r="R989" s="8"/>
    </row>
    <row r="990" spans="1:18" ht="26.15" customHeight="1">
      <c r="A990" s="7">
        <v>984</v>
      </c>
      <c r="B990" s="8" t="s">
        <v>4143</v>
      </c>
      <c r="C990" s="8" t="s">
        <v>3127</v>
      </c>
      <c r="D990" s="8"/>
      <c r="E990" s="8" t="s">
        <v>3128</v>
      </c>
      <c r="F990" s="9" t="s">
        <v>3123</v>
      </c>
      <c r="G990" s="10">
        <v>43190</v>
      </c>
      <c r="H990" s="8" t="s">
        <v>124</v>
      </c>
      <c r="I990" s="11">
        <v>215216</v>
      </c>
      <c r="J990" s="8" t="s">
        <v>1763</v>
      </c>
      <c r="K990" s="8" t="s">
        <v>1764</v>
      </c>
      <c r="L990" s="7">
        <v>2006</v>
      </c>
      <c r="M990" s="8" t="s">
        <v>47</v>
      </c>
      <c r="N990" s="11">
        <v>9099055</v>
      </c>
      <c r="O990" s="8" t="s">
        <v>1767</v>
      </c>
      <c r="P990" s="8" t="s">
        <v>1768</v>
      </c>
      <c r="Q990" s="8"/>
      <c r="R990" s="8"/>
    </row>
    <row r="991" spans="1:18" ht="26.15" customHeight="1">
      <c r="A991" s="7">
        <v>985</v>
      </c>
      <c r="B991" s="8" t="s">
        <v>1770</v>
      </c>
      <c r="C991" s="8" t="s">
        <v>3139</v>
      </c>
      <c r="D991" s="8" t="s">
        <v>3647</v>
      </c>
      <c r="E991" s="8" t="s">
        <v>3116</v>
      </c>
      <c r="F991" s="9" t="s">
        <v>3117</v>
      </c>
      <c r="G991" s="10">
        <v>43189</v>
      </c>
      <c r="H991" s="8" t="s">
        <v>109</v>
      </c>
      <c r="I991" s="11">
        <v>153626</v>
      </c>
      <c r="J991" s="8" t="s">
        <v>641</v>
      </c>
      <c r="K991" s="8" t="s">
        <v>642</v>
      </c>
      <c r="L991" s="7">
        <v>2009</v>
      </c>
      <c r="M991" s="8" t="s">
        <v>47</v>
      </c>
      <c r="N991" s="11">
        <v>10590520</v>
      </c>
      <c r="O991" s="8" t="s">
        <v>645</v>
      </c>
      <c r="P991" s="8" t="s">
        <v>646</v>
      </c>
      <c r="Q991" s="8"/>
      <c r="R991" s="8" t="s">
        <v>181</v>
      </c>
    </row>
    <row r="992" spans="1:18" ht="26.15" customHeight="1">
      <c r="A992" s="7">
        <v>986</v>
      </c>
      <c r="B992" s="8" t="s">
        <v>644</v>
      </c>
      <c r="C992" s="8" t="s">
        <v>3114</v>
      </c>
      <c r="D992" s="8" t="s">
        <v>3162</v>
      </c>
      <c r="E992" s="8" t="s">
        <v>3116</v>
      </c>
      <c r="F992" s="9" t="s">
        <v>3117</v>
      </c>
      <c r="G992" s="10">
        <v>43187</v>
      </c>
      <c r="H992" s="8" t="s">
        <v>34</v>
      </c>
      <c r="I992" s="11">
        <v>2329080</v>
      </c>
      <c r="J992" s="8" t="s">
        <v>1239</v>
      </c>
      <c r="K992" s="8" t="s">
        <v>1240</v>
      </c>
      <c r="L992" s="7">
        <v>2016</v>
      </c>
      <c r="M992" s="8" t="s">
        <v>1243</v>
      </c>
      <c r="N992" s="11">
        <v>4352191</v>
      </c>
      <c r="O992" s="8" t="s">
        <v>1244</v>
      </c>
      <c r="P992" s="8" t="s">
        <v>1245</v>
      </c>
      <c r="Q992" s="8"/>
      <c r="R992" s="8" t="s">
        <v>313</v>
      </c>
    </row>
    <row r="993" spans="1:18" ht="26.15" customHeight="1">
      <c r="A993" s="7">
        <v>987</v>
      </c>
      <c r="B993" s="8" t="s">
        <v>1772</v>
      </c>
      <c r="C993" s="8" t="s">
        <v>3127</v>
      </c>
      <c r="D993" s="8"/>
      <c r="E993" s="8" t="s">
        <v>3128</v>
      </c>
      <c r="F993" s="9" t="s">
        <v>3123</v>
      </c>
      <c r="G993" s="10">
        <v>43187</v>
      </c>
      <c r="H993" s="8" t="s">
        <v>34</v>
      </c>
      <c r="I993" s="11">
        <v>2329080</v>
      </c>
      <c r="J993" s="8" t="s">
        <v>1239</v>
      </c>
      <c r="K993" s="8" t="s">
        <v>1240</v>
      </c>
      <c r="L993" s="7">
        <v>2016</v>
      </c>
      <c r="M993" s="8" t="s">
        <v>1243</v>
      </c>
      <c r="N993" s="11">
        <v>4352191</v>
      </c>
      <c r="O993" s="8" t="s">
        <v>1244</v>
      </c>
      <c r="P993" s="8" t="s">
        <v>1245</v>
      </c>
      <c r="Q993" s="8"/>
      <c r="R993" s="8"/>
    </row>
    <row r="994" spans="1:18" ht="26.15" customHeight="1">
      <c r="A994" s="7">
        <v>988</v>
      </c>
      <c r="B994" s="8" t="s">
        <v>4144</v>
      </c>
      <c r="C994" s="8" t="s">
        <v>3139</v>
      </c>
      <c r="D994" s="8" t="s">
        <v>4145</v>
      </c>
      <c r="E994" s="8" t="s">
        <v>3116</v>
      </c>
      <c r="F994" s="9" t="s">
        <v>3123</v>
      </c>
      <c r="G994" s="10">
        <v>43178</v>
      </c>
      <c r="H994" s="8" t="s">
        <v>184</v>
      </c>
      <c r="I994" s="11">
        <v>2300000</v>
      </c>
      <c r="J994" s="8" t="s">
        <v>1773</v>
      </c>
      <c r="K994" s="8" t="s">
        <v>1774</v>
      </c>
      <c r="L994" s="7">
        <v>2016</v>
      </c>
      <c r="M994" s="8" t="s">
        <v>270</v>
      </c>
      <c r="N994" s="11"/>
      <c r="O994" s="8" t="s">
        <v>1776</v>
      </c>
      <c r="P994" s="8" t="s">
        <v>1777</v>
      </c>
      <c r="Q994" s="8"/>
      <c r="R994" s="8"/>
    </row>
    <row r="995" spans="1:18" ht="26.15" customHeight="1">
      <c r="A995" s="7">
        <v>989</v>
      </c>
      <c r="B995" s="8" t="s">
        <v>4146</v>
      </c>
      <c r="C995" s="8" t="s">
        <v>3139</v>
      </c>
      <c r="D995" s="8" t="s">
        <v>4146</v>
      </c>
      <c r="E995" s="8" t="s">
        <v>3116</v>
      </c>
      <c r="F995" s="9" t="s">
        <v>3123</v>
      </c>
      <c r="G995" s="10">
        <v>43178</v>
      </c>
      <c r="H995" s="8" t="s">
        <v>184</v>
      </c>
      <c r="I995" s="11">
        <v>2300000</v>
      </c>
      <c r="J995" s="8" t="s">
        <v>1773</v>
      </c>
      <c r="K995" s="8" t="s">
        <v>1774</v>
      </c>
      <c r="L995" s="7">
        <v>2016</v>
      </c>
      <c r="M995" s="8" t="s">
        <v>270</v>
      </c>
      <c r="N995" s="11"/>
      <c r="O995" s="8" t="s">
        <v>1776</v>
      </c>
      <c r="P995" s="8" t="s">
        <v>1777</v>
      </c>
      <c r="Q995" s="8"/>
      <c r="R995" s="8"/>
    </row>
    <row r="996" spans="1:18" ht="26.15" customHeight="1">
      <c r="A996" s="7">
        <v>990</v>
      </c>
      <c r="B996" s="8" t="s">
        <v>882</v>
      </c>
      <c r="C996" s="8" t="s">
        <v>3114</v>
      </c>
      <c r="D996" s="8" t="s">
        <v>3624</v>
      </c>
      <c r="E996" s="8" t="s">
        <v>3116</v>
      </c>
      <c r="F996" s="9" t="s">
        <v>3123</v>
      </c>
      <c r="G996" s="10">
        <v>43178</v>
      </c>
      <c r="H996" s="8" t="s">
        <v>34</v>
      </c>
      <c r="I996" s="11">
        <v>3068990</v>
      </c>
      <c r="J996" s="8" t="s">
        <v>878</v>
      </c>
      <c r="K996" s="8" t="s">
        <v>879</v>
      </c>
      <c r="L996" s="7">
        <v>2015</v>
      </c>
      <c r="M996" s="8" t="s">
        <v>56</v>
      </c>
      <c r="N996" s="11">
        <v>9059375</v>
      </c>
      <c r="O996" s="8" t="s">
        <v>883</v>
      </c>
      <c r="P996" s="8" t="s">
        <v>884</v>
      </c>
      <c r="Q996" s="8"/>
      <c r="R996" s="8" t="s">
        <v>313</v>
      </c>
    </row>
    <row r="997" spans="1:18" ht="26.15" customHeight="1">
      <c r="A997" s="7">
        <v>991</v>
      </c>
      <c r="B997" s="8" t="s">
        <v>1778</v>
      </c>
      <c r="C997" s="8" t="s">
        <v>3127</v>
      </c>
      <c r="D997" s="8"/>
      <c r="E997" s="8" t="s">
        <v>3128</v>
      </c>
      <c r="F997" s="9" t="s">
        <v>3117</v>
      </c>
      <c r="G997" s="10">
        <v>43178</v>
      </c>
      <c r="H997" s="8" t="s">
        <v>34</v>
      </c>
      <c r="I997" s="11">
        <v>3068990</v>
      </c>
      <c r="J997" s="8" t="s">
        <v>878</v>
      </c>
      <c r="K997" s="8" t="s">
        <v>879</v>
      </c>
      <c r="L997" s="7">
        <v>2015</v>
      </c>
      <c r="M997" s="8" t="s">
        <v>56</v>
      </c>
      <c r="N997" s="11">
        <v>9059375</v>
      </c>
      <c r="O997" s="8" t="s">
        <v>883</v>
      </c>
      <c r="P997" s="8" t="s">
        <v>884</v>
      </c>
      <c r="Q997" s="8"/>
      <c r="R997" s="8"/>
    </row>
    <row r="998" spans="1:18" ht="26.15" customHeight="1">
      <c r="A998" s="7">
        <v>992</v>
      </c>
      <c r="B998" s="8" t="s">
        <v>588</v>
      </c>
      <c r="C998" s="8" t="s">
        <v>3114</v>
      </c>
      <c r="D998" s="8" t="s">
        <v>3504</v>
      </c>
      <c r="E998" s="8" t="s">
        <v>3116</v>
      </c>
      <c r="F998" s="9" t="s">
        <v>3117</v>
      </c>
      <c r="G998" s="10">
        <v>43173</v>
      </c>
      <c r="H998" s="8" t="s">
        <v>109</v>
      </c>
      <c r="I998" s="11">
        <v>6000000</v>
      </c>
      <c r="J998" s="8" t="s">
        <v>26</v>
      </c>
      <c r="K998" s="8" t="s">
        <v>27</v>
      </c>
      <c r="L998" s="7">
        <v>2015</v>
      </c>
      <c r="M998" s="8" t="s">
        <v>30</v>
      </c>
      <c r="N998" s="11">
        <v>30000000</v>
      </c>
      <c r="O998" s="8" t="s">
        <v>31</v>
      </c>
      <c r="P998" s="8" t="s">
        <v>32</v>
      </c>
      <c r="Q998" s="8"/>
      <c r="R998" s="8" t="s">
        <v>3220</v>
      </c>
    </row>
    <row r="999" spans="1:18" ht="26.15" customHeight="1">
      <c r="A999" s="7">
        <v>993</v>
      </c>
      <c r="B999" s="8" t="s">
        <v>4147</v>
      </c>
      <c r="C999" s="8" t="s">
        <v>3139</v>
      </c>
      <c r="D999" s="8" t="s">
        <v>4148</v>
      </c>
      <c r="E999" s="8" t="s">
        <v>3116</v>
      </c>
      <c r="F999" s="9" t="s">
        <v>3123</v>
      </c>
      <c r="G999" s="10">
        <v>43173</v>
      </c>
      <c r="H999" s="8" t="s">
        <v>109</v>
      </c>
      <c r="I999" s="11">
        <v>6000000</v>
      </c>
      <c r="J999" s="8" t="s">
        <v>26</v>
      </c>
      <c r="K999" s="8" t="s">
        <v>27</v>
      </c>
      <c r="L999" s="7">
        <v>2015</v>
      </c>
      <c r="M999" s="8" t="s">
        <v>30</v>
      </c>
      <c r="N999" s="11">
        <v>30000000</v>
      </c>
      <c r="O999" s="8" t="s">
        <v>31</v>
      </c>
      <c r="P999" s="8" t="s">
        <v>32</v>
      </c>
      <c r="Q999" s="8"/>
      <c r="R999" s="8" t="s">
        <v>3145</v>
      </c>
    </row>
    <row r="1000" spans="1:18" ht="26.15" customHeight="1">
      <c r="A1000" s="7">
        <v>994</v>
      </c>
      <c r="B1000" s="8" t="s">
        <v>4149</v>
      </c>
      <c r="C1000" s="8" t="s">
        <v>3139</v>
      </c>
      <c r="D1000" s="8" t="s">
        <v>4150</v>
      </c>
      <c r="E1000" s="8" t="s">
        <v>3116</v>
      </c>
      <c r="F1000" s="9" t="s">
        <v>3123</v>
      </c>
      <c r="G1000" s="10">
        <v>43173</v>
      </c>
      <c r="H1000" s="8" t="s">
        <v>109</v>
      </c>
      <c r="I1000" s="11">
        <v>6000000</v>
      </c>
      <c r="J1000" s="8" t="s">
        <v>26</v>
      </c>
      <c r="K1000" s="8" t="s">
        <v>27</v>
      </c>
      <c r="L1000" s="7">
        <v>2015</v>
      </c>
      <c r="M1000" s="8" t="s">
        <v>30</v>
      </c>
      <c r="N1000" s="11">
        <v>30000000</v>
      </c>
      <c r="O1000" s="8" t="s">
        <v>31</v>
      </c>
      <c r="P1000" s="8" t="s">
        <v>32</v>
      </c>
      <c r="Q1000" s="8"/>
      <c r="R1000" s="8" t="s">
        <v>1588</v>
      </c>
    </row>
    <row r="1001" spans="1:18" ht="26.15" customHeight="1">
      <c r="A1001" s="7">
        <v>995</v>
      </c>
      <c r="B1001" s="8" t="s">
        <v>4151</v>
      </c>
      <c r="C1001" s="8" t="s">
        <v>3139</v>
      </c>
      <c r="D1001" s="8" t="s">
        <v>4152</v>
      </c>
      <c r="E1001" s="8" t="s">
        <v>3116</v>
      </c>
      <c r="F1001" s="9" t="s">
        <v>3123</v>
      </c>
      <c r="G1001" s="10">
        <v>43173</v>
      </c>
      <c r="H1001" s="8" t="s">
        <v>109</v>
      </c>
      <c r="I1001" s="11">
        <v>6000000</v>
      </c>
      <c r="J1001" s="8" t="s">
        <v>26</v>
      </c>
      <c r="K1001" s="8" t="s">
        <v>27</v>
      </c>
      <c r="L1001" s="7">
        <v>2015</v>
      </c>
      <c r="M1001" s="8" t="s">
        <v>30</v>
      </c>
      <c r="N1001" s="11">
        <v>30000000</v>
      </c>
      <c r="O1001" s="8" t="s">
        <v>31</v>
      </c>
      <c r="P1001" s="8" t="s">
        <v>32</v>
      </c>
      <c r="Q1001" s="8"/>
      <c r="R1001" s="8" t="s">
        <v>4153</v>
      </c>
    </row>
    <row r="1002" spans="1:18" ht="26.15" customHeight="1">
      <c r="A1002" s="7">
        <v>996</v>
      </c>
      <c r="B1002" s="8" t="s">
        <v>4154</v>
      </c>
      <c r="C1002" s="8" t="s">
        <v>3139</v>
      </c>
      <c r="D1002" s="8" t="s">
        <v>4155</v>
      </c>
      <c r="E1002" s="8" t="s">
        <v>3116</v>
      </c>
      <c r="F1002" s="9" t="s">
        <v>3123</v>
      </c>
      <c r="G1002" s="10">
        <v>43173</v>
      </c>
      <c r="H1002" s="8" t="s">
        <v>109</v>
      </c>
      <c r="I1002" s="11">
        <v>6000000</v>
      </c>
      <c r="J1002" s="8" t="s">
        <v>26</v>
      </c>
      <c r="K1002" s="8" t="s">
        <v>27</v>
      </c>
      <c r="L1002" s="7">
        <v>2015</v>
      </c>
      <c r="M1002" s="8" t="s">
        <v>30</v>
      </c>
      <c r="N1002" s="11">
        <v>30000000</v>
      </c>
      <c r="O1002" s="8" t="s">
        <v>31</v>
      </c>
      <c r="P1002" s="8" t="s">
        <v>32</v>
      </c>
      <c r="Q1002" s="8"/>
      <c r="R1002" s="8" t="s">
        <v>3354</v>
      </c>
    </row>
    <row r="1003" spans="1:18" ht="26.15" customHeight="1">
      <c r="A1003" s="7">
        <v>997</v>
      </c>
      <c r="B1003" s="8" t="s">
        <v>3316</v>
      </c>
      <c r="C1003" s="8" t="s">
        <v>3114</v>
      </c>
      <c r="D1003" s="8" t="s">
        <v>3317</v>
      </c>
      <c r="E1003" s="8" t="s">
        <v>3116</v>
      </c>
      <c r="F1003" s="9" t="s">
        <v>3117</v>
      </c>
      <c r="G1003" s="10">
        <v>43166</v>
      </c>
      <c r="H1003" s="8" t="s">
        <v>34</v>
      </c>
      <c r="I1003" s="11">
        <v>384566</v>
      </c>
      <c r="J1003" s="8" t="s">
        <v>322</v>
      </c>
      <c r="K1003" s="8" t="s">
        <v>323</v>
      </c>
      <c r="L1003" s="7">
        <v>2013</v>
      </c>
      <c r="M1003" s="8" t="s">
        <v>79</v>
      </c>
      <c r="N1003" s="11">
        <v>814923</v>
      </c>
      <c r="O1003" s="8" t="s">
        <v>327</v>
      </c>
      <c r="P1003" s="8" t="s">
        <v>328</v>
      </c>
      <c r="Q1003" s="8"/>
      <c r="R1003" s="8" t="s">
        <v>56</v>
      </c>
    </row>
    <row r="1004" spans="1:18" ht="26.15" customHeight="1">
      <c r="A1004" s="7">
        <v>998</v>
      </c>
      <c r="B1004" s="8" t="s">
        <v>3320</v>
      </c>
      <c r="C1004" s="8" t="s">
        <v>3139</v>
      </c>
      <c r="D1004" s="8" t="s">
        <v>3321</v>
      </c>
      <c r="E1004" s="8" t="s">
        <v>3116</v>
      </c>
      <c r="F1004" s="9" t="s">
        <v>3117</v>
      </c>
      <c r="G1004" s="10">
        <v>43166</v>
      </c>
      <c r="H1004" s="8" t="s">
        <v>34</v>
      </c>
      <c r="I1004" s="11">
        <v>384566</v>
      </c>
      <c r="J1004" s="8" t="s">
        <v>322</v>
      </c>
      <c r="K1004" s="8" t="s">
        <v>323</v>
      </c>
      <c r="L1004" s="7">
        <v>2013</v>
      </c>
      <c r="M1004" s="8" t="s">
        <v>79</v>
      </c>
      <c r="N1004" s="11">
        <v>814923</v>
      </c>
      <c r="O1004" s="8" t="s">
        <v>327</v>
      </c>
      <c r="P1004" s="8" t="s">
        <v>328</v>
      </c>
      <c r="Q1004" s="8"/>
      <c r="R1004" s="8" t="s">
        <v>3322</v>
      </c>
    </row>
    <row r="1005" spans="1:18" ht="26.15" customHeight="1">
      <c r="A1005" s="7">
        <v>999</v>
      </c>
      <c r="B1005" s="8" t="s">
        <v>326</v>
      </c>
      <c r="C1005" s="8" t="s">
        <v>3114</v>
      </c>
      <c r="D1005" s="8" t="s">
        <v>3315</v>
      </c>
      <c r="E1005" s="8" t="s">
        <v>3116</v>
      </c>
      <c r="F1005" s="9" t="s">
        <v>3123</v>
      </c>
      <c r="G1005" s="10">
        <v>43166</v>
      </c>
      <c r="H1005" s="8" t="s">
        <v>34</v>
      </c>
      <c r="I1005" s="11">
        <v>384566</v>
      </c>
      <c r="J1005" s="8" t="s">
        <v>322</v>
      </c>
      <c r="K1005" s="8" t="s">
        <v>323</v>
      </c>
      <c r="L1005" s="7">
        <v>2013</v>
      </c>
      <c r="M1005" s="8" t="s">
        <v>79</v>
      </c>
      <c r="N1005" s="11">
        <v>814923</v>
      </c>
      <c r="O1005" s="8" t="s">
        <v>327</v>
      </c>
      <c r="P1005" s="8" t="s">
        <v>328</v>
      </c>
      <c r="Q1005" s="8"/>
      <c r="R1005" s="8" t="s">
        <v>79</v>
      </c>
    </row>
    <row r="1006" spans="1:18" ht="26.15" customHeight="1">
      <c r="A1006" s="7">
        <v>1000</v>
      </c>
      <c r="B1006" s="8" t="s">
        <v>3517</v>
      </c>
      <c r="C1006" s="8" t="s">
        <v>3114</v>
      </c>
      <c r="D1006" s="8" t="s">
        <v>3518</v>
      </c>
      <c r="E1006" s="8" t="s">
        <v>3116</v>
      </c>
      <c r="F1006" s="9" t="s">
        <v>3123</v>
      </c>
      <c r="G1006" s="10">
        <v>43166</v>
      </c>
      <c r="H1006" s="8" t="s">
        <v>34</v>
      </c>
      <c r="I1006" s="11">
        <v>384566</v>
      </c>
      <c r="J1006" s="8" t="s">
        <v>322</v>
      </c>
      <c r="K1006" s="8" t="s">
        <v>323</v>
      </c>
      <c r="L1006" s="7">
        <v>2013</v>
      </c>
      <c r="M1006" s="8" t="s">
        <v>79</v>
      </c>
      <c r="N1006" s="11">
        <v>814923</v>
      </c>
      <c r="O1006" s="8" t="s">
        <v>327</v>
      </c>
      <c r="P1006" s="8" t="s">
        <v>328</v>
      </c>
      <c r="Q1006" s="8"/>
      <c r="R1006" s="8" t="s">
        <v>79</v>
      </c>
    </row>
    <row r="1007" spans="1:18" ht="26.15" customHeight="1">
      <c r="A1007" s="7">
        <v>1001</v>
      </c>
      <c r="B1007" s="8" t="s">
        <v>1787</v>
      </c>
      <c r="C1007" s="8" t="s">
        <v>3127</v>
      </c>
      <c r="D1007" s="8"/>
      <c r="E1007" s="8" t="s">
        <v>3128</v>
      </c>
      <c r="F1007" s="9" t="s">
        <v>3123</v>
      </c>
      <c r="G1007" s="10">
        <v>43166</v>
      </c>
      <c r="H1007" s="8" t="s">
        <v>34</v>
      </c>
      <c r="I1007" s="11">
        <v>384566</v>
      </c>
      <c r="J1007" s="8" t="s">
        <v>322</v>
      </c>
      <c r="K1007" s="8" t="s">
        <v>323</v>
      </c>
      <c r="L1007" s="7">
        <v>2013</v>
      </c>
      <c r="M1007" s="8" t="s">
        <v>79</v>
      </c>
      <c r="N1007" s="11">
        <v>814923</v>
      </c>
      <c r="O1007" s="8" t="s">
        <v>327</v>
      </c>
      <c r="P1007" s="8" t="s">
        <v>328</v>
      </c>
      <c r="Q1007" s="8"/>
      <c r="R1007" s="8"/>
    </row>
    <row r="1008" spans="1:18" ht="26.15" customHeight="1">
      <c r="A1008" s="7">
        <v>1002</v>
      </c>
      <c r="B1008" s="8" t="s">
        <v>2537</v>
      </c>
      <c r="C1008" s="8" t="s">
        <v>3114</v>
      </c>
      <c r="D1008" s="8" t="s">
        <v>3874</v>
      </c>
      <c r="E1008" s="8" t="s">
        <v>3116</v>
      </c>
      <c r="F1008" s="9" t="s">
        <v>3117</v>
      </c>
      <c r="G1008" s="10">
        <v>43166</v>
      </c>
      <c r="H1008" s="8" t="s">
        <v>34</v>
      </c>
      <c r="I1008" s="11">
        <v>384566</v>
      </c>
      <c r="J1008" s="8" t="s">
        <v>322</v>
      </c>
      <c r="K1008" s="8" t="s">
        <v>323</v>
      </c>
      <c r="L1008" s="7">
        <v>2013</v>
      </c>
      <c r="M1008" s="8" t="s">
        <v>79</v>
      </c>
      <c r="N1008" s="11">
        <v>814923</v>
      </c>
      <c r="O1008" s="8" t="s">
        <v>327</v>
      </c>
      <c r="P1008" s="8" t="s">
        <v>328</v>
      </c>
      <c r="Q1008" s="8"/>
      <c r="R1008" s="8" t="s">
        <v>3204</v>
      </c>
    </row>
    <row r="1009" spans="1:18" ht="26.15" customHeight="1">
      <c r="A1009" s="7">
        <v>1003</v>
      </c>
      <c r="B1009" s="8" t="s">
        <v>4156</v>
      </c>
      <c r="C1009" s="8" t="s">
        <v>3114</v>
      </c>
      <c r="D1009" s="8" t="s">
        <v>4157</v>
      </c>
      <c r="E1009" s="8" t="s">
        <v>3116</v>
      </c>
      <c r="F1009" s="9" t="s">
        <v>3123</v>
      </c>
      <c r="G1009" s="10">
        <v>43165</v>
      </c>
      <c r="H1009" s="8" t="s">
        <v>184</v>
      </c>
      <c r="I1009" s="11">
        <v>123762</v>
      </c>
      <c r="J1009" s="8" t="s">
        <v>1789</v>
      </c>
      <c r="K1009" s="8" t="s">
        <v>1790</v>
      </c>
      <c r="L1009" s="7">
        <v>2016</v>
      </c>
      <c r="M1009" s="8" t="s">
        <v>369</v>
      </c>
      <c r="N1009" s="11"/>
      <c r="O1009" s="8" t="s">
        <v>1792</v>
      </c>
      <c r="P1009" s="8" t="s">
        <v>1793</v>
      </c>
      <c r="Q1009" s="8"/>
      <c r="R1009" s="8" t="s">
        <v>4158</v>
      </c>
    </row>
    <row r="1010" spans="1:18" ht="26.15" customHeight="1">
      <c r="A1010" s="7">
        <v>1004</v>
      </c>
      <c r="B1010" s="8" t="s">
        <v>4159</v>
      </c>
      <c r="C1010" s="8" t="s">
        <v>3114</v>
      </c>
      <c r="D1010" s="8" t="s">
        <v>4160</v>
      </c>
      <c r="E1010" s="8" t="s">
        <v>3116</v>
      </c>
      <c r="F1010" s="9" t="s">
        <v>3123</v>
      </c>
      <c r="G1010" s="10">
        <v>43165</v>
      </c>
      <c r="H1010" s="8" t="s">
        <v>34</v>
      </c>
      <c r="I1010" s="11">
        <v>1534240</v>
      </c>
      <c r="J1010" s="8" t="s">
        <v>878</v>
      </c>
      <c r="K1010" s="8" t="s">
        <v>879</v>
      </c>
      <c r="L1010" s="7">
        <v>2015</v>
      </c>
      <c r="M1010" s="8" t="s">
        <v>56</v>
      </c>
      <c r="N1010" s="11">
        <v>9059375</v>
      </c>
      <c r="O1010" s="8" t="s">
        <v>883</v>
      </c>
      <c r="P1010" s="8" t="s">
        <v>884</v>
      </c>
      <c r="Q1010" s="8"/>
      <c r="R1010" s="8" t="s">
        <v>313</v>
      </c>
    </row>
    <row r="1011" spans="1:18" ht="26.15" customHeight="1">
      <c r="A1011" s="7">
        <v>1005</v>
      </c>
      <c r="B1011" s="8" t="s">
        <v>1395</v>
      </c>
      <c r="C1011" s="8" t="s">
        <v>3114</v>
      </c>
      <c r="D1011" s="8" t="s">
        <v>3906</v>
      </c>
      <c r="E1011" s="8" t="s">
        <v>3116</v>
      </c>
      <c r="F1011" s="9" t="s">
        <v>3117</v>
      </c>
      <c r="G1011" s="10">
        <v>43165</v>
      </c>
      <c r="H1011" s="8" t="s">
        <v>34</v>
      </c>
      <c r="I1011" s="11" t="s">
        <v>50</v>
      </c>
      <c r="J1011" s="8" t="s">
        <v>1795</v>
      </c>
      <c r="K1011" s="8" t="s">
        <v>1796</v>
      </c>
      <c r="L1011" s="7">
        <v>2015</v>
      </c>
      <c r="M1011" s="8" t="s">
        <v>39</v>
      </c>
      <c r="N1011" s="11"/>
      <c r="O1011" s="8" t="s">
        <v>1797</v>
      </c>
      <c r="P1011" s="8" t="s">
        <v>1798</v>
      </c>
      <c r="Q1011" s="8"/>
      <c r="R1011" s="8" t="s">
        <v>3425</v>
      </c>
    </row>
    <row r="1012" spans="1:18" ht="26.15" customHeight="1">
      <c r="A1012" s="7">
        <v>1006</v>
      </c>
      <c r="B1012" s="8" t="s">
        <v>1831</v>
      </c>
      <c r="C1012" s="8"/>
      <c r="D1012" s="8" t="s">
        <v>3567</v>
      </c>
      <c r="E1012" s="8" t="s">
        <v>3116</v>
      </c>
      <c r="F1012" s="9" t="s">
        <v>3123</v>
      </c>
      <c r="G1012" s="10">
        <v>43164</v>
      </c>
      <c r="H1012" s="8" t="s">
        <v>302</v>
      </c>
      <c r="I1012" s="11">
        <v>1100000</v>
      </c>
      <c r="J1012" s="8" t="s">
        <v>96</v>
      </c>
      <c r="K1012" s="8" t="s">
        <v>97</v>
      </c>
      <c r="L1012" s="7">
        <v>2015</v>
      </c>
      <c r="M1012" s="8" t="s">
        <v>79</v>
      </c>
      <c r="N1012" s="11">
        <v>163285834</v>
      </c>
      <c r="O1012" s="8" t="s">
        <v>100</v>
      </c>
      <c r="P1012" s="8" t="s">
        <v>101</v>
      </c>
      <c r="Q1012" s="8"/>
      <c r="R1012" s="8" t="s">
        <v>128</v>
      </c>
    </row>
    <row r="1013" spans="1:18" ht="26.15" customHeight="1">
      <c r="A1013" s="7">
        <v>1007</v>
      </c>
      <c r="B1013" s="8" t="s">
        <v>4161</v>
      </c>
      <c r="C1013" s="8" t="s">
        <v>3114</v>
      </c>
      <c r="D1013" s="8" t="s">
        <v>4162</v>
      </c>
      <c r="E1013" s="8" t="s">
        <v>3116</v>
      </c>
      <c r="F1013" s="9" t="s">
        <v>3123</v>
      </c>
      <c r="G1013" s="10">
        <v>43164</v>
      </c>
      <c r="H1013" s="8" t="s">
        <v>34</v>
      </c>
      <c r="I1013" s="11" t="s">
        <v>50</v>
      </c>
      <c r="J1013" s="8" t="s">
        <v>1724</v>
      </c>
      <c r="K1013" s="8" t="s">
        <v>1725</v>
      </c>
      <c r="L1013" s="7">
        <v>2015</v>
      </c>
      <c r="M1013" s="8" t="s">
        <v>787</v>
      </c>
      <c r="N1013" s="11">
        <v>810223</v>
      </c>
      <c r="O1013" s="8" t="s">
        <v>1726</v>
      </c>
      <c r="P1013" s="8" t="s">
        <v>1727</v>
      </c>
      <c r="Q1013" s="8"/>
      <c r="R1013" s="8" t="s">
        <v>3220</v>
      </c>
    </row>
    <row r="1014" spans="1:18" ht="26.15" customHeight="1">
      <c r="A1014" s="7">
        <v>1008</v>
      </c>
      <c r="B1014" s="8" t="s">
        <v>1093</v>
      </c>
      <c r="C1014" s="8" t="s">
        <v>3114</v>
      </c>
      <c r="D1014" s="8" t="s">
        <v>3638</v>
      </c>
      <c r="E1014" s="8" t="s">
        <v>3116</v>
      </c>
      <c r="F1014" s="9" t="s">
        <v>3117</v>
      </c>
      <c r="G1014" s="10">
        <v>43164</v>
      </c>
      <c r="H1014" s="8" t="s">
        <v>34</v>
      </c>
      <c r="I1014" s="11">
        <v>1000000</v>
      </c>
      <c r="J1014" s="8" t="s">
        <v>897</v>
      </c>
      <c r="K1014" s="8" t="s">
        <v>898</v>
      </c>
      <c r="L1014" s="7">
        <v>2016</v>
      </c>
      <c r="M1014" s="8" t="s">
        <v>902</v>
      </c>
      <c r="N1014" s="11">
        <v>8062080</v>
      </c>
      <c r="O1014" s="8" t="s">
        <v>903</v>
      </c>
      <c r="P1014" s="8" t="s">
        <v>904</v>
      </c>
      <c r="Q1014" s="8"/>
      <c r="R1014" s="8" t="s">
        <v>121</v>
      </c>
    </row>
    <row r="1015" spans="1:18" ht="26.15" customHeight="1">
      <c r="A1015" s="7">
        <v>1009</v>
      </c>
      <c r="B1015" s="8" t="s">
        <v>1801</v>
      </c>
      <c r="C1015" s="8" t="s">
        <v>3127</v>
      </c>
      <c r="D1015" s="8"/>
      <c r="E1015" s="8" t="s">
        <v>3128</v>
      </c>
      <c r="F1015" s="9" t="s">
        <v>3117</v>
      </c>
      <c r="G1015" s="10">
        <v>43162</v>
      </c>
      <c r="H1015" s="8" t="s">
        <v>124</v>
      </c>
      <c r="I1015" s="11">
        <v>229800</v>
      </c>
      <c r="J1015" s="8" t="s">
        <v>185</v>
      </c>
      <c r="K1015" s="8" t="s">
        <v>186</v>
      </c>
      <c r="L1015" s="7">
        <v>2015</v>
      </c>
      <c r="M1015" s="8" t="s">
        <v>188</v>
      </c>
      <c r="N1015" s="11">
        <v>65736870</v>
      </c>
      <c r="O1015" s="8" t="s">
        <v>189</v>
      </c>
      <c r="P1015" s="8" t="s">
        <v>190</v>
      </c>
      <c r="Q1015" s="8"/>
      <c r="R1015" s="8"/>
    </row>
    <row r="1016" spans="1:18" ht="26.15" customHeight="1">
      <c r="A1016" s="7">
        <v>1010</v>
      </c>
      <c r="B1016" s="8" t="s">
        <v>4163</v>
      </c>
      <c r="C1016" s="8" t="s">
        <v>3127</v>
      </c>
      <c r="D1016" s="8"/>
      <c r="E1016" s="8" t="s">
        <v>3128</v>
      </c>
      <c r="F1016" s="9" t="s">
        <v>3123</v>
      </c>
      <c r="G1016" s="10">
        <v>43162</v>
      </c>
      <c r="H1016" s="8" t="s">
        <v>124</v>
      </c>
      <c r="I1016" s="11">
        <v>229800</v>
      </c>
      <c r="J1016" s="8" t="s">
        <v>185</v>
      </c>
      <c r="K1016" s="8" t="s">
        <v>186</v>
      </c>
      <c r="L1016" s="7">
        <v>2015</v>
      </c>
      <c r="M1016" s="8" t="s">
        <v>188</v>
      </c>
      <c r="N1016" s="11">
        <v>65736870</v>
      </c>
      <c r="O1016" s="8" t="s">
        <v>189</v>
      </c>
      <c r="P1016" s="8" t="s">
        <v>190</v>
      </c>
      <c r="Q1016" s="8"/>
      <c r="R1016" s="8"/>
    </row>
    <row r="1017" spans="1:18" ht="26.15" customHeight="1">
      <c r="A1017" s="7">
        <v>1011</v>
      </c>
      <c r="B1017" s="8" t="s">
        <v>3987</v>
      </c>
      <c r="C1017" s="8" t="s">
        <v>3139</v>
      </c>
      <c r="D1017" s="8" t="s">
        <v>3988</v>
      </c>
      <c r="E1017" s="8" t="s">
        <v>3116</v>
      </c>
      <c r="F1017" s="9" t="s">
        <v>3123</v>
      </c>
      <c r="G1017" s="10">
        <v>43161</v>
      </c>
      <c r="H1017" s="8" t="s">
        <v>25</v>
      </c>
      <c r="I1017" s="11" t="s">
        <v>50</v>
      </c>
      <c r="J1017" s="8" t="s">
        <v>1476</v>
      </c>
      <c r="K1017" s="8" t="s">
        <v>1477</v>
      </c>
      <c r="L1017" s="7">
        <v>2014</v>
      </c>
      <c r="M1017" s="8" t="s">
        <v>1479</v>
      </c>
      <c r="N1017" s="11">
        <v>6141730</v>
      </c>
      <c r="O1017" s="8" t="s">
        <v>1480</v>
      </c>
      <c r="P1017" s="8" t="s">
        <v>1481</v>
      </c>
      <c r="Q1017" s="8"/>
      <c r="R1017" s="8"/>
    </row>
    <row r="1018" spans="1:18" ht="26.15" customHeight="1">
      <c r="A1018" s="7">
        <v>1012</v>
      </c>
      <c r="B1018" s="8" t="s">
        <v>1805</v>
      </c>
      <c r="C1018" s="8" t="s">
        <v>3114</v>
      </c>
      <c r="D1018" s="8" t="s">
        <v>4164</v>
      </c>
      <c r="E1018" s="8" t="s">
        <v>3116</v>
      </c>
      <c r="F1018" s="9" t="s">
        <v>3117</v>
      </c>
      <c r="G1018" s="10">
        <v>43160</v>
      </c>
      <c r="H1018" s="8" t="s">
        <v>34</v>
      </c>
      <c r="I1018" s="11">
        <v>110000</v>
      </c>
      <c r="J1018" s="8" t="s">
        <v>1802</v>
      </c>
      <c r="K1018" s="8" t="s">
        <v>1803</v>
      </c>
      <c r="L1018" s="7">
        <v>2015</v>
      </c>
      <c r="M1018" s="8" t="s">
        <v>369</v>
      </c>
      <c r="N1018" s="11">
        <v>910000</v>
      </c>
      <c r="O1018" s="8" t="s">
        <v>1806</v>
      </c>
      <c r="P1018" s="8" t="s">
        <v>1807</v>
      </c>
      <c r="Q1018" s="8"/>
      <c r="R1018" s="8" t="s">
        <v>4165</v>
      </c>
    </row>
    <row r="1019" spans="1:18" ht="26.15" customHeight="1">
      <c r="A1019" s="7">
        <v>1013</v>
      </c>
      <c r="B1019" s="8" t="s">
        <v>3812</v>
      </c>
      <c r="C1019" s="8" t="s">
        <v>3139</v>
      </c>
      <c r="D1019" s="8" t="s">
        <v>3813</v>
      </c>
      <c r="E1019" s="8" t="s">
        <v>3116</v>
      </c>
      <c r="F1019" s="9" t="s">
        <v>3123</v>
      </c>
      <c r="G1019" s="10">
        <v>43158</v>
      </c>
      <c r="H1019" s="8" t="s">
        <v>184</v>
      </c>
      <c r="I1019" s="11">
        <v>325000</v>
      </c>
      <c r="J1019" s="8" t="s">
        <v>1147</v>
      </c>
      <c r="K1019" s="8" t="s">
        <v>1148</v>
      </c>
      <c r="L1019" s="7">
        <v>2016</v>
      </c>
      <c r="M1019" s="8" t="s">
        <v>1151</v>
      </c>
      <c r="N1019" s="11">
        <v>2000000</v>
      </c>
      <c r="O1019" s="8" t="s">
        <v>1152</v>
      </c>
      <c r="P1019" s="8" t="s">
        <v>1153</v>
      </c>
      <c r="Q1019" s="8"/>
      <c r="R1019" s="8" t="s">
        <v>3357</v>
      </c>
    </row>
    <row r="1020" spans="1:18" ht="26.15" customHeight="1">
      <c r="A1020" s="7">
        <v>1014</v>
      </c>
      <c r="B1020" s="8" t="s">
        <v>4166</v>
      </c>
      <c r="C1020" s="8" t="s">
        <v>3139</v>
      </c>
      <c r="D1020" s="8" t="s">
        <v>4167</v>
      </c>
      <c r="E1020" s="8" t="s">
        <v>3116</v>
      </c>
      <c r="F1020" s="9" t="s">
        <v>3117</v>
      </c>
      <c r="G1020" s="10">
        <v>43157</v>
      </c>
      <c r="H1020" s="8" t="s">
        <v>109</v>
      </c>
      <c r="I1020" s="11">
        <v>4000000</v>
      </c>
      <c r="J1020" s="8" t="s">
        <v>353</v>
      </c>
      <c r="K1020" s="8" t="s">
        <v>354</v>
      </c>
      <c r="L1020" s="7">
        <v>2013</v>
      </c>
      <c r="M1020" s="8" t="s">
        <v>357</v>
      </c>
      <c r="N1020" s="11">
        <v>9700000</v>
      </c>
      <c r="O1020" s="8" t="s">
        <v>358</v>
      </c>
      <c r="P1020" s="8" t="s">
        <v>359</v>
      </c>
      <c r="Q1020" s="8"/>
      <c r="R1020" s="8" t="s">
        <v>4168</v>
      </c>
    </row>
    <row r="1021" spans="1:18" ht="26.15" customHeight="1">
      <c r="A1021" s="7">
        <v>1015</v>
      </c>
      <c r="B1021" s="8" t="s">
        <v>3345</v>
      </c>
      <c r="C1021" s="8" t="s">
        <v>3139</v>
      </c>
      <c r="D1021" s="8" t="s">
        <v>3345</v>
      </c>
      <c r="E1021" s="8" t="s">
        <v>3116</v>
      </c>
      <c r="F1021" s="9" t="s">
        <v>3117</v>
      </c>
      <c r="G1021" s="10">
        <v>43157</v>
      </c>
      <c r="H1021" s="8" t="s">
        <v>109</v>
      </c>
      <c r="I1021" s="11">
        <v>4000000</v>
      </c>
      <c r="J1021" s="8" t="s">
        <v>353</v>
      </c>
      <c r="K1021" s="8" t="s">
        <v>354</v>
      </c>
      <c r="L1021" s="7">
        <v>2013</v>
      </c>
      <c r="M1021" s="8" t="s">
        <v>357</v>
      </c>
      <c r="N1021" s="11">
        <v>9700000</v>
      </c>
      <c r="O1021" s="8" t="s">
        <v>358</v>
      </c>
      <c r="P1021" s="8" t="s">
        <v>359</v>
      </c>
      <c r="Q1021" s="8"/>
      <c r="R1021" s="8" t="s">
        <v>2057</v>
      </c>
    </row>
    <row r="1022" spans="1:18" ht="26.15" customHeight="1">
      <c r="A1022" s="7">
        <v>1016</v>
      </c>
      <c r="B1022" s="8" t="s">
        <v>3342</v>
      </c>
      <c r="C1022" s="8" t="s">
        <v>3114</v>
      </c>
      <c r="D1022" s="8" t="s">
        <v>3343</v>
      </c>
      <c r="E1022" s="8" t="s">
        <v>3116</v>
      </c>
      <c r="F1022" s="9" t="s">
        <v>3123</v>
      </c>
      <c r="G1022" s="10">
        <v>43157</v>
      </c>
      <c r="H1022" s="8" t="s">
        <v>109</v>
      </c>
      <c r="I1022" s="11">
        <v>4000000</v>
      </c>
      <c r="J1022" s="8" t="s">
        <v>353</v>
      </c>
      <c r="K1022" s="8" t="s">
        <v>354</v>
      </c>
      <c r="L1022" s="7">
        <v>2013</v>
      </c>
      <c r="M1022" s="8" t="s">
        <v>357</v>
      </c>
      <c r="N1022" s="11">
        <v>9700000</v>
      </c>
      <c r="O1022" s="8" t="s">
        <v>358</v>
      </c>
      <c r="P1022" s="8" t="s">
        <v>359</v>
      </c>
      <c r="Q1022" s="8"/>
      <c r="R1022" s="8" t="s">
        <v>3344</v>
      </c>
    </row>
    <row r="1023" spans="1:18" ht="26.15" customHeight="1">
      <c r="A1023" s="7">
        <v>1017</v>
      </c>
      <c r="B1023" s="8" t="s">
        <v>356</v>
      </c>
      <c r="C1023" s="8" t="s">
        <v>3114</v>
      </c>
      <c r="D1023" s="8" t="s">
        <v>3341</v>
      </c>
      <c r="E1023" s="8" t="s">
        <v>3116</v>
      </c>
      <c r="F1023" s="9" t="s">
        <v>3123</v>
      </c>
      <c r="G1023" s="10">
        <v>43157</v>
      </c>
      <c r="H1023" s="8" t="s">
        <v>109</v>
      </c>
      <c r="I1023" s="11">
        <v>4000000</v>
      </c>
      <c r="J1023" s="8" t="s">
        <v>353</v>
      </c>
      <c r="K1023" s="8" t="s">
        <v>354</v>
      </c>
      <c r="L1023" s="7">
        <v>2013</v>
      </c>
      <c r="M1023" s="8" t="s">
        <v>357</v>
      </c>
      <c r="N1023" s="11">
        <v>9700000</v>
      </c>
      <c r="O1023" s="8" t="s">
        <v>358</v>
      </c>
      <c r="P1023" s="8" t="s">
        <v>359</v>
      </c>
      <c r="Q1023" s="8"/>
      <c r="R1023" s="8" t="s">
        <v>357</v>
      </c>
    </row>
    <row r="1024" spans="1:18" ht="26.15" customHeight="1">
      <c r="A1024" s="7">
        <v>1018</v>
      </c>
      <c r="B1024" s="8" t="s">
        <v>1810</v>
      </c>
      <c r="C1024" s="8" t="s">
        <v>3127</v>
      </c>
      <c r="D1024" s="8"/>
      <c r="E1024" s="8" t="s">
        <v>3128</v>
      </c>
      <c r="F1024" s="9" t="s">
        <v>3123</v>
      </c>
      <c r="G1024" s="10">
        <v>43157</v>
      </c>
      <c r="H1024" s="8" t="s">
        <v>109</v>
      </c>
      <c r="I1024" s="11">
        <v>4000000</v>
      </c>
      <c r="J1024" s="8" t="s">
        <v>353</v>
      </c>
      <c r="K1024" s="8" t="s">
        <v>354</v>
      </c>
      <c r="L1024" s="7">
        <v>2013</v>
      </c>
      <c r="M1024" s="8" t="s">
        <v>357</v>
      </c>
      <c r="N1024" s="11">
        <v>9700000</v>
      </c>
      <c r="O1024" s="8" t="s">
        <v>358</v>
      </c>
      <c r="P1024" s="8" t="s">
        <v>359</v>
      </c>
      <c r="Q1024" s="8"/>
      <c r="R1024" s="8"/>
    </row>
    <row r="1025" spans="1:18" ht="26.15" customHeight="1">
      <c r="A1025" s="7">
        <v>1019</v>
      </c>
      <c r="B1025" s="8" t="s">
        <v>492</v>
      </c>
      <c r="C1025" s="8" t="s">
        <v>3114</v>
      </c>
      <c r="D1025" s="8" t="s">
        <v>3144</v>
      </c>
      <c r="E1025" s="8" t="s">
        <v>3116</v>
      </c>
      <c r="F1025" s="9" t="s">
        <v>3117</v>
      </c>
      <c r="G1025" s="10">
        <v>43153</v>
      </c>
      <c r="H1025" s="8" t="s">
        <v>25</v>
      </c>
      <c r="I1025" s="11" t="s">
        <v>50</v>
      </c>
      <c r="J1025" s="8" t="s">
        <v>544</v>
      </c>
      <c r="K1025" s="8" t="s">
        <v>545</v>
      </c>
      <c r="L1025" s="7">
        <v>2007</v>
      </c>
      <c r="M1025" s="8" t="s">
        <v>547</v>
      </c>
      <c r="N1025" s="11">
        <v>40000000</v>
      </c>
      <c r="O1025" s="8" t="s">
        <v>548</v>
      </c>
      <c r="P1025" s="8" t="s">
        <v>549</v>
      </c>
      <c r="Q1025" s="8"/>
      <c r="R1025" s="8" t="s">
        <v>3145</v>
      </c>
    </row>
    <row r="1026" spans="1:18" ht="26.15" customHeight="1">
      <c r="A1026" s="7">
        <v>1020</v>
      </c>
      <c r="B1026" s="8" t="s">
        <v>1814</v>
      </c>
      <c r="C1026" s="8" t="s">
        <v>3114</v>
      </c>
      <c r="D1026" s="8" t="s">
        <v>4169</v>
      </c>
      <c r="E1026" s="8" t="s">
        <v>3116</v>
      </c>
      <c r="F1026" s="9" t="s">
        <v>3117</v>
      </c>
      <c r="G1026" s="10">
        <v>43152</v>
      </c>
      <c r="H1026" s="8" t="s">
        <v>34</v>
      </c>
      <c r="I1026" s="11">
        <v>15414</v>
      </c>
      <c r="J1026" s="8" t="s">
        <v>1058</v>
      </c>
      <c r="K1026" s="8" t="s">
        <v>1059</v>
      </c>
      <c r="L1026" s="7">
        <v>2017</v>
      </c>
      <c r="M1026" s="8" t="s">
        <v>313</v>
      </c>
      <c r="N1026" s="11">
        <v>101208</v>
      </c>
      <c r="O1026" s="8" t="s">
        <v>1061</v>
      </c>
      <c r="P1026" s="8" t="s">
        <v>1062</v>
      </c>
      <c r="Q1026" s="8"/>
      <c r="R1026" s="8" t="s">
        <v>313</v>
      </c>
    </row>
    <row r="1027" spans="1:18" ht="26.15" customHeight="1">
      <c r="A1027" s="7">
        <v>1021</v>
      </c>
      <c r="B1027" s="8" t="s">
        <v>1467</v>
      </c>
      <c r="C1027" s="8" t="s">
        <v>3114</v>
      </c>
      <c r="D1027" s="8" t="s">
        <v>3196</v>
      </c>
      <c r="E1027" s="8" t="s">
        <v>3116</v>
      </c>
      <c r="F1027" s="9" t="s">
        <v>3117</v>
      </c>
      <c r="G1027" s="10">
        <v>43151</v>
      </c>
      <c r="H1027" s="8" t="s">
        <v>34</v>
      </c>
      <c r="I1027" s="11">
        <v>500000</v>
      </c>
      <c r="J1027" s="8" t="s">
        <v>1490</v>
      </c>
      <c r="K1027" s="8" t="s">
        <v>1491</v>
      </c>
      <c r="L1027" s="7">
        <v>2016</v>
      </c>
      <c r="M1027" s="8" t="s">
        <v>1494</v>
      </c>
      <c r="N1027" s="11">
        <v>774776</v>
      </c>
      <c r="O1027" s="8" t="s">
        <v>1495</v>
      </c>
      <c r="P1027" s="8" t="s">
        <v>1496</v>
      </c>
      <c r="Q1027" s="8"/>
      <c r="R1027" s="8" t="s">
        <v>313</v>
      </c>
    </row>
    <row r="1028" spans="1:18" ht="26.15" customHeight="1">
      <c r="A1028" s="7">
        <v>1022</v>
      </c>
      <c r="B1028" s="8" t="s">
        <v>3991</v>
      </c>
      <c r="C1028" s="8" t="s">
        <v>3114</v>
      </c>
      <c r="D1028" s="8" t="s">
        <v>3992</v>
      </c>
      <c r="E1028" s="8" t="s">
        <v>3116</v>
      </c>
      <c r="F1028" s="9" t="s">
        <v>3123</v>
      </c>
      <c r="G1028" s="10">
        <v>43151</v>
      </c>
      <c r="H1028" s="8" t="s">
        <v>34</v>
      </c>
      <c r="I1028" s="11">
        <v>500000</v>
      </c>
      <c r="J1028" s="8" t="s">
        <v>1490</v>
      </c>
      <c r="K1028" s="8" t="s">
        <v>1491</v>
      </c>
      <c r="L1028" s="7">
        <v>2016</v>
      </c>
      <c r="M1028" s="8" t="s">
        <v>1494</v>
      </c>
      <c r="N1028" s="11">
        <v>774776</v>
      </c>
      <c r="O1028" s="8" t="s">
        <v>1495</v>
      </c>
      <c r="P1028" s="8" t="s">
        <v>1496</v>
      </c>
      <c r="Q1028" s="8"/>
      <c r="R1028" s="8" t="s">
        <v>3311</v>
      </c>
    </row>
    <row r="1029" spans="1:18" ht="26.15" customHeight="1">
      <c r="A1029" s="7">
        <v>1023</v>
      </c>
      <c r="B1029" s="8" t="s">
        <v>4170</v>
      </c>
      <c r="C1029" s="8" t="s">
        <v>3127</v>
      </c>
      <c r="D1029" s="8"/>
      <c r="E1029" s="8" t="s">
        <v>3128</v>
      </c>
      <c r="F1029" s="9" t="s">
        <v>3123</v>
      </c>
      <c r="G1029" s="10">
        <v>43151</v>
      </c>
      <c r="H1029" s="8" t="s">
        <v>34</v>
      </c>
      <c r="I1029" s="11">
        <v>500000</v>
      </c>
      <c r="J1029" s="8" t="s">
        <v>1490</v>
      </c>
      <c r="K1029" s="8" t="s">
        <v>1491</v>
      </c>
      <c r="L1029" s="7">
        <v>2016</v>
      </c>
      <c r="M1029" s="8" t="s">
        <v>1494</v>
      </c>
      <c r="N1029" s="11">
        <v>774776</v>
      </c>
      <c r="O1029" s="8" t="s">
        <v>1495</v>
      </c>
      <c r="P1029" s="8" t="s">
        <v>1496</v>
      </c>
      <c r="Q1029" s="8"/>
      <c r="R1029" s="8"/>
    </row>
    <row r="1030" spans="1:18" ht="26.15" customHeight="1">
      <c r="A1030" s="7">
        <v>1024</v>
      </c>
      <c r="B1030" s="8" t="s">
        <v>4171</v>
      </c>
      <c r="C1030" s="8" t="s">
        <v>3127</v>
      </c>
      <c r="D1030" s="8"/>
      <c r="E1030" s="8" t="s">
        <v>3128</v>
      </c>
      <c r="F1030" s="9" t="s">
        <v>3123</v>
      </c>
      <c r="G1030" s="10">
        <v>43151</v>
      </c>
      <c r="H1030" s="8" t="s">
        <v>34</v>
      </c>
      <c r="I1030" s="11">
        <v>500000</v>
      </c>
      <c r="J1030" s="8" t="s">
        <v>1490</v>
      </c>
      <c r="K1030" s="8" t="s">
        <v>1491</v>
      </c>
      <c r="L1030" s="7">
        <v>2016</v>
      </c>
      <c r="M1030" s="8" t="s">
        <v>1494</v>
      </c>
      <c r="N1030" s="11">
        <v>774776</v>
      </c>
      <c r="O1030" s="8" t="s">
        <v>1495</v>
      </c>
      <c r="P1030" s="8" t="s">
        <v>1496</v>
      </c>
      <c r="Q1030" s="8"/>
      <c r="R1030" s="8"/>
    </row>
    <row r="1031" spans="1:18" ht="26.15" customHeight="1">
      <c r="A1031" s="7">
        <v>1025</v>
      </c>
      <c r="B1031" s="8" t="s">
        <v>4172</v>
      </c>
      <c r="C1031" s="8" t="s">
        <v>3114</v>
      </c>
      <c r="D1031" s="8" t="s">
        <v>4173</v>
      </c>
      <c r="E1031" s="8" t="s">
        <v>3116</v>
      </c>
      <c r="F1031" s="9" t="s">
        <v>3123</v>
      </c>
      <c r="G1031" s="10">
        <v>43150</v>
      </c>
      <c r="H1031" s="8" t="s">
        <v>34</v>
      </c>
      <c r="I1031" s="11">
        <v>350000</v>
      </c>
      <c r="J1031" s="8" t="s">
        <v>1816</v>
      </c>
      <c r="K1031" s="8" t="s">
        <v>1817</v>
      </c>
      <c r="L1031" s="7">
        <v>2014</v>
      </c>
      <c r="M1031" s="8" t="s">
        <v>1588</v>
      </c>
      <c r="N1031" s="11">
        <v>350000</v>
      </c>
      <c r="O1031" s="8" t="s">
        <v>1819</v>
      </c>
      <c r="P1031" s="8" t="s">
        <v>1820</v>
      </c>
      <c r="Q1031" s="8"/>
      <c r="R1031" s="8" t="s">
        <v>4174</v>
      </c>
    </row>
    <row r="1032" spans="1:18" ht="26.15" customHeight="1">
      <c r="A1032" s="7">
        <v>1026</v>
      </c>
      <c r="B1032" s="8" t="s">
        <v>4175</v>
      </c>
      <c r="C1032" s="8" t="s">
        <v>3114</v>
      </c>
      <c r="D1032" s="8" t="s">
        <v>4176</v>
      </c>
      <c r="E1032" s="8" t="s">
        <v>3116</v>
      </c>
      <c r="F1032" s="9" t="s">
        <v>3123</v>
      </c>
      <c r="G1032" s="10">
        <v>43150</v>
      </c>
      <c r="H1032" s="8" t="s">
        <v>34</v>
      </c>
      <c r="I1032" s="11">
        <v>350000</v>
      </c>
      <c r="J1032" s="8" t="s">
        <v>1816</v>
      </c>
      <c r="K1032" s="8" t="s">
        <v>1817</v>
      </c>
      <c r="L1032" s="7">
        <v>2014</v>
      </c>
      <c r="M1032" s="8" t="s">
        <v>1588</v>
      </c>
      <c r="N1032" s="11">
        <v>350000</v>
      </c>
      <c r="O1032" s="8" t="s">
        <v>1819</v>
      </c>
      <c r="P1032" s="8" t="s">
        <v>1820</v>
      </c>
      <c r="Q1032" s="8"/>
      <c r="R1032" s="8" t="s">
        <v>30</v>
      </c>
    </row>
    <row r="1033" spans="1:18" ht="26.15" customHeight="1">
      <c r="A1033" s="7">
        <v>1027</v>
      </c>
      <c r="B1033" s="8" t="s">
        <v>4177</v>
      </c>
      <c r="C1033" s="8" t="s">
        <v>3139</v>
      </c>
      <c r="D1033" s="8" t="s">
        <v>4178</v>
      </c>
      <c r="E1033" s="8" t="s">
        <v>3116</v>
      </c>
      <c r="F1033" s="9" t="s">
        <v>3123</v>
      </c>
      <c r="G1033" s="10">
        <v>43141</v>
      </c>
      <c r="H1033" s="8" t="s">
        <v>184</v>
      </c>
      <c r="I1033" s="11" t="s">
        <v>50</v>
      </c>
      <c r="J1033" s="8" t="s">
        <v>1554</v>
      </c>
      <c r="K1033" s="8" t="s">
        <v>1555</v>
      </c>
      <c r="L1033" s="7">
        <v>2013</v>
      </c>
      <c r="M1033" s="8" t="s">
        <v>188</v>
      </c>
      <c r="N1033" s="11">
        <v>234941</v>
      </c>
      <c r="O1033" s="8" t="s">
        <v>1558</v>
      </c>
      <c r="P1033" s="8" t="s">
        <v>1559</v>
      </c>
      <c r="Q1033" s="8"/>
      <c r="R1033" s="8" t="s">
        <v>56</v>
      </c>
    </row>
    <row r="1034" spans="1:18" ht="26.15" customHeight="1">
      <c r="A1034" s="7">
        <v>1028</v>
      </c>
      <c r="B1034" s="8" t="s">
        <v>2072</v>
      </c>
      <c r="C1034" s="8" t="s">
        <v>3139</v>
      </c>
      <c r="D1034" s="8" t="s">
        <v>4179</v>
      </c>
      <c r="E1034" s="8" t="s">
        <v>3116</v>
      </c>
      <c r="F1034" s="9" t="s">
        <v>3117</v>
      </c>
      <c r="G1034" s="10">
        <v>43128</v>
      </c>
      <c r="H1034" s="8" t="s">
        <v>34</v>
      </c>
      <c r="I1034" s="11" t="s">
        <v>50</v>
      </c>
      <c r="J1034" s="8" t="s">
        <v>1082</v>
      </c>
      <c r="K1034" s="8" t="s">
        <v>1083</v>
      </c>
      <c r="L1034" s="7">
        <v>2016</v>
      </c>
      <c r="M1034" s="8" t="s">
        <v>1086</v>
      </c>
      <c r="N1034" s="11">
        <v>120000</v>
      </c>
      <c r="O1034" s="8" t="s">
        <v>1087</v>
      </c>
      <c r="P1034" s="8" t="s">
        <v>1088</v>
      </c>
      <c r="Q1034" s="8"/>
      <c r="R1034" s="8"/>
    </row>
    <row r="1035" spans="1:18" ht="26.15" customHeight="1">
      <c r="A1035" s="7">
        <v>1029</v>
      </c>
      <c r="B1035" s="8" t="s">
        <v>727</v>
      </c>
      <c r="C1035" s="8" t="s">
        <v>3114</v>
      </c>
      <c r="D1035" s="8" t="s">
        <v>3568</v>
      </c>
      <c r="E1035" s="8" t="s">
        <v>3116</v>
      </c>
      <c r="F1035" s="9" t="s">
        <v>3117</v>
      </c>
      <c r="G1035" s="10">
        <v>43128</v>
      </c>
      <c r="H1035" s="8" t="s">
        <v>34</v>
      </c>
      <c r="I1035" s="11" t="s">
        <v>50</v>
      </c>
      <c r="J1035" s="8" t="s">
        <v>1082</v>
      </c>
      <c r="K1035" s="8" t="s">
        <v>1083</v>
      </c>
      <c r="L1035" s="7">
        <v>2016</v>
      </c>
      <c r="M1035" s="8" t="s">
        <v>1086</v>
      </c>
      <c r="N1035" s="11">
        <v>120000</v>
      </c>
      <c r="O1035" s="8" t="s">
        <v>1087</v>
      </c>
      <c r="P1035" s="8" t="s">
        <v>1088</v>
      </c>
      <c r="Q1035" s="8"/>
      <c r="R1035" s="8" t="s">
        <v>3138</v>
      </c>
    </row>
    <row r="1036" spans="1:18" ht="26.15" customHeight="1">
      <c r="A1036" s="7">
        <v>1030</v>
      </c>
      <c r="B1036" s="8" t="s">
        <v>2022</v>
      </c>
      <c r="C1036" s="8" t="s">
        <v>3114</v>
      </c>
      <c r="D1036" s="8" t="s">
        <v>3854</v>
      </c>
      <c r="E1036" s="8" t="s">
        <v>3116</v>
      </c>
      <c r="F1036" s="9" t="s">
        <v>3117</v>
      </c>
      <c r="G1036" s="10">
        <v>43128</v>
      </c>
      <c r="H1036" s="8" t="s">
        <v>34</v>
      </c>
      <c r="I1036" s="11" t="s">
        <v>50</v>
      </c>
      <c r="J1036" s="8" t="s">
        <v>1082</v>
      </c>
      <c r="K1036" s="8" t="s">
        <v>1083</v>
      </c>
      <c r="L1036" s="7">
        <v>2016</v>
      </c>
      <c r="M1036" s="8" t="s">
        <v>1086</v>
      </c>
      <c r="N1036" s="11">
        <v>120000</v>
      </c>
      <c r="O1036" s="8" t="s">
        <v>1087</v>
      </c>
      <c r="P1036" s="8" t="s">
        <v>1088</v>
      </c>
      <c r="Q1036" s="8"/>
      <c r="R1036" s="8" t="s">
        <v>3597</v>
      </c>
    </row>
    <row r="1037" spans="1:18" ht="26.15" customHeight="1">
      <c r="A1037" s="7">
        <v>1031</v>
      </c>
      <c r="B1037" s="8" t="s">
        <v>4180</v>
      </c>
      <c r="C1037" s="8" t="s">
        <v>3139</v>
      </c>
      <c r="D1037" s="8" t="s">
        <v>4181</v>
      </c>
      <c r="E1037" s="8" t="s">
        <v>3116</v>
      </c>
      <c r="F1037" s="9" t="s">
        <v>3117</v>
      </c>
      <c r="G1037" s="10">
        <v>43128</v>
      </c>
      <c r="H1037" s="8" t="s">
        <v>34</v>
      </c>
      <c r="I1037" s="11" t="s">
        <v>50</v>
      </c>
      <c r="J1037" s="8" t="s">
        <v>1082</v>
      </c>
      <c r="K1037" s="8" t="s">
        <v>1083</v>
      </c>
      <c r="L1037" s="7">
        <v>2016</v>
      </c>
      <c r="M1037" s="8" t="s">
        <v>1086</v>
      </c>
      <c r="N1037" s="11">
        <v>120000</v>
      </c>
      <c r="O1037" s="8" t="s">
        <v>1087</v>
      </c>
      <c r="P1037" s="8" t="s">
        <v>1088</v>
      </c>
      <c r="Q1037" s="8"/>
      <c r="R1037" s="8" t="s">
        <v>4182</v>
      </c>
    </row>
    <row r="1038" spans="1:18" ht="26.15" customHeight="1">
      <c r="A1038" s="7">
        <v>1032</v>
      </c>
      <c r="B1038" s="8" t="s">
        <v>1824</v>
      </c>
      <c r="C1038" s="8" t="s">
        <v>3127</v>
      </c>
      <c r="D1038" s="8"/>
      <c r="E1038" s="8" t="s">
        <v>3128</v>
      </c>
      <c r="F1038" s="9" t="s">
        <v>3117</v>
      </c>
      <c r="G1038" s="10">
        <v>43127</v>
      </c>
      <c r="H1038" s="8" t="s">
        <v>124</v>
      </c>
      <c r="I1038" s="11">
        <v>50168</v>
      </c>
      <c r="J1038" s="8" t="s">
        <v>1191</v>
      </c>
      <c r="K1038" s="8" t="s">
        <v>1192</v>
      </c>
      <c r="L1038" s="7">
        <v>2017</v>
      </c>
      <c r="M1038" s="8" t="s">
        <v>47</v>
      </c>
      <c r="N1038" s="11">
        <v>567108</v>
      </c>
      <c r="O1038" s="8" t="s">
        <v>1194</v>
      </c>
      <c r="P1038" s="8" t="s">
        <v>1195</v>
      </c>
      <c r="Q1038" s="8"/>
      <c r="R1038" s="8"/>
    </row>
    <row r="1039" spans="1:18" ht="26.15" customHeight="1">
      <c r="A1039" s="7">
        <v>1033</v>
      </c>
      <c r="B1039" s="8" t="s">
        <v>1826</v>
      </c>
      <c r="C1039" s="8" t="s">
        <v>3139</v>
      </c>
      <c r="D1039" s="8" t="s">
        <v>4183</v>
      </c>
      <c r="E1039" s="8" t="s">
        <v>3116</v>
      </c>
      <c r="F1039" s="9" t="s">
        <v>3117</v>
      </c>
      <c r="G1039" s="10">
        <v>43127</v>
      </c>
      <c r="H1039" s="8" t="s">
        <v>34</v>
      </c>
      <c r="I1039" s="11">
        <v>89641</v>
      </c>
      <c r="J1039" s="8" t="s">
        <v>42</v>
      </c>
      <c r="K1039" s="8" t="s">
        <v>43</v>
      </c>
      <c r="L1039" s="7">
        <v>2017</v>
      </c>
      <c r="M1039" s="8" t="s">
        <v>47</v>
      </c>
      <c r="N1039" s="11">
        <v>3160468</v>
      </c>
      <c r="O1039" s="8" t="s">
        <v>48</v>
      </c>
      <c r="P1039" s="8" t="s">
        <v>49</v>
      </c>
      <c r="Q1039" s="8"/>
      <c r="R1039" s="8" t="s">
        <v>3138</v>
      </c>
    </row>
    <row r="1040" spans="1:18" ht="26.15" customHeight="1">
      <c r="A1040" s="7">
        <v>1034</v>
      </c>
      <c r="B1040" s="8" t="s">
        <v>1273</v>
      </c>
      <c r="C1040" s="8" t="s">
        <v>3127</v>
      </c>
      <c r="D1040" s="8"/>
      <c r="E1040" s="8" t="s">
        <v>3128</v>
      </c>
      <c r="F1040" s="9" t="s">
        <v>3123</v>
      </c>
      <c r="G1040" s="10">
        <v>43127</v>
      </c>
      <c r="H1040" s="8" t="s">
        <v>34</v>
      </c>
      <c r="I1040" s="11">
        <v>89641</v>
      </c>
      <c r="J1040" s="8" t="s">
        <v>42</v>
      </c>
      <c r="K1040" s="8" t="s">
        <v>43</v>
      </c>
      <c r="L1040" s="7">
        <v>2017</v>
      </c>
      <c r="M1040" s="8" t="s">
        <v>47</v>
      </c>
      <c r="N1040" s="11">
        <v>3160468</v>
      </c>
      <c r="O1040" s="8" t="s">
        <v>48</v>
      </c>
      <c r="P1040" s="8" t="s">
        <v>49</v>
      </c>
      <c r="Q1040" s="8"/>
      <c r="R1040" s="8"/>
    </row>
    <row r="1041" spans="1:18" ht="26.15" customHeight="1">
      <c r="A1041" s="7">
        <v>1035</v>
      </c>
      <c r="B1041" s="8" t="s">
        <v>3650</v>
      </c>
      <c r="C1041" s="8" t="s">
        <v>3127</v>
      </c>
      <c r="D1041" s="8"/>
      <c r="E1041" s="8" t="s">
        <v>3128</v>
      </c>
      <c r="F1041" s="9" t="s">
        <v>3123</v>
      </c>
      <c r="G1041" s="10">
        <v>43127</v>
      </c>
      <c r="H1041" s="8" t="s">
        <v>34</v>
      </c>
      <c r="I1041" s="11">
        <v>89641</v>
      </c>
      <c r="J1041" s="8" t="s">
        <v>42</v>
      </c>
      <c r="K1041" s="8" t="s">
        <v>43</v>
      </c>
      <c r="L1041" s="7">
        <v>2017</v>
      </c>
      <c r="M1041" s="8" t="s">
        <v>47</v>
      </c>
      <c r="N1041" s="11">
        <v>3160468</v>
      </c>
      <c r="O1041" s="8" t="s">
        <v>48</v>
      </c>
      <c r="P1041" s="8" t="s">
        <v>49</v>
      </c>
      <c r="Q1041" s="8"/>
      <c r="R1041" s="8"/>
    </row>
    <row r="1042" spans="1:18" ht="26.15" customHeight="1">
      <c r="A1042" s="7">
        <v>1036</v>
      </c>
      <c r="B1042" s="8" t="s">
        <v>4184</v>
      </c>
      <c r="C1042" s="8" t="s">
        <v>3114</v>
      </c>
      <c r="D1042" s="8" t="s">
        <v>4185</v>
      </c>
      <c r="E1042" s="8" t="s">
        <v>3116</v>
      </c>
      <c r="F1042" s="9" t="s">
        <v>3117</v>
      </c>
      <c r="G1042" s="10">
        <v>43127</v>
      </c>
      <c r="H1042" s="8" t="s">
        <v>34</v>
      </c>
      <c r="I1042" s="11">
        <v>157265</v>
      </c>
      <c r="J1042" s="8" t="s">
        <v>1685</v>
      </c>
      <c r="K1042" s="8" t="s">
        <v>1686</v>
      </c>
      <c r="L1042" s="7">
        <v>2013</v>
      </c>
      <c r="M1042" s="8" t="s">
        <v>79</v>
      </c>
      <c r="N1042" s="11">
        <v>2257449</v>
      </c>
      <c r="O1042" s="8" t="s">
        <v>1690</v>
      </c>
      <c r="P1042" s="8" t="s">
        <v>1691</v>
      </c>
      <c r="Q1042" s="8"/>
      <c r="R1042" s="8" t="s">
        <v>3910</v>
      </c>
    </row>
    <row r="1043" spans="1:18" ht="26.15" customHeight="1">
      <c r="A1043" s="7">
        <v>1037</v>
      </c>
      <c r="B1043" s="8" t="s">
        <v>4186</v>
      </c>
      <c r="C1043" s="8"/>
      <c r="D1043" s="8" t="s">
        <v>4187</v>
      </c>
      <c r="E1043" s="8" t="s">
        <v>3116</v>
      </c>
      <c r="F1043" s="9" t="s">
        <v>3123</v>
      </c>
      <c r="G1043" s="10">
        <v>43127</v>
      </c>
      <c r="H1043" s="8" t="s">
        <v>34</v>
      </c>
      <c r="I1043" s="11">
        <v>157265</v>
      </c>
      <c r="J1043" s="8" t="s">
        <v>1685</v>
      </c>
      <c r="K1043" s="8" t="s">
        <v>1686</v>
      </c>
      <c r="L1043" s="7">
        <v>2013</v>
      </c>
      <c r="M1043" s="8" t="s">
        <v>79</v>
      </c>
      <c r="N1043" s="11">
        <v>2257449</v>
      </c>
      <c r="O1043" s="8" t="s">
        <v>1690</v>
      </c>
      <c r="P1043" s="8" t="s">
        <v>1691</v>
      </c>
      <c r="Q1043" s="8"/>
      <c r="R1043" s="8" t="s">
        <v>3322</v>
      </c>
    </row>
    <row r="1044" spans="1:18" ht="26.15" customHeight="1">
      <c r="A1044" s="7">
        <v>1038</v>
      </c>
      <c r="B1044" s="8" t="s">
        <v>4188</v>
      </c>
      <c r="C1044" s="8" t="s">
        <v>3127</v>
      </c>
      <c r="D1044" s="8"/>
      <c r="E1044" s="8" t="s">
        <v>3128</v>
      </c>
      <c r="F1044" s="9" t="s">
        <v>3117</v>
      </c>
      <c r="G1044" s="10">
        <v>43127</v>
      </c>
      <c r="H1044" s="8" t="s">
        <v>34</v>
      </c>
      <c r="I1044" s="11">
        <v>157265</v>
      </c>
      <c r="J1044" s="8" t="s">
        <v>1685</v>
      </c>
      <c r="K1044" s="8" t="s">
        <v>1686</v>
      </c>
      <c r="L1044" s="7">
        <v>2013</v>
      </c>
      <c r="M1044" s="8" t="s">
        <v>79</v>
      </c>
      <c r="N1044" s="11">
        <v>2257449</v>
      </c>
      <c r="O1044" s="8" t="s">
        <v>1690</v>
      </c>
      <c r="P1044" s="8" t="s">
        <v>1691</v>
      </c>
      <c r="Q1044" s="8"/>
      <c r="R1044" s="8"/>
    </row>
    <row r="1045" spans="1:18" ht="26.15" customHeight="1">
      <c r="A1045" s="7">
        <v>1039</v>
      </c>
      <c r="B1045" s="8" t="s">
        <v>4189</v>
      </c>
      <c r="C1045" s="8" t="s">
        <v>3127</v>
      </c>
      <c r="D1045" s="8"/>
      <c r="E1045" s="8" t="s">
        <v>3128</v>
      </c>
      <c r="F1045" s="9" t="s">
        <v>3123</v>
      </c>
      <c r="G1045" s="10">
        <v>43127</v>
      </c>
      <c r="H1045" s="8" t="s">
        <v>34</v>
      </c>
      <c r="I1045" s="11">
        <v>157265</v>
      </c>
      <c r="J1045" s="8" t="s">
        <v>1685</v>
      </c>
      <c r="K1045" s="8" t="s">
        <v>1686</v>
      </c>
      <c r="L1045" s="7">
        <v>2013</v>
      </c>
      <c r="M1045" s="8" t="s">
        <v>79</v>
      </c>
      <c r="N1045" s="11">
        <v>2257449</v>
      </c>
      <c r="O1045" s="8" t="s">
        <v>1690</v>
      </c>
      <c r="P1045" s="8" t="s">
        <v>1691</v>
      </c>
      <c r="Q1045" s="8"/>
      <c r="R1045" s="8"/>
    </row>
    <row r="1046" spans="1:18" ht="26.15" customHeight="1">
      <c r="A1046" s="7">
        <v>1040</v>
      </c>
      <c r="B1046" s="8" t="s">
        <v>4190</v>
      </c>
      <c r="C1046" s="8" t="s">
        <v>3127</v>
      </c>
      <c r="D1046" s="8"/>
      <c r="E1046" s="8" t="s">
        <v>3128</v>
      </c>
      <c r="F1046" s="9" t="s">
        <v>3123</v>
      </c>
      <c r="G1046" s="10">
        <v>43127</v>
      </c>
      <c r="H1046" s="8" t="s">
        <v>34</v>
      </c>
      <c r="I1046" s="11">
        <v>157265</v>
      </c>
      <c r="J1046" s="8" t="s">
        <v>1685</v>
      </c>
      <c r="K1046" s="8" t="s">
        <v>1686</v>
      </c>
      <c r="L1046" s="7">
        <v>2013</v>
      </c>
      <c r="M1046" s="8" t="s">
        <v>79</v>
      </c>
      <c r="N1046" s="11">
        <v>2257449</v>
      </c>
      <c r="O1046" s="8" t="s">
        <v>1690</v>
      </c>
      <c r="P1046" s="8" t="s">
        <v>1691</v>
      </c>
      <c r="Q1046" s="8"/>
      <c r="R1046" s="8"/>
    </row>
    <row r="1047" spans="1:18" ht="26.15" customHeight="1">
      <c r="A1047" s="7">
        <v>1041</v>
      </c>
      <c r="B1047" s="8" t="s">
        <v>3933</v>
      </c>
      <c r="C1047" s="8" t="s">
        <v>3127</v>
      </c>
      <c r="D1047" s="8"/>
      <c r="E1047" s="8" t="s">
        <v>3128</v>
      </c>
      <c r="F1047" s="9" t="s">
        <v>3123</v>
      </c>
      <c r="G1047" s="10">
        <v>43127</v>
      </c>
      <c r="H1047" s="8" t="s">
        <v>34</v>
      </c>
      <c r="I1047" s="11">
        <v>157265</v>
      </c>
      <c r="J1047" s="8" t="s">
        <v>1685</v>
      </c>
      <c r="K1047" s="8" t="s">
        <v>1686</v>
      </c>
      <c r="L1047" s="7">
        <v>2013</v>
      </c>
      <c r="M1047" s="8" t="s">
        <v>79</v>
      </c>
      <c r="N1047" s="11">
        <v>2257449</v>
      </c>
      <c r="O1047" s="8" t="s">
        <v>1690</v>
      </c>
      <c r="P1047" s="8" t="s">
        <v>1691</v>
      </c>
      <c r="Q1047" s="8"/>
      <c r="R1047" s="8"/>
    </row>
    <row r="1048" spans="1:18" ht="26.15" customHeight="1">
      <c r="A1048" s="7">
        <v>1042</v>
      </c>
      <c r="B1048" s="8" t="s">
        <v>4191</v>
      </c>
      <c r="C1048" s="8" t="s">
        <v>3127</v>
      </c>
      <c r="D1048" s="8"/>
      <c r="E1048" s="8" t="s">
        <v>3128</v>
      </c>
      <c r="F1048" s="9" t="s">
        <v>3123</v>
      </c>
      <c r="G1048" s="10">
        <v>43127</v>
      </c>
      <c r="H1048" s="8" t="s">
        <v>34</v>
      </c>
      <c r="I1048" s="11">
        <v>157265</v>
      </c>
      <c r="J1048" s="8" t="s">
        <v>1685</v>
      </c>
      <c r="K1048" s="8" t="s">
        <v>1686</v>
      </c>
      <c r="L1048" s="7">
        <v>2013</v>
      </c>
      <c r="M1048" s="8" t="s">
        <v>79</v>
      </c>
      <c r="N1048" s="11">
        <v>2257449</v>
      </c>
      <c r="O1048" s="8" t="s">
        <v>1690</v>
      </c>
      <c r="P1048" s="8" t="s">
        <v>1691</v>
      </c>
      <c r="Q1048" s="8"/>
      <c r="R1048" s="8"/>
    </row>
    <row r="1049" spans="1:18" ht="26.15" customHeight="1">
      <c r="A1049" s="7">
        <v>1043</v>
      </c>
      <c r="B1049" s="8" t="s">
        <v>4192</v>
      </c>
      <c r="C1049" s="8" t="s">
        <v>3127</v>
      </c>
      <c r="D1049" s="8"/>
      <c r="E1049" s="8" t="s">
        <v>3128</v>
      </c>
      <c r="F1049" s="9" t="s">
        <v>3123</v>
      </c>
      <c r="G1049" s="10">
        <v>43127</v>
      </c>
      <c r="H1049" s="8" t="s">
        <v>34</v>
      </c>
      <c r="I1049" s="11">
        <v>157265</v>
      </c>
      <c r="J1049" s="8" t="s">
        <v>1685</v>
      </c>
      <c r="K1049" s="8" t="s">
        <v>1686</v>
      </c>
      <c r="L1049" s="7">
        <v>2013</v>
      </c>
      <c r="M1049" s="8" t="s">
        <v>79</v>
      </c>
      <c r="N1049" s="11">
        <v>2257449</v>
      </c>
      <c r="O1049" s="8" t="s">
        <v>1690</v>
      </c>
      <c r="P1049" s="8" t="s">
        <v>1691</v>
      </c>
      <c r="Q1049" s="8"/>
      <c r="R1049" s="8"/>
    </row>
    <row r="1050" spans="1:18" ht="26.15" customHeight="1">
      <c r="A1050" s="7">
        <v>1044</v>
      </c>
      <c r="B1050" s="8" t="s">
        <v>4193</v>
      </c>
      <c r="C1050" s="8" t="s">
        <v>3127</v>
      </c>
      <c r="D1050" s="8"/>
      <c r="E1050" s="8" t="s">
        <v>3128</v>
      </c>
      <c r="F1050" s="9" t="s">
        <v>3123</v>
      </c>
      <c r="G1050" s="10">
        <v>43127</v>
      </c>
      <c r="H1050" s="8" t="s">
        <v>34</v>
      </c>
      <c r="I1050" s="11">
        <v>157265</v>
      </c>
      <c r="J1050" s="8" t="s">
        <v>1685</v>
      </c>
      <c r="K1050" s="8" t="s">
        <v>1686</v>
      </c>
      <c r="L1050" s="7">
        <v>2013</v>
      </c>
      <c r="M1050" s="8" t="s">
        <v>79</v>
      </c>
      <c r="N1050" s="11">
        <v>2257449</v>
      </c>
      <c r="O1050" s="8" t="s">
        <v>1690</v>
      </c>
      <c r="P1050" s="8" t="s">
        <v>1691</v>
      </c>
      <c r="Q1050" s="8"/>
      <c r="R1050" s="8"/>
    </row>
    <row r="1051" spans="1:18" ht="26.15" customHeight="1">
      <c r="A1051" s="7">
        <v>1045</v>
      </c>
      <c r="B1051" s="8" t="s">
        <v>4194</v>
      </c>
      <c r="C1051" s="8" t="s">
        <v>3127</v>
      </c>
      <c r="D1051" s="8"/>
      <c r="E1051" s="8" t="s">
        <v>3128</v>
      </c>
      <c r="F1051" s="9" t="s">
        <v>3123</v>
      </c>
      <c r="G1051" s="10">
        <v>43127</v>
      </c>
      <c r="H1051" s="8" t="s">
        <v>34</v>
      </c>
      <c r="I1051" s="11">
        <v>157265</v>
      </c>
      <c r="J1051" s="8" t="s">
        <v>1685</v>
      </c>
      <c r="K1051" s="8" t="s">
        <v>1686</v>
      </c>
      <c r="L1051" s="7">
        <v>2013</v>
      </c>
      <c r="M1051" s="8" t="s">
        <v>79</v>
      </c>
      <c r="N1051" s="11">
        <v>2257449</v>
      </c>
      <c r="O1051" s="8" t="s">
        <v>1690</v>
      </c>
      <c r="P1051" s="8" t="s">
        <v>1691</v>
      </c>
      <c r="Q1051" s="8"/>
      <c r="R1051" s="8"/>
    </row>
    <row r="1052" spans="1:18" ht="26.15" customHeight="1">
      <c r="A1052" s="7">
        <v>1046</v>
      </c>
      <c r="B1052" s="8" t="s">
        <v>4195</v>
      </c>
      <c r="C1052" s="8" t="s">
        <v>3127</v>
      </c>
      <c r="D1052" s="8"/>
      <c r="E1052" s="8" t="s">
        <v>3128</v>
      </c>
      <c r="F1052" s="9" t="s">
        <v>3123</v>
      </c>
      <c r="G1052" s="10">
        <v>43127</v>
      </c>
      <c r="H1052" s="8" t="s">
        <v>34</v>
      </c>
      <c r="I1052" s="11">
        <v>157265</v>
      </c>
      <c r="J1052" s="8" t="s">
        <v>1685</v>
      </c>
      <c r="K1052" s="8" t="s">
        <v>1686</v>
      </c>
      <c r="L1052" s="7">
        <v>2013</v>
      </c>
      <c r="M1052" s="8" t="s">
        <v>79</v>
      </c>
      <c r="N1052" s="11">
        <v>2257449</v>
      </c>
      <c r="O1052" s="8" t="s">
        <v>1690</v>
      </c>
      <c r="P1052" s="8" t="s">
        <v>1691</v>
      </c>
      <c r="Q1052" s="8"/>
      <c r="R1052" s="8"/>
    </row>
    <row r="1053" spans="1:18" ht="26.15" customHeight="1">
      <c r="A1053" s="7">
        <v>1047</v>
      </c>
      <c r="B1053" s="8" t="s">
        <v>4196</v>
      </c>
      <c r="C1053" s="8" t="s">
        <v>3127</v>
      </c>
      <c r="D1053" s="8"/>
      <c r="E1053" s="8" t="s">
        <v>3128</v>
      </c>
      <c r="F1053" s="9" t="s">
        <v>3123</v>
      </c>
      <c r="G1053" s="10">
        <v>43127</v>
      </c>
      <c r="H1053" s="8" t="s">
        <v>34</v>
      </c>
      <c r="I1053" s="11">
        <v>157265</v>
      </c>
      <c r="J1053" s="8" t="s">
        <v>1685</v>
      </c>
      <c r="K1053" s="8" t="s">
        <v>1686</v>
      </c>
      <c r="L1053" s="7">
        <v>2013</v>
      </c>
      <c r="M1053" s="8" t="s">
        <v>79</v>
      </c>
      <c r="N1053" s="11">
        <v>2257449</v>
      </c>
      <c r="O1053" s="8" t="s">
        <v>1690</v>
      </c>
      <c r="P1053" s="8" t="s">
        <v>1691</v>
      </c>
      <c r="Q1053" s="8"/>
      <c r="R1053" s="8"/>
    </row>
    <row r="1054" spans="1:18" ht="26.15" customHeight="1">
      <c r="A1054" s="7">
        <v>1048</v>
      </c>
      <c r="B1054" s="8" t="s">
        <v>4197</v>
      </c>
      <c r="C1054" s="8" t="s">
        <v>3127</v>
      </c>
      <c r="D1054" s="8"/>
      <c r="E1054" s="8" t="s">
        <v>3128</v>
      </c>
      <c r="F1054" s="9" t="s">
        <v>3123</v>
      </c>
      <c r="G1054" s="10">
        <v>43127</v>
      </c>
      <c r="H1054" s="8" t="s">
        <v>34</v>
      </c>
      <c r="I1054" s="11">
        <v>157265</v>
      </c>
      <c r="J1054" s="8" t="s">
        <v>1685</v>
      </c>
      <c r="K1054" s="8" t="s">
        <v>1686</v>
      </c>
      <c r="L1054" s="7">
        <v>2013</v>
      </c>
      <c r="M1054" s="8" t="s">
        <v>79</v>
      </c>
      <c r="N1054" s="11">
        <v>2257449</v>
      </c>
      <c r="O1054" s="8" t="s">
        <v>1690</v>
      </c>
      <c r="P1054" s="8" t="s">
        <v>1691</v>
      </c>
      <c r="Q1054" s="8"/>
      <c r="R1054" s="8"/>
    </row>
    <row r="1055" spans="1:18" ht="26.15" customHeight="1">
      <c r="A1055" s="7">
        <v>1049</v>
      </c>
      <c r="B1055" s="8" t="s">
        <v>4198</v>
      </c>
      <c r="C1055" s="8" t="s">
        <v>3127</v>
      </c>
      <c r="D1055" s="8"/>
      <c r="E1055" s="8" t="s">
        <v>3128</v>
      </c>
      <c r="F1055" s="9" t="s">
        <v>3123</v>
      </c>
      <c r="G1055" s="10">
        <v>43127</v>
      </c>
      <c r="H1055" s="8" t="s">
        <v>34</v>
      </c>
      <c r="I1055" s="11">
        <v>157265</v>
      </c>
      <c r="J1055" s="8" t="s">
        <v>1685</v>
      </c>
      <c r="K1055" s="8" t="s">
        <v>1686</v>
      </c>
      <c r="L1055" s="7">
        <v>2013</v>
      </c>
      <c r="M1055" s="8" t="s">
        <v>79</v>
      </c>
      <c r="N1055" s="11">
        <v>2257449</v>
      </c>
      <c r="O1055" s="8" t="s">
        <v>1690</v>
      </c>
      <c r="P1055" s="8" t="s">
        <v>1691</v>
      </c>
      <c r="Q1055" s="8"/>
      <c r="R1055" s="8"/>
    </row>
    <row r="1056" spans="1:18" ht="26.15" customHeight="1">
      <c r="A1056" s="7">
        <v>1050</v>
      </c>
      <c r="B1056" s="8" t="s">
        <v>4199</v>
      </c>
      <c r="C1056" s="8" t="s">
        <v>3127</v>
      </c>
      <c r="D1056" s="8"/>
      <c r="E1056" s="8" t="s">
        <v>3128</v>
      </c>
      <c r="F1056" s="9" t="s">
        <v>3123</v>
      </c>
      <c r="G1056" s="10">
        <v>43127</v>
      </c>
      <c r="H1056" s="8" t="s">
        <v>34</v>
      </c>
      <c r="I1056" s="11">
        <v>157265</v>
      </c>
      <c r="J1056" s="8" t="s">
        <v>1685</v>
      </c>
      <c r="K1056" s="8" t="s">
        <v>1686</v>
      </c>
      <c r="L1056" s="7">
        <v>2013</v>
      </c>
      <c r="M1056" s="8" t="s">
        <v>79</v>
      </c>
      <c r="N1056" s="11">
        <v>2257449</v>
      </c>
      <c r="O1056" s="8" t="s">
        <v>1690</v>
      </c>
      <c r="P1056" s="8" t="s">
        <v>1691</v>
      </c>
      <c r="Q1056" s="8"/>
      <c r="R1056" s="8"/>
    </row>
    <row r="1057" spans="1:18" ht="26.15" customHeight="1">
      <c r="A1057" s="7">
        <v>1051</v>
      </c>
      <c r="B1057" s="8" t="s">
        <v>4200</v>
      </c>
      <c r="C1057" s="8" t="s">
        <v>3127</v>
      </c>
      <c r="D1057" s="8"/>
      <c r="E1057" s="8" t="s">
        <v>3128</v>
      </c>
      <c r="F1057" s="9" t="s">
        <v>3123</v>
      </c>
      <c r="G1057" s="10">
        <v>43127</v>
      </c>
      <c r="H1057" s="8" t="s">
        <v>34</v>
      </c>
      <c r="I1057" s="11">
        <v>157265</v>
      </c>
      <c r="J1057" s="8" t="s">
        <v>1685</v>
      </c>
      <c r="K1057" s="8" t="s">
        <v>1686</v>
      </c>
      <c r="L1057" s="7">
        <v>2013</v>
      </c>
      <c r="M1057" s="8" t="s">
        <v>79</v>
      </c>
      <c r="N1057" s="11">
        <v>2257449</v>
      </c>
      <c r="O1057" s="8" t="s">
        <v>1690</v>
      </c>
      <c r="P1057" s="8" t="s">
        <v>1691</v>
      </c>
      <c r="Q1057" s="8"/>
      <c r="R1057" s="8"/>
    </row>
    <row r="1058" spans="1:18" ht="26.15" customHeight="1">
      <c r="A1058" s="7">
        <v>1052</v>
      </c>
      <c r="B1058" s="8" t="s">
        <v>4201</v>
      </c>
      <c r="C1058" s="8" t="s">
        <v>3127</v>
      </c>
      <c r="D1058" s="8"/>
      <c r="E1058" s="8" t="s">
        <v>3128</v>
      </c>
      <c r="F1058" s="9" t="s">
        <v>3123</v>
      </c>
      <c r="G1058" s="10">
        <v>43127</v>
      </c>
      <c r="H1058" s="8" t="s">
        <v>34</v>
      </c>
      <c r="I1058" s="11">
        <v>157265</v>
      </c>
      <c r="J1058" s="8" t="s">
        <v>1685</v>
      </c>
      <c r="K1058" s="8" t="s">
        <v>1686</v>
      </c>
      <c r="L1058" s="7">
        <v>2013</v>
      </c>
      <c r="M1058" s="8" t="s">
        <v>79</v>
      </c>
      <c r="N1058" s="11">
        <v>2257449</v>
      </c>
      <c r="O1058" s="8" t="s">
        <v>1690</v>
      </c>
      <c r="P1058" s="8" t="s">
        <v>1691</v>
      </c>
      <c r="Q1058" s="8"/>
      <c r="R1058" s="8"/>
    </row>
    <row r="1059" spans="1:18" ht="26.15" customHeight="1">
      <c r="A1059" s="7">
        <v>1053</v>
      </c>
      <c r="B1059" s="8" t="s">
        <v>4202</v>
      </c>
      <c r="C1059" s="8" t="s">
        <v>3127</v>
      </c>
      <c r="D1059" s="8"/>
      <c r="E1059" s="8" t="s">
        <v>3128</v>
      </c>
      <c r="F1059" s="9" t="s">
        <v>3123</v>
      </c>
      <c r="G1059" s="10">
        <v>43127</v>
      </c>
      <c r="H1059" s="8" t="s">
        <v>34</v>
      </c>
      <c r="I1059" s="11">
        <v>157265</v>
      </c>
      <c r="J1059" s="8" t="s">
        <v>1685</v>
      </c>
      <c r="K1059" s="8" t="s">
        <v>1686</v>
      </c>
      <c r="L1059" s="7">
        <v>2013</v>
      </c>
      <c r="M1059" s="8" t="s">
        <v>79</v>
      </c>
      <c r="N1059" s="11">
        <v>2257449</v>
      </c>
      <c r="O1059" s="8" t="s">
        <v>1690</v>
      </c>
      <c r="P1059" s="8" t="s">
        <v>1691</v>
      </c>
      <c r="Q1059" s="8"/>
      <c r="R1059" s="8"/>
    </row>
    <row r="1060" spans="1:18" ht="26.15" customHeight="1">
      <c r="A1060" s="7">
        <v>1054</v>
      </c>
      <c r="B1060" s="8" t="s">
        <v>1831</v>
      </c>
      <c r="C1060" s="8"/>
      <c r="D1060" s="8" t="s">
        <v>3567</v>
      </c>
      <c r="E1060" s="8" t="s">
        <v>3116</v>
      </c>
      <c r="F1060" s="9" t="s">
        <v>3117</v>
      </c>
      <c r="G1060" s="10">
        <v>43124</v>
      </c>
      <c r="H1060" s="8" t="s">
        <v>25</v>
      </c>
      <c r="I1060" s="11">
        <v>137976</v>
      </c>
      <c r="J1060" s="8" t="s">
        <v>96</v>
      </c>
      <c r="K1060" s="8" t="s">
        <v>97</v>
      </c>
      <c r="L1060" s="7">
        <v>2015</v>
      </c>
      <c r="M1060" s="8" t="s">
        <v>79</v>
      </c>
      <c r="N1060" s="11">
        <v>163285834</v>
      </c>
      <c r="O1060" s="8" t="s">
        <v>100</v>
      </c>
      <c r="P1060" s="8" t="s">
        <v>101</v>
      </c>
      <c r="Q1060" s="8"/>
      <c r="R1060" s="8" t="s">
        <v>128</v>
      </c>
    </row>
    <row r="1061" spans="1:18" ht="26.15" customHeight="1">
      <c r="A1061" s="7">
        <v>1055</v>
      </c>
      <c r="B1061" s="8" t="s">
        <v>4203</v>
      </c>
      <c r="C1061" s="8"/>
      <c r="D1061" s="8" t="s">
        <v>4204</v>
      </c>
      <c r="E1061" s="8" t="s">
        <v>3116</v>
      </c>
      <c r="F1061" s="9" t="s">
        <v>3117</v>
      </c>
      <c r="G1061" s="10">
        <v>43122</v>
      </c>
      <c r="H1061" s="8" t="s">
        <v>25</v>
      </c>
      <c r="I1061" s="11">
        <v>36000000</v>
      </c>
      <c r="J1061" s="8" t="s">
        <v>1544</v>
      </c>
      <c r="K1061" s="8" t="s">
        <v>1545</v>
      </c>
      <c r="L1061" s="7">
        <v>2015</v>
      </c>
      <c r="M1061" s="8" t="s">
        <v>1528</v>
      </c>
      <c r="N1061" s="11">
        <v>62610600</v>
      </c>
      <c r="O1061" s="8" t="s">
        <v>1547</v>
      </c>
      <c r="P1061" s="8" t="s">
        <v>1416</v>
      </c>
      <c r="Q1061" s="8"/>
      <c r="R1061" s="8" t="s">
        <v>1732</v>
      </c>
    </row>
    <row r="1062" spans="1:18" ht="26.15" customHeight="1">
      <c r="A1062" s="7">
        <v>1056</v>
      </c>
      <c r="B1062" s="8" t="s">
        <v>2531</v>
      </c>
      <c r="C1062" s="8" t="s">
        <v>3114</v>
      </c>
      <c r="D1062" s="8" t="s">
        <v>3635</v>
      </c>
      <c r="E1062" s="8" t="s">
        <v>3116</v>
      </c>
      <c r="F1062" s="9" t="s">
        <v>3123</v>
      </c>
      <c r="G1062" s="10">
        <v>43122</v>
      </c>
      <c r="H1062" s="8" t="s">
        <v>25</v>
      </c>
      <c r="I1062" s="11">
        <v>36000000</v>
      </c>
      <c r="J1062" s="8" t="s">
        <v>1544</v>
      </c>
      <c r="K1062" s="8" t="s">
        <v>1545</v>
      </c>
      <c r="L1062" s="7">
        <v>2015</v>
      </c>
      <c r="M1062" s="8" t="s">
        <v>1528</v>
      </c>
      <c r="N1062" s="11">
        <v>62610600</v>
      </c>
      <c r="O1062" s="8" t="s">
        <v>1547</v>
      </c>
      <c r="P1062" s="8" t="s">
        <v>1416</v>
      </c>
      <c r="Q1062" s="8"/>
      <c r="R1062" s="8" t="s">
        <v>1141</v>
      </c>
    </row>
    <row r="1063" spans="1:18" ht="26.15" customHeight="1">
      <c r="A1063" s="7">
        <v>1057</v>
      </c>
      <c r="B1063" s="8" t="s">
        <v>4205</v>
      </c>
      <c r="C1063" s="8" t="s">
        <v>3114</v>
      </c>
      <c r="D1063" s="8" t="s">
        <v>4206</v>
      </c>
      <c r="E1063" s="8" t="s">
        <v>3116</v>
      </c>
      <c r="F1063" s="9" t="s">
        <v>3123</v>
      </c>
      <c r="G1063" s="10">
        <v>43122</v>
      </c>
      <c r="H1063" s="8" t="s">
        <v>25</v>
      </c>
      <c r="I1063" s="11">
        <v>36000000</v>
      </c>
      <c r="J1063" s="8" t="s">
        <v>1544</v>
      </c>
      <c r="K1063" s="8" t="s">
        <v>1545</v>
      </c>
      <c r="L1063" s="7">
        <v>2015</v>
      </c>
      <c r="M1063" s="8" t="s">
        <v>1528</v>
      </c>
      <c r="N1063" s="11">
        <v>62610600</v>
      </c>
      <c r="O1063" s="8" t="s">
        <v>1547</v>
      </c>
      <c r="P1063" s="8" t="s">
        <v>1416</v>
      </c>
      <c r="Q1063" s="8"/>
      <c r="R1063" s="8" t="s">
        <v>1528</v>
      </c>
    </row>
    <row r="1064" spans="1:18" ht="26.15" customHeight="1">
      <c r="A1064" s="7">
        <v>1058</v>
      </c>
      <c r="B1064" s="8" t="s">
        <v>4207</v>
      </c>
      <c r="C1064" s="8" t="s">
        <v>3139</v>
      </c>
      <c r="D1064" s="8" t="s">
        <v>4208</v>
      </c>
      <c r="E1064" s="8" t="s">
        <v>3116</v>
      </c>
      <c r="F1064" s="9" t="s">
        <v>3117</v>
      </c>
      <c r="G1064" s="10">
        <v>43122</v>
      </c>
      <c r="H1064" s="8" t="s">
        <v>25</v>
      </c>
      <c r="I1064" s="11">
        <v>36000000</v>
      </c>
      <c r="J1064" s="8" t="s">
        <v>1544</v>
      </c>
      <c r="K1064" s="8" t="s">
        <v>1545</v>
      </c>
      <c r="L1064" s="7">
        <v>2015</v>
      </c>
      <c r="M1064" s="8" t="s">
        <v>1528</v>
      </c>
      <c r="N1064" s="11">
        <v>62610600</v>
      </c>
      <c r="O1064" s="8" t="s">
        <v>1547</v>
      </c>
      <c r="P1064" s="8" t="s">
        <v>1416</v>
      </c>
      <c r="Q1064" s="8"/>
      <c r="R1064" s="8" t="s">
        <v>4209</v>
      </c>
    </row>
    <row r="1065" spans="1:18" ht="26.15" customHeight="1">
      <c r="A1065" s="7">
        <v>1059</v>
      </c>
      <c r="B1065" s="8" t="s">
        <v>644</v>
      </c>
      <c r="C1065" s="8" t="s">
        <v>3114</v>
      </c>
      <c r="D1065" s="8" t="s">
        <v>3162</v>
      </c>
      <c r="E1065" s="8" t="s">
        <v>3116</v>
      </c>
      <c r="F1065" s="9" t="s">
        <v>3117</v>
      </c>
      <c r="G1065" s="10">
        <v>43122</v>
      </c>
      <c r="H1065" s="8" t="s">
        <v>109</v>
      </c>
      <c r="I1065" s="11">
        <v>782154</v>
      </c>
      <c r="J1065" s="8" t="s">
        <v>641</v>
      </c>
      <c r="K1065" s="8" t="s">
        <v>642</v>
      </c>
      <c r="L1065" s="7">
        <v>2009</v>
      </c>
      <c r="M1065" s="8" t="s">
        <v>47</v>
      </c>
      <c r="N1065" s="11">
        <v>10590520</v>
      </c>
      <c r="O1065" s="8" t="s">
        <v>645</v>
      </c>
      <c r="P1065" s="8" t="s">
        <v>646</v>
      </c>
      <c r="Q1065" s="8"/>
      <c r="R1065" s="8" t="s">
        <v>313</v>
      </c>
    </row>
    <row r="1066" spans="1:18" ht="26.15" customHeight="1">
      <c r="A1066" s="7">
        <v>1060</v>
      </c>
      <c r="B1066" s="8" t="s">
        <v>588</v>
      </c>
      <c r="C1066" s="8" t="s">
        <v>3114</v>
      </c>
      <c r="D1066" s="8" t="s">
        <v>3504</v>
      </c>
      <c r="E1066" s="8" t="s">
        <v>3116</v>
      </c>
      <c r="F1066" s="9" t="s">
        <v>3123</v>
      </c>
      <c r="G1066" s="10">
        <v>43122</v>
      </c>
      <c r="H1066" s="8" t="s">
        <v>34</v>
      </c>
      <c r="I1066" s="11">
        <v>1876540</v>
      </c>
      <c r="J1066" s="8" t="s">
        <v>1834</v>
      </c>
      <c r="K1066" s="8" t="s">
        <v>1835</v>
      </c>
      <c r="L1066" s="7">
        <v>2015</v>
      </c>
      <c r="M1066" s="8" t="s">
        <v>1836</v>
      </c>
      <c r="N1066" s="11">
        <v>1875400</v>
      </c>
      <c r="O1066" s="8" t="s">
        <v>1616</v>
      </c>
      <c r="P1066" s="8" t="s">
        <v>294</v>
      </c>
      <c r="Q1066" s="8"/>
      <c r="R1066" s="8" t="s">
        <v>3220</v>
      </c>
    </row>
    <row r="1067" spans="1:18" ht="26.15" customHeight="1">
      <c r="A1067" s="7">
        <v>1061</v>
      </c>
      <c r="B1067" s="8" t="s">
        <v>1842</v>
      </c>
      <c r="C1067" s="8" t="s">
        <v>3139</v>
      </c>
      <c r="D1067" s="8" t="s">
        <v>4210</v>
      </c>
      <c r="E1067" s="8" t="s">
        <v>3116</v>
      </c>
      <c r="F1067" s="9" t="s">
        <v>3117</v>
      </c>
      <c r="G1067" s="10">
        <v>43112</v>
      </c>
      <c r="H1067" s="8" t="s">
        <v>109</v>
      </c>
      <c r="I1067" s="11">
        <v>50229</v>
      </c>
      <c r="J1067" s="8" t="s">
        <v>303</v>
      </c>
      <c r="K1067" s="8" t="s">
        <v>304</v>
      </c>
      <c r="L1067" s="7">
        <v>2011</v>
      </c>
      <c r="M1067" s="8" t="s">
        <v>79</v>
      </c>
      <c r="N1067" s="11">
        <v>19009146</v>
      </c>
      <c r="O1067" s="8" t="s">
        <v>306</v>
      </c>
      <c r="P1067" s="8" t="s">
        <v>307</v>
      </c>
      <c r="Q1067" s="8"/>
      <c r="R1067" s="8" t="s">
        <v>3156</v>
      </c>
    </row>
    <row r="1068" spans="1:18" ht="26.15" customHeight="1">
      <c r="A1068" s="7">
        <v>1062</v>
      </c>
      <c r="B1068" s="8" t="s">
        <v>1844</v>
      </c>
      <c r="C1068" s="8" t="s">
        <v>3114</v>
      </c>
      <c r="D1068" s="8" t="s">
        <v>4211</v>
      </c>
      <c r="E1068" s="8" t="s">
        <v>3116</v>
      </c>
      <c r="F1068" s="9" t="s">
        <v>3117</v>
      </c>
      <c r="G1068" s="10">
        <v>43111</v>
      </c>
      <c r="H1068" s="8" t="s">
        <v>34</v>
      </c>
      <c r="I1068" s="11" t="s">
        <v>50</v>
      </c>
      <c r="J1068" s="8" t="s">
        <v>1312</v>
      </c>
      <c r="K1068" s="8" t="s">
        <v>1313</v>
      </c>
      <c r="L1068" s="7">
        <v>2013</v>
      </c>
      <c r="M1068" s="8" t="s">
        <v>704</v>
      </c>
      <c r="N1068" s="11"/>
      <c r="O1068" s="8" t="s">
        <v>1315</v>
      </c>
      <c r="P1068" s="8" t="s">
        <v>1316</v>
      </c>
      <c r="Q1068" s="8"/>
      <c r="R1068" s="8" t="s">
        <v>4212</v>
      </c>
    </row>
    <row r="1069" spans="1:18" ht="26.15" customHeight="1">
      <c r="A1069" s="7">
        <v>1063</v>
      </c>
      <c r="B1069" s="8" t="s">
        <v>1072</v>
      </c>
      <c r="C1069" s="8" t="s">
        <v>3114</v>
      </c>
      <c r="D1069" s="8" t="s">
        <v>3658</v>
      </c>
      <c r="E1069" s="8" t="s">
        <v>3116</v>
      </c>
      <c r="F1069" s="9" t="s">
        <v>3117</v>
      </c>
      <c r="G1069" s="10">
        <v>43111</v>
      </c>
      <c r="H1069" s="8" t="s">
        <v>627</v>
      </c>
      <c r="I1069" s="11">
        <v>450000000</v>
      </c>
      <c r="J1069" s="8" t="s">
        <v>1411</v>
      </c>
      <c r="K1069" s="8" t="s">
        <v>1412</v>
      </c>
      <c r="L1069" s="7">
        <v>2014</v>
      </c>
      <c r="M1069" s="8" t="s">
        <v>278</v>
      </c>
      <c r="N1069" s="11">
        <v>1303000000</v>
      </c>
      <c r="O1069" s="8" t="s">
        <v>1415</v>
      </c>
      <c r="P1069" s="8" t="s">
        <v>1416</v>
      </c>
      <c r="Q1069" s="8"/>
      <c r="R1069" s="8" t="s">
        <v>3145</v>
      </c>
    </row>
    <row r="1070" spans="1:18" ht="26.15" customHeight="1">
      <c r="A1070" s="7">
        <v>1064</v>
      </c>
      <c r="B1070" s="8" t="s">
        <v>4213</v>
      </c>
      <c r="C1070" s="8" t="s">
        <v>3114</v>
      </c>
      <c r="D1070" s="8" t="s">
        <v>4214</v>
      </c>
      <c r="E1070" s="8" t="s">
        <v>3116</v>
      </c>
      <c r="F1070" s="9" t="s">
        <v>3123</v>
      </c>
      <c r="G1070" s="10">
        <v>43111</v>
      </c>
      <c r="H1070" s="8" t="s">
        <v>627</v>
      </c>
      <c r="I1070" s="11">
        <v>450000000</v>
      </c>
      <c r="J1070" s="8" t="s">
        <v>1411</v>
      </c>
      <c r="K1070" s="8" t="s">
        <v>1412</v>
      </c>
      <c r="L1070" s="7">
        <v>2014</v>
      </c>
      <c r="M1070" s="8" t="s">
        <v>278</v>
      </c>
      <c r="N1070" s="11">
        <v>1303000000</v>
      </c>
      <c r="O1070" s="8" t="s">
        <v>1415</v>
      </c>
      <c r="P1070" s="8" t="s">
        <v>1416</v>
      </c>
      <c r="Q1070" s="8"/>
      <c r="R1070" s="8" t="s">
        <v>278</v>
      </c>
    </row>
    <row r="1071" spans="1:18" ht="26.15" customHeight="1">
      <c r="A1071" s="7">
        <v>1065</v>
      </c>
      <c r="B1071" s="8" t="s">
        <v>4215</v>
      </c>
      <c r="C1071" s="8" t="s">
        <v>3127</v>
      </c>
      <c r="D1071" s="8"/>
      <c r="E1071" s="8" t="s">
        <v>3128</v>
      </c>
      <c r="F1071" s="9" t="s">
        <v>3123</v>
      </c>
      <c r="G1071" s="10">
        <v>43104</v>
      </c>
      <c r="H1071" s="8" t="s">
        <v>124</v>
      </c>
      <c r="I1071" s="11">
        <v>39403</v>
      </c>
      <c r="J1071" s="8" t="s">
        <v>1846</v>
      </c>
      <c r="K1071" s="8" t="s">
        <v>1847</v>
      </c>
      <c r="L1071" s="7">
        <v>2014</v>
      </c>
      <c r="M1071" s="8" t="s">
        <v>79</v>
      </c>
      <c r="N1071" s="11">
        <v>214702</v>
      </c>
      <c r="O1071" s="8" t="s">
        <v>1850</v>
      </c>
      <c r="P1071" s="8" t="s">
        <v>1851</v>
      </c>
      <c r="Q1071" s="8"/>
      <c r="R1071" s="8"/>
    </row>
    <row r="1072" spans="1:18" ht="26.15" customHeight="1">
      <c r="A1072" s="7">
        <v>1066</v>
      </c>
      <c r="B1072" s="8" t="s">
        <v>1849</v>
      </c>
      <c r="C1072" s="8" t="s">
        <v>3127</v>
      </c>
      <c r="D1072" s="8"/>
      <c r="E1072" s="8" t="s">
        <v>3128</v>
      </c>
      <c r="F1072" s="9" t="s">
        <v>3117</v>
      </c>
      <c r="G1072" s="10">
        <v>43104</v>
      </c>
      <c r="H1072" s="8" t="s">
        <v>124</v>
      </c>
      <c r="I1072" s="11">
        <v>39403</v>
      </c>
      <c r="J1072" s="8" t="s">
        <v>1846</v>
      </c>
      <c r="K1072" s="8" t="s">
        <v>1847</v>
      </c>
      <c r="L1072" s="7">
        <v>2014</v>
      </c>
      <c r="M1072" s="8" t="s">
        <v>79</v>
      </c>
      <c r="N1072" s="11">
        <v>214702</v>
      </c>
      <c r="O1072" s="8" t="s">
        <v>1850</v>
      </c>
      <c r="P1072" s="8" t="s">
        <v>1851</v>
      </c>
      <c r="Q1072" s="8"/>
      <c r="R1072" s="8"/>
    </row>
    <row r="1073" spans="1:18" ht="26.15" customHeight="1">
      <c r="A1073" s="7">
        <v>1067</v>
      </c>
      <c r="B1073" s="8" t="s">
        <v>2020</v>
      </c>
      <c r="C1073" s="8" t="s">
        <v>3127</v>
      </c>
      <c r="D1073" s="8"/>
      <c r="E1073" s="8" t="s">
        <v>3128</v>
      </c>
      <c r="F1073" s="9" t="s">
        <v>3123</v>
      </c>
      <c r="G1073" s="10">
        <v>43104</v>
      </c>
      <c r="H1073" s="8" t="s">
        <v>124</v>
      </c>
      <c r="I1073" s="11">
        <v>39403</v>
      </c>
      <c r="J1073" s="8" t="s">
        <v>1846</v>
      </c>
      <c r="K1073" s="8" t="s">
        <v>1847</v>
      </c>
      <c r="L1073" s="7">
        <v>2014</v>
      </c>
      <c r="M1073" s="8" t="s">
        <v>79</v>
      </c>
      <c r="N1073" s="11">
        <v>214702</v>
      </c>
      <c r="O1073" s="8" t="s">
        <v>1850</v>
      </c>
      <c r="P1073" s="8" t="s">
        <v>1851</v>
      </c>
      <c r="Q1073" s="8"/>
      <c r="R1073" s="8"/>
    </row>
    <row r="1074" spans="1:18" ht="26.15" customHeight="1">
      <c r="A1074" s="7">
        <v>1068</v>
      </c>
      <c r="B1074" s="8" t="s">
        <v>4216</v>
      </c>
      <c r="C1074" s="8" t="s">
        <v>3127</v>
      </c>
      <c r="D1074" s="8"/>
      <c r="E1074" s="8" t="s">
        <v>3128</v>
      </c>
      <c r="F1074" s="9" t="s">
        <v>3123</v>
      </c>
      <c r="G1074" s="10">
        <v>43104</v>
      </c>
      <c r="H1074" s="8" t="s">
        <v>124</v>
      </c>
      <c r="I1074" s="11">
        <v>39403</v>
      </c>
      <c r="J1074" s="8" t="s">
        <v>1846</v>
      </c>
      <c r="K1074" s="8" t="s">
        <v>1847</v>
      </c>
      <c r="L1074" s="7">
        <v>2014</v>
      </c>
      <c r="M1074" s="8" t="s">
        <v>79</v>
      </c>
      <c r="N1074" s="11">
        <v>214702</v>
      </c>
      <c r="O1074" s="8" t="s">
        <v>1850</v>
      </c>
      <c r="P1074" s="8" t="s">
        <v>1851</v>
      </c>
      <c r="Q1074" s="8"/>
      <c r="R1074" s="8"/>
    </row>
    <row r="1075" spans="1:18" ht="26.15" customHeight="1">
      <c r="A1075" s="7">
        <v>1069</v>
      </c>
      <c r="B1075" s="8" t="s">
        <v>4217</v>
      </c>
      <c r="C1075" s="8"/>
      <c r="D1075" s="8" t="s">
        <v>4218</v>
      </c>
      <c r="E1075" s="8" t="s">
        <v>3116</v>
      </c>
      <c r="F1075" s="9" t="s">
        <v>3123</v>
      </c>
      <c r="G1075" s="10">
        <v>43104</v>
      </c>
      <c r="H1075" s="8" t="s">
        <v>302</v>
      </c>
      <c r="I1075" s="11">
        <v>1500000</v>
      </c>
      <c r="J1075" s="8" t="s">
        <v>885</v>
      </c>
      <c r="K1075" s="8" t="s">
        <v>886</v>
      </c>
      <c r="L1075" s="7">
        <v>2013</v>
      </c>
      <c r="M1075" s="8" t="s">
        <v>369</v>
      </c>
      <c r="N1075" s="11">
        <v>30000000</v>
      </c>
      <c r="O1075" s="8" t="s">
        <v>889</v>
      </c>
      <c r="P1075" s="8" t="s">
        <v>890</v>
      </c>
      <c r="Q1075" s="8"/>
      <c r="R1075" s="8" t="s">
        <v>3357</v>
      </c>
    </row>
    <row r="1076" spans="1:18" ht="26.15" customHeight="1">
      <c r="A1076" s="7">
        <v>1070</v>
      </c>
      <c r="B1076" s="8" t="s">
        <v>3639</v>
      </c>
      <c r="C1076" s="8" t="s">
        <v>3114</v>
      </c>
      <c r="D1076" s="8" t="s">
        <v>3640</v>
      </c>
      <c r="E1076" s="8" t="s">
        <v>3116</v>
      </c>
      <c r="F1076" s="9" t="s">
        <v>3123</v>
      </c>
      <c r="G1076" s="10">
        <v>43099</v>
      </c>
      <c r="H1076" s="8" t="s">
        <v>184</v>
      </c>
      <c r="I1076" s="11" t="s">
        <v>50</v>
      </c>
      <c r="J1076" s="8" t="s">
        <v>1854</v>
      </c>
      <c r="K1076" s="8" t="s">
        <v>1855</v>
      </c>
      <c r="L1076" s="7">
        <v>2015</v>
      </c>
      <c r="M1076" s="8" t="s">
        <v>79</v>
      </c>
      <c r="N1076" s="11"/>
      <c r="O1076" s="8" t="s">
        <v>1856</v>
      </c>
      <c r="P1076" s="8" t="s">
        <v>1857</v>
      </c>
      <c r="Q1076" s="8"/>
      <c r="R1076" s="8" t="s">
        <v>79</v>
      </c>
    </row>
    <row r="1077" spans="1:18" ht="26.15" customHeight="1">
      <c r="A1077" s="7">
        <v>1071</v>
      </c>
      <c r="B1077" s="8" t="s">
        <v>3639</v>
      </c>
      <c r="C1077" s="8" t="s">
        <v>3114</v>
      </c>
      <c r="D1077" s="8" t="s">
        <v>3640</v>
      </c>
      <c r="E1077" s="8" t="s">
        <v>3116</v>
      </c>
      <c r="F1077" s="9" t="s">
        <v>3123</v>
      </c>
      <c r="G1077" s="10">
        <v>43099</v>
      </c>
      <c r="H1077" s="8" t="s">
        <v>184</v>
      </c>
      <c r="I1077" s="11" t="s">
        <v>50</v>
      </c>
      <c r="J1077" s="8" t="s">
        <v>1858</v>
      </c>
      <c r="K1077" s="8" t="s">
        <v>1859</v>
      </c>
      <c r="L1077" s="7">
        <v>2016</v>
      </c>
      <c r="M1077" s="8" t="s">
        <v>79</v>
      </c>
      <c r="N1077" s="11"/>
      <c r="O1077" s="8" t="s">
        <v>1860</v>
      </c>
      <c r="P1077" s="8" t="s">
        <v>1861</v>
      </c>
      <c r="Q1077" s="8"/>
      <c r="R1077" s="8" t="s">
        <v>79</v>
      </c>
    </row>
    <row r="1078" spans="1:18" ht="26.15" customHeight="1">
      <c r="A1078" s="7">
        <v>1072</v>
      </c>
      <c r="B1078" s="8" t="s">
        <v>4219</v>
      </c>
      <c r="C1078" s="8" t="s">
        <v>3127</v>
      </c>
      <c r="D1078" s="8"/>
      <c r="E1078" s="8" t="s">
        <v>3128</v>
      </c>
      <c r="F1078" s="9" t="s">
        <v>3123</v>
      </c>
      <c r="G1078" s="10">
        <v>43090</v>
      </c>
      <c r="H1078" s="8" t="s">
        <v>124</v>
      </c>
      <c r="I1078" s="11">
        <v>976632</v>
      </c>
      <c r="J1078" s="8" t="s">
        <v>1754</v>
      </c>
      <c r="K1078" s="8" t="s">
        <v>1755</v>
      </c>
      <c r="L1078" s="7">
        <v>2013</v>
      </c>
      <c r="M1078" s="8" t="s">
        <v>313</v>
      </c>
      <c r="N1078" s="11">
        <v>1437605</v>
      </c>
      <c r="O1078" s="8" t="s">
        <v>1758</v>
      </c>
      <c r="P1078" s="8" t="s">
        <v>1759</v>
      </c>
      <c r="Q1078" s="8"/>
      <c r="R1078" s="8"/>
    </row>
    <row r="1079" spans="1:18" ht="26.15" customHeight="1">
      <c r="A1079" s="7">
        <v>1073</v>
      </c>
      <c r="B1079" s="8" t="s">
        <v>3798</v>
      </c>
      <c r="C1079" s="8" t="s">
        <v>3127</v>
      </c>
      <c r="D1079" s="8"/>
      <c r="E1079" s="8" t="s">
        <v>3128</v>
      </c>
      <c r="F1079" s="9" t="s">
        <v>3123</v>
      </c>
      <c r="G1079" s="10">
        <v>43090</v>
      </c>
      <c r="H1079" s="8" t="s">
        <v>124</v>
      </c>
      <c r="I1079" s="11">
        <v>976632</v>
      </c>
      <c r="J1079" s="8" t="s">
        <v>1754</v>
      </c>
      <c r="K1079" s="8" t="s">
        <v>1755</v>
      </c>
      <c r="L1079" s="7">
        <v>2013</v>
      </c>
      <c r="M1079" s="8" t="s">
        <v>313</v>
      </c>
      <c r="N1079" s="11">
        <v>1437605</v>
      </c>
      <c r="O1079" s="8" t="s">
        <v>1758</v>
      </c>
      <c r="P1079" s="8" t="s">
        <v>1759</v>
      </c>
      <c r="Q1079" s="8"/>
      <c r="R1079" s="8"/>
    </row>
    <row r="1080" spans="1:18" ht="26.15" customHeight="1">
      <c r="A1080" s="7">
        <v>1074</v>
      </c>
      <c r="B1080" s="8" t="s">
        <v>4220</v>
      </c>
      <c r="C1080" s="8" t="s">
        <v>3127</v>
      </c>
      <c r="D1080" s="8"/>
      <c r="E1080" s="8" t="s">
        <v>3128</v>
      </c>
      <c r="F1080" s="9" t="s">
        <v>3123</v>
      </c>
      <c r="G1080" s="10">
        <v>43090</v>
      </c>
      <c r="H1080" s="8" t="s">
        <v>124</v>
      </c>
      <c r="I1080" s="11">
        <v>976632</v>
      </c>
      <c r="J1080" s="8" t="s">
        <v>1754</v>
      </c>
      <c r="K1080" s="8" t="s">
        <v>1755</v>
      </c>
      <c r="L1080" s="7">
        <v>2013</v>
      </c>
      <c r="M1080" s="8" t="s">
        <v>313</v>
      </c>
      <c r="N1080" s="11">
        <v>1437605</v>
      </c>
      <c r="O1080" s="8" t="s">
        <v>1758</v>
      </c>
      <c r="P1080" s="8" t="s">
        <v>1759</v>
      </c>
      <c r="Q1080" s="8"/>
      <c r="R1080" s="8"/>
    </row>
    <row r="1081" spans="1:18" ht="26.15" customHeight="1">
      <c r="A1081" s="7">
        <v>1075</v>
      </c>
      <c r="B1081" s="8" t="s">
        <v>4221</v>
      </c>
      <c r="C1081" s="8" t="s">
        <v>3127</v>
      </c>
      <c r="D1081" s="8"/>
      <c r="E1081" s="8" t="s">
        <v>3128</v>
      </c>
      <c r="F1081" s="9" t="s">
        <v>3123</v>
      </c>
      <c r="G1081" s="10">
        <v>43090</v>
      </c>
      <c r="H1081" s="8" t="s">
        <v>124</v>
      </c>
      <c r="I1081" s="11">
        <v>976632</v>
      </c>
      <c r="J1081" s="8" t="s">
        <v>1754</v>
      </c>
      <c r="K1081" s="8" t="s">
        <v>1755</v>
      </c>
      <c r="L1081" s="7">
        <v>2013</v>
      </c>
      <c r="M1081" s="8" t="s">
        <v>313</v>
      </c>
      <c r="N1081" s="11">
        <v>1437605</v>
      </c>
      <c r="O1081" s="8" t="s">
        <v>1758</v>
      </c>
      <c r="P1081" s="8" t="s">
        <v>1759</v>
      </c>
      <c r="Q1081" s="8"/>
      <c r="R1081" s="8"/>
    </row>
    <row r="1082" spans="1:18" ht="26.15" customHeight="1">
      <c r="A1082" s="7">
        <v>1076</v>
      </c>
      <c r="B1082" s="8" t="s">
        <v>1864</v>
      </c>
      <c r="C1082" s="8" t="s">
        <v>3127</v>
      </c>
      <c r="D1082" s="8"/>
      <c r="E1082" s="8" t="s">
        <v>3128</v>
      </c>
      <c r="F1082" s="9" t="s">
        <v>3117</v>
      </c>
      <c r="G1082" s="10">
        <v>43090</v>
      </c>
      <c r="H1082" s="8" t="s">
        <v>124</v>
      </c>
      <c r="I1082" s="11">
        <v>976632</v>
      </c>
      <c r="J1082" s="8" t="s">
        <v>1754</v>
      </c>
      <c r="K1082" s="8" t="s">
        <v>1755</v>
      </c>
      <c r="L1082" s="7">
        <v>2013</v>
      </c>
      <c r="M1082" s="8" t="s">
        <v>313</v>
      </c>
      <c r="N1082" s="11">
        <v>1437605</v>
      </c>
      <c r="O1082" s="8" t="s">
        <v>1758</v>
      </c>
      <c r="P1082" s="8" t="s">
        <v>1759</v>
      </c>
      <c r="Q1082" s="8"/>
      <c r="R1082" s="8"/>
    </row>
    <row r="1083" spans="1:18" ht="26.15" customHeight="1">
      <c r="A1083" s="7">
        <v>1077</v>
      </c>
      <c r="B1083" s="8" t="s">
        <v>4222</v>
      </c>
      <c r="C1083" s="8" t="s">
        <v>3114</v>
      </c>
      <c r="D1083" s="8" t="s">
        <v>4223</v>
      </c>
      <c r="E1083" s="8" t="s">
        <v>3116</v>
      </c>
      <c r="F1083" s="9" t="s">
        <v>3123</v>
      </c>
      <c r="G1083" s="10">
        <v>43090</v>
      </c>
      <c r="H1083" s="8" t="s">
        <v>124</v>
      </c>
      <c r="I1083" s="11">
        <v>976632</v>
      </c>
      <c r="J1083" s="8" t="s">
        <v>1754</v>
      </c>
      <c r="K1083" s="8" t="s">
        <v>1755</v>
      </c>
      <c r="L1083" s="7">
        <v>2013</v>
      </c>
      <c r="M1083" s="8" t="s">
        <v>313</v>
      </c>
      <c r="N1083" s="11">
        <v>1437605</v>
      </c>
      <c r="O1083" s="8" t="s">
        <v>1758</v>
      </c>
      <c r="P1083" s="8" t="s">
        <v>1759</v>
      </c>
      <c r="Q1083" s="8"/>
      <c r="R1083" s="8" t="s">
        <v>313</v>
      </c>
    </row>
    <row r="1084" spans="1:18" ht="26.15" customHeight="1">
      <c r="A1084" s="7">
        <v>1078</v>
      </c>
      <c r="B1084" s="8" t="s">
        <v>4224</v>
      </c>
      <c r="C1084" s="8" t="s">
        <v>3127</v>
      </c>
      <c r="D1084" s="8"/>
      <c r="E1084" s="8" t="s">
        <v>3128</v>
      </c>
      <c r="F1084" s="9" t="s">
        <v>3123</v>
      </c>
      <c r="G1084" s="10">
        <v>43090</v>
      </c>
      <c r="H1084" s="8" t="s">
        <v>124</v>
      </c>
      <c r="I1084" s="11">
        <v>976632</v>
      </c>
      <c r="J1084" s="8" t="s">
        <v>1754</v>
      </c>
      <c r="K1084" s="8" t="s">
        <v>1755</v>
      </c>
      <c r="L1084" s="7">
        <v>2013</v>
      </c>
      <c r="M1084" s="8" t="s">
        <v>313</v>
      </c>
      <c r="N1084" s="11">
        <v>1437605</v>
      </c>
      <c r="O1084" s="8" t="s">
        <v>1758</v>
      </c>
      <c r="P1084" s="8" t="s">
        <v>1759</v>
      </c>
      <c r="Q1084" s="8"/>
      <c r="R1084" s="8"/>
    </row>
    <row r="1085" spans="1:18" ht="26.15" customHeight="1">
      <c r="A1085" s="7">
        <v>1079</v>
      </c>
      <c r="B1085" s="8" t="s">
        <v>798</v>
      </c>
      <c r="C1085" s="8" t="s">
        <v>3114</v>
      </c>
      <c r="D1085" s="8" t="s">
        <v>3581</v>
      </c>
      <c r="E1085" s="8" t="s">
        <v>3116</v>
      </c>
      <c r="F1085" s="9" t="s">
        <v>3117</v>
      </c>
      <c r="G1085" s="10">
        <v>43087</v>
      </c>
      <c r="H1085" s="8" t="s">
        <v>34</v>
      </c>
      <c r="I1085" s="11">
        <v>1000000</v>
      </c>
      <c r="J1085" s="8" t="s">
        <v>1147</v>
      </c>
      <c r="K1085" s="8" t="s">
        <v>1148</v>
      </c>
      <c r="L1085" s="7">
        <v>2016</v>
      </c>
      <c r="M1085" s="8" t="s">
        <v>1151</v>
      </c>
      <c r="N1085" s="11">
        <v>2000000</v>
      </c>
      <c r="O1085" s="8" t="s">
        <v>1152</v>
      </c>
      <c r="P1085" s="8" t="s">
        <v>1153</v>
      </c>
      <c r="Q1085" s="8"/>
      <c r="R1085" s="8" t="s">
        <v>3582</v>
      </c>
    </row>
    <row r="1086" spans="1:18" ht="26.15" customHeight="1">
      <c r="A1086" s="7">
        <v>1080</v>
      </c>
      <c r="B1086" s="8" t="s">
        <v>3868</v>
      </c>
      <c r="C1086" s="8" t="s">
        <v>3114</v>
      </c>
      <c r="D1086" s="8" t="s">
        <v>3869</v>
      </c>
      <c r="E1086" s="8" t="s">
        <v>3116</v>
      </c>
      <c r="F1086" s="9" t="s">
        <v>3117</v>
      </c>
      <c r="G1086" s="10">
        <v>43087</v>
      </c>
      <c r="H1086" s="8" t="s">
        <v>34</v>
      </c>
      <c r="I1086" s="11">
        <v>1000000</v>
      </c>
      <c r="J1086" s="8" t="s">
        <v>1147</v>
      </c>
      <c r="K1086" s="8" t="s">
        <v>1148</v>
      </c>
      <c r="L1086" s="7">
        <v>2016</v>
      </c>
      <c r="M1086" s="8" t="s">
        <v>1151</v>
      </c>
      <c r="N1086" s="11">
        <v>2000000</v>
      </c>
      <c r="O1086" s="8" t="s">
        <v>1152</v>
      </c>
      <c r="P1086" s="8" t="s">
        <v>1153</v>
      </c>
      <c r="Q1086" s="8"/>
      <c r="R1086" s="8" t="s">
        <v>3470</v>
      </c>
    </row>
    <row r="1087" spans="1:18" ht="26.15" customHeight="1">
      <c r="A1087" s="7">
        <v>1081</v>
      </c>
      <c r="B1087" s="8" t="s">
        <v>4225</v>
      </c>
      <c r="C1087" s="8" t="s">
        <v>3127</v>
      </c>
      <c r="D1087" s="8"/>
      <c r="E1087" s="8" t="s">
        <v>3128</v>
      </c>
      <c r="F1087" s="9" t="s">
        <v>3123</v>
      </c>
      <c r="G1087" s="10">
        <v>43087</v>
      </c>
      <c r="H1087" s="8" t="s">
        <v>34</v>
      </c>
      <c r="I1087" s="11">
        <v>1000000</v>
      </c>
      <c r="J1087" s="8" t="s">
        <v>1147</v>
      </c>
      <c r="K1087" s="8" t="s">
        <v>1148</v>
      </c>
      <c r="L1087" s="7">
        <v>2016</v>
      </c>
      <c r="M1087" s="8" t="s">
        <v>1151</v>
      </c>
      <c r="N1087" s="11">
        <v>2000000</v>
      </c>
      <c r="O1087" s="8" t="s">
        <v>1152</v>
      </c>
      <c r="P1087" s="8" t="s">
        <v>1153</v>
      </c>
      <c r="Q1087" s="8"/>
      <c r="R1087" s="8"/>
    </row>
    <row r="1088" spans="1:18" ht="26.15" customHeight="1">
      <c r="A1088" s="7">
        <v>1082</v>
      </c>
      <c r="B1088" s="8" t="s">
        <v>4226</v>
      </c>
      <c r="C1088" s="8" t="s">
        <v>3127</v>
      </c>
      <c r="D1088" s="8"/>
      <c r="E1088" s="8" t="s">
        <v>3128</v>
      </c>
      <c r="F1088" s="9" t="s">
        <v>3123</v>
      </c>
      <c r="G1088" s="10">
        <v>43087</v>
      </c>
      <c r="H1088" s="8" t="s">
        <v>34</v>
      </c>
      <c r="I1088" s="11">
        <v>1000000</v>
      </c>
      <c r="J1088" s="8" t="s">
        <v>1147</v>
      </c>
      <c r="K1088" s="8" t="s">
        <v>1148</v>
      </c>
      <c r="L1088" s="7">
        <v>2016</v>
      </c>
      <c r="M1088" s="8" t="s">
        <v>1151</v>
      </c>
      <c r="N1088" s="11">
        <v>2000000</v>
      </c>
      <c r="O1088" s="8" t="s">
        <v>1152</v>
      </c>
      <c r="P1088" s="8" t="s">
        <v>1153</v>
      </c>
      <c r="Q1088" s="8"/>
      <c r="R1088" s="8"/>
    </row>
    <row r="1089" spans="1:18" ht="26.15" customHeight="1">
      <c r="A1089" s="7">
        <v>1083</v>
      </c>
      <c r="B1089" s="8" t="s">
        <v>3739</v>
      </c>
      <c r="C1089" s="8" t="s">
        <v>3139</v>
      </c>
      <c r="D1089" s="8" t="s">
        <v>3740</v>
      </c>
      <c r="E1089" s="8" t="s">
        <v>3116</v>
      </c>
      <c r="F1089" s="9" t="s">
        <v>3117</v>
      </c>
      <c r="G1089" s="10">
        <v>43087</v>
      </c>
      <c r="H1089" s="8" t="s">
        <v>34</v>
      </c>
      <c r="I1089" s="11">
        <v>1000000</v>
      </c>
      <c r="J1089" s="8" t="s">
        <v>1147</v>
      </c>
      <c r="K1089" s="8" t="s">
        <v>1148</v>
      </c>
      <c r="L1089" s="7">
        <v>2016</v>
      </c>
      <c r="M1089" s="8" t="s">
        <v>1151</v>
      </c>
      <c r="N1089" s="11">
        <v>2000000</v>
      </c>
      <c r="O1089" s="8" t="s">
        <v>1152</v>
      </c>
      <c r="P1089" s="8" t="s">
        <v>1153</v>
      </c>
      <c r="Q1089" s="8"/>
      <c r="R1089" s="8" t="s">
        <v>3120</v>
      </c>
    </row>
    <row r="1090" spans="1:18" ht="26.15" customHeight="1">
      <c r="A1090" s="7">
        <v>1084</v>
      </c>
      <c r="B1090" s="8" t="s">
        <v>4227</v>
      </c>
      <c r="C1090" s="8" t="s">
        <v>3114</v>
      </c>
      <c r="D1090" s="8" t="s">
        <v>4228</v>
      </c>
      <c r="E1090" s="8" t="s">
        <v>3116</v>
      </c>
      <c r="F1090" s="9" t="s">
        <v>3117</v>
      </c>
      <c r="G1090" s="10">
        <v>43087</v>
      </c>
      <c r="H1090" s="8" t="s">
        <v>34</v>
      </c>
      <c r="I1090" s="11">
        <v>1000000</v>
      </c>
      <c r="J1090" s="8" t="s">
        <v>1147</v>
      </c>
      <c r="K1090" s="8" t="s">
        <v>1148</v>
      </c>
      <c r="L1090" s="7">
        <v>2016</v>
      </c>
      <c r="M1090" s="8" t="s">
        <v>1151</v>
      </c>
      <c r="N1090" s="11">
        <v>2000000</v>
      </c>
      <c r="O1090" s="8" t="s">
        <v>1152</v>
      </c>
      <c r="P1090" s="8" t="s">
        <v>1153</v>
      </c>
      <c r="Q1090" s="8"/>
      <c r="R1090" s="8" t="s">
        <v>3138</v>
      </c>
    </row>
    <row r="1091" spans="1:18" ht="26.15" customHeight="1">
      <c r="A1091" s="7">
        <v>1085</v>
      </c>
      <c r="B1091" s="8" t="s">
        <v>4229</v>
      </c>
      <c r="C1091" s="8" t="s">
        <v>3127</v>
      </c>
      <c r="D1091" s="8"/>
      <c r="E1091" s="8" t="s">
        <v>3128</v>
      </c>
      <c r="F1091" s="9" t="s">
        <v>3123</v>
      </c>
      <c r="G1091" s="10">
        <v>43087</v>
      </c>
      <c r="H1091" s="8" t="s">
        <v>34</v>
      </c>
      <c r="I1091" s="11">
        <v>1000000</v>
      </c>
      <c r="J1091" s="8" t="s">
        <v>1147</v>
      </c>
      <c r="K1091" s="8" t="s">
        <v>1148</v>
      </c>
      <c r="L1091" s="7">
        <v>2016</v>
      </c>
      <c r="M1091" s="8" t="s">
        <v>1151</v>
      </c>
      <c r="N1091" s="11">
        <v>2000000</v>
      </c>
      <c r="O1091" s="8" t="s">
        <v>1152</v>
      </c>
      <c r="P1091" s="8" t="s">
        <v>1153</v>
      </c>
      <c r="Q1091" s="8"/>
      <c r="R1091" s="8"/>
    </row>
    <row r="1092" spans="1:18" ht="26.15" customHeight="1">
      <c r="A1092" s="7">
        <v>1086</v>
      </c>
      <c r="B1092" s="8" t="s">
        <v>690</v>
      </c>
      <c r="C1092" s="8"/>
      <c r="D1092" s="8" t="s">
        <v>3540</v>
      </c>
      <c r="E1092" s="8" t="s">
        <v>3116</v>
      </c>
      <c r="F1092" s="9" t="s">
        <v>3117</v>
      </c>
      <c r="G1092" s="10">
        <v>43084</v>
      </c>
      <c r="H1092" s="8" t="s">
        <v>95</v>
      </c>
      <c r="I1092" s="11">
        <v>6269920</v>
      </c>
      <c r="J1092" s="8" t="s">
        <v>1868</v>
      </c>
      <c r="K1092" s="8" t="s">
        <v>1869</v>
      </c>
      <c r="L1092" s="7">
        <v>2003</v>
      </c>
      <c r="M1092" s="8" t="s">
        <v>121</v>
      </c>
      <c r="N1092" s="11">
        <v>11768115</v>
      </c>
      <c r="O1092" s="8" t="s">
        <v>1870</v>
      </c>
      <c r="P1092" s="8" t="s">
        <v>1871</v>
      </c>
      <c r="Q1092" s="8"/>
      <c r="R1092" s="8" t="s">
        <v>3269</v>
      </c>
    </row>
    <row r="1093" spans="1:18" ht="26.15" customHeight="1">
      <c r="A1093" s="7">
        <v>1087</v>
      </c>
      <c r="B1093" s="8" t="s">
        <v>3689</v>
      </c>
      <c r="C1093" s="8" t="s">
        <v>3114</v>
      </c>
      <c r="D1093" s="8" t="s">
        <v>3690</v>
      </c>
      <c r="E1093" s="8" t="s">
        <v>3116</v>
      </c>
      <c r="F1093" s="9" t="s">
        <v>3123</v>
      </c>
      <c r="G1093" s="10">
        <v>43081</v>
      </c>
      <c r="H1093" s="8" t="s">
        <v>184</v>
      </c>
      <c r="I1093" s="11">
        <v>30000</v>
      </c>
      <c r="J1093" s="8" t="s">
        <v>1873</v>
      </c>
      <c r="K1093" s="8" t="s">
        <v>1874</v>
      </c>
      <c r="L1093" s="7">
        <v>2016</v>
      </c>
      <c r="M1093" s="8" t="s">
        <v>299</v>
      </c>
      <c r="N1093" s="11"/>
      <c r="O1093" s="8" t="s">
        <v>376</v>
      </c>
      <c r="P1093" s="8" t="s">
        <v>1875</v>
      </c>
      <c r="Q1093" s="8"/>
      <c r="R1093" s="8" t="s">
        <v>299</v>
      </c>
    </row>
    <row r="1094" spans="1:18" ht="26.15" customHeight="1">
      <c r="A1094" s="7">
        <v>1088</v>
      </c>
      <c r="B1094" s="8" t="s">
        <v>3689</v>
      </c>
      <c r="C1094" s="8" t="s">
        <v>3114</v>
      </c>
      <c r="D1094" s="8" t="s">
        <v>3690</v>
      </c>
      <c r="E1094" s="8" t="s">
        <v>3116</v>
      </c>
      <c r="F1094" s="9" t="s">
        <v>3123</v>
      </c>
      <c r="G1094" s="10">
        <v>43081</v>
      </c>
      <c r="H1094" s="8" t="s">
        <v>184</v>
      </c>
      <c r="I1094" s="11">
        <v>30000</v>
      </c>
      <c r="J1094" s="8" t="s">
        <v>1876</v>
      </c>
      <c r="K1094" s="8" t="s">
        <v>1877</v>
      </c>
      <c r="L1094" s="7">
        <v>2016</v>
      </c>
      <c r="M1094" s="8" t="s">
        <v>1878</v>
      </c>
      <c r="N1094" s="11"/>
      <c r="O1094" s="8" t="s">
        <v>942</v>
      </c>
      <c r="P1094" s="8" t="s">
        <v>1879</v>
      </c>
      <c r="Q1094" s="8"/>
      <c r="R1094" s="8" t="s">
        <v>299</v>
      </c>
    </row>
    <row r="1095" spans="1:18" ht="26.15" customHeight="1">
      <c r="A1095" s="7">
        <v>1089</v>
      </c>
      <c r="B1095" s="8" t="s">
        <v>1712</v>
      </c>
      <c r="C1095" s="8" t="s">
        <v>3127</v>
      </c>
      <c r="D1095" s="8"/>
      <c r="E1095" s="8" t="s">
        <v>3128</v>
      </c>
      <c r="F1095" s="9" t="s">
        <v>3117</v>
      </c>
      <c r="G1095" s="10">
        <v>43081</v>
      </c>
      <c r="H1095" s="8" t="s">
        <v>124</v>
      </c>
      <c r="I1095" s="11">
        <v>7760</v>
      </c>
      <c r="J1095" s="8" t="s">
        <v>1126</v>
      </c>
      <c r="K1095" s="8" t="s">
        <v>1127</v>
      </c>
      <c r="L1095" s="7">
        <v>2013</v>
      </c>
      <c r="M1095" s="8" t="s">
        <v>47</v>
      </c>
      <c r="N1095" s="11">
        <v>264994</v>
      </c>
      <c r="O1095" s="8" t="s">
        <v>1130</v>
      </c>
      <c r="P1095" s="8" t="s">
        <v>968</v>
      </c>
      <c r="Q1095" s="8"/>
      <c r="R1095" s="8"/>
    </row>
    <row r="1096" spans="1:18" ht="26.15" customHeight="1">
      <c r="A1096" s="7">
        <v>1090</v>
      </c>
      <c r="B1096" s="8" t="s">
        <v>1609</v>
      </c>
      <c r="C1096" s="8" t="s">
        <v>3114</v>
      </c>
      <c r="D1096" s="8" t="s">
        <v>3544</v>
      </c>
      <c r="E1096" s="8" t="s">
        <v>3116</v>
      </c>
      <c r="F1096" s="9" t="s">
        <v>3123</v>
      </c>
      <c r="G1096" s="10">
        <v>43076</v>
      </c>
      <c r="H1096" s="8" t="s">
        <v>184</v>
      </c>
      <c r="I1096" s="11" t="s">
        <v>50</v>
      </c>
      <c r="J1096" s="8" t="s">
        <v>1880</v>
      </c>
      <c r="K1096" s="8" t="s">
        <v>1881</v>
      </c>
      <c r="L1096" s="7">
        <v>2015</v>
      </c>
      <c r="M1096" s="8" t="s">
        <v>1882</v>
      </c>
      <c r="N1096" s="11"/>
      <c r="O1096" s="8" t="s">
        <v>1883</v>
      </c>
      <c r="P1096" s="8" t="s">
        <v>1884</v>
      </c>
      <c r="Q1096" s="8"/>
      <c r="R1096" s="8" t="s">
        <v>3166</v>
      </c>
    </row>
    <row r="1097" spans="1:18" ht="26.15" customHeight="1">
      <c r="A1097" s="7">
        <v>1091</v>
      </c>
      <c r="B1097" s="8" t="s">
        <v>4230</v>
      </c>
      <c r="C1097" s="8" t="s">
        <v>3127</v>
      </c>
      <c r="D1097" s="8"/>
      <c r="E1097" s="8" t="s">
        <v>3128</v>
      </c>
      <c r="F1097" s="9" t="s">
        <v>3117</v>
      </c>
      <c r="G1097" s="10">
        <v>43075</v>
      </c>
      <c r="H1097" s="8" t="s">
        <v>124</v>
      </c>
      <c r="I1097" s="11">
        <v>69074</v>
      </c>
      <c r="J1097" s="8" t="s">
        <v>1885</v>
      </c>
      <c r="K1097" s="8" t="s">
        <v>1886</v>
      </c>
      <c r="L1097" s="7">
        <v>2013</v>
      </c>
      <c r="M1097" s="8" t="s">
        <v>79</v>
      </c>
      <c r="N1097" s="11">
        <v>133229</v>
      </c>
      <c r="O1097" s="8" t="s">
        <v>1889</v>
      </c>
      <c r="P1097" s="8" t="s">
        <v>1890</v>
      </c>
      <c r="Q1097" s="8"/>
      <c r="R1097" s="8"/>
    </row>
    <row r="1098" spans="1:18" ht="26.15" customHeight="1">
      <c r="A1098" s="7">
        <v>1092</v>
      </c>
      <c r="B1098" s="8" t="s">
        <v>4231</v>
      </c>
      <c r="C1098" s="8" t="s">
        <v>3127</v>
      </c>
      <c r="D1098" s="8"/>
      <c r="E1098" s="8" t="s">
        <v>3128</v>
      </c>
      <c r="F1098" s="9" t="s">
        <v>3117</v>
      </c>
      <c r="G1098" s="10">
        <v>43075</v>
      </c>
      <c r="H1098" s="8" t="s">
        <v>124</v>
      </c>
      <c r="I1098" s="11">
        <v>69074</v>
      </c>
      <c r="J1098" s="8" t="s">
        <v>1885</v>
      </c>
      <c r="K1098" s="8" t="s">
        <v>1886</v>
      </c>
      <c r="L1098" s="7">
        <v>2013</v>
      </c>
      <c r="M1098" s="8" t="s">
        <v>79</v>
      </c>
      <c r="N1098" s="11">
        <v>133229</v>
      </c>
      <c r="O1098" s="8" t="s">
        <v>1889</v>
      </c>
      <c r="P1098" s="8" t="s">
        <v>1890</v>
      </c>
      <c r="Q1098" s="8"/>
      <c r="R1098" s="8"/>
    </row>
    <row r="1099" spans="1:18" ht="26.15" customHeight="1">
      <c r="A1099" s="7">
        <v>1093</v>
      </c>
      <c r="B1099" s="8" t="s">
        <v>4232</v>
      </c>
      <c r="C1099" s="8" t="s">
        <v>3127</v>
      </c>
      <c r="D1099" s="8"/>
      <c r="E1099" s="8" t="s">
        <v>3128</v>
      </c>
      <c r="F1099" s="9" t="s">
        <v>3117</v>
      </c>
      <c r="G1099" s="10">
        <v>43075</v>
      </c>
      <c r="H1099" s="8" t="s">
        <v>124</v>
      </c>
      <c r="I1099" s="11">
        <v>69074</v>
      </c>
      <c r="J1099" s="8" t="s">
        <v>1885</v>
      </c>
      <c r="K1099" s="8" t="s">
        <v>1886</v>
      </c>
      <c r="L1099" s="7">
        <v>2013</v>
      </c>
      <c r="M1099" s="8" t="s">
        <v>79</v>
      </c>
      <c r="N1099" s="11">
        <v>133229</v>
      </c>
      <c r="O1099" s="8" t="s">
        <v>1889</v>
      </c>
      <c r="P1099" s="8" t="s">
        <v>1890</v>
      </c>
      <c r="Q1099" s="8"/>
      <c r="R1099" s="8"/>
    </row>
    <row r="1100" spans="1:18" ht="26.15" customHeight="1">
      <c r="A1100" s="7">
        <v>1094</v>
      </c>
      <c r="B1100" s="8" t="s">
        <v>4233</v>
      </c>
      <c r="C1100" s="8" t="s">
        <v>3127</v>
      </c>
      <c r="D1100" s="8"/>
      <c r="E1100" s="8" t="s">
        <v>3128</v>
      </c>
      <c r="F1100" s="9" t="s">
        <v>3117</v>
      </c>
      <c r="G1100" s="10">
        <v>43075</v>
      </c>
      <c r="H1100" s="8" t="s">
        <v>124</v>
      </c>
      <c r="I1100" s="11">
        <v>69074</v>
      </c>
      <c r="J1100" s="8" t="s">
        <v>1885</v>
      </c>
      <c r="K1100" s="8" t="s">
        <v>1886</v>
      </c>
      <c r="L1100" s="7">
        <v>2013</v>
      </c>
      <c r="M1100" s="8" t="s">
        <v>79</v>
      </c>
      <c r="N1100" s="11">
        <v>133229</v>
      </c>
      <c r="O1100" s="8" t="s">
        <v>1889</v>
      </c>
      <c r="P1100" s="8" t="s">
        <v>1890</v>
      </c>
      <c r="Q1100" s="8"/>
      <c r="R1100" s="8"/>
    </row>
    <row r="1101" spans="1:18" ht="26.15" customHeight="1">
      <c r="A1101" s="7">
        <v>1095</v>
      </c>
      <c r="B1101" s="8" t="s">
        <v>4234</v>
      </c>
      <c r="C1101" s="8" t="s">
        <v>3127</v>
      </c>
      <c r="D1101" s="8"/>
      <c r="E1101" s="8" t="s">
        <v>3128</v>
      </c>
      <c r="F1101" s="9" t="s">
        <v>3123</v>
      </c>
      <c r="G1101" s="10">
        <v>43075</v>
      </c>
      <c r="H1101" s="8" t="s">
        <v>124</v>
      </c>
      <c r="I1101" s="11">
        <v>69074</v>
      </c>
      <c r="J1101" s="8" t="s">
        <v>1885</v>
      </c>
      <c r="K1101" s="8" t="s">
        <v>1886</v>
      </c>
      <c r="L1101" s="7">
        <v>2013</v>
      </c>
      <c r="M1101" s="8" t="s">
        <v>79</v>
      </c>
      <c r="N1101" s="11">
        <v>133229</v>
      </c>
      <c r="O1101" s="8" t="s">
        <v>1889</v>
      </c>
      <c r="P1101" s="8" t="s">
        <v>1890</v>
      </c>
      <c r="Q1101" s="8"/>
      <c r="R1101" s="8"/>
    </row>
    <row r="1102" spans="1:18" ht="26.15" customHeight="1">
      <c r="A1102" s="7">
        <v>1096</v>
      </c>
      <c r="B1102" s="8" t="s">
        <v>4235</v>
      </c>
      <c r="C1102" s="8" t="s">
        <v>3127</v>
      </c>
      <c r="D1102" s="8"/>
      <c r="E1102" s="8" t="s">
        <v>3128</v>
      </c>
      <c r="F1102" s="9" t="s">
        <v>3123</v>
      </c>
      <c r="G1102" s="10">
        <v>43075</v>
      </c>
      <c r="H1102" s="8" t="s">
        <v>124</v>
      </c>
      <c r="I1102" s="11">
        <v>69074</v>
      </c>
      <c r="J1102" s="8" t="s">
        <v>1885</v>
      </c>
      <c r="K1102" s="8" t="s">
        <v>1886</v>
      </c>
      <c r="L1102" s="7">
        <v>2013</v>
      </c>
      <c r="M1102" s="8" t="s">
        <v>79</v>
      </c>
      <c r="N1102" s="11">
        <v>133229</v>
      </c>
      <c r="O1102" s="8" t="s">
        <v>1889</v>
      </c>
      <c r="P1102" s="8" t="s">
        <v>1890</v>
      </c>
      <c r="Q1102" s="8"/>
      <c r="R1102" s="8"/>
    </row>
    <row r="1103" spans="1:18" ht="26.15" customHeight="1">
      <c r="A1103" s="7">
        <v>1097</v>
      </c>
      <c r="B1103" s="8" t="s">
        <v>4236</v>
      </c>
      <c r="C1103" s="8" t="s">
        <v>3127</v>
      </c>
      <c r="D1103" s="8"/>
      <c r="E1103" s="8" t="s">
        <v>3128</v>
      </c>
      <c r="F1103" s="9" t="s">
        <v>3123</v>
      </c>
      <c r="G1103" s="10">
        <v>43075</v>
      </c>
      <c r="H1103" s="8" t="s">
        <v>124</v>
      </c>
      <c r="I1103" s="11">
        <v>69074</v>
      </c>
      <c r="J1103" s="8" t="s">
        <v>1885</v>
      </c>
      <c r="K1103" s="8" t="s">
        <v>1886</v>
      </c>
      <c r="L1103" s="7">
        <v>2013</v>
      </c>
      <c r="M1103" s="8" t="s">
        <v>79</v>
      </c>
      <c r="N1103" s="11">
        <v>133229</v>
      </c>
      <c r="O1103" s="8" t="s">
        <v>1889</v>
      </c>
      <c r="P1103" s="8" t="s">
        <v>1890</v>
      </c>
      <c r="Q1103" s="8"/>
      <c r="R1103" s="8"/>
    </row>
    <row r="1104" spans="1:18" ht="26.15" customHeight="1">
      <c r="A1104" s="7">
        <v>1098</v>
      </c>
      <c r="B1104" s="8" t="s">
        <v>4237</v>
      </c>
      <c r="C1104" s="8" t="s">
        <v>3127</v>
      </c>
      <c r="D1104" s="8"/>
      <c r="E1104" s="8" t="s">
        <v>3128</v>
      </c>
      <c r="F1104" s="9" t="s">
        <v>3123</v>
      </c>
      <c r="G1104" s="10">
        <v>43075</v>
      </c>
      <c r="H1104" s="8" t="s">
        <v>124</v>
      </c>
      <c r="I1104" s="11">
        <v>69074</v>
      </c>
      <c r="J1104" s="8" t="s">
        <v>1885</v>
      </c>
      <c r="K1104" s="8" t="s">
        <v>1886</v>
      </c>
      <c r="L1104" s="7">
        <v>2013</v>
      </c>
      <c r="M1104" s="8" t="s">
        <v>79</v>
      </c>
      <c r="N1104" s="11">
        <v>133229</v>
      </c>
      <c r="O1104" s="8" t="s">
        <v>1889</v>
      </c>
      <c r="P1104" s="8" t="s">
        <v>1890</v>
      </c>
      <c r="Q1104" s="8"/>
      <c r="R1104" s="8"/>
    </row>
    <row r="1105" spans="1:18" ht="26.15" customHeight="1">
      <c r="A1105" s="7">
        <v>1099</v>
      </c>
      <c r="B1105" s="8" t="s">
        <v>4238</v>
      </c>
      <c r="C1105" s="8" t="s">
        <v>3127</v>
      </c>
      <c r="D1105" s="8"/>
      <c r="E1105" s="8" t="s">
        <v>3128</v>
      </c>
      <c r="F1105" s="9" t="s">
        <v>3123</v>
      </c>
      <c r="G1105" s="10">
        <v>43075</v>
      </c>
      <c r="H1105" s="8" t="s">
        <v>124</v>
      </c>
      <c r="I1105" s="11">
        <v>69074</v>
      </c>
      <c r="J1105" s="8" t="s">
        <v>1885</v>
      </c>
      <c r="K1105" s="8" t="s">
        <v>1886</v>
      </c>
      <c r="L1105" s="7">
        <v>2013</v>
      </c>
      <c r="M1105" s="8" t="s">
        <v>79</v>
      </c>
      <c r="N1105" s="11">
        <v>133229</v>
      </c>
      <c r="O1105" s="8" t="s">
        <v>1889</v>
      </c>
      <c r="P1105" s="8" t="s">
        <v>1890</v>
      </c>
      <c r="Q1105" s="8"/>
      <c r="R1105" s="8"/>
    </row>
    <row r="1106" spans="1:18" ht="26.15" customHeight="1">
      <c r="A1106" s="7">
        <v>1100</v>
      </c>
      <c r="B1106" s="8" t="s">
        <v>4239</v>
      </c>
      <c r="C1106" s="8" t="s">
        <v>3127</v>
      </c>
      <c r="D1106" s="8"/>
      <c r="E1106" s="8" t="s">
        <v>3128</v>
      </c>
      <c r="F1106" s="9" t="s">
        <v>3123</v>
      </c>
      <c r="G1106" s="10">
        <v>43075</v>
      </c>
      <c r="H1106" s="8" t="s">
        <v>124</v>
      </c>
      <c r="I1106" s="11">
        <v>69074</v>
      </c>
      <c r="J1106" s="8" t="s">
        <v>1885</v>
      </c>
      <c r="K1106" s="8" t="s">
        <v>1886</v>
      </c>
      <c r="L1106" s="7">
        <v>2013</v>
      </c>
      <c r="M1106" s="8" t="s">
        <v>79</v>
      </c>
      <c r="N1106" s="11">
        <v>133229</v>
      </c>
      <c r="O1106" s="8" t="s">
        <v>1889</v>
      </c>
      <c r="P1106" s="8" t="s">
        <v>1890</v>
      </c>
      <c r="Q1106" s="8"/>
      <c r="R1106" s="8"/>
    </row>
    <row r="1107" spans="1:18" ht="26.15" customHeight="1">
      <c r="A1107" s="7">
        <v>1101</v>
      </c>
      <c r="B1107" s="8" t="s">
        <v>4240</v>
      </c>
      <c r="C1107" s="8" t="s">
        <v>3127</v>
      </c>
      <c r="D1107" s="8"/>
      <c r="E1107" s="8" t="s">
        <v>3128</v>
      </c>
      <c r="F1107" s="9" t="s">
        <v>3123</v>
      </c>
      <c r="G1107" s="10">
        <v>43075</v>
      </c>
      <c r="H1107" s="8" t="s">
        <v>124</v>
      </c>
      <c r="I1107" s="11">
        <v>69074</v>
      </c>
      <c r="J1107" s="8" t="s">
        <v>1885</v>
      </c>
      <c r="K1107" s="8" t="s">
        <v>1886</v>
      </c>
      <c r="L1107" s="7">
        <v>2013</v>
      </c>
      <c r="M1107" s="8" t="s">
        <v>79</v>
      </c>
      <c r="N1107" s="11">
        <v>133229</v>
      </c>
      <c r="O1107" s="8" t="s">
        <v>1889</v>
      </c>
      <c r="P1107" s="8" t="s">
        <v>1890</v>
      </c>
      <c r="Q1107" s="8"/>
      <c r="R1107" s="8"/>
    </row>
    <row r="1108" spans="1:18" ht="26.15" customHeight="1">
      <c r="A1108" s="7">
        <v>1102</v>
      </c>
      <c r="B1108" s="8" t="s">
        <v>4241</v>
      </c>
      <c r="C1108" s="8" t="s">
        <v>3127</v>
      </c>
      <c r="D1108" s="8"/>
      <c r="E1108" s="8" t="s">
        <v>3128</v>
      </c>
      <c r="F1108" s="9" t="s">
        <v>3123</v>
      </c>
      <c r="G1108" s="10">
        <v>43075</v>
      </c>
      <c r="H1108" s="8" t="s">
        <v>124</v>
      </c>
      <c r="I1108" s="11">
        <v>69074</v>
      </c>
      <c r="J1108" s="8" t="s">
        <v>1885</v>
      </c>
      <c r="K1108" s="8" t="s">
        <v>1886</v>
      </c>
      <c r="L1108" s="7">
        <v>2013</v>
      </c>
      <c r="M1108" s="8" t="s">
        <v>79</v>
      </c>
      <c r="N1108" s="11">
        <v>133229</v>
      </c>
      <c r="O1108" s="8" t="s">
        <v>1889</v>
      </c>
      <c r="P1108" s="8" t="s">
        <v>1890</v>
      </c>
      <c r="Q1108" s="8"/>
      <c r="R1108" s="8"/>
    </row>
    <row r="1109" spans="1:18" ht="26.15" customHeight="1">
      <c r="A1109" s="7">
        <v>1103</v>
      </c>
      <c r="B1109" s="8" t="s">
        <v>4242</v>
      </c>
      <c r="C1109" s="8" t="s">
        <v>3127</v>
      </c>
      <c r="D1109" s="8"/>
      <c r="E1109" s="8" t="s">
        <v>3128</v>
      </c>
      <c r="F1109" s="9" t="s">
        <v>3123</v>
      </c>
      <c r="G1109" s="10">
        <v>43075</v>
      </c>
      <c r="H1109" s="8" t="s">
        <v>124</v>
      </c>
      <c r="I1109" s="11">
        <v>69074</v>
      </c>
      <c r="J1109" s="8" t="s">
        <v>1885</v>
      </c>
      <c r="K1109" s="8" t="s">
        <v>1886</v>
      </c>
      <c r="L1109" s="7">
        <v>2013</v>
      </c>
      <c r="M1109" s="8" t="s">
        <v>79</v>
      </c>
      <c r="N1109" s="11">
        <v>133229</v>
      </c>
      <c r="O1109" s="8" t="s">
        <v>1889</v>
      </c>
      <c r="P1109" s="8" t="s">
        <v>1890</v>
      </c>
      <c r="Q1109" s="8"/>
      <c r="R1109" s="8"/>
    </row>
    <row r="1110" spans="1:18" ht="26.15" customHeight="1">
      <c r="A1110" s="7">
        <v>1104</v>
      </c>
      <c r="B1110" s="8" t="s">
        <v>3639</v>
      </c>
      <c r="C1110" s="8" t="s">
        <v>3114</v>
      </c>
      <c r="D1110" s="8" t="s">
        <v>3640</v>
      </c>
      <c r="E1110" s="8" t="s">
        <v>3116</v>
      </c>
      <c r="F1110" s="9" t="s">
        <v>3123</v>
      </c>
      <c r="G1110" s="10">
        <v>43070</v>
      </c>
      <c r="H1110" s="8" t="s">
        <v>184</v>
      </c>
      <c r="I1110" s="11" t="s">
        <v>50</v>
      </c>
      <c r="J1110" s="8" t="s">
        <v>1891</v>
      </c>
      <c r="K1110" s="8" t="s">
        <v>1892</v>
      </c>
      <c r="L1110" s="7">
        <v>2016</v>
      </c>
      <c r="M1110" s="8" t="s">
        <v>79</v>
      </c>
      <c r="N1110" s="11"/>
      <c r="O1110" s="8" t="s">
        <v>1893</v>
      </c>
      <c r="P1110" s="8" t="s">
        <v>1894</v>
      </c>
      <c r="Q1110" s="8"/>
      <c r="R1110" s="8" t="s">
        <v>79</v>
      </c>
    </row>
    <row r="1111" spans="1:18" ht="26.15" customHeight="1">
      <c r="A1111" s="7">
        <v>1105</v>
      </c>
      <c r="B1111" s="8" t="s">
        <v>1751</v>
      </c>
      <c r="C1111" s="8" t="s">
        <v>3114</v>
      </c>
      <c r="D1111" s="8" t="s">
        <v>4125</v>
      </c>
      <c r="E1111" s="8" t="s">
        <v>3116</v>
      </c>
      <c r="F1111" s="9" t="s">
        <v>3117</v>
      </c>
      <c r="G1111" s="10">
        <v>43070</v>
      </c>
      <c r="H1111" s="8" t="s">
        <v>109</v>
      </c>
      <c r="I1111" s="11">
        <v>10000000</v>
      </c>
      <c r="J1111" s="8" t="s">
        <v>1895</v>
      </c>
      <c r="K1111" s="8" t="s">
        <v>1896</v>
      </c>
      <c r="L1111" s="7">
        <v>2016</v>
      </c>
      <c r="M1111" s="8" t="s">
        <v>278</v>
      </c>
      <c r="N1111" s="11">
        <v>17346190</v>
      </c>
      <c r="O1111" s="8" t="s">
        <v>1898</v>
      </c>
      <c r="P1111" s="8" t="s">
        <v>1899</v>
      </c>
      <c r="Q1111" s="8"/>
      <c r="R1111" s="8" t="s">
        <v>1215</v>
      </c>
    </row>
    <row r="1112" spans="1:18" ht="26.15" customHeight="1">
      <c r="A1112" s="7">
        <v>1106</v>
      </c>
      <c r="B1112" s="8" t="s">
        <v>4088</v>
      </c>
      <c r="C1112" s="8" t="s">
        <v>3114</v>
      </c>
      <c r="D1112" s="8" t="s">
        <v>4089</v>
      </c>
      <c r="E1112" s="8" t="s">
        <v>3116</v>
      </c>
      <c r="F1112" s="9" t="s">
        <v>3123</v>
      </c>
      <c r="G1112" s="10">
        <v>43070</v>
      </c>
      <c r="H1112" s="8" t="s">
        <v>109</v>
      </c>
      <c r="I1112" s="11">
        <v>10000000</v>
      </c>
      <c r="J1112" s="8" t="s">
        <v>1895</v>
      </c>
      <c r="K1112" s="8" t="s">
        <v>1896</v>
      </c>
      <c r="L1112" s="7">
        <v>2016</v>
      </c>
      <c r="M1112" s="8" t="s">
        <v>278</v>
      </c>
      <c r="N1112" s="11">
        <v>17346190</v>
      </c>
      <c r="O1112" s="8" t="s">
        <v>1898</v>
      </c>
      <c r="P1112" s="8" t="s">
        <v>1899</v>
      </c>
      <c r="Q1112" s="8"/>
      <c r="R1112" s="8" t="s">
        <v>278</v>
      </c>
    </row>
    <row r="1113" spans="1:18" ht="26.15" customHeight="1">
      <c r="A1113" s="7">
        <v>1107</v>
      </c>
      <c r="B1113" s="8" t="s">
        <v>4243</v>
      </c>
      <c r="C1113" s="8" t="s">
        <v>3114</v>
      </c>
      <c r="D1113" s="8" t="s">
        <v>4244</v>
      </c>
      <c r="E1113" s="8" t="s">
        <v>3116</v>
      </c>
      <c r="F1113" s="9" t="s">
        <v>3123</v>
      </c>
      <c r="G1113" s="10">
        <v>43070</v>
      </c>
      <c r="H1113" s="8" t="s">
        <v>109</v>
      </c>
      <c r="I1113" s="11">
        <v>10000000</v>
      </c>
      <c r="J1113" s="8" t="s">
        <v>1895</v>
      </c>
      <c r="K1113" s="8" t="s">
        <v>1896</v>
      </c>
      <c r="L1113" s="7">
        <v>2016</v>
      </c>
      <c r="M1113" s="8" t="s">
        <v>278</v>
      </c>
      <c r="N1113" s="11">
        <v>17346190</v>
      </c>
      <c r="O1113" s="8" t="s">
        <v>1898</v>
      </c>
      <c r="P1113" s="8" t="s">
        <v>1899</v>
      </c>
      <c r="Q1113" s="8"/>
      <c r="R1113" s="8" t="s">
        <v>3148</v>
      </c>
    </row>
    <row r="1114" spans="1:18" ht="26.15" customHeight="1">
      <c r="A1114" s="7">
        <v>1108</v>
      </c>
      <c r="B1114" s="8" t="s">
        <v>2301</v>
      </c>
      <c r="C1114" s="8" t="s">
        <v>3114</v>
      </c>
      <c r="D1114" s="8" t="s">
        <v>4245</v>
      </c>
      <c r="E1114" s="8" t="s">
        <v>3116</v>
      </c>
      <c r="F1114" s="9" t="s">
        <v>3123</v>
      </c>
      <c r="G1114" s="10">
        <v>43070</v>
      </c>
      <c r="H1114" s="8" t="s">
        <v>109</v>
      </c>
      <c r="I1114" s="11">
        <v>10000000</v>
      </c>
      <c r="J1114" s="8" t="s">
        <v>1895</v>
      </c>
      <c r="K1114" s="8" t="s">
        <v>1896</v>
      </c>
      <c r="L1114" s="7">
        <v>2016</v>
      </c>
      <c r="M1114" s="8" t="s">
        <v>278</v>
      </c>
      <c r="N1114" s="11">
        <v>17346190</v>
      </c>
      <c r="O1114" s="8" t="s">
        <v>1898</v>
      </c>
      <c r="P1114" s="8" t="s">
        <v>1899</v>
      </c>
      <c r="Q1114" s="8"/>
      <c r="R1114" s="8" t="s">
        <v>1732</v>
      </c>
    </row>
    <row r="1115" spans="1:18" ht="26.15" customHeight="1">
      <c r="A1115" s="7">
        <v>1109</v>
      </c>
      <c r="B1115" s="8" t="s">
        <v>4246</v>
      </c>
      <c r="C1115" s="8" t="s">
        <v>3114</v>
      </c>
      <c r="D1115" s="8" t="s">
        <v>4247</v>
      </c>
      <c r="E1115" s="8" t="s">
        <v>3116</v>
      </c>
      <c r="F1115" s="9" t="s">
        <v>3123</v>
      </c>
      <c r="G1115" s="10">
        <v>43070</v>
      </c>
      <c r="H1115" s="8" t="s">
        <v>109</v>
      </c>
      <c r="I1115" s="11">
        <v>10000000</v>
      </c>
      <c r="J1115" s="8" t="s">
        <v>1895</v>
      </c>
      <c r="K1115" s="8" t="s">
        <v>1896</v>
      </c>
      <c r="L1115" s="7">
        <v>2016</v>
      </c>
      <c r="M1115" s="8" t="s">
        <v>278</v>
      </c>
      <c r="N1115" s="11">
        <v>17346190</v>
      </c>
      <c r="O1115" s="8" t="s">
        <v>1898</v>
      </c>
      <c r="P1115" s="8" t="s">
        <v>1899</v>
      </c>
      <c r="Q1115" s="8"/>
      <c r="R1115" s="8" t="s">
        <v>1732</v>
      </c>
    </row>
    <row r="1116" spans="1:18" ht="26.15" customHeight="1">
      <c r="A1116" s="7">
        <v>1110</v>
      </c>
      <c r="B1116" s="8" t="s">
        <v>2418</v>
      </c>
      <c r="C1116" s="8" t="s">
        <v>3114</v>
      </c>
      <c r="D1116" s="8" t="s">
        <v>4132</v>
      </c>
      <c r="E1116" s="8" t="s">
        <v>3116</v>
      </c>
      <c r="F1116" s="9" t="s">
        <v>3123</v>
      </c>
      <c r="G1116" s="10">
        <v>43070</v>
      </c>
      <c r="H1116" s="8" t="s">
        <v>109</v>
      </c>
      <c r="I1116" s="11">
        <v>10000000</v>
      </c>
      <c r="J1116" s="8" t="s">
        <v>1895</v>
      </c>
      <c r="K1116" s="8" t="s">
        <v>1896</v>
      </c>
      <c r="L1116" s="7">
        <v>2016</v>
      </c>
      <c r="M1116" s="8" t="s">
        <v>278</v>
      </c>
      <c r="N1116" s="11">
        <v>17346190</v>
      </c>
      <c r="O1116" s="8" t="s">
        <v>1898</v>
      </c>
      <c r="P1116" s="8" t="s">
        <v>1899</v>
      </c>
      <c r="Q1116" s="8"/>
      <c r="R1116" s="8" t="s">
        <v>278</v>
      </c>
    </row>
    <row r="1117" spans="1:18" ht="26.15" customHeight="1">
      <c r="A1117" s="7">
        <v>1111</v>
      </c>
      <c r="B1117" s="8" t="s">
        <v>881</v>
      </c>
      <c r="C1117" s="8" t="s">
        <v>3127</v>
      </c>
      <c r="D1117" s="8"/>
      <c r="E1117" s="8" t="s">
        <v>3128</v>
      </c>
      <c r="F1117" s="9" t="s">
        <v>3117</v>
      </c>
      <c r="G1117" s="10">
        <v>43069</v>
      </c>
      <c r="H1117" s="8" t="s">
        <v>124</v>
      </c>
      <c r="I1117" s="11">
        <v>69379</v>
      </c>
      <c r="J1117" s="8" t="s">
        <v>878</v>
      </c>
      <c r="K1117" s="8" t="s">
        <v>879</v>
      </c>
      <c r="L1117" s="7">
        <v>2015</v>
      </c>
      <c r="M1117" s="8" t="s">
        <v>56</v>
      </c>
      <c r="N1117" s="11">
        <v>9059375</v>
      </c>
      <c r="O1117" s="8" t="s">
        <v>883</v>
      </c>
      <c r="P1117" s="8" t="s">
        <v>884</v>
      </c>
      <c r="Q1117" s="8"/>
      <c r="R1117" s="8"/>
    </row>
    <row r="1118" spans="1:18" ht="26.15" customHeight="1">
      <c r="A1118" s="7">
        <v>1112</v>
      </c>
      <c r="B1118" s="8" t="s">
        <v>953</v>
      </c>
      <c r="C1118" s="8" t="s">
        <v>3114</v>
      </c>
      <c r="D1118" s="8" t="s">
        <v>3649</v>
      </c>
      <c r="E1118" s="8" t="s">
        <v>3116</v>
      </c>
      <c r="F1118" s="9" t="s">
        <v>3123</v>
      </c>
      <c r="G1118" s="10">
        <v>43067</v>
      </c>
      <c r="H1118" s="8" t="s">
        <v>34</v>
      </c>
      <c r="I1118" s="11" t="s">
        <v>50</v>
      </c>
      <c r="J1118" s="8" t="s">
        <v>1789</v>
      </c>
      <c r="K1118" s="8" t="s">
        <v>1790</v>
      </c>
      <c r="L1118" s="7">
        <v>2016</v>
      </c>
      <c r="M1118" s="8" t="s">
        <v>369</v>
      </c>
      <c r="N1118" s="11"/>
      <c r="O1118" s="8" t="s">
        <v>1792</v>
      </c>
      <c r="P1118" s="8" t="s">
        <v>1793</v>
      </c>
      <c r="Q1118" s="8"/>
      <c r="R1118" s="8" t="s">
        <v>173</v>
      </c>
    </row>
    <row r="1119" spans="1:18" ht="26.15" customHeight="1">
      <c r="A1119" s="7">
        <v>1113</v>
      </c>
      <c r="B1119" s="8" t="s">
        <v>4248</v>
      </c>
      <c r="C1119" s="8" t="s">
        <v>3139</v>
      </c>
      <c r="D1119" s="8" t="s">
        <v>4249</v>
      </c>
      <c r="E1119" s="8" t="s">
        <v>3116</v>
      </c>
      <c r="F1119" s="9" t="s">
        <v>3123</v>
      </c>
      <c r="G1119" s="10">
        <v>43066</v>
      </c>
      <c r="H1119" s="8" t="s">
        <v>34</v>
      </c>
      <c r="I1119" s="11">
        <v>1500000</v>
      </c>
      <c r="J1119" s="8" t="s">
        <v>1900</v>
      </c>
      <c r="K1119" s="8" t="s">
        <v>1901</v>
      </c>
      <c r="L1119" s="7">
        <v>2015</v>
      </c>
      <c r="M1119" s="8" t="s">
        <v>357</v>
      </c>
      <c r="N1119" s="11">
        <v>1500000</v>
      </c>
      <c r="O1119" s="8" t="s">
        <v>1903</v>
      </c>
      <c r="P1119" s="8" t="s">
        <v>1904</v>
      </c>
      <c r="Q1119" s="8"/>
      <c r="R1119" s="8" t="s">
        <v>4250</v>
      </c>
    </row>
    <row r="1120" spans="1:18" ht="26.15" customHeight="1">
      <c r="A1120" s="7">
        <v>1114</v>
      </c>
      <c r="B1120" s="8" t="s">
        <v>1908</v>
      </c>
      <c r="C1120" s="8" t="s">
        <v>3127</v>
      </c>
      <c r="D1120" s="8"/>
      <c r="E1120" s="8" t="s">
        <v>3128</v>
      </c>
      <c r="F1120" s="9" t="s">
        <v>3123</v>
      </c>
      <c r="G1120" s="10">
        <v>43063</v>
      </c>
      <c r="H1120" s="8" t="s">
        <v>34</v>
      </c>
      <c r="I1120" s="11">
        <v>57162</v>
      </c>
      <c r="J1120" s="8" t="s">
        <v>1905</v>
      </c>
      <c r="K1120" s="8" t="s">
        <v>1906</v>
      </c>
      <c r="L1120" s="7">
        <v>2016</v>
      </c>
      <c r="M1120" s="8" t="s">
        <v>79</v>
      </c>
      <c r="N1120" s="11">
        <v>57163</v>
      </c>
      <c r="O1120" s="8" t="s">
        <v>1910</v>
      </c>
      <c r="P1120" s="8" t="s">
        <v>1911</v>
      </c>
      <c r="Q1120" s="8"/>
      <c r="R1120" s="8"/>
    </row>
    <row r="1121" spans="1:18" ht="26.15" customHeight="1">
      <c r="A1121" s="7">
        <v>1115</v>
      </c>
      <c r="B1121" s="8" t="s">
        <v>653</v>
      </c>
      <c r="C1121" s="8" t="s">
        <v>3114</v>
      </c>
      <c r="D1121" s="8" t="s">
        <v>3532</v>
      </c>
      <c r="E1121" s="8" t="s">
        <v>3116</v>
      </c>
      <c r="F1121" s="9" t="s">
        <v>3123</v>
      </c>
      <c r="G1121" s="10">
        <v>43063</v>
      </c>
      <c r="H1121" s="8" t="s">
        <v>34</v>
      </c>
      <c r="I1121" s="11">
        <v>57162</v>
      </c>
      <c r="J1121" s="8" t="s">
        <v>1905</v>
      </c>
      <c r="K1121" s="8" t="s">
        <v>1906</v>
      </c>
      <c r="L1121" s="7">
        <v>2016</v>
      </c>
      <c r="M1121" s="8" t="s">
        <v>79</v>
      </c>
      <c r="N1121" s="11">
        <v>57163</v>
      </c>
      <c r="O1121" s="8" t="s">
        <v>1910</v>
      </c>
      <c r="P1121" s="8" t="s">
        <v>1911</v>
      </c>
      <c r="Q1121" s="8"/>
      <c r="R1121" s="8" t="s">
        <v>188</v>
      </c>
    </row>
    <row r="1122" spans="1:18" ht="26.15" customHeight="1">
      <c r="A1122" s="7">
        <v>1116</v>
      </c>
      <c r="B1122" s="8" t="s">
        <v>1909</v>
      </c>
      <c r="C1122" s="8" t="s">
        <v>3139</v>
      </c>
      <c r="D1122" s="8" t="s">
        <v>4251</v>
      </c>
      <c r="E1122" s="8" t="s">
        <v>3116</v>
      </c>
      <c r="F1122" s="9" t="s">
        <v>3117</v>
      </c>
      <c r="G1122" s="10">
        <v>43063</v>
      </c>
      <c r="H1122" s="8" t="s">
        <v>34</v>
      </c>
      <c r="I1122" s="11">
        <v>57162</v>
      </c>
      <c r="J1122" s="8" t="s">
        <v>1905</v>
      </c>
      <c r="K1122" s="8" t="s">
        <v>1906</v>
      </c>
      <c r="L1122" s="7">
        <v>2016</v>
      </c>
      <c r="M1122" s="8" t="s">
        <v>79</v>
      </c>
      <c r="N1122" s="11">
        <v>57163</v>
      </c>
      <c r="O1122" s="8" t="s">
        <v>1910</v>
      </c>
      <c r="P1122" s="8" t="s">
        <v>1911</v>
      </c>
      <c r="Q1122" s="8"/>
      <c r="R1122" s="8" t="s">
        <v>4252</v>
      </c>
    </row>
    <row r="1123" spans="1:18" ht="26.15" customHeight="1">
      <c r="A1123" s="7">
        <v>1117</v>
      </c>
      <c r="B1123" s="8" t="s">
        <v>4253</v>
      </c>
      <c r="C1123" s="8" t="s">
        <v>3127</v>
      </c>
      <c r="D1123" s="8"/>
      <c r="E1123" s="8" t="s">
        <v>3128</v>
      </c>
      <c r="F1123" s="9" t="s">
        <v>3117</v>
      </c>
      <c r="G1123" s="10">
        <v>43055</v>
      </c>
      <c r="H1123" s="8" t="s">
        <v>34</v>
      </c>
      <c r="I1123" s="11">
        <v>4500000</v>
      </c>
      <c r="J1123" s="8" t="s">
        <v>452</v>
      </c>
      <c r="K1123" s="8" t="s">
        <v>453</v>
      </c>
      <c r="L1123" s="7">
        <v>2016</v>
      </c>
      <c r="M1123" s="8" t="s">
        <v>455</v>
      </c>
      <c r="N1123" s="11">
        <v>28150000</v>
      </c>
      <c r="O1123" s="8" t="s">
        <v>456</v>
      </c>
      <c r="P1123" s="8" t="s">
        <v>457</v>
      </c>
      <c r="Q1123" s="8"/>
      <c r="R1123" s="8"/>
    </row>
    <row r="1124" spans="1:18" ht="26.15" customHeight="1">
      <c r="A1124" s="7">
        <v>1118</v>
      </c>
      <c r="B1124" s="8" t="s">
        <v>4254</v>
      </c>
      <c r="C1124" s="8" t="s">
        <v>3127</v>
      </c>
      <c r="D1124" s="8"/>
      <c r="E1124" s="8" t="s">
        <v>3128</v>
      </c>
      <c r="F1124" s="9" t="s">
        <v>3117</v>
      </c>
      <c r="G1124" s="10">
        <v>43055</v>
      </c>
      <c r="H1124" s="8" t="s">
        <v>34</v>
      </c>
      <c r="I1124" s="11">
        <v>4500000</v>
      </c>
      <c r="J1124" s="8" t="s">
        <v>452</v>
      </c>
      <c r="K1124" s="8" t="s">
        <v>453</v>
      </c>
      <c r="L1124" s="7">
        <v>2016</v>
      </c>
      <c r="M1124" s="8" t="s">
        <v>455</v>
      </c>
      <c r="N1124" s="11">
        <v>28150000</v>
      </c>
      <c r="O1124" s="8" t="s">
        <v>456</v>
      </c>
      <c r="P1124" s="8" t="s">
        <v>457</v>
      </c>
      <c r="Q1124" s="8"/>
      <c r="R1124" s="8"/>
    </row>
    <row r="1125" spans="1:18" ht="26.15" customHeight="1">
      <c r="A1125" s="7">
        <v>1119</v>
      </c>
      <c r="B1125" s="8" t="s">
        <v>4255</v>
      </c>
      <c r="C1125" s="8" t="s">
        <v>3114</v>
      </c>
      <c r="D1125" s="8" t="s">
        <v>4256</v>
      </c>
      <c r="E1125" s="8" t="s">
        <v>3116</v>
      </c>
      <c r="F1125" s="9" t="s">
        <v>3123</v>
      </c>
      <c r="G1125" s="10">
        <v>43048</v>
      </c>
      <c r="H1125" s="8" t="s">
        <v>34</v>
      </c>
      <c r="I1125" s="11"/>
      <c r="J1125" s="8" t="s">
        <v>1913</v>
      </c>
      <c r="K1125" s="8" t="s">
        <v>1914</v>
      </c>
      <c r="L1125" s="7">
        <v>2017</v>
      </c>
      <c r="M1125" s="8" t="s">
        <v>1916</v>
      </c>
      <c r="N1125" s="11"/>
      <c r="O1125" s="8" t="s">
        <v>1917</v>
      </c>
      <c r="P1125" s="8" t="s">
        <v>1918</v>
      </c>
      <c r="Q1125" s="8"/>
      <c r="R1125" s="8" t="s">
        <v>143</v>
      </c>
    </row>
    <row r="1126" spans="1:18" ht="26.15" customHeight="1">
      <c r="A1126" s="7">
        <v>1120</v>
      </c>
      <c r="B1126" s="8" t="s">
        <v>4257</v>
      </c>
      <c r="C1126" s="8" t="s">
        <v>3114</v>
      </c>
      <c r="D1126" s="8" t="s">
        <v>4258</v>
      </c>
      <c r="E1126" s="8" t="s">
        <v>3116</v>
      </c>
      <c r="F1126" s="9" t="s">
        <v>3117</v>
      </c>
      <c r="G1126" s="10">
        <v>43042</v>
      </c>
      <c r="H1126" s="8" t="s">
        <v>34</v>
      </c>
      <c r="I1126" s="11">
        <v>3071720</v>
      </c>
      <c r="J1126" s="8" t="s">
        <v>1919</v>
      </c>
      <c r="K1126" s="8" t="s">
        <v>1920</v>
      </c>
      <c r="L1126" s="7">
        <v>2014</v>
      </c>
      <c r="M1126" s="8" t="s">
        <v>313</v>
      </c>
      <c r="N1126" s="11">
        <v>3071720</v>
      </c>
      <c r="O1126" s="8" t="s">
        <v>1923</v>
      </c>
      <c r="P1126" s="8" t="s">
        <v>1924</v>
      </c>
      <c r="Q1126" s="8"/>
      <c r="R1126" s="8" t="s">
        <v>3269</v>
      </c>
    </row>
    <row r="1127" spans="1:18" ht="26.15" customHeight="1">
      <c r="A1127" s="7">
        <v>1121</v>
      </c>
      <c r="B1127" s="8" t="s">
        <v>2539</v>
      </c>
      <c r="C1127" s="8" t="s">
        <v>3114</v>
      </c>
      <c r="D1127" s="8" t="s">
        <v>3353</v>
      </c>
      <c r="E1127" s="8" t="s">
        <v>3116</v>
      </c>
      <c r="F1127" s="9" t="s">
        <v>3117</v>
      </c>
      <c r="G1127" s="10">
        <v>43042</v>
      </c>
      <c r="H1127" s="8" t="s">
        <v>34</v>
      </c>
      <c r="I1127" s="11">
        <v>3071720</v>
      </c>
      <c r="J1127" s="8" t="s">
        <v>1919</v>
      </c>
      <c r="K1127" s="8" t="s">
        <v>1920</v>
      </c>
      <c r="L1127" s="7">
        <v>2014</v>
      </c>
      <c r="M1127" s="8" t="s">
        <v>313</v>
      </c>
      <c r="N1127" s="11">
        <v>3071720</v>
      </c>
      <c r="O1127" s="8" t="s">
        <v>1923</v>
      </c>
      <c r="P1127" s="8" t="s">
        <v>1924</v>
      </c>
      <c r="Q1127" s="8"/>
      <c r="R1127" s="8" t="s">
        <v>3354</v>
      </c>
    </row>
    <row r="1128" spans="1:18" ht="26.15" customHeight="1">
      <c r="A1128" s="7">
        <v>1122</v>
      </c>
      <c r="B1128" s="8" t="s">
        <v>1925</v>
      </c>
      <c r="C1128" s="8" t="s">
        <v>3127</v>
      </c>
      <c r="D1128" s="8"/>
      <c r="E1128" s="8" t="s">
        <v>3128</v>
      </c>
      <c r="F1128" s="9" t="s">
        <v>3117</v>
      </c>
      <c r="G1128" s="10">
        <v>43042</v>
      </c>
      <c r="H1128" s="8" t="s">
        <v>124</v>
      </c>
      <c r="I1128" s="11">
        <v>77306</v>
      </c>
      <c r="J1128" s="8" t="s">
        <v>1448</v>
      </c>
      <c r="K1128" s="8" t="s">
        <v>1449</v>
      </c>
      <c r="L1128" s="7">
        <v>2016</v>
      </c>
      <c r="M1128" s="8" t="s">
        <v>1450</v>
      </c>
      <c r="N1128" s="11">
        <v>114859</v>
      </c>
      <c r="O1128" s="8" t="s">
        <v>1451</v>
      </c>
      <c r="P1128" s="8" t="s">
        <v>1452</v>
      </c>
      <c r="Q1128" s="8"/>
      <c r="R1128" s="8"/>
    </row>
    <row r="1129" spans="1:18" ht="26.15" customHeight="1">
      <c r="A1129" s="7">
        <v>1123</v>
      </c>
      <c r="B1129" s="8" t="s">
        <v>1929</v>
      </c>
      <c r="C1129" s="8" t="s">
        <v>3114</v>
      </c>
      <c r="D1129" s="8" t="s">
        <v>3230</v>
      </c>
      <c r="E1129" s="8" t="s">
        <v>3116</v>
      </c>
      <c r="F1129" s="9" t="s">
        <v>3117</v>
      </c>
      <c r="G1129" s="10">
        <v>43040</v>
      </c>
      <c r="H1129" s="8" t="s">
        <v>34</v>
      </c>
      <c r="I1129" s="11">
        <v>878298</v>
      </c>
      <c r="J1129" s="8" t="s">
        <v>1926</v>
      </c>
      <c r="K1129" s="8" t="s">
        <v>1927</v>
      </c>
      <c r="L1129" s="7">
        <v>2017</v>
      </c>
      <c r="M1129" s="8" t="s">
        <v>56</v>
      </c>
      <c r="N1129" s="11">
        <v>878298</v>
      </c>
      <c r="O1129" s="8" t="s">
        <v>1930</v>
      </c>
      <c r="P1129" s="8" t="s">
        <v>1931</v>
      </c>
      <c r="Q1129" s="8"/>
      <c r="R1129" s="8" t="s">
        <v>79</v>
      </c>
    </row>
    <row r="1130" spans="1:18" ht="26.15" customHeight="1">
      <c r="A1130" s="7">
        <v>1124</v>
      </c>
      <c r="B1130" s="8" t="s">
        <v>1467</v>
      </c>
      <c r="C1130" s="8" t="s">
        <v>3114</v>
      </c>
      <c r="D1130" s="8" t="s">
        <v>3196</v>
      </c>
      <c r="E1130" s="8" t="s">
        <v>3116</v>
      </c>
      <c r="F1130" s="9" t="s">
        <v>3117</v>
      </c>
      <c r="G1130" s="10">
        <v>43038</v>
      </c>
      <c r="H1130" s="8" t="s">
        <v>34</v>
      </c>
      <c r="I1130" s="11">
        <v>138631</v>
      </c>
      <c r="J1130" s="8" t="s">
        <v>217</v>
      </c>
      <c r="K1130" s="8" t="s">
        <v>218</v>
      </c>
      <c r="L1130" s="7">
        <v>2015</v>
      </c>
      <c r="M1130" s="8" t="s">
        <v>79</v>
      </c>
      <c r="N1130" s="11">
        <v>2569628</v>
      </c>
      <c r="O1130" s="8" t="s">
        <v>221</v>
      </c>
      <c r="P1130" s="8" t="s">
        <v>222</v>
      </c>
      <c r="Q1130" s="8"/>
      <c r="R1130" s="8" t="s">
        <v>313</v>
      </c>
    </row>
    <row r="1131" spans="1:18" ht="26.15" customHeight="1">
      <c r="A1131" s="7">
        <v>1125</v>
      </c>
      <c r="B1131" s="8" t="s">
        <v>1937</v>
      </c>
      <c r="C1131" s="8" t="s">
        <v>3127</v>
      </c>
      <c r="D1131" s="8"/>
      <c r="E1131" s="8" t="s">
        <v>3128</v>
      </c>
      <c r="F1131" s="9" t="s">
        <v>3117</v>
      </c>
      <c r="G1131" s="10">
        <v>43033</v>
      </c>
      <c r="H1131" s="8" t="s">
        <v>124</v>
      </c>
      <c r="I1131" s="11">
        <v>766209</v>
      </c>
      <c r="J1131" s="8" t="s">
        <v>1763</v>
      </c>
      <c r="K1131" s="8" t="s">
        <v>1764</v>
      </c>
      <c r="L1131" s="7">
        <v>2006</v>
      </c>
      <c r="M1131" s="8" t="s">
        <v>47</v>
      </c>
      <c r="N1131" s="11">
        <v>9099055</v>
      </c>
      <c r="O1131" s="8" t="s">
        <v>1767</v>
      </c>
      <c r="P1131" s="8" t="s">
        <v>1768</v>
      </c>
      <c r="Q1131" s="8"/>
      <c r="R1131" s="8"/>
    </row>
    <row r="1132" spans="1:18" ht="26.15" customHeight="1">
      <c r="A1132" s="7">
        <v>1126</v>
      </c>
      <c r="B1132" s="8" t="s">
        <v>4259</v>
      </c>
      <c r="C1132" s="8" t="s">
        <v>3127</v>
      </c>
      <c r="D1132" s="8"/>
      <c r="E1132" s="8" t="s">
        <v>3128</v>
      </c>
      <c r="F1132" s="9" t="s">
        <v>3123</v>
      </c>
      <c r="G1132" s="10">
        <v>43033</v>
      </c>
      <c r="H1132" s="8" t="s">
        <v>124</v>
      </c>
      <c r="I1132" s="11">
        <v>766209</v>
      </c>
      <c r="J1132" s="8" t="s">
        <v>1763</v>
      </c>
      <c r="K1132" s="8" t="s">
        <v>1764</v>
      </c>
      <c r="L1132" s="7">
        <v>2006</v>
      </c>
      <c r="M1132" s="8" t="s">
        <v>47</v>
      </c>
      <c r="N1132" s="11">
        <v>9099055</v>
      </c>
      <c r="O1132" s="8" t="s">
        <v>1767</v>
      </c>
      <c r="P1132" s="8" t="s">
        <v>1768</v>
      </c>
      <c r="Q1132" s="8"/>
      <c r="R1132" s="8"/>
    </row>
    <row r="1133" spans="1:18" ht="26.15" customHeight="1">
      <c r="A1133" s="7">
        <v>1127</v>
      </c>
      <c r="B1133" s="8" t="s">
        <v>4260</v>
      </c>
      <c r="C1133" s="8" t="s">
        <v>3127</v>
      </c>
      <c r="D1133" s="8"/>
      <c r="E1133" s="8" t="s">
        <v>3128</v>
      </c>
      <c r="F1133" s="9" t="s">
        <v>3123</v>
      </c>
      <c r="G1133" s="10">
        <v>43033</v>
      </c>
      <c r="H1133" s="8" t="s">
        <v>124</v>
      </c>
      <c r="I1133" s="11">
        <v>766209</v>
      </c>
      <c r="J1133" s="8" t="s">
        <v>1763</v>
      </c>
      <c r="K1133" s="8" t="s">
        <v>1764</v>
      </c>
      <c r="L1133" s="7">
        <v>2006</v>
      </c>
      <c r="M1133" s="8" t="s">
        <v>47</v>
      </c>
      <c r="N1133" s="11">
        <v>9099055</v>
      </c>
      <c r="O1133" s="8" t="s">
        <v>1767</v>
      </c>
      <c r="P1133" s="8" t="s">
        <v>1768</v>
      </c>
      <c r="Q1133" s="8"/>
      <c r="R1133" s="8"/>
    </row>
    <row r="1134" spans="1:18" ht="26.15" customHeight="1">
      <c r="A1134" s="7">
        <v>1128</v>
      </c>
      <c r="B1134" s="8" t="s">
        <v>4261</v>
      </c>
      <c r="C1134" s="8" t="s">
        <v>3127</v>
      </c>
      <c r="D1134" s="8"/>
      <c r="E1134" s="8" t="s">
        <v>3128</v>
      </c>
      <c r="F1134" s="9" t="s">
        <v>3123</v>
      </c>
      <c r="G1134" s="10">
        <v>43033</v>
      </c>
      <c r="H1134" s="8" t="s">
        <v>124</v>
      </c>
      <c r="I1134" s="11">
        <v>766209</v>
      </c>
      <c r="J1134" s="8" t="s">
        <v>1763</v>
      </c>
      <c r="K1134" s="8" t="s">
        <v>1764</v>
      </c>
      <c r="L1134" s="7">
        <v>2006</v>
      </c>
      <c r="M1134" s="8" t="s">
        <v>47</v>
      </c>
      <c r="N1134" s="11">
        <v>9099055</v>
      </c>
      <c r="O1134" s="8" t="s">
        <v>1767</v>
      </c>
      <c r="P1134" s="8" t="s">
        <v>1768</v>
      </c>
      <c r="Q1134" s="8"/>
      <c r="R1134" s="8"/>
    </row>
    <row r="1135" spans="1:18" ht="26.15" customHeight="1">
      <c r="A1135" s="7">
        <v>1129</v>
      </c>
      <c r="B1135" s="8" t="s">
        <v>4262</v>
      </c>
      <c r="C1135" s="8" t="s">
        <v>3127</v>
      </c>
      <c r="D1135" s="8"/>
      <c r="E1135" s="8" t="s">
        <v>3128</v>
      </c>
      <c r="F1135" s="9" t="s">
        <v>3123</v>
      </c>
      <c r="G1135" s="10">
        <v>43033</v>
      </c>
      <c r="H1135" s="8" t="s">
        <v>124</v>
      </c>
      <c r="I1135" s="11">
        <v>766209</v>
      </c>
      <c r="J1135" s="8" t="s">
        <v>1763</v>
      </c>
      <c r="K1135" s="8" t="s">
        <v>1764</v>
      </c>
      <c r="L1135" s="7">
        <v>2006</v>
      </c>
      <c r="M1135" s="8" t="s">
        <v>47</v>
      </c>
      <c r="N1135" s="11">
        <v>9099055</v>
      </c>
      <c r="O1135" s="8" t="s">
        <v>1767</v>
      </c>
      <c r="P1135" s="8" t="s">
        <v>1768</v>
      </c>
      <c r="Q1135" s="8"/>
      <c r="R1135" s="8"/>
    </row>
    <row r="1136" spans="1:18" ht="26.15" customHeight="1">
      <c r="A1136" s="7">
        <v>1130</v>
      </c>
      <c r="B1136" s="8" t="s">
        <v>4263</v>
      </c>
      <c r="C1136" s="8" t="s">
        <v>3127</v>
      </c>
      <c r="D1136" s="8"/>
      <c r="E1136" s="8" t="s">
        <v>3128</v>
      </c>
      <c r="F1136" s="9" t="s">
        <v>3123</v>
      </c>
      <c r="G1136" s="10">
        <v>43033</v>
      </c>
      <c r="H1136" s="8" t="s">
        <v>124</v>
      </c>
      <c r="I1136" s="11">
        <v>766209</v>
      </c>
      <c r="J1136" s="8" t="s">
        <v>1763</v>
      </c>
      <c r="K1136" s="8" t="s">
        <v>1764</v>
      </c>
      <c r="L1136" s="7">
        <v>2006</v>
      </c>
      <c r="M1136" s="8" t="s">
        <v>47</v>
      </c>
      <c r="N1136" s="11">
        <v>9099055</v>
      </c>
      <c r="O1136" s="8" t="s">
        <v>1767</v>
      </c>
      <c r="P1136" s="8" t="s">
        <v>1768</v>
      </c>
      <c r="Q1136" s="8"/>
      <c r="R1136" s="8"/>
    </row>
    <row r="1137" spans="1:18" ht="26.15" customHeight="1">
      <c r="A1137" s="7">
        <v>1131</v>
      </c>
      <c r="B1137" s="8" t="s">
        <v>4264</v>
      </c>
      <c r="C1137" s="8" t="s">
        <v>3127</v>
      </c>
      <c r="D1137" s="8"/>
      <c r="E1137" s="8" t="s">
        <v>3128</v>
      </c>
      <c r="F1137" s="9" t="s">
        <v>3123</v>
      </c>
      <c r="G1137" s="10">
        <v>43033</v>
      </c>
      <c r="H1137" s="8" t="s">
        <v>124</v>
      </c>
      <c r="I1137" s="11">
        <v>766209</v>
      </c>
      <c r="J1137" s="8" t="s">
        <v>1763</v>
      </c>
      <c r="K1137" s="8" t="s">
        <v>1764</v>
      </c>
      <c r="L1137" s="7">
        <v>2006</v>
      </c>
      <c r="M1137" s="8" t="s">
        <v>47</v>
      </c>
      <c r="N1137" s="11">
        <v>9099055</v>
      </c>
      <c r="O1137" s="8" t="s">
        <v>1767</v>
      </c>
      <c r="P1137" s="8" t="s">
        <v>1768</v>
      </c>
      <c r="Q1137" s="8"/>
      <c r="R1137" s="8"/>
    </row>
    <row r="1138" spans="1:18" ht="26.15" customHeight="1">
      <c r="A1138" s="7">
        <v>1132</v>
      </c>
      <c r="B1138" s="8" t="s">
        <v>4265</v>
      </c>
      <c r="C1138" s="8" t="s">
        <v>3127</v>
      </c>
      <c r="D1138" s="8"/>
      <c r="E1138" s="8" t="s">
        <v>3128</v>
      </c>
      <c r="F1138" s="9" t="s">
        <v>3123</v>
      </c>
      <c r="G1138" s="10">
        <v>43033</v>
      </c>
      <c r="H1138" s="8" t="s">
        <v>124</v>
      </c>
      <c r="I1138" s="11">
        <v>766209</v>
      </c>
      <c r="J1138" s="8" t="s">
        <v>1763</v>
      </c>
      <c r="K1138" s="8" t="s">
        <v>1764</v>
      </c>
      <c r="L1138" s="7">
        <v>2006</v>
      </c>
      <c r="M1138" s="8" t="s">
        <v>47</v>
      </c>
      <c r="N1138" s="11">
        <v>9099055</v>
      </c>
      <c r="O1138" s="8" t="s">
        <v>1767</v>
      </c>
      <c r="P1138" s="8" t="s">
        <v>1768</v>
      </c>
      <c r="Q1138" s="8"/>
      <c r="R1138" s="8"/>
    </row>
    <row r="1139" spans="1:18" ht="26.15" customHeight="1">
      <c r="A1139" s="7">
        <v>1133</v>
      </c>
      <c r="B1139" s="8" t="s">
        <v>4266</v>
      </c>
      <c r="C1139" s="8" t="s">
        <v>3127</v>
      </c>
      <c r="D1139" s="8"/>
      <c r="E1139" s="8" t="s">
        <v>3128</v>
      </c>
      <c r="F1139" s="9" t="s">
        <v>3123</v>
      </c>
      <c r="G1139" s="10">
        <v>43033</v>
      </c>
      <c r="H1139" s="8" t="s">
        <v>124</v>
      </c>
      <c r="I1139" s="11">
        <v>766209</v>
      </c>
      <c r="J1139" s="8" t="s">
        <v>1763</v>
      </c>
      <c r="K1139" s="8" t="s">
        <v>1764</v>
      </c>
      <c r="L1139" s="7">
        <v>2006</v>
      </c>
      <c r="M1139" s="8" t="s">
        <v>47</v>
      </c>
      <c r="N1139" s="11">
        <v>9099055</v>
      </c>
      <c r="O1139" s="8" t="s">
        <v>1767</v>
      </c>
      <c r="P1139" s="8" t="s">
        <v>1768</v>
      </c>
      <c r="Q1139" s="8"/>
      <c r="R1139" s="8"/>
    </row>
    <row r="1140" spans="1:18" ht="26.15" customHeight="1">
      <c r="A1140" s="7">
        <v>1134</v>
      </c>
      <c r="B1140" s="8" t="s">
        <v>4267</v>
      </c>
      <c r="C1140" s="8" t="s">
        <v>3127</v>
      </c>
      <c r="D1140" s="8"/>
      <c r="E1140" s="8" t="s">
        <v>3128</v>
      </c>
      <c r="F1140" s="9" t="s">
        <v>3123</v>
      </c>
      <c r="G1140" s="10">
        <v>43033</v>
      </c>
      <c r="H1140" s="8" t="s">
        <v>124</v>
      </c>
      <c r="I1140" s="11">
        <v>766209</v>
      </c>
      <c r="J1140" s="8" t="s">
        <v>1763</v>
      </c>
      <c r="K1140" s="8" t="s">
        <v>1764</v>
      </c>
      <c r="L1140" s="7">
        <v>2006</v>
      </c>
      <c r="M1140" s="8" t="s">
        <v>47</v>
      </c>
      <c r="N1140" s="11">
        <v>9099055</v>
      </c>
      <c r="O1140" s="8" t="s">
        <v>1767</v>
      </c>
      <c r="P1140" s="8" t="s">
        <v>1768</v>
      </c>
      <c r="Q1140" s="8"/>
      <c r="R1140" s="8"/>
    </row>
    <row r="1141" spans="1:18" ht="26.15" customHeight="1">
      <c r="A1141" s="7">
        <v>1135</v>
      </c>
      <c r="B1141" s="8" t="s">
        <v>4268</v>
      </c>
      <c r="C1141" s="8" t="s">
        <v>3127</v>
      </c>
      <c r="D1141" s="8"/>
      <c r="E1141" s="8" t="s">
        <v>3128</v>
      </c>
      <c r="F1141" s="9" t="s">
        <v>3123</v>
      </c>
      <c r="G1141" s="10">
        <v>43033</v>
      </c>
      <c r="H1141" s="8" t="s">
        <v>124</v>
      </c>
      <c r="I1141" s="11">
        <v>766209</v>
      </c>
      <c r="J1141" s="8" t="s">
        <v>1763</v>
      </c>
      <c r="K1141" s="8" t="s">
        <v>1764</v>
      </c>
      <c r="L1141" s="7">
        <v>2006</v>
      </c>
      <c r="M1141" s="8" t="s">
        <v>47</v>
      </c>
      <c r="N1141" s="11">
        <v>9099055</v>
      </c>
      <c r="O1141" s="8" t="s">
        <v>1767</v>
      </c>
      <c r="P1141" s="8" t="s">
        <v>1768</v>
      </c>
      <c r="Q1141" s="8"/>
      <c r="R1141" s="8"/>
    </row>
    <row r="1142" spans="1:18" ht="26.15" customHeight="1">
      <c r="A1142" s="7">
        <v>1136</v>
      </c>
      <c r="B1142" s="8" t="s">
        <v>4269</v>
      </c>
      <c r="C1142" s="8" t="s">
        <v>3127</v>
      </c>
      <c r="D1142" s="8"/>
      <c r="E1142" s="8" t="s">
        <v>3128</v>
      </c>
      <c r="F1142" s="9" t="s">
        <v>3123</v>
      </c>
      <c r="G1142" s="10">
        <v>43033</v>
      </c>
      <c r="H1142" s="8" t="s">
        <v>124</v>
      </c>
      <c r="I1142" s="11">
        <v>766209</v>
      </c>
      <c r="J1142" s="8" t="s">
        <v>1763</v>
      </c>
      <c r="K1142" s="8" t="s">
        <v>1764</v>
      </c>
      <c r="L1142" s="7">
        <v>2006</v>
      </c>
      <c r="M1142" s="8" t="s">
        <v>47</v>
      </c>
      <c r="N1142" s="11">
        <v>9099055</v>
      </c>
      <c r="O1142" s="8" t="s">
        <v>1767</v>
      </c>
      <c r="P1142" s="8" t="s">
        <v>1768</v>
      </c>
      <c r="Q1142" s="8"/>
      <c r="R1142" s="8"/>
    </row>
    <row r="1143" spans="1:18" ht="26.15" customHeight="1">
      <c r="A1143" s="7">
        <v>1137</v>
      </c>
      <c r="B1143" s="8" t="s">
        <v>4270</v>
      </c>
      <c r="C1143" s="8" t="s">
        <v>3127</v>
      </c>
      <c r="D1143" s="8"/>
      <c r="E1143" s="8" t="s">
        <v>3128</v>
      </c>
      <c r="F1143" s="9" t="s">
        <v>3123</v>
      </c>
      <c r="G1143" s="10">
        <v>43033</v>
      </c>
      <c r="H1143" s="8" t="s">
        <v>124</v>
      </c>
      <c r="I1143" s="11">
        <v>766209</v>
      </c>
      <c r="J1143" s="8" t="s">
        <v>1763</v>
      </c>
      <c r="K1143" s="8" t="s">
        <v>1764</v>
      </c>
      <c r="L1143" s="7">
        <v>2006</v>
      </c>
      <c r="M1143" s="8" t="s">
        <v>47</v>
      </c>
      <c r="N1143" s="11">
        <v>9099055</v>
      </c>
      <c r="O1143" s="8" t="s">
        <v>1767</v>
      </c>
      <c r="P1143" s="8" t="s">
        <v>1768</v>
      </c>
      <c r="Q1143" s="8"/>
      <c r="R1143" s="8"/>
    </row>
    <row r="1144" spans="1:18" ht="26.15" customHeight="1">
      <c r="A1144" s="7">
        <v>1138</v>
      </c>
      <c r="B1144" s="8" t="s">
        <v>4271</v>
      </c>
      <c r="C1144" s="8" t="s">
        <v>3127</v>
      </c>
      <c r="D1144" s="8"/>
      <c r="E1144" s="8" t="s">
        <v>3128</v>
      </c>
      <c r="F1144" s="9" t="s">
        <v>3123</v>
      </c>
      <c r="G1144" s="10">
        <v>43033</v>
      </c>
      <c r="H1144" s="8" t="s">
        <v>124</v>
      </c>
      <c r="I1144" s="11">
        <v>766209</v>
      </c>
      <c r="J1144" s="8" t="s">
        <v>1763</v>
      </c>
      <c r="K1144" s="8" t="s">
        <v>1764</v>
      </c>
      <c r="L1144" s="7">
        <v>2006</v>
      </c>
      <c r="M1144" s="8" t="s">
        <v>47</v>
      </c>
      <c r="N1144" s="11">
        <v>9099055</v>
      </c>
      <c r="O1144" s="8" t="s">
        <v>1767</v>
      </c>
      <c r="P1144" s="8" t="s">
        <v>1768</v>
      </c>
      <c r="Q1144" s="8"/>
      <c r="R1144" s="8"/>
    </row>
    <row r="1145" spans="1:18" ht="26.15" customHeight="1">
      <c r="A1145" s="7">
        <v>1139</v>
      </c>
      <c r="B1145" s="8" t="s">
        <v>4272</v>
      </c>
      <c r="C1145" s="8" t="s">
        <v>3127</v>
      </c>
      <c r="D1145" s="8"/>
      <c r="E1145" s="8" t="s">
        <v>3128</v>
      </c>
      <c r="F1145" s="9" t="s">
        <v>3123</v>
      </c>
      <c r="G1145" s="10">
        <v>43033</v>
      </c>
      <c r="H1145" s="8" t="s">
        <v>124</v>
      </c>
      <c r="I1145" s="11">
        <v>766209</v>
      </c>
      <c r="J1145" s="8" t="s">
        <v>1763</v>
      </c>
      <c r="K1145" s="8" t="s">
        <v>1764</v>
      </c>
      <c r="L1145" s="7">
        <v>2006</v>
      </c>
      <c r="M1145" s="8" t="s">
        <v>47</v>
      </c>
      <c r="N1145" s="11">
        <v>9099055</v>
      </c>
      <c r="O1145" s="8" t="s">
        <v>1767</v>
      </c>
      <c r="P1145" s="8" t="s">
        <v>1768</v>
      </c>
      <c r="Q1145" s="8"/>
      <c r="R1145" s="8"/>
    </row>
    <row r="1146" spans="1:18" ht="26.15" customHeight="1">
      <c r="A1146" s="7">
        <v>1140</v>
      </c>
      <c r="B1146" s="8" t="s">
        <v>4273</v>
      </c>
      <c r="C1146" s="8" t="s">
        <v>3127</v>
      </c>
      <c r="D1146" s="8"/>
      <c r="E1146" s="8" t="s">
        <v>3128</v>
      </c>
      <c r="F1146" s="9" t="s">
        <v>3123</v>
      </c>
      <c r="G1146" s="10">
        <v>43033</v>
      </c>
      <c r="H1146" s="8" t="s">
        <v>124</v>
      </c>
      <c r="I1146" s="11">
        <v>766209</v>
      </c>
      <c r="J1146" s="8" t="s">
        <v>1763</v>
      </c>
      <c r="K1146" s="8" t="s">
        <v>1764</v>
      </c>
      <c r="L1146" s="7">
        <v>2006</v>
      </c>
      <c r="M1146" s="8" t="s">
        <v>47</v>
      </c>
      <c r="N1146" s="11">
        <v>9099055</v>
      </c>
      <c r="O1146" s="8" t="s">
        <v>1767</v>
      </c>
      <c r="P1146" s="8" t="s">
        <v>1768</v>
      </c>
      <c r="Q1146" s="8"/>
      <c r="R1146" s="8"/>
    </row>
    <row r="1147" spans="1:18" ht="26.15" customHeight="1">
      <c r="A1147" s="7">
        <v>1141</v>
      </c>
      <c r="B1147" s="8" t="s">
        <v>4274</v>
      </c>
      <c r="C1147" s="8" t="s">
        <v>3127</v>
      </c>
      <c r="D1147" s="8"/>
      <c r="E1147" s="8" t="s">
        <v>3128</v>
      </c>
      <c r="F1147" s="9" t="s">
        <v>3123</v>
      </c>
      <c r="G1147" s="10">
        <v>43033</v>
      </c>
      <c r="H1147" s="8" t="s">
        <v>124</v>
      </c>
      <c r="I1147" s="11">
        <v>766209</v>
      </c>
      <c r="J1147" s="8" t="s">
        <v>1763</v>
      </c>
      <c r="K1147" s="8" t="s">
        <v>1764</v>
      </c>
      <c r="L1147" s="7">
        <v>2006</v>
      </c>
      <c r="M1147" s="8" t="s">
        <v>47</v>
      </c>
      <c r="N1147" s="11">
        <v>9099055</v>
      </c>
      <c r="O1147" s="8" t="s">
        <v>1767</v>
      </c>
      <c r="P1147" s="8" t="s">
        <v>1768</v>
      </c>
      <c r="Q1147" s="8"/>
      <c r="R1147" s="8"/>
    </row>
    <row r="1148" spans="1:18" ht="26.15" customHeight="1">
      <c r="A1148" s="7">
        <v>1142</v>
      </c>
      <c r="B1148" s="8" t="s">
        <v>4275</v>
      </c>
      <c r="C1148" s="8" t="s">
        <v>3127</v>
      </c>
      <c r="D1148" s="8"/>
      <c r="E1148" s="8" t="s">
        <v>3128</v>
      </c>
      <c r="F1148" s="9" t="s">
        <v>3123</v>
      </c>
      <c r="G1148" s="10">
        <v>43033</v>
      </c>
      <c r="H1148" s="8" t="s">
        <v>124</v>
      </c>
      <c r="I1148" s="11">
        <v>766209</v>
      </c>
      <c r="J1148" s="8" t="s">
        <v>1763</v>
      </c>
      <c r="K1148" s="8" t="s">
        <v>1764</v>
      </c>
      <c r="L1148" s="7">
        <v>2006</v>
      </c>
      <c r="M1148" s="8" t="s">
        <v>47</v>
      </c>
      <c r="N1148" s="11">
        <v>9099055</v>
      </c>
      <c r="O1148" s="8" t="s">
        <v>1767</v>
      </c>
      <c r="P1148" s="8" t="s">
        <v>1768</v>
      </c>
      <c r="Q1148" s="8"/>
      <c r="R1148" s="8"/>
    </row>
    <row r="1149" spans="1:18" ht="26.15" customHeight="1">
      <c r="A1149" s="7">
        <v>1143</v>
      </c>
      <c r="B1149" s="8" t="s">
        <v>4276</v>
      </c>
      <c r="C1149" s="8" t="s">
        <v>3127</v>
      </c>
      <c r="D1149" s="8"/>
      <c r="E1149" s="8" t="s">
        <v>3128</v>
      </c>
      <c r="F1149" s="9" t="s">
        <v>3123</v>
      </c>
      <c r="G1149" s="10">
        <v>43033</v>
      </c>
      <c r="H1149" s="8" t="s">
        <v>124</v>
      </c>
      <c r="I1149" s="11">
        <v>766209</v>
      </c>
      <c r="J1149" s="8" t="s">
        <v>1763</v>
      </c>
      <c r="K1149" s="8" t="s">
        <v>1764</v>
      </c>
      <c r="L1149" s="7">
        <v>2006</v>
      </c>
      <c r="M1149" s="8" t="s">
        <v>47</v>
      </c>
      <c r="N1149" s="11">
        <v>9099055</v>
      </c>
      <c r="O1149" s="8" t="s">
        <v>1767</v>
      </c>
      <c r="P1149" s="8" t="s">
        <v>1768</v>
      </c>
      <c r="Q1149" s="8"/>
      <c r="R1149" s="8"/>
    </row>
    <row r="1150" spans="1:18" ht="26.15" customHeight="1">
      <c r="A1150" s="7">
        <v>1144</v>
      </c>
      <c r="B1150" s="8" t="s">
        <v>247</v>
      </c>
      <c r="C1150" s="8" t="s">
        <v>3114</v>
      </c>
      <c r="D1150" s="8" t="s">
        <v>3254</v>
      </c>
      <c r="E1150" s="8" t="s">
        <v>3116</v>
      </c>
      <c r="F1150" s="9" t="s">
        <v>3123</v>
      </c>
      <c r="G1150" s="10">
        <v>43026</v>
      </c>
      <c r="H1150" s="8" t="s">
        <v>109</v>
      </c>
      <c r="I1150" s="11">
        <v>4000000</v>
      </c>
      <c r="J1150" s="8" t="s">
        <v>634</v>
      </c>
      <c r="K1150" s="8" t="s">
        <v>635</v>
      </c>
      <c r="L1150" s="7">
        <v>2012</v>
      </c>
      <c r="M1150" s="8" t="s">
        <v>638</v>
      </c>
      <c r="N1150" s="11">
        <v>17600000</v>
      </c>
      <c r="O1150" s="8" t="s">
        <v>639</v>
      </c>
      <c r="P1150" s="8" t="s">
        <v>640</v>
      </c>
      <c r="Q1150" s="8"/>
      <c r="R1150" s="8" t="s">
        <v>3255</v>
      </c>
    </row>
    <row r="1151" spans="1:18" ht="26.15" customHeight="1">
      <c r="A1151" s="7">
        <v>1145</v>
      </c>
      <c r="B1151" s="8" t="s">
        <v>4277</v>
      </c>
      <c r="C1151" s="8" t="s">
        <v>3114</v>
      </c>
      <c r="D1151" s="8" t="s">
        <v>4278</v>
      </c>
      <c r="E1151" s="8" t="s">
        <v>3116</v>
      </c>
      <c r="F1151" s="9" t="s">
        <v>3123</v>
      </c>
      <c r="G1151" s="10">
        <v>43018</v>
      </c>
      <c r="H1151" s="8" t="s">
        <v>109</v>
      </c>
      <c r="I1151" s="11">
        <v>9356810</v>
      </c>
      <c r="J1151" s="8" t="s">
        <v>1939</v>
      </c>
      <c r="K1151" s="8" t="s">
        <v>1940</v>
      </c>
      <c r="L1151" s="7">
        <v>2015</v>
      </c>
      <c r="M1151" s="8" t="s">
        <v>278</v>
      </c>
      <c r="N1151" s="11">
        <v>9356810</v>
      </c>
      <c r="O1151" s="8" t="s">
        <v>1942</v>
      </c>
      <c r="P1151" s="8" t="s">
        <v>1943</v>
      </c>
      <c r="Q1151" s="8"/>
      <c r="R1151" s="8" t="s">
        <v>1427</v>
      </c>
    </row>
    <row r="1152" spans="1:18" ht="26.15" customHeight="1">
      <c r="A1152" s="7">
        <v>1146</v>
      </c>
      <c r="B1152" s="8" t="s">
        <v>1945</v>
      </c>
      <c r="C1152" s="8" t="s">
        <v>3139</v>
      </c>
      <c r="D1152" s="8" t="s">
        <v>4279</v>
      </c>
      <c r="E1152" s="8" t="s">
        <v>3116</v>
      </c>
      <c r="F1152" s="9" t="s">
        <v>3117</v>
      </c>
      <c r="G1152" s="10">
        <v>43017</v>
      </c>
      <c r="H1152" s="8" t="s">
        <v>34</v>
      </c>
      <c r="I1152" s="11">
        <v>32546</v>
      </c>
      <c r="J1152" s="8" t="s">
        <v>125</v>
      </c>
      <c r="K1152" s="8" t="s">
        <v>126</v>
      </c>
      <c r="L1152" s="7">
        <v>2017</v>
      </c>
      <c r="M1152" s="8" t="s">
        <v>128</v>
      </c>
      <c r="N1152" s="11">
        <v>532546</v>
      </c>
      <c r="O1152" s="8" t="s">
        <v>129</v>
      </c>
      <c r="P1152" s="8" t="s">
        <v>130</v>
      </c>
      <c r="Q1152" s="8"/>
      <c r="R1152" s="8" t="s">
        <v>128</v>
      </c>
    </row>
    <row r="1153" spans="1:18" ht="26.15" customHeight="1">
      <c r="A1153" s="7">
        <v>1147</v>
      </c>
      <c r="B1153" s="8" t="s">
        <v>2425</v>
      </c>
      <c r="C1153" s="8" t="s">
        <v>3114</v>
      </c>
      <c r="D1153" s="8" t="s">
        <v>4280</v>
      </c>
      <c r="E1153" s="8" t="s">
        <v>3116</v>
      </c>
      <c r="F1153" s="9" t="s">
        <v>3123</v>
      </c>
      <c r="G1153" s="10">
        <v>43013</v>
      </c>
      <c r="H1153" s="8" t="s">
        <v>109</v>
      </c>
      <c r="I1153" s="11">
        <v>8000000</v>
      </c>
      <c r="J1153" s="8" t="s">
        <v>1946</v>
      </c>
      <c r="K1153" s="8" t="s">
        <v>1947</v>
      </c>
      <c r="L1153" s="7">
        <v>2015</v>
      </c>
      <c r="M1153" s="8" t="s">
        <v>79</v>
      </c>
      <c r="N1153" s="11">
        <v>10693115</v>
      </c>
      <c r="O1153" s="8" t="s">
        <v>1951</v>
      </c>
      <c r="P1153" s="8" t="s">
        <v>1952</v>
      </c>
      <c r="Q1153" s="8"/>
      <c r="R1153" s="8" t="s">
        <v>157</v>
      </c>
    </row>
    <row r="1154" spans="1:18" ht="26.15" customHeight="1">
      <c r="A1154" s="7">
        <v>1148</v>
      </c>
      <c r="B1154" s="8" t="s">
        <v>1949</v>
      </c>
      <c r="C1154" s="8" t="s">
        <v>3127</v>
      </c>
      <c r="D1154" s="8"/>
      <c r="E1154" s="8" t="s">
        <v>3128</v>
      </c>
      <c r="F1154" s="9" t="s">
        <v>3123</v>
      </c>
      <c r="G1154" s="10">
        <v>43013</v>
      </c>
      <c r="H1154" s="8" t="s">
        <v>109</v>
      </c>
      <c r="I1154" s="11">
        <v>8000000</v>
      </c>
      <c r="J1154" s="8" t="s">
        <v>1946</v>
      </c>
      <c r="K1154" s="8" t="s">
        <v>1947</v>
      </c>
      <c r="L1154" s="7">
        <v>2015</v>
      </c>
      <c r="M1154" s="8" t="s">
        <v>79</v>
      </c>
      <c r="N1154" s="11">
        <v>10693115</v>
      </c>
      <c r="O1154" s="8" t="s">
        <v>1951</v>
      </c>
      <c r="P1154" s="8" t="s">
        <v>1952</v>
      </c>
      <c r="Q1154" s="8"/>
      <c r="R1154" s="8"/>
    </row>
    <row r="1155" spans="1:18" ht="26.15" customHeight="1">
      <c r="A1155" s="7">
        <v>1149</v>
      </c>
      <c r="B1155" s="8" t="s">
        <v>1950</v>
      </c>
      <c r="C1155" s="8" t="s">
        <v>3114</v>
      </c>
      <c r="D1155" s="8" t="s">
        <v>4281</v>
      </c>
      <c r="E1155" s="8" t="s">
        <v>3116</v>
      </c>
      <c r="F1155" s="9" t="s">
        <v>3117</v>
      </c>
      <c r="G1155" s="10">
        <v>43013</v>
      </c>
      <c r="H1155" s="8" t="s">
        <v>109</v>
      </c>
      <c r="I1155" s="11">
        <v>8000000</v>
      </c>
      <c r="J1155" s="8" t="s">
        <v>1946</v>
      </c>
      <c r="K1155" s="8" t="s">
        <v>1947</v>
      </c>
      <c r="L1155" s="7">
        <v>2015</v>
      </c>
      <c r="M1155" s="8" t="s">
        <v>79</v>
      </c>
      <c r="N1155" s="11">
        <v>10693115</v>
      </c>
      <c r="O1155" s="8" t="s">
        <v>1951</v>
      </c>
      <c r="P1155" s="8" t="s">
        <v>1952</v>
      </c>
      <c r="Q1155" s="8"/>
      <c r="R1155" s="8" t="s">
        <v>313</v>
      </c>
    </row>
    <row r="1156" spans="1:18" ht="26.15" customHeight="1">
      <c r="A1156" s="7">
        <v>1150</v>
      </c>
      <c r="B1156" s="8" t="s">
        <v>1609</v>
      </c>
      <c r="C1156" s="8" t="s">
        <v>3114</v>
      </c>
      <c r="D1156" s="8" t="s">
        <v>3544</v>
      </c>
      <c r="E1156" s="8" t="s">
        <v>3116</v>
      </c>
      <c r="F1156" s="9" t="s">
        <v>3123</v>
      </c>
      <c r="G1156" s="10">
        <v>43012</v>
      </c>
      <c r="H1156" s="8" t="s">
        <v>184</v>
      </c>
      <c r="I1156" s="11" t="s">
        <v>50</v>
      </c>
      <c r="J1156" s="8" t="s">
        <v>1958</v>
      </c>
      <c r="K1156" s="8" t="s">
        <v>1959</v>
      </c>
      <c r="L1156" s="7">
        <v>2014</v>
      </c>
      <c r="M1156" s="8" t="s">
        <v>1960</v>
      </c>
      <c r="N1156" s="11"/>
      <c r="O1156" s="8" t="s">
        <v>1961</v>
      </c>
      <c r="P1156" s="8" t="s">
        <v>1962</v>
      </c>
      <c r="Q1156" s="8"/>
      <c r="R1156" s="8" t="s">
        <v>3166</v>
      </c>
    </row>
    <row r="1157" spans="1:18" ht="26.15" customHeight="1">
      <c r="A1157" s="7">
        <v>1151</v>
      </c>
      <c r="B1157" s="8" t="s">
        <v>1964</v>
      </c>
      <c r="C1157" s="8" t="s">
        <v>3139</v>
      </c>
      <c r="D1157" s="8" t="s">
        <v>4282</v>
      </c>
      <c r="E1157" s="8" t="s">
        <v>3116</v>
      </c>
      <c r="F1157" s="9" t="s">
        <v>3117</v>
      </c>
      <c r="G1157" s="10">
        <v>43006</v>
      </c>
      <c r="H1157" s="8" t="s">
        <v>25</v>
      </c>
      <c r="I1157" s="11">
        <v>11000000</v>
      </c>
      <c r="J1157" s="8" t="s">
        <v>131</v>
      </c>
      <c r="K1157" s="8" t="s">
        <v>132</v>
      </c>
      <c r="L1157" s="7">
        <v>1999</v>
      </c>
      <c r="M1157" s="8" t="s">
        <v>135</v>
      </c>
      <c r="N1157" s="11">
        <v>37500000</v>
      </c>
      <c r="O1157" s="8" t="s">
        <v>136</v>
      </c>
      <c r="P1157" s="8" t="s">
        <v>137</v>
      </c>
      <c r="Q1157" s="8"/>
      <c r="R1157" s="8" t="s">
        <v>894</v>
      </c>
    </row>
    <row r="1158" spans="1:18" ht="26.15" customHeight="1">
      <c r="A1158" s="7">
        <v>1152</v>
      </c>
      <c r="B1158" s="8" t="s">
        <v>2539</v>
      </c>
      <c r="C1158" s="8" t="s">
        <v>3114</v>
      </c>
      <c r="D1158" s="8" t="s">
        <v>3353</v>
      </c>
      <c r="E1158" s="8" t="s">
        <v>3116</v>
      </c>
      <c r="F1158" s="9" t="s">
        <v>3123</v>
      </c>
      <c r="G1158" s="10">
        <v>43006</v>
      </c>
      <c r="H1158" s="8" t="s">
        <v>25</v>
      </c>
      <c r="I1158" s="11">
        <v>11000000</v>
      </c>
      <c r="J1158" s="8" t="s">
        <v>131</v>
      </c>
      <c r="K1158" s="8" t="s">
        <v>132</v>
      </c>
      <c r="L1158" s="7">
        <v>1999</v>
      </c>
      <c r="M1158" s="8" t="s">
        <v>135</v>
      </c>
      <c r="N1158" s="11">
        <v>37500000</v>
      </c>
      <c r="O1158" s="8" t="s">
        <v>136</v>
      </c>
      <c r="P1158" s="8" t="s">
        <v>137</v>
      </c>
      <c r="Q1158" s="8"/>
      <c r="R1158" s="8" t="s">
        <v>3354</v>
      </c>
    </row>
    <row r="1159" spans="1:18" ht="26.15" customHeight="1">
      <c r="A1159" s="7">
        <v>1153</v>
      </c>
      <c r="B1159" s="8" t="s">
        <v>1467</v>
      </c>
      <c r="C1159" s="8" t="s">
        <v>3114</v>
      </c>
      <c r="D1159" s="8" t="s">
        <v>3196</v>
      </c>
      <c r="E1159" s="8" t="s">
        <v>3116</v>
      </c>
      <c r="F1159" s="9" t="s">
        <v>3123</v>
      </c>
      <c r="G1159" s="10">
        <v>43003</v>
      </c>
      <c r="H1159" s="8" t="s">
        <v>109</v>
      </c>
      <c r="I1159" s="11">
        <v>1182560</v>
      </c>
      <c r="J1159" s="8" t="s">
        <v>1330</v>
      </c>
      <c r="K1159" s="8" t="s">
        <v>1331</v>
      </c>
      <c r="L1159" s="7">
        <v>2010</v>
      </c>
      <c r="M1159" s="8" t="s">
        <v>79</v>
      </c>
      <c r="N1159" s="11">
        <v>15568800</v>
      </c>
      <c r="O1159" s="8" t="s">
        <v>1334</v>
      </c>
      <c r="P1159" s="8" t="s">
        <v>1335</v>
      </c>
      <c r="Q1159" s="8"/>
      <c r="R1159" s="8" t="s">
        <v>313</v>
      </c>
    </row>
    <row r="1160" spans="1:18" ht="26.15" customHeight="1">
      <c r="A1160" s="7">
        <v>1154</v>
      </c>
      <c r="B1160" s="8" t="s">
        <v>2275</v>
      </c>
      <c r="C1160" s="8" t="s">
        <v>3114</v>
      </c>
      <c r="D1160" s="8" t="s">
        <v>3409</v>
      </c>
      <c r="E1160" s="8" t="s">
        <v>3116</v>
      </c>
      <c r="F1160" s="9" t="s">
        <v>3123</v>
      </c>
      <c r="G1160" s="10">
        <v>43003</v>
      </c>
      <c r="H1160" s="8" t="s">
        <v>109</v>
      </c>
      <c r="I1160" s="11">
        <v>1182560</v>
      </c>
      <c r="J1160" s="8" t="s">
        <v>1330</v>
      </c>
      <c r="K1160" s="8" t="s">
        <v>1331</v>
      </c>
      <c r="L1160" s="7">
        <v>2010</v>
      </c>
      <c r="M1160" s="8" t="s">
        <v>79</v>
      </c>
      <c r="N1160" s="11">
        <v>15568800</v>
      </c>
      <c r="O1160" s="8" t="s">
        <v>1334</v>
      </c>
      <c r="P1160" s="8" t="s">
        <v>1335</v>
      </c>
      <c r="Q1160" s="8"/>
      <c r="R1160" s="8" t="s">
        <v>3204</v>
      </c>
    </row>
    <row r="1161" spans="1:18" ht="26.15" customHeight="1">
      <c r="A1161" s="7">
        <v>1155</v>
      </c>
      <c r="B1161" s="8" t="s">
        <v>2650</v>
      </c>
      <c r="C1161" s="8" t="s">
        <v>3139</v>
      </c>
      <c r="D1161" s="8" t="s">
        <v>4283</v>
      </c>
      <c r="E1161" s="8" t="s">
        <v>3116</v>
      </c>
      <c r="F1161" s="9" t="s">
        <v>3123</v>
      </c>
      <c r="G1161" s="10">
        <v>43003</v>
      </c>
      <c r="H1161" s="8" t="s">
        <v>109</v>
      </c>
      <c r="I1161" s="11">
        <v>1182560</v>
      </c>
      <c r="J1161" s="8" t="s">
        <v>1330</v>
      </c>
      <c r="K1161" s="8" t="s">
        <v>1331</v>
      </c>
      <c r="L1161" s="7">
        <v>2010</v>
      </c>
      <c r="M1161" s="8" t="s">
        <v>79</v>
      </c>
      <c r="N1161" s="11">
        <v>15568800</v>
      </c>
      <c r="O1161" s="8" t="s">
        <v>1334</v>
      </c>
      <c r="P1161" s="8" t="s">
        <v>1335</v>
      </c>
      <c r="Q1161" s="8"/>
      <c r="R1161" s="8" t="s">
        <v>3632</v>
      </c>
    </row>
    <row r="1162" spans="1:18" ht="26.15" customHeight="1">
      <c r="A1162" s="7">
        <v>1156</v>
      </c>
      <c r="B1162" s="8" t="s">
        <v>1967</v>
      </c>
      <c r="C1162" s="8"/>
      <c r="D1162" s="8" t="s">
        <v>4284</v>
      </c>
      <c r="E1162" s="8" t="s">
        <v>3116</v>
      </c>
      <c r="F1162" s="9" t="s">
        <v>3117</v>
      </c>
      <c r="G1162" s="10">
        <v>42998</v>
      </c>
      <c r="H1162" s="8" t="s">
        <v>34</v>
      </c>
      <c r="I1162" s="11" t="s">
        <v>50</v>
      </c>
      <c r="J1162" s="8" t="s">
        <v>82</v>
      </c>
      <c r="K1162" s="8" t="s">
        <v>83</v>
      </c>
      <c r="L1162" s="7"/>
      <c r="M1162" s="8" t="s">
        <v>79</v>
      </c>
      <c r="N1162" s="11">
        <v>680328</v>
      </c>
      <c r="O1162" s="8" t="s">
        <v>86</v>
      </c>
      <c r="P1162" s="8" t="s">
        <v>87</v>
      </c>
      <c r="Q1162" s="8"/>
      <c r="R1162" s="8" t="s">
        <v>4285</v>
      </c>
    </row>
    <row r="1163" spans="1:18" ht="26.15" customHeight="1">
      <c r="A1163" s="7">
        <v>1157</v>
      </c>
      <c r="B1163" s="8" t="s">
        <v>1969</v>
      </c>
      <c r="C1163" s="8" t="s">
        <v>3127</v>
      </c>
      <c r="D1163" s="8"/>
      <c r="E1163" s="8" t="s">
        <v>3128</v>
      </c>
      <c r="F1163" s="9" t="s">
        <v>3117</v>
      </c>
      <c r="G1163" s="10">
        <v>42998</v>
      </c>
      <c r="H1163" s="8" t="s">
        <v>124</v>
      </c>
      <c r="I1163" s="11">
        <v>1397</v>
      </c>
      <c r="J1163" s="8" t="s">
        <v>523</v>
      </c>
      <c r="K1163" s="8" t="s">
        <v>524</v>
      </c>
      <c r="L1163" s="7">
        <v>2016</v>
      </c>
      <c r="M1163" s="8" t="s">
        <v>121</v>
      </c>
      <c r="N1163" s="11">
        <v>452321</v>
      </c>
      <c r="O1163" s="8" t="s">
        <v>116</v>
      </c>
      <c r="P1163" s="8" t="s">
        <v>527</v>
      </c>
      <c r="Q1163" s="8"/>
      <c r="R1163" s="8"/>
    </row>
    <row r="1164" spans="1:18" ht="26.15" customHeight="1">
      <c r="A1164" s="7">
        <v>1158</v>
      </c>
      <c r="B1164" s="8" t="s">
        <v>4286</v>
      </c>
      <c r="C1164" s="8" t="s">
        <v>3127</v>
      </c>
      <c r="D1164" s="8"/>
      <c r="E1164" s="8" t="s">
        <v>3128</v>
      </c>
      <c r="F1164" s="9" t="s">
        <v>3123</v>
      </c>
      <c r="G1164" s="10">
        <v>42998</v>
      </c>
      <c r="H1164" s="8" t="s">
        <v>124</v>
      </c>
      <c r="I1164" s="11">
        <v>1397</v>
      </c>
      <c r="J1164" s="8" t="s">
        <v>523</v>
      </c>
      <c r="K1164" s="8" t="s">
        <v>524</v>
      </c>
      <c r="L1164" s="7">
        <v>2016</v>
      </c>
      <c r="M1164" s="8" t="s">
        <v>121</v>
      </c>
      <c r="N1164" s="11">
        <v>452321</v>
      </c>
      <c r="O1164" s="8" t="s">
        <v>116</v>
      </c>
      <c r="P1164" s="8" t="s">
        <v>527</v>
      </c>
      <c r="Q1164" s="8"/>
      <c r="R1164" s="8"/>
    </row>
    <row r="1165" spans="1:18" ht="26.15" customHeight="1">
      <c r="A1165" s="7">
        <v>1159</v>
      </c>
      <c r="B1165" s="8" t="s">
        <v>3140</v>
      </c>
      <c r="C1165" s="8" t="s">
        <v>3139</v>
      </c>
      <c r="D1165" s="8" t="s">
        <v>3141</v>
      </c>
      <c r="E1165" s="8" t="s">
        <v>3116</v>
      </c>
      <c r="F1165" s="9" t="s">
        <v>3123</v>
      </c>
      <c r="G1165" s="10">
        <v>42992</v>
      </c>
      <c r="H1165" s="8" t="s">
        <v>34</v>
      </c>
      <c r="I1165" s="11">
        <v>2000000</v>
      </c>
      <c r="J1165" s="8" t="s">
        <v>1970</v>
      </c>
      <c r="K1165" s="8" t="s">
        <v>1971</v>
      </c>
      <c r="L1165" s="7">
        <v>2012</v>
      </c>
      <c r="M1165" s="8" t="s">
        <v>954</v>
      </c>
      <c r="N1165" s="11">
        <v>3000000</v>
      </c>
      <c r="O1165" s="8" t="s">
        <v>1973</v>
      </c>
      <c r="P1165" s="8" t="s">
        <v>1974</v>
      </c>
      <c r="Q1165" s="8"/>
      <c r="R1165" s="8" t="s">
        <v>954</v>
      </c>
    </row>
    <row r="1166" spans="1:18" ht="26.15" customHeight="1">
      <c r="A1166" s="7">
        <v>1160</v>
      </c>
      <c r="B1166" s="8" t="s">
        <v>4287</v>
      </c>
      <c r="C1166" s="8" t="s">
        <v>3114</v>
      </c>
      <c r="D1166" s="8" t="s">
        <v>4288</v>
      </c>
      <c r="E1166" s="8" t="s">
        <v>3116</v>
      </c>
      <c r="F1166" s="9" t="s">
        <v>3123</v>
      </c>
      <c r="G1166" s="10">
        <v>42991</v>
      </c>
      <c r="H1166" s="8" t="s">
        <v>34</v>
      </c>
      <c r="I1166" s="11">
        <v>17990</v>
      </c>
      <c r="J1166" s="8" t="s">
        <v>737</v>
      </c>
      <c r="K1166" s="8" t="s">
        <v>738</v>
      </c>
      <c r="L1166" s="7">
        <v>2016</v>
      </c>
      <c r="M1166" s="8" t="s">
        <v>740</v>
      </c>
      <c r="N1166" s="11">
        <v>17990</v>
      </c>
      <c r="O1166" s="8" t="s">
        <v>741</v>
      </c>
      <c r="P1166" s="8" t="s">
        <v>742</v>
      </c>
      <c r="Q1166" s="8"/>
      <c r="R1166" s="8" t="s">
        <v>3357</v>
      </c>
    </row>
    <row r="1167" spans="1:18" ht="26.15" customHeight="1">
      <c r="A1167" s="7">
        <v>1161</v>
      </c>
      <c r="B1167" s="8" t="s">
        <v>484</v>
      </c>
      <c r="C1167" s="8" t="s">
        <v>3114</v>
      </c>
      <c r="D1167" s="8" t="s">
        <v>3164</v>
      </c>
      <c r="E1167" s="8" t="s">
        <v>3116</v>
      </c>
      <c r="F1167" s="9" t="s">
        <v>3117</v>
      </c>
      <c r="G1167" s="10">
        <v>42990</v>
      </c>
      <c r="H1167" s="8" t="s">
        <v>34</v>
      </c>
      <c r="I1167" s="11">
        <v>624977</v>
      </c>
      <c r="J1167" s="8" t="s">
        <v>110</v>
      </c>
      <c r="K1167" s="8" t="s">
        <v>111</v>
      </c>
      <c r="L1167" s="7">
        <v>2010</v>
      </c>
      <c r="M1167" s="8" t="s">
        <v>79</v>
      </c>
      <c r="N1167" s="11">
        <v>10726419</v>
      </c>
      <c r="O1167" s="8" t="s">
        <v>114</v>
      </c>
      <c r="P1167" s="8" t="s">
        <v>115</v>
      </c>
      <c r="Q1167" s="8"/>
      <c r="R1167" s="8" t="s">
        <v>313</v>
      </c>
    </row>
    <row r="1168" spans="1:18" ht="26.15" customHeight="1">
      <c r="A1168" s="7">
        <v>1162</v>
      </c>
      <c r="B1168" s="8" t="s">
        <v>1609</v>
      </c>
      <c r="C1168" s="8" t="s">
        <v>3114</v>
      </c>
      <c r="D1168" s="8" t="s">
        <v>3544</v>
      </c>
      <c r="E1168" s="8" t="s">
        <v>3116</v>
      </c>
      <c r="F1168" s="9" t="s">
        <v>3123</v>
      </c>
      <c r="G1168" s="10">
        <v>42989</v>
      </c>
      <c r="H1168" s="8" t="s">
        <v>184</v>
      </c>
      <c r="I1168" s="11">
        <v>150000</v>
      </c>
      <c r="J1168" s="8" t="s">
        <v>177</v>
      </c>
      <c r="K1168" s="8" t="s">
        <v>178</v>
      </c>
      <c r="L1168" s="7">
        <v>2015</v>
      </c>
      <c r="M1168" s="8" t="s">
        <v>181</v>
      </c>
      <c r="N1168" s="11"/>
      <c r="O1168" s="8" t="s">
        <v>182</v>
      </c>
      <c r="P1168" s="8" t="s">
        <v>183</v>
      </c>
      <c r="Q1168" s="8"/>
      <c r="R1168" s="8" t="s">
        <v>3166</v>
      </c>
    </row>
    <row r="1169" spans="1:18" ht="26.15" customHeight="1">
      <c r="A1169" s="7">
        <v>1163</v>
      </c>
      <c r="B1169" s="8" t="s">
        <v>1980</v>
      </c>
      <c r="C1169" s="8" t="s">
        <v>3114</v>
      </c>
      <c r="D1169" s="8" t="s">
        <v>3451</v>
      </c>
      <c r="E1169" s="8" t="s">
        <v>3116</v>
      </c>
      <c r="F1169" s="9" t="s">
        <v>3117</v>
      </c>
      <c r="G1169" s="10">
        <v>42986</v>
      </c>
      <c r="H1169" s="8" t="s">
        <v>34</v>
      </c>
      <c r="I1169" s="11">
        <v>296585</v>
      </c>
      <c r="J1169" s="8" t="s">
        <v>1976</v>
      </c>
      <c r="K1169" s="8" t="s">
        <v>1977</v>
      </c>
      <c r="L1169" s="7">
        <v>2017</v>
      </c>
      <c r="M1169" s="8" t="s">
        <v>79</v>
      </c>
      <c r="N1169" s="11">
        <v>296585</v>
      </c>
      <c r="O1169" s="8" t="s">
        <v>1981</v>
      </c>
      <c r="P1169" s="8" t="s">
        <v>1982</v>
      </c>
      <c r="Q1169" s="8"/>
      <c r="R1169" s="8" t="s">
        <v>56</v>
      </c>
    </row>
    <row r="1170" spans="1:18" ht="26.15" customHeight="1">
      <c r="A1170" s="7">
        <v>1164</v>
      </c>
      <c r="B1170" s="8" t="s">
        <v>4289</v>
      </c>
      <c r="C1170" s="8" t="s">
        <v>3127</v>
      </c>
      <c r="D1170" s="8"/>
      <c r="E1170" s="8" t="s">
        <v>3128</v>
      </c>
      <c r="F1170" s="9" t="s">
        <v>3123</v>
      </c>
      <c r="G1170" s="10">
        <v>42986</v>
      </c>
      <c r="H1170" s="8" t="s">
        <v>34</v>
      </c>
      <c r="I1170" s="11">
        <v>296585</v>
      </c>
      <c r="J1170" s="8" t="s">
        <v>1976</v>
      </c>
      <c r="K1170" s="8" t="s">
        <v>1977</v>
      </c>
      <c r="L1170" s="7">
        <v>2017</v>
      </c>
      <c r="M1170" s="8" t="s">
        <v>79</v>
      </c>
      <c r="N1170" s="11">
        <v>296585</v>
      </c>
      <c r="O1170" s="8" t="s">
        <v>1981</v>
      </c>
      <c r="P1170" s="8" t="s">
        <v>1982</v>
      </c>
      <c r="Q1170" s="8"/>
      <c r="R1170" s="8"/>
    </row>
    <row r="1171" spans="1:18" ht="26.15" customHeight="1">
      <c r="A1171" s="7">
        <v>1165</v>
      </c>
      <c r="B1171" s="8" t="s">
        <v>4290</v>
      </c>
      <c r="C1171" s="8" t="s">
        <v>3127</v>
      </c>
      <c r="D1171" s="8"/>
      <c r="E1171" s="8" t="s">
        <v>3128</v>
      </c>
      <c r="F1171" s="9" t="s">
        <v>3123</v>
      </c>
      <c r="G1171" s="10">
        <v>42986</v>
      </c>
      <c r="H1171" s="8" t="s">
        <v>34</v>
      </c>
      <c r="I1171" s="11">
        <v>296585</v>
      </c>
      <c r="J1171" s="8" t="s">
        <v>1976</v>
      </c>
      <c r="K1171" s="8" t="s">
        <v>1977</v>
      </c>
      <c r="L1171" s="7">
        <v>2017</v>
      </c>
      <c r="M1171" s="8" t="s">
        <v>79</v>
      </c>
      <c r="N1171" s="11">
        <v>296585</v>
      </c>
      <c r="O1171" s="8" t="s">
        <v>1981</v>
      </c>
      <c r="P1171" s="8" t="s">
        <v>1982</v>
      </c>
      <c r="Q1171" s="8"/>
      <c r="R1171" s="8"/>
    </row>
    <row r="1172" spans="1:18" ht="26.15" customHeight="1">
      <c r="A1172" s="7">
        <v>1166</v>
      </c>
      <c r="B1172" s="8" t="s">
        <v>4291</v>
      </c>
      <c r="C1172" s="8" t="s">
        <v>3127</v>
      </c>
      <c r="D1172" s="8"/>
      <c r="E1172" s="8" t="s">
        <v>3128</v>
      </c>
      <c r="F1172" s="9" t="s">
        <v>3123</v>
      </c>
      <c r="G1172" s="10">
        <v>42986</v>
      </c>
      <c r="H1172" s="8" t="s">
        <v>34</v>
      </c>
      <c r="I1172" s="11">
        <v>296585</v>
      </c>
      <c r="J1172" s="8" t="s">
        <v>1976</v>
      </c>
      <c r="K1172" s="8" t="s">
        <v>1977</v>
      </c>
      <c r="L1172" s="7">
        <v>2017</v>
      </c>
      <c r="M1172" s="8" t="s">
        <v>79</v>
      </c>
      <c r="N1172" s="11">
        <v>296585</v>
      </c>
      <c r="O1172" s="8" t="s">
        <v>1981</v>
      </c>
      <c r="P1172" s="8" t="s">
        <v>1982</v>
      </c>
      <c r="Q1172" s="8"/>
      <c r="R1172" s="8"/>
    </row>
    <row r="1173" spans="1:18" ht="26.15" customHeight="1">
      <c r="A1173" s="7">
        <v>1167</v>
      </c>
      <c r="B1173" s="8" t="s">
        <v>4292</v>
      </c>
      <c r="C1173" s="8" t="s">
        <v>3127</v>
      </c>
      <c r="D1173" s="8"/>
      <c r="E1173" s="8" t="s">
        <v>3128</v>
      </c>
      <c r="F1173" s="9" t="s">
        <v>3123</v>
      </c>
      <c r="G1173" s="10">
        <v>42986</v>
      </c>
      <c r="H1173" s="8" t="s">
        <v>34</v>
      </c>
      <c r="I1173" s="11">
        <v>296585</v>
      </c>
      <c r="J1173" s="8" t="s">
        <v>1976</v>
      </c>
      <c r="K1173" s="8" t="s">
        <v>1977</v>
      </c>
      <c r="L1173" s="7">
        <v>2017</v>
      </c>
      <c r="M1173" s="8" t="s">
        <v>79</v>
      </c>
      <c r="N1173" s="11">
        <v>296585</v>
      </c>
      <c r="O1173" s="8" t="s">
        <v>1981</v>
      </c>
      <c r="P1173" s="8" t="s">
        <v>1982</v>
      </c>
      <c r="Q1173" s="8"/>
      <c r="R1173" s="8"/>
    </row>
    <row r="1174" spans="1:18" ht="26.15" customHeight="1">
      <c r="A1174" s="7">
        <v>1168</v>
      </c>
      <c r="B1174" s="8" t="s">
        <v>4293</v>
      </c>
      <c r="C1174" s="8" t="s">
        <v>3127</v>
      </c>
      <c r="D1174" s="8"/>
      <c r="E1174" s="8" t="s">
        <v>3128</v>
      </c>
      <c r="F1174" s="9" t="s">
        <v>3123</v>
      </c>
      <c r="G1174" s="10">
        <v>42986</v>
      </c>
      <c r="H1174" s="8" t="s">
        <v>34</v>
      </c>
      <c r="I1174" s="11">
        <v>296585</v>
      </c>
      <c r="J1174" s="8" t="s">
        <v>1976</v>
      </c>
      <c r="K1174" s="8" t="s">
        <v>1977</v>
      </c>
      <c r="L1174" s="7">
        <v>2017</v>
      </c>
      <c r="M1174" s="8" t="s">
        <v>79</v>
      </c>
      <c r="N1174" s="11">
        <v>296585</v>
      </c>
      <c r="O1174" s="8" t="s">
        <v>1981</v>
      </c>
      <c r="P1174" s="8" t="s">
        <v>1982</v>
      </c>
      <c r="Q1174" s="8"/>
      <c r="R1174" s="8"/>
    </row>
    <row r="1175" spans="1:18" ht="26.15" customHeight="1">
      <c r="A1175" s="7">
        <v>1169</v>
      </c>
      <c r="B1175" s="8" t="s">
        <v>4294</v>
      </c>
      <c r="C1175" s="8" t="s">
        <v>3127</v>
      </c>
      <c r="D1175" s="8"/>
      <c r="E1175" s="8" t="s">
        <v>3128</v>
      </c>
      <c r="F1175" s="9" t="s">
        <v>3123</v>
      </c>
      <c r="G1175" s="10">
        <v>42986</v>
      </c>
      <c r="H1175" s="8" t="s">
        <v>34</v>
      </c>
      <c r="I1175" s="11">
        <v>296585</v>
      </c>
      <c r="J1175" s="8" t="s">
        <v>1976</v>
      </c>
      <c r="K1175" s="8" t="s">
        <v>1977</v>
      </c>
      <c r="L1175" s="7">
        <v>2017</v>
      </c>
      <c r="M1175" s="8" t="s">
        <v>79</v>
      </c>
      <c r="N1175" s="11">
        <v>296585</v>
      </c>
      <c r="O1175" s="8" t="s">
        <v>1981</v>
      </c>
      <c r="P1175" s="8" t="s">
        <v>1982</v>
      </c>
      <c r="Q1175" s="8"/>
      <c r="R1175" s="8"/>
    </row>
    <row r="1176" spans="1:18" ht="26.15" customHeight="1">
      <c r="A1176" s="7">
        <v>1170</v>
      </c>
      <c r="B1176" s="8" t="s">
        <v>4295</v>
      </c>
      <c r="C1176" s="8" t="s">
        <v>3127</v>
      </c>
      <c r="D1176" s="8"/>
      <c r="E1176" s="8" t="s">
        <v>3128</v>
      </c>
      <c r="F1176" s="9" t="s">
        <v>3123</v>
      </c>
      <c r="G1176" s="10">
        <v>42986</v>
      </c>
      <c r="H1176" s="8" t="s">
        <v>34</v>
      </c>
      <c r="I1176" s="11">
        <v>296585</v>
      </c>
      <c r="J1176" s="8" t="s">
        <v>1976</v>
      </c>
      <c r="K1176" s="8" t="s">
        <v>1977</v>
      </c>
      <c r="L1176" s="7">
        <v>2017</v>
      </c>
      <c r="M1176" s="8" t="s">
        <v>79</v>
      </c>
      <c r="N1176" s="11">
        <v>296585</v>
      </c>
      <c r="O1176" s="8" t="s">
        <v>1981</v>
      </c>
      <c r="P1176" s="8" t="s">
        <v>1982</v>
      </c>
      <c r="Q1176" s="8"/>
      <c r="R1176" s="8"/>
    </row>
    <row r="1177" spans="1:18" ht="26.15" customHeight="1">
      <c r="A1177" s="7">
        <v>1171</v>
      </c>
      <c r="B1177" s="8" t="s">
        <v>4296</v>
      </c>
      <c r="C1177" s="8" t="s">
        <v>3139</v>
      </c>
      <c r="D1177" s="8" t="s">
        <v>4297</v>
      </c>
      <c r="E1177" s="8" t="s">
        <v>3116</v>
      </c>
      <c r="F1177" s="9" t="s">
        <v>3123</v>
      </c>
      <c r="G1177" s="10">
        <v>42986</v>
      </c>
      <c r="H1177" s="8" t="s">
        <v>109</v>
      </c>
      <c r="I1177" s="11" t="s">
        <v>50</v>
      </c>
      <c r="J1177" s="8" t="s">
        <v>1983</v>
      </c>
      <c r="K1177" s="8" t="s">
        <v>1984</v>
      </c>
      <c r="L1177" s="7">
        <v>2013</v>
      </c>
      <c r="M1177" s="8" t="s">
        <v>39</v>
      </c>
      <c r="N1177" s="11"/>
      <c r="O1177" s="8" t="s">
        <v>1986</v>
      </c>
      <c r="P1177" s="8" t="s">
        <v>1987</v>
      </c>
      <c r="Q1177" s="8"/>
      <c r="R1177" s="8" t="s">
        <v>39</v>
      </c>
    </row>
    <row r="1178" spans="1:18" ht="26.15" customHeight="1">
      <c r="A1178" s="7">
        <v>1172</v>
      </c>
      <c r="B1178" s="8" t="s">
        <v>3781</v>
      </c>
      <c r="C1178" s="8" t="s">
        <v>3114</v>
      </c>
      <c r="D1178" s="8" t="s">
        <v>3782</v>
      </c>
      <c r="E1178" s="8" t="s">
        <v>3116</v>
      </c>
      <c r="F1178" s="9" t="s">
        <v>3117</v>
      </c>
      <c r="G1178" s="10">
        <v>42979</v>
      </c>
      <c r="H1178" s="8" t="s">
        <v>34</v>
      </c>
      <c r="I1178" s="11">
        <v>3200000</v>
      </c>
      <c r="J1178" s="8" t="s">
        <v>1246</v>
      </c>
      <c r="K1178" s="8" t="s">
        <v>1247</v>
      </c>
      <c r="L1178" s="7">
        <v>2017</v>
      </c>
      <c r="M1178" s="8" t="s">
        <v>1251</v>
      </c>
      <c r="N1178" s="11">
        <v>15000000</v>
      </c>
      <c r="O1178" s="8" t="s">
        <v>1252</v>
      </c>
      <c r="P1178" s="8" t="s">
        <v>1253</v>
      </c>
      <c r="Q1178" s="8"/>
      <c r="R1178" s="8" t="s">
        <v>1251</v>
      </c>
    </row>
    <row r="1179" spans="1:18" ht="26.15" customHeight="1">
      <c r="A1179" s="7">
        <v>1173</v>
      </c>
      <c r="B1179" s="8" t="s">
        <v>3783</v>
      </c>
      <c r="C1179" s="8" t="s">
        <v>3139</v>
      </c>
      <c r="D1179" s="8" t="s">
        <v>3784</v>
      </c>
      <c r="E1179" s="8" t="s">
        <v>3116</v>
      </c>
      <c r="F1179" s="9" t="s">
        <v>3117</v>
      </c>
      <c r="G1179" s="10">
        <v>42979</v>
      </c>
      <c r="H1179" s="8" t="s">
        <v>34</v>
      </c>
      <c r="I1179" s="11">
        <v>3200000</v>
      </c>
      <c r="J1179" s="8" t="s">
        <v>1246</v>
      </c>
      <c r="K1179" s="8" t="s">
        <v>1247</v>
      </c>
      <c r="L1179" s="7">
        <v>2017</v>
      </c>
      <c r="M1179" s="8" t="s">
        <v>1251</v>
      </c>
      <c r="N1179" s="11">
        <v>15000000</v>
      </c>
      <c r="O1179" s="8" t="s">
        <v>1252</v>
      </c>
      <c r="P1179" s="8" t="s">
        <v>1253</v>
      </c>
      <c r="Q1179" s="8"/>
      <c r="R1179" s="8" t="s">
        <v>369</v>
      </c>
    </row>
    <row r="1180" spans="1:18" ht="26.15" customHeight="1">
      <c r="A1180" s="7">
        <v>1174</v>
      </c>
      <c r="B1180" s="8" t="s">
        <v>3218</v>
      </c>
      <c r="C1180" s="8" t="s">
        <v>3114</v>
      </c>
      <c r="D1180" s="8" t="s">
        <v>3219</v>
      </c>
      <c r="E1180" s="8" t="s">
        <v>3116</v>
      </c>
      <c r="F1180" s="9" t="s">
        <v>3117</v>
      </c>
      <c r="G1180" s="10">
        <v>42979</v>
      </c>
      <c r="H1180" s="8" t="s">
        <v>34</v>
      </c>
      <c r="I1180" s="11">
        <v>3200000</v>
      </c>
      <c r="J1180" s="8" t="s">
        <v>1246</v>
      </c>
      <c r="K1180" s="8" t="s">
        <v>1247</v>
      </c>
      <c r="L1180" s="7">
        <v>2017</v>
      </c>
      <c r="M1180" s="8" t="s">
        <v>1251</v>
      </c>
      <c r="N1180" s="11">
        <v>15000000</v>
      </c>
      <c r="O1180" s="8" t="s">
        <v>1252</v>
      </c>
      <c r="P1180" s="8" t="s">
        <v>1253</v>
      </c>
      <c r="Q1180" s="8"/>
      <c r="R1180" s="8" t="s">
        <v>3220</v>
      </c>
    </row>
    <row r="1181" spans="1:18" ht="26.15" customHeight="1">
      <c r="A1181" s="7">
        <v>1175</v>
      </c>
      <c r="B1181" s="8" t="s">
        <v>1249</v>
      </c>
      <c r="C1181" s="8" t="s">
        <v>3127</v>
      </c>
      <c r="D1181" s="8"/>
      <c r="E1181" s="8" t="s">
        <v>3128</v>
      </c>
      <c r="F1181" s="9" t="s">
        <v>3123</v>
      </c>
      <c r="G1181" s="10">
        <v>42979</v>
      </c>
      <c r="H1181" s="8" t="s">
        <v>34</v>
      </c>
      <c r="I1181" s="11">
        <v>3200000</v>
      </c>
      <c r="J1181" s="8" t="s">
        <v>1246</v>
      </c>
      <c r="K1181" s="8" t="s">
        <v>1247</v>
      </c>
      <c r="L1181" s="7">
        <v>2017</v>
      </c>
      <c r="M1181" s="8" t="s">
        <v>1251</v>
      </c>
      <c r="N1181" s="11">
        <v>15000000</v>
      </c>
      <c r="O1181" s="8" t="s">
        <v>1252</v>
      </c>
      <c r="P1181" s="8" t="s">
        <v>1253</v>
      </c>
      <c r="Q1181" s="8"/>
      <c r="R1181" s="8"/>
    </row>
    <row r="1182" spans="1:18" ht="26.15" customHeight="1">
      <c r="A1182" s="7">
        <v>1176</v>
      </c>
      <c r="B1182" s="8" t="s">
        <v>3639</v>
      </c>
      <c r="C1182" s="8" t="s">
        <v>3114</v>
      </c>
      <c r="D1182" s="8" t="s">
        <v>3640</v>
      </c>
      <c r="E1182" s="8" t="s">
        <v>3116</v>
      </c>
      <c r="F1182" s="9" t="s">
        <v>3123</v>
      </c>
      <c r="G1182" s="10">
        <v>42977</v>
      </c>
      <c r="H1182" s="8" t="s">
        <v>184</v>
      </c>
      <c r="I1182" s="11" t="s">
        <v>50</v>
      </c>
      <c r="J1182" s="8" t="s">
        <v>1990</v>
      </c>
      <c r="K1182" s="8" t="s">
        <v>1991</v>
      </c>
      <c r="L1182" s="7">
        <v>2014</v>
      </c>
      <c r="M1182" s="8" t="s">
        <v>79</v>
      </c>
      <c r="N1182" s="11"/>
      <c r="O1182" s="8" t="s">
        <v>1992</v>
      </c>
      <c r="P1182" s="8" t="s">
        <v>1993</v>
      </c>
      <c r="Q1182" s="8"/>
      <c r="R1182" s="8" t="s">
        <v>79</v>
      </c>
    </row>
    <row r="1183" spans="1:18" ht="26.15" customHeight="1">
      <c r="A1183" s="7">
        <v>1177</v>
      </c>
      <c r="B1183" s="8" t="s">
        <v>3639</v>
      </c>
      <c r="C1183" s="8" t="s">
        <v>3114</v>
      </c>
      <c r="D1183" s="8" t="s">
        <v>3640</v>
      </c>
      <c r="E1183" s="8" t="s">
        <v>3116</v>
      </c>
      <c r="F1183" s="9" t="s">
        <v>3123</v>
      </c>
      <c r="G1183" s="10">
        <v>42977</v>
      </c>
      <c r="H1183" s="8" t="s">
        <v>184</v>
      </c>
      <c r="I1183" s="11" t="s">
        <v>50</v>
      </c>
      <c r="J1183" s="8" t="s">
        <v>1994</v>
      </c>
      <c r="K1183" s="8" t="s">
        <v>1995</v>
      </c>
      <c r="L1183" s="7">
        <v>2014</v>
      </c>
      <c r="M1183" s="8" t="s">
        <v>1996</v>
      </c>
      <c r="N1183" s="11"/>
      <c r="O1183" s="8" t="s">
        <v>1997</v>
      </c>
      <c r="P1183" s="8" t="s">
        <v>1998</v>
      </c>
      <c r="Q1183" s="8"/>
      <c r="R1183" s="8" t="s">
        <v>79</v>
      </c>
    </row>
    <row r="1184" spans="1:18" ht="26.15" customHeight="1">
      <c r="A1184" s="7">
        <v>1178</v>
      </c>
      <c r="B1184" s="8" t="s">
        <v>2002</v>
      </c>
      <c r="C1184" s="8" t="s">
        <v>3127</v>
      </c>
      <c r="D1184" s="8"/>
      <c r="E1184" s="8" t="s">
        <v>3128</v>
      </c>
      <c r="F1184" s="9" t="s">
        <v>3117</v>
      </c>
      <c r="G1184" s="10">
        <v>42972</v>
      </c>
      <c r="H1184" s="8" t="s">
        <v>124</v>
      </c>
      <c r="I1184" s="11">
        <v>156019</v>
      </c>
      <c r="J1184" s="8" t="s">
        <v>1999</v>
      </c>
      <c r="K1184" s="8" t="s">
        <v>2000</v>
      </c>
      <c r="L1184" s="7">
        <v>2007</v>
      </c>
      <c r="M1184" s="8" t="s">
        <v>313</v>
      </c>
      <c r="N1184" s="11">
        <v>205825</v>
      </c>
      <c r="O1184" s="8" t="s">
        <v>2003</v>
      </c>
      <c r="P1184" s="8" t="s">
        <v>2004</v>
      </c>
      <c r="Q1184" s="8"/>
      <c r="R1184" s="8"/>
    </row>
    <row r="1185" spans="1:18" ht="26.15" customHeight="1">
      <c r="A1185" s="7">
        <v>1179</v>
      </c>
      <c r="B1185" s="8" t="s">
        <v>4298</v>
      </c>
      <c r="C1185" s="8" t="s">
        <v>3127</v>
      </c>
      <c r="D1185" s="8"/>
      <c r="E1185" s="8" t="s">
        <v>3128</v>
      </c>
      <c r="F1185" s="9" t="s">
        <v>3123</v>
      </c>
      <c r="G1185" s="10">
        <v>42972</v>
      </c>
      <c r="H1185" s="8" t="s">
        <v>124</v>
      </c>
      <c r="I1185" s="11">
        <v>156019</v>
      </c>
      <c r="J1185" s="8" t="s">
        <v>1999</v>
      </c>
      <c r="K1185" s="8" t="s">
        <v>2000</v>
      </c>
      <c r="L1185" s="7">
        <v>2007</v>
      </c>
      <c r="M1185" s="8" t="s">
        <v>313</v>
      </c>
      <c r="N1185" s="11">
        <v>205825</v>
      </c>
      <c r="O1185" s="8" t="s">
        <v>2003</v>
      </c>
      <c r="P1185" s="8" t="s">
        <v>2004</v>
      </c>
      <c r="Q1185" s="8"/>
      <c r="R1185" s="8"/>
    </row>
    <row r="1186" spans="1:18" ht="26.15" customHeight="1">
      <c r="A1186" s="7">
        <v>1180</v>
      </c>
      <c r="B1186" s="8" t="s">
        <v>4299</v>
      </c>
      <c r="C1186" s="8" t="s">
        <v>3127</v>
      </c>
      <c r="D1186" s="8"/>
      <c r="E1186" s="8" t="s">
        <v>3128</v>
      </c>
      <c r="F1186" s="9" t="s">
        <v>3123</v>
      </c>
      <c r="G1186" s="10">
        <v>42972</v>
      </c>
      <c r="H1186" s="8" t="s">
        <v>124</v>
      </c>
      <c r="I1186" s="11">
        <v>156019</v>
      </c>
      <c r="J1186" s="8" t="s">
        <v>1999</v>
      </c>
      <c r="K1186" s="8" t="s">
        <v>2000</v>
      </c>
      <c r="L1186" s="7">
        <v>2007</v>
      </c>
      <c r="M1186" s="8" t="s">
        <v>313</v>
      </c>
      <c r="N1186" s="11">
        <v>205825</v>
      </c>
      <c r="O1186" s="8" t="s">
        <v>2003</v>
      </c>
      <c r="P1186" s="8" t="s">
        <v>2004</v>
      </c>
      <c r="Q1186" s="8"/>
      <c r="R1186" s="8"/>
    </row>
    <row r="1187" spans="1:18" ht="26.15" customHeight="1">
      <c r="A1187" s="7">
        <v>1181</v>
      </c>
      <c r="B1187" s="8" t="s">
        <v>4300</v>
      </c>
      <c r="C1187" s="8" t="s">
        <v>3127</v>
      </c>
      <c r="D1187" s="8"/>
      <c r="E1187" s="8" t="s">
        <v>3128</v>
      </c>
      <c r="F1187" s="9" t="s">
        <v>3123</v>
      </c>
      <c r="G1187" s="10">
        <v>42972</v>
      </c>
      <c r="H1187" s="8" t="s">
        <v>124</v>
      </c>
      <c r="I1187" s="11">
        <v>156019</v>
      </c>
      <c r="J1187" s="8" t="s">
        <v>1999</v>
      </c>
      <c r="K1187" s="8" t="s">
        <v>2000</v>
      </c>
      <c r="L1187" s="7">
        <v>2007</v>
      </c>
      <c r="M1187" s="8" t="s">
        <v>313</v>
      </c>
      <c r="N1187" s="11">
        <v>205825</v>
      </c>
      <c r="O1187" s="8" t="s">
        <v>2003</v>
      </c>
      <c r="P1187" s="8" t="s">
        <v>2004</v>
      </c>
      <c r="Q1187" s="8"/>
      <c r="R1187" s="8"/>
    </row>
    <row r="1188" spans="1:18" ht="26.15" customHeight="1">
      <c r="A1188" s="7">
        <v>1182</v>
      </c>
      <c r="B1188" s="8" t="s">
        <v>4301</v>
      </c>
      <c r="C1188" s="8" t="s">
        <v>3114</v>
      </c>
      <c r="D1188" s="8" t="s">
        <v>4302</v>
      </c>
      <c r="E1188" s="8" t="s">
        <v>3116</v>
      </c>
      <c r="F1188" s="9" t="s">
        <v>3123</v>
      </c>
      <c r="G1188" s="10">
        <v>42972</v>
      </c>
      <c r="H1188" s="8" t="s">
        <v>289</v>
      </c>
      <c r="I1188" s="11" t="s">
        <v>50</v>
      </c>
      <c r="J1188" s="8" t="s">
        <v>2005</v>
      </c>
      <c r="K1188" s="8" t="s">
        <v>2006</v>
      </c>
      <c r="L1188" s="7">
        <v>2014</v>
      </c>
      <c r="M1188" s="8" t="s">
        <v>2008</v>
      </c>
      <c r="N1188" s="11"/>
      <c r="O1188" s="8" t="s">
        <v>2009</v>
      </c>
      <c r="P1188" s="8" t="s">
        <v>2010</v>
      </c>
      <c r="Q1188" s="8"/>
      <c r="R1188" s="8" t="s">
        <v>3357</v>
      </c>
    </row>
    <row r="1189" spans="1:18" ht="26.15" customHeight="1">
      <c r="A1189" s="7">
        <v>1183</v>
      </c>
      <c r="B1189" s="8" t="s">
        <v>746</v>
      </c>
      <c r="C1189" s="8" t="s">
        <v>3114</v>
      </c>
      <c r="D1189" s="8" t="s">
        <v>3475</v>
      </c>
      <c r="E1189" s="8" t="s">
        <v>3116</v>
      </c>
      <c r="F1189" s="9" t="s">
        <v>3117</v>
      </c>
      <c r="G1189" s="10">
        <v>42961</v>
      </c>
      <c r="H1189" s="8" t="s">
        <v>109</v>
      </c>
      <c r="I1189" s="11">
        <v>6305660</v>
      </c>
      <c r="J1189" s="8" t="s">
        <v>1115</v>
      </c>
      <c r="K1189" s="8" t="s">
        <v>1116</v>
      </c>
      <c r="L1189" s="7">
        <v>2009</v>
      </c>
      <c r="M1189" s="8" t="s">
        <v>313</v>
      </c>
      <c r="N1189" s="11">
        <v>14634837</v>
      </c>
      <c r="O1189" s="8" t="s">
        <v>1118</v>
      </c>
      <c r="P1189" s="8" t="s">
        <v>1119</v>
      </c>
      <c r="Q1189" s="8"/>
      <c r="R1189" s="8" t="s">
        <v>79</v>
      </c>
    </row>
    <row r="1190" spans="1:18" ht="26.15" customHeight="1">
      <c r="A1190" s="7">
        <v>1184</v>
      </c>
      <c r="B1190" s="8" t="s">
        <v>2992</v>
      </c>
      <c r="C1190" s="8" t="s">
        <v>3114</v>
      </c>
      <c r="D1190" s="8" t="s">
        <v>4303</v>
      </c>
      <c r="E1190" s="8" t="s">
        <v>3116</v>
      </c>
      <c r="F1190" s="9" t="s">
        <v>3123</v>
      </c>
      <c r="G1190" s="10">
        <v>42961</v>
      </c>
      <c r="H1190" s="8" t="s">
        <v>109</v>
      </c>
      <c r="I1190" s="11">
        <v>6305660</v>
      </c>
      <c r="J1190" s="8" t="s">
        <v>1115</v>
      </c>
      <c r="K1190" s="8" t="s">
        <v>1116</v>
      </c>
      <c r="L1190" s="7">
        <v>2009</v>
      </c>
      <c r="M1190" s="8" t="s">
        <v>313</v>
      </c>
      <c r="N1190" s="11">
        <v>14634837</v>
      </c>
      <c r="O1190" s="8" t="s">
        <v>1118</v>
      </c>
      <c r="P1190" s="8" t="s">
        <v>1119</v>
      </c>
      <c r="Q1190" s="8"/>
      <c r="R1190" s="8" t="s">
        <v>313</v>
      </c>
    </row>
    <row r="1191" spans="1:18" ht="26.15" customHeight="1">
      <c r="A1191" s="7">
        <v>1185</v>
      </c>
      <c r="B1191" s="8" t="s">
        <v>3726</v>
      </c>
      <c r="C1191" s="8" t="s">
        <v>3114</v>
      </c>
      <c r="D1191" s="8" t="s">
        <v>3727</v>
      </c>
      <c r="E1191" s="8" t="s">
        <v>3116</v>
      </c>
      <c r="F1191" s="9" t="s">
        <v>3123</v>
      </c>
      <c r="G1191" s="10">
        <v>42961</v>
      </c>
      <c r="H1191" s="8" t="s">
        <v>109</v>
      </c>
      <c r="I1191" s="11">
        <v>6305660</v>
      </c>
      <c r="J1191" s="8" t="s">
        <v>1115</v>
      </c>
      <c r="K1191" s="8" t="s">
        <v>1116</v>
      </c>
      <c r="L1191" s="7">
        <v>2009</v>
      </c>
      <c r="M1191" s="8" t="s">
        <v>313</v>
      </c>
      <c r="N1191" s="11">
        <v>14634837</v>
      </c>
      <c r="O1191" s="8" t="s">
        <v>1118</v>
      </c>
      <c r="P1191" s="8" t="s">
        <v>1119</v>
      </c>
      <c r="Q1191" s="8"/>
      <c r="R1191" s="8" t="s">
        <v>313</v>
      </c>
    </row>
    <row r="1192" spans="1:18" ht="26.15" customHeight="1">
      <c r="A1192" s="7">
        <v>1186</v>
      </c>
      <c r="B1192" s="8" t="s">
        <v>2014</v>
      </c>
      <c r="C1192" s="8" t="s">
        <v>3114</v>
      </c>
      <c r="D1192" s="8" t="s">
        <v>4304</v>
      </c>
      <c r="E1192" s="8" t="s">
        <v>3116</v>
      </c>
      <c r="F1192" s="9" t="s">
        <v>3117</v>
      </c>
      <c r="G1192" s="10">
        <v>42957</v>
      </c>
      <c r="H1192" s="8" t="s">
        <v>34</v>
      </c>
      <c r="I1192" s="11">
        <v>2580220</v>
      </c>
      <c r="J1192" s="8" t="s">
        <v>259</v>
      </c>
      <c r="K1192" s="8" t="s">
        <v>260</v>
      </c>
      <c r="L1192" s="7">
        <v>2013</v>
      </c>
      <c r="M1192" s="8" t="s">
        <v>79</v>
      </c>
      <c r="N1192" s="11">
        <v>5345286</v>
      </c>
      <c r="O1192" s="8" t="s">
        <v>264</v>
      </c>
      <c r="P1192" s="8" t="s">
        <v>265</v>
      </c>
      <c r="Q1192" s="8"/>
      <c r="R1192" s="8" t="s">
        <v>79</v>
      </c>
    </row>
    <row r="1193" spans="1:18" ht="26.15" customHeight="1">
      <c r="A1193" s="7">
        <v>1187</v>
      </c>
      <c r="B1193" s="8" t="s">
        <v>2667</v>
      </c>
      <c r="C1193" s="8" t="s">
        <v>3114</v>
      </c>
      <c r="D1193" s="8" t="s">
        <v>4305</v>
      </c>
      <c r="E1193" s="8" t="s">
        <v>3116</v>
      </c>
      <c r="F1193" s="9" t="s">
        <v>3123</v>
      </c>
      <c r="G1193" s="10">
        <v>42957</v>
      </c>
      <c r="H1193" s="8" t="s">
        <v>34</v>
      </c>
      <c r="I1193" s="11">
        <v>2580220</v>
      </c>
      <c r="J1193" s="8" t="s">
        <v>259</v>
      </c>
      <c r="K1193" s="8" t="s">
        <v>260</v>
      </c>
      <c r="L1193" s="7">
        <v>2013</v>
      </c>
      <c r="M1193" s="8" t="s">
        <v>79</v>
      </c>
      <c r="N1193" s="11">
        <v>5345286</v>
      </c>
      <c r="O1193" s="8" t="s">
        <v>264</v>
      </c>
      <c r="P1193" s="8" t="s">
        <v>265</v>
      </c>
      <c r="Q1193" s="8"/>
      <c r="R1193" s="8" t="s">
        <v>4306</v>
      </c>
    </row>
    <row r="1194" spans="1:18" ht="26.15" customHeight="1">
      <c r="A1194" s="7">
        <v>1188</v>
      </c>
      <c r="B1194" s="8" t="s">
        <v>3264</v>
      </c>
      <c r="C1194" s="8" t="s">
        <v>3114</v>
      </c>
      <c r="D1194" s="8" t="s">
        <v>3265</v>
      </c>
      <c r="E1194" s="8" t="s">
        <v>3116</v>
      </c>
      <c r="F1194" s="9" t="s">
        <v>3123</v>
      </c>
      <c r="G1194" s="10">
        <v>42957</v>
      </c>
      <c r="H1194" s="8" t="s">
        <v>34</v>
      </c>
      <c r="I1194" s="11">
        <v>2580220</v>
      </c>
      <c r="J1194" s="8" t="s">
        <v>259</v>
      </c>
      <c r="K1194" s="8" t="s">
        <v>260</v>
      </c>
      <c r="L1194" s="7">
        <v>2013</v>
      </c>
      <c r="M1194" s="8" t="s">
        <v>79</v>
      </c>
      <c r="N1194" s="11">
        <v>5345286</v>
      </c>
      <c r="O1194" s="8" t="s">
        <v>264</v>
      </c>
      <c r="P1194" s="8" t="s">
        <v>265</v>
      </c>
      <c r="Q1194" s="8"/>
      <c r="R1194" s="8" t="s">
        <v>3204</v>
      </c>
    </row>
    <row r="1195" spans="1:18" ht="26.15" customHeight="1">
      <c r="A1195" s="7">
        <v>1189</v>
      </c>
      <c r="B1195" s="8" t="s">
        <v>3517</v>
      </c>
      <c r="C1195" s="8" t="s">
        <v>3114</v>
      </c>
      <c r="D1195" s="8" t="s">
        <v>3518</v>
      </c>
      <c r="E1195" s="8" t="s">
        <v>3116</v>
      </c>
      <c r="F1195" s="9" t="s">
        <v>3123</v>
      </c>
      <c r="G1195" s="10">
        <v>42957</v>
      </c>
      <c r="H1195" s="8" t="s">
        <v>34</v>
      </c>
      <c r="I1195" s="11">
        <v>2580220</v>
      </c>
      <c r="J1195" s="8" t="s">
        <v>259</v>
      </c>
      <c r="K1195" s="8" t="s">
        <v>260</v>
      </c>
      <c r="L1195" s="7">
        <v>2013</v>
      </c>
      <c r="M1195" s="8" t="s">
        <v>79</v>
      </c>
      <c r="N1195" s="11">
        <v>5345286</v>
      </c>
      <c r="O1195" s="8" t="s">
        <v>264</v>
      </c>
      <c r="P1195" s="8" t="s">
        <v>265</v>
      </c>
      <c r="Q1195" s="8"/>
      <c r="R1195" s="8" t="s">
        <v>79</v>
      </c>
    </row>
    <row r="1196" spans="1:18" ht="26.15" customHeight="1">
      <c r="A1196" s="7">
        <v>1190</v>
      </c>
      <c r="B1196" s="8" t="s">
        <v>4307</v>
      </c>
      <c r="C1196" s="8" t="s">
        <v>3114</v>
      </c>
      <c r="D1196" s="8" t="s">
        <v>4308</v>
      </c>
      <c r="E1196" s="8" t="s">
        <v>3116</v>
      </c>
      <c r="F1196" s="9" t="s">
        <v>3123</v>
      </c>
      <c r="G1196" s="10">
        <v>42957</v>
      </c>
      <c r="H1196" s="8" t="s">
        <v>34</v>
      </c>
      <c r="I1196" s="11">
        <v>2580220</v>
      </c>
      <c r="J1196" s="8" t="s">
        <v>259</v>
      </c>
      <c r="K1196" s="8" t="s">
        <v>260</v>
      </c>
      <c r="L1196" s="7">
        <v>2013</v>
      </c>
      <c r="M1196" s="8" t="s">
        <v>79</v>
      </c>
      <c r="N1196" s="11">
        <v>5345286</v>
      </c>
      <c r="O1196" s="8" t="s">
        <v>264</v>
      </c>
      <c r="P1196" s="8" t="s">
        <v>265</v>
      </c>
      <c r="Q1196" s="8"/>
      <c r="R1196" s="8" t="s">
        <v>79</v>
      </c>
    </row>
    <row r="1197" spans="1:18" ht="26.15" customHeight="1">
      <c r="A1197" s="7">
        <v>1191</v>
      </c>
      <c r="B1197" s="8" t="s">
        <v>4309</v>
      </c>
      <c r="C1197" s="8" t="s">
        <v>3127</v>
      </c>
      <c r="D1197" s="8"/>
      <c r="E1197" s="8" t="s">
        <v>3128</v>
      </c>
      <c r="F1197" s="9" t="s">
        <v>3123</v>
      </c>
      <c r="G1197" s="10">
        <v>42957</v>
      </c>
      <c r="H1197" s="8" t="s">
        <v>34</v>
      </c>
      <c r="I1197" s="11">
        <v>2580220</v>
      </c>
      <c r="J1197" s="8" t="s">
        <v>259</v>
      </c>
      <c r="K1197" s="8" t="s">
        <v>260</v>
      </c>
      <c r="L1197" s="7">
        <v>2013</v>
      </c>
      <c r="M1197" s="8" t="s">
        <v>79</v>
      </c>
      <c r="N1197" s="11">
        <v>5345286</v>
      </c>
      <c r="O1197" s="8" t="s">
        <v>264</v>
      </c>
      <c r="P1197" s="8" t="s">
        <v>265</v>
      </c>
      <c r="Q1197" s="8"/>
      <c r="R1197" s="8"/>
    </row>
    <row r="1198" spans="1:18" ht="26.15" customHeight="1">
      <c r="A1198" s="7">
        <v>1192</v>
      </c>
      <c r="B1198" s="8" t="s">
        <v>3270</v>
      </c>
      <c r="C1198" s="8" t="s">
        <v>3127</v>
      </c>
      <c r="D1198" s="8"/>
      <c r="E1198" s="8" t="s">
        <v>3128</v>
      </c>
      <c r="F1198" s="9" t="s">
        <v>3123</v>
      </c>
      <c r="G1198" s="10">
        <v>42957</v>
      </c>
      <c r="H1198" s="8" t="s">
        <v>34</v>
      </c>
      <c r="I1198" s="11">
        <v>2580220</v>
      </c>
      <c r="J1198" s="8" t="s">
        <v>259</v>
      </c>
      <c r="K1198" s="8" t="s">
        <v>260</v>
      </c>
      <c r="L1198" s="7">
        <v>2013</v>
      </c>
      <c r="M1198" s="8" t="s">
        <v>79</v>
      </c>
      <c r="N1198" s="11">
        <v>5345286</v>
      </c>
      <c r="O1198" s="8" t="s">
        <v>264</v>
      </c>
      <c r="P1198" s="8" t="s">
        <v>265</v>
      </c>
      <c r="Q1198" s="8"/>
      <c r="R1198" s="8"/>
    </row>
    <row r="1199" spans="1:18" ht="26.15" customHeight="1">
      <c r="A1199" s="7">
        <v>1193</v>
      </c>
      <c r="B1199" s="8" t="s">
        <v>3929</v>
      </c>
      <c r="C1199" s="8" t="s">
        <v>3114</v>
      </c>
      <c r="D1199" s="8" t="s">
        <v>3930</v>
      </c>
      <c r="E1199" s="8" t="s">
        <v>3116</v>
      </c>
      <c r="F1199" s="9" t="s">
        <v>3123</v>
      </c>
      <c r="G1199" s="10">
        <v>42957</v>
      </c>
      <c r="H1199" s="8" t="s">
        <v>34</v>
      </c>
      <c r="I1199" s="11">
        <v>2580220</v>
      </c>
      <c r="J1199" s="8" t="s">
        <v>259</v>
      </c>
      <c r="K1199" s="8" t="s">
        <v>260</v>
      </c>
      <c r="L1199" s="7">
        <v>2013</v>
      </c>
      <c r="M1199" s="8" t="s">
        <v>79</v>
      </c>
      <c r="N1199" s="11">
        <v>5345286</v>
      </c>
      <c r="O1199" s="8" t="s">
        <v>264</v>
      </c>
      <c r="P1199" s="8" t="s">
        <v>265</v>
      </c>
      <c r="Q1199" s="8"/>
      <c r="R1199" s="8" t="s">
        <v>313</v>
      </c>
    </row>
    <row r="1200" spans="1:18" ht="26.15" customHeight="1">
      <c r="A1200" s="7">
        <v>1194</v>
      </c>
      <c r="B1200" s="8" t="s">
        <v>3798</v>
      </c>
      <c r="C1200" s="8" t="s">
        <v>3127</v>
      </c>
      <c r="D1200" s="8"/>
      <c r="E1200" s="8" t="s">
        <v>3128</v>
      </c>
      <c r="F1200" s="9" t="s">
        <v>3123</v>
      </c>
      <c r="G1200" s="10">
        <v>42956</v>
      </c>
      <c r="H1200" s="8" t="s">
        <v>34</v>
      </c>
      <c r="I1200" s="11">
        <v>784000</v>
      </c>
      <c r="J1200" s="8" t="s">
        <v>160</v>
      </c>
      <c r="K1200" s="8" t="s">
        <v>161</v>
      </c>
      <c r="L1200" s="7">
        <v>2016</v>
      </c>
      <c r="M1200" s="8" t="s">
        <v>128</v>
      </c>
      <c r="N1200" s="11">
        <v>5866696</v>
      </c>
      <c r="O1200" s="8" t="s">
        <v>164</v>
      </c>
      <c r="P1200" s="8" t="s">
        <v>165</v>
      </c>
      <c r="Q1200" s="8"/>
      <c r="R1200" s="8"/>
    </row>
    <row r="1201" spans="1:18" ht="26.15" customHeight="1">
      <c r="A1201" s="7">
        <v>1195</v>
      </c>
      <c r="B1201" s="8" t="s">
        <v>2017</v>
      </c>
      <c r="C1201" s="8" t="s">
        <v>3114</v>
      </c>
      <c r="D1201" s="8" t="s">
        <v>3792</v>
      </c>
      <c r="E1201" s="8" t="s">
        <v>3116</v>
      </c>
      <c r="F1201" s="9" t="s">
        <v>3117</v>
      </c>
      <c r="G1201" s="10">
        <v>42956</v>
      </c>
      <c r="H1201" s="8" t="s">
        <v>34</v>
      </c>
      <c r="I1201" s="11">
        <v>784000</v>
      </c>
      <c r="J1201" s="8" t="s">
        <v>160</v>
      </c>
      <c r="K1201" s="8" t="s">
        <v>161</v>
      </c>
      <c r="L1201" s="7">
        <v>2016</v>
      </c>
      <c r="M1201" s="8" t="s">
        <v>128</v>
      </c>
      <c r="N1201" s="11">
        <v>5866696</v>
      </c>
      <c r="O1201" s="8" t="s">
        <v>164</v>
      </c>
      <c r="P1201" s="8" t="s">
        <v>165</v>
      </c>
      <c r="Q1201" s="8"/>
      <c r="R1201" s="8" t="s">
        <v>3543</v>
      </c>
    </row>
    <row r="1202" spans="1:18" ht="26.15" customHeight="1">
      <c r="A1202" s="7">
        <v>1196</v>
      </c>
      <c r="B1202" s="8" t="s">
        <v>4310</v>
      </c>
      <c r="C1202" s="8" t="s">
        <v>3114</v>
      </c>
      <c r="D1202" s="8" t="s">
        <v>4311</v>
      </c>
      <c r="E1202" s="8" t="s">
        <v>3116</v>
      </c>
      <c r="F1202" s="9" t="s">
        <v>3123</v>
      </c>
      <c r="G1202" s="10">
        <v>42956</v>
      </c>
      <c r="H1202" s="8" t="s">
        <v>34</v>
      </c>
      <c r="I1202" s="11">
        <v>784000</v>
      </c>
      <c r="J1202" s="8" t="s">
        <v>160</v>
      </c>
      <c r="K1202" s="8" t="s">
        <v>161</v>
      </c>
      <c r="L1202" s="7">
        <v>2016</v>
      </c>
      <c r="M1202" s="8" t="s">
        <v>128</v>
      </c>
      <c r="N1202" s="11">
        <v>5866696</v>
      </c>
      <c r="O1202" s="8" t="s">
        <v>164</v>
      </c>
      <c r="P1202" s="8" t="s">
        <v>165</v>
      </c>
      <c r="Q1202" s="8"/>
      <c r="R1202" s="8" t="s">
        <v>3470</v>
      </c>
    </row>
    <row r="1203" spans="1:18" ht="26.15" customHeight="1">
      <c r="A1203" s="7">
        <v>1197</v>
      </c>
      <c r="B1203" s="8" t="s">
        <v>1263</v>
      </c>
      <c r="C1203" s="8" t="s">
        <v>3139</v>
      </c>
      <c r="D1203" s="8" t="s">
        <v>3791</v>
      </c>
      <c r="E1203" s="8" t="s">
        <v>3116</v>
      </c>
      <c r="F1203" s="9" t="s">
        <v>3123</v>
      </c>
      <c r="G1203" s="10">
        <v>42956</v>
      </c>
      <c r="H1203" s="8" t="s">
        <v>34</v>
      </c>
      <c r="I1203" s="11">
        <v>784000</v>
      </c>
      <c r="J1203" s="8" t="s">
        <v>160</v>
      </c>
      <c r="K1203" s="8" t="s">
        <v>161</v>
      </c>
      <c r="L1203" s="7">
        <v>2016</v>
      </c>
      <c r="M1203" s="8" t="s">
        <v>128</v>
      </c>
      <c r="N1203" s="11">
        <v>5866696</v>
      </c>
      <c r="O1203" s="8" t="s">
        <v>164</v>
      </c>
      <c r="P1203" s="8" t="s">
        <v>165</v>
      </c>
      <c r="Q1203" s="8"/>
      <c r="R1203" s="8" t="s">
        <v>79</v>
      </c>
    </row>
    <row r="1204" spans="1:18" ht="26.15" customHeight="1">
      <c r="A1204" s="7">
        <v>1198</v>
      </c>
      <c r="B1204" s="8" t="s">
        <v>3796</v>
      </c>
      <c r="C1204" s="8"/>
      <c r="D1204" s="8" t="s">
        <v>3797</v>
      </c>
      <c r="E1204" s="8" t="s">
        <v>3116</v>
      </c>
      <c r="F1204" s="9" t="s">
        <v>3123</v>
      </c>
      <c r="G1204" s="10">
        <v>42956</v>
      </c>
      <c r="H1204" s="8" t="s">
        <v>34</v>
      </c>
      <c r="I1204" s="11">
        <v>784000</v>
      </c>
      <c r="J1204" s="8" t="s">
        <v>160</v>
      </c>
      <c r="K1204" s="8" t="s">
        <v>161</v>
      </c>
      <c r="L1204" s="7">
        <v>2016</v>
      </c>
      <c r="M1204" s="8" t="s">
        <v>128</v>
      </c>
      <c r="N1204" s="11">
        <v>5866696</v>
      </c>
      <c r="O1204" s="8" t="s">
        <v>164</v>
      </c>
      <c r="P1204" s="8" t="s">
        <v>165</v>
      </c>
      <c r="Q1204" s="8"/>
      <c r="R1204" s="8" t="s">
        <v>56</v>
      </c>
    </row>
    <row r="1205" spans="1:18" ht="26.15" customHeight="1">
      <c r="A1205" s="7">
        <v>1199</v>
      </c>
      <c r="B1205" s="8" t="s">
        <v>4312</v>
      </c>
      <c r="C1205" s="8" t="s">
        <v>3127</v>
      </c>
      <c r="D1205" s="8"/>
      <c r="E1205" s="8" t="s">
        <v>3128</v>
      </c>
      <c r="F1205" s="9" t="s">
        <v>3123</v>
      </c>
      <c r="G1205" s="10">
        <v>42956</v>
      </c>
      <c r="H1205" s="8" t="s">
        <v>34</v>
      </c>
      <c r="I1205" s="11">
        <v>784000</v>
      </c>
      <c r="J1205" s="8" t="s">
        <v>160</v>
      </c>
      <c r="K1205" s="8" t="s">
        <v>161</v>
      </c>
      <c r="L1205" s="7">
        <v>2016</v>
      </c>
      <c r="M1205" s="8" t="s">
        <v>128</v>
      </c>
      <c r="N1205" s="11">
        <v>5866696</v>
      </c>
      <c r="O1205" s="8" t="s">
        <v>164</v>
      </c>
      <c r="P1205" s="8" t="s">
        <v>165</v>
      </c>
      <c r="Q1205" s="8"/>
      <c r="R1205" s="8"/>
    </row>
    <row r="1206" spans="1:18" ht="26.15" customHeight="1">
      <c r="A1206" s="7">
        <v>1200</v>
      </c>
      <c r="B1206" s="8" t="s">
        <v>4313</v>
      </c>
      <c r="C1206" s="8" t="s">
        <v>3127</v>
      </c>
      <c r="D1206" s="8"/>
      <c r="E1206" s="8" t="s">
        <v>3128</v>
      </c>
      <c r="F1206" s="9" t="s">
        <v>3123</v>
      </c>
      <c r="G1206" s="10">
        <v>42956</v>
      </c>
      <c r="H1206" s="8" t="s">
        <v>34</v>
      </c>
      <c r="I1206" s="11">
        <v>784000</v>
      </c>
      <c r="J1206" s="8" t="s">
        <v>160</v>
      </c>
      <c r="K1206" s="8" t="s">
        <v>161</v>
      </c>
      <c r="L1206" s="7">
        <v>2016</v>
      </c>
      <c r="M1206" s="8" t="s">
        <v>128</v>
      </c>
      <c r="N1206" s="11">
        <v>5866696</v>
      </c>
      <c r="O1206" s="8" t="s">
        <v>164</v>
      </c>
      <c r="P1206" s="8" t="s">
        <v>165</v>
      </c>
      <c r="Q1206" s="8"/>
      <c r="R1206" s="8"/>
    </row>
    <row r="1207" spans="1:18" ht="26.15" customHeight="1">
      <c r="A1207" s="7">
        <v>1201</v>
      </c>
      <c r="B1207" s="8" t="s">
        <v>4314</v>
      </c>
      <c r="C1207" s="8" t="s">
        <v>3127</v>
      </c>
      <c r="D1207" s="8"/>
      <c r="E1207" s="8" t="s">
        <v>3128</v>
      </c>
      <c r="F1207" s="9" t="s">
        <v>3123</v>
      </c>
      <c r="G1207" s="10">
        <v>42956</v>
      </c>
      <c r="H1207" s="8" t="s">
        <v>34</v>
      </c>
      <c r="I1207" s="11">
        <v>784000</v>
      </c>
      <c r="J1207" s="8" t="s">
        <v>160</v>
      </c>
      <c r="K1207" s="8" t="s">
        <v>161</v>
      </c>
      <c r="L1207" s="7">
        <v>2016</v>
      </c>
      <c r="M1207" s="8" t="s">
        <v>128</v>
      </c>
      <c r="N1207" s="11">
        <v>5866696</v>
      </c>
      <c r="O1207" s="8" t="s">
        <v>164</v>
      </c>
      <c r="P1207" s="8" t="s">
        <v>165</v>
      </c>
      <c r="Q1207" s="8"/>
      <c r="R1207" s="8"/>
    </row>
    <row r="1208" spans="1:18" ht="26.15" customHeight="1">
      <c r="A1208" s="7">
        <v>1202</v>
      </c>
      <c r="B1208" s="8" t="s">
        <v>4315</v>
      </c>
      <c r="C1208" s="8" t="s">
        <v>3127</v>
      </c>
      <c r="D1208" s="8"/>
      <c r="E1208" s="8" t="s">
        <v>3128</v>
      </c>
      <c r="F1208" s="9" t="s">
        <v>3123</v>
      </c>
      <c r="G1208" s="10">
        <v>42956</v>
      </c>
      <c r="H1208" s="8" t="s">
        <v>34</v>
      </c>
      <c r="I1208" s="11">
        <v>784000</v>
      </c>
      <c r="J1208" s="8" t="s">
        <v>160</v>
      </c>
      <c r="K1208" s="8" t="s">
        <v>161</v>
      </c>
      <c r="L1208" s="7">
        <v>2016</v>
      </c>
      <c r="M1208" s="8" t="s">
        <v>128</v>
      </c>
      <c r="N1208" s="11">
        <v>5866696</v>
      </c>
      <c r="O1208" s="8" t="s">
        <v>164</v>
      </c>
      <c r="P1208" s="8" t="s">
        <v>165</v>
      </c>
      <c r="Q1208" s="8"/>
      <c r="R1208" s="8"/>
    </row>
    <row r="1209" spans="1:18" ht="26.15" customHeight="1">
      <c r="A1209" s="7">
        <v>1203</v>
      </c>
      <c r="B1209" s="8" t="s">
        <v>4316</v>
      </c>
      <c r="C1209" s="8" t="s">
        <v>3127</v>
      </c>
      <c r="D1209" s="8"/>
      <c r="E1209" s="8" t="s">
        <v>3128</v>
      </c>
      <c r="F1209" s="9" t="s">
        <v>3123</v>
      </c>
      <c r="G1209" s="10">
        <v>42956</v>
      </c>
      <c r="H1209" s="8" t="s">
        <v>34</v>
      </c>
      <c r="I1209" s="11">
        <v>784000</v>
      </c>
      <c r="J1209" s="8" t="s">
        <v>160</v>
      </c>
      <c r="K1209" s="8" t="s">
        <v>161</v>
      </c>
      <c r="L1209" s="7">
        <v>2016</v>
      </c>
      <c r="M1209" s="8" t="s">
        <v>128</v>
      </c>
      <c r="N1209" s="11">
        <v>5866696</v>
      </c>
      <c r="O1209" s="8" t="s">
        <v>164</v>
      </c>
      <c r="P1209" s="8" t="s">
        <v>165</v>
      </c>
      <c r="Q1209" s="8"/>
      <c r="R1209" s="8"/>
    </row>
    <row r="1210" spans="1:18" ht="26.15" customHeight="1">
      <c r="A1210" s="7">
        <v>1204</v>
      </c>
      <c r="B1210" s="8" t="s">
        <v>2018</v>
      </c>
      <c r="C1210" s="8" t="s">
        <v>3114</v>
      </c>
      <c r="D1210" s="8" t="s">
        <v>3572</v>
      </c>
      <c r="E1210" s="8" t="s">
        <v>3116</v>
      </c>
      <c r="F1210" s="9" t="s">
        <v>3117</v>
      </c>
      <c r="G1210" s="10">
        <v>42955</v>
      </c>
      <c r="H1210" s="8" t="s">
        <v>25</v>
      </c>
      <c r="I1210" s="11">
        <v>10000000</v>
      </c>
      <c r="J1210" s="8" t="s">
        <v>743</v>
      </c>
      <c r="K1210" s="8" t="s">
        <v>744</v>
      </c>
      <c r="L1210" s="7">
        <v>2013</v>
      </c>
      <c r="M1210" s="8" t="s">
        <v>121</v>
      </c>
      <c r="N1210" s="11">
        <v>17022002</v>
      </c>
      <c r="O1210" s="8" t="s">
        <v>747</v>
      </c>
      <c r="P1210" s="8" t="s">
        <v>748</v>
      </c>
      <c r="Q1210" s="8"/>
      <c r="R1210" s="8" t="s">
        <v>3357</v>
      </c>
    </row>
    <row r="1211" spans="1:18" ht="26.15" customHeight="1">
      <c r="A1211" s="7">
        <v>1205</v>
      </c>
      <c r="B1211" s="8" t="s">
        <v>746</v>
      </c>
      <c r="C1211" s="8" t="s">
        <v>3114</v>
      </c>
      <c r="D1211" s="8" t="s">
        <v>3475</v>
      </c>
      <c r="E1211" s="8" t="s">
        <v>3116</v>
      </c>
      <c r="F1211" s="9" t="s">
        <v>3123</v>
      </c>
      <c r="G1211" s="10">
        <v>42955</v>
      </c>
      <c r="H1211" s="8" t="s">
        <v>25</v>
      </c>
      <c r="I1211" s="11">
        <v>10000000</v>
      </c>
      <c r="J1211" s="8" t="s">
        <v>743</v>
      </c>
      <c r="K1211" s="8" t="s">
        <v>744</v>
      </c>
      <c r="L1211" s="7">
        <v>2013</v>
      </c>
      <c r="M1211" s="8" t="s">
        <v>121</v>
      </c>
      <c r="N1211" s="11">
        <v>17022002</v>
      </c>
      <c r="O1211" s="8" t="s">
        <v>747</v>
      </c>
      <c r="P1211" s="8" t="s">
        <v>748</v>
      </c>
      <c r="Q1211" s="8"/>
      <c r="R1211" s="8" t="s">
        <v>79</v>
      </c>
    </row>
    <row r="1212" spans="1:18" ht="26.15" customHeight="1">
      <c r="A1212" s="7">
        <v>1206</v>
      </c>
      <c r="B1212" s="8" t="s">
        <v>2020</v>
      </c>
      <c r="C1212" s="8" t="s">
        <v>3127</v>
      </c>
      <c r="D1212" s="8"/>
      <c r="E1212" s="8" t="s">
        <v>3128</v>
      </c>
      <c r="F1212" s="9" t="s">
        <v>3117</v>
      </c>
      <c r="G1212" s="10">
        <v>42951</v>
      </c>
      <c r="H1212" s="8" t="s">
        <v>124</v>
      </c>
      <c r="I1212" s="11">
        <v>102028</v>
      </c>
      <c r="J1212" s="8" t="s">
        <v>1846</v>
      </c>
      <c r="K1212" s="8" t="s">
        <v>1847</v>
      </c>
      <c r="L1212" s="7">
        <v>2014</v>
      </c>
      <c r="M1212" s="8" t="s">
        <v>79</v>
      </c>
      <c r="N1212" s="11">
        <v>214702</v>
      </c>
      <c r="O1212" s="8" t="s">
        <v>1850</v>
      </c>
      <c r="P1212" s="8" t="s">
        <v>1851</v>
      </c>
      <c r="Q1212" s="8"/>
      <c r="R1212" s="8"/>
    </row>
    <row r="1213" spans="1:18" ht="26.15" customHeight="1">
      <c r="A1213" s="7">
        <v>1207</v>
      </c>
      <c r="B1213" s="8" t="s">
        <v>4216</v>
      </c>
      <c r="C1213" s="8" t="s">
        <v>3127</v>
      </c>
      <c r="D1213" s="8"/>
      <c r="E1213" s="8" t="s">
        <v>3128</v>
      </c>
      <c r="F1213" s="9" t="s">
        <v>3123</v>
      </c>
      <c r="G1213" s="10">
        <v>42951</v>
      </c>
      <c r="H1213" s="8" t="s">
        <v>124</v>
      </c>
      <c r="I1213" s="11">
        <v>102028</v>
      </c>
      <c r="J1213" s="8" t="s">
        <v>1846</v>
      </c>
      <c r="K1213" s="8" t="s">
        <v>1847</v>
      </c>
      <c r="L1213" s="7">
        <v>2014</v>
      </c>
      <c r="M1213" s="8" t="s">
        <v>79</v>
      </c>
      <c r="N1213" s="11">
        <v>214702</v>
      </c>
      <c r="O1213" s="8" t="s">
        <v>1850</v>
      </c>
      <c r="P1213" s="8" t="s">
        <v>1851</v>
      </c>
      <c r="Q1213" s="8"/>
      <c r="R1213" s="8"/>
    </row>
    <row r="1214" spans="1:18" ht="26.15" customHeight="1">
      <c r="A1214" s="7">
        <v>1208</v>
      </c>
      <c r="B1214" s="8" t="s">
        <v>1849</v>
      </c>
      <c r="C1214" s="8" t="s">
        <v>3127</v>
      </c>
      <c r="D1214" s="8"/>
      <c r="E1214" s="8" t="s">
        <v>3128</v>
      </c>
      <c r="F1214" s="9" t="s">
        <v>3123</v>
      </c>
      <c r="G1214" s="10">
        <v>42951</v>
      </c>
      <c r="H1214" s="8" t="s">
        <v>124</v>
      </c>
      <c r="I1214" s="11">
        <v>102028</v>
      </c>
      <c r="J1214" s="8" t="s">
        <v>1846</v>
      </c>
      <c r="K1214" s="8" t="s">
        <v>1847</v>
      </c>
      <c r="L1214" s="7">
        <v>2014</v>
      </c>
      <c r="M1214" s="8" t="s">
        <v>79</v>
      </c>
      <c r="N1214" s="11">
        <v>214702</v>
      </c>
      <c r="O1214" s="8" t="s">
        <v>1850</v>
      </c>
      <c r="P1214" s="8" t="s">
        <v>1851</v>
      </c>
      <c r="Q1214" s="8"/>
      <c r="R1214" s="8"/>
    </row>
    <row r="1215" spans="1:18" ht="26.15" customHeight="1">
      <c r="A1215" s="7">
        <v>1209</v>
      </c>
      <c r="B1215" s="8" t="s">
        <v>4317</v>
      </c>
      <c r="C1215" s="8" t="s">
        <v>3127</v>
      </c>
      <c r="D1215" s="8"/>
      <c r="E1215" s="8" t="s">
        <v>3128</v>
      </c>
      <c r="F1215" s="9" t="s">
        <v>3123</v>
      </c>
      <c r="G1215" s="10">
        <v>42951</v>
      </c>
      <c r="H1215" s="8" t="s">
        <v>124</v>
      </c>
      <c r="I1215" s="11">
        <v>102028</v>
      </c>
      <c r="J1215" s="8" t="s">
        <v>1846</v>
      </c>
      <c r="K1215" s="8" t="s">
        <v>1847</v>
      </c>
      <c r="L1215" s="7">
        <v>2014</v>
      </c>
      <c r="M1215" s="8" t="s">
        <v>79</v>
      </c>
      <c r="N1215" s="11">
        <v>214702</v>
      </c>
      <c r="O1215" s="8" t="s">
        <v>1850</v>
      </c>
      <c r="P1215" s="8" t="s">
        <v>1851</v>
      </c>
      <c r="Q1215" s="8"/>
      <c r="R1215" s="8"/>
    </row>
    <row r="1216" spans="1:18" ht="26.15" customHeight="1">
      <c r="A1216" s="7">
        <v>1210</v>
      </c>
      <c r="B1216" s="8" t="s">
        <v>2022</v>
      </c>
      <c r="C1216" s="8" t="s">
        <v>3114</v>
      </c>
      <c r="D1216" s="8" t="s">
        <v>3854</v>
      </c>
      <c r="E1216" s="8" t="s">
        <v>3116</v>
      </c>
      <c r="F1216" s="9" t="s">
        <v>3117</v>
      </c>
      <c r="G1216" s="10">
        <v>42949</v>
      </c>
      <c r="H1216" s="8" t="s">
        <v>109</v>
      </c>
      <c r="I1216" s="11">
        <v>6300000</v>
      </c>
      <c r="J1216" s="8" t="s">
        <v>473</v>
      </c>
      <c r="K1216" s="8" t="s">
        <v>474</v>
      </c>
      <c r="L1216" s="7">
        <v>2014</v>
      </c>
      <c r="M1216" s="8" t="s">
        <v>39</v>
      </c>
      <c r="N1216" s="11">
        <v>46450000</v>
      </c>
      <c r="O1216" s="8" t="s">
        <v>475</v>
      </c>
      <c r="P1216" s="8" t="s">
        <v>476</v>
      </c>
      <c r="Q1216" s="8"/>
      <c r="R1216" s="8" t="s">
        <v>3597</v>
      </c>
    </row>
    <row r="1217" spans="1:18" ht="26.15" customHeight="1">
      <c r="A1217" s="7">
        <v>1211</v>
      </c>
      <c r="B1217" s="8" t="s">
        <v>3857</v>
      </c>
      <c r="C1217" s="8" t="s">
        <v>3114</v>
      </c>
      <c r="D1217" s="8" t="s">
        <v>3858</v>
      </c>
      <c r="E1217" s="8" t="s">
        <v>3116</v>
      </c>
      <c r="F1217" s="9" t="s">
        <v>3123</v>
      </c>
      <c r="G1217" s="10">
        <v>42949</v>
      </c>
      <c r="H1217" s="8" t="s">
        <v>109</v>
      </c>
      <c r="I1217" s="11">
        <v>6300000</v>
      </c>
      <c r="J1217" s="8" t="s">
        <v>473</v>
      </c>
      <c r="K1217" s="8" t="s">
        <v>474</v>
      </c>
      <c r="L1217" s="7">
        <v>2014</v>
      </c>
      <c r="M1217" s="8" t="s">
        <v>39</v>
      </c>
      <c r="N1217" s="11">
        <v>46450000</v>
      </c>
      <c r="O1217" s="8" t="s">
        <v>475</v>
      </c>
      <c r="P1217" s="8" t="s">
        <v>476</v>
      </c>
      <c r="Q1217" s="8"/>
      <c r="R1217" s="8" t="s">
        <v>3363</v>
      </c>
    </row>
    <row r="1218" spans="1:18" ht="26.15" customHeight="1">
      <c r="A1218" s="7">
        <v>1212</v>
      </c>
      <c r="B1218" s="8" t="s">
        <v>3861</v>
      </c>
      <c r="C1218" s="8" t="s">
        <v>3114</v>
      </c>
      <c r="D1218" s="8" t="s">
        <v>3862</v>
      </c>
      <c r="E1218" s="8" t="s">
        <v>3116</v>
      </c>
      <c r="F1218" s="9" t="s">
        <v>3123</v>
      </c>
      <c r="G1218" s="10">
        <v>42949</v>
      </c>
      <c r="H1218" s="8" t="s">
        <v>109</v>
      </c>
      <c r="I1218" s="11">
        <v>6300000</v>
      </c>
      <c r="J1218" s="8" t="s">
        <v>473</v>
      </c>
      <c r="K1218" s="8" t="s">
        <v>474</v>
      </c>
      <c r="L1218" s="7">
        <v>2014</v>
      </c>
      <c r="M1218" s="8" t="s">
        <v>39</v>
      </c>
      <c r="N1218" s="11">
        <v>46450000</v>
      </c>
      <c r="O1218" s="8" t="s">
        <v>475</v>
      </c>
      <c r="P1218" s="8" t="s">
        <v>476</v>
      </c>
      <c r="Q1218" s="8"/>
      <c r="R1218" s="8" t="s">
        <v>3360</v>
      </c>
    </row>
    <row r="1219" spans="1:18" ht="26.15" customHeight="1">
      <c r="A1219" s="7">
        <v>1213</v>
      </c>
      <c r="B1219" s="8" t="s">
        <v>1538</v>
      </c>
      <c r="C1219" s="8" t="s">
        <v>3114</v>
      </c>
      <c r="D1219" s="8" t="s">
        <v>3863</v>
      </c>
      <c r="E1219" s="8" t="s">
        <v>3116</v>
      </c>
      <c r="F1219" s="9" t="s">
        <v>3123</v>
      </c>
      <c r="G1219" s="10">
        <v>42949</v>
      </c>
      <c r="H1219" s="8" t="s">
        <v>109</v>
      </c>
      <c r="I1219" s="11">
        <v>6300000</v>
      </c>
      <c r="J1219" s="8" t="s">
        <v>473</v>
      </c>
      <c r="K1219" s="8" t="s">
        <v>474</v>
      </c>
      <c r="L1219" s="7">
        <v>2014</v>
      </c>
      <c r="M1219" s="8" t="s">
        <v>39</v>
      </c>
      <c r="N1219" s="11">
        <v>46450000</v>
      </c>
      <c r="O1219" s="8" t="s">
        <v>475</v>
      </c>
      <c r="P1219" s="8" t="s">
        <v>476</v>
      </c>
      <c r="Q1219" s="8"/>
      <c r="R1219" s="8" t="s">
        <v>3864</v>
      </c>
    </row>
    <row r="1220" spans="1:18" ht="26.15" customHeight="1">
      <c r="A1220" s="7">
        <v>1214</v>
      </c>
      <c r="B1220" s="8" t="s">
        <v>3859</v>
      </c>
      <c r="C1220" s="8" t="s">
        <v>3114</v>
      </c>
      <c r="D1220" s="8" t="s">
        <v>3860</v>
      </c>
      <c r="E1220" s="8" t="s">
        <v>3116</v>
      </c>
      <c r="F1220" s="9" t="s">
        <v>3123</v>
      </c>
      <c r="G1220" s="10">
        <v>42949</v>
      </c>
      <c r="H1220" s="8" t="s">
        <v>109</v>
      </c>
      <c r="I1220" s="11">
        <v>6300000</v>
      </c>
      <c r="J1220" s="8" t="s">
        <v>473</v>
      </c>
      <c r="K1220" s="8" t="s">
        <v>474</v>
      </c>
      <c r="L1220" s="7">
        <v>2014</v>
      </c>
      <c r="M1220" s="8" t="s">
        <v>39</v>
      </c>
      <c r="N1220" s="11">
        <v>46450000</v>
      </c>
      <c r="O1220" s="8" t="s">
        <v>475</v>
      </c>
      <c r="P1220" s="8" t="s">
        <v>476</v>
      </c>
      <c r="Q1220" s="8"/>
      <c r="R1220" s="8" t="s">
        <v>382</v>
      </c>
    </row>
    <row r="1221" spans="1:18" ht="26.15" customHeight="1">
      <c r="A1221" s="7">
        <v>1215</v>
      </c>
      <c r="B1221" s="8" t="s">
        <v>2297</v>
      </c>
      <c r="C1221" s="8" t="s">
        <v>3114</v>
      </c>
      <c r="D1221" s="8" t="s">
        <v>3852</v>
      </c>
      <c r="E1221" s="8" t="s">
        <v>3116</v>
      </c>
      <c r="F1221" s="9" t="s">
        <v>3123</v>
      </c>
      <c r="G1221" s="10">
        <v>42949</v>
      </c>
      <c r="H1221" s="8" t="s">
        <v>109</v>
      </c>
      <c r="I1221" s="11">
        <v>6300000</v>
      </c>
      <c r="J1221" s="8" t="s">
        <v>473</v>
      </c>
      <c r="K1221" s="8" t="s">
        <v>474</v>
      </c>
      <c r="L1221" s="7">
        <v>2014</v>
      </c>
      <c r="M1221" s="8" t="s">
        <v>39</v>
      </c>
      <c r="N1221" s="11">
        <v>46450000</v>
      </c>
      <c r="O1221" s="8" t="s">
        <v>475</v>
      </c>
      <c r="P1221" s="8" t="s">
        <v>476</v>
      </c>
      <c r="Q1221" s="8"/>
      <c r="R1221" s="8" t="s">
        <v>3853</v>
      </c>
    </row>
    <row r="1222" spans="1:18" ht="26.15" customHeight="1">
      <c r="A1222" s="7">
        <v>1216</v>
      </c>
      <c r="B1222" s="8" t="s">
        <v>3562</v>
      </c>
      <c r="C1222" s="8" t="s">
        <v>3114</v>
      </c>
      <c r="D1222" s="8" t="s">
        <v>3563</v>
      </c>
      <c r="E1222" s="8" t="s">
        <v>3116</v>
      </c>
      <c r="F1222" s="9" t="s">
        <v>3123</v>
      </c>
      <c r="G1222" s="10">
        <v>42949</v>
      </c>
      <c r="H1222" s="8" t="s">
        <v>109</v>
      </c>
      <c r="I1222" s="11">
        <v>6300000</v>
      </c>
      <c r="J1222" s="8" t="s">
        <v>473</v>
      </c>
      <c r="K1222" s="8" t="s">
        <v>474</v>
      </c>
      <c r="L1222" s="7">
        <v>2014</v>
      </c>
      <c r="M1222" s="8" t="s">
        <v>39</v>
      </c>
      <c r="N1222" s="11">
        <v>46450000</v>
      </c>
      <c r="O1222" s="8" t="s">
        <v>475</v>
      </c>
      <c r="P1222" s="8" t="s">
        <v>476</v>
      </c>
      <c r="Q1222" s="8"/>
      <c r="R1222" s="8" t="s">
        <v>3564</v>
      </c>
    </row>
    <row r="1223" spans="1:18" ht="26.15" customHeight="1">
      <c r="A1223" s="7">
        <v>1217</v>
      </c>
      <c r="B1223" s="8" t="s">
        <v>2731</v>
      </c>
      <c r="C1223" s="8" t="s">
        <v>3114</v>
      </c>
      <c r="D1223" s="8" t="s">
        <v>3865</v>
      </c>
      <c r="E1223" s="8" t="s">
        <v>3116</v>
      </c>
      <c r="F1223" s="9" t="s">
        <v>3123</v>
      </c>
      <c r="G1223" s="10">
        <v>42949</v>
      </c>
      <c r="H1223" s="8" t="s">
        <v>109</v>
      </c>
      <c r="I1223" s="11">
        <v>6300000</v>
      </c>
      <c r="J1223" s="8" t="s">
        <v>473</v>
      </c>
      <c r="K1223" s="8" t="s">
        <v>474</v>
      </c>
      <c r="L1223" s="7">
        <v>2014</v>
      </c>
      <c r="M1223" s="8" t="s">
        <v>39</v>
      </c>
      <c r="N1223" s="11">
        <v>46450000</v>
      </c>
      <c r="O1223" s="8" t="s">
        <v>475</v>
      </c>
      <c r="P1223" s="8" t="s">
        <v>476</v>
      </c>
      <c r="Q1223" s="8"/>
      <c r="R1223" s="8" t="s">
        <v>3425</v>
      </c>
    </row>
    <row r="1224" spans="1:18" ht="26.15" customHeight="1">
      <c r="A1224" s="7">
        <v>1218</v>
      </c>
      <c r="B1224" s="8" t="s">
        <v>2022</v>
      </c>
      <c r="C1224" s="8" t="s">
        <v>3114</v>
      </c>
      <c r="D1224" s="8" t="s">
        <v>3854</v>
      </c>
      <c r="E1224" s="8" t="s">
        <v>3116</v>
      </c>
      <c r="F1224" s="9" t="s">
        <v>3117</v>
      </c>
      <c r="G1224" s="10">
        <v>42949</v>
      </c>
      <c r="H1224" s="8" t="s">
        <v>289</v>
      </c>
      <c r="I1224" s="11">
        <v>4000000</v>
      </c>
      <c r="J1224" s="8" t="s">
        <v>473</v>
      </c>
      <c r="K1224" s="8" t="s">
        <v>474</v>
      </c>
      <c r="L1224" s="7">
        <v>2014</v>
      </c>
      <c r="M1224" s="8" t="s">
        <v>39</v>
      </c>
      <c r="N1224" s="11">
        <v>46450000</v>
      </c>
      <c r="O1224" s="8" t="s">
        <v>475</v>
      </c>
      <c r="P1224" s="8" t="s">
        <v>476</v>
      </c>
      <c r="Q1224" s="8"/>
      <c r="R1224" s="8" t="s">
        <v>3597</v>
      </c>
    </row>
    <row r="1225" spans="1:18" ht="26.15" customHeight="1">
      <c r="A1225" s="7">
        <v>1219</v>
      </c>
      <c r="B1225" s="8" t="s">
        <v>3857</v>
      </c>
      <c r="C1225" s="8" t="s">
        <v>3114</v>
      </c>
      <c r="D1225" s="8" t="s">
        <v>3858</v>
      </c>
      <c r="E1225" s="8" t="s">
        <v>3116</v>
      </c>
      <c r="F1225" s="9" t="s">
        <v>3123</v>
      </c>
      <c r="G1225" s="10">
        <v>42949</v>
      </c>
      <c r="H1225" s="8" t="s">
        <v>289</v>
      </c>
      <c r="I1225" s="11">
        <v>4000000</v>
      </c>
      <c r="J1225" s="8" t="s">
        <v>473</v>
      </c>
      <c r="K1225" s="8" t="s">
        <v>474</v>
      </c>
      <c r="L1225" s="7">
        <v>2014</v>
      </c>
      <c r="M1225" s="8" t="s">
        <v>39</v>
      </c>
      <c r="N1225" s="11">
        <v>46450000</v>
      </c>
      <c r="O1225" s="8" t="s">
        <v>475</v>
      </c>
      <c r="P1225" s="8" t="s">
        <v>476</v>
      </c>
      <c r="Q1225" s="8"/>
      <c r="R1225" s="8" t="s">
        <v>3363</v>
      </c>
    </row>
    <row r="1226" spans="1:18" ht="26.15" customHeight="1">
      <c r="A1226" s="7">
        <v>1220</v>
      </c>
      <c r="B1226" s="8" t="s">
        <v>3861</v>
      </c>
      <c r="C1226" s="8" t="s">
        <v>3114</v>
      </c>
      <c r="D1226" s="8" t="s">
        <v>3862</v>
      </c>
      <c r="E1226" s="8" t="s">
        <v>3116</v>
      </c>
      <c r="F1226" s="9" t="s">
        <v>3123</v>
      </c>
      <c r="G1226" s="10">
        <v>42949</v>
      </c>
      <c r="H1226" s="8" t="s">
        <v>289</v>
      </c>
      <c r="I1226" s="11">
        <v>4000000</v>
      </c>
      <c r="J1226" s="8" t="s">
        <v>473</v>
      </c>
      <c r="K1226" s="8" t="s">
        <v>474</v>
      </c>
      <c r="L1226" s="7">
        <v>2014</v>
      </c>
      <c r="M1226" s="8" t="s">
        <v>39</v>
      </c>
      <c r="N1226" s="11">
        <v>46450000</v>
      </c>
      <c r="O1226" s="8" t="s">
        <v>475</v>
      </c>
      <c r="P1226" s="8" t="s">
        <v>476</v>
      </c>
      <c r="Q1226" s="8"/>
      <c r="R1226" s="8" t="s">
        <v>3360</v>
      </c>
    </row>
    <row r="1227" spans="1:18" ht="26.15" customHeight="1">
      <c r="A1227" s="7">
        <v>1221</v>
      </c>
      <c r="B1227" s="8" t="s">
        <v>1538</v>
      </c>
      <c r="C1227" s="8" t="s">
        <v>3114</v>
      </c>
      <c r="D1227" s="8" t="s">
        <v>3863</v>
      </c>
      <c r="E1227" s="8" t="s">
        <v>3116</v>
      </c>
      <c r="F1227" s="9" t="s">
        <v>3123</v>
      </c>
      <c r="G1227" s="10">
        <v>42949</v>
      </c>
      <c r="H1227" s="8" t="s">
        <v>289</v>
      </c>
      <c r="I1227" s="11">
        <v>4000000</v>
      </c>
      <c r="J1227" s="8" t="s">
        <v>473</v>
      </c>
      <c r="K1227" s="8" t="s">
        <v>474</v>
      </c>
      <c r="L1227" s="7">
        <v>2014</v>
      </c>
      <c r="M1227" s="8" t="s">
        <v>39</v>
      </c>
      <c r="N1227" s="11">
        <v>46450000</v>
      </c>
      <c r="O1227" s="8" t="s">
        <v>475</v>
      </c>
      <c r="P1227" s="8" t="s">
        <v>476</v>
      </c>
      <c r="Q1227" s="8"/>
      <c r="R1227" s="8" t="s">
        <v>3864</v>
      </c>
    </row>
    <row r="1228" spans="1:18" ht="26.15" customHeight="1">
      <c r="A1228" s="7">
        <v>1222</v>
      </c>
      <c r="B1228" s="8" t="s">
        <v>2297</v>
      </c>
      <c r="C1228" s="8" t="s">
        <v>3114</v>
      </c>
      <c r="D1228" s="8" t="s">
        <v>3852</v>
      </c>
      <c r="E1228" s="8" t="s">
        <v>3116</v>
      </c>
      <c r="F1228" s="9" t="s">
        <v>3123</v>
      </c>
      <c r="G1228" s="10">
        <v>42949</v>
      </c>
      <c r="H1228" s="8" t="s">
        <v>289</v>
      </c>
      <c r="I1228" s="11">
        <v>4000000</v>
      </c>
      <c r="J1228" s="8" t="s">
        <v>473</v>
      </c>
      <c r="K1228" s="8" t="s">
        <v>474</v>
      </c>
      <c r="L1228" s="7">
        <v>2014</v>
      </c>
      <c r="M1228" s="8" t="s">
        <v>39</v>
      </c>
      <c r="N1228" s="11">
        <v>46450000</v>
      </c>
      <c r="O1228" s="8" t="s">
        <v>475</v>
      </c>
      <c r="P1228" s="8" t="s">
        <v>476</v>
      </c>
      <c r="Q1228" s="8"/>
      <c r="R1228" s="8" t="s">
        <v>3853</v>
      </c>
    </row>
    <row r="1229" spans="1:18" ht="26.15" customHeight="1">
      <c r="A1229" s="7">
        <v>1223</v>
      </c>
      <c r="B1229" s="8" t="s">
        <v>3562</v>
      </c>
      <c r="C1229" s="8" t="s">
        <v>3114</v>
      </c>
      <c r="D1229" s="8" t="s">
        <v>3563</v>
      </c>
      <c r="E1229" s="8" t="s">
        <v>3116</v>
      </c>
      <c r="F1229" s="9" t="s">
        <v>3123</v>
      </c>
      <c r="G1229" s="10">
        <v>42949</v>
      </c>
      <c r="H1229" s="8" t="s">
        <v>289</v>
      </c>
      <c r="I1229" s="11">
        <v>4000000</v>
      </c>
      <c r="J1229" s="8" t="s">
        <v>473</v>
      </c>
      <c r="K1229" s="8" t="s">
        <v>474</v>
      </c>
      <c r="L1229" s="7">
        <v>2014</v>
      </c>
      <c r="M1229" s="8" t="s">
        <v>39</v>
      </c>
      <c r="N1229" s="11">
        <v>46450000</v>
      </c>
      <c r="O1229" s="8" t="s">
        <v>475</v>
      </c>
      <c r="P1229" s="8" t="s">
        <v>476</v>
      </c>
      <c r="Q1229" s="8"/>
      <c r="R1229" s="8" t="s">
        <v>3564</v>
      </c>
    </row>
    <row r="1230" spans="1:18" ht="26.15" customHeight="1">
      <c r="A1230" s="7">
        <v>1224</v>
      </c>
      <c r="B1230" s="8" t="s">
        <v>3859</v>
      </c>
      <c r="C1230" s="8" t="s">
        <v>3114</v>
      </c>
      <c r="D1230" s="8" t="s">
        <v>3860</v>
      </c>
      <c r="E1230" s="8" t="s">
        <v>3116</v>
      </c>
      <c r="F1230" s="9" t="s">
        <v>3123</v>
      </c>
      <c r="G1230" s="10">
        <v>42949</v>
      </c>
      <c r="H1230" s="8" t="s">
        <v>289</v>
      </c>
      <c r="I1230" s="11">
        <v>4000000</v>
      </c>
      <c r="J1230" s="8" t="s">
        <v>473</v>
      </c>
      <c r="K1230" s="8" t="s">
        <v>474</v>
      </c>
      <c r="L1230" s="7">
        <v>2014</v>
      </c>
      <c r="M1230" s="8" t="s">
        <v>39</v>
      </c>
      <c r="N1230" s="11">
        <v>46450000</v>
      </c>
      <c r="O1230" s="8" t="s">
        <v>475</v>
      </c>
      <c r="P1230" s="8" t="s">
        <v>476</v>
      </c>
      <c r="Q1230" s="8"/>
      <c r="R1230" s="8" t="s">
        <v>382</v>
      </c>
    </row>
    <row r="1231" spans="1:18" ht="26.15" customHeight="1">
      <c r="A1231" s="7">
        <v>1225</v>
      </c>
      <c r="B1231" s="8" t="s">
        <v>2731</v>
      </c>
      <c r="C1231" s="8" t="s">
        <v>3114</v>
      </c>
      <c r="D1231" s="8" t="s">
        <v>3865</v>
      </c>
      <c r="E1231" s="8" t="s">
        <v>3116</v>
      </c>
      <c r="F1231" s="9" t="s">
        <v>3123</v>
      </c>
      <c r="G1231" s="10">
        <v>42949</v>
      </c>
      <c r="H1231" s="8" t="s">
        <v>289</v>
      </c>
      <c r="I1231" s="11">
        <v>4000000</v>
      </c>
      <c r="J1231" s="8" t="s">
        <v>473</v>
      </c>
      <c r="K1231" s="8" t="s">
        <v>474</v>
      </c>
      <c r="L1231" s="7">
        <v>2014</v>
      </c>
      <c r="M1231" s="8" t="s">
        <v>39</v>
      </c>
      <c r="N1231" s="11">
        <v>46450000</v>
      </c>
      <c r="O1231" s="8" t="s">
        <v>475</v>
      </c>
      <c r="P1231" s="8" t="s">
        <v>476</v>
      </c>
      <c r="Q1231" s="8"/>
      <c r="R1231" s="8" t="s">
        <v>3425</v>
      </c>
    </row>
    <row r="1232" spans="1:18" ht="26.15" customHeight="1">
      <c r="A1232" s="7">
        <v>1226</v>
      </c>
      <c r="B1232" s="8" t="s">
        <v>2916</v>
      </c>
      <c r="C1232" s="8" t="s">
        <v>3139</v>
      </c>
      <c r="D1232" s="8" t="s">
        <v>2916</v>
      </c>
      <c r="E1232" s="8" t="s">
        <v>3116</v>
      </c>
      <c r="F1232" s="9" t="s">
        <v>3123</v>
      </c>
      <c r="G1232" s="10">
        <v>42947</v>
      </c>
      <c r="H1232" s="8" t="s">
        <v>184</v>
      </c>
      <c r="I1232" s="11">
        <v>2000000</v>
      </c>
      <c r="J1232" s="8" t="s">
        <v>473</v>
      </c>
      <c r="K1232" s="8" t="s">
        <v>474</v>
      </c>
      <c r="L1232" s="7">
        <v>2014</v>
      </c>
      <c r="M1232" s="8" t="s">
        <v>39</v>
      </c>
      <c r="N1232" s="11">
        <v>46450000</v>
      </c>
      <c r="O1232" s="8" t="s">
        <v>475</v>
      </c>
      <c r="P1232" s="8" t="s">
        <v>476</v>
      </c>
      <c r="Q1232" s="8"/>
      <c r="R1232" s="8" t="s">
        <v>3425</v>
      </c>
    </row>
    <row r="1233" spans="1:18" ht="26.15" customHeight="1">
      <c r="A1233" s="7">
        <v>1227</v>
      </c>
      <c r="B1233" s="8" t="s">
        <v>3812</v>
      </c>
      <c r="C1233" s="8" t="s">
        <v>3139</v>
      </c>
      <c r="D1233" s="8" t="s">
        <v>3813</v>
      </c>
      <c r="E1233" s="8" t="s">
        <v>3116</v>
      </c>
      <c r="F1233" s="9" t="s">
        <v>3123</v>
      </c>
      <c r="G1233" s="10">
        <v>42947</v>
      </c>
      <c r="H1233" s="8" t="s">
        <v>184</v>
      </c>
      <c r="I1233" s="11">
        <v>2000000</v>
      </c>
      <c r="J1233" s="8" t="s">
        <v>473</v>
      </c>
      <c r="K1233" s="8" t="s">
        <v>474</v>
      </c>
      <c r="L1233" s="7">
        <v>2014</v>
      </c>
      <c r="M1233" s="8" t="s">
        <v>39</v>
      </c>
      <c r="N1233" s="11">
        <v>46450000</v>
      </c>
      <c r="O1233" s="8" t="s">
        <v>475</v>
      </c>
      <c r="P1233" s="8" t="s">
        <v>476</v>
      </c>
      <c r="Q1233" s="8"/>
      <c r="R1233" s="8" t="s">
        <v>3357</v>
      </c>
    </row>
    <row r="1234" spans="1:18" ht="26.15" customHeight="1">
      <c r="A1234" s="7">
        <v>1228</v>
      </c>
      <c r="B1234" s="8" t="s">
        <v>2033</v>
      </c>
      <c r="C1234" s="8" t="s">
        <v>3114</v>
      </c>
      <c r="D1234" s="8" t="s">
        <v>3839</v>
      </c>
      <c r="E1234" s="8" t="s">
        <v>3116</v>
      </c>
      <c r="F1234" s="9" t="s">
        <v>3117</v>
      </c>
      <c r="G1234" s="10">
        <v>42941</v>
      </c>
      <c r="H1234" s="8" t="s">
        <v>25</v>
      </c>
      <c r="I1234" s="11">
        <v>15000000</v>
      </c>
      <c r="J1234" s="8" t="s">
        <v>2030</v>
      </c>
      <c r="K1234" s="8" t="s">
        <v>2031</v>
      </c>
      <c r="L1234" s="7">
        <v>2013</v>
      </c>
      <c r="M1234" s="8" t="s">
        <v>369</v>
      </c>
      <c r="N1234" s="11">
        <v>22000000</v>
      </c>
      <c r="O1234" s="8" t="s">
        <v>2034</v>
      </c>
      <c r="P1234" s="8" t="s">
        <v>2035</v>
      </c>
      <c r="Q1234" s="8"/>
      <c r="R1234" s="8" t="s">
        <v>3214</v>
      </c>
    </row>
    <row r="1235" spans="1:18" ht="26.15" customHeight="1">
      <c r="A1235" s="7">
        <v>1229</v>
      </c>
      <c r="B1235" s="8" t="s">
        <v>4318</v>
      </c>
      <c r="C1235" s="8" t="s">
        <v>3114</v>
      </c>
      <c r="D1235" s="8" t="s">
        <v>4319</v>
      </c>
      <c r="E1235" s="8" t="s">
        <v>3116</v>
      </c>
      <c r="F1235" s="9" t="s">
        <v>3123</v>
      </c>
      <c r="G1235" s="10">
        <v>42941</v>
      </c>
      <c r="H1235" s="8" t="s">
        <v>25</v>
      </c>
      <c r="I1235" s="11">
        <v>15000000</v>
      </c>
      <c r="J1235" s="8" t="s">
        <v>2030</v>
      </c>
      <c r="K1235" s="8" t="s">
        <v>2031</v>
      </c>
      <c r="L1235" s="7">
        <v>2013</v>
      </c>
      <c r="M1235" s="8" t="s">
        <v>369</v>
      </c>
      <c r="N1235" s="11">
        <v>22000000</v>
      </c>
      <c r="O1235" s="8" t="s">
        <v>2034</v>
      </c>
      <c r="P1235" s="8" t="s">
        <v>2035</v>
      </c>
      <c r="Q1235" s="8"/>
      <c r="R1235" s="8" t="s">
        <v>4320</v>
      </c>
    </row>
    <row r="1236" spans="1:18" ht="26.15" customHeight="1">
      <c r="A1236" s="7">
        <v>1230</v>
      </c>
      <c r="B1236" s="8" t="s">
        <v>2353</v>
      </c>
      <c r="C1236" s="8" t="s">
        <v>3114</v>
      </c>
      <c r="D1236" s="8" t="s">
        <v>4321</v>
      </c>
      <c r="E1236" s="8" t="s">
        <v>3116</v>
      </c>
      <c r="F1236" s="9" t="s">
        <v>3123</v>
      </c>
      <c r="G1236" s="10">
        <v>42941</v>
      </c>
      <c r="H1236" s="8" t="s">
        <v>25</v>
      </c>
      <c r="I1236" s="11">
        <v>15000000</v>
      </c>
      <c r="J1236" s="8" t="s">
        <v>2030</v>
      </c>
      <c r="K1236" s="8" t="s">
        <v>2031</v>
      </c>
      <c r="L1236" s="7">
        <v>2013</v>
      </c>
      <c r="M1236" s="8" t="s">
        <v>369</v>
      </c>
      <c r="N1236" s="11">
        <v>22000000</v>
      </c>
      <c r="O1236" s="8" t="s">
        <v>2034</v>
      </c>
      <c r="P1236" s="8" t="s">
        <v>2035</v>
      </c>
      <c r="Q1236" s="8"/>
      <c r="R1236" s="8" t="s">
        <v>3363</v>
      </c>
    </row>
    <row r="1237" spans="1:18" ht="26.15" customHeight="1">
      <c r="A1237" s="7">
        <v>1231</v>
      </c>
      <c r="B1237" s="8" t="s">
        <v>4322</v>
      </c>
      <c r="C1237" s="8" t="s">
        <v>3114</v>
      </c>
      <c r="D1237" s="8" t="s">
        <v>4323</v>
      </c>
      <c r="E1237" s="8" t="s">
        <v>3116</v>
      </c>
      <c r="F1237" s="9" t="s">
        <v>3123</v>
      </c>
      <c r="G1237" s="10">
        <v>42941</v>
      </c>
      <c r="H1237" s="8" t="s">
        <v>25</v>
      </c>
      <c r="I1237" s="11">
        <v>15000000</v>
      </c>
      <c r="J1237" s="8" t="s">
        <v>2030</v>
      </c>
      <c r="K1237" s="8" t="s">
        <v>2031</v>
      </c>
      <c r="L1237" s="7">
        <v>2013</v>
      </c>
      <c r="M1237" s="8" t="s">
        <v>369</v>
      </c>
      <c r="N1237" s="11">
        <v>22000000</v>
      </c>
      <c r="O1237" s="8" t="s">
        <v>2034</v>
      </c>
      <c r="P1237" s="8" t="s">
        <v>2035</v>
      </c>
      <c r="Q1237" s="8"/>
      <c r="R1237" s="8" t="s">
        <v>1567</v>
      </c>
    </row>
    <row r="1238" spans="1:18" ht="26.15" customHeight="1">
      <c r="A1238" s="7">
        <v>1232</v>
      </c>
      <c r="B1238" s="8" t="s">
        <v>2037</v>
      </c>
      <c r="C1238" s="8" t="s">
        <v>3114</v>
      </c>
      <c r="D1238" s="8" t="s">
        <v>3479</v>
      </c>
      <c r="E1238" s="8" t="s">
        <v>3116</v>
      </c>
      <c r="F1238" s="9" t="s">
        <v>3117</v>
      </c>
      <c r="G1238" s="10">
        <v>42940</v>
      </c>
      <c r="H1238" s="8" t="s">
        <v>109</v>
      </c>
      <c r="I1238" s="11" t="s">
        <v>50</v>
      </c>
      <c r="J1238" s="8" t="s">
        <v>544</v>
      </c>
      <c r="K1238" s="8" t="s">
        <v>545</v>
      </c>
      <c r="L1238" s="7">
        <v>2007</v>
      </c>
      <c r="M1238" s="8" t="s">
        <v>547</v>
      </c>
      <c r="N1238" s="11">
        <v>40000000</v>
      </c>
      <c r="O1238" s="8" t="s">
        <v>548</v>
      </c>
      <c r="P1238" s="8" t="s">
        <v>549</v>
      </c>
      <c r="Q1238" s="8"/>
      <c r="R1238" s="8" t="s">
        <v>3480</v>
      </c>
    </row>
    <row r="1239" spans="1:18" ht="26.15" customHeight="1">
      <c r="A1239" s="7">
        <v>1233</v>
      </c>
      <c r="B1239" s="8" t="s">
        <v>429</v>
      </c>
      <c r="C1239" s="8" t="s">
        <v>3114</v>
      </c>
      <c r="D1239" s="8" t="s">
        <v>3405</v>
      </c>
      <c r="E1239" s="8" t="s">
        <v>3116</v>
      </c>
      <c r="F1239" s="9" t="s">
        <v>3123</v>
      </c>
      <c r="G1239" s="10">
        <v>42930</v>
      </c>
      <c r="H1239" s="8" t="s">
        <v>34</v>
      </c>
      <c r="I1239" s="11">
        <v>600000</v>
      </c>
      <c r="J1239" s="8" t="s">
        <v>426</v>
      </c>
      <c r="K1239" s="8" t="s">
        <v>427</v>
      </c>
      <c r="L1239" s="7">
        <v>2014</v>
      </c>
      <c r="M1239" s="8" t="s">
        <v>173</v>
      </c>
      <c r="N1239" s="11">
        <v>5000000</v>
      </c>
      <c r="O1239" s="8" t="s">
        <v>430</v>
      </c>
      <c r="P1239" s="8" t="s">
        <v>431</v>
      </c>
      <c r="Q1239" s="8"/>
      <c r="R1239" s="8" t="s">
        <v>3204</v>
      </c>
    </row>
    <row r="1240" spans="1:18" ht="26.15" customHeight="1">
      <c r="A1240" s="7">
        <v>1234</v>
      </c>
      <c r="B1240" s="8" t="s">
        <v>928</v>
      </c>
      <c r="C1240" s="8" t="s">
        <v>3114</v>
      </c>
      <c r="D1240" s="8" t="s">
        <v>3301</v>
      </c>
      <c r="E1240" s="8" t="s">
        <v>3116</v>
      </c>
      <c r="F1240" s="9" t="s">
        <v>3117</v>
      </c>
      <c r="G1240" s="10">
        <v>42926</v>
      </c>
      <c r="H1240" s="8" t="s">
        <v>109</v>
      </c>
      <c r="I1240" s="11">
        <v>1976500</v>
      </c>
      <c r="J1240" s="8" t="s">
        <v>303</v>
      </c>
      <c r="K1240" s="8" t="s">
        <v>304</v>
      </c>
      <c r="L1240" s="7">
        <v>2011</v>
      </c>
      <c r="M1240" s="8" t="s">
        <v>79</v>
      </c>
      <c r="N1240" s="11">
        <v>19009146</v>
      </c>
      <c r="O1240" s="8" t="s">
        <v>306</v>
      </c>
      <c r="P1240" s="8" t="s">
        <v>307</v>
      </c>
      <c r="Q1240" s="8"/>
      <c r="R1240" s="8" t="s">
        <v>313</v>
      </c>
    </row>
    <row r="1241" spans="1:18" ht="26.15" customHeight="1">
      <c r="A1241" s="7">
        <v>1235</v>
      </c>
      <c r="B1241" s="8" t="s">
        <v>1629</v>
      </c>
      <c r="C1241" s="8" t="s">
        <v>3127</v>
      </c>
      <c r="D1241" s="8"/>
      <c r="E1241" s="8" t="s">
        <v>3128</v>
      </c>
      <c r="F1241" s="9" t="s">
        <v>3123</v>
      </c>
      <c r="G1241" s="10">
        <v>42926</v>
      </c>
      <c r="H1241" s="8" t="s">
        <v>109</v>
      </c>
      <c r="I1241" s="11">
        <v>1976500</v>
      </c>
      <c r="J1241" s="8" t="s">
        <v>303</v>
      </c>
      <c r="K1241" s="8" t="s">
        <v>304</v>
      </c>
      <c r="L1241" s="7">
        <v>2011</v>
      </c>
      <c r="M1241" s="8" t="s">
        <v>79</v>
      </c>
      <c r="N1241" s="11">
        <v>19009146</v>
      </c>
      <c r="O1241" s="8" t="s">
        <v>306</v>
      </c>
      <c r="P1241" s="8" t="s">
        <v>307</v>
      </c>
      <c r="Q1241" s="8"/>
      <c r="R1241" s="8"/>
    </row>
    <row r="1242" spans="1:18" ht="26.15" customHeight="1">
      <c r="A1242" s="7">
        <v>1236</v>
      </c>
      <c r="B1242" s="8" t="s">
        <v>1980</v>
      </c>
      <c r="C1242" s="8" t="s">
        <v>3114</v>
      </c>
      <c r="D1242" s="8" t="s">
        <v>3451</v>
      </c>
      <c r="E1242" s="8" t="s">
        <v>3116</v>
      </c>
      <c r="F1242" s="9" t="s">
        <v>3123</v>
      </c>
      <c r="G1242" s="10">
        <v>42926</v>
      </c>
      <c r="H1242" s="8" t="s">
        <v>109</v>
      </c>
      <c r="I1242" s="11">
        <v>1976500</v>
      </c>
      <c r="J1242" s="8" t="s">
        <v>303</v>
      </c>
      <c r="K1242" s="8" t="s">
        <v>304</v>
      </c>
      <c r="L1242" s="7">
        <v>2011</v>
      </c>
      <c r="M1242" s="8" t="s">
        <v>79</v>
      </c>
      <c r="N1242" s="11">
        <v>19009146</v>
      </c>
      <c r="O1242" s="8" t="s">
        <v>306</v>
      </c>
      <c r="P1242" s="8" t="s">
        <v>307</v>
      </c>
      <c r="Q1242" s="8"/>
      <c r="R1242" s="8" t="s">
        <v>56</v>
      </c>
    </row>
    <row r="1243" spans="1:18" ht="26.15" customHeight="1">
      <c r="A1243" s="7">
        <v>1237</v>
      </c>
      <c r="B1243" s="8" t="s">
        <v>727</v>
      </c>
      <c r="C1243" s="8" t="s">
        <v>3114</v>
      </c>
      <c r="D1243" s="8" t="s">
        <v>3568</v>
      </c>
      <c r="E1243" s="8" t="s">
        <v>3116</v>
      </c>
      <c r="F1243" s="9" t="s">
        <v>3123</v>
      </c>
      <c r="G1243" s="10">
        <v>42926</v>
      </c>
      <c r="H1243" s="8" t="s">
        <v>109</v>
      </c>
      <c r="I1243" s="11">
        <v>1976500</v>
      </c>
      <c r="J1243" s="8" t="s">
        <v>303</v>
      </c>
      <c r="K1243" s="8" t="s">
        <v>304</v>
      </c>
      <c r="L1243" s="7">
        <v>2011</v>
      </c>
      <c r="M1243" s="8" t="s">
        <v>79</v>
      </c>
      <c r="N1243" s="11">
        <v>19009146</v>
      </c>
      <c r="O1243" s="8" t="s">
        <v>306</v>
      </c>
      <c r="P1243" s="8" t="s">
        <v>307</v>
      </c>
      <c r="Q1243" s="8"/>
      <c r="R1243" s="8" t="s">
        <v>3138</v>
      </c>
    </row>
    <row r="1244" spans="1:18" ht="26.15" customHeight="1">
      <c r="A1244" s="7">
        <v>1238</v>
      </c>
      <c r="B1244" s="8" t="s">
        <v>4324</v>
      </c>
      <c r="C1244" s="8" t="s">
        <v>3114</v>
      </c>
      <c r="D1244" s="8" t="s">
        <v>4325</v>
      </c>
      <c r="E1244" s="8" t="s">
        <v>3116</v>
      </c>
      <c r="F1244" s="9" t="s">
        <v>3123</v>
      </c>
      <c r="G1244" s="10">
        <v>42922</v>
      </c>
      <c r="H1244" s="8" t="s">
        <v>109</v>
      </c>
      <c r="I1244" s="11">
        <v>10000000</v>
      </c>
      <c r="J1244" s="8" t="s">
        <v>2040</v>
      </c>
      <c r="K1244" s="8" t="s">
        <v>2041</v>
      </c>
      <c r="L1244" s="7">
        <v>2014</v>
      </c>
      <c r="M1244" s="8" t="s">
        <v>2043</v>
      </c>
      <c r="N1244" s="11">
        <v>10000000</v>
      </c>
      <c r="O1244" s="8" t="s">
        <v>2044</v>
      </c>
      <c r="P1244" s="8" t="s">
        <v>2045</v>
      </c>
      <c r="Q1244" s="8"/>
      <c r="R1244" s="8" t="s">
        <v>1732</v>
      </c>
    </row>
    <row r="1245" spans="1:18" ht="26.15" customHeight="1">
      <c r="A1245" s="7">
        <v>1239</v>
      </c>
      <c r="B1245" s="8" t="s">
        <v>4326</v>
      </c>
      <c r="C1245" s="8" t="s">
        <v>3114</v>
      </c>
      <c r="D1245" s="8" t="s">
        <v>4327</v>
      </c>
      <c r="E1245" s="8" t="s">
        <v>3116</v>
      </c>
      <c r="F1245" s="9" t="s">
        <v>3123</v>
      </c>
      <c r="G1245" s="10">
        <v>42922</v>
      </c>
      <c r="H1245" s="8" t="s">
        <v>109</v>
      </c>
      <c r="I1245" s="11">
        <v>10000000</v>
      </c>
      <c r="J1245" s="8" t="s">
        <v>2040</v>
      </c>
      <c r="K1245" s="8" t="s">
        <v>2041</v>
      </c>
      <c r="L1245" s="7">
        <v>2014</v>
      </c>
      <c r="M1245" s="8" t="s">
        <v>2043</v>
      </c>
      <c r="N1245" s="11">
        <v>10000000</v>
      </c>
      <c r="O1245" s="8" t="s">
        <v>2044</v>
      </c>
      <c r="P1245" s="8" t="s">
        <v>2045</v>
      </c>
      <c r="Q1245" s="8"/>
      <c r="R1245" s="8" t="s">
        <v>1141</v>
      </c>
    </row>
    <row r="1246" spans="1:18" ht="26.15" customHeight="1">
      <c r="A1246" s="7">
        <v>1240</v>
      </c>
      <c r="B1246" s="8" t="s">
        <v>1242</v>
      </c>
      <c r="C1246" s="8" t="s">
        <v>3114</v>
      </c>
      <c r="D1246" s="8" t="s">
        <v>3151</v>
      </c>
      <c r="E1246" s="8" t="s">
        <v>3116</v>
      </c>
      <c r="F1246" s="9" t="s">
        <v>3117</v>
      </c>
      <c r="G1246" s="10">
        <v>42922</v>
      </c>
      <c r="H1246" s="8" t="s">
        <v>109</v>
      </c>
      <c r="I1246" s="11">
        <v>8473820</v>
      </c>
      <c r="J1246" s="8" t="s">
        <v>74</v>
      </c>
      <c r="K1246" s="8" t="s">
        <v>75</v>
      </c>
      <c r="L1246" s="7">
        <v>2015</v>
      </c>
      <c r="M1246" s="8" t="s">
        <v>79</v>
      </c>
      <c r="N1246" s="11">
        <v>36362460</v>
      </c>
      <c r="O1246" s="8" t="s">
        <v>80</v>
      </c>
      <c r="P1246" s="8" t="s">
        <v>81</v>
      </c>
      <c r="Q1246" s="8"/>
      <c r="R1246" s="8" t="s">
        <v>79</v>
      </c>
    </row>
    <row r="1247" spans="1:18" ht="26.15" customHeight="1">
      <c r="A1247" s="7">
        <v>1241</v>
      </c>
      <c r="B1247" s="8" t="s">
        <v>2355</v>
      </c>
      <c r="C1247" s="8" t="s">
        <v>3114</v>
      </c>
      <c r="D1247" s="8" t="s">
        <v>3147</v>
      </c>
      <c r="E1247" s="8" t="s">
        <v>3116</v>
      </c>
      <c r="F1247" s="9" t="s">
        <v>3123</v>
      </c>
      <c r="G1247" s="10">
        <v>42922</v>
      </c>
      <c r="H1247" s="8" t="s">
        <v>109</v>
      </c>
      <c r="I1247" s="11">
        <v>8473820</v>
      </c>
      <c r="J1247" s="8" t="s">
        <v>74</v>
      </c>
      <c r="K1247" s="8" t="s">
        <v>75</v>
      </c>
      <c r="L1247" s="7">
        <v>2015</v>
      </c>
      <c r="M1247" s="8" t="s">
        <v>79</v>
      </c>
      <c r="N1247" s="11">
        <v>36362460</v>
      </c>
      <c r="O1247" s="8" t="s">
        <v>80</v>
      </c>
      <c r="P1247" s="8" t="s">
        <v>81</v>
      </c>
      <c r="Q1247" s="8"/>
      <c r="R1247" s="8" t="s">
        <v>3148</v>
      </c>
    </row>
    <row r="1248" spans="1:18" ht="26.15" customHeight="1">
      <c r="A1248" s="7">
        <v>1242</v>
      </c>
      <c r="B1248" s="8" t="s">
        <v>4328</v>
      </c>
      <c r="C1248" s="8" t="s">
        <v>3114</v>
      </c>
      <c r="D1248" s="8" t="s">
        <v>4329</v>
      </c>
      <c r="E1248" s="8" t="s">
        <v>3116</v>
      </c>
      <c r="F1248" s="9" t="s">
        <v>3123</v>
      </c>
      <c r="G1248" s="10">
        <v>42917</v>
      </c>
      <c r="H1248" s="8" t="s">
        <v>34</v>
      </c>
      <c r="I1248" s="11" t="s">
        <v>50</v>
      </c>
      <c r="J1248" s="8" t="s">
        <v>2047</v>
      </c>
      <c r="K1248" s="8" t="s">
        <v>2048</v>
      </c>
      <c r="L1248" s="7">
        <v>2013</v>
      </c>
      <c r="M1248" s="8" t="s">
        <v>2050</v>
      </c>
      <c r="N1248" s="11"/>
      <c r="O1248" s="8" t="s">
        <v>2051</v>
      </c>
      <c r="P1248" s="8" t="s">
        <v>2052</v>
      </c>
      <c r="Q1248" s="8"/>
      <c r="R1248" s="8" t="s">
        <v>4330</v>
      </c>
    </row>
    <row r="1249" spans="1:18" ht="26.15" customHeight="1">
      <c r="A1249" s="7">
        <v>1243</v>
      </c>
      <c r="B1249" s="8" t="s">
        <v>2056</v>
      </c>
      <c r="C1249" s="8" t="s">
        <v>3114</v>
      </c>
      <c r="D1249" s="8" t="s">
        <v>4331</v>
      </c>
      <c r="E1249" s="8" t="s">
        <v>3116</v>
      </c>
      <c r="F1249" s="9" t="s">
        <v>3117</v>
      </c>
      <c r="G1249" s="10">
        <v>42917</v>
      </c>
      <c r="H1249" s="8" t="s">
        <v>34</v>
      </c>
      <c r="I1249" s="11">
        <v>743193</v>
      </c>
      <c r="J1249" s="8" t="s">
        <v>2053</v>
      </c>
      <c r="K1249" s="8" t="s">
        <v>2054</v>
      </c>
      <c r="L1249" s="7">
        <v>2018</v>
      </c>
      <c r="M1249" s="8" t="s">
        <v>2057</v>
      </c>
      <c r="N1249" s="11">
        <v>743193</v>
      </c>
      <c r="O1249" s="8" t="s">
        <v>2058</v>
      </c>
      <c r="P1249" s="8" t="s">
        <v>2059</v>
      </c>
      <c r="Q1249" s="8"/>
      <c r="R1249" s="8" t="s">
        <v>1528</v>
      </c>
    </row>
    <row r="1250" spans="1:18" ht="26.15" customHeight="1">
      <c r="A1250" s="7">
        <v>1244</v>
      </c>
      <c r="B1250" s="8" t="s">
        <v>3639</v>
      </c>
      <c r="C1250" s="8" t="s">
        <v>3114</v>
      </c>
      <c r="D1250" s="8" t="s">
        <v>3640</v>
      </c>
      <c r="E1250" s="8" t="s">
        <v>3116</v>
      </c>
      <c r="F1250" s="9" t="s">
        <v>3123</v>
      </c>
      <c r="G1250" s="10">
        <v>42916</v>
      </c>
      <c r="H1250" s="8" t="s">
        <v>34</v>
      </c>
      <c r="I1250" s="11">
        <v>23189</v>
      </c>
      <c r="J1250" s="8" t="s">
        <v>2060</v>
      </c>
      <c r="K1250" s="8" t="s">
        <v>2061</v>
      </c>
      <c r="L1250" s="7">
        <v>2016</v>
      </c>
      <c r="M1250" s="8" t="s">
        <v>79</v>
      </c>
      <c r="N1250" s="11">
        <v>23189</v>
      </c>
      <c r="O1250" s="8" t="s">
        <v>2062</v>
      </c>
      <c r="P1250" s="8" t="s">
        <v>2063</v>
      </c>
      <c r="Q1250" s="8"/>
      <c r="R1250" s="8" t="s">
        <v>79</v>
      </c>
    </row>
    <row r="1251" spans="1:18" ht="26.15" customHeight="1">
      <c r="A1251" s="7">
        <v>1245</v>
      </c>
      <c r="B1251" s="8" t="s">
        <v>2531</v>
      </c>
      <c r="C1251" s="8" t="s">
        <v>3114</v>
      </c>
      <c r="D1251" s="8" t="s">
        <v>3635</v>
      </c>
      <c r="E1251" s="8" t="s">
        <v>3116</v>
      </c>
      <c r="F1251" s="9" t="s">
        <v>3117</v>
      </c>
      <c r="G1251" s="10">
        <v>42908</v>
      </c>
      <c r="H1251" s="8" t="s">
        <v>25</v>
      </c>
      <c r="I1251" s="11">
        <v>44241132</v>
      </c>
      <c r="J1251" s="8" t="s">
        <v>1120</v>
      </c>
      <c r="K1251" s="8" t="s">
        <v>1121</v>
      </c>
      <c r="L1251" s="7">
        <v>2014</v>
      </c>
      <c r="M1251" s="8" t="s">
        <v>894</v>
      </c>
      <c r="N1251" s="11">
        <v>73326732</v>
      </c>
      <c r="O1251" s="8" t="s">
        <v>1124</v>
      </c>
      <c r="P1251" s="8" t="s">
        <v>1125</v>
      </c>
      <c r="Q1251" s="8"/>
      <c r="R1251" s="8" t="s">
        <v>1141</v>
      </c>
    </row>
    <row r="1252" spans="1:18" ht="26.15" customHeight="1">
      <c r="A1252" s="7">
        <v>1246</v>
      </c>
      <c r="B1252" s="8" t="s">
        <v>1123</v>
      </c>
      <c r="C1252" s="8" t="s">
        <v>3114</v>
      </c>
      <c r="D1252" s="8" t="s">
        <v>3728</v>
      </c>
      <c r="E1252" s="8" t="s">
        <v>3116</v>
      </c>
      <c r="F1252" s="9" t="s">
        <v>3117</v>
      </c>
      <c r="G1252" s="10">
        <v>42908</v>
      </c>
      <c r="H1252" s="8" t="s">
        <v>25</v>
      </c>
      <c r="I1252" s="11">
        <v>44241132</v>
      </c>
      <c r="J1252" s="8" t="s">
        <v>1120</v>
      </c>
      <c r="K1252" s="8" t="s">
        <v>1121</v>
      </c>
      <c r="L1252" s="7">
        <v>2014</v>
      </c>
      <c r="M1252" s="8" t="s">
        <v>894</v>
      </c>
      <c r="N1252" s="11">
        <v>73326732</v>
      </c>
      <c r="O1252" s="8" t="s">
        <v>1124</v>
      </c>
      <c r="P1252" s="8" t="s">
        <v>1125</v>
      </c>
      <c r="Q1252" s="8"/>
      <c r="R1252" s="8" t="s">
        <v>278</v>
      </c>
    </row>
    <row r="1253" spans="1:18" ht="26.15" customHeight="1">
      <c r="A1253" s="7">
        <v>1247</v>
      </c>
      <c r="B1253" s="8" t="s">
        <v>4332</v>
      </c>
      <c r="C1253" s="8" t="s">
        <v>3114</v>
      </c>
      <c r="D1253" s="8" t="s">
        <v>4333</v>
      </c>
      <c r="E1253" s="8" t="s">
        <v>3116</v>
      </c>
      <c r="F1253" s="9" t="s">
        <v>3117</v>
      </c>
      <c r="G1253" s="10">
        <v>42908</v>
      </c>
      <c r="H1253" s="8" t="s">
        <v>25</v>
      </c>
      <c r="I1253" s="11">
        <v>44241132</v>
      </c>
      <c r="J1253" s="8" t="s">
        <v>1120</v>
      </c>
      <c r="K1253" s="8" t="s">
        <v>1121</v>
      </c>
      <c r="L1253" s="7">
        <v>2014</v>
      </c>
      <c r="M1253" s="8" t="s">
        <v>894</v>
      </c>
      <c r="N1253" s="11">
        <v>73326732</v>
      </c>
      <c r="O1253" s="8" t="s">
        <v>1124</v>
      </c>
      <c r="P1253" s="8" t="s">
        <v>1125</v>
      </c>
      <c r="Q1253" s="8"/>
      <c r="R1253" s="8" t="s">
        <v>157</v>
      </c>
    </row>
    <row r="1254" spans="1:18" ht="26.15" customHeight="1">
      <c r="A1254" s="7">
        <v>1248</v>
      </c>
      <c r="B1254" s="8" t="s">
        <v>4156</v>
      </c>
      <c r="C1254" s="8" t="s">
        <v>3114</v>
      </c>
      <c r="D1254" s="8" t="s">
        <v>4157</v>
      </c>
      <c r="E1254" s="8" t="s">
        <v>3116</v>
      </c>
      <c r="F1254" s="9" t="s">
        <v>3123</v>
      </c>
      <c r="G1254" s="10">
        <v>42908</v>
      </c>
      <c r="H1254" s="8" t="s">
        <v>184</v>
      </c>
      <c r="I1254" s="11">
        <v>111409</v>
      </c>
      <c r="J1254" s="8" t="s">
        <v>1802</v>
      </c>
      <c r="K1254" s="8" t="s">
        <v>1803</v>
      </c>
      <c r="L1254" s="7">
        <v>2015</v>
      </c>
      <c r="M1254" s="8" t="s">
        <v>369</v>
      </c>
      <c r="N1254" s="11">
        <v>910000</v>
      </c>
      <c r="O1254" s="8" t="s">
        <v>1806</v>
      </c>
      <c r="P1254" s="8" t="s">
        <v>1807</v>
      </c>
      <c r="Q1254" s="8"/>
      <c r="R1254" s="8" t="s">
        <v>4158</v>
      </c>
    </row>
    <row r="1255" spans="1:18" ht="26.15" customHeight="1">
      <c r="A1255" s="7">
        <v>1249</v>
      </c>
      <c r="B1255" s="8" t="s">
        <v>4334</v>
      </c>
      <c r="C1255" s="8" t="s">
        <v>3139</v>
      </c>
      <c r="D1255" s="8" t="s">
        <v>4335</v>
      </c>
      <c r="E1255" s="8" t="s">
        <v>3116</v>
      </c>
      <c r="F1255" s="9" t="s">
        <v>3123</v>
      </c>
      <c r="G1255" s="10">
        <v>42900</v>
      </c>
      <c r="H1255" s="8" t="s">
        <v>184</v>
      </c>
      <c r="I1255" s="11">
        <v>20000</v>
      </c>
      <c r="J1255" s="8" t="s">
        <v>1282</v>
      </c>
      <c r="K1255" s="8" t="s">
        <v>1283</v>
      </c>
      <c r="L1255" s="7">
        <v>2015</v>
      </c>
      <c r="M1255" s="8" t="s">
        <v>1285</v>
      </c>
      <c r="N1255" s="11">
        <v>650000</v>
      </c>
      <c r="O1255" s="8" t="s">
        <v>1286</v>
      </c>
      <c r="P1255" s="8" t="s">
        <v>1287</v>
      </c>
      <c r="Q1255" s="8"/>
      <c r="R1255" s="8" t="s">
        <v>4336</v>
      </c>
    </row>
    <row r="1256" spans="1:18" ht="26.15" customHeight="1">
      <c r="A1256" s="7">
        <v>1250</v>
      </c>
      <c r="B1256" s="8" t="s">
        <v>4083</v>
      </c>
      <c r="C1256" s="8" t="s">
        <v>3114</v>
      </c>
      <c r="D1256" s="8" t="s">
        <v>4084</v>
      </c>
      <c r="E1256" s="8" t="s">
        <v>3116</v>
      </c>
      <c r="F1256" s="9" t="s">
        <v>3123</v>
      </c>
      <c r="G1256" s="10">
        <v>42893</v>
      </c>
      <c r="H1256" s="8" t="s">
        <v>34</v>
      </c>
      <c r="I1256" s="11">
        <v>256000</v>
      </c>
      <c r="J1256" s="8" t="s">
        <v>783</v>
      </c>
      <c r="K1256" s="8" t="s">
        <v>784</v>
      </c>
      <c r="L1256" s="7">
        <v>2016</v>
      </c>
      <c r="M1256" s="8" t="s">
        <v>787</v>
      </c>
      <c r="N1256" s="11">
        <v>736306</v>
      </c>
      <c r="O1256" s="8" t="s">
        <v>788</v>
      </c>
      <c r="P1256" s="8" t="s">
        <v>789</v>
      </c>
      <c r="Q1256" s="8"/>
      <c r="R1256" s="8" t="s">
        <v>3220</v>
      </c>
    </row>
    <row r="1257" spans="1:18" ht="26.15" customHeight="1">
      <c r="A1257" s="7">
        <v>1251</v>
      </c>
      <c r="B1257" s="8" t="s">
        <v>2301</v>
      </c>
      <c r="C1257" s="8" t="s">
        <v>3114</v>
      </c>
      <c r="D1257" s="8" t="s">
        <v>4245</v>
      </c>
      <c r="E1257" s="8" t="s">
        <v>3116</v>
      </c>
      <c r="F1257" s="9" t="s">
        <v>3123</v>
      </c>
      <c r="G1257" s="10">
        <v>42892</v>
      </c>
      <c r="H1257" s="8" t="s">
        <v>109</v>
      </c>
      <c r="I1257" s="11">
        <v>7000000</v>
      </c>
      <c r="J1257" s="8" t="s">
        <v>1895</v>
      </c>
      <c r="K1257" s="8" t="s">
        <v>1896</v>
      </c>
      <c r="L1257" s="7">
        <v>2016</v>
      </c>
      <c r="M1257" s="8" t="s">
        <v>278</v>
      </c>
      <c r="N1257" s="11">
        <v>17346190</v>
      </c>
      <c r="O1257" s="8" t="s">
        <v>1898</v>
      </c>
      <c r="P1257" s="8" t="s">
        <v>1899</v>
      </c>
      <c r="Q1257" s="8"/>
      <c r="R1257" s="8" t="s">
        <v>1732</v>
      </c>
    </row>
    <row r="1258" spans="1:18" ht="26.15" customHeight="1">
      <c r="A1258" s="7">
        <v>1252</v>
      </c>
      <c r="B1258" s="8" t="s">
        <v>4246</v>
      </c>
      <c r="C1258" s="8" t="s">
        <v>3114</v>
      </c>
      <c r="D1258" s="8" t="s">
        <v>4247</v>
      </c>
      <c r="E1258" s="8" t="s">
        <v>3116</v>
      </c>
      <c r="F1258" s="9" t="s">
        <v>3123</v>
      </c>
      <c r="G1258" s="10">
        <v>42892</v>
      </c>
      <c r="H1258" s="8" t="s">
        <v>109</v>
      </c>
      <c r="I1258" s="11">
        <v>7000000</v>
      </c>
      <c r="J1258" s="8" t="s">
        <v>1895</v>
      </c>
      <c r="K1258" s="8" t="s">
        <v>1896</v>
      </c>
      <c r="L1258" s="7">
        <v>2016</v>
      </c>
      <c r="M1258" s="8" t="s">
        <v>278</v>
      </c>
      <c r="N1258" s="11">
        <v>17346190</v>
      </c>
      <c r="O1258" s="8" t="s">
        <v>1898</v>
      </c>
      <c r="P1258" s="8" t="s">
        <v>1899</v>
      </c>
      <c r="Q1258" s="8"/>
      <c r="R1258" s="8" t="s">
        <v>1732</v>
      </c>
    </row>
    <row r="1259" spans="1:18" ht="26.15" customHeight="1">
      <c r="A1259" s="7">
        <v>1253</v>
      </c>
      <c r="B1259" s="8" t="s">
        <v>4243</v>
      </c>
      <c r="C1259" s="8" t="s">
        <v>3114</v>
      </c>
      <c r="D1259" s="8" t="s">
        <v>4244</v>
      </c>
      <c r="E1259" s="8" t="s">
        <v>3116</v>
      </c>
      <c r="F1259" s="9" t="s">
        <v>3123</v>
      </c>
      <c r="G1259" s="10">
        <v>42892</v>
      </c>
      <c r="H1259" s="8" t="s">
        <v>109</v>
      </c>
      <c r="I1259" s="11">
        <v>7000000</v>
      </c>
      <c r="J1259" s="8" t="s">
        <v>1895</v>
      </c>
      <c r="K1259" s="8" t="s">
        <v>1896</v>
      </c>
      <c r="L1259" s="7">
        <v>2016</v>
      </c>
      <c r="M1259" s="8" t="s">
        <v>278</v>
      </c>
      <c r="N1259" s="11">
        <v>17346190</v>
      </c>
      <c r="O1259" s="8" t="s">
        <v>1898</v>
      </c>
      <c r="P1259" s="8" t="s">
        <v>1899</v>
      </c>
      <c r="Q1259" s="8"/>
      <c r="R1259" s="8" t="s">
        <v>3148</v>
      </c>
    </row>
    <row r="1260" spans="1:18" ht="26.15" customHeight="1">
      <c r="A1260" s="7">
        <v>1254</v>
      </c>
      <c r="B1260" s="8" t="s">
        <v>4088</v>
      </c>
      <c r="C1260" s="8" t="s">
        <v>3114</v>
      </c>
      <c r="D1260" s="8" t="s">
        <v>4089</v>
      </c>
      <c r="E1260" s="8" t="s">
        <v>3116</v>
      </c>
      <c r="F1260" s="9" t="s">
        <v>3123</v>
      </c>
      <c r="G1260" s="10">
        <v>42892</v>
      </c>
      <c r="H1260" s="8" t="s">
        <v>109</v>
      </c>
      <c r="I1260" s="11">
        <v>7000000</v>
      </c>
      <c r="J1260" s="8" t="s">
        <v>1895</v>
      </c>
      <c r="K1260" s="8" t="s">
        <v>1896</v>
      </c>
      <c r="L1260" s="7">
        <v>2016</v>
      </c>
      <c r="M1260" s="8" t="s">
        <v>278</v>
      </c>
      <c r="N1260" s="11">
        <v>17346190</v>
      </c>
      <c r="O1260" s="8" t="s">
        <v>1898</v>
      </c>
      <c r="P1260" s="8" t="s">
        <v>1899</v>
      </c>
      <c r="Q1260" s="8"/>
      <c r="R1260" s="8" t="s">
        <v>278</v>
      </c>
    </row>
    <row r="1261" spans="1:18" ht="26.15" customHeight="1">
      <c r="A1261" s="7">
        <v>1255</v>
      </c>
      <c r="B1261" s="8" t="s">
        <v>2418</v>
      </c>
      <c r="C1261" s="8" t="s">
        <v>3114</v>
      </c>
      <c r="D1261" s="8" t="s">
        <v>4132</v>
      </c>
      <c r="E1261" s="8" t="s">
        <v>3116</v>
      </c>
      <c r="F1261" s="9" t="s">
        <v>3123</v>
      </c>
      <c r="G1261" s="10">
        <v>42892</v>
      </c>
      <c r="H1261" s="8" t="s">
        <v>109</v>
      </c>
      <c r="I1261" s="11">
        <v>7000000</v>
      </c>
      <c r="J1261" s="8" t="s">
        <v>1895</v>
      </c>
      <c r="K1261" s="8" t="s">
        <v>1896</v>
      </c>
      <c r="L1261" s="7">
        <v>2016</v>
      </c>
      <c r="M1261" s="8" t="s">
        <v>278</v>
      </c>
      <c r="N1261" s="11">
        <v>17346190</v>
      </c>
      <c r="O1261" s="8" t="s">
        <v>1898</v>
      </c>
      <c r="P1261" s="8" t="s">
        <v>1899</v>
      </c>
      <c r="Q1261" s="8"/>
      <c r="R1261" s="8" t="s">
        <v>278</v>
      </c>
    </row>
    <row r="1262" spans="1:18" ht="26.15" customHeight="1">
      <c r="A1262" s="7">
        <v>1256</v>
      </c>
      <c r="B1262" s="8" t="s">
        <v>4030</v>
      </c>
      <c r="C1262" s="8" t="s">
        <v>3114</v>
      </c>
      <c r="D1262" s="8" t="s">
        <v>4031</v>
      </c>
      <c r="E1262" s="8" t="s">
        <v>3116</v>
      </c>
      <c r="F1262" s="9" t="s">
        <v>3117</v>
      </c>
      <c r="G1262" s="10">
        <v>42887</v>
      </c>
      <c r="H1262" s="8" t="s">
        <v>34</v>
      </c>
      <c r="I1262" s="11">
        <v>648033</v>
      </c>
      <c r="J1262" s="8" t="s">
        <v>378</v>
      </c>
      <c r="K1262" s="8" t="s">
        <v>379</v>
      </c>
      <c r="L1262" s="7">
        <v>2014</v>
      </c>
      <c r="M1262" s="8" t="s">
        <v>382</v>
      </c>
      <c r="N1262" s="11">
        <v>10111973</v>
      </c>
      <c r="O1262" s="8" t="s">
        <v>383</v>
      </c>
      <c r="P1262" s="8" t="s">
        <v>384</v>
      </c>
      <c r="Q1262" s="8"/>
      <c r="R1262" s="8" t="s">
        <v>382</v>
      </c>
    </row>
    <row r="1263" spans="1:18" ht="26.15" customHeight="1">
      <c r="A1263" s="7">
        <v>1257</v>
      </c>
      <c r="B1263" s="8" t="s">
        <v>4032</v>
      </c>
      <c r="C1263" s="8" t="s">
        <v>3114</v>
      </c>
      <c r="D1263" s="8" t="s">
        <v>4033</v>
      </c>
      <c r="E1263" s="8" t="s">
        <v>3116</v>
      </c>
      <c r="F1263" s="9" t="s">
        <v>3117</v>
      </c>
      <c r="G1263" s="10">
        <v>42887</v>
      </c>
      <c r="H1263" s="8" t="s">
        <v>34</v>
      </c>
      <c r="I1263" s="11">
        <v>648033</v>
      </c>
      <c r="J1263" s="8" t="s">
        <v>378</v>
      </c>
      <c r="K1263" s="8" t="s">
        <v>379</v>
      </c>
      <c r="L1263" s="7">
        <v>2014</v>
      </c>
      <c r="M1263" s="8" t="s">
        <v>382</v>
      </c>
      <c r="N1263" s="11">
        <v>10111973</v>
      </c>
      <c r="O1263" s="8" t="s">
        <v>383</v>
      </c>
      <c r="P1263" s="8" t="s">
        <v>384</v>
      </c>
      <c r="Q1263" s="8"/>
      <c r="R1263" s="8" t="s">
        <v>39</v>
      </c>
    </row>
    <row r="1264" spans="1:18" ht="26.15" customHeight="1">
      <c r="A1264" s="7">
        <v>1258</v>
      </c>
      <c r="B1264" s="8" t="s">
        <v>2072</v>
      </c>
      <c r="C1264" s="8" t="s">
        <v>3139</v>
      </c>
      <c r="D1264" s="8" t="s">
        <v>4179</v>
      </c>
      <c r="E1264" s="8" t="s">
        <v>3116</v>
      </c>
      <c r="F1264" s="9" t="s">
        <v>3117</v>
      </c>
      <c r="G1264" s="10">
        <v>42887</v>
      </c>
      <c r="H1264" s="8" t="s">
        <v>34</v>
      </c>
      <c r="I1264" s="11" t="s">
        <v>50</v>
      </c>
      <c r="J1264" s="8" t="s">
        <v>1082</v>
      </c>
      <c r="K1264" s="8" t="s">
        <v>1083</v>
      </c>
      <c r="L1264" s="7">
        <v>2016</v>
      </c>
      <c r="M1264" s="8" t="s">
        <v>1086</v>
      </c>
      <c r="N1264" s="11">
        <v>120000</v>
      </c>
      <c r="O1264" s="8" t="s">
        <v>1087</v>
      </c>
      <c r="P1264" s="8" t="s">
        <v>1088</v>
      </c>
      <c r="Q1264" s="8"/>
      <c r="R1264" s="8"/>
    </row>
    <row r="1265" spans="1:18" ht="26.15" customHeight="1">
      <c r="A1265" s="7">
        <v>1259</v>
      </c>
      <c r="B1265" s="8" t="s">
        <v>480</v>
      </c>
      <c r="C1265" s="8" t="s">
        <v>3114</v>
      </c>
      <c r="D1265" s="8" t="s">
        <v>3426</v>
      </c>
      <c r="E1265" s="8" t="s">
        <v>3116</v>
      </c>
      <c r="F1265" s="9" t="s">
        <v>3123</v>
      </c>
      <c r="G1265" s="10">
        <v>42887</v>
      </c>
      <c r="H1265" s="8" t="s">
        <v>34</v>
      </c>
      <c r="I1265" s="11">
        <v>120000</v>
      </c>
      <c r="J1265" s="8" t="s">
        <v>2073</v>
      </c>
      <c r="K1265" s="8" t="s">
        <v>2074</v>
      </c>
      <c r="L1265" s="7">
        <v>2015</v>
      </c>
      <c r="M1265" s="8" t="s">
        <v>2075</v>
      </c>
      <c r="N1265" s="11">
        <v>170000</v>
      </c>
      <c r="O1265" s="8" t="s">
        <v>2076</v>
      </c>
      <c r="P1265" s="8" t="s">
        <v>2077</v>
      </c>
      <c r="Q1265" s="8"/>
      <c r="R1265" s="8" t="s">
        <v>3427</v>
      </c>
    </row>
    <row r="1266" spans="1:18" ht="26.15" customHeight="1">
      <c r="A1266" s="7">
        <v>1260</v>
      </c>
      <c r="B1266" s="8" t="s">
        <v>3583</v>
      </c>
      <c r="C1266" s="8" t="s">
        <v>3114</v>
      </c>
      <c r="D1266" s="8" t="s">
        <v>3584</v>
      </c>
      <c r="E1266" s="8" t="s">
        <v>3116</v>
      </c>
      <c r="F1266" s="9" t="s">
        <v>3123</v>
      </c>
      <c r="G1266" s="10">
        <v>42887</v>
      </c>
      <c r="H1266" s="8" t="s">
        <v>184</v>
      </c>
      <c r="I1266" s="11">
        <v>86513</v>
      </c>
      <c r="J1266" s="8" t="s">
        <v>2078</v>
      </c>
      <c r="K1266" s="8" t="s">
        <v>2079</v>
      </c>
      <c r="L1266" s="7">
        <v>2015</v>
      </c>
      <c r="M1266" s="8" t="s">
        <v>2027</v>
      </c>
      <c r="N1266" s="11"/>
      <c r="O1266" s="8" t="s">
        <v>2080</v>
      </c>
      <c r="P1266" s="8" t="s">
        <v>2081</v>
      </c>
      <c r="Q1266" s="8"/>
      <c r="R1266" s="8" t="s">
        <v>3357</v>
      </c>
    </row>
    <row r="1267" spans="1:18" ht="26.15" customHeight="1">
      <c r="A1267" s="7">
        <v>1261</v>
      </c>
      <c r="B1267" s="8" t="s">
        <v>4337</v>
      </c>
      <c r="C1267" s="8" t="s">
        <v>3139</v>
      </c>
      <c r="D1267" s="8" t="s">
        <v>4338</v>
      </c>
      <c r="E1267" s="8" t="s">
        <v>3116</v>
      </c>
      <c r="F1267" s="9" t="s">
        <v>3123</v>
      </c>
      <c r="G1267" s="10">
        <v>42887</v>
      </c>
      <c r="H1267" s="8" t="s">
        <v>184</v>
      </c>
      <c r="I1267" s="11"/>
      <c r="J1267" s="8" t="s">
        <v>1196</v>
      </c>
      <c r="K1267" s="8" t="s">
        <v>1197</v>
      </c>
      <c r="L1267" s="7">
        <v>2016</v>
      </c>
      <c r="M1267" s="8" t="s">
        <v>39</v>
      </c>
      <c r="N1267" s="11">
        <v>652000</v>
      </c>
      <c r="O1267" s="8" t="s">
        <v>389</v>
      </c>
      <c r="P1267" s="8" t="s">
        <v>1200</v>
      </c>
      <c r="Q1267" s="8"/>
      <c r="R1267" s="8" t="s">
        <v>3148</v>
      </c>
    </row>
    <row r="1268" spans="1:18" ht="26.15" customHeight="1">
      <c r="A1268" s="7">
        <v>1262</v>
      </c>
      <c r="B1268" s="8" t="s">
        <v>2086</v>
      </c>
      <c r="C1268" s="8" t="s">
        <v>3114</v>
      </c>
      <c r="D1268" s="8" t="s">
        <v>4339</v>
      </c>
      <c r="E1268" s="8" t="s">
        <v>3116</v>
      </c>
      <c r="F1268" s="9" t="s">
        <v>3117</v>
      </c>
      <c r="G1268" s="10">
        <v>42887</v>
      </c>
      <c r="H1268" s="8" t="s">
        <v>34</v>
      </c>
      <c r="I1268" s="11">
        <v>50000</v>
      </c>
      <c r="J1268" s="8" t="s">
        <v>2083</v>
      </c>
      <c r="K1268" s="8" t="s">
        <v>2084</v>
      </c>
      <c r="L1268" s="7">
        <v>2016</v>
      </c>
      <c r="M1268" s="8" t="s">
        <v>39</v>
      </c>
      <c r="N1268" s="11">
        <v>50000</v>
      </c>
      <c r="O1268" s="8" t="s">
        <v>2087</v>
      </c>
      <c r="P1268" s="8" t="s">
        <v>1366</v>
      </c>
      <c r="Q1268" s="8"/>
      <c r="R1268" s="8" t="s">
        <v>4340</v>
      </c>
    </row>
    <row r="1269" spans="1:18" ht="26.15" customHeight="1">
      <c r="A1269" s="7">
        <v>1263</v>
      </c>
      <c r="B1269" s="8" t="s">
        <v>1609</v>
      </c>
      <c r="C1269" s="8" t="s">
        <v>3114</v>
      </c>
      <c r="D1269" s="8" t="s">
        <v>3544</v>
      </c>
      <c r="E1269" s="8" t="s">
        <v>3116</v>
      </c>
      <c r="F1269" s="9" t="s">
        <v>3123</v>
      </c>
      <c r="G1269" s="10">
        <v>42887</v>
      </c>
      <c r="H1269" s="8" t="s">
        <v>184</v>
      </c>
      <c r="I1269" s="11" t="s">
        <v>50</v>
      </c>
      <c r="J1269" s="8" t="s">
        <v>2088</v>
      </c>
      <c r="K1269" s="8" t="s">
        <v>2089</v>
      </c>
      <c r="L1269" s="7">
        <v>2016</v>
      </c>
      <c r="M1269" s="8" t="s">
        <v>638</v>
      </c>
      <c r="N1269" s="11"/>
      <c r="O1269" s="8" t="s">
        <v>2090</v>
      </c>
      <c r="P1269" s="8" t="s">
        <v>2091</v>
      </c>
      <c r="Q1269" s="8"/>
      <c r="R1269" s="8" t="s">
        <v>3166</v>
      </c>
    </row>
    <row r="1270" spans="1:18" ht="26.15" customHeight="1">
      <c r="A1270" s="7">
        <v>1264</v>
      </c>
      <c r="B1270" s="8" t="s">
        <v>480</v>
      </c>
      <c r="C1270" s="8" t="s">
        <v>3114</v>
      </c>
      <c r="D1270" s="8" t="s">
        <v>3426</v>
      </c>
      <c r="E1270" s="8" t="s">
        <v>3116</v>
      </c>
      <c r="F1270" s="9" t="s">
        <v>3123</v>
      </c>
      <c r="G1270" s="10">
        <v>42887</v>
      </c>
      <c r="H1270" s="8" t="s">
        <v>34</v>
      </c>
      <c r="I1270" s="11">
        <v>120000</v>
      </c>
      <c r="J1270" s="8" t="s">
        <v>2092</v>
      </c>
      <c r="K1270" s="8" t="s">
        <v>2093</v>
      </c>
      <c r="L1270" s="7">
        <v>2015</v>
      </c>
      <c r="M1270" s="8" t="s">
        <v>1285</v>
      </c>
      <c r="N1270" s="11">
        <v>120000</v>
      </c>
      <c r="O1270" s="8" t="s">
        <v>2094</v>
      </c>
      <c r="P1270" s="8" t="s">
        <v>2095</v>
      </c>
      <c r="Q1270" s="8"/>
      <c r="R1270" s="8" t="s">
        <v>3427</v>
      </c>
    </row>
    <row r="1271" spans="1:18" ht="26.15" customHeight="1">
      <c r="A1271" s="7">
        <v>1265</v>
      </c>
      <c r="B1271" s="8" t="s">
        <v>3262</v>
      </c>
      <c r="C1271" s="8" t="s">
        <v>3114</v>
      </c>
      <c r="D1271" s="8" t="s">
        <v>3263</v>
      </c>
      <c r="E1271" s="8" t="s">
        <v>3116</v>
      </c>
      <c r="F1271" s="9" t="s">
        <v>3123</v>
      </c>
      <c r="G1271" s="10">
        <v>42887</v>
      </c>
      <c r="H1271" s="8" t="s">
        <v>109</v>
      </c>
      <c r="I1271" s="11" t="s">
        <v>50</v>
      </c>
      <c r="J1271" s="8" t="s">
        <v>1983</v>
      </c>
      <c r="K1271" s="8" t="s">
        <v>1984</v>
      </c>
      <c r="L1271" s="7">
        <v>2013</v>
      </c>
      <c r="M1271" s="8" t="s">
        <v>39</v>
      </c>
      <c r="N1271" s="11"/>
      <c r="O1271" s="8" t="s">
        <v>1986</v>
      </c>
      <c r="P1271" s="8" t="s">
        <v>1987</v>
      </c>
      <c r="Q1271" s="8"/>
      <c r="R1271" s="8" t="s">
        <v>39</v>
      </c>
    </row>
    <row r="1272" spans="1:18" ht="26.15" customHeight="1">
      <c r="A1272" s="7">
        <v>1266</v>
      </c>
      <c r="B1272" s="8" t="s">
        <v>1609</v>
      </c>
      <c r="C1272" s="8" t="s">
        <v>3114</v>
      </c>
      <c r="D1272" s="8" t="s">
        <v>3544</v>
      </c>
      <c r="E1272" s="8" t="s">
        <v>3116</v>
      </c>
      <c r="F1272" s="9" t="s">
        <v>3117</v>
      </c>
      <c r="G1272" s="10">
        <v>42887</v>
      </c>
      <c r="H1272" s="8" t="s">
        <v>34</v>
      </c>
      <c r="I1272" s="11" t="s">
        <v>50</v>
      </c>
      <c r="J1272" s="8" t="s">
        <v>2098</v>
      </c>
      <c r="K1272" s="8" t="s">
        <v>2099</v>
      </c>
      <c r="L1272" s="7">
        <v>2017</v>
      </c>
      <c r="M1272" s="8" t="s">
        <v>954</v>
      </c>
      <c r="N1272" s="11"/>
      <c r="O1272" s="8" t="s">
        <v>2100</v>
      </c>
      <c r="P1272" s="8" t="s">
        <v>2101</v>
      </c>
      <c r="Q1272" s="8"/>
      <c r="R1272" s="8" t="s">
        <v>3166</v>
      </c>
    </row>
    <row r="1273" spans="1:18" ht="26.15" customHeight="1">
      <c r="A1273" s="7">
        <v>1267</v>
      </c>
      <c r="B1273" s="8" t="s">
        <v>4341</v>
      </c>
      <c r="C1273" s="8" t="s">
        <v>3139</v>
      </c>
      <c r="D1273" s="8" t="s">
        <v>4342</v>
      </c>
      <c r="E1273" s="8" t="s">
        <v>3116</v>
      </c>
      <c r="F1273" s="9" t="s">
        <v>3123</v>
      </c>
      <c r="G1273" s="10">
        <v>42885</v>
      </c>
      <c r="H1273" s="8" t="s">
        <v>184</v>
      </c>
      <c r="I1273" s="11">
        <v>10000</v>
      </c>
      <c r="J1273" s="8" t="s">
        <v>2005</v>
      </c>
      <c r="K1273" s="8" t="s">
        <v>2006</v>
      </c>
      <c r="L1273" s="7">
        <v>2014</v>
      </c>
      <c r="M1273" s="8" t="s">
        <v>2008</v>
      </c>
      <c r="N1273" s="11"/>
      <c r="O1273" s="8" t="s">
        <v>2009</v>
      </c>
      <c r="P1273" s="8" t="s">
        <v>2010</v>
      </c>
      <c r="Q1273" s="8"/>
      <c r="R1273" s="8" t="s">
        <v>3354</v>
      </c>
    </row>
    <row r="1274" spans="1:18" ht="26.15" customHeight="1">
      <c r="A1274" s="7">
        <v>1268</v>
      </c>
      <c r="B1274" s="8" t="s">
        <v>1609</v>
      </c>
      <c r="C1274" s="8" t="s">
        <v>3114</v>
      </c>
      <c r="D1274" s="8" t="s">
        <v>3544</v>
      </c>
      <c r="E1274" s="8" t="s">
        <v>3116</v>
      </c>
      <c r="F1274" s="9" t="s">
        <v>3123</v>
      </c>
      <c r="G1274" s="10">
        <v>42878</v>
      </c>
      <c r="H1274" s="8" t="s">
        <v>184</v>
      </c>
      <c r="I1274" s="11" t="s">
        <v>50</v>
      </c>
      <c r="J1274" s="8" t="s">
        <v>2103</v>
      </c>
      <c r="K1274" s="8" t="s">
        <v>2104</v>
      </c>
      <c r="L1274" s="7">
        <v>2015</v>
      </c>
      <c r="M1274" s="8" t="s">
        <v>39</v>
      </c>
      <c r="N1274" s="11"/>
      <c r="O1274" s="8" t="s">
        <v>2105</v>
      </c>
      <c r="P1274" s="8" t="s">
        <v>2106</v>
      </c>
      <c r="Q1274" s="8"/>
      <c r="R1274" s="8" t="s">
        <v>3166</v>
      </c>
    </row>
    <row r="1275" spans="1:18" ht="26.15" customHeight="1">
      <c r="A1275" s="7">
        <v>1269</v>
      </c>
      <c r="B1275" s="8" t="s">
        <v>1467</v>
      </c>
      <c r="C1275" s="8" t="s">
        <v>3114</v>
      </c>
      <c r="D1275" s="8" t="s">
        <v>3196</v>
      </c>
      <c r="E1275" s="8" t="s">
        <v>3116</v>
      </c>
      <c r="F1275" s="9" t="s">
        <v>3123</v>
      </c>
      <c r="G1275" s="10">
        <v>42870</v>
      </c>
      <c r="H1275" s="8" t="s">
        <v>302</v>
      </c>
      <c r="I1275" s="11">
        <v>77612</v>
      </c>
      <c r="J1275" s="8" t="s">
        <v>217</v>
      </c>
      <c r="K1275" s="8" t="s">
        <v>218</v>
      </c>
      <c r="L1275" s="7">
        <v>2015</v>
      </c>
      <c r="M1275" s="8" t="s">
        <v>79</v>
      </c>
      <c r="N1275" s="11">
        <v>2569628</v>
      </c>
      <c r="O1275" s="8" t="s">
        <v>221</v>
      </c>
      <c r="P1275" s="8" t="s">
        <v>222</v>
      </c>
      <c r="Q1275" s="8"/>
      <c r="R1275" s="8" t="s">
        <v>313</v>
      </c>
    </row>
    <row r="1276" spans="1:18" ht="26.15" customHeight="1">
      <c r="A1276" s="7">
        <v>1270</v>
      </c>
      <c r="B1276" s="8" t="s">
        <v>3689</v>
      </c>
      <c r="C1276" s="8" t="s">
        <v>3114</v>
      </c>
      <c r="D1276" s="8" t="s">
        <v>3690</v>
      </c>
      <c r="E1276" s="8" t="s">
        <v>3116</v>
      </c>
      <c r="F1276" s="9" t="s">
        <v>3123</v>
      </c>
      <c r="G1276" s="10">
        <v>42867</v>
      </c>
      <c r="H1276" s="8" t="s">
        <v>184</v>
      </c>
      <c r="I1276" s="11">
        <v>30000</v>
      </c>
      <c r="J1276" s="8" t="s">
        <v>2107</v>
      </c>
      <c r="K1276" s="8" t="s">
        <v>2108</v>
      </c>
      <c r="L1276" s="7">
        <v>2016</v>
      </c>
      <c r="M1276" s="8" t="s">
        <v>1583</v>
      </c>
      <c r="N1276" s="11"/>
      <c r="O1276" s="8" t="s">
        <v>2109</v>
      </c>
      <c r="P1276" s="8" t="s">
        <v>2110</v>
      </c>
      <c r="Q1276" s="8"/>
      <c r="R1276" s="8" t="s">
        <v>299</v>
      </c>
    </row>
    <row r="1277" spans="1:18" ht="26.15" customHeight="1">
      <c r="A1277" s="7">
        <v>1271</v>
      </c>
      <c r="B1277" s="8" t="s">
        <v>3689</v>
      </c>
      <c r="C1277" s="8" t="s">
        <v>3114</v>
      </c>
      <c r="D1277" s="8" t="s">
        <v>3690</v>
      </c>
      <c r="E1277" s="8" t="s">
        <v>3116</v>
      </c>
      <c r="F1277" s="9" t="s">
        <v>3123</v>
      </c>
      <c r="G1277" s="10">
        <v>42867</v>
      </c>
      <c r="H1277" s="8" t="s">
        <v>184</v>
      </c>
      <c r="I1277" s="11">
        <v>30000</v>
      </c>
      <c r="J1277" s="8" t="s">
        <v>1256</v>
      </c>
      <c r="K1277" s="8" t="s">
        <v>1257</v>
      </c>
      <c r="L1277" s="7">
        <v>2016</v>
      </c>
      <c r="M1277" s="8" t="s">
        <v>1258</v>
      </c>
      <c r="N1277" s="11"/>
      <c r="O1277" s="8" t="s">
        <v>1259</v>
      </c>
      <c r="P1277" s="8" t="s">
        <v>1260</v>
      </c>
      <c r="Q1277" s="8"/>
      <c r="R1277" s="8" t="s">
        <v>299</v>
      </c>
    </row>
    <row r="1278" spans="1:18" ht="26.15" customHeight="1">
      <c r="A1278" s="7">
        <v>1272</v>
      </c>
      <c r="B1278" s="8" t="s">
        <v>2111</v>
      </c>
      <c r="C1278" s="8" t="s">
        <v>3139</v>
      </c>
      <c r="D1278" s="8" t="s">
        <v>2111</v>
      </c>
      <c r="E1278" s="8" t="s">
        <v>3116</v>
      </c>
      <c r="F1278" s="9" t="s">
        <v>3123</v>
      </c>
      <c r="G1278" s="10">
        <v>42866</v>
      </c>
      <c r="H1278" s="8" t="s">
        <v>184</v>
      </c>
      <c r="I1278" s="11">
        <v>10000</v>
      </c>
      <c r="J1278" s="8" t="s">
        <v>426</v>
      </c>
      <c r="K1278" s="8" t="s">
        <v>427</v>
      </c>
      <c r="L1278" s="7">
        <v>2014</v>
      </c>
      <c r="M1278" s="8" t="s">
        <v>173</v>
      </c>
      <c r="N1278" s="11">
        <v>5000000</v>
      </c>
      <c r="O1278" s="8" t="s">
        <v>430</v>
      </c>
      <c r="P1278" s="8" t="s">
        <v>431</v>
      </c>
      <c r="Q1278" s="8"/>
      <c r="R1278" s="8" t="s">
        <v>4343</v>
      </c>
    </row>
    <row r="1279" spans="1:18" ht="26.15" customHeight="1">
      <c r="A1279" s="7">
        <v>1273</v>
      </c>
      <c r="B1279" s="8" t="s">
        <v>3639</v>
      </c>
      <c r="C1279" s="8" t="s">
        <v>3114</v>
      </c>
      <c r="D1279" s="8" t="s">
        <v>3640</v>
      </c>
      <c r="E1279" s="8" t="s">
        <v>3116</v>
      </c>
      <c r="F1279" s="9" t="s">
        <v>3123</v>
      </c>
      <c r="G1279" s="10">
        <v>42864</v>
      </c>
      <c r="H1279" s="8" t="s">
        <v>184</v>
      </c>
      <c r="I1279" s="11">
        <v>74400</v>
      </c>
      <c r="J1279" s="8" t="s">
        <v>2112</v>
      </c>
      <c r="K1279" s="8" t="s">
        <v>2113</v>
      </c>
      <c r="L1279" s="7">
        <v>2013</v>
      </c>
      <c r="M1279" s="8" t="s">
        <v>79</v>
      </c>
      <c r="N1279" s="11">
        <v>212000</v>
      </c>
      <c r="O1279" s="8" t="s">
        <v>2114</v>
      </c>
      <c r="P1279" s="8" t="s">
        <v>2115</v>
      </c>
      <c r="Q1279" s="8"/>
      <c r="R1279" s="8" t="s">
        <v>79</v>
      </c>
    </row>
    <row r="1280" spans="1:18" ht="26.15" customHeight="1">
      <c r="A1280" s="7">
        <v>1274</v>
      </c>
      <c r="B1280" s="8" t="s">
        <v>4344</v>
      </c>
      <c r="C1280" s="8" t="s">
        <v>3114</v>
      </c>
      <c r="D1280" s="8" t="s">
        <v>4345</v>
      </c>
      <c r="E1280" s="8" t="s">
        <v>3116</v>
      </c>
      <c r="F1280" s="9" t="s">
        <v>3123</v>
      </c>
      <c r="G1280" s="10">
        <v>42861</v>
      </c>
      <c r="H1280" s="8" t="s">
        <v>109</v>
      </c>
      <c r="I1280" s="11">
        <v>150000</v>
      </c>
      <c r="J1280" s="8" t="s">
        <v>1539</v>
      </c>
      <c r="K1280" s="8" t="s">
        <v>1540</v>
      </c>
      <c r="L1280" s="7">
        <v>2012</v>
      </c>
      <c r="M1280" s="8" t="s">
        <v>39</v>
      </c>
      <c r="N1280" s="11">
        <v>150000</v>
      </c>
      <c r="O1280" s="8" t="s">
        <v>1542</v>
      </c>
      <c r="P1280" s="8" t="s">
        <v>1543</v>
      </c>
      <c r="Q1280" s="8"/>
      <c r="R1280" s="8" t="s">
        <v>4346</v>
      </c>
    </row>
    <row r="1281" spans="1:18" ht="26.15" customHeight="1">
      <c r="A1281" s="7">
        <v>1275</v>
      </c>
      <c r="B1281" s="8" t="s">
        <v>1486</v>
      </c>
      <c r="C1281" s="8" t="s">
        <v>3139</v>
      </c>
      <c r="D1281" s="8" t="s">
        <v>3989</v>
      </c>
      <c r="E1281" s="8" t="s">
        <v>3116</v>
      </c>
      <c r="F1281" s="9" t="s">
        <v>3117</v>
      </c>
      <c r="G1281" s="10">
        <v>42860</v>
      </c>
      <c r="H1281" s="8" t="s">
        <v>109</v>
      </c>
      <c r="I1281" s="11" t="s">
        <v>50</v>
      </c>
      <c r="J1281" s="8" t="s">
        <v>2117</v>
      </c>
      <c r="K1281" s="8" t="s">
        <v>2118</v>
      </c>
      <c r="L1281" s="7">
        <v>2011</v>
      </c>
      <c r="M1281" s="8" t="s">
        <v>516</v>
      </c>
      <c r="N1281" s="11"/>
      <c r="O1281" s="8" t="s">
        <v>2119</v>
      </c>
      <c r="P1281" s="8" t="s">
        <v>2120</v>
      </c>
      <c r="Q1281" s="8"/>
      <c r="R1281" s="8" t="s">
        <v>3990</v>
      </c>
    </row>
    <row r="1282" spans="1:18" ht="26.15" customHeight="1">
      <c r="A1282" s="7">
        <v>1276</v>
      </c>
      <c r="B1282" s="8" t="s">
        <v>3212</v>
      </c>
      <c r="C1282" s="8" t="s">
        <v>3114</v>
      </c>
      <c r="D1282" s="8" t="s">
        <v>3213</v>
      </c>
      <c r="E1282" s="8" t="s">
        <v>3116</v>
      </c>
      <c r="F1282" s="9" t="s">
        <v>3117</v>
      </c>
      <c r="G1282" s="10">
        <v>42859</v>
      </c>
      <c r="H1282" s="8" t="s">
        <v>109</v>
      </c>
      <c r="I1282" s="11">
        <v>7500000</v>
      </c>
      <c r="J1282" s="8" t="s">
        <v>228</v>
      </c>
      <c r="K1282" s="8" t="s">
        <v>229</v>
      </c>
      <c r="L1282" s="7">
        <v>2015</v>
      </c>
      <c r="M1282" s="8" t="s">
        <v>233</v>
      </c>
      <c r="N1282" s="11">
        <v>60000000</v>
      </c>
      <c r="O1282" s="8" t="s">
        <v>234</v>
      </c>
      <c r="P1282" s="8" t="s">
        <v>235</v>
      </c>
      <c r="Q1282" s="8"/>
      <c r="R1282" s="8" t="s">
        <v>3214</v>
      </c>
    </row>
    <row r="1283" spans="1:18" ht="26.15" customHeight="1">
      <c r="A1283" s="7">
        <v>1277</v>
      </c>
      <c r="B1283" s="8" t="s">
        <v>3218</v>
      </c>
      <c r="C1283" s="8" t="s">
        <v>3114</v>
      </c>
      <c r="D1283" s="8" t="s">
        <v>3219</v>
      </c>
      <c r="E1283" s="8" t="s">
        <v>3116</v>
      </c>
      <c r="F1283" s="9" t="s">
        <v>3123</v>
      </c>
      <c r="G1283" s="10">
        <v>42859</v>
      </c>
      <c r="H1283" s="8" t="s">
        <v>109</v>
      </c>
      <c r="I1283" s="11">
        <v>7500000</v>
      </c>
      <c r="J1283" s="8" t="s">
        <v>228</v>
      </c>
      <c r="K1283" s="8" t="s">
        <v>229</v>
      </c>
      <c r="L1283" s="7">
        <v>2015</v>
      </c>
      <c r="M1283" s="8" t="s">
        <v>233</v>
      </c>
      <c r="N1283" s="11">
        <v>60000000</v>
      </c>
      <c r="O1283" s="8" t="s">
        <v>234</v>
      </c>
      <c r="P1283" s="8" t="s">
        <v>235</v>
      </c>
      <c r="Q1283" s="8"/>
      <c r="R1283" s="8" t="s">
        <v>3220</v>
      </c>
    </row>
    <row r="1284" spans="1:18" ht="26.15" customHeight="1">
      <c r="A1284" s="7">
        <v>1278</v>
      </c>
      <c r="B1284" s="8" t="s">
        <v>3140</v>
      </c>
      <c r="C1284" s="8" t="s">
        <v>3139</v>
      </c>
      <c r="D1284" s="8" t="s">
        <v>3141</v>
      </c>
      <c r="E1284" s="8" t="s">
        <v>3116</v>
      </c>
      <c r="F1284" s="9" t="s">
        <v>3123</v>
      </c>
      <c r="G1284" s="10">
        <v>42859</v>
      </c>
      <c r="H1284" s="8" t="s">
        <v>109</v>
      </c>
      <c r="I1284" s="11">
        <v>7500000</v>
      </c>
      <c r="J1284" s="8" t="s">
        <v>228</v>
      </c>
      <c r="K1284" s="8" t="s">
        <v>229</v>
      </c>
      <c r="L1284" s="7">
        <v>2015</v>
      </c>
      <c r="M1284" s="8" t="s">
        <v>233</v>
      </c>
      <c r="N1284" s="11">
        <v>60000000</v>
      </c>
      <c r="O1284" s="8" t="s">
        <v>234</v>
      </c>
      <c r="P1284" s="8" t="s">
        <v>235</v>
      </c>
      <c r="Q1284" s="8"/>
      <c r="R1284" s="8" t="s">
        <v>954</v>
      </c>
    </row>
    <row r="1285" spans="1:18" ht="26.15" customHeight="1">
      <c r="A1285" s="7">
        <v>1279</v>
      </c>
      <c r="B1285" s="8" t="s">
        <v>4347</v>
      </c>
      <c r="C1285" s="8" t="s">
        <v>3114</v>
      </c>
      <c r="D1285" s="8" t="s">
        <v>4348</v>
      </c>
      <c r="E1285" s="8" t="s">
        <v>3116</v>
      </c>
      <c r="F1285" s="9" t="s">
        <v>3123</v>
      </c>
      <c r="G1285" s="10">
        <v>42859</v>
      </c>
      <c r="H1285" s="8" t="s">
        <v>109</v>
      </c>
      <c r="I1285" s="11">
        <v>7500000</v>
      </c>
      <c r="J1285" s="8" t="s">
        <v>228</v>
      </c>
      <c r="K1285" s="8" t="s">
        <v>229</v>
      </c>
      <c r="L1285" s="7">
        <v>2015</v>
      </c>
      <c r="M1285" s="8" t="s">
        <v>233</v>
      </c>
      <c r="N1285" s="11">
        <v>60000000</v>
      </c>
      <c r="O1285" s="8" t="s">
        <v>234</v>
      </c>
      <c r="P1285" s="8" t="s">
        <v>235</v>
      </c>
      <c r="Q1285" s="8"/>
      <c r="R1285" s="8" t="s">
        <v>698</v>
      </c>
    </row>
    <row r="1286" spans="1:18" ht="26.15" customHeight="1">
      <c r="A1286" s="7">
        <v>1280</v>
      </c>
      <c r="B1286" s="8" t="s">
        <v>3215</v>
      </c>
      <c r="C1286" s="8" t="s">
        <v>3114</v>
      </c>
      <c r="D1286" s="8" t="s">
        <v>3216</v>
      </c>
      <c r="E1286" s="8" t="s">
        <v>3116</v>
      </c>
      <c r="F1286" s="9" t="s">
        <v>3117</v>
      </c>
      <c r="G1286" s="10">
        <v>42859</v>
      </c>
      <c r="H1286" s="8" t="s">
        <v>109</v>
      </c>
      <c r="I1286" s="11">
        <v>7500000</v>
      </c>
      <c r="J1286" s="8" t="s">
        <v>228</v>
      </c>
      <c r="K1286" s="8" t="s">
        <v>229</v>
      </c>
      <c r="L1286" s="7">
        <v>2015</v>
      </c>
      <c r="M1286" s="8" t="s">
        <v>233</v>
      </c>
      <c r="N1286" s="11">
        <v>60000000</v>
      </c>
      <c r="O1286" s="8" t="s">
        <v>234</v>
      </c>
      <c r="P1286" s="8" t="s">
        <v>235</v>
      </c>
      <c r="Q1286" s="8"/>
      <c r="R1286" s="8" t="s">
        <v>3217</v>
      </c>
    </row>
    <row r="1287" spans="1:18" ht="26.15" customHeight="1">
      <c r="A1287" s="7">
        <v>1281</v>
      </c>
      <c r="B1287" s="8" t="s">
        <v>2122</v>
      </c>
      <c r="C1287" s="8" t="s">
        <v>3127</v>
      </c>
      <c r="D1287" s="8"/>
      <c r="E1287" s="8" t="s">
        <v>3128</v>
      </c>
      <c r="F1287" s="9" t="s">
        <v>3123</v>
      </c>
      <c r="G1287" s="10">
        <v>42859</v>
      </c>
      <c r="H1287" s="8" t="s">
        <v>109</v>
      </c>
      <c r="I1287" s="11">
        <v>7500000</v>
      </c>
      <c r="J1287" s="8" t="s">
        <v>228</v>
      </c>
      <c r="K1287" s="8" t="s">
        <v>229</v>
      </c>
      <c r="L1287" s="7">
        <v>2015</v>
      </c>
      <c r="M1287" s="8" t="s">
        <v>233</v>
      </c>
      <c r="N1287" s="11">
        <v>60000000</v>
      </c>
      <c r="O1287" s="8" t="s">
        <v>234</v>
      </c>
      <c r="P1287" s="8" t="s">
        <v>235</v>
      </c>
      <c r="Q1287" s="8"/>
      <c r="R1287" s="8"/>
    </row>
    <row r="1288" spans="1:18" ht="26.15" customHeight="1">
      <c r="A1288" s="7">
        <v>1282</v>
      </c>
      <c r="B1288" s="8" t="s">
        <v>2125</v>
      </c>
      <c r="C1288" s="8" t="s">
        <v>3127</v>
      </c>
      <c r="D1288" s="8"/>
      <c r="E1288" s="8" t="s">
        <v>3128</v>
      </c>
      <c r="F1288" s="9" t="s">
        <v>3117</v>
      </c>
      <c r="G1288" s="10">
        <v>42856</v>
      </c>
      <c r="H1288" s="8" t="s">
        <v>34</v>
      </c>
      <c r="I1288" s="11">
        <v>1500000</v>
      </c>
      <c r="J1288" s="8" t="s">
        <v>897</v>
      </c>
      <c r="K1288" s="8" t="s">
        <v>898</v>
      </c>
      <c r="L1288" s="7">
        <v>2016</v>
      </c>
      <c r="M1288" s="8" t="s">
        <v>902</v>
      </c>
      <c r="N1288" s="11">
        <v>8062080</v>
      </c>
      <c r="O1288" s="8" t="s">
        <v>903</v>
      </c>
      <c r="P1288" s="8" t="s">
        <v>904</v>
      </c>
      <c r="Q1288" s="8"/>
      <c r="R1288" s="8"/>
    </row>
    <row r="1289" spans="1:18" ht="26.15" customHeight="1">
      <c r="A1289" s="7">
        <v>1283</v>
      </c>
      <c r="B1289" s="8" t="s">
        <v>4349</v>
      </c>
      <c r="C1289" s="8" t="s">
        <v>3127</v>
      </c>
      <c r="D1289" s="8"/>
      <c r="E1289" s="8" t="s">
        <v>3128</v>
      </c>
      <c r="F1289" s="9" t="s">
        <v>3123</v>
      </c>
      <c r="G1289" s="10">
        <v>42856</v>
      </c>
      <c r="H1289" s="8" t="s">
        <v>34</v>
      </c>
      <c r="I1289" s="11">
        <v>1500000</v>
      </c>
      <c r="J1289" s="8" t="s">
        <v>897</v>
      </c>
      <c r="K1289" s="8" t="s">
        <v>898</v>
      </c>
      <c r="L1289" s="7">
        <v>2016</v>
      </c>
      <c r="M1289" s="8" t="s">
        <v>902</v>
      </c>
      <c r="N1289" s="11">
        <v>8062080</v>
      </c>
      <c r="O1289" s="8" t="s">
        <v>903</v>
      </c>
      <c r="P1289" s="8" t="s">
        <v>904</v>
      </c>
      <c r="Q1289" s="8"/>
      <c r="R1289" s="8"/>
    </row>
    <row r="1290" spans="1:18" ht="26.15" customHeight="1">
      <c r="A1290" s="7">
        <v>1284</v>
      </c>
      <c r="B1290" s="8" t="s">
        <v>4350</v>
      </c>
      <c r="C1290" s="8" t="s">
        <v>3127</v>
      </c>
      <c r="D1290" s="8"/>
      <c r="E1290" s="8" t="s">
        <v>3128</v>
      </c>
      <c r="F1290" s="9" t="s">
        <v>3123</v>
      </c>
      <c r="G1290" s="10">
        <v>42856</v>
      </c>
      <c r="H1290" s="8" t="s">
        <v>34</v>
      </c>
      <c r="I1290" s="11">
        <v>1500000</v>
      </c>
      <c r="J1290" s="8" t="s">
        <v>897</v>
      </c>
      <c r="K1290" s="8" t="s">
        <v>898</v>
      </c>
      <c r="L1290" s="7">
        <v>2016</v>
      </c>
      <c r="M1290" s="8" t="s">
        <v>902</v>
      </c>
      <c r="N1290" s="11">
        <v>8062080</v>
      </c>
      <c r="O1290" s="8" t="s">
        <v>903</v>
      </c>
      <c r="P1290" s="8" t="s">
        <v>904</v>
      </c>
      <c r="Q1290" s="8"/>
      <c r="R1290" s="8"/>
    </row>
    <row r="1291" spans="1:18" ht="26.15" customHeight="1">
      <c r="A1291" s="7">
        <v>1285</v>
      </c>
      <c r="B1291" s="8" t="s">
        <v>4351</v>
      </c>
      <c r="C1291" s="8" t="s">
        <v>3127</v>
      </c>
      <c r="D1291" s="8"/>
      <c r="E1291" s="8" t="s">
        <v>3128</v>
      </c>
      <c r="F1291" s="9" t="s">
        <v>3123</v>
      </c>
      <c r="G1291" s="10">
        <v>42856</v>
      </c>
      <c r="H1291" s="8" t="s">
        <v>34</v>
      </c>
      <c r="I1291" s="11">
        <v>1500000</v>
      </c>
      <c r="J1291" s="8" t="s">
        <v>897</v>
      </c>
      <c r="K1291" s="8" t="s">
        <v>898</v>
      </c>
      <c r="L1291" s="7">
        <v>2016</v>
      </c>
      <c r="M1291" s="8" t="s">
        <v>902</v>
      </c>
      <c r="N1291" s="11">
        <v>8062080</v>
      </c>
      <c r="O1291" s="8" t="s">
        <v>903</v>
      </c>
      <c r="P1291" s="8" t="s">
        <v>904</v>
      </c>
      <c r="Q1291" s="8"/>
      <c r="R1291" s="8"/>
    </row>
    <row r="1292" spans="1:18" ht="26.15" customHeight="1">
      <c r="A1292" s="7">
        <v>1286</v>
      </c>
      <c r="B1292" s="8" t="s">
        <v>4352</v>
      </c>
      <c r="C1292" s="8" t="s">
        <v>3127</v>
      </c>
      <c r="D1292" s="8"/>
      <c r="E1292" s="8" t="s">
        <v>3128</v>
      </c>
      <c r="F1292" s="9" t="s">
        <v>3123</v>
      </c>
      <c r="G1292" s="10">
        <v>42856</v>
      </c>
      <c r="H1292" s="8" t="s">
        <v>34</v>
      </c>
      <c r="I1292" s="11">
        <v>1500000</v>
      </c>
      <c r="J1292" s="8" t="s">
        <v>897</v>
      </c>
      <c r="K1292" s="8" t="s">
        <v>898</v>
      </c>
      <c r="L1292" s="7">
        <v>2016</v>
      </c>
      <c r="M1292" s="8" t="s">
        <v>902</v>
      </c>
      <c r="N1292" s="11">
        <v>8062080</v>
      </c>
      <c r="O1292" s="8" t="s">
        <v>903</v>
      </c>
      <c r="P1292" s="8" t="s">
        <v>904</v>
      </c>
      <c r="Q1292" s="8"/>
      <c r="R1292" s="8"/>
    </row>
    <row r="1293" spans="1:18" ht="26.15" customHeight="1">
      <c r="A1293" s="7">
        <v>1287</v>
      </c>
      <c r="B1293" s="8" t="s">
        <v>4353</v>
      </c>
      <c r="C1293" s="8" t="s">
        <v>3127</v>
      </c>
      <c r="D1293" s="8"/>
      <c r="E1293" s="8" t="s">
        <v>3128</v>
      </c>
      <c r="F1293" s="9" t="s">
        <v>3123</v>
      </c>
      <c r="G1293" s="10">
        <v>42856</v>
      </c>
      <c r="H1293" s="8" t="s">
        <v>34</v>
      </c>
      <c r="I1293" s="11">
        <v>1500000</v>
      </c>
      <c r="J1293" s="8" t="s">
        <v>897</v>
      </c>
      <c r="K1293" s="8" t="s">
        <v>898</v>
      </c>
      <c r="L1293" s="7">
        <v>2016</v>
      </c>
      <c r="M1293" s="8" t="s">
        <v>902</v>
      </c>
      <c r="N1293" s="11">
        <v>8062080</v>
      </c>
      <c r="O1293" s="8" t="s">
        <v>903</v>
      </c>
      <c r="P1293" s="8" t="s">
        <v>904</v>
      </c>
      <c r="Q1293" s="8"/>
      <c r="R1293" s="8"/>
    </row>
    <row r="1294" spans="1:18" ht="26.15" customHeight="1">
      <c r="A1294" s="7">
        <v>1288</v>
      </c>
      <c r="B1294" s="8" t="s">
        <v>4354</v>
      </c>
      <c r="C1294" s="8" t="s">
        <v>3127</v>
      </c>
      <c r="D1294" s="8"/>
      <c r="E1294" s="8" t="s">
        <v>3128</v>
      </c>
      <c r="F1294" s="9" t="s">
        <v>3123</v>
      </c>
      <c r="G1294" s="10">
        <v>42856</v>
      </c>
      <c r="H1294" s="8" t="s">
        <v>34</v>
      </c>
      <c r="I1294" s="11">
        <v>1500000</v>
      </c>
      <c r="J1294" s="8" t="s">
        <v>897</v>
      </c>
      <c r="K1294" s="8" t="s">
        <v>898</v>
      </c>
      <c r="L1294" s="7">
        <v>2016</v>
      </c>
      <c r="M1294" s="8" t="s">
        <v>902</v>
      </c>
      <c r="N1294" s="11">
        <v>8062080</v>
      </c>
      <c r="O1294" s="8" t="s">
        <v>903</v>
      </c>
      <c r="P1294" s="8" t="s">
        <v>904</v>
      </c>
      <c r="Q1294" s="8"/>
      <c r="R1294" s="8"/>
    </row>
    <row r="1295" spans="1:18" ht="26.15" customHeight="1">
      <c r="A1295" s="7">
        <v>1289</v>
      </c>
      <c r="B1295" s="8" t="s">
        <v>798</v>
      </c>
      <c r="C1295" s="8" t="s">
        <v>3114</v>
      </c>
      <c r="D1295" s="8" t="s">
        <v>3581</v>
      </c>
      <c r="E1295" s="8" t="s">
        <v>3116</v>
      </c>
      <c r="F1295" s="9" t="s">
        <v>3117</v>
      </c>
      <c r="G1295" s="10">
        <v>42846</v>
      </c>
      <c r="H1295" s="8" t="s">
        <v>34</v>
      </c>
      <c r="I1295" s="11">
        <v>20000</v>
      </c>
      <c r="J1295" s="8" t="s">
        <v>2130</v>
      </c>
      <c r="K1295" s="8" t="s">
        <v>2131</v>
      </c>
      <c r="L1295" s="7">
        <v>2016</v>
      </c>
      <c r="M1295" s="8" t="s">
        <v>369</v>
      </c>
      <c r="N1295" s="11">
        <v>20000</v>
      </c>
      <c r="O1295" s="8" t="s">
        <v>2132</v>
      </c>
      <c r="P1295" s="8" t="s">
        <v>2133</v>
      </c>
      <c r="Q1295" s="8"/>
      <c r="R1295" s="8" t="s">
        <v>3582</v>
      </c>
    </row>
    <row r="1296" spans="1:18" ht="26.15" customHeight="1">
      <c r="A1296" s="7">
        <v>1290</v>
      </c>
      <c r="B1296" s="8" t="s">
        <v>4355</v>
      </c>
      <c r="C1296" s="8" t="s">
        <v>3114</v>
      </c>
      <c r="D1296" s="8" t="s">
        <v>4356</v>
      </c>
      <c r="E1296" s="8" t="s">
        <v>3116</v>
      </c>
      <c r="F1296" s="9" t="s">
        <v>3123</v>
      </c>
      <c r="G1296" s="10">
        <v>42845</v>
      </c>
      <c r="H1296" s="8" t="s">
        <v>34</v>
      </c>
      <c r="I1296" s="11" t="s">
        <v>50</v>
      </c>
      <c r="J1296" s="8" t="s">
        <v>1539</v>
      </c>
      <c r="K1296" s="8" t="s">
        <v>1540</v>
      </c>
      <c r="L1296" s="7">
        <v>2012</v>
      </c>
      <c r="M1296" s="8" t="s">
        <v>39</v>
      </c>
      <c r="N1296" s="11">
        <v>150000</v>
      </c>
      <c r="O1296" s="8" t="s">
        <v>1542</v>
      </c>
      <c r="P1296" s="8" t="s">
        <v>1543</v>
      </c>
      <c r="Q1296" s="8"/>
      <c r="R1296" s="8" t="s">
        <v>3280</v>
      </c>
    </row>
    <row r="1297" spans="1:18" ht="26.15" customHeight="1">
      <c r="A1297" s="7">
        <v>1291</v>
      </c>
      <c r="B1297" s="8" t="s">
        <v>4357</v>
      </c>
      <c r="C1297" s="8" t="s">
        <v>3114</v>
      </c>
      <c r="D1297" s="8" t="s">
        <v>4358</v>
      </c>
      <c r="E1297" s="8" t="s">
        <v>3116</v>
      </c>
      <c r="F1297" s="9" t="s">
        <v>3123</v>
      </c>
      <c r="G1297" s="10">
        <v>42845</v>
      </c>
      <c r="H1297" s="8" t="s">
        <v>34</v>
      </c>
      <c r="I1297" s="11" t="s">
        <v>50</v>
      </c>
      <c r="J1297" s="8" t="s">
        <v>1539</v>
      </c>
      <c r="K1297" s="8" t="s">
        <v>1540</v>
      </c>
      <c r="L1297" s="7">
        <v>2012</v>
      </c>
      <c r="M1297" s="8" t="s">
        <v>39</v>
      </c>
      <c r="N1297" s="11">
        <v>150000</v>
      </c>
      <c r="O1297" s="8" t="s">
        <v>1542</v>
      </c>
      <c r="P1297" s="8" t="s">
        <v>1543</v>
      </c>
      <c r="Q1297" s="8"/>
      <c r="R1297" s="8" t="s">
        <v>4346</v>
      </c>
    </row>
    <row r="1298" spans="1:18" ht="26.15" customHeight="1">
      <c r="A1298" s="7">
        <v>1292</v>
      </c>
      <c r="B1298" s="8" t="s">
        <v>4359</v>
      </c>
      <c r="C1298" s="8" t="s">
        <v>3139</v>
      </c>
      <c r="D1298" s="8" t="s">
        <v>4359</v>
      </c>
      <c r="E1298" s="8" t="s">
        <v>3116</v>
      </c>
      <c r="F1298" s="9" t="s">
        <v>3123</v>
      </c>
      <c r="G1298" s="10">
        <v>42844</v>
      </c>
      <c r="H1298" s="8" t="s">
        <v>25</v>
      </c>
      <c r="I1298" s="11">
        <v>10177900</v>
      </c>
      <c r="J1298" s="8" t="s">
        <v>1652</v>
      </c>
      <c r="K1298" s="8" t="s">
        <v>1653</v>
      </c>
      <c r="L1298" s="7">
        <v>2015</v>
      </c>
      <c r="M1298" s="8" t="s">
        <v>1655</v>
      </c>
      <c r="N1298" s="11">
        <v>41586600</v>
      </c>
      <c r="O1298" s="8" t="s">
        <v>1656</v>
      </c>
      <c r="P1298" s="8" t="s">
        <v>1657</v>
      </c>
      <c r="Q1298" s="8"/>
      <c r="R1298" s="8" t="s">
        <v>2057</v>
      </c>
    </row>
    <row r="1299" spans="1:18" ht="26.15" customHeight="1">
      <c r="A1299" s="7">
        <v>1293</v>
      </c>
      <c r="B1299" s="8" t="s">
        <v>4088</v>
      </c>
      <c r="C1299" s="8" t="s">
        <v>3114</v>
      </c>
      <c r="D1299" s="8" t="s">
        <v>4089</v>
      </c>
      <c r="E1299" s="8" t="s">
        <v>3116</v>
      </c>
      <c r="F1299" s="9" t="s">
        <v>3123</v>
      </c>
      <c r="G1299" s="10">
        <v>42844</v>
      </c>
      <c r="H1299" s="8" t="s">
        <v>25</v>
      </c>
      <c r="I1299" s="11">
        <v>10177900</v>
      </c>
      <c r="J1299" s="8" t="s">
        <v>1652</v>
      </c>
      <c r="K1299" s="8" t="s">
        <v>1653</v>
      </c>
      <c r="L1299" s="7">
        <v>2015</v>
      </c>
      <c r="M1299" s="8" t="s">
        <v>1655</v>
      </c>
      <c r="N1299" s="11">
        <v>41586600</v>
      </c>
      <c r="O1299" s="8" t="s">
        <v>1656</v>
      </c>
      <c r="P1299" s="8" t="s">
        <v>1657</v>
      </c>
      <c r="Q1299" s="8"/>
      <c r="R1299" s="8" t="s">
        <v>278</v>
      </c>
    </row>
    <row r="1300" spans="1:18" ht="26.15" customHeight="1">
      <c r="A1300" s="7">
        <v>1294</v>
      </c>
      <c r="B1300" s="8" t="s">
        <v>4360</v>
      </c>
      <c r="C1300" s="8" t="s">
        <v>3139</v>
      </c>
      <c r="D1300" s="8" t="s">
        <v>4361</v>
      </c>
      <c r="E1300" s="8" t="s">
        <v>3116</v>
      </c>
      <c r="F1300" s="9" t="s">
        <v>3123</v>
      </c>
      <c r="G1300" s="10">
        <v>42844</v>
      </c>
      <c r="H1300" s="8" t="s">
        <v>34</v>
      </c>
      <c r="I1300" s="11">
        <v>1453980</v>
      </c>
      <c r="J1300" s="8" t="s">
        <v>2139</v>
      </c>
      <c r="K1300" s="8" t="s">
        <v>2140</v>
      </c>
      <c r="L1300" s="7">
        <v>2015</v>
      </c>
      <c r="M1300" s="8" t="s">
        <v>1384</v>
      </c>
      <c r="N1300" s="11">
        <v>3100000</v>
      </c>
      <c r="O1300" s="8" t="s">
        <v>2142</v>
      </c>
      <c r="P1300" s="8" t="s">
        <v>2143</v>
      </c>
      <c r="Q1300" s="8"/>
      <c r="R1300" s="8"/>
    </row>
    <row r="1301" spans="1:18" ht="26.15" customHeight="1">
      <c r="A1301" s="7">
        <v>1295</v>
      </c>
      <c r="B1301" s="8" t="s">
        <v>515</v>
      </c>
      <c r="C1301" s="8" t="s">
        <v>3114</v>
      </c>
      <c r="D1301" s="8" t="s">
        <v>3460</v>
      </c>
      <c r="E1301" s="8" t="s">
        <v>3116</v>
      </c>
      <c r="F1301" s="9" t="s">
        <v>3117</v>
      </c>
      <c r="G1301" s="10">
        <v>42836</v>
      </c>
      <c r="H1301" s="8" t="s">
        <v>34</v>
      </c>
      <c r="I1301" s="11">
        <v>100000</v>
      </c>
      <c r="J1301" s="8" t="s">
        <v>856</v>
      </c>
      <c r="K1301" s="8" t="s">
        <v>857</v>
      </c>
      <c r="L1301" s="7">
        <v>2014</v>
      </c>
      <c r="M1301" s="8" t="s">
        <v>860</v>
      </c>
      <c r="N1301" s="11">
        <v>7000000</v>
      </c>
      <c r="O1301" s="8" t="s">
        <v>861</v>
      </c>
      <c r="P1301" s="8" t="s">
        <v>862</v>
      </c>
      <c r="Q1301" s="8"/>
      <c r="R1301" s="8" t="s">
        <v>3392</v>
      </c>
    </row>
    <row r="1302" spans="1:18" ht="26.15" customHeight="1">
      <c r="A1302" s="7">
        <v>1296</v>
      </c>
      <c r="B1302" s="8" t="s">
        <v>1308</v>
      </c>
      <c r="C1302" s="8" t="s">
        <v>3114</v>
      </c>
      <c r="D1302" s="8" t="s">
        <v>3469</v>
      </c>
      <c r="E1302" s="8" t="s">
        <v>3116</v>
      </c>
      <c r="F1302" s="9" t="s">
        <v>3117</v>
      </c>
      <c r="G1302" s="10">
        <v>42836</v>
      </c>
      <c r="H1302" s="8" t="s">
        <v>25</v>
      </c>
      <c r="I1302" s="11">
        <v>5500000</v>
      </c>
      <c r="J1302" s="8" t="s">
        <v>96</v>
      </c>
      <c r="K1302" s="8" t="s">
        <v>97</v>
      </c>
      <c r="L1302" s="7">
        <v>2015</v>
      </c>
      <c r="M1302" s="8" t="s">
        <v>79</v>
      </c>
      <c r="N1302" s="11">
        <v>163285834</v>
      </c>
      <c r="O1302" s="8" t="s">
        <v>100</v>
      </c>
      <c r="P1302" s="8" t="s">
        <v>101</v>
      </c>
      <c r="Q1302" s="8"/>
      <c r="R1302" s="8" t="s">
        <v>3470</v>
      </c>
    </row>
    <row r="1303" spans="1:18" ht="26.15" customHeight="1">
      <c r="A1303" s="7">
        <v>1297</v>
      </c>
      <c r="B1303" s="8" t="s">
        <v>2033</v>
      </c>
      <c r="C1303" s="8" t="s">
        <v>3114</v>
      </c>
      <c r="D1303" s="8" t="s">
        <v>3839</v>
      </c>
      <c r="E1303" s="8" t="s">
        <v>3116</v>
      </c>
      <c r="F1303" s="9" t="s">
        <v>3123</v>
      </c>
      <c r="G1303" s="10">
        <v>42836</v>
      </c>
      <c r="H1303" s="8" t="s">
        <v>25</v>
      </c>
      <c r="I1303" s="11">
        <v>5500000</v>
      </c>
      <c r="J1303" s="8" t="s">
        <v>96</v>
      </c>
      <c r="K1303" s="8" t="s">
        <v>97</v>
      </c>
      <c r="L1303" s="7">
        <v>2015</v>
      </c>
      <c r="M1303" s="8" t="s">
        <v>79</v>
      </c>
      <c r="N1303" s="11">
        <v>163285834</v>
      </c>
      <c r="O1303" s="8" t="s">
        <v>100</v>
      </c>
      <c r="P1303" s="8" t="s">
        <v>101</v>
      </c>
      <c r="Q1303" s="8"/>
      <c r="R1303" s="8" t="s">
        <v>3214</v>
      </c>
    </row>
    <row r="1304" spans="1:18" ht="26.15" customHeight="1">
      <c r="A1304" s="7">
        <v>1298</v>
      </c>
      <c r="B1304" s="8" t="s">
        <v>1146</v>
      </c>
      <c r="C1304" s="8" t="s">
        <v>3114</v>
      </c>
      <c r="D1304" s="8" t="s">
        <v>3458</v>
      </c>
      <c r="E1304" s="8" t="s">
        <v>3116</v>
      </c>
      <c r="F1304" s="9" t="s">
        <v>3123</v>
      </c>
      <c r="G1304" s="10">
        <v>42836</v>
      </c>
      <c r="H1304" s="8" t="s">
        <v>25</v>
      </c>
      <c r="I1304" s="11">
        <v>5500000</v>
      </c>
      <c r="J1304" s="8" t="s">
        <v>96</v>
      </c>
      <c r="K1304" s="8" t="s">
        <v>97</v>
      </c>
      <c r="L1304" s="7">
        <v>2015</v>
      </c>
      <c r="M1304" s="8" t="s">
        <v>79</v>
      </c>
      <c r="N1304" s="11">
        <v>163285834</v>
      </c>
      <c r="O1304" s="8" t="s">
        <v>100</v>
      </c>
      <c r="P1304" s="8" t="s">
        <v>101</v>
      </c>
      <c r="Q1304" s="8"/>
      <c r="R1304" s="8" t="s">
        <v>3459</v>
      </c>
    </row>
    <row r="1305" spans="1:18" ht="26.15" customHeight="1">
      <c r="A1305" s="7">
        <v>1299</v>
      </c>
      <c r="B1305" s="8" t="s">
        <v>4362</v>
      </c>
      <c r="C1305" s="8" t="s">
        <v>3139</v>
      </c>
      <c r="D1305" s="8" t="s">
        <v>4363</v>
      </c>
      <c r="E1305" s="8" t="s">
        <v>3116</v>
      </c>
      <c r="F1305" s="9" t="s">
        <v>3123</v>
      </c>
      <c r="G1305" s="10">
        <v>42836</v>
      </c>
      <c r="H1305" s="8" t="s">
        <v>25</v>
      </c>
      <c r="I1305" s="11">
        <v>5500000</v>
      </c>
      <c r="J1305" s="8" t="s">
        <v>96</v>
      </c>
      <c r="K1305" s="8" t="s">
        <v>97</v>
      </c>
      <c r="L1305" s="7">
        <v>2015</v>
      </c>
      <c r="M1305" s="8" t="s">
        <v>79</v>
      </c>
      <c r="N1305" s="11">
        <v>163285834</v>
      </c>
      <c r="O1305" s="8" t="s">
        <v>100</v>
      </c>
      <c r="P1305" s="8" t="s">
        <v>101</v>
      </c>
      <c r="Q1305" s="8"/>
      <c r="R1305" s="8" t="s">
        <v>4364</v>
      </c>
    </row>
    <row r="1306" spans="1:18" ht="26.15" customHeight="1">
      <c r="A1306" s="7">
        <v>1300</v>
      </c>
      <c r="B1306" s="8" t="s">
        <v>3841</v>
      </c>
      <c r="C1306" s="8" t="s">
        <v>3127</v>
      </c>
      <c r="D1306" s="8"/>
      <c r="E1306" s="8" t="s">
        <v>3128</v>
      </c>
      <c r="F1306" s="9" t="s">
        <v>3123</v>
      </c>
      <c r="G1306" s="10">
        <v>42836</v>
      </c>
      <c r="H1306" s="8" t="s">
        <v>25</v>
      </c>
      <c r="I1306" s="11">
        <v>5500000</v>
      </c>
      <c r="J1306" s="8" t="s">
        <v>96</v>
      </c>
      <c r="K1306" s="8" t="s">
        <v>97</v>
      </c>
      <c r="L1306" s="7">
        <v>2015</v>
      </c>
      <c r="M1306" s="8" t="s">
        <v>79</v>
      </c>
      <c r="N1306" s="11">
        <v>163285834</v>
      </c>
      <c r="O1306" s="8" t="s">
        <v>100</v>
      </c>
      <c r="P1306" s="8" t="s">
        <v>101</v>
      </c>
      <c r="Q1306" s="8"/>
      <c r="R1306" s="8"/>
    </row>
    <row r="1307" spans="1:18" ht="26.15" customHeight="1">
      <c r="A1307" s="7">
        <v>1301</v>
      </c>
      <c r="B1307" s="8" t="s">
        <v>3842</v>
      </c>
      <c r="C1307" s="8" t="s">
        <v>3127</v>
      </c>
      <c r="D1307" s="8"/>
      <c r="E1307" s="8" t="s">
        <v>3128</v>
      </c>
      <c r="F1307" s="9" t="s">
        <v>3123</v>
      </c>
      <c r="G1307" s="10">
        <v>42836</v>
      </c>
      <c r="H1307" s="8" t="s">
        <v>25</v>
      </c>
      <c r="I1307" s="11">
        <v>5500000</v>
      </c>
      <c r="J1307" s="8" t="s">
        <v>96</v>
      </c>
      <c r="K1307" s="8" t="s">
        <v>97</v>
      </c>
      <c r="L1307" s="7">
        <v>2015</v>
      </c>
      <c r="M1307" s="8" t="s">
        <v>79</v>
      </c>
      <c r="N1307" s="11">
        <v>163285834</v>
      </c>
      <c r="O1307" s="8" t="s">
        <v>100</v>
      </c>
      <c r="P1307" s="8" t="s">
        <v>101</v>
      </c>
      <c r="Q1307" s="8"/>
      <c r="R1307" s="8"/>
    </row>
    <row r="1308" spans="1:18" ht="26.15" customHeight="1">
      <c r="A1308" s="7">
        <v>1302</v>
      </c>
      <c r="B1308" s="8" t="s">
        <v>515</v>
      </c>
      <c r="C1308" s="8" t="s">
        <v>3114</v>
      </c>
      <c r="D1308" s="8" t="s">
        <v>3460</v>
      </c>
      <c r="E1308" s="8" t="s">
        <v>3116</v>
      </c>
      <c r="F1308" s="9" t="s">
        <v>3117</v>
      </c>
      <c r="G1308" s="10">
        <v>42836</v>
      </c>
      <c r="H1308" s="8" t="s">
        <v>34</v>
      </c>
      <c r="I1308" s="11">
        <v>50000</v>
      </c>
      <c r="J1308" s="8" t="s">
        <v>1802</v>
      </c>
      <c r="K1308" s="8" t="s">
        <v>1803</v>
      </c>
      <c r="L1308" s="7">
        <v>2015</v>
      </c>
      <c r="M1308" s="8" t="s">
        <v>369</v>
      </c>
      <c r="N1308" s="11">
        <v>910000</v>
      </c>
      <c r="O1308" s="8" t="s">
        <v>1806</v>
      </c>
      <c r="P1308" s="8" t="s">
        <v>1807</v>
      </c>
      <c r="Q1308" s="8"/>
      <c r="R1308" s="8" t="s">
        <v>3392</v>
      </c>
    </row>
    <row r="1309" spans="1:18" ht="26.15" customHeight="1">
      <c r="A1309" s="7">
        <v>1303</v>
      </c>
      <c r="B1309" s="8" t="s">
        <v>4365</v>
      </c>
      <c r="C1309" s="8" t="s">
        <v>3139</v>
      </c>
      <c r="D1309" s="8" t="s">
        <v>4366</v>
      </c>
      <c r="E1309" s="8" t="s">
        <v>3116</v>
      </c>
      <c r="F1309" s="9" t="s">
        <v>3123</v>
      </c>
      <c r="G1309" s="10">
        <v>42832</v>
      </c>
      <c r="H1309" s="8" t="s">
        <v>34</v>
      </c>
      <c r="I1309" s="11" t="s">
        <v>50</v>
      </c>
      <c r="J1309" s="8" t="s">
        <v>203</v>
      </c>
      <c r="K1309" s="8" t="s">
        <v>204</v>
      </c>
      <c r="L1309" s="7">
        <v>2016</v>
      </c>
      <c r="M1309" s="8" t="s">
        <v>207</v>
      </c>
      <c r="N1309" s="11">
        <v>5500000</v>
      </c>
      <c r="O1309" s="8" t="s">
        <v>208</v>
      </c>
      <c r="P1309" s="8" t="s">
        <v>209</v>
      </c>
      <c r="Q1309" s="8"/>
      <c r="R1309" s="8"/>
    </row>
    <row r="1310" spans="1:18" ht="26.15" customHeight="1">
      <c r="A1310" s="7">
        <v>1304</v>
      </c>
      <c r="B1310" s="8" t="s">
        <v>588</v>
      </c>
      <c r="C1310" s="8" t="s">
        <v>3114</v>
      </c>
      <c r="D1310" s="8" t="s">
        <v>3504</v>
      </c>
      <c r="E1310" s="8" t="s">
        <v>3116</v>
      </c>
      <c r="F1310" s="9" t="s">
        <v>3123</v>
      </c>
      <c r="G1310" s="10">
        <v>42831</v>
      </c>
      <c r="H1310" s="8" t="s">
        <v>109</v>
      </c>
      <c r="I1310" s="11" t="s">
        <v>50</v>
      </c>
      <c r="J1310" s="8" t="s">
        <v>2146</v>
      </c>
      <c r="K1310" s="8" t="s">
        <v>2147</v>
      </c>
      <c r="L1310" s="7">
        <v>2015</v>
      </c>
      <c r="M1310" s="8" t="s">
        <v>1326</v>
      </c>
      <c r="N1310" s="11"/>
      <c r="O1310" s="8" t="s">
        <v>2148</v>
      </c>
      <c r="P1310" s="8" t="s">
        <v>2149</v>
      </c>
      <c r="Q1310" s="8"/>
      <c r="R1310" s="8" t="s">
        <v>3220</v>
      </c>
    </row>
    <row r="1311" spans="1:18" ht="26.15" customHeight="1">
      <c r="A1311" s="7">
        <v>1305</v>
      </c>
      <c r="B1311" s="8" t="s">
        <v>4062</v>
      </c>
      <c r="C1311" s="8" t="s">
        <v>3139</v>
      </c>
      <c r="D1311" s="8" t="s">
        <v>4063</v>
      </c>
      <c r="E1311" s="8" t="s">
        <v>3116</v>
      </c>
      <c r="F1311" s="9" t="s">
        <v>3123</v>
      </c>
      <c r="G1311" s="10">
        <v>42829</v>
      </c>
      <c r="H1311" s="8" t="s">
        <v>34</v>
      </c>
      <c r="I1311" s="11">
        <v>637879</v>
      </c>
      <c r="J1311" s="8" t="s">
        <v>2150</v>
      </c>
      <c r="K1311" s="8" t="s">
        <v>2151</v>
      </c>
      <c r="L1311" s="7">
        <v>2010</v>
      </c>
      <c r="M1311" s="8" t="s">
        <v>2152</v>
      </c>
      <c r="N1311" s="11">
        <v>637900</v>
      </c>
      <c r="O1311" s="8" t="s">
        <v>2153</v>
      </c>
      <c r="P1311" s="8" t="s">
        <v>2154</v>
      </c>
      <c r="Q1311" s="8"/>
      <c r="R1311" s="8" t="s">
        <v>4064</v>
      </c>
    </row>
    <row r="1312" spans="1:18" ht="26.15" customHeight="1">
      <c r="A1312" s="7">
        <v>1306</v>
      </c>
      <c r="B1312" s="8" t="s">
        <v>746</v>
      </c>
      <c r="C1312" s="8" t="s">
        <v>3114</v>
      </c>
      <c r="D1312" s="8" t="s">
        <v>3475</v>
      </c>
      <c r="E1312" s="8" t="s">
        <v>3116</v>
      </c>
      <c r="F1312" s="9" t="s">
        <v>3117</v>
      </c>
      <c r="G1312" s="10">
        <v>42829</v>
      </c>
      <c r="H1312" s="8" t="s">
        <v>34</v>
      </c>
      <c r="I1312" s="11">
        <v>2700000</v>
      </c>
      <c r="J1312" s="8" t="s">
        <v>185</v>
      </c>
      <c r="K1312" s="8" t="s">
        <v>186</v>
      </c>
      <c r="L1312" s="7">
        <v>2015</v>
      </c>
      <c r="M1312" s="8" t="s">
        <v>188</v>
      </c>
      <c r="N1312" s="11">
        <v>65736870</v>
      </c>
      <c r="O1312" s="8" t="s">
        <v>189</v>
      </c>
      <c r="P1312" s="8" t="s">
        <v>190</v>
      </c>
      <c r="Q1312" s="8"/>
      <c r="R1312" s="8" t="s">
        <v>79</v>
      </c>
    </row>
    <row r="1313" spans="1:18" ht="26.15" customHeight="1">
      <c r="A1313" s="7">
        <v>1307</v>
      </c>
      <c r="B1313" s="8" t="s">
        <v>1717</v>
      </c>
      <c r="C1313" s="8" t="s">
        <v>3139</v>
      </c>
      <c r="D1313" s="8" t="s">
        <v>4119</v>
      </c>
      <c r="E1313" s="8" t="s">
        <v>3116</v>
      </c>
      <c r="F1313" s="9" t="s">
        <v>3117</v>
      </c>
      <c r="G1313" s="10">
        <v>42826</v>
      </c>
      <c r="H1313" s="8" t="s">
        <v>34</v>
      </c>
      <c r="I1313" s="11">
        <v>554867</v>
      </c>
      <c r="J1313" s="8" t="s">
        <v>991</v>
      </c>
      <c r="K1313" s="8" t="s">
        <v>992</v>
      </c>
      <c r="L1313" s="7">
        <v>2014</v>
      </c>
      <c r="M1313" s="8" t="s">
        <v>128</v>
      </c>
      <c r="N1313" s="11">
        <v>1570818</v>
      </c>
      <c r="O1313" s="8" t="s">
        <v>994</v>
      </c>
      <c r="P1313" s="8" t="s">
        <v>995</v>
      </c>
      <c r="Q1313" s="8"/>
      <c r="R1313" s="8" t="s">
        <v>56</v>
      </c>
    </row>
    <row r="1314" spans="1:18" ht="26.15" customHeight="1">
      <c r="A1314" s="7">
        <v>1308</v>
      </c>
      <c r="B1314" s="8" t="s">
        <v>2398</v>
      </c>
      <c r="C1314" s="8" t="s">
        <v>3139</v>
      </c>
      <c r="D1314" s="8" t="s">
        <v>2398</v>
      </c>
      <c r="E1314" s="8" t="s">
        <v>3116</v>
      </c>
      <c r="F1314" s="9" t="s">
        <v>3123</v>
      </c>
      <c r="G1314" s="10">
        <v>42826</v>
      </c>
      <c r="H1314" s="8" t="s">
        <v>34</v>
      </c>
      <c r="I1314" s="11">
        <v>554867</v>
      </c>
      <c r="J1314" s="8" t="s">
        <v>991</v>
      </c>
      <c r="K1314" s="8" t="s">
        <v>992</v>
      </c>
      <c r="L1314" s="7">
        <v>2014</v>
      </c>
      <c r="M1314" s="8" t="s">
        <v>128</v>
      </c>
      <c r="N1314" s="11">
        <v>1570818</v>
      </c>
      <c r="O1314" s="8" t="s">
        <v>994</v>
      </c>
      <c r="P1314" s="8" t="s">
        <v>995</v>
      </c>
      <c r="Q1314" s="8"/>
      <c r="R1314" s="8"/>
    </row>
    <row r="1315" spans="1:18" ht="26.15" customHeight="1">
      <c r="A1315" s="7">
        <v>1309</v>
      </c>
      <c r="B1315" s="8" t="s">
        <v>1716</v>
      </c>
      <c r="C1315" s="8" t="s">
        <v>3127</v>
      </c>
      <c r="D1315" s="8"/>
      <c r="E1315" s="8" t="s">
        <v>3128</v>
      </c>
      <c r="F1315" s="9" t="s">
        <v>3123</v>
      </c>
      <c r="G1315" s="10">
        <v>42826</v>
      </c>
      <c r="H1315" s="8" t="s">
        <v>34</v>
      </c>
      <c r="I1315" s="11">
        <v>554867</v>
      </c>
      <c r="J1315" s="8" t="s">
        <v>991</v>
      </c>
      <c r="K1315" s="8" t="s">
        <v>992</v>
      </c>
      <c r="L1315" s="7">
        <v>2014</v>
      </c>
      <c r="M1315" s="8" t="s">
        <v>128</v>
      </c>
      <c r="N1315" s="11">
        <v>1570818</v>
      </c>
      <c r="O1315" s="8" t="s">
        <v>994</v>
      </c>
      <c r="P1315" s="8" t="s">
        <v>995</v>
      </c>
      <c r="Q1315" s="8"/>
      <c r="R1315" s="8"/>
    </row>
    <row r="1316" spans="1:18" ht="26.15" customHeight="1">
      <c r="A1316" s="7">
        <v>1310</v>
      </c>
      <c r="B1316" s="8" t="s">
        <v>1661</v>
      </c>
      <c r="C1316" s="8" t="s">
        <v>3114</v>
      </c>
      <c r="D1316" s="8" t="s">
        <v>4090</v>
      </c>
      <c r="E1316" s="8" t="s">
        <v>3116</v>
      </c>
      <c r="F1316" s="9" t="s">
        <v>3117</v>
      </c>
      <c r="G1316" s="10">
        <v>42825</v>
      </c>
      <c r="H1316" s="8" t="s">
        <v>34</v>
      </c>
      <c r="I1316" s="11">
        <v>23111</v>
      </c>
      <c r="J1316" s="8" t="s">
        <v>1239</v>
      </c>
      <c r="K1316" s="8" t="s">
        <v>1240</v>
      </c>
      <c r="L1316" s="7">
        <v>2016</v>
      </c>
      <c r="M1316" s="8" t="s">
        <v>1243</v>
      </c>
      <c r="N1316" s="11">
        <v>4352191</v>
      </c>
      <c r="O1316" s="8" t="s">
        <v>1244</v>
      </c>
      <c r="P1316" s="8" t="s">
        <v>1245</v>
      </c>
      <c r="Q1316" s="8"/>
      <c r="R1316" s="8" t="s">
        <v>181</v>
      </c>
    </row>
    <row r="1317" spans="1:18" ht="26.15" customHeight="1">
      <c r="A1317" s="7">
        <v>1311</v>
      </c>
      <c r="B1317" s="8" t="s">
        <v>2160</v>
      </c>
      <c r="C1317" s="8" t="s">
        <v>3127</v>
      </c>
      <c r="D1317" s="8"/>
      <c r="E1317" s="8" t="s">
        <v>3128</v>
      </c>
      <c r="F1317" s="9" t="s">
        <v>3117</v>
      </c>
      <c r="G1317" s="10">
        <v>42825</v>
      </c>
      <c r="H1317" s="8" t="s">
        <v>124</v>
      </c>
      <c r="I1317" s="11">
        <v>113399</v>
      </c>
      <c r="J1317" s="8" t="s">
        <v>2157</v>
      </c>
      <c r="K1317" s="8" t="s">
        <v>2158</v>
      </c>
      <c r="L1317" s="7">
        <v>2014</v>
      </c>
      <c r="M1317" s="8" t="s">
        <v>79</v>
      </c>
      <c r="N1317" s="11">
        <v>239863</v>
      </c>
      <c r="O1317" s="8" t="s">
        <v>2161</v>
      </c>
      <c r="P1317" s="8" t="s">
        <v>2162</v>
      </c>
      <c r="Q1317" s="8"/>
      <c r="R1317" s="8"/>
    </row>
    <row r="1318" spans="1:18" ht="26.15" customHeight="1">
      <c r="A1318" s="7">
        <v>1312</v>
      </c>
      <c r="B1318" s="8" t="s">
        <v>4367</v>
      </c>
      <c r="C1318" s="8" t="s">
        <v>3127</v>
      </c>
      <c r="D1318" s="8"/>
      <c r="E1318" s="8" t="s">
        <v>3128</v>
      </c>
      <c r="F1318" s="9" t="s">
        <v>3123</v>
      </c>
      <c r="G1318" s="10">
        <v>42825</v>
      </c>
      <c r="H1318" s="8" t="s">
        <v>124</v>
      </c>
      <c r="I1318" s="11">
        <v>113399</v>
      </c>
      <c r="J1318" s="8" t="s">
        <v>2157</v>
      </c>
      <c r="K1318" s="8" t="s">
        <v>2158</v>
      </c>
      <c r="L1318" s="7">
        <v>2014</v>
      </c>
      <c r="M1318" s="8" t="s">
        <v>79</v>
      </c>
      <c r="N1318" s="11">
        <v>239863</v>
      </c>
      <c r="O1318" s="8" t="s">
        <v>2161</v>
      </c>
      <c r="P1318" s="8" t="s">
        <v>2162</v>
      </c>
      <c r="Q1318" s="8"/>
      <c r="R1318" s="8"/>
    </row>
    <row r="1319" spans="1:18" ht="26.15" customHeight="1">
      <c r="A1319" s="7">
        <v>1313</v>
      </c>
      <c r="B1319" s="8" t="s">
        <v>4368</v>
      </c>
      <c r="C1319" s="8" t="s">
        <v>3127</v>
      </c>
      <c r="D1319" s="8"/>
      <c r="E1319" s="8" t="s">
        <v>3128</v>
      </c>
      <c r="F1319" s="9" t="s">
        <v>3123</v>
      </c>
      <c r="G1319" s="10">
        <v>42825</v>
      </c>
      <c r="H1319" s="8" t="s">
        <v>124</v>
      </c>
      <c r="I1319" s="11">
        <v>113399</v>
      </c>
      <c r="J1319" s="8" t="s">
        <v>2157</v>
      </c>
      <c r="K1319" s="8" t="s">
        <v>2158</v>
      </c>
      <c r="L1319" s="7">
        <v>2014</v>
      </c>
      <c r="M1319" s="8" t="s">
        <v>79</v>
      </c>
      <c r="N1319" s="11">
        <v>239863</v>
      </c>
      <c r="O1319" s="8" t="s">
        <v>2161</v>
      </c>
      <c r="P1319" s="8" t="s">
        <v>2162</v>
      </c>
      <c r="Q1319" s="8"/>
      <c r="R1319" s="8"/>
    </row>
    <row r="1320" spans="1:18" ht="26.15" customHeight="1">
      <c r="A1320" s="7">
        <v>1314</v>
      </c>
      <c r="B1320" s="8" t="s">
        <v>4369</v>
      </c>
      <c r="C1320" s="8" t="s">
        <v>3127</v>
      </c>
      <c r="D1320" s="8"/>
      <c r="E1320" s="8" t="s">
        <v>3128</v>
      </c>
      <c r="F1320" s="9" t="s">
        <v>3123</v>
      </c>
      <c r="G1320" s="10">
        <v>42825</v>
      </c>
      <c r="H1320" s="8" t="s">
        <v>124</v>
      </c>
      <c r="I1320" s="11">
        <v>113399</v>
      </c>
      <c r="J1320" s="8" t="s">
        <v>2157</v>
      </c>
      <c r="K1320" s="8" t="s">
        <v>2158</v>
      </c>
      <c r="L1320" s="7">
        <v>2014</v>
      </c>
      <c r="M1320" s="8" t="s">
        <v>79</v>
      </c>
      <c r="N1320" s="11">
        <v>239863</v>
      </c>
      <c r="O1320" s="8" t="s">
        <v>2161</v>
      </c>
      <c r="P1320" s="8" t="s">
        <v>2162</v>
      </c>
      <c r="Q1320" s="8"/>
      <c r="R1320" s="8"/>
    </row>
    <row r="1321" spans="1:18" ht="26.15" customHeight="1">
      <c r="A1321" s="7">
        <v>1315</v>
      </c>
      <c r="B1321" s="8" t="s">
        <v>4370</v>
      </c>
      <c r="C1321" s="8" t="s">
        <v>3127</v>
      </c>
      <c r="D1321" s="8"/>
      <c r="E1321" s="8" t="s">
        <v>3128</v>
      </c>
      <c r="F1321" s="9" t="s">
        <v>3123</v>
      </c>
      <c r="G1321" s="10">
        <v>42825</v>
      </c>
      <c r="H1321" s="8" t="s">
        <v>124</v>
      </c>
      <c r="I1321" s="11">
        <v>113399</v>
      </c>
      <c r="J1321" s="8" t="s">
        <v>2157</v>
      </c>
      <c r="K1321" s="8" t="s">
        <v>2158</v>
      </c>
      <c r="L1321" s="7">
        <v>2014</v>
      </c>
      <c r="M1321" s="8" t="s">
        <v>79</v>
      </c>
      <c r="N1321" s="11">
        <v>239863</v>
      </c>
      <c r="O1321" s="8" t="s">
        <v>2161</v>
      </c>
      <c r="P1321" s="8" t="s">
        <v>2162</v>
      </c>
      <c r="Q1321" s="8"/>
      <c r="R1321" s="8"/>
    </row>
    <row r="1322" spans="1:18" ht="26.15" customHeight="1">
      <c r="A1322" s="7">
        <v>1316</v>
      </c>
      <c r="B1322" s="8" t="s">
        <v>2266</v>
      </c>
      <c r="C1322" s="8" t="s">
        <v>3127</v>
      </c>
      <c r="D1322" s="8"/>
      <c r="E1322" s="8" t="s">
        <v>3128</v>
      </c>
      <c r="F1322" s="9" t="s">
        <v>3123</v>
      </c>
      <c r="G1322" s="10">
        <v>42825</v>
      </c>
      <c r="H1322" s="8" t="s">
        <v>124</v>
      </c>
      <c r="I1322" s="11">
        <v>113399</v>
      </c>
      <c r="J1322" s="8" t="s">
        <v>2157</v>
      </c>
      <c r="K1322" s="8" t="s">
        <v>2158</v>
      </c>
      <c r="L1322" s="7">
        <v>2014</v>
      </c>
      <c r="M1322" s="8" t="s">
        <v>79</v>
      </c>
      <c r="N1322" s="11">
        <v>239863</v>
      </c>
      <c r="O1322" s="8" t="s">
        <v>2161</v>
      </c>
      <c r="P1322" s="8" t="s">
        <v>2162</v>
      </c>
      <c r="Q1322" s="8"/>
      <c r="R1322" s="8"/>
    </row>
    <row r="1323" spans="1:18" ht="26.15" customHeight="1">
      <c r="A1323" s="7">
        <v>1317</v>
      </c>
      <c r="B1323" s="8" t="s">
        <v>4371</v>
      </c>
      <c r="C1323" s="8" t="s">
        <v>3127</v>
      </c>
      <c r="D1323" s="8"/>
      <c r="E1323" s="8" t="s">
        <v>3128</v>
      </c>
      <c r="F1323" s="9" t="s">
        <v>3123</v>
      </c>
      <c r="G1323" s="10">
        <v>42825</v>
      </c>
      <c r="H1323" s="8" t="s">
        <v>124</v>
      </c>
      <c r="I1323" s="11">
        <v>113399</v>
      </c>
      <c r="J1323" s="8" t="s">
        <v>2157</v>
      </c>
      <c r="K1323" s="8" t="s">
        <v>2158</v>
      </c>
      <c r="L1323" s="7">
        <v>2014</v>
      </c>
      <c r="M1323" s="8" t="s">
        <v>79</v>
      </c>
      <c r="N1323" s="11">
        <v>239863</v>
      </c>
      <c r="O1323" s="8" t="s">
        <v>2161</v>
      </c>
      <c r="P1323" s="8" t="s">
        <v>2162</v>
      </c>
      <c r="Q1323" s="8"/>
      <c r="R1323" s="8"/>
    </row>
    <row r="1324" spans="1:18" ht="26.15" customHeight="1">
      <c r="A1324" s="7">
        <v>1318</v>
      </c>
      <c r="B1324" s="8" t="s">
        <v>4372</v>
      </c>
      <c r="C1324" s="8" t="s">
        <v>3127</v>
      </c>
      <c r="D1324" s="8"/>
      <c r="E1324" s="8" t="s">
        <v>3128</v>
      </c>
      <c r="F1324" s="9" t="s">
        <v>3123</v>
      </c>
      <c r="G1324" s="10">
        <v>42825</v>
      </c>
      <c r="H1324" s="8" t="s">
        <v>124</v>
      </c>
      <c r="I1324" s="11">
        <v>113399</v>
      </c>
      <c r="J1324" s="8" t="s">
        <v>2157</v>
      </c>
      <c r="K1324" s="8" t="s">
        <v>2158</v>
      </c>
      <c r="L1324" s="7">
        <v>2014</v>
      </c>
      <c r="M1324" s="8" t="s">
        <v>79</v>
      </c>
      <c r="N1324" s="11">
        <v>239863</v>
      </c>
      <c r="O1324" s="8" t="s">
        <v>2161</v>
      </c>
      <c r="P1324" s="8" t="s">
        <v>2162</v>
      </c>
      <c r="Q1324" s="8"/>
      <c r="R1324" s="8"/>
    </row>
    <row r="1325" spans="1:18" ht="26.15" customHeight="1">
      <c r="A1325" s="7">
        <v>1319</v>
      </c>
      <c r="B1325" s="8" t="s">
        <v>4373</v>
      </c>
      <c r="C1325" s="8" t="s">
        <v>3127</v>
      </c>
      <c r="D1325" s="8"/>
      <c r="E1325" s="8" t="s">
        <v>3128</v>
      </c>
      <c r="F1325" s="9" t="s">
        <v>3123</v>
      </c>
      <c r="G1325" s="10">
        <v>42825</v>
      </c>
      <c r="H1325" s="8" t="s">
        <v>124</v>
      </c>
      <c r="I1325" s="11">
        <v>113399</v>
      </c>
      <c r="J1325" s="8" t="s">
        <v>2157</v>
      </c>
      <c r="K1325" s="8" t="s">
        <v>2158</v>
      </c>
      <c r="L1325" s="7">
        <v>2014</v>
      </c>
      <c r="M1325" s="8" t="s">
        <v>79</v>
      </c>
      <c r="N1325" s="11">
        <v>239863</v>
      </c>
      <c r="O1325" s="8" t="s">
        <v>2161</v>
      </c>
      <c r="P1325" s="8" t="s">
        <v>2162</v>
      </c>
      <c r="Q1325" s="8"/>
      <c r="R1325" s="8"/>
    </row>
    <row r="1326" spans="1:18" ht="26.15" customHeight="1">
      <c r="A1326" s="7">
        <v>1320</v>
      </c>
      <c r="B1326" s="8" t="s">
        <v>4374</v>
      </c>
      <c r="C1326" s="8" t="s">
        <v>3127</v>
      </c>
      <c r="D1326" s="8"/>
      <c r="E1326" s="8" t="s">
        <v>3128</v>
      </c>
      <c r="F1326" s="9" t="s">
        <v>3123</v>
      </c>
      <c r="G1326" s="10">
        <v>42825</v>
      </c>
      <c r="H1326" s="8" t="s">
        <v>124</v>
      </c>
      <c r="I1326" s="11">
        <v>113399</v>
      </c>
      <c r="J1326" s="8" t="s">
        <v>2157</v>
      </c>
      <c r="K1326" s="8" t="s">
        <v>2158</v>
      </c>
      <c r="L1326" s="7">
        <v>2014</v>
      </c>
      <c r="M1326" s="8" t="s">
        <v>79</v>
      </c>
      <c r="N1326" s="11">
        <v>239863</v>
      </c>
      <c r="O1326" s="8" t="s">
        <v>2161</v>
      </c>
      <c r="P1326" s="8" t="s">
        <v>2162</v>
      </c>
      <c r="Q1326" s="8"/>
      <c r="R1326" s="8"/>
    </row>
    <row r="1327" spans="1:18" ht="26.15" customHeight="1">
      <c r="A1327" s="7">
        <v>1321</v>
      </c>
      <c r="B1327" s="8" t="s">
        <v>2164</v>
      </c>
      <c r="C1327" s="8" t="s">
        <v>3114</v>
      </c>
      <c r="D1327" s="8" t="s">
        <v>3471</v>
      </c>
      <c r="E1327" s="8" t="s">
        <v>3116</v>
      </c>
      <c r="F1327" s="9" t="s">
        <v>3117</v>
      </c>
      <c r="G1327" s="10">
        <v>42822</v>
      </c>
      <c r="H1327" s="8" t="s">
        <v>25</v>
      </c>
      <c r="I1327" s="11">
        <v>10277500</v>
      </c>
      <c r="J1327" s="8" t="s">
        <v>628</v>
      </c>
      <c r="K1327" s="8" t="s">
        <v>629</v>
      </c>
      <c r="L1327" s="7">
        <v>2015</v>
      </c>
      <c r="M1327" s="8" t="s">
        <v>79</v>
      </c>
      <c r="N1327" s="11">
        <v>94500000</v>
      </c>
      <c r="O1327" s="8" t="s">
        <v>632</v>
      </c>
      <c r="P1327" s="8" t="s">
        <v>633</v>
      </c>
      <c r="Q1327" s="8"/>
      <c r="R1327" s="8" t="s">
        <v>3148</v>
      </c>
    </row>
    <row r="1328" spans="1:18" ht="26.15" customHeight="1">
      <c r="A1328" s="7">
        <v>1322</v>
      </c>
      <c r="B1328" s="8" t="s">
        <v>3517</v>
      </c>
      <c r="C1328" s="8" t="s">
        <v>3114</v>
      </c>
      <c r="D1328" s="8" t="s">
        <v>3518</v>
      </c>
      <c r="E1328" s="8" t="s">
        <v>3116</v>
      </c>
      <c r="F1328" s="9" t="s">
        <v>3123</v>
      </c>
      <c r="G1328" s="10">
        <v>42822</v>
      </c>
      <c r="H1328" s="8" t="s">
        <v>25</v>
      </c>
      <c r="I1328" s="11">
        <v>10277500</v>
      </c>
      <c r="J1328" s="8" t="s">
        <v>628</v>
      </c>
      <c r="K1328" s="8" t="s">
        <v>629</v>
      </c>
      <c r="L1328" s="7">
        <v>2015</v>
      </c>
      <c r="M1328" s="8" t="s">
        <v>79</v>
      </c>
      <c r="N1328" s="11">
        <v>94500000</v>
      </c>
      <c r="O1328" s="8" t="s">
        <v>632</v>
      </c>
      <c r="P1328" s="8" t="s">
        <v>633</v>
      </c>
      <c r="Q1328" s="8"/>
      <c r="R1328" s="8" t="s">
        <v>79</v>
      </c>
    </row>
    <row r="1329" spans="1:18" ht="26.15" customHeight="1">
      <c r="A1329" s="7">
        <v>1323</v>
      </c>
      <c r="B1329" s="8" t="s">
        <v>3836</v>
      </c>
      <c r="C1329" s="8" t="s">
        <v>3114</v>
      </c>
      <c r="D1329" s="8" t="s">
        <v>3837</v>
      </c>
      <c r="E1329" s="8" t="s">
        <v>3116</v>
      </c>
      <c r="F1329" s="9" t="s">
        <v>3123</v>
      </c>
      <c r="G1329" s="10">
        <v>42822</v>
      </c>
      <c r="H1329" s="8" t="s">
        <v>25</v>
      </c>
      <c r="I1329" s="11">
        <v>10277500</v>
      </c>
      <c r="J1329" s="8" t="s">
        <v>628</v>
      </c>
      <c r="K1329" s="8" t="s">
        <v>629</v>
      </c>
      <c r="L1329" s="7">
        <v>2015</v>
      </c>
      <c r="M1329" s="8" t="s">
        <v>79</v>
      </c>
      <c r="N1329" s="11">
        <v>94500000</v>
      </c>
      <c r="O1329" s="8" t="s">
        <v>632</v>
      </c>
      <c r="P1329" s="8" t="s">
        <v>633</v>
      </c>
      <c r="Q1329" s="8"/>
      <c r="R1329" s="8" t="s">
        <v>3838</v>
      </c>
    </row>
    <row r="1330" spans="1:18" ht="26.15" customHeight="1">
      <c r="A1330" s="7">
        <v>1324</v>
      </c>
      <c r="B1330" s="8" t="s">
        <v>3521</v>
      </c>
      <c r="C1330" s="8"/>
      <c r="D1330" s="8" t="s">
        <v>3522</v>
      </c>
      <c r="E1330" s="8" t="s">
        <v>3116</v>
      </c>
      <c r="F1330" s="9" t="s">
        <v>3123</v>
      </c>
      <c r="G1330" s="10">
        <v>42822</v>
      </c>
      <c r="H1330" s="8" t="s">
        <v>25</v>
      </c>
      <c r="I1330" s="11">
        <v>10277500</v>
      </c>
      <c r="J1330" s="8" t="s">
        <v>628</v>
      </c>
      <c r="K1330" s="8" t="s">
        <v>629</v>
      </c>
      <c r="L1330" s="7">
        <v>2015</v>
      </c>
      <c r="M1330" s="8" t="s">
        <v>79</v>
      </c>
      <c r="N1330" s="11">
        <v>94500000</v>
      </c>
      <c r="O1330" s="8" t="s">
        <v>632</v>
      </c>
      <c r="P1330" s="8" t="s">
        <v>633</v>
      </c>
      <c r="Q1330" s="8"/>
      <c r="R1330" s="8" t="s">
        <v>3402</v>
      </c>
    </row>
    <row r="1331" spans="1:18" ht="26.15" customHeight="1">
      <c r="A1331" s="7">
        <v>1325</v>
      </c>
      <c r="B1331" s="8" t="s">
        <v>1431</v>
      </c>
      <c r="C1331" s="8" t="s">
        <v>3127</v>
      </c>
      <c r="D1331" s="8"/>
      <c r="E1331" s="8" t="s">
        <v>3128</v>
      </c>
      <c r="F1331" s="9" t="s">
        <v>3123</v>
      </c>
      <c r="G1331" s="10">
        <v>42822</v>
      </c>
      <c r="H1331" s="8" t="s">
        <v>25</v>
      </c>
      <c r="I1331" s="11">
        <v>10277500</v>
      </c>
      <c r="J1331" s="8" t="s">
        <v>628</v>
      </c>
      <c r="K1331" s="8" t="s">
        <v>629</v>
      </c>
      <c r="L1331" s="7">
        <v>2015</v>
      </c>
      <c r="M1331" s="8" t="s">
        <v>79</v>
      </c>
      <c r="N1331" s="11">
        <v>94500000</v>
      </c>
      <c r="O1331" s="8" t="s">
        <v>632</v>
      </c>
      <c r="P1331" s="8" t="s">
        <v>633</v>
      </c>
      <c r="Q1331" s="8"/>
      <c r="R1331" s="8"/>
    </row>
    <row r="1332" spans="1:18" ht="26.15" customHeight="1">
      <c r="A1332" s="7">
        <v>1326</v>
      </c>
      <c r="B1332" s="8" t="s">
        <v>2167</v>
      </c>
      <c r="C1332" s="8" t="s">
        <v>3114</v>
      </c>
      <c r="D1332" s="8" t="s">
        <v>3574</v>
      </c>
      <c r="E1332" s="8" t="s">
        <v>3116</v>
      </c>
      <c r="F1332" s="9" t="s">
        <v>3117</v>
      </c>
      <c r="G1332" s="10">
        <v>42821</v>
      </c>
      <c r="H1332" s="8" t="s">
        <v>34</v>
      </c>
      <c r="I1332" s="11" t="s">
        <v>50</v>
      </c>
      <c r="J1332" s="8" t="s">
        <v>753</v>
      </c>
      <c r="K1332" s="8" t="s">
        <v>754</v>
      </c>
      <c r="L1332" s="7">
        <v>2017</v>
      </c>
      <c r="M1332" s="8" t="s">
        <v>369</v>
      </c>
      <c r="N1332" s="11">
        <v>2200000</v>
      </c>
      <c r="O1332" s="8" t="s">
        <v>757</v>
      </c>
      <c r="P1332" s="8" t="s">
        <v>758</v>
      </c>
      <c r="Q1332" s="8"/>
      <c r="R1332" s="8" t="s">
        <v>369</v>
      </c>
    </row>
    <row r="1333" spans="1:18" ht="26.15" customHeight="1">
      <c r="A1333" s="7">
        <v>1327</v>
      </c>
      <c r="B1333" s="8" t="s">
        <v>4375</v>
      </c>
      <c r="C1333" s="8" t="s">
        <v>3139</v>
      </c>
      <c r="D1333" s="8" t="s">
        <v>4376</v>
      </c>
      <c r="E1333" s="8" t="s">
        <v>3116</v>
      </c>
      <c r="F1333" s="9" t="s">
        <v>3123</v>
      </c>
      <c r="G1333" s="10">
        <v>42816</v>
      </c>
      <c r="H1333" s="8" t="s">
        <v>289</v>
      </c>
      <c r="I1333" s="11">
        <v>45000000</v>
      </c>
      <c r="J1333" s="8" t="s">
        <v>290</v>
      </c>
      <c r="K1333" s="8" t="s">
        <v>291</v>
      </c>
      <c r="L1333" s="7">
        <v>1983</v>
      </c>
      <c r="M1333" s="8" t="s">
        <v>292</v>
      </c>
      <c r="N1333" s="11"/>
      <c r="O1333" s="8" t="s">
        <v>293</v>
      </c>
      <c r="P1333" s="8" t="s">
        <v>294</v>
      </c>
      <c r="Q1333" s="8"/>
      <c r="R1333" s="8" t="s">
        <v>1588</v>
      </c>
    </row>
    <row r="1334" spans="1:18" ht="26.15" customHeight="1">
      <c r="A1334" s="7">
        <v>1328</v>
      </c>
      <c r="B1334" s="8" t="s">
        <v>4377</v>
      </c>
      <c r="C1334" s="8" t="s">
        <v>3139</v>
      </c>
      <c r="D1334" s="8" t="s">
        <v>4378</v>
      </c>
      <c r="E1334" s="8" t="s">
        <v>3116</v>
      </c>
      <c r="F1334" s="9" t="s">
        <v>3123</v>
      </c>
      <c r="G1334" s="10">
        <v>42816</v>
      </c>
      <c r="H1334" s="8" t="s">
        <v>289</v>
      </c>
      <c r="I1334" s="11">
        <v>45000000</v>
      </c>
      <c r="J1334" s="8" t="s">
        <v>290</v>
      </c>
      <c r="K1334" s="8" t="s">
        <v>291</v>
      </c>
      <c r="L1334" s="7">
        <v>1983</v>
      </c>
      <c r="M1334" s="8" t="s">
        <v>292</v>
      </c>
      <c r="N1334" s="11"/>
      <c r="O1334" s="8" t="s">
        <v>293</v>
      </c>
      <c r="P1334" s="8" t="s">
        <v>294</v>
      </c>
      <c r="Q1334" s="8"/>
      <c r="R1334" s="8" t="s">
        <v>4158</v>
      </c>
    </row>
    <row r="1335" spans="1:18" ht="26.15" customHeight="1">
      <c r="A1335" s="7">
        <v>1329</v>
      </c>
      <c r="B1335" s="8" t="s">
        <v>4379</v>
      </c>
      <c r="C1335" s="8" t="s">
        <v>3139</v>
      </c>
      <c r="D1335" s="8" t="s">
        <v>4380</v>
      </c>
      <c r="E1335" s="8" t="s">
        <v>3116</v>
      </c>
      <c r="F1335" s="9" t="s">
        <v>3123</v>
      </c>
      <c r="G1335" s="10">
        <v>42816</v>
      </c>
      <c r="H1335" s="8" t="s">
        <v>289</v>
      </c>
      <c r="I1335" s="11">
        <v>45000000</v>
      </c>
      <c r="J1335" s="8" t="s">
        <v>290</v>
      </c>
      <c r="K1335" s="8" t="s">
        <v>291</v>
      </c>
      <c r="L1335" s="7">
        <v>1983</v>
      </c>
      <c r="M1335" s="8" t="s">
        <v>292</v>
      </c>
      <c r="N1335" s="11"/>
      <c r="O1335" s="8" t="s">
        <v>293</v>
      </c>
      <c r="P1335" s="8" t="s">
        <v>294</v>
      </c>
      <c r="Q1335" s="8"/>
      <c r="R1335" s="8" t="s">
        <v>1588</v>
      </c>
    </row>
    <row r="1336" spans="1:18" ht="26.15" customHeight="1">
      <c r="A1336" s="7">
        <v>1330</v>
      </c>
      <c r="B1336" s="8" t="s">
        <v>4381</v>
      </c>
      <c r="C1336" s="8" t="s">
        <v>3139</v>
      </c>
      <c r="D1336" s="8" t="s">
        <v>4382</v>
      </c>
      <c r="E1336" s="8" t="s">
        <v>3116</v>
      </c>
      <c r="F1336" s="9" t="s">
        <v>3123</v>
      </c>
      <c r="G1336" s="10">
        <v>42816</v>
      </c>
      <c r="H1336" s="8" t="s">
        <v>289</v>
      </c>
      <c r="I1336" s="11">
        <v>45000000</v>
      </c>
      <c r="J1336" s="8" t="s">
        <v>290</v>
      </c>
      <c r="K1336" s="8" t="s">
        <v>291</v>
      </c>
      <c r="L1336" s="7">
        <v>1983</v>
      </c>
      <c r="M1336" s="8" t="s">
        <v>292</v>
      </c>
      <c r="N1336" s="11"/>
      <c r="O1336" s="8" t="s">
        <v>293</v>
      </c>
      <c r="P1336" s="8" t="s">
        <v>294</v>
      </c>
      <c r="Q1336" s="8"/>
      <c r="R1336" s="8"/>
    </row>
    <row r="1337" spans="1:18" ht="26.15" customHeight="1">
      <c r="A1337" s="7">
        <v>1331</v>
      </c>
      <c r="B1337" s="8" t="s">
        <v>2171</v>
      </c>
      <c r="C1337" s="8" t="s">
        <v>3114</v>
      </c>
      <c r="D1337" s="8" t="s">
        <v>4383</v>
      </c>
      <c r="E1337" s="8" t="s">
        <v>3116</v>
      </c>
      <c r="F1337" s="9" t="s">
        <v>3117</v>
      </c>
      <c r="G1337" s="10">
        <v>42813</v>
      </c>
      <c r="H1337" s="8" t="s">
        <v>34</v>
      </c>
      <c r="I1337" s="11" t="s">
        <v>50</v>
      </c>
      <c r="J1337" s="8" t="s">
        <v>2073</v>
      </c>
      <c r="K1337" s="8" t="s">
        <v>2074</v>
      </c>
      <c r="L1337" s="7">
        <v>2015</v>
      </c>
      <c r="M1337" s="8" t="s">
        <v>2075</v>
      </c>
      <c r="N1337" s="11">
        <v>170000</v>
      </c>
      <c r="O1337" s="8" t="s">
        <v>2076</v>
      </c>
      <c r="P1337" s="8" t="s">
        <v>2077</v>
      </c>
      <c r="Q1337" s="8"/>
      <c r="R1337" s="8" t="s">
        <v>3470</v>
      </c>
    </row>
    <row r="1338" spans="1:18" ht="26.15" customHeight="1">
      <c r="A1338" s="7">
        <v>1332</v>
      </c>
      <c r="B1338" s="8" t="s">
        <v>2173</v>
      </c>
      <c r="C1338" s="8" t="s">
        <v>3127</v>
      </c>
      <c r="D1338" s="8"/>
      <c r="E1338" s="8" t="s">
        <v>3128</v>
      </c>
      <c r="F1338" s="9" t="s">
        <v>3117</v>
      </c>
      <c r="G1338" s="10">
        <v>42811</v>
      </c>
      <c r="H1338" s="8" t="s">
        <v>34</v>
      </c>
      <c r="I1338" s="11">
        <v>519964</v>
      </c>
      <c r="J1338" s="8" t="s">
        <v>1946</v>
      </c>
      <c r="K1338" s="8" t="s">
        <v>1947</v>
      </c>
      <c r="L1338" s="7">
        <v>2015</v>
      </c>
      <c r="M1338" s="8" t="s">
        <v>79</v>
      </c>
      <c r="N1338" s="11">
        <v>10693115</v>
      </c>
      <c r="O1338" s="8" t="s">
        <v>1951</v>
      </c>
      <c r="P1338" s="8" t="s">
        <v>1952</v>
      </c>
      <c r="Q1338" s="8"/>
      <c r="R1338" s="8"/>
    </row>
    <row r="1339" spans="1:18" ht="26.15" customHeight="1">
      <c r="A1339" s="7">
        <v>1333</v>
      </c>
      <c r="B1339" s="8" t="s">
        <v>4384</v>
      </c>
      <c r="C1339" s="8" t="s">
        <v>3127</v>
      </c>
      <c r="D1339" s="8"/>
      <c r="E1339" s="8" t="s">
        <v>3128</v>
      </c>
      <c r="F1339" s="9" t="s">
        <v>3123</v>
      </c>
      <c r="G1339" s="10">
        <v>42811</v>
      </c>
      <c r="H1339" s="8" t="s">
        <v>34</v>
      </c>
      <c r="I1339" s="11">
        <v>519964</v>
      </c>
      <c r="J1339" s="8" t="s">
        <v>1946</v>
      </c>
      <c r="K1339" s="8" t="s">
        <v>1947</v>
      </c>
      <c r="L1339" s="7">
        <v>2015</v>
      </c>
      <c r="M1339" s="8" t="s">
        <v>79</v>
      </c>
      <c r="N1339" s="11">
        <v>10693115</v>
      </c>
      <c r="O1339" s="8" t="s">
        <v>1951</v>
      </c>
      <c r="P1339" s="8" t="s">
        <v>1952</v>
      </c>
      <c r="Q1339" s="8"/>
      <c r="R1339" s="8"/>
    </row>
    <row r="1340" spans="1:18" ht="26.15" customHeight="1">
      <c r="A1340" s="7">
        <v>1334</v>
      </c>
      <c r="B1340" s="8" t="s">
        <v>4385</v>
      </c>
      <c r="C1340" s="8" t="s">
        <v>3127</v>
      </c>
      <c r="D1340" s="8"/>
      <c r="E1340" s="8" t="s">
        <v>3128</v>
      </c>
      <c r="F1340" s="9" t="s">
        <v>3123</v>
      </c>
      <c r="G1340" s="10">
        <v>42811</v>
      </c>
      <c r="H1340" s="8" t="s">
        <v>34</v>
      </c>
      <c r="I1340" s="11">
        <v>519964</v>
      </c>
      <c r="J1340" s="8" t="s">
        <v>1946</v>
      </c>
      <c r="K1340" s="8" t="s">
        <v>1947</v>
      </c>
      <c r="L1340" s="7">
        <v>2015</v>
      </c>
      <c r="M1340" s="8" t="s">
        <v>79</v>
      </c>
      <c r="N1340" s="11">
        <v>10693115</v>
      </c>
      <c r="O1340" s="8" t="s">
        <v>1951</v>
      </c>
      <c r="P1340" s="8" t="s">
        <v>1952</v>
      </c>
      <c r="Q1340" s="8"/>
      <c r="R1340" s="8"/>
    </row>
    <row r="1341" spans="1:18" ht="26.15" customHeight="1">
      <c r="A1341" s="7">
        <v>1335</v>
      </c>
      <c r="B1341" s="8" t="s">
        <v>3937</v>
      </c>
      <c r="C1341" s="8" t="s">
        <v>3127</v>
      </c>
      <c r="D1341" s="8"/>
      <c r="E1341" s="8" t="s">
        <v>3128</v>
      </c>
      <c r="F1341" s="9" t="s">
        <v>3117</v>
      </c>
      <c r="G1341" s="10">
        <v>42810</v>
      </c>
      <c r="H1341" s="8" t="s">
        <v>34</v>
      </c>
      <c r="I1341" s="11">
        <v>245268</v>
      </c>
      <c r="J1341" s="8" t="s">
        <v>724</v>
      </c>
      <c r="K1341" s="8" t="s">
        <v>725</v>
      </c>
      <c r="L1341" s="7">
        <v>2015</v>
      </c>
      <c r="M1341" s="8" t="s">
        <v>128</v>
      </c>
      <c r="N1341" s="11">
        <v>739765</v>
      </c>
      <c r="O1341" s="8" t="s">
        <v>728</v>
      </c>
      <c r="P1341" s="8" t="s">
        <v>729</v>
      </c>
      <c r="Q1341" s="8"/>
      <c r="R1341" s="8"/>
    </row>
    <row r="1342" spans="1:18" ht="26.15" customHeight="1">
      <c r="A1342" s="7">
        <v>1336</v>
      </c>
      <c r="B1342" s="8" t="s">
        <v>4386</v>
      </c>
      <c r="C1342" s="8" t="s">
        <v>3127</v>
      </c>
      <c r="D1342" s="8"/>
      <c r="E1342" s="8" t="s">
        <v>3128</v>
      </c>
      <c r="F1342" s="9" t="s">
        <v>3117</v>
      </c>
      <c r="G1342" s="10">
        <v>42810</v>
      </c>
      <c r="H1342" s="8" t="s">
        <v>34</v>
      </c>
      <c r="I1342" s="11">
        <v>245268</v>
      </c>
      <c r="J1342" s="8" t="s">
        <v>724</v>
      </c>
      <c r="K1342" s="8" t="s">
        <v>725</v>
      </c>
      <c r="L1342" s="7">
        <v>2015</v>
      </c>
      <c r="M1342" s="8" t="s">
        <v>128</v>
      </c>
      <c r="N1342" s="11">
        <v>739765</v>
      </c>
      <c r="O1342" s="8" t="s">
        <v>728</v>
      </c>
      <c r="P1342" s="8" t="s">
        <v>729</v>
      </c>
      <c r="Q1342" s="8"/>
      <c r="R1342" s="8"/>
    </row>
    <row r="1343" spans="1:18" ht="26.15" customHeight="1">
      <c r="A1343" s="7">
        <v>1337</v>
      </c>
      <c r="B1343" s="8" t="s">
        <v>4387</v>
      </c>
      <c r="C1343" s="8" t="s">
        <v>3127</v>
      </c>
      <c r="D1343" s="8"/>
      <c r="E1343" s="8" t="s">
        <v>3128</v>
      </c>
      <c r="F1343" s="9" t="s">
        <v>3117</v>
      </c>
      <c r="G1343" s="10">
        <v>42810</v>
      </c>
      <c r="H1343" s="8" t="s">
        <v>34</v>
      </c>
      <c r="I1343" s="11">
        <v>245268</v>
      </c>
      <c r="J1343" s="8" t="s">
        <v>724</v>
      </c>
      <c r="K1343" s="8" t="s">
        <v>725</v>
      </c>
      <c r="L1343" s="7">
        <v>2015</v>
      </c>
      <c r="M1343" s="8" t="s">
        <v>128</v>
      </c>
      <c r="N1343" s="11">
        <v>739765</v>
      </c>
      <c r="O1343" s="8" t="s">
        <v>728</v>
      </c>
      <c r="P1343" s="8" t="s">
        <v>729</v>
      </c>
      <c r="Q1343" s="8"/>
      <c r="R1343" s="8"/>
    </row>
    <row r="1344" spans="1:18" ht="26.15" customHeight="1">
      <c r="A1344" s="7">
        <v>1338</v>
      </c>
      <c r="B1344" s="8" t="s">
        <v>4388</v>
      </c>
      <c r="C1344" s="8" t="s">
        <v>3127</v>
      </c>
      <c r="D1344" s="8"/>
      <c r="E1344" s="8" t="s">
        <v>3128</v>
      </c>
      <c r="F1344" s="9" t="s">
        <v>3117</v>
      </c>
      <c r="G1344" s="10">
        <v>42810</v>
      </c>
      <c r="H1344" s="8" t="s">
        <v>34</v>
      </c>
      <c r="I1344" s="11">
        <v>245268</v>
      </c>
      <c r="J1344" s="8" t="s">
        <v>724</v>
      </c>
      <c r="K1344" s="8" t="s">
        <v>725</v>
      </c>
      <c r="L1344" s="7">
        <v>2015</v>
      </c>
      <c r="M1344" s="8" t="s">
        <v>128</v>
      </c>
      <c r="N1344" s="11">
        <v>739765</v>
      </c>
      <c r="O1344" s="8" t="s">
        <v>728</v>
      </c>
      <c r="P1344" s="8" t="s">
        <v>729</v>
      </c>
      <c r="Q1344" s="8"/>
      <c r="R1344" s="8"/>
    </row>
    <row r="1345" spans="1:18" ht="26.15" customHeight="1">
      <c r="A1345" s="7">
        <v>1339</v>
      </c>
      <c r="B1345" s="8" t="s">
        <v>4389</v>
      </c>
      <c r="C1345" s="8" t="s">
        <v>3127</v>
      </c>
      <c r="D1345" s="8"/>
      <c r="E1345" s="8" t="s">
        <v>3128</v>
      </c>
      <c r="F1345" s="9" t="s">
        <v>3117</v>
      </c>
      <c r="G1345" s="10">
        <v>42810</v>
      </c>
      <c r="H1345" s="8" t="s">
        <v>34</v>
      </c>
      <c r="I1345" s="11">
        <v>245268</v>
      </c>
      <c r="J1345" s="8" t="s">
        <v>724</v>
      </c>
      <c r="K1345" s="8" t="s">
        <v>725</v>
      </c>
      <c r="L1345" s="7">
        <v>2015</v>
      </c>
      <c r="M1345" s="8" t="s">
        <v>128</v>
      </c>
      <c r="N1345" s="11">
        <v>739765</v>
      </c>
      <c r="O1345" s="8" t="s">
        <v>728</v>
      </c>
      <c r="P1345" s="8" t="s">
        <v>729</v>
      </c>
      <c r="Q1345" s="8"/>
      <c r="R1345" s="8"/>
    </row>
    <row r="1346" spans="1:18" ht="26.15" customHeight="1">
      <c r="A1346" s="7">
        <v>1340</v>
      </c>
      <c r="B1346" s="8" t="s">
        <v>3918</v>
      </c>
      <c r="C1346" s="8" t="s">
        <v>3127</v>
      </c>
      <c r="D1346" s="8"/>
      <c r="E1346" s="8" t="s">
        <v>3128</v>
      </c>
      <c r="F1346" s="9" t="s">
        <v>3117</v>
      </c>
      <c r="G1346" s="10">
        <v>42810</v>
      </c>
      <c r="H1346" s="8" t="s">
        <v>34</v>
      </c>
      <c r="I1346" s="11">
        <v>245268</v>
      </c>
      <c r="J1346" s="8" t="s">
        <v>724</v>
      </c>
      <c r="K1346" s="8" t="s">
        <v>725</v>
      </c>
      <c r="L1346" s="7">
        <v>2015</v>
      </c>
      <c r="M1346" s="8" t="s">
        <v>128</v>
      </c>
      <c r="N1346" s="11">
        <v>739765</v>
      </c>
      <c r="O1346" s="8" t="s">
        <v>728</v>
      </c>
      <c r="P1346" s="8" t="s">
        <v>729</v>
      </c>
      <c r="Q1346" s="8"/>
      <c r="R1346" s="8"/>
    </row>
    <row r="1347" spans="1:18" ht="26.15" customHeight="1">
      <c r="A1347" s="7">
        <v>1341</v>
      </c>
      <c r="B1347" s="8" t="s">
        <v>4390</v>
      </c>
      <c r="C1347" s="8" t="s">
        <v>3127</v>
      </c>
      <c r="D1347" s="8"/>
      <c r="E1347" s="8" t="s">
        <v>3128</v>
      </c>
      <c r="F1347" s="9" t="s">
        <v>3117</v>
      </c>
      <c r="G1347" s="10">
        <v>42810</v>
      </c>
      <c r="H1347" s="8" t="s">
        <v>34</v>
      </c>
      <c r="I1347" s="11">
        <v>245268</v>
      </c>
      <c r="J1347" s="8" t="s">
        <v>724</v>
      </c>
      <c r="K1347" s="8" t="s">
        <v>725</v>
      </c>
      <c r="L1347" s="7">
        <v>2015</v>
      </c>
      <c r="M1347" s="8" t="s">
        <v>128</v>
      </c>
      <c r="N1347" s="11">
        <v>739765</v>
      </c>
      <c r="O1347" s="8" t="s">
        <v>728</v>
      </c>
      <c r="P1347" s="8" t="s">
        <v>729</v>
      </c>
      <c r="Q1347" s="8"/>
      <c r="R1347" s="8"/>
    </row>
    <row r="1348" spans="1:18" ht="26.15" customHeight="1">
      <c r="A1348" s="7">
        <v>1342</v>
      </c>
      <c r="B1348" s="8" t="s">
        <v>4391</v>
      </c>
      <c r="C1348" s="8" t="s">
        <v>3127</v>
      </c>
      <c r="D1348" s="8"/>
      <c r="E1348" s="8" t="s">
        <v>3128</v>
      </c>
      <c r="F1348" s="9" t="s">
        <v>3117</v>
      </c>
      <c r="G1348" s="10">
        <v>42810</v>
      </c>
      <c r="H1348" s="8" t="s">
        <v>34</v>
      </c>
      <c r="I1348" s="11">
        <v>245268</v>
      </c>
      <c r="J1348" s="8" t="s">
        <v>724</v>
      </c>
      <c r="K1348" s="8" t="s">
        <v>725</v>
      </c>
      <c r="L1348" s="7">
        <v>2015</v>
      </c>
      <c r="M1348" s="8" t="s">
        <v>128</v>
      </c>
      <c r="N1348" s="11">
        <v>739765</v>
      </c>
      <c r="O1348" s="8" t="s">
        <v>728</v>
      </c>
      <c r="P1348" s="8" t="s">
        <v>729</v>
      </c>
      <c r="Q1348" s="8"/>
      <c r="R1348" s="8"/>
    </row>
    <row r="1349" spans="1:18" ht="26.15" customHeight="1">
      <c r="A1349" s="7">
        <v>1343</v>
      </c>
      <c r="B1349" s="8" t="s">
        <v>4392</v>
      </c>
      <c r="C1349" s="8" t="s">
        <v>3127</v>
      </c>
      <c r="D1349" s="8"/>
      <c r="E1349" s="8" t="s">
        <v>3128</v>
      </c>
      <c r="F1349" s="9" t="s">
        <v>3117</v>
      </c>
      <c r="G1349" s="10">
        <v>42810</v>
      </c>
      <c r="H1349" s="8" t="s">
        <v>34</v>
      </c>
      <c r="I1349" s="11">
        <v>245268</v>
      </c>
      <c r="J1349" s="8" t="s">
        <v>724</v>
      </c>
      <c r="K1349" s="8" t="s">
        <v>725</v>
      </c>
      <c r="L1349" s="7">
        <v>2015</v>
      </c>
      <c r="M1349" s="8" t="s">
        <v>128</v>
      </c>
      <c r="N1349" s="11">
        <v>739765</v>
      </c>
      <c r="O1349" s="8" t="s">
        <v>728</v>
      </c>
      <c r="P1349" s="8" t="s">
        <v>729</v>
      </c>
      <c r="Q1349" s="8"/>
      <c r="R1349" s="8"/>
    </row>
    <row r="1350" spans="1:18" ht="26.15" customHeight="1">
      <c r="A1350" s="7">
        <v>1344</v>
      </c>
      <c r="B1350" s="8" t="s">
        <v>4393</v>
      </c>
      <c r="C1350" s="8"/>
      <c r="D1350" s="8" t="s">
        <v>4394</v>
      </c>
      <c r="E1350" s="8" t="s">
        <v>3116</v>
      </c>
      <c r="F1350" s="9" t="s">
        <v>3123</v>
      </c>
      <c r="G1350" s="10">
        <v>42810</v>
      </c>
      <c r="H1350" s="8" t="s">
        <v>34</v>
      </c>
      <c r="I1350" s="11">
        <v>245268</v>
      </c>
      <c r="J1350" s="8" t="s">
        <v>724</v>
      </c>
      <c r="K1350" s="8" t="s">
        <v>725</v>
      </c>
      <c r="L1350" s="7">
        <v>2015</v>
      </c>
      <c r="M1350" s="8" t="s">
        <v>128</v>
      </c>
      <c r="N1350" s="11">
        <v>739765</v>
      </c>
      <c r="O1350" s="8" t="s">
        <v>728</v>
      </c>
      <c r="P1350" s="8" t="s">
        <v>729</v>
      </c>
      <c r="Q1350" s="8"/>
      <c r="R1350" s="8" t="s">
        <v>4364</v>
      </c>
    </row>
    <row r="1351" spans="1:18" ht="26.15" customHeight="1">
      <c r="A1351" s="7">
        <v>1345</v>
      </c>
      <c r="B1351" s="8" t="s">
        <v>4100</v>
      </c>
      <c r="C1351" s="8" t="s">
        <v>3114</v>
      </c>
      <c r="D1351" s="8" t="s">
        <v>4101</v>
      </c>
      <c r="E1351" s="8" t="s">
        <v>3116</v>
      </c>
      <c r="F1351" s="9" t="s">
        <v>3123</v>
      </c>
      <c r="G1351" s="10">
        <v>42810</v>
      </c>
      <c r="H1351" s="8" t="s">
        <v>34</v>
      </c>
      <c r="I1351" s="11">
        <v>245268</v>
      </c>
      <c r="J1351" s="8" t="s">
        <v>724</v>
      </c>
      <c r="K1351" s="8" t="s">
        <v>725</v>
      </c>
      <c r="L1351" s="7">
        <v>2015</v>
      </c>
      <c r="M1351" s="8" t="s">
        <v>128</v>
      </c>
      <c r="N1351" s="11">
        <v>739765</v>
      </c>
      <c r="O1351" s="8" t="s">
        <v>728</v>
      </c>
      <c r="P1351" s="8" t="s">
        <v>729</v>
      </c>
      <c r="Q1351" s="8"/>
      <c r="R1351" s="8" t="s">
        <v>56</v>
      </c>
    </row>
    <row r="1352" spans="1:18" ht="26.15" customHeight="1">
      <c r="A1352" s="7">
        <v>1346</v>
      </c>
      <c r="B1352" s="8" t="s">
        <v>4395</v>
      </c>
      <c r="C1352" s="8" t="s">
        <v>3127</v>
      </c>
      <c r="D1352" s="8"/>
      <c r="E1352" s="8" t="s">
        <v>3128</v>
      </c>
      <c r="F1352" s="9" t="s">
        <v>3123</v>
      </c>
      <c r="G1352" s="10">
        <v>42810</v>
      </c>
      <c r="H1352" s="8" t="s">
        <v>34</v>
      </c>
      <c r="I1352" s="11">
        <v>245268</v>
      </c>
      <c r="J1352" s="8" t="s">
        <v>724</v>
      </c>
      <c r="K1352" s="8" t="s">
        <v>725</v>
      </c>
      <c r="L1352" s="7">
        <v>2015</v>
      </c>
      <c r="M1352" s="8" t="s">
        <v>128</v>
      </c>
      <c r="N1352" s="11">
        <v>739765</v>
      </c>
      <c r="O1352" s="8" t="s">
        <v>728</v>
      </c>
      <c r="P1352" s="8" t="s">
        <v>729</v>
      </c>
      <c r="Q1352" s="8"/>
      <c r="R1352" s="8"/>
    </row>
    <row r="1353" spans="1:18" ht="26.15" customHeight="1">
      <c r="A1353" s="7">
        <v>1347</v>
      </c>
      <c r="B1353" s="8" t="s">
        <v>4396</v>
      </c>
      <c r="C1353" s="8" t="s">
        <v>3127</v>
      </c>
      <c r="D1353" s="8"/>
      <c r="E1353" s="8" t="s">
        <v>3128</v>
      </c>
      <c r="F1353" s="9" t="s">
        <v>3123</v>
      </c>
      <c r="G1353" s="10">
        <v>42810</v>
      </c>
      <c r="H1353" s="8" t="s">
        <v>34</v>
      </c>
      <c r="I1353" s="11">
        <v>245268</v>
      </c>
      <c r="J1353" s="8" t="s">
        <v>724</v>
      </c>
      <c r="K1353" s="8" t="s">
        <v>725</v>
      </c>
      <c r="L1353" s="7">
        <v>2015</v>
      </c>
      <c r="M1353" s="8" t="s">
        <v>128</v>
      </c>
      <c r="N1353" s="11">
        <v>739765</v>
      </c>
      <c r="O1353" s="8" t="s">
        <v>728</v>
      </c>
      <c r="P1353" s="8" t="s">
        <v>729</v>
      </c>
      <c r="Q1353" s="8"/>
      <c r="R1353" s="8"/>
    </row>
    <row r="1354" spans="1:18" ht="26.15" customHeight="1">
      <c r="A1354" s="7">
        <v>1348</v>
      </c>
      <c r="B1354" s="8" t="s">
        <v>4397</v>
      </c>
      <c r="C1354" s="8" t="s">
        <v>3127</v>
      </c>
      <c r="D1354" s="8"/>
      <c r="E1354" s="8" t="s">
        <v>3128</v>
      </c>
      <c r="F1354" s="9" t="s">
        <v>3117</v>
      </c>
      <c r="G1354" s="10">
        <v>42810</v>
      </c>
      <c r="H1354" s="8" t="s">
        <v>34</v>
      </c>
      <c r="I1354" s="11">
        <v>245268</v>
      </c>
      <c r="J1354" s="8" t="s">
        <v>724</v>
      </c>
      <c r="K1354" s="8" t="s">
        <v>725</v>
      </c>
      <c r="L1354" s="7">
        <v>2015</v>
      </c>
      <c r="M1354" s="8" t="s">
        <v>128</v>
      </c>
      <c r="N1354" s="11">
        <v>739765</v>
      </c>
      <c r="O1354" s="8" t="s">
        <v>728</v>
      </c>
      <c r="P1354" s="8" t="s">
        <v>729</v>
      </c>
      <c r="Q1354" s="8"/>
      <c r="R1354" s="8"/>
    </row>
    <row r="1355" spans="1:18" ht="26.15" customHeight="1">
      <c r="A1355" s="7">
        <v>1349</v>
      </c>
      <c r="B1355" s="8" t="s">
        <v>4398</v>
      </c>
      <c r="C1355" s="8" t="s">
        <v>3127</v>
      </c>
      <c r="D1355" s="8"/>
      <c r="E1355" s="8" t="s">
        <v>3128</v>
      </c>
      <c r="F1355" s="9" t="s">
        <v>3117</v>
      </c>
      <c r="G1355" s="10">
        <v>42810</v>
      </c>
      <c r="H1355" s="8" t="s">
        <v>34</v>
      </c>
      <c r="I1355" s="11">
        <v>245268</v>
      </c>
      <c r="J1355" s="8" t="s">
        <v>724</v>
      </c>
      <c r="K1355" s="8" t="s">
        <v>725</v>
      </c>
      <c r="L1355" s="7">
        <v>2015</v>
      </c>
      <c r="M1355" s="8" t="s">
        <v>128</v>
      </c>
      <c r="N1355" s="11">
        <v>739765</v>
      </c>
      <c r="O1355" s="8" t="s">
        <v>728</v>
      </c>
      <c r="P1355" s="8" t="s">
        <v>729</v>
      </c>
      <c r="Q1355" s="8"/>
      <c r="R1355" s="8"/>
    </row>
    <row r="1356" spans="1:18" ht="26.15" customHeight="1">
      <c r="A1356" s="7">
        <v>1350</v>
      </c>
      <c r="B1356" s="8" t="s">
        <v>4399</v>
      </c>
      <c r="C1356" s="8" t="s">
        <v>3127</v>
      </c>
      <c r="D1356" s="8"/>
      <c r="E1356" s="8" t="s">
        <v>3128</v>
      </c>
      <c r="F1356" s="9" t="s">
        <v>3123</v>
      </c>
      <c r="G1356" s="10">
        <v>42810</v>
      </c>
      <c r="H1356" s="8" t="s">
        <v>34</v>
      </c>
      <c r="I1356" s="11">
        <v>245268</v>
      </c>
      <c r="J1356" s="8" t="s">
        <v>724</v>
      </c>
      <c r="K1356" s="8" t="s">
        <v>725</v>
      </c>
      <c r="L1356" s="7">
        <v>2015</v>
      </c>
      <c r="M1356" s="8" t="s">
        <v>128</v>
      </c>
      <c r="N1356" s="11">
        <v>739765</v>
      </c>
      <c r="O1356" s="8" t="s">
        <v>728</v>
      </c>
      <c r="P1356" s="8" t="s">
        <v>729</v>
      </c>
      <c r="Q1356" s="8"/>
      <c r="R1356" s="8"/>
    </row>
    <row r="1357" spans="1:18" ht="26.15" customHeight="1">
      <c r="A1357" s="7">
        <v>1351</v>
      </c>
      <c r="B1357" s="8" t="s">
        <v>1263</v>
      </c>
      <c r="C1357" s="8" t="s">
        <v>3139</v>
      </c>
      <c r="D1357" s="8" t="s">
        <v>3791</v>
      </c>
      <c r="E1357" s="8" t="s">
        <v>3116</v>
      </c>
      <c r="F1357" s="9" t="s">
        <v>3123</v>
      </c>
      <c r="G1357" s="10">
        <v>42810</v>
      </c>
      <c r="H1357" s="8" t="s">
        <v>34</v>
      </c>
      <c r="I1357" s="11">
        <v>245268</v>
      </c>
      <c r="J1357" s="8" t="s">
        <v>724</v>
      </c>
      <c r="K1357" s="8" t="s">
        <v>725</v>
      </c>
      <c r="L1357" s="7">
        <v>2015</v>
      </c>
      <c r="M1357" s="8" t="s">
        <v>128</v>
      </c>
      <c r="N1357" s="11">
        <v>739765</v>
      </c>
      <c r="O1357" s="8" t="s">
        <v>728</v>
      </c>
      <c r="P1357" s="8" t="s">
        <v>729</v>
      </c>
      <c r="Q1357" s="8"/>
      <c r="R1357" s="8" t="s">
        <v>79</v>
      </c>
    </row>
    <row r="1358" spans="1:18" ht="26.15" customHeight="1">
      <c r="A1358" s="7">
        <v>1352</v>
      </c>
      <c r="B1358" s="8" t="s">
        <v>1308</v>
      </c>
      <c r="C1358" s="8" t="s">
        <v>3114</v>
      </c>
      <c r="D1358" s="8" t="s">
        <v>3469</v>
      </c>
      <c r="E1358" s="8" t="s">
        <v>3116</v>
      </c>
      <c r="F1358" s="9" t="s">
        <v>3117</v>
      </c>
      <c r="G1358" s="10">
        <v>42801</v>
      </c>
      <c r="H1358" s="8" t="s">
        <v>25</v>
      </c>
      <c r="I1358" s="11">
        <v>10621400</v>
      </c>
      <c r="J1358" s="8" t="s">
        <v>1171</v>
      </c>
      <c r="K1358" s="8" t="s">
        <v>1172</v>
      </c>
      <c r="L1358" s="7">
        <v>2008</v>
      </c>
      <c r="M1358" s="8" t="s">
        <v>47</v>
      </c>
      <c r="N1358" s="11">
        <v>47182672</v>
      </c>
      <c r="O1358" s="8" t="s">
        <v>1175</v>
      </c>
      <c r="P1358" s="8" t="s">
        <v>1176</v>
      </c>
      <c r="Q1358" s="8"/>
      <c r="R1358" s="8" t="s">
        <v>3470</v>
      </c>
    </row>
    <row r="1359" spans="1:18" ht="26.15" customHeight="1">
      <c r="A1359" s="7">
        <v>1353</v>
      </c>
      <c r="B1359" s="8" t="s">
        <v>113</v>
      </c>
      <c r="C1359" s="8" t="s">
        <v>3114</v>
      </c>
      <c r="D1359" s="8" t="s">
        <v>3163</v>
      </c>
      <c r="E1359" s="8" t="s">
        <v>3116</v>
      </c>
      <c r="F1359" s="9" t="s">
        <v>3123</v>
      </c>
      <c r="G1359" s="10">
        <v>42801</v>
      </c>
      <c r="H1359" s="8" t="s">
        <v>25</v>
      </c>
      <c r="I1359" s="11">
        <v>10621400</v>
      </c>
      <c r="J1359" s="8" t="s">
        <v>1171</v>
      </c>
      <c r="K1359" s="8" t="s">
        <v>1172</v>
      </c>
      <c r="L1359" s="7">
        <v>2008</v>
      </c>
      <c r="M1359" s="8" t="s">
        <v>47</v>
      </c>
      <c r="N1359" s="11">
        <v>47182672</v>
      </c>
      <c r="O1359" s="8" t="s">
        <v>1175</v>
      </c>
      <c r="P1359" s="8" t="s">
        <v>1176</v>
      </c>
      <c r="Q1359" s="8"/>
      <c r="R1359" s="8" t="s">
        <v>79</v>
      </c>
    </row>
    <row r="1360" spans="1:18" ht="26.15" customHeight="1">
      <c r="A1360" s="7">
        <v>1354</v>
      </c>
      <c r="B1360" s="8" t="s">
        <v>4400</v>
      </c>
      <c r="C1360" s="8" t="s">
        <v>3114</v>
      </c>
      <c r="D1360" s="8" t="s">
        <v>4401</v>
      </c>
      <c r="E1360" s="8" t="s">
        <v>3116</v>
      </c>
      <c r="F1360" s="9" t="s">
        <v>3123</v>
      </c>
      <c r="G1360" s="10">
        <v>42801</v>
      </c>
      <c r="H1360" s="8" t="s">
        <v>25</v>
      </c>
      <c r="I1360" s="11">
        <v>10621400</v>
      </c>
      <c r="J1360" s="8" t="s">
        <v>1171</v>
      </c>
      <c r="K1360" s="8" t="s">
        <v>1172</v>
      </c>
      <c r="L1360" s="7">
        <v>2008</v>
      </c>
      <c r="M1360" s="8" t="s">
        <v>47</v>
      </c>
      <c r="N1360" s="11">
        <v>47182672</v>
      </c>
      <c r="O1360" s="8" t="s">
        <v>1175</v>
      </c>
      <c r="P1360" s="8" t="s">
        <v>1176</v>
      </c>
      <c r="Q1360" s="8"/>
      <c r="R1360" s="8" t="s">
        <v>3138</v>
      </c>
    </row>
    <row r="1361" spans="1:18" ht="26.15" customHeight="1">
      <c r="A1361" s="7">
        <v>1355</v>
      </c>
      <c r="B1361" s="8" t="s">
        <v>484</v>
      </c>
      <c r="C1361" s="8" t="s">
        <v>3114</v>
      </c>
      <c r="D1361" s="8" t="s">
        <v>3164</v>
      </c>
      <c r="E1361" s="8" t="s">
        <v>3116</v>
      </c>
      <c r="F1361" s="9" t="s">
        <v>3123</v>
      </c>
      <c r="G1361" s="10">
        <v>42801</v>
      </c>
      <c r="H1361" s="8" t="s">
        <v>25</v>
      </c>
      <c r="I1361" s="11">
        <v>10621400</v>
      </c>
      <c r="J1361" s="8" t="s">
        <v>1171</v>
      </c>
      <c r="K1361" s="8" t="s">
        <v>1172</v>
      </c>
      <c r="L1361" s="7">
        <v>2008</v>
      </c>
      <c r="M1361" s="8" t="s">
        <v>47</v>
      </c>
      <c r="N1361" s="11">
        <v>47182672</v>
      </c>
      <c r="O1361" s="8" t="s">
        <v>1175</v>
      </c>
      <c r="P1361" s="8" t="s">
        <v>1176</v>
      </c>
      <c r="Q1361" s="8"/>
      <c r="R1361" s="8" t="s">
        <v>313</v>
      </c>
    </row>
    <row r="1362" spans="1:18" ht="26.15" customHeight="1">
      <c r="A1362" s="7">
        <v>1356</v>
      </c>
      <c r="B1362" s="8" t="s">
        <v>4402</v>
      </c>
      <c r="C1362" s="8"/>
      <c r="D1362" s="8" t="s">
        <v>4403</v>
      </c>
      <c r="E1362" s="8" t="s">
        <v>3116</v>
      </c>
      <c r="F1362" s="9" t="s">
        <v>3123</v>
      </c>
      <c r="G1362" s="10">
        <v>42795</v>
      </c>
      <c r="H1362" s="8" t="s">
        <v>34</v>
      </c>
      <c r="I1362" s="11" t="s">
        <v>50</v>
      </c>
      <c r="J1362" s="8" t="s">
        <v>1939</v>
      </c>
      <c r="K1362" s="8" t="s">
        <v>1940</v>
      </c>
      <c r="L1362" s="7">
        <v>2015</v>
      </c>
      <c r="M1362" s="8" t="s">
        <v>278</v>
      </c>
      <c r="N1362" s="11">
        <v>9356810</v>
      </c>
      <c r="O1362" s="8" t="s">
        <v>1942</v>
      </c>
      <c r="P1362" s="8" t="s">
        <v>1943</v>
      </c>
      <c r="Q1362" s="8"/>
      <c r="R1362" s="8" t="s">
        <v>278</v>
      </c>
    </row>
    <row r="1363" spans="1:18" ht="26.15" customHeight="1">
      <c r="A1363" s="7">
        <v>1357</v>
      </c>
      <c r="B1363" s="8" t="s">
        <v>2301</v>
      </c>
      <c r="C1363" s="8" t="s">
        <v>3114</v>
      </c>
      <c r="D1363" s="8" t="s">
        <v>4245</v>
      </c>
      <c r="E1363" s="8" t="s">
        <v>3116</v>
      </c>
      <c r="F1363" s="9" t="s">
        <v>3123</v>
      </c>
      <c r="G1363" s="10">
        <v>42795</v>
      </c>
      <c r="H1363" s="8" t="s">
        <v>34</v>
      </c>
      <c r="I1363" s="11" t="s">
        <v>50</v>
      </c>
      <c r="J1363" s="8" t="s">
        <v>1939</v>
      </c>
      <c r="K1363" s="8" t="s">
        <v>1940</v>
      </c>
      <c r="L1363" s="7">
        <v>2015</v>
      </c>
      <c r="M1363" s="8" t="s">
        <v>278</v>
      </c>
      <c r="N1363" s="11">
        <v>9356810</v>
      </c>
      <c r="O1363" s="8" t="s">
        <v>1942</v>
      </c>
      <c r="P1363" s="8" t="s">
        <v>1943</v>
      </c>
      <c r="Q1363" s="8"/>
      <c r="R1363" s="8" t="s">
        <v>1732</v>
      </c>
    </row>
    <row r="1364" spans="1:18" ht="26.15" customHeight="1">
      <c r="A1364" s="7">
        <v>1358</v>
      </c>
      <c r="B1364" s="8" t="s">
        <v>4404</v>
      </c>
      <c r="C1364" s="8" t="s">
        <v>3139</v>
      </c>
      <c r="D1364" s="8" t="s">
        <v>4405</v>
      </c>
      <c r="E1364" s="8" t="s">
        <v>3116</v>
      </c>
      <c r="F1364" s="9" t="s">
        <v>3123</v>
      </c>
      <c r="G1364" s="10">
        <v>42795</v>
      </c>
      <c r="H1364" s="8" t="s">
        <v>34</v>
      </c>
      <c r="I1364" s="11" t="s">
        <v>50</v>
      </c>
      <c r="J1364" s="8" t="s">
        <v>1939</v>
      </c>
      <c r="K1364" s="8" t="s">
        <v>1940</v>
      </c>
      <c r="L1364" s="7">
        <v>2015</v>
      </c>
      <c r="M1364" s="8" t="s">
        <v>278</v>
      </c>
      <c r="N1364" s="11">
        <v>9356810</v>
      </c>
      <c r="O1364" s="8" t="s">
        <v>1942</v>
      </c>
      <c r="P1364" s="8" t="s">
        <v>1943</v>
      </c>
      <c r="Q1364" s="8"/>
      <c r="R1364" s="8"/>
    </row>
    <row r="1365" spans="1:18" ht="26.15" customHeight="1">
      <c r="A1365" s="7">
        <v>1359</v>
      </c>
      <c r="B1365" s="8" t="s">
        <v>4406</v>
      </c>
      <c r="C1365" s="8" t="s">
        <v>3127</v>
      </c>
      <c r="D1365" s="8"/>
      <c r="E1365" s="8" t="s">
        <v>3128</v>
      </c>
      <c r="F1365" s="9" t="s">
        <v>3123</v>
      </c>
      <c r="G1365" s="10">
        <v>42794</v>
      </c>
      <c r="H1365" s="8" t="s">
        <v>124</v>
      </c>
      <c r="I1365" s="11" t="s">
        <v>50</v>
      </c>
      <c r="J1365" s="8" t="s">
        <v>2181</v>
      </c>
      <c r="K1365" s="8" t="s">
        <v>2182</v>
      </c>
      <c r="L1365" s="7">
        <v>2016</v>
      </c>
      <c r="M1365" s="8" t="s">
        <v>56</v>
      </c>
      <c r="N1365" s="11"/>
      <c r="O1365" s="8" t="s">
        <v>2184</v>
      </c>
      <c r="P1365" s="8" t="s">
        <v>1691</v>
      </c>
      <c r="Q1365" s="8"/>
      <c r="R1365" s="8"/>
    </row>
    <row r="1366" spans="1:18" ht="26.15" customHeight="1">
      <c r="A1366" s="7">
        <v>1360</v>
      </c>
      <c r="B1366" s="8" t="s">
        <v>4407</v>
      </c>
      <c r="C1366" s="8" t="s">
        <v>3127</v>
      </c>
      <c r="D1366" s="8"/>
      <c r="E1366" s="8" t="s">
        <v>3128</v>
      </c>
      <c r="F1366" s="9" t="s">
        <v>3123</v>
      </c>
      <c r="G1366" s="10">
        <v>42794</v>
      </c>
      <c r="H1366" s="8" t="s">
        <v>124</v>
      </c>
      <c r="I1366" s="11" t="s">
        <v>50</v>
      </c>
      <c r="J1366" s="8" t="s">
        <v>2181</v>
      </c>
      <c r="K1366" s="8" t="s">
        <v>2182</v>
      </c>
      <c r="L1366" s="7">
        <v>2016</v>
      </c>
      <c r="M1366" s="8" t="s">
        <v>56</v>
      </c>
      <c r="N1366" s="11"/>
      <c r="O1366" s="8" t="s">
        <v>2184</v>
      </c>
      <c r="P1366" s="8" t="s">
        <v>1691</v>
      </c>
      <c r="Q1366" s="8"/>
      <c r="R1366" s="8"/>
    </row>
    <row r="1367" spans="1:18" ht="26.15" customHeight="1">
      <c r="A1367" s="7">
        <v>1361</v>
      </c>
      <c r="B1367" s="8" t="s">
        <v>4408</v>
      </c>
      <c r="C1367" s="8" t="s">
        <v>3127</v>
      </c>
      <c r="D1367" s="8"/>
      <c r="E1367" s="8" t="s">
        <v>3128</v>
      </c>
      <c r="F1367" s="9" t="s">
        <v>3123</v>
      </c>
      <c r="G1367" s="10">
        <v>42794</v>
      </c>
      <c r="H1367" s="8" t="s">
        <v>124</v>
      </c>
      <c r="I1367" s="11" t="s">
        <v>50</v>
      </c>
      <c r="J1367" s="8" t="s">
        <v>2181</v>
      </c>
      <c r="K1367" s="8" t="s">
        <v>2182</v>
      </c>
      <c r="L1367" s="7">
        <v>2016</v>
      </c>
      <c r="M1367" s="8" t="s">
        <v>56</v>
      </c>
      <c r="N1367" s="11"/>
      <c r="O1367" s="8" t="s">
        <v>2184</v>
      </c>
      <c r="P1367" s="8" t="s">
        <v>1691</v>
      </c>
      <c r="Q1367" s="8"/>
      <c r="R1367" s="8"/>
    </row>
    <row r="1368" spans="1:18" ht="26.15" customHeight="1">
      <c r="A1368" s="7">
        <v>1362</v>
      </c>
      <c r="B1368" s="8" t="s">
        <v>4409</v>
      </c>
      <c r="C1368" s="8" t="s">
        <v>3127</v>
      </c>
      <c r="D1368" s="8"/>
      <c r="E1368" s="8" t="s">
        <v>3128</v>
      </c>
      <c r="F1368" s="9" t="s">
        <v>3123</v>
      </c>
      <c r="G1368" s="10">
        <v>42794</v>
      </c>
      <c r="H1368" s="8" t="s">
        <v>124</v>
      </c>
      <c r="I1368" s="11" t="s">
        <v>50</v>
      </c>
      <c r="J1368" s="8" t="s">
        <v>2181</v>
      </c>
      <c r="K1368" s="8" t="s">
        <v>2182</v>
      </c>
      <c r="L1368" s="7">
        <v>2016</v>
      </c>
      <c r="M1368" s="8" t="s">
        <v>56</v>
      </c>
      <c r="N1368" s="11"/>
      <c r="O1368" s="8" t="s">
        <v>2184</v>
      </c>
      <c r="P1368" s="8" t="s">
        <v>1691</v>
      </c>
      <c r="Q1368" s="8"/>
      <c r="R1368" s="8"/>
    </row>
    <row r="1369" spans="1:18" ht="26.15" customHeight="1">
      <c r="A1369" s="7">
        <v>1363</v>
      </c>
      <c r="B1369" s="8" t="s">
        <v>4410</v>
      </c>
      <c r="C1369" s="8" t="s">
        <v>3127</v>
      </c>
      <c r="D1369" s="8"/>
      <c r="E1369" s="8" t="s">
        <v>3128</v>
      </c>
      <c r="F1369" s="9" t="s">
        <v>3123</v>
      </c>
      <c r="G1369" s="10">
        <v>42794</v>
      </c>
      <c r="H1369" s="8" t="s">
        <v>124</v>
      </c>
      <c r="I1369" s="11" t="s">
        <v>50</v>
      </c>
      <c r="J1369" s="8" t="s">
        <v>2181</v>
      </c>
      <c r="K1369" s="8" t="s">
        <v>2182</v>
      </c>
      <c r="L1369" s="7">
        <v>2016</v>
      </c>
      <c r="M1369" s="8" t="s">
        <v>56</v>
      </c>
      <c r="N1369" s="11"/>
      <c r="O1369" s="8" t="s">
        <v>2184</v>
      </c>
      <c r="P1369" s="8" t="s">
        <v>1691</v>
      </c>
      <c r="Q1369" s="8"/>
      <c r="R1369" s="8"/>
    </row>
    <row r="1370" spans="1:18" ht="26.15" customHeight="1">
      <c r="A1370" s="7">
        <v>1364</v>
      </c>
      <c r="B1370" s="8" t="s">
        <v>881</v>
      </c>
      <c r="C1370" s="8" t="s">
        <v>3127</v>
      </c>
      <c r="D1370" s="8"/>
      <c r="E1370" s="8" t="s">
        <v>3128</v>
      </c>
      <c r="F1370" s="9" t="s">
        <v>3117</v>
      </c>
      <c r="G1370" s="10">
        <v>42789</v>
      </c>
      <c r="H1370" s="8" t="s">
        <v>34</v>
      </c>
      <c r="I1370" s="11">
        <v>387868</v>
      </c>
      <c r="J1370" s="8" t="s">
        <v>878</v>
      </c>
      <c r="K1370" s="8" t="s">
        <v>879</v>
      </c>
      <c r="L1370" s="7">
        <v>2015</v>
      </c>
      <c r="M1370" s="8" t="s">
        <v>56</v>
      </c>
      <c r="N1370" s="11">
        <v>9059375</v>
      </c>
      <c r="O1370" s="8" t="s">
        <v>883</v>
      </c>
      <c r="P1370" s="8" t="s">
        <v>884</v>
      </c>
      <c r="Q1370" s="8"/>
      <c r="R1370" s="8"/>
    </row>
    <row r="1371" spans="1:18" ht="26.15" customHeight="1">
      <c r="A1371" s="7">
        <v>1365</v>
      </c>
      <c r="B1371" s="8" t="s">
        <v>4411</v>
      </c>
      <c r="C1371" s="8" t="s">
        <v>3127</v>
      </c>
      <c r="D1371" s="8"/>
      <c r="E1371" s="8" t="s">
        <v>3128</v>
      </c>
      <c r="F1371" s="9" t="s">
        <v>3123</v>
      </c>
      <c r="G1371" s="10">
        <v>42789</v>
      </c>
      <c r="H1371" s="8" t="s">
        <v>34</v>
      </c>
      <c r="I1371" s="11">
        <v>387868</v>
      </c>
      <c r="J1371" s="8" t="s">
        <v>878</v>
      </c>
      <c r="K1371" s="8" t="s">
        <v>879</v>
      </c>
      <c r="L1371" s="7">
        <v>2015</v>
      </c>
      <c r="M1371" s="8" t="s">
        <v>56</v>
      </c>
      <c r="N1371" s="11">
        <v>9059375</v>
      </c>
      <c r="O1371" s="8" t="s">
        <v>883</v>
      </c>
      <c r="P1371" s="8" t="s">
        <v>884</v>
      </c>
      <c r="Q1371" s="8"/>
      <c r="R1371" s="8"/>
    </row>
    <row r="1372" spans="1:18" ht="26.15" customHeight="1">
      <c r="A1372" s="7">
        <v>1366</v>
      </c>
      <c r="B1372" s="8" t="s">
        <v>4412</v>
      </c>
      <c r="C1372" s="8" t="s">
        <v>3127</v>
      </c>
      <c r="D1372" s="8"/>
      <c r="E1372" s="8" t="s">
        <v>3128</v>
      </c>
      <c r="F1372" s="9" t="s">
        <v>3123</v>
      </c>
      <c r="G1372" s="10">
        <v>42789</v>
      </c>
      <c r="H1372" s="8" t="s">
        <v>34</v>
      </c>
      <c r="I1372" s="11">
        <v>387868</v>
      </c>
      <c r="J1372" s="8" t="s">
        <v>878</v>
      </c>
      <c r="K1372" s="8" t="s">
        <v>879</v>
      </c>
      <c r="L1372" s="7">
        <v>2015</v>
      </c>
      <c r="M1372" s="8" t="s">
        <v>56</v>
      </c>
      <c r="N1372" s="11">
        <v>9059375</v>
      </c>
      <c r="O1372" s="8" t="s">
        <v>883</v>
      </c>
      <c r="P1372" s="8" t="s">
        <v>884</v>
      </c>
      <c r="Q1372" s="8"/>
      <c r="R1372" s="8"/>
    </row>
    <row r="1373" spans="1:18" ht="26.15" customHeight="1">
      <c r="A1373" s="7">
        <v>1367</v>
      </c>
      <c r="B1373" s="8" t="s">
        <v>4413</v>
      </c>
      <c r="C1373" s="8" t="s">
        <v>3127</v>
      </c>
      <c r="D1373" s="8"/>
      <c r="E1373" s="8" t="s">
        <v>3128</v>
      </c>
      <c r="F1373" s="9" t="s">
        <v>3123</v>
      </c>
      <c r="G1373" s="10">
        <v>42789</v>
      </c>
      <c r="H1373" s="8" t="s">
        <v>34</v>
      </c>
      <c r="I1373" s="11">
        <v>387868</v>
      </c>
      <c r="J1373" s="8" t="s">
        <v>878</v>
      </c>
      <c r="K1373" s="8" t="s">
        <v>879</v>
      </c>
      <c r="L1373" s="7">
        <v>2015</v>
      </c>
      <c r="M1373" s="8" t="s">
        <v>56</v>
      </c>
      <c r="N1373" s="11">
        <v>9059375</v>
      </c>
      <c r="O1373" s="8" t="s">
        <v>883</v>
      </c>
      <c r="P1373" s="8" t="s">
        <v>884</v>
      </c>
      <c r="Q1373" s="8"/>
      <c r="R1373" s="8"/>
    </row>
    <row r="1374" spans="1:18" ht="26.15" customHeight="1">
      <c r="A1374" s="7">
        <v>1368</v>
      </c>
      <c r="B1374" s="8" t="s">
        <v>4414</v>
      </c>
      <c r="C1374" s="8" t="s">
        <v>3114</v>
      </c>
      <c r="D1374" s="8" t="s">
        <v>4415</v>
      </c>
      <c r="E1374" s="8" t="s">
        <v>3116</v>
      </c>
      <c r="F1374" s="9" t="s">
        <v>3123</v>
      </c>
      <c r="G1374" s="10">
        <v>42774</v>
      </c>
      <c r="H1374" s="8" t="s">
        <v>34</v>
      </c>
      <c r="I1374" s="11" t="s">
        <v>50</v>
      </c>
      <c r="J1374" s="8" t="s">
        <v>2189</v>
      </c>
      <c r="K1374" s="8" t="s">
        <v>2190</v>
      </c>
      <c r="L1374" s="7">
        <v>2011</v>
      </c>
      <c r="M1374" s="8" t="s">
        <v>47</v>
      </c>
      <c r="N1374" s="11"/>
      <c r="O1374" s="8" t="s">
        <v>2192</v>
      </c>
      <c r="P1374" s="8" t="s">
        <v>2193</v>
      </c>
      <c r="Q1374" s="8"/>
      <c r="R1374" s="8" t="s">
        <v>4416</v>
      </c>
    </row>
    <row r="1375" spans="1:18" ht="26.15" customHeight="1">
      <c r="A1375" s="7">
        <v>1369</v>
      </c>
      <c r="B1375" s="8" t="s">
        <v>4296</v>
      </c>
      <c r="C1375" s="8" t="s">
        <v>3139</v>
      </c>
      <c r="D1375" s="8" t="s">
        <v>4297</v>
      </c>
      <c r="E1375" s="8" t="s">
        <v>3116</v>
      </c>
      <c r="F1375" s="9" t="s">
        <v>3123</v>
      </c>
      <c r="G1375" s="10">
        <v>42774</v>
      </c>
      <c r="H1375" s="8" t="s">
        <v>34</v>
      </c>
      <c r="I1375" s="11" t="s">
        <v>50</v>
      </c>
      <c r="J1375" s="8" t="s">
        <v>1205</v>
      </c>
      <c r="K1375" s="8" t="s">
        <v>1206</v>
      </c>
      <c r="L1375" s="7">
        <v>2014</v>
      </c>
      <c r="M1375" s="8" t="s">
        <v>39</v>
      </c>
      <c r="N1375" s="11"/>
      <c r="O1375" s="8" t="s">
        <v>1209</v>
      </c>
      <c r="P1375" s="8" t="s">
        <v>1210</v>
      </c>
      <c r="Q1375" s="8"/>
      <c r="R1375" s="8" t="s">
        <v>39</v>
      </c>
    </row>
    <row r="1376" spans="1:18" ht="26.15" customHeight="1">
      <c r="A1376" s="7">
        <v>1370</v>
      </c>
      <c r="B1376" s="8" t="s">
        <v>4417</v>
      </c>
      <c r="C1376" s="8" t="s">
        <v>3114</v>
      </c>
      <c r="D1376" s="8" t="s">
        <v>4418</v>
      </c>
      <c r="E1376" s="8" t="s">
        <v>3116</v>
      </c>
      <c r="F1376" s="9" t="s">
        <v>3123</v>
      </c>
      <c r="G1376" s="10">
        <v>42755</v>
      </c>
      <c r="H1376" s="8" t="s">
        <v>34</v>
      </c>
      <c r="I1376" s="11" t="s">
        <v>50</v>
      </c>
      <c r="J1376" s="8" t="s">
        <v>2198</v>
      </c>
      <c r="K1376" s="8" t="s">
        <v>2199</v>
      </c>
      <c r="L1376" s="7">
        <v>2015</v>
      </c>
      <c r="M1376" s="8" t="s">
        <v>1188</v>
      </c>
      <c r="N1376" s="11"/>
      <c r="O1376" s="8" t="s">
        <v>2201</v>
      </c>
      <c r="P1376" s="8" t="s">
        <v>2202</v>
      </c>
      <c r="Q1376" s="8"/>
      <c r="R1376" s="8" t="s">
        <v>3204</v>
      </c>
    </row>
    <row r="1377" spans="1:18" ht="26.15" customHeight="1">
      <c r="A1377" s="7">
        <v>1371</v>
      </c>
      <c r="B1377" s="8" t="s">
        <v>2206</v>
      </c>
      <c r="C1377" s="8" t="s">
        <v>3139</v>
      </c>
      <c r="D1377" s="8" t="s">
        <v>4419</v>
      </c>
      <c r="E1377" s="8" t="s">
        <v>3116</v>
      </c>
      <c r="F1377" s="9" t="s">
        <v>3117</v>
      </c>
      <c r="G1377" s="10">
        <v>42751</v>
      </c>
      <c r="H1377" s="8" t="s">
        <v>109</v>
      </c>
      <c r="I1377" s="11" t="s">
        <v>50</v>
      </c>
      <c r="J1377" s="8" t="s">
        <v>2203</v>
      </c>
      <c r="K1377" s="8" t="s">
        <v>2204</v>
      </c>
      <c r="L1377" s="7">
        <v>2013</v>
      </c>
      <c r="M1377" s="8" t="s">
        <v>2207</v>
      </c>
      <c r="N1377" s="11">
        <v>450000</v>
      </c>
      <c r="O1377" s="8" t="s">
        <v>2208</v>
      </c>
      <c r="P1377" s="8" t="s">
        <v>2209</v>
      </c>
      <c r="Q1377" s="8"/>
      <c r="R1377" s="8" t="s">
        <v>4420</v>
      </c>
    </row>
    <row r="1378" spans="1:18" ht="26.15" customHeight="1">
      <c r="A1378" s="7">
        <v>1372</v>
      </c>
      <c r="B1378" s="8" t="s">
        <v>4298</v>
      </c>
      <c r="C1378" s="8" t="s">
        <v>3127</v>
      </c>
      <c r="D1378" s="8"/>
      <c r="E1378" s="8" t="s">
        <v>3128</v>
      </c>
      <c r="F1378" s="9" t="s">
        <v>3117</v>
      </c>
      <c r="G1378" s="10">
        <v>42751</v>
      </c>
      <c r="H1378" s="8" t="s">
        <v>124</v>
      </c>
      <c r="I1378" s="11">
        <v>49806</v>
      </c>
      <c r="J1378" s="8" t="s">
        <v>1999</v>
      </c>
      <c r="K1378" s="8" t="s">
        <v>2000</v>
      </c>
      <c r="L1378" s="7">
        <v>2007</v>
      </c>
      <c r="M1378" s="8" t="s">
        <v>313</v>
      </c>
      <c r="N1378" s="11">
        <v>205825</v>
      </c>
      <c r="O1378" s="8" t="s">
        <v>2003</v>
      </c>
      <c r="P1378" s="8" t="s">
        <v>2004</v>
      </c>
      <c r="Q1378" s="8"/>
      <c r="R1378" s="8"/>
    </row>
    <row r="1379" spans="1:18" ht="26.15" customHeight="1">
      <c r="A1379" s="7">
        <v>1373</v>
      </c>
      <c r="B1379" s="8" t="s">
        <v>4299</v>
      </c>
      <c r="C1379" s="8" t="s">
        <v>3127</v>
      </c>
      <c r="D1379" s="8"/>
      <c r="E1379" s="8" t="s">
        <v>3128</v>
      </c>
      <c r="F1379" s="9" t="s">
        <v>3117</v>
      </c>
      <c r="G1379" s="10">
        <v>42751</v>
      </c>
      <c r="H1379" s="8" t="s">
        <v>124</v>
      </c>
      <c r="I1379" s="11">
        <v>49806</v>
      </c>
      <c r="J1379" s="8" t="s">
        <v>1999</v>
      </c>
      <c r="K1379" s="8" t="s">
        <v>2000</v>
      </c>
      <c r="L1379" s="7">
        <v>2007</v>
      </c>
      <c r="M1379" s="8" t="s">
        <v>313</v>
      </c>
      <c r="N1379" s="11">
        <v>205825</v>
      </c>
      <c r="O1379" s="8" t="s">
        <v>2003</v>
      </c>
      <c r="P1379" s="8" t="s">
        <v>2004</v>
      </c>
      <c r="Q1379" s="8"/>
      <c r="R1379" s="8"/>
    </row>
    <row r="1380" spans="1:18" ht="26.15" customHeight="1">
      <c r="A1380" s="7">
        <v>1374</v>
      </c>
      <c r="B1380" s="8" t="s">
        <v>4300</v>
      </c>
      <c r="C1380" s="8" t="s">
        <v>3127</v>
      </c>
      <c r="D1380" s="8"/>
      <c r="E1380" s="8" t="s">
        <v>3128</v>
      </c>
      <c r="F1380" s="9" t="s">
        <v>3117</v>
      </c>
      <c r="G1380" s="10">
        <v>42751</v>
      </c>
      <c r="H1380" s="8" t="s">
        <v>124</v>
      </c>
      <c r="I1380" s="11">
        <v>49806</v>
      </c>
      <c r="J1380" s="8" t="s">
        <v>1999</v>
      </c>
      <c r="K1380" s="8" t="s">
        <v>2000</v>
      </c>
      <c r="L1380" s="7">
        <v>2007</v>
      </c>
      <c r="M1380" s="8" t="s">
        <v>313</v>
      </c>
      <c r="N1380" s="11">
        <v>205825</v>
      </c>
      <c r="O1380" s="8" t="s">
        <v>2003</v>
      </c>
      <c r="P1380" s="8" t="s">
        <v>2004</v>
      </c>
      <c r="Q1380" s="8"/>
      <c r="R1380" s="8"/>
    </row>
    <row r="1381" spans="1:18" ht="26.15" customHeight="1">
      <c r="A1381" s="7">
        <v>1375</v>
      </c>
      <c r="B1381" s="8" t="s">
        <v>2212</v>
      </c>
      <c r="C1381" s="8" t="s">
        <v>3139</v>
      </c>
      <c r="D1381" s="8" t="s">
        <v>4421</v>
      </c>
      <c r="E1381" s="8" t="s">
        <v>3116</v>
      </c>
      <c r="F1381" s="9" t="s">
        <v>3117</v>
      </c>
      <c r="G1381" s="10">
        <v>42741</v>
      </c>
      <c r="H1381" s="8" t="s">
        <v>34</v>
      </c>
      <c r="I1381" s="11" t="s">
        <v>50</v>
      </c>
      <c r="J1381" s="8" t="s">
        <v>749</v>
      </c>
      <c r="K1381" s="8" t="s">
        <v>750</v>
      </c>
      <c r="L1381" s="7">
        <v>2012</v>
      </c>
      <c r="M1381" s="8" t="s">
        <v>79</v>
      </c>
      <c r="N1381" s="11">
        <v>2740519</v>
      </c>
      <c r="O1381" s="8" t="s">
        <v>751</v>
      </c>
      <c r="P1381" s="8" t="s">
        <v>752</v>
      </c>
      <c r="Q1381" s="8"/>
      <c r="R1381" s="8" t="s">
        <v>188</v>
      </c>
    </row>
    <row r="1382" spans="1:18" ht="26.15" customHeight="1">
      <c r="A1382" s="7">
        <v>1376</v>
      </c>
      <c r="B1382" s="8" t="s">
        <v>4126</v>
      </c>
      <c r="C1382" s="8" t="s">
        <v>3114</v>
      </c>
      <c r="D1382" s="8" t="s">
        <v>4127</v>
      </c>
      <c r="E1382" s="8" t="s">
        <v>3116</v>
      </c>
      <c r="F1382" s="9" t="s">
        <v>3117</v>
      </c>
      <c r="G1382" s="10">
        <v>42740</v>
      </c>
      <c r="H1382" s="8" t="s">
        <v>25</v>
      </c>
      <c r="I1382" s="11">
        <v>14383400</v>
      </c>
      <c r="J1382" s="8" t="s">
        <v>1748</v>
      </c>
      <c r="K1382" s="8" t="s">
        <v>1749</v>
      </c>
      <c r="L1382" s="7">
        <v>2014</v>
      </c>
      <c r="M1382" s="8" t="s">
        <v>1222</v>
      </c>
      <c r="N1382" s="11">
        <v>14470000</v>
      </c>
      <c r="O1382" s="8" t="s">
        <v>1752</v>
      </c>
      <c r="P1382" s="8" t="s">
        <v>1753</v>
      </c>
      <c r="Q1382" s="8"/>
      <c r="R1382" s="8" t="s">
        <v>1215</v>
      </c>
    </row>
    <row r="1383" spans="1:18" ht="26.15" customHeight="1">
      <c r="A1383" s="7">
        <v>1377</v>
      </c>
      <c r="B1383" s="8" t="s">
        <v>4130</v>
      </c>
      <c r="C1383" s="8" t="s">
        <v>3114</v>
      </c>
      <c r="D1383" s="8" t="s">
        <v>4131</v>
      </c>
      <c r="E1383" s="8" t="s">
        <v>3116</v>
      </c>
      <c r="F1383" s="9" t="s">
        <v>3123</v>
      </c>
      <c r="G1383" s="10">
        <v>42740</v>
      </c>
      <c r="H1383" s="8" t="s">
        <v>25</v>
      </c>
      <c r="I1383" s="11">
        <v>14383400</v>
      </c>
      <c r="J1383" s="8" t="s">
        <v>1748</v>
      </c>
      <c r="K1383" s="8" t="s">
        <v>1749</v>
      </c>
      <c r="L1383" s="7">
        <v>2014</v>
      </c>
      <c r="M1383" s="8" t="s">
        <v>1222</v>
      </c>
      <c r="N1383" s="11">
        <v>14470000</v>
      </c>
      <c r="O1383" s="8" t="s">
        <v>1752</v>
      </c>
      <c r="P1383" s="8" t="s">
        <v>1753</v>
      </c>
      <c r="Q1383" s="8"/>
      <c r="R1383" s="8" t="s">
        <v>278</v>
      </c>
    </row>
    <row r="1384" spans="1:18" ht="26.15" customHeight="1">
      <c r="A1384" s="7">
        <v>1378</v>
      </c>
      <c r="B1384" s="8" t="s">
        <v>2418</v>
      </c>
      <c r="C1384" s="8" t="s">
        <v>3114</v>
      </c>
      <c r="D1384" s="8" t="s">
        <v>4132</v>
      </c>
      <c r="E1384" s="8" t="s">
        <v>3116</v>
      </c>
      <c r="F1384" s="9" t="s">
        <v>3117</v>
      </c>
      <c r="G1384" s="10">
        <v>42740</v>
      </c>
      <c r="H1384" s="8" t="s">
        <v>25</v>
      </c>
      <c r="I1384" s="11">
        <v>14383400</v>
      </c>
      <c r="J1384" s="8" t="s">
        <v>1748</v>
      </c>
      <c r="K1384" s="8" t="s">
        <v>1749</v>
      </c>
      <c r="L1384" s="7">
        <v>2014</v>
      </c>
      <c r="M1384" s="8" t="s">
        <v>1222</v>
      </c>
      <c r="N1384" s="11">
        <v>14470000</v>
      </c>
      <c r="O1384" s="8" t="s">
        <v>1752</v>
      </c>
      <c r="P1384" s="8" t="s">
        <v>1753</v>
      </c>
      <c r="Q1384" s="8"/>
      <c r="R1384" s="8" t="s">
        <v>278</v>
      </c>
    </row>
    <row r="1385" spans="1:18" ht="26.15" customHeight="1">
      <c r="A1385" s="7">
        <v>1379</v>
      </c>
      <c r="B1385" s="8" t="s">
        <v>4088</v>
      </c>
      <c r="C1385" s="8" t="s">
        <v>3114</v>
      </c>
      <c r="D1385" s="8" t="s">
        <v>4089</v>
      </c>
      <c r="E1385" s="8" t="s">
        <v>3116</v>
      </c>
      <c r="F1385" s="9" t="s">
        <v>3123</v>
      </c>
      <c r="G1385" s="10">
        <v>42740</v>
      </c>
      <c r="H1385" s="8" t="s">
        <v>25</v>
      </c>
      <c r="I1385" s="11">
        <v>14383400</v>
      </c>
      <c r="J1385" s="8" t="s">
        <v>1748</v>
      </c>
      <c r="K1385" s="8" t="s">
        <v>1749</v>
      </c>
      <c r="L1385" s="7">
        <v>2014</v>
      </c>
      <c r="M1385" s="8" t="s">
        <v>1222</v>
      </c>
      <c r="N1385" s="11">
        <v>14470000</v>
      </c>
      <c r="O1385" s="8" t="s">
        <v>1752</v>
      </c>
      <c r="P1385" s="8" t="s">
        <v>1753</v>
      </c>
      <c r="Q1385" s="8"/>
      <c r="R1385" s="8" t="s">
        <v>278</v>
      </c>
    </row>
    <row r="1386" spans="1:18" ht="26.15" customHeight="1">
      <c r="A1386" s="7">
        <v>1380</v>
      </c>
      <c r="B1386" s="8" t="s">
        <v>4422</v>
      </c>
      <c r="C1386" s="8" t="s">
        <v>3114</v>
      </c>
      <c r="D1386" s="8" t="s">
        <v>4423</v>
      </c>
      <c r="E1386" s="8" t="s">
        <v>3116</v>
      </c>
      <c r="F1386" s="9" t="s">
        <v>3123</v>
      </c>
      <c r="G1386" s="10">
        <v>42740</v>
      </c>
      <c r="H1386" s="8" t="s">
        <v>25</v>
      </c>
      <c r="I1386" s="11">
        <v>14383400</v>
      </c>
      <c r="J1386" s="8" t="s">
        <v>1748</v>
      </c>
      <c r="K1386" s="8" t="s">
        <v>1749</v>
      </c>
      <c r="L1386" s="7">
        <v>2014</v>
      </c>
      <c r="M1386" s="8" t="s">
        <v>1222</v>
      </c>
      <c r="N1386" s="11">
        <v>14470000</v>
      </c>
      <c r="O1386" s="8" t="s">
        <v>1752</v>
      </c>
      <c r="P1386" s="8" t="s">
        <v>1753</v>
      </c>
      <c r="Q1386" s="8"/>
      <c r="R1386" s="8" t="s">
        <v>278</v>
      </c>
    </row>
    <row r="1387" spans="1:18" ht="26.15" customHeight="1">
      <c r="A1387" s="7">
        <v>1381</v>
      </c>
      <c r="B1387" s="8" t="s">
        <v>4424</v>
      </c>
      <c r="C1387" s="8" t="s">
        <v>3139</v>
      </c>
      <c r="D1387" s="8" t="s">
        <v>4425</v>
      </c>
      <c r="E1387" s="8" t="s">
        <v>3116</v>
      </c>
      <c r="F1387" s="9" t="s">
        <v>3123</v>
      </c>
      <c r="G1387" s="10">
        <v>42740</v>
      </c>
      <c r="H1387" s="8" t="s">
        <v>25</v>
      </c>
      <c r="I1387" s="11">
        <v>14383400</v>
      </c>
      <c r="J1387" s="8" t="s">
        <v>1748</v>
      </c>
      <c r="K1387" s="8" t="s">
        <v>1749</v>
      </c>
      <c r="L1387" s="7">
        <v>2014</v>
      </c>
      <c r="M1387" s="8" t="s">
        <v>1222</v>
      </c>
      <c r="N1387" s="11">
        <v>14470000</v>
      </c>
      <c r="O1387" s="8" t="s">
        <v>1752</v>
      </c>
      <c r="P1387" s="8" t="s">
        <v>1753</v>
      </c>
      <c r="Q1387" s="8"/>
      <c r="R1387" s="8" t="s">
        <v>1732</v>
      </c>
    </row>
    <row r="1388" spans="1:18" ht="26.15" customHeight="1">
      <c r="A1388" s="7">
        <v>1382</v>
      </c>
      <c r="B1388" s="8" t="s">
        <v>4426</v>
      </c>
      <c r="C1388" s="8" t="s">
        <v>3114</v>
      </c>
      <c r="D1388" s="8" t="s">
        <v>4427</v>
      </c>
      <c r="E1388" s="8" t="s">
        <v>3116</v>
      </c>
      <c r="F1388" s="9" t="s">
        <v>3123</v>
      </c>
      <c r="G1388" s="10">
        <v>42736</v>
      </c>
      <c r="H1388" s="8" t="s">
        <v>124</v>
      </c>
      <c r="I1388" s="11">
        <v>434828</v>
      </c>
      <c r="J1388" s="8" t="s">
        <v>2215</v>
      </c>
      <c r="K1388" s="8" t="s">
        <v>2216</v>
      </c>
      <c r="L1388" s="7">
        <v>2015</v>
      </c>
      <c r="M1388" s="8" t="s">
        <v>278</v>
      </c>
      <c r="N1388" s="11">
        <v>434828</v>
      </c>
      <c r="O1388" s="8" t="s">
        <v>2218</v>
      </c>
      <c r="P1388" s="8" t="s">
        <v>2219</v>
      </c>
      <c r="Q1388" s="8"/>
      <c r="R1388" s="8" t="s">
        <v>157</v>
      </c>
    </row>
    <row r="1389" spans="1:18" ht="26.15" customHeight="1">
      <c r="A1389" s="7">
        <v>1383</v>
      </c>
      <c r="B1389" s="8" t="s">
        <v>2223</v>
      </c>
      <c r="C1389" s="8"/>
      <c r="D1389" s="8" t="s">
        <v>4428</v>
      </c>
      <c r="E1389" s="8" t="s">
        <v>3116</v>
      </c>
      <c r="F1389" s="9" t="s">
        <v>3117</v>
      </c>
      <c r="G1389" s="10">
        <v>42736</v>
      </c>
      <c r="H1389" s="8" t="s">
        <v>109</v>
      </c>
      <c r="I1389" s="11">
        <v>4000000</v>
      </c>
      <c r="J1389" s="8" t="s">
        <v>2220</v>
      </c>
      <c r="K1389" s="8" t="s">
        <v>2221</v>
      </c>
      <c r="L1389" s="7">
        <v>2007</v>
      </c>
      <c r="M1389" s="8" t="s">
        <v>313</v>
      </c>
      <c r="N1389" s="11">
        <v>4000000</v>
      </c>
      <c r="O1389" s="8" t="s">
        <v>2224</v>
      </c>
      <c r="P1389" s="8" t="s">
        <v>2225</v>
      </c>
      <c r="Q1389" s="8"/>
      <c r="R1389" s="8" t="s">
        <v>313</v>
      </c>
    </row>
    <row r="1390" spans="1:18" ht="26.15" customHeight="1">
      <c r="A1390" s="7">
        <v>1384</v>
      </c>
      <c r="B1390" s="8" t="s">
        <v>1467</v>
      </c>
      <c r="C1390" s="8" t="s">
        <v>3114</v>
      </c>
      <c r="D1390" s="8" t="s">
        <v>3196</v>
      </c>
      <c r="E1390" s="8" t="s">
        <v>3116</v>
      </c>
      <c r="F1390" s="9" t="s">
        <v>3117</v>
      </c>
      <c r="G1390" s="10">
        <v>42725</v>
      </c>
      <c r="H1390" s="8" t="s">
        <v>34</v>
      </c>
      <c r="I1390" s="11">
        <v>323451</v>
      </c>
      <c r="J1390" s="8" t="s">
        <v>217</v>
      </c>
      <c r="K1390" s="8" t="s">
        <v>218</v>
      </c>
      <c r="L1390" s="7">
        <v>2015</v>
      </c>
      <c r="M1390" s="8" t="s">
        <v>79</v>
      </c>
      <c r="N1390" s="11">
        <v>2569628</v>
      </c>
      <c r="O1390" s="8" t="s">
        <v>221</v>
      </c>
      <c r="P1390" s="8" t="s">
        <v>222</v>
      </c>
      <c r="Q1390" s="8"/>
      <c r="R1390" s="8" t="s">
        <v>313</v>
      </c>
    </row>
    <row r="1391" spans="1:18" ht="26.15" customHeight="1">
      <c r="A1391" s="7">
        <v>1385</v>
      </c>
      <c r="B1391" s="8" t="s">
        <v>4429</v>
      </c>
      <c r="C1391" s="8" t="s">
        <v>3127</v>
      </c>
      <c r="D1391" s="8"/>
      <c r="E1391" s="8" t="s">
        <v>3128</v>
      </c>
      <c r="F1391" s="9" t="s">
        <v>3117</v>
      </c>
      <c r="G1391" s="10">
        <v>42705</v>
      </c>
      <c r="H1391" s="8" t="s">
        <v>124</v>
      </c>
      <c r="I1391" s="11">
        <v>714881</v>
      </c>
      <c r="J1391" s="8" t="s">
        <v>1946</v>
      </c>
      <c r="K1391" s="8" t="s">
        <v>1947</v>
      </c>
      <c r="L1391" s="7">
        <v>2015</v>
      </c>
      <c r="M1391" s="8" t="s">
        <v>79</v>
      </c>
      <c r="N1391" s="11">
        <v>10693115</v>
      </c>
      <c r="O1391" s="8" t="s">
        <v>1951</v>
      </c>
      <c r="P1391" s="8" t="s">
        <v>1952</v>
      </c>
      <c r="Q1391" s="8"/>
      <c r="R1391" s="8"/>
    </row>
    <row r="1392" spans="1:18" ht="26.15" customHeight="1">
      <c r="A1392" s="7">
        <v>1386</v>
      </c>
      <c r="B1392" s="8" t="s">
        <v>4430</v>
      </c>
      <c r="C1392" s="8" t="s">
        <v>3127</v>
      </c>
      <c r="D1392" s="8"/>
      <c r="E1392" s="8" t="s">
        <v>3128</v>
      </c>
      <c r="F1392" s="9" t="s">
        <v>3117</v>
      </c>
      <c r="G1392" s="10">
        <v>42705</v>
      </c>
      <c r="H1392" s="8" t="s">
        <v>124</v>
      </c>
      <c r="I1392" s="11">
        <v>714881</v>
      </c>
      <c r="J1392" s="8" t="s">
        <v>1946</v>
      </c>
      <c r="K1392" s="8" t="s">
        <v>1947</v>
      </c>
      <c r="L1392" s="7">
        <v>2015</v>
      </c>
      <c r="M1392" s="8" t="s">
        <v>79</v>
      </c>
      <c r="N1392" s="11">
        <v>10693115</v>
      </c>
      <c r="O1392" s="8" t="s">
        <v>1951</v>
      </c>
      <c r="P1392" s="8" t="s">
        <v>1952</v>
      </c>
      <c r="Q1392" s="8"/>
      <c r="R1392" s="8"/>
    </row>
    <row r="1393" spans="1:18" ht="26.15" customHeight="1">
      <c r="A1393" s="7">
        <v>1387</v>
      </c>
      <c r="B1393" s="8" t="s">
        <v>4431</v>
      </c>
      <c r="C1393" s="8" t="s">
        <v>3127</v>
      </c>
      <c r="D1393" s="8"/>
      <c r="E1393" s="8" t="s">
        <v>3128</v>
      </c>
      <c r="F1393" s="9" t="s">
        <v>3123</v>
      </c>
      <c r="G1393" s="10">
        <v>42705</v>
      </c>
      <c r="H1393" s="8" t="s">
        <v>124</v>
      </c>
      <c r="I1393" s="11">
        <v>714881</v>
      </c>
      <c r="J1393" s="8" t="s">
        <v>1946</v>
      </c>
      <c r="K1393" s="8" t="s">
        <v>1947</v>
      </c>
      <c r="L1393" s="7">
        <v>2015</v>
      </c>
      <c r="M1393" s="8" t="s">
        <v>79</v>
      </c>
      <c r="N1393" s="11">
        <v>10693115</v>
      </c>
      <c r="O1393" s="8" t="s">
        <v>1951</v>
      </c>
      <c r="P1393" s="8" t="s">
        <v>1952</v>
      </c>
      <c r="Q1393" s="8"/>
      <c r="R1393" s="8"/>
    </row>
    <row r="1394" spans="1:18" ht="26.15" customHeight="1">
      <c r="A1394" s="7">
        <v>1388</v>
      </c>
      <c r="B1394" s="8" t="s">
        <v>4432</v>
      </c>
      <c r="C1394" s="8" t="s">
        <v>3127</v>
      </c>
      <c r="D1394" s="8"/>
      <c r="E1394" s="8" t="s">
        <v>3128</v>
      </c>
      <c r="F1394" s="9" t="s">
        <v>3123</v>
      </c>
      <c r="G1394" s="10">
        <v>42705</v>
      </c>
      <c r="H1394" s="8" t="s">
        <v>124</v>
      </c>
      <c r="I1394" s="11">
        <v>714881</v>
      </c>
      <c r="J1394" s="8" t="s">
        <v>1946</v>
      </c>
      <c r="K1394" s="8" t="s">
        <v>1947</v>
      </c>
      <c r="L1394" s="7">
        <v>2015</v>
      </c>
      <c r="M1394" s="8" t="s">
        <v>79</v>
      </c>
      <c r="N1394" s="11">
        <v>10693115</v>
      </c>
      <c r="O1394" s="8" t="s">
        <v>1951</v>
      </c>
      <c r="P1394" s="8" t="s">
        <v>1952</v>
      </c>
      <c r="Q1394" s="8"/>
      <c r="R1394" s="8"/>
    </row>
    <row r="1395" spans="1:18" ht="26.15" customHeight="1">
      <c r="A1395" s="7">
        <v>1389</v>
      </c>
      <c r="B1395" s="8" t="s">
        <v>4433</v>
      </c>
      <c r="C1395" s="8" t="s">
        <v>3127</v>
      </c>
      <c r="D1395" s="8"/>
      <c r="E1395" s="8" t="s">
        <v>3128</v>
      </c>
      <c r="F1395" s="9" t="s">
        <v>3123</v>
      </c>
      <c r="G1395" s="10">
        <v>42705</v>
      </c>
      <c r="H1395" s="8" t="s">
        <v>124</v>
      </c>
      <c r="I1395" s="11">
        <v>714881</v>
      </c>
      <c r="J1395" s="8" t="s">
        <v>1946</v>
      </c>
      <c r="K1395" s="8" t="s">
        <v>1947</v>
      </c>
      <c r="L1395" s="7">
        <v>2015</v>
      </c>
      <c r="M1395" s="8" t="s">
        <v>79</v>
      </c>
      <c r="N1395" s="11">
        <v>10693115</v>
      </c>
      <c r="O1395" s="8" t="s">
        <v>1951</v>
      </c>
      <c r="P1395" s="8" t="s">
        <v>1952</v>
      </c>
      <c r="Q1395" s="8"/>
      <c r="R1395" s="8"/>
    </row>
    <row r="1396" spans="1:18" ht="26.15" customHeight="1">
      <c r="A1396" s="7">
        <v>1390</v>
      </c>
      <c r="B1396" s="8" t="s">
        <v>4434</v>
      </c>
      <c r="C1396" s="8" t="s">
        <v>3127</v>
      </c>
      <c r="D1396" s="8"/>
      <c r="E1396" s="8" t="s">
        <v>3128</v>
      </c>
      <c r="F1396" s="9" t="s">
        <v>3123</v>
      </c>
      <c r="G1396" s="10">
        <v>42705</v>
      </c>
      <c r="H1396" s="8" t="s">
        <v>124</v>
      </c>
      <c r="I1396" s="11">
        <v>714881</v>
      </c>
      <c r="J1396" s="8" t="s">
        <v>1946</v>
      </c>
      <c r="K1396" s="8" t="s">
        <v>1947</v>
      </c>
      <c r="L1396" s="7">
        <v>2015</v>
      </c>
      <c r="M1396" s="8" t="s">
        <v>79</v>
      </c>
      <c r="N1396" s="11">
        <v>10693115</v>
      </c>
      <c r="O1396" s="8" t="s">
        <v>1951</v>
      </c>
      <c r="P1396" s="8" t="s">
        <v>1952</v>
      </c>
      <c r="Q1396" s="8"/>
      <c r="R1396" s="8"/>
    </row>
    <row r="1397" spans="1:18" ht="26.15" customHeight="1">
      <c r="A1397" s="7">
        <v>1391</v>
      </c>
      <c r="B1397" s="8" t="s">
        <v>4435</v>
      </c>
      <c r="C1397" s="8" t="s">
        <v>3127</v>
      </c>
      <c r="D1397" s="8"/>
      <c r="E1397" s="8" t="s">
        <v>3128</v>
      </c>
      <c r="F1397" s="9" t="s">
        <v>3123</v>
      </c>
      <c r="G1397" s="10">
        <v>42705</v>
      </c>
      <c r="H1397" s="8" t="s">
        <v>124</v>
      </c>
      <c r="I1397" s="11">
        <v>714881</v>
      </c>
      <c r="J1397" s="8" t="s">
        <v>1946</v>
      </c>
      <c r="K1397" s="8" t="s">
        <v>1947</v>
      </c>
      <c r="L1397" s="7">
        <v>2015</v>
      </c>
      <c r="M1397" s="8" t="s">
        <v>79</v>
      </c>
      <c r="N1397" s="11">
        <v>10693115</v>
      </c>
      <c r="O1397" s="8" t="s">
        <v>1951</v>
      </c>
      <c r="P1397" s="8" t="s">
        <v>1952</v>
      </c>
      <c r="Q1397" s="8"/>
      <c r="R1397" s="8"/>
    </row>
    <row r="1398" spans="1:18" ht="26.15" customHeight="1">
      <c r="A1398" s="7">
        <v>1392</v>
      </c>
      <c r="B1398" s="8" t="s">
        <v>4436</v>
      </c>
      <c r="C1398" s="8" t="s">
        <v>3127</v>
      </c>
      <c r="D1398" s="8"/>
      <c r="E1398" s="8" t="s">
        <v>3128</v>
      </c>
      <c r="F1398" s="9" t="s">
        <v>3123</v>
      </c>
      <c r="G1398" s="10">
        <v>42705</v>
      </c>
      <c r="H1398" s="8" t="s">
        <v>124</v>
      </c>
      <c r="I1398" s="11">
        <v>714881</v>
      </c>
      <c r="J1398" s="8" t="s">
        <v>1946</v>
      </c>
      <c r="K1398" s="8" t="s">
        <v>1947</v>
      </c>
      <c r="L1398" s="7">
        <v>2015</v>
      </c>
      <c r="M1398" s="8" t="s">
        <v>79</v>
      </c>
      <c r="N1398" s="11">
        <v>10693115</v>
      </c>
      <c r="O1398" s="8" t="s">
        <v>1951</v>
      </c>
      <c r="P1398" s="8" t="s">
        <v>1952</v>
      </c>
      <c r="Q1398" s="8"/>
      <c r="R1398" s="8"/>
    </row>
    <row r="1399" spans="1:18" ht="26.15" customHeight="1">
      <c r="A1399" s="7">
        <v>1393</v>
      </c>
      <c r="B1399" s="8" t="s">
        <v>4437</v>
      </c>
      <c r="C1399" s="8" t="s">
        <v>3127</v>
      </c>
      <c r="D1399" s="8"/>
      <c r="E1399" s="8" t="s">
        <v>3128</v>
      </c>
      <c r="F1399" s="9" t="s">
        <v>3123</v>
      </c>
      <c r="G1399" s="10">
        <v>42705</v>
      </c>
      <c r="H1399" s="8" t="s">
        <v>124</v>
      </c>
      <c r="I1399" s="11">
        <v>714881</v>
      </c>
      <c r="J1399" s="8" t="s">
        <v>1946</v>
      </c>
      <c r="K1399" s="8" t="s">
        <v>1947</v>
      </c>
      <c r="L1399" s="7">
        <v>2015</v>
      </c>
      <c r="M1399" s="8" t="s">
        <v>79</v>
      </c>
      <c r="N1399" s="11">
        <v>10693115</v>
      </c>
      <c r="O1399" s="8" t="s">
        <v>1951</v>
      </c>
      <c r="P1399" s="8" t="s">
        <v>1952</v>
      </c>
      <c r="Q1399" s="8"/>
      <c r="R1399" s="8"/>
    </row>
    <row r="1400" spans="1:18" ht="26.15" customHeight="1">
      <c r="A1400" s="7">
        <v>1394</v>
      </c>
      <c r="B1400" s="8" t="s">
        <v>4438</v>
      </c>
      <c r="C1400" s="8" t="s">
        <v>3127</v>
      </c>
      <c r="D1400" s="8"/>
      <c r="E1400" s="8" t="s">
        <v>3128</v>
      </c>
      <c r="F1400" s="9" t="s">
        <v>3123</v>
      </c>
      <c r="G1400" s="10">
        <v>42705</v>
      </c>
      <c r="H1400" s="8" t="s">
        <v>124</v>
      </c>
      <c r="I1400" s="11">
        <v>714881</v>
      </c>
      <c r="J1400" s="8" t="s">
        <v>1946</v>
      </c>
      <c r="K1400" s="8" t="s">
        <v>1947</v>
      </c>
      <c r="L1400" s="7">
        <v>2015</v>
      </c>
      <c r="M1400" s="8" t="s">
        <v>79</v>
      </c>
      <c r="N1400" s="11">
        <v>10693115</v>
      </c>
      <c r="O1400" s="8" t="s">
        <v>1951</v>
      </c>
      <c r="P1400" s="8" t="s">
        <v>1952</v>
      </c>
      <c r="Q1400" s="8"/>
      <c r="R1400" s="8"/>
    </row>
    <row r="1401" spans="1:18" ht="26.15" customHeight="1">
      <c r="A1401" s="7">
        <v>1395</v>
      </c>
      <c r="B1401" s="8" t="s">
        <v>4439</v>
      </c>
      <c r="C1401" s="8"/>
      <c r="D1401" s="8" t="s">
        <v>4440</v>
      </c>
      <c r="E1401" s="8" t="s">
        <v>3116</v>
      </c>
      <c r="F1401" s="9" t="s">
        <v>3123</v>
      </c>
      <c r="G1401" s="10">
        <v>42705</v>
      </c>
      <c r="H1401" s="8" t="s">
        <v>109</v>
      </c>
      <c r="I1401" s="11" t="s">
        <v>50</v>
      </c>
      <c r="J1401" s="8" t="s">
        <v>2232</v>
      </c>
      <c r="K1401" s="8" t="s">
        <v>2233</v>
      </c>
      <c r="L1401" s="7">
        <v>1980</v>
      </c>
      <c r="M1401" s="8" t="s">
        <v>1588</v>
      </c>
      <c r="N1401" s="11"/>
      <c r="O1401" s="8" t="s">
        <v>2235</v>
      </c>
      <c r="P1401" s="8" t="s">
        <v>2236</v>
      </c>
      <c r="Q1401" s="8"/>
      <c r="R1401" s="8" t="s">
        <v>4441</v>
      </c>
    </row>
    <row r="1402" spans="1:18" ht="26.15" customHeight="1">
      <c r="A1402" s="7">
        <v>1396</v>
      </c>
      <c r="B1402" s="8" t="s">
        <v>4442</v>
      </c>
      <c r="C1402" s="8" t="s">
        <v>3139</v>
      </c>
      <c r="D1402" s="8" t="s">
        <v>4443</v>
      </c>
      <c r="E1402" s="8" t="s">
        <v>3116</v>
      </c>
      <c r="F1402" s="9" t="s">
        <v>3123</v>
      </c>
      <c r="G1402" s="10">
        <v>42695</v>
      </c>
      <c r="H1402" s="8" t="s">
        <v>109</v>
      </c>
      <c r="I1402" s="11">
        <v>1800000</v>
      </c>
      <c r="J1402" s="8" t="s">
        <v>2237</v>
      </c>
      <c r="K1402" s="8" t="s">
        <v>2238</v>
      </c>
      <c r="L1402" s="7">
        <v>2014</v>
      </c>
      <c r="M1402" s="8" t="s">
        <v>278</v>
      </c>
      <c r="N1402" s="11">
        <v>1800000</v>
      </c>
      <c r="O1402" s="8" t="s">
        <v>2240</v>
      </c>
      <c r="P1402" s="8" t="s">
        <v>2241</v>
      </c>
      <c r="Q1402" s="8"/>
      <c r="R1402" s="8" t="s">
        <v>333</v>
      </c>
    </row>
    <row r="1403" spans="1:18" ht="26.15" customHeight="1">
      <c r="A1403" s="7">
        <v>1397</v>
      </c>
      <c r="B1403" s="8" t="s">
        <v>2243</v>
      </c>
      <c r="C1403" s="8" t="s">
        <v>3127</v>
      </c>
      <c r="D1403" s="8"/>
      <c r="E1403" s="8" t="s">
        <v>3128</v>
      </c>
      <c r="F1403" s="9" t="s">
        <v>3117</v>
      </c>
      <c r="G1403" s="10">
        <v>42684</v>
      </c>
      <c r="H1403" s="8" t="s">
        <v>124</v>
      </c>
      <c r="I1403" s="11">
        <v>145349</v>
      </c>
      <c r="J1403" s="8" t="s">
        <v>404</v>
      </c>
      <c r="K1403" s="8" t="s">
        <v>405</v>
      </c>
      <c r="L1403" s="7">
        <v>2016</v>
      </c>
      <c r="M1403" s="8" t="s">
        <v>79</v>
      </c>
      <c r="N1403" s="11">
        <v>8750809</v>
      </c>
      <c r="O1403" s="8" t="s">
        <v>408</v>
      </c>
      <c r="P1403" s="8" t="s">
        <v>409</v>
      </c>
      <c r="Q1403" s="8"/>
      <c r="R1403" s="8"/>
    </row>
    <row r="1404" spans="1:18" ht="26.15" customHeight="1">
      <c r="A1404" s="7">
        <v>1398</v>
      </c>
      <c r="B1404" s="8" t="s">
        <v>4056</v>
      </c>
      <c r="C1404" s="8" t="s">
        <v>3127</v>
      </c>
      <c r="D1404" s="8"/>
      <c r="E1404" s="8" t="s">
        <v>3128</v>
      </c>
      <c r="F1404" s="9" t="s">
        <v>3123</v>
      </c>
      <c r="G1404" s="10">
        <v>42684</v>
      </c>
      <c r="H1404" s="8" t="s">
        <v>124</v>
      </c>
      <c r="I1404" s="11">
        <v>145349</v>
      </c>
      <c r="J1404" s="8" t="s">
        <v>404</v>
      </c>
      <c r="K1404" s="8" t="s">
        <v>405</v>
      </c>
      <c r="L1404" s="7">
        <v>2016</v>
      </c>
      <c r="M1404" s="8" t="s">
        <v>79</v>
      </c>
      <c r="N1404" s="11">
        <v>8750809</v>
      </c>
      <c r="O1404" s="8" t="s">
        <v>408</v>
      </c>
      <c r="P1404" s="8" t="s">
        <v>409</v>
      </c>
      <c r="Q1404" s="8"/>
      <c r="R1404" s="8"/>
    </row>
    <row r="1405" spans="1:18" ht="26.15" customHeight="1">
      <c r="A1405" s="7">
        <v>1399</v>
      </c>
      <c r="B1405" s="8" t="s">
        <v>4444</v>
      </c>
      <c r="C1405" s="8" t="s">
        <v>3127</v>
      </c>
      <c r="D1405" s="8"/>
      <c r="E1405" s="8" t="s">
        <v>3128</v>
      </c>
      <c r="F1405" s="9" t="s">
        <v>3123</v>
      </c>
      <c r="G1405" s="10">
        <v>42684</v>
      </c>
      <c r="H1405" s="8" t="s">
        <v>124</v>
      </c>
      <c r="I1405" s="11">
        <v>145349</v>
      </c>
      <c r="J1405" s="8" t="s">
        <v>404</v>
      </c>
      <c r="K1405" s="8" t="s">
        <v>405</v>
      </c>
      <c r="L1405" s="7">
        <v>2016</v>
      </c>
      <c r="M1405" s="8" t="s">
        <v>79</v>
      </c>
      <c r="N1405" s="11">
        <v>8750809</v>
      </c>
      <c r="O1405" s="8" t="s">
        <v>408</v>
      </c>
      <c r="P1405" s="8" t="s">
        <v>409</v>
      </c>
      <c r="Q1405" s="8"/>
      <c r="R1405" s="8"/>
    </row>
    <row r="1406" spans="1:18" ht="26.15" customHeight="1">
      <c r="A1406" s="7">
        <v>1400</v>
      </c>
      <c r="B1406" s="8" t="s">
        <v>4445</v>
      </c>
      <c r="C1406" s="8" t="s">
        <v>3127</v>
      </c>
      <c r="D1406" s="8"/>
      <c r="E1406" s="8" t="s">
        <v>3128</v>
      </c>
      <c r="F1406" s="9" t="s">
        <v>3123</v>
      </c>
      <c r="G1406" s="10">
        <v>42684</v>
      </c>
      <c r="H1406" s="8" t="s">
        <v>124</v>
      </c>
      <c r="I1406" s="11">
        <v>145349</v>
      </c>
      <c r="J1406" s="8" t="s">
        <v>404</v>
      </c>
      <c r="K1406" s="8" t="s">
        <v>405</v>
      </c>
      <c r="L1406" s="7">
        <v>2016</v>
      </c>
      <c r="M1406" s="8" t="s">
        <v>79</v>
      </c>
      <c r="N1406" s="11">
        <v>8750809</v>
      </c>
      <c r="O1406" s="8" t="s">
        <v>408</v>
      </c>
      <c r="P1406" s="8" t="s">
        <v>409</v>
      </c>
      <c r="Q1406" s="8"/>
      <c r="R1406" s="8"/>
    </row>
    <row r="1407" spans="1:18" ht="26.15" customHeight="1">
      <c r="A1407" s="7">
        <v>1401</v>
      </c>
      <c r="B1407" s="8" t="s">
        <v>4057</v>
      </c>
      <c r="C1407" s="8" t="s">
        <v>3127</v>
      </c>
      <c r="D1407" s="8"/>
      <c r="E1407" s="8" t="s">
        <v>3128</v>
      </c>
      <c r="F1407" s="9" t="s">
        <v>3123</v>
      </c>
      <c r="G1407" s="10">
        <v>42684</v>
      </c>
      <c r="H1407" s="8" t="s">
        <v>124</v>
      </c>
      <c r="I1407" s="11">
        <v>145349</v>
      </c>
      <c r="J1407" s="8" t="s">
        <v>404</v>
      </c>
      <c r="K1407" s="8" t="s">
        <v>405</v>
      </c>
      <c r="L1407" s="7">
        <v>2016</v>
      </c>
      <c r="M1407" s="8" t="s">
        <v>79</v>
      </c>
      <c r="N1407" s="11">
        <v>8750809</v>
      </c>
      <c r="O1407" s="8" t="s">
        <v>408</v>
      </c>
      <c r="P1407" s="8" t="s">
        <v>409</v>
      </c>
      <c r="Q1407" s="8"/>
      <c r="R1407" s="8"/>
    </row>
    <row r="1408" spans="1:18" ht="26.15" customHeight="1">
      <c r="A1408" s="7">
        <v>1402</v>
      </c>
      <c r="B1408" s="8" t="s">
        <v>4446</v>
      </c>
      <c r="C1408" s="8" t="s">
        <v>3127</v>
      </c>
      <c r="D1408" s="8"/>
      <c r="E1408" s="8" t="s">
        <v>3128</v>
      </c>
      <c r="F1408" s="9" t="s">
        <v>3123</v>
      </c>
      <c r="G1408" s="10">
        <v>42684</v>
      </c>
      <c r="H1408" s="8" t="s">
        <v>124</v>
      </c>
      <c r="I1408" s="11">
        <v>145349</v>
      </c>
      <c r="J1408" s="8" t="s">
        <v>404</v>
      </c>
      <c r="K1408" s="8" t="s">
        <v>405</v>
      </c>
      <c r="L1408" s="7">
        <v>2016</v>
      </c>
      <c r="M1408" s="8" t="s">
        <v>79</v>
      </c>
      <c r="N1408" s="11">
        <v>8750809</v>
      </c>
      <c r="O1408" s="8" t="s">
        <v>408</v>
      </c>
      <c r="P1408" s="8" t="s">
        <v>409</v>
      </c>
      <c r="Q1408" s="8"/>
      <c r="R1408" s="8"/>
    </row>
    <row r="1409" spans="1:18" ht="26.15" customHeight="1">
      <c r="A1409" s="7">
        <v>1403</v>
      </c>
      <c r="B1409" s="8" t="s">
        <v>4447</v>
      </c>
      <c r="C1409" s="8" t="s">
        <v>3127</v>
      </c>
      <c r="D1409" s="8"/>
      <c r="E1409" s="8" t="s">
        <v>3128</v>
      </c>
      <c r="F1409" s="9" t="s">
        <v>3123</v>
      </c>
      <c r="G1409" s="10">
        <v>42684</v>
      </c>
      <c r="H1409" s="8" t="s">
        <v>124</v>
      </c>
      <c r="I1409" s="11">
        <v>145349</v>
      </c>
      <c r="J1409" s="8" t="s">
        <v>404</v>
      </c>
      <c r="K1409" s="8" t="s">
        <v>405</v>
      </c>
      <c r="L1409" s="7">
        <v>2016</v>
      </c>
      <c r="M1409" s="8" t="s">
        <v>79</v>
      </c>
      <c r="N1409" s="11">
        <v>8750809</v>
      </c>
      <c r="O1409" s="8" t="s">
        <v>408</v>
      </c>
      <c r="P1409" s="8" t="s">
        <v>409</v>
      </c>
      <c r="Q1409" s="8"/>
      <c r="R1409" s="8"/>
    </row>
    <row r="1410" spans="1:18" ht="26.15" customHeight="1">
      <c r="A1410" s="7">
        <v>1404</v>
      </c>
      <c r="B1410" s="8" t="s">
        <v>4448</v>
      </c>
      <c r="C1410" s="8" t="s">
        <v>3127</v>
      </c>
      <c r="D1410" s="8"/>
      <c r="E1410" s="8" t="s">
        <v>3128</v>
      </c>
      <c r="F1410" s="9" t="s">
        <v>3123</v>
      </c>
      <c r="G1410" s="10">
        <v>42684</v>
      </c>
      <c r="H1410" s="8" t="s">
        <v>124</v>
      </c>
      <c r="I1410" s="11">
        <v>145349</v>
      </c>
      <c r="J1410" s="8" t="s">
        <v>404</v>
      </c>
      <c r="K1410" s="8" t="s">
        <v>405</v>
      </c>
      <c r="L1410" s="7">
        <v>2016</v>
      </c>
      <c r="M1410" s="8" t="s">
        <v>79</v>
      </c>
      <c r="N1410" s="11">
        <v>8750809</v>
      </c>
      <c r="O1410" s="8" t="s">
        <v>408</v>
      </c>
      <c r="P1410" s="8" t="s">
        <v>409</v>
      </c>
      <c r="Q1410" s="8"/>
      <c r="R1410" s="8"/>
    </row>
    <row r="1411" spans="1:18" ht="26.15" customHeight="1">
      <c r="A1411" s="7">
        <v>1405</v>
      </c>
      <c r="B1411" s="8" t="s">
        <v>4449</v>
      </c>
      <c r="C1411" s="8" t="s">
        <v>3127</v>
      </c>
      <c r="D1411" s="8"/>
      <c r="E1411" s="8" t="s">
        <v>3128</v>
      </c>
      <c r="F1411" s="9" t="s">
        <v>3123</v>
      </c>
      <c r="G1411" s="10">
        <v>42684</v>
      </c>
      <c r="H1411" s="8" t="s">
        <v>124</v>
      </c>
      <c r="I1411" s="11">
        <v>145349</v>
      </c>
      <c r="J1411" s="8" t="s">
        <v>404</v>
      </c>
      <c r="K1411" s="8" t="s">
        <v>405</v>
      </c>
      <c r="L1411" s="7">
        <v>2016</v>
      </c>
      <c r="M1411" s="8" t="s">
        <v>79</v>
      </c>
      <c r="N1411" s="11">
        <v>8750809</v>
      </c>
      <c r="O1411" s="8" t="s">
        <v>408</v>
      </c>
      <c r="P1411" s="8" t="s">
        <v>409</v>
      </c>
      <c r="Q1411" s="8"/>
      <c r="R1411" s="8"/>
    </row>
    <row r="1412" spans="1:18" ht="26.15" customHeight="1">
      <c r="A1412" s="7">
        <v>1406</v>
      </c>
      <c r="B1412" s="8" t="s">
        <v>4450</v>
      </c>
      <c r="C1412" s="8" t="s">
        <v>3127</v>
      </c>
      <c r="D1412" s="8"/>
      <c r="E1412" s="8" t="s">
        <v>3128</v>
      </c>
      <c r="F1412" s="9" t="s">
        <v>3123</v>
      </c>
      <c r="G1412" s="10">
        <v>42684</v>
      </c>
      <c r="H1412" s="8" t="s">
        <v>124</v>
      </c>
      <c r="I1412" s="11">
        <v>145349</v>
      </c>
      <c r="J1412" s="8" t="s">
        <v>404</v>
      </c>
      <c r="K1412" s="8" t="s">
        <v>405</v>
      </c>
      <c r="L1412" s="7">
        <v>2016</v>
      </c>
      <c r="M1412" s="8" t="s">
        <v>79</v>
      </c>
      <c r="N1412" s="11">
        <v>8750809</v>
      </c>
      <c r="O1412" s="8" t="s">
        <v>408</v>
      </c>
      <c r="P1412" s="8" t="s">
        <v>409</v>
      </c>
      <c r="Q1412" s="8"/>
      <c r="R1412" s="8"/>
    </row>
    <row r="1413" spans="1:18" ht="26.15" customHeight="1">
      <c r="A1413" s="7">
        <v>1407</v>
      </c>
      <c r="B1413" s="8" t="s">
        <v>4055</v>
      </c>
      <c r="C1413" s="8" t="s">
        <v>3127</v>
      </c>
      <c r="D1413" s="8"/>
      <c r="E1413" s="8" t="s">
        <v>3128</v>
      </c>
      <c r="F1413" s="9" t="s">
        <v>3123</v>
      </c>
      <c r="G1413" s="10">
        <v>42684</v>
      </c>
      <c r="H1413" s="8" t="s">
        <v>124</v>
      </c>
      <c r="I1413" s="11">
        <v>145349</v>
      </c>
      <c r="J1413" s="8" t="s">
        <v>404</v>
      </c>
      <c r="K1413" s="8" t="s">
        <v>405</v>
      </c>
      <c r="L1413" s="7">
        <v>2016</v>
      </c>
      <c r="M1413" s="8" t="s">
        <v>79</v>
      </c>
      <c r="N1413" s="11">
        <v>8750809</v>
      </c>
      <c r="O1413" s="8" t="s">
        <v>408</v>
      </c>
      <c r="P1413" s="8" t="s">
        <v>409</v>
      </c>
      <c r="Q1413" s="8"/>
      <c r="R1413" s="8"/>
    </row>
    <row r="1414" spans="1:18" ht="26.15" customHeight="1">
      <c r="A1414" s="7">
        <v>1408</v>
      </c>
      <c r="B1414" s="8" t="s">
        <v>4451</v>
      </c>
      <c r="C1414" s="8" t="s">
        <v>3127</v>
      </c>
      <c r="D1414" s="8"/>
      <c r="E1414" s="8" t="s">
        <v>3128</v>
      </c>
      <c r="F1414" s="9" t="s">
        <v>3123</v>
      </c>
      <c r="G1414" s="10">
        <v>42684</v>
      </c>
      <c r="H1414" s="8" t="s">
        <v>124</v>
      </c>
      <c r="I1414" s="11">
        <v>145349</v>
      </c>
      <c r="J1414" s="8" t="s">
        <v>404</v>
      </c>
      <c r="K1414" s="8" t="s">
        <v>405</v>
      </c>
      <c r="L1414" s="7">
        <v>2016</v>
      </c>
      <c r="M1414" s="8" t="s">
        <v>79</v>
      </c>
      <c r="N1414" s="11">
        <v>8750809</v>
      </c>
      <c r="O1414" s="8" t="s">
        <v>408</v>
      </c>
      <c r="P1414" s="8" t="s">
        <v>409</v>
      </c>
      <c r="Q1414" s="8"/>
      <c r="R1414" s="8"/>
    </row>
    <row r="1415" spans="1:18" ht="26.15" customHeight="1">
      <c r="A1415" s="7">
        <v>1409</v>
      </c>
      <c r="B1415" s="8" t="s">
        <v>4452</v>
      </c>
      <c r="C1415" s="8" t="s">
        <v>3127</v>
      </c>
      <c r="D1415" s="8"/>
      <c r="E1415" s="8" t="s">
        <v>3128</v>
      </c>
      <c r="F1415" s="9" t="s">
        <v>3123</v>
      </c>
      <c r="G1415" s="10">
        <v>42684</v>
      </c>
      <c r="H1415" s="8" t="s">
        <v>124</v>
      </c>
      <c r="I1415" s="11">
        <v>145349</v>
      </c>
      <c r="J1415" s="8" t="s">
        <v>404</v>
      </c>
      <c r="K1415" s="8" t="s">
        <v>405</v>
      </c>
      <c r="L1415" s="7">
        <v>2016</v>
      </c>
      <c r="M1415" s="8" t="s">
        <v>79</v>
      </c>
      <c r="N1415" s="11">
        <v>8750809</v>
      </c>
      <c r="O1415" s="8" t="s">
        <v>408</v>
      </c>
      <c r="P1415" s="8" t="s">
        <v>409</v>
      </c>
      <c r="Q1415" s="8"/>
      <c r="R1415" s="8"/>
    </row>
    <row r="1416" spans="1:18" ht="26.15" customHeight="1">
      <c r="A1416" s="7">
        <v>1410</v>
      </c>
      <c r="B1416" s="8" t="s">
        <v>4453</v>
      </c>
      <c r="C1416" s="8" t="s">
        <v>3127</v>
      </c>
      <c r="D1416" s="8"/>
      <c r="E1416" s="8" t="s">
        <v>3128</v>
      </c>
      <c r="F1416" s="9" t="s">
        <v>3123</v>
      </c>
      <c r="G1416" s="10">
        <v>42684</v>
      </c>
      <c r="H1416" s="8" t="s">
        <v>124</v>
      </c>
      <c r="I1416" s="11">
        <v>145349</v>
      </c>
      <c r="J1416" s="8" t="s">
        <v>404</v>
      </c>
      <c r="K1416" s="8" t="s">
        <v>405</v>
      </c>
      <c r="L1416" s="7">
        <v>2016</v>
      </c>
      <c r="M1416" s="8" t="s">
        <v>79</v>
      </c>
      <c r="N1416" s="11">
        <v>8750809</v>
      </c>
      <c r="O1416" s="8" t="s">
        <v>408</v>
      </c>
      <c r="P1416" s="8" t="s">
        <v>409</v>
      </c>
      <c r="Q1416" s="8"/>
      <c r="R1416" s="8"/>
    </row>
    <row r="1417" spans="1:18" ht="26.15" customHeight="1">
      <c r="A1417" s="7">
        <v>1411</v>
      </c>
      <c r="B1417" s="8" t="s">
        <v>4058</v>
      </c>
      <c r="C1417" s="8" t="s">
        <v>3127</v>
      </c>
      <c r="D1417" s="8"/>
      <c r="E1417" s="8" t="s">
        <v>3128</v>
      </c>
      <c r="F1417" s="9" t="s">
        <v>3123</v>
      </c>
      <c r="G1417" s="10">
        <v>42684</v>
      </c>
      <c r="H1417" s="8" t="s">
        <v>124</v>
      </c>
      <c r="I1417" s="11">
        <v>145349</v>
      </c>
      <c r="J1417" s="8" t="s">
        <v>404</v>
      </c>
      <c r="K1417" s="8" t="s">
        <v>405</v>
      </c>
      <c r="L1417" s="7">
        <v>2016</v>
      </c>
      <c r="M1417" s="8" t="s">
        <v>79</v>
      </c>
      <c r="N1417" s="11">
        <v>8750809</v>
      </c>
      <c r="O1417" s="8" t="s">
        <v>408</v>
      </c>
      <c r="P1417" s="8" t="s">
        <v>409</v>
      </c>
      <c r="Q1417" s="8"/>
      <c r="R1417" s="8"/>
    </row>
    <row r="1418" spans="1:18" ht="26.15" customHeight="1">
      <c r="A1418" s="7">
        <v>1412</v>
      </c>
      <c r="B1418" s="8" t="s">
        <v>3925</v>
      </c>
      <c r="C1418" s="8" t="s">
        <v>3127</v>
      </c>
      <c r="D1418" s="8"/>
      <c r="E1418" s="8" t="s">
        <v>3128</v>
      </c>
      <c r="F1418" s="9" t="s">
        <v>3123</v>
      </c>
      <c r="G1418" s="10">
        <v>42684</v>
      </c>
      <c r="H1418" s="8" t="s">
        <v>124</v>
      </c>
      <c r="I1418" s="11">
        <v>145349</v>
      </c>
      <c r="J1418" s="8" t="s">
        <v>404</v>
      </c>
      <c r="K1418" s="8" t="s">
        <v>405</v>
      </c>
      <c r="L1418" s="7">
        <v>2016</v>
      </c>
      <c r="M1418" s="8" t="s">
        <v>79</v>
      </c>
      <c r="N1418" s="11">
        <v>8750809</v>
      </c>
      <c r="O1418" s="8" t="s">
        <v>408</v>
      </c>
      <c r="P1418" s="8" t="s">
        <v>409</v>
      </c>
      <c r="Q1418" s="8"/>
      <c r="R1418" s="8"/>
    </row>
    <row r="1419" spans="1:18" ht="26.15" customHeight="1">
      <c r="A1419" s="7">
        <v>1413</v>
      </c>
      <c r="B1419" s="8" t="s">
        <v>1609</v>
      </c>
      <c r="C1419" s="8" t="s">
        <v>3114</v>
      </c>
      <c r="D1419" s="8" t="s">
        <v>3544</v>
      </c>
      <c r="E1419" s="8" t="s">
        <v>3116</v>
      </c>
      <c r="F1419" s="9" t="s">
        <v>3123</v>
      </c>
      <c r="G1419" s="10">
        <v>42684</v>
      </c>
      <c r="H1419" s="8" t="s">
        <v>184</v>
      </c>
      <c r="I1419" s="11">
        <v>78820</v>
      </c>
      <c r="J1419" s="8" t="s">
        <v>950</v>
      </c>
      <c r="K1419" s="8" t="s">
        <v>951</v>
      </c>
      <c r="L1419" s="7">
        <v>2014</v>
      </c>
      <c r="M1419" s="8" t="s">
        <v>954</v>
      </c>
      <c r="N1419" s="11"/>
      <c r="O1419" s="8" t="s">
        <v>955</v>
      </c>
      <c r="P1419" s="8" t="s">
        <v>956</v>
      </c>
      <c r="Q1419" s="8"/>
      <c r="R1419" s="8" t="s">
        <v>3166</v>
      </c>
    </row>
    <row r="1420" spans="1:18" ht="26.15" customHeight="1">
      <c r="A1420" s="7">
        <v>1414</v>
      </c>
      <c r="B1420" s="8" t="s">
        <v>4037</v>
      </c>
      <c r="C1420" s="8" t="s">
        <v>3139</v>
      </c>
      <c r="D1420" s="8" t="s">
        <v>4038</v>
      </c>
      <c r="E1420" s="8" t="s">
        <v>3116</v>
      </c>
      <c r="F1420" s="9" t="s">
        <v>3117</v>
      </c>
      <c r="G1420" s="10">
        <v>42679</v>
      </c>
      <c r="H1420" s="8" t="s">
        <v>34</v>
      </c>
      <c r="I1420" s="11">
        <v>550000</v>
      </c>
      <c r="J1420" s="8" t="s">
        <v>385</v>
      </c>
      <c r="K1420" s="8" t="s">
        <v>386</v>
      </c>
      <c r="L1420" s="7">
        <v>2016</v>
      </c>
      <c r="M1420" s="8" t="s">
        <v>39</v>
      </c>
      <c r="N1420" s="11">
        <v>14260613</v>
      </c>
      <c r="O1420" s="8" t="s">
        <v>389</v>
      </c>
      <c r="P1420" s="8" t="s">
        <v>390</v>
      </c>
      <c r="Q1420" s="8"/>
      <c r="R1420" s="8" t="s">
        <v>3194</v>
      </c>
    </row>
    <row r="1421" spans="1:18" ht="26.15" customHeight="1">
      <c r="A1421" s="7">
        <v>1415</v>
      </c>
      <c r="B1421" s="8" t="s">
        <v>3174</v>
      </c>
      <c r="C1421" s="8" t="s">
        <v>3114</v>
      </c>
      <c r="D1421" s="8" t="s">
        <v>3175</v>
      </c>
      <c r="E1421" s="8" t="s">
        <v>3116</v>
      </c>
      <c r="F1421" s="9" t="s">
        <v>3117</v>
      </c>
      <c r="G1421" s="10">
        <v>42679</v>
      </c>
      <c r="H1421" s="8" t="s">
        <v>34</v>
      </c>
      <c r="I1421" s="11">
        <v>550000</v>
      </c>
      <c r="J1421" s="8" t="s">
        <v>385</v>
      </c>
      <c r="K1421" s="8" t="s">
        <v>386</v>
      </c>
      <c r="L1421" s="7">
        <v>2016</v>
      </c>
      <c r="M1421" s="8" t="s">
        <v>39</v>
      </c>
      <c r="N1421" s="11">
        <v>14260613</v>
      </c>
      <c r="O1421" s="8" t="s">
        <v>389</v>
      </c>
      <c r="P1421" s="8" t="s">
        <v>390</v>
      </c>
      <c r="Q1421" s="8"/>
      <c r="R1421" s="8" t="s">
        <v>3176</v>
      </c>
    </row>
    <row r="1422" spans="1:18" ht="26.15" customHeight="1">
      <c r="A1422" s="7">
        <v>1416</v>
      </c>
      <c r="B1422" s="8" t="s">
        <v>4454</v>
      </c>
      <c r="C1422" s="8" t="s">
        <v>3114</v>
      </c>
      <c r="D1422" s="8" t="s">
        <v>4455</v>
      </c>
      <c r="E1422" s="8" t="s">
        <v>3116</v>
      </c>
      <c r="F1422" s="9" t="s">
        <v>3117</v>
      </c>
      <c r="G1422" s="10">
        <v>42678</v>
      </c>
      <c r="H1422" s="8" t="s">
        <v>109</v>
      </c>
      <c r="I1422" s="11">
        <v>20000000</v>
      </c>
      <c r="J1422" s="8" t="s">
        <v>2246</v>
      </c>
      <c r="K1422" s="8" t="s">
        <v>2247</v>
      </c>
      <c r="L1422" s="7">
        <v>2014</v>
      </c>
      <c r="M1422" s="8" t="s">
        <v>1732</v>
      </c>
      <c r="N1422" s="11">
        <v>20000000</v>
      </c>
      <c r="O1422" s="8" t="s">
        <v>2250</v>
      </c>
      <c r="P1422" s="8" t="s">
        <v>2251</v>
      </c>
      <c r="Q1422" s="8"/>
      <c r="R1422" s="8" t="s">
        <v>4456</v>
      </c>
    </row>
    <row r="1423" spans="1:18" ht="26.15" customHeight="1">
      <c r="A1423" s="7">
        <v>1417</v>
      </c>
      <c r="B1423" s="8" t="s">
        <v>4457</v>
      </c>
      <c r="C1423" s="8" t="s">
        <v>3114</v>
      </c>
      <c r="D1423" s="8" t="s">
        <v>4458</v>
      </c>
      <c r="E1423" s="8" t="s">
        <v>3116</v>
      </c>
      <c r="F1423" s="9" t="s">
        <v>3117</v>
      </c>
      <c r="G1423" s="10">
        <v>42678</v>
      </c>
      <c r="H1423" s="8" t="s">
        <v>109</v>
      </c>
      <c r="I1423" s="11">
        <v>20000000</v>
      </c>
      <c r="J1423" s="8" t="s">
        <v>2246</v>
      </c>
      <c r="K1423" s="8" t="s">
        <v>2247</v>
      </c>
      <c r="L1423" s="7">
        <v>2014</v>
      </c>
      <c r="M1423" s="8" t="s">
        <v>1732</v>
      </c>
      <c r="N1423" s="11">
        <v>20000000</v>
      </c>
      <c r="O1423" s="8" t="s">
        <v>2250</v>
      </c>
      <c r="P1423" s="8" t="s">
        <v>2251</v>
      </c>
      <c r="Q1423" s="8"/>
      <c r="R1423" s="8" t="s">
        <v>1427</v>
      </c>
    </row>
    <row r="1424" spans="1:18" ht="26.15" customHeight="1">
      <c r="A1424" s="7">
        <v>1418</v>
      </c>
      <c r="B1424" s="8" t="s">
        <v>4459</v>
      </c>
      <c r="C1424" s="8" t="s">
        <v>3114</v>
      </c>
      <c r="D1424" s="8" t="s">
        <v>4460</v>
      </c>
      <c r="E1424" s="8" t="s">
        <v>3116</v>
      </c>
      <c r="F1424" s="9" t="s">
        <v>3123</v>
      </c>
      <c r="G1424" s="10">
        <v>42675</v>
      </c>
      <c r="H1424" s="8" t="s">
        <v>95</v>
      </c>
      <c r="I1424" s="11" t="s">
        <v>50</v>
      </c>
      <c r="J1424" s="8" t="s">
        <v>1265</v>
      </c>
      <c r="K1424" s="8" t="s">
        <v>1266</v>
      </c>
      <c r="L1424" s="7">
        <v>2011</v>
      </c>
      <c r="M1424" s="8" t="s">
        <v>278</v>
      </c>
      <c r="N1424" s="11">
        <v>20000000</v>
      </c>
      <c r="O1424" s="8" t="s">
        <v>1268</v>
      </c>
      <c r="P1424" s="8" t="s">
        <v>1269</v>
      </c>
      <c r="Q1424" s="8"/>
      <c r="R1424" s="8" t="s">
        <v>1732</v>
      </c>
    </row>
    <row r="1425" spans="1:18" ht="26.15" customHeight="1">
      <c r="A1425" s="7">
        <v>1419</v>
      </c>
      <c r="B1425" s="8" t="s">
        <v>2418</v>
      </c>
      <c r="C1425" s="8" t="s">
        <v>3114</v>
      </c>
      <c r="D1425" s="8" t="s">
        <v>4132</v>
      </c>
      <c r="E1425" s="8" t="s">
        <v>3116</v>
      </c>
      <c r="F1425" s="9" t="s">
        <v>3123</v>
      </c>
      <c r="G1425" s="10">
        <v>42675</v>
      </c>
      <c r="H1425" s="8" t="s">
        <v>95</v>
      </c>
      <c r="I1425" s="11" t="s">
        <v>50</v>
      </c>
      <c r="J1425" s="8" t="s">
        <v>1265</v>
      </c>
      <c r="K1425" s="8" t="s">
        <v>1266</v>
      </c>
      <c r="L1425" s="7">
        <v>2011</v>
      </c>
      <c r="M1425" s="8" t="s">
        <v>278</v>
      </c>
      <c r="N1425" s="11">
        <v>20000000</v>
      </c>
      <c r="O1425" s="8" t="s">
        <v>1268</v>
      </c>
      <c r="P1425" s="8" t="s">
        <v>1269</v>
      </c>
      <c r="Q1425" s="8"/>
      <c r="R1425" s="8" t="s">
        <v>278</v>
      </c>
    </row>
    <row r="1426" spans="1:18" ht="26.15" customHeight="1">
      <c r="A1426" s="7">
        <v>1420</v>
      </c>
      <c r="B1426" s="8" t="s">
        <v>461</v>
      </c>
      <c r="C1426" s="8" t="s">
        <v>3114</v>
      </c>
      <c r="D1426" s="8" t="s">
        <v>3413</v>
      </c>
      <c r="E1426" s="8" t="s">
        <v>3116</v>
      </c>
      <c r="F1426" s="9" t="s">
        <v>3123</v>
      </c>
      <c r="G1426" s="10">
        <v>42675</v>
      </c>
      <c r="H1426" s="8" t="s">
        <v>95</v>
      </c>
      <c r="I1426" s="11" t="s">
        <v>50</v>
      </c>
      <c r="J1426" s="8" t="s">
        <v>1265</v>
      </c>
      <c r="K1426" s="8" t="s">
        <v>1266</v>
      </c>
      <c r="L1426" s="7">
        <v>2011</v>
      </c>
      <c r="M1426" s="8" t="s">
        <v>278</v>
      </c>
      <c r="N1426" s="11">
        <v>20000000</v>
      </c>
      <c r="O1426" s="8" t="s">
        <v>1268</v>
      </c>
      <c r="P1426" s="8" t="s">
        <v>1269</v>
      </c>
      <c r="Q1426" s="8"/>
      <c r="R1426" s="8" t="s">
        <v>3148</v>
      </c>
    </row>
    <row r="1427" spans="1:18" ht="26.15" customHeight="1">
      <c r="A1427" s="7">
        <v>1421</v>
      </c>
      <c r="B1427" s="8" t="s">
        <v>4461</v>
      </c>
      <c r="C1427" s="8" t="s">
        <v>3139</v>
      </c>
      <c r="D1427" s="8" t="s">
        <v>4461</v>
      </c>
      <c r="E1427" s="8" t="s">
        <v>3116</v>
      </c>
      <c r="F1427" s="9" t="s">
        <v>3123</v>
      </c>
      <c r="G1427" s="10">
        <v>42675</v>
      </c>
      <c r="H1427" s="8" t="s">
        <v>95</v>
      </c>
      <c r="I1427" s="11" t="s">
        <v>50</v>
      </c>
      <c r="J1427" s="8" t="s">
        <v>1265</v>
      </c>
      <c r="K1427" s="8" t="s">
        <v>1266</v>
      </c>
      <c r="L1427" s="7">
        <v>2011</v>
      </c>
      <c r="M1427" s="8" t="s">
        <v>278</v>
      </c>
      <c r="N1427" s="11">
        <v>20000000</v>
      </c>
      <c r="O1427" s="8" t="s">
        <v>1268</v>
      </c>
      <c r="P1427" s="8" t="s">
        <v>1269</v>
      </c>
      <c r="Q1427" s="8"/>
      <c r="R1427" s="8"/>
    </row>
    <row r="1428" spans="1:18" ht="26.15" customHeight="1">
      <c r="A1428" s="7">
        <v>1422</v>
      </c>
      <c r="B1428" s="8" t="s">
        <v>4462</v>
      </c>
      <c r="C1428" s="8" t="s">
        <v>3114</v>
      </c>
      <c r="D1428" s="8" t="s">
        <v>4463</v>
      </c>
      <c r="E1428" s="8" t="s">
        <v>3116</v>
      </c>
      <c r="F1428" s="9" t="s">
        <v>3123</v>
      </c>
      <c r="G1428" s="10">
        <v>42675</v>
      </c>
      <c r="H1428" s="8" t="s">
        <v>109</v>
      </c>
      <c r="I1428" s="11" t="s">
        <v>50</v>
      </c>
      <c r="J1428" s="8" t="s">
        <v>2254</v>
      </c>
      <c r="K1428" s="8" t="s">
        <v>2255</v>
      </c>
      <c r="L1428" s="7">
        <v>2016</v>
      </c>
      <c r="M1428" s="8" t="s">
        <v>79</v>
      </c>
      <c r="N1428" s="11"/>
      <c r="O1428" s="8" t="s">
        <v>2257</v>
      </c>
      <c r="P1428" s="8" t="s">
        <v>2258</v>
      </c>
      <c r="Q1428" s="8"/>
      <c r="R1428" s="8" t="s">
        <v>79</v>
      </c>
    </row>
    <row r="1429" spans="1:18" ht="26.15" customHeight="1">
      <c r="A1429" s="7">
        <v>1423</v>
      </c>
      <c r="B1429" s="8" t="s">
        <v>2264</v>
      </c>
      <c r="C1429" s="8" t="s">
        <v>3114</v>
      </c>
      <c r="D1429" s="8" t="s">
        <v>3594</v>
      </c>
      <c r="E1429" s="8" t="s">
        <v>3116</v>
      </c>
      <c r="F1429" s="9" t="s">
        <v>3117</v>
      </c>
      <c r="G1429" s="10">
        <v>42669</v>
      </c>
      <c r="H1429" s="8" t="s">
        <v>34</v>
      </c>
      <c r="I1429" s="11">
        <v>1100000</v>
      </c>
      <c r="J1429" s="8" t="s">
        <v>452</v>
      </c>
      <c r="K1429" s="8" t="s">
        <v>453</v>
      </c>
      <c r="L1429" s="7">
        <v>2016</v>
      </c>
      <c r="M1429" s="8" t="s">
        <v>455</v>
      </c>
      <c r="N1429" s="11">
        <v>28150000</v>
      </c>
      <c r="O1429" s="8" t="s">
        <v>456</v>
      </c>
      <c r="P1429" s="8" t="s">
        <v>457</v>
      </c>
      <c r="Q1429" s="8"/>
      <c r="R1429" s="8" t="s">
        <v>455</v>
      </c>
    </row>
    <row r="1430" spans="1:18" ht="26.15" customHeight="1">
      <c r="A1430" s="7">
        <v>1424</v>
      </c>
      <c r="B1430" s="8" t="s">
        <v>4464</v>
      </c>
      <c r="C1430" s="8" t="s">
        <v>3127</v>
      </c>
      <c r="D1430" s="8"/>
      <c r="E1430" s="8" t="s">
        <v>3128</v>
      </c>
      <c r="F1430" s="9" t="s">
        <v>3123</v>
      </c>
      <c r="G1430" s="10">
        <v>42660</v>
      </c>
      <c r="H1430" s="8" t="s">
        <v>124</v>
      </c>
      <c r="I1430" s="11">
        <v>66459</v>
      </c>
      <c r="J1430" s="8" t="s">
        <v>2157</v>
      </c>
      <c r="K1430" s="8" t="s">
        <v>2158</v>
      </c>
      <c r="L1430" s="7">
        <v>2014</v>
      </c>
      <c r="M1430" s="8" t="s">
        <v>79</v>
      </c>
      <c r="N1430" s="11">
        <v>239863</v>
      </c>
      <c r="O1430" s="8" t="s">
        <v>2161</v>
      </c>
      <c r="P1430" s="8" t="s">
        <v>2162</v>
      </c>
      <c r="Q1430" s="8"/>
      <c r="R1430" s="8"/>
    </row>
    <row r="1431" spans="1:18" ht="26.15" customHeight="1">
      <c r="A1431" s="7">
        <v>1425</v>
      </c>
      <c r="B1431" s="8" t="s">
        <v>4465</v>
      </c>
      <c r="C1431" s="8" t="s">
        <v>3127</v>
      </c>
      <c r="D1431" s="8"/>
      <c r="E1431" s="8" t="s">
        <v>3128</v>
      </c>
      <c r="F1431" s="9" t="s">
        <v>3123</v>
      </c>
      <c r="G1431" s="10">
        <v>42660</v>
      </c>
      <c r="H1431" s="8" t="s">
        <v>124</v>
      </c>
      <c r="I1431" s="11">
        <v>66459</v>
      </c>
      <c r="J1431" s="8" t="s">
        <v>2157</v>
      </c>
      <c r="K1431" s="8" t="s">
        <v>2158</v>
      </c>
      <c r="L1431" s="7">
        <v>2014</v>
      </c>
      <c r="M1431" s="8" t="s">
        <v>79</v>
      </c>
      <c r="N1431" s="11">
        <v>239863</v>
      </c>
      <c r="O1431" s="8" t="s">
        <v>2161</v>
      </c>
      <c r="P1431" s="8" t="s">
        <v>2162</v>
      </c>
      <c r="Q1431" s="8"/>
      <c r="R1431" s="8"/>
    </row>
    <row r="1432" spans="1:18" ht="26.15" customHeight="1">
      <c r="A1432" s="7">
        <v>1426</v>
      </c>
      <c r="B1432" s="8" t="s">
        <v>4466</v>
      </c>
      <c r="C1432" s="8" t="s">
        <v>3127</v>
      </c>
      <c r="D1432" s="8"/>
      <c r="E1432" s="8" t="s">
        <v>3128</v>
      </c>
      <c r="F1432" s="9" t="s">
        <v>3123</v>
      </c>
      <c r="G1432" s="10">
        <v>42660</v>
      </c>
      <c r="H1432" s="8" t="s">
        <v>124</v>
      </c>
      <c r="I1432" s="11">
        <v>66459</v>
      </c>
      <c r="J1432" s="8" t="s">
        <v>2157</v>
      </c>
      <c r="K1432" s="8" t="s">
        <v>2158</v>
      </c>
      <c r="L1432" s="7">
        <v>2014</v>
      </c>
      <c r="M1432" s="8" t="s">
        <v>79</v>
      </c>
      <c r="N1432" s="11">
        <v>239863</v>
      </c>
      <c r="O1432" s="8" t="s">
        <v>2161</v>
      </c>
      <c r="P1432" s="8" t="s">
        <v>2162</v>
      </c>
      <c r="Q1432" s="8"/>
      <c r="R1432" s="8"/>
    </row>
    <row r="1433" spans="1:18" ht="26.15" customHeight="1">
      <c r="A1433" s="7">
        <v>1427</v>
      </c>
      <c r="B1433" s="8" t="s">
        <v>2266</v>
      </c>
      <c r="C1433" s="8" t="s">
        <v>3127</v>
      </c>
      <c r="D1433" s="8"/>
      <c r="E1433" s="8" t="s">
        <v>3128</v>
      </c>
      <c r="F1433" s="9" t="s">
        <v>3117</v>
      </c>
      <c r="G1433" s="10">
        <v>42660</v>
      </c>
      <c r="H1433" s="8" t="s">
        <v>124</v>
      </c>
      <c r="I1433" s="11">
        <v>66459</v>
      </c>
      <c r="J1433" s="8" t="s">
        <v>2157</v>
      </c>
      <c r="K1433" s="8" t="s">
        <v>2158</v>
      </c>
      <c r="L1433" s="7">
        <v>2014</v>
      </c>
      <c r="M1433" s="8" t="s">
        <v>79</v>
      </c>
      <c r="N1433" s="11">
        <v>239863</v>
      </c>
      <c r="O1433" s="8" t="s">
        <v>2161</v>
      </c>
      <c r="P1433" s="8" t="s">
        <v>2162</v>
      </c>
      <c r="Q1433" s="8"/>
      <c r="R1433" s="8"/>
    </row>
    <row r="1434" spans="1:18" ht="26.15" customHeight="1">
      <c r="A1434" s="7">
        <v>1428</v>
      </c>
      <c r="B1434" s="8" t="s">
        <v>4467</v>
      </c>
      <c r="C1434" s="8" t="s">
        <v>3127</v>
      </c>
      <c r="D1434" s="8"/>
      <c r="E1434" s="8" t="s">
        <v>3128</v>
      </c>
      <c r="F1434" s="9" t="s">
        <v>3123</v>
      </c>
      <c r="G1434" s="10">
        <v>42660</v>
      </c>
      <c r="H1434" s="8" t="s">
        <v>124</v>
      </c>
      <c r="I1434" s="11">
        <v>66459</v>
      </c>
      <c r="J1434" s="8" t="s">
        <v>2157</v>
      </c>
      <c r="K1434" s="8" t="s">
        <v>2158</v>
      </c>
      <c r="L1434" s="7">
        <v>2014</v>
      </c>
      <c r="M1434" s="8" t="s">
        <v>79</v>
      </c>
      <c r="N1434" s="11">
        <v>239863</v>
      </c>
      <c r="O1434" s="8" t="s">
        <v>2161</v>
      </c>
      <c r="P1434" s="8" t="s">
        <v>2162</v>
      </c>
      <c r="Q1434" s="8"/>
      <c r="R1434" s="8"/>
    </row>
    <row r="1435" spans="1:18" ht="26.15" customHeight="1">
      <c r="A1435" s="7">
        <v>1429</v>
      </c>
      <c r="B1435" s="8" t="s">
        <v>4468</v>
      </c>
      <c r="C1435" s="8" t="s">
        <v>3127</v>
      </c>
      <c r="D1435" s="8"/>
      <c r="E1435" s="8" t="s">
        <v>3128</v>
      </c>
      <c r="F1435" s="9" t="s">
        <v>3123</v>
      </c>
      <c r="G1435" s="10">
        <v>42660</v>
      </c>
      <c r="H1435" s="8" t="s">
        <v>124</v>
      </c>
      <c r="I1435" s="11">
        <v>66459</v>
      </c>
      <c r="J1435" s="8" t="s">
        <v>2157</v>
      </c>
      <c r="K1435" s="8" t="s">
        <v>2158</v>
      </c>
      <c r="L1435" s="7">
        <v>2014</v>
      </c>
      <c r="M1435" s="8" t="s">
        <v>79</v>
      </c>
      <c r="N1435" s="11">
        <v>239863</v>
      </c>
      <c r="O1435" s="8" t="s">
        <v>2161</v>
      </c>
      <c r="P1435" s="8" t="s">
        <v>2162</v>
      </c>
      <c r="Q1435" s="8"/>
      <c r="R1435" s="8"/>
    </row>
    <row r="1436" spans="1:18" ht="26.15" customHeight="1">
      <c r="A1436" s="7">
        <v>1430</v>
      </c>
      <c r="B1436" s="8" t="s">
        <v>4469</v>
      </c>
      <c r="C1436" s="8" t="s">
        <v>3139</v>
      </c>
      <c r="D1436" s="8" t="s">
        <v>4470</v>
      </c>
      <c r="E1436" s="8" t="s">
        <v>3116</v>
      </c>
      <c r="F1436" s="9" t="s">
        <v>3123</v>
      </c>
      <c r="G1436" s="10">
        <v>42656</v>
      </c>
      <c r="H1436" s="8" t="s">
        <v>34</v>
      </c>
      <c r="I1436" s="11">
        <v>2000000</v>
      </c>
      <c r="J1436" s="8" t="s">
        <v>1045</v>
      </c>
      <c r="K1436" s="8" t="s">
        <v>1046</v>
      </c>
      <c r="L1436" s="7">
        <v>2016</v>
      </c>
      <c r="M1436" s="8" t="s">
        <v>369</v>
      </c>
      <c r="N1436" s="11">
        <v>9004795</v>
      </c>
      <c r="O1436" s="8" t="s">
        <v>1050</v>
      </c>
      <c r="P1436" s="8" t="s">
        <v>1051</v>
      </c>
      <c r="Q1436" s="8"/>
      <c r="R1436" s="8" t="s">
        <v>4471</v>
      </c>
    </row>
    <row r="1437" spans="1:18" ht="26.15" customHeight="1">
      <c r="A1437" s="7">
        <v>1431</v>
      </c>
      <c r="B1437" s="8" t="s">
        <v>2269</v>
      </c>
      <c r="C1437" s="8" t="s">
        <v>3114</v>
      </c>
      <c r="D1437" s="8" t="s">
        <v>4472</v>
      </c>
      <c r="E1437" s="8" t="s">
        <v>3116</v>
      </c>
      <c r="F1437" s="9" t="s">
        <v>3117</v>
      </c>
      <c r="G1437" s="10">
        <v>42656</v>
      </c>
      <c r="H1437" s="8" t="s">
        <v>34</v>
      </c>
      <c r="I1437" s="11">
        <v>2000000</v>
      </c>
      <c r="J1437" s="8" t="s">
        <v>1045</v>
      </c>
      <c r="K1437" s="8" t="s">
        <v>1046</v>
      </c>
      <c r="L1437" s="7">
        <v>2016</v>
      </c>
      <c r="M1437" s="8" t="s">
        <v>369</v>
      </c>
      <c r="N1437" s="11">
        <v>9004795</v>
      </c>
      <c r="O1437" s="8" t="s">
        <v>1050</v>
      </c>
      <c r="P1437" s="8" t="s">
        <v>1051</v>
      </c>
      <c r="Q1437" s="8"/>
      <c r="R1437" s="8"/>
    </row>
    <row r="1438" spans="1:18" ht="26.15" customHeight="1">
      <c r="A1438" s="7">
        <v>1432</v>
      </c>
      <c r="B1438" s="8" t="s">
        <v>4473</v>
      </c>
      <c r="C1438" s="8" t="s">
        <v>3114</v>
      </c>
      <c r="D1438" s="8" t="s">
        <v>4474</v>
      </c>
      <c r="E1438" s="8" t="s">
        <v>3116</v>
      </c>
      <c r="F1438" s="9" t="s">
        <v>3123</v>
      </c>
      <c r="G1438" s="10">
        <v>42656</v>
      </c>
      <c r="H1438" s="8" t="s">
        <v>34</v>
      </c>
      <c r="I1438" s="11">
        <v>2000000</v>
      </c>
      <c r="J1438" s="8" t="s">
        <v>1045</v>
      </c>
      <c r="K1438" s="8" t="s">
        <v>1046</v>
      </c>
      <c r="L1438" s="7">
        <v>2016</v>
      </c>
      <c r="M1438" s="8" t="s">
        <v>369</v>
      </c>
      <c r="N1438" s="11">
        <v>9004795</v>
      </c>
      <c r="O1438" s="8" t="s">
        <v>1050</v>
      </c>
      <c r="P1438" s="8" t="s">
        <v>1051</v>
      </c>
      <c r="Q1438" s="8"/>
      <c r="R1438" s="8" t="s">
        <v>4475</v>
      </c>
    </row>
    <row r="1439" spans="1:18" ht="26.15" customHeight="1">
      <c r="A1439" s="7">
        <v>1433</v>
      </c>
      <c r="B1439" s="8" t="s">
        <v>4476</v>
      </c>
      <c r="C1439" s="8" t="s">
        <v>3127</v>
      </c>
      <c r="D1439" s="8"/>
      <c r="E1439" s="8" t="s">
        <v>3128</v>
      </c>
      <c r="F1439" s="9" t="s">
        <v>3123</v>
      </c>
      <c r="G1439" s="10">
        <v>42656</v>
      </c>
      <c r="H1439" s="8" t="s">
        <v>34</v>
      </c>
      <c r="I1439" s="11">
        <v>2000000</v>
      </c>
      <c r="J1439" s="8" t="s">
        <v>1045</v>
      </c>
      <c r="K1439" s="8" t="s">
        <v>1046</v>
      </c>
      <c r="L1439" s="7">
        <v>2016</v>
      </c>
      <c r="M1439" s="8" t="s">
        <v>369</v>
      </c>
      <c r="N1439" s="11">
        <v>9004795</v>
      </c>
      <c r="O1439" s="8" t="s">
        <v>1050</v>
      </c>
      <c r="P1439" s="8" t="s">
        <v>1051</v>
      </c>
      <c r="Q1439" s="8"/>
      <c r="R1439" s="8"/>
    </row>
    <row r="1440" spans="1:18" ht="26.15" customHeight="1">
      <c r="A1440" s="7">
        <v>1434</v>
      </c>
      <c r="B1440" s="8" t="s">
        <v>4225</v>
      </c>
      <c r="C1440" s="8" t="s">
        <v>3127</v>
      </c>
      <c r="D1440" s="8"/>
      <c r="E1440" s="8" t="s">
        <v>3128</v>
      </c>
      <c r="F1440" s="9" t="s">
        <v>3123</v>
      </c>
      <c r="G1440" s="10">
        <v>42656</v>
      </c>
      <c r="H1440" s="8" t="s">
        <v>34</v>
      </c>
      <c r="I1440" s="11">
        <v>2000000</v>
      </c>
      <c r="J1440" s="8" t="s">
        <v>1045</v>
      </c>
      <c r="K1440" s="8" t="s">
        <v>1046</v>
      </c>
      <c r="L1440" s="7">
        <v>2016</v>
      </c>
      <c r="M1440" s="8" t="s">
        <v>369</v>
      </c>
      <c r="N1440" s="11">
        <v>9004795</v>
      </c>
      <c r="O1440" s="8" t="s">
        <v>1050</v>
      </c>
      <c r="P1440" s="8" t="s">
        <v>1051</v>
      </c>
      <c r="Q1440" s="8"/>
      <c r="R1440" s="8"/>
    </row>
    <row r="1441" spans="1:18" ht="26.15" customHeight="1">
      <c r="A1441" s="7">
        <v>1435</v>
      </c>
      <c r="B1441" s="8" t="s">
        <v>4477</v>
      </c>
      <c r="C1441" s="8" t="s">
        <v>3127</v>
      </c>
      <c r="D1441" s="8"/>
      <c r="E1441" s="8" t="s">
        <v>3128</v>
      </c>
      <c r="F1441" s="9" t="s">
        <v>3123</v>
      </c>
      <c r="G1441" s="10">
        <v>42656</v>
      </c>
      <c r="H1441" s="8" t="s">
        <v>34</v>
      </c>
      <c r="I1441" s="11">
        <v>2000000</v>
      </c>
      <c r="J1441" s="8" t="s">
        <v>1045</v>
      </c>
      <c r="K1441" s="8" t="s">
        <v>1046</v>
      </c>
      <c r="L1441" s="7">
        <v>2016</v>
      </c>
      <c r="M1441" s="8" t="s">
        <v>369</v>
      </c>
      <c r="N1441" s="11">
        <v>9004795</v>
      </c>
      <c r="O1441" s="8" t="s">
        <v>1050</v>
      </c>
      <c r="P1441" s="8" t="s">
        <v>1051</v>
      </c>
      <c r="Q1441" s="8"/>
      <c r="R1441" s="8"/>
    </row>
    <row r="1442" spans="1:18" ht="26.15" customHeight="1">
      <c r="A1442" s="7">
        <v>1436</v>
      </c>
      <c r="B1442" s="8" t="s">
        <v>4478</v>
      </c>
      <c r="C1442" s="8" t="s">
        <v>3114</v>
      </c>
      <c r="D1442" s="8" t="s">
        <v>4479</v>
      </c>
      <c r="E1442" s="8" t="s">
        <v>3116</v>
      </c>
      <c r="F1442" s="9" t="s">
        <v>3123</v>
      </c>
      <c r="G1442" s="10">
        <v>42652</v>
      </c>
      <c r="H1442" s="8" t="s">
        <v>34</v>
      </c>
      <c r="I1442" s="11" t="s">
        <v>50</v>
      </c>
      <c r="J1442" s="8" t="s">
        <v>2157</v>
      </c>
      <c r="K1442" s="8" t="s">
        <v>2158</v>
      </c>
      <c r="L1442" s="7">
        <v>2014</v>
      </c>
      <c r="M1442" s="8" t="s">
        <v>79</v>
      </c>
      <c r="N1442" s="11">
        <v>239863</v>
      </c>
      <c r="O1442" s="8" t="s">
        <v>2161</v>
      </c>
      <c r="P1442" s="8" t="s">
        <v>2162</v>
      </c>
      <c r="Q1442" s="8"/>
      <c r="R1442" s="8" t="s">
        <v>3597</v>
      </c>
    </row>
    <row r="1443" spans="1:18" ht="26.15" customHeight="1">
      <c r="A1443" s="7">
        <v>1437</v>
      </c>
      <c r="B1443" s="8" t="s">
        <v>3374</v>
      </c>
      <c r="C1443" s="8" t="s">
        <v>3114</v>
      </c>
      <c r="D1443" s="8" t="s">
        <v>3375</v>
      </c>
      <c r="E1443" s="8" t="s">
        <v>3116</v>
      </c>
      <c r="F1443" s="9" t="s">
        <v>3123</v>
      </c>
      <c r="G1443" s="10">
        <v>42646</v>
      </c>
      <c r="H1443" s="8" t="s">
        <v>34</v>
      </c>
      <c r="I1443" s="11">
        <v>418508</v>
      </c>
      <c r="J1443" s="8" t="s">
        <v>2271</v>
      </c>
      <c r="K1443" s="8" t="s">
        <v>2272</v>
      </c>
      <c r="L1443" s="7">
        <v>2015</v>
      </c>
      <c r="M1443" s="8" t="s">
        <v>313</v>
      </c>
      <c r="N1443" s="11">
        <v>793956</v>
      </c>
      <c r="O1443" s="8" t="s">
        <v>2276</v>
      </c>
      <c r="P1443" s="8" t="s">
        <v>2277</v>
      </c>
      <c r="Q1443" s="8"/>
      <c r="R1443" s="8" t="s">
        <v>79</v>
      </c>
    </row>
    <row r="1444" spans="1:18" ht="26.15" customHeight="1">
      <c r="A1444" s="7">
        <v>1438</v>
      </c>
      <c r="B1444" s="8" t="s">
        <v>2275</v>
      </c>
      <c r="C1444" s="8" t="s">
        <v>3114</v>
      </c>
      <c r="D1444" s="8" t="s">
        <v>3409</v>
      </c>
      <c r="E1444" s="8" t="s">
        <v>3116</v>
      </c>
      <c r="F1444" s="9" t="s">
        <v>3117</v>
      </c>
      <c r="G1444" s="10">
        <v>42646</v>
      </c>
      <c r="H1444" s="8" t="s">
        <v>34</v>
      </c>
      <c r="I1444" s="11">
        <v>418508</v>
      </c>
      <c r="J1444" s="8" t="s">
        <v>2271</v>
      </c>
      <c r="K1444" s="8" t="s">
        <v>2272</v>
      </c>
      <c r="L1444" s="7">
        <v>2015</v>
      </c>
      <c r="M1444" s="8" t="s">
        <v>313</v>
      </c>
      <c r="N1444" s="11">
        <v>793956</v>
      </c>
      <c r="O1444" s="8" t="s">
        <v>2276</v>
      </c>
      <c r="P1444" s="8" t="s">
        <v>2277</v>
      </c>
      <c r="Q1444" s="8"/>
      <c r="R1444" s="8" t="s">
        <v>3204</v>
      </c>
    </row>
    <row r="1445" spans="1:18" ht="26.15" customHeight="1">
      <c r="A1445" s="7">
        <v>1439</v>
      </c>
      <c r="B1445" s="8" t="s">
        <v>4480</v>
      </c>
      <c r="C1445" s="8" t="s">
        <v>3127</v>
      </c>
      <c r="D1445" s="8"/>
      <c r="E1445" s="8" t="s">
        <v>3128</v>
      </c>
      <c r="F1445" s="9" t="s">
        <v>3123</v>
      </c>
      <c r="G1445" s="10">
        <v>42646</v>
      </c>
      <c r="H1445" s="8" t="s">
        <v>34</v>
      </c>
      <c r="I1445" s="11">
        <v>418508</v>
      </c>
      <c r="J1445" s="8" t="s">
        <v>2271</v>
      </c>
      <c r="K1445" s="8" t="s">
        <v>2272</v>
      </c>
      <c r="L1445" s="7">
        <v>2015</v>
      </c>
      <c r="M1445" s="8" t="s">
        <v>313</v>
      </c>
      <c r="N1445" s="11">
        <v>793956</v>
      </c>
      <c r="O1445" s="8" t="s">
        <v>2276</v>
      </c>
      <c r="P1445" s="8" t="s">
        <v>2277</v>
      </c>
      <c r="Q1445" s="8"/>
      <c r="R1445" s="8"/>
    </row>
    <row r="1446" spans="1:18" ht="26.15" customHeight="1">
      <c r="A1446" s="7">
        <v>1440</v>
      </c>
      <c r="B1446" s="8" t="s">
        <v>4481</v>
      </c>
      <c r="C1446" s="8" t="s">
        <v>3127</v>
      </c>
      <c r="D1446" s="8"/>
      <c r="E1446" s="8" t="s">
        <v>3128</v>
      </c>
      <c r="F1446" s="9" t="s">
        <v>3123</v>
      </c>
      <c r="G1446" s="10">
        <v>42646</v>
      </c>
      <c r="H1446" s="8" t="s">
        <v>34</v>
      </c>
      <c r="I1446" s="11">
        <v>418508</v>
      </c>
      <c r="J1446" s="8" t="s">
        <v>2271</v>
      </c>
      <c r="K1446" s="8" t="s">
        <v>2272</v>
      </c>
      <c r="L1446" s="7">
        <v>2015</v>
      </c>
      <c r="M1446" s="8" t="s">
        <v>313</v>
      </c>
      <c r="N1446" s="11">
        <v>793956</v>
      </c>
      <c r="O1446" s="8" t="s">
        <v>2276</v>
      </c>
      <c r="P1446" s="8" t="s">
        <v>2277</v>
      </c>
      <c r="Q1446" s="8"/>
      <c r="R1446" s="8"/>
    </row>
    <row r="1447" spans="1:18" ht="26.15" customHeight="1">
      <c r="A1447" s="7">
        <v>1441</v>
      </c>
      <c r="B1447" s="8" t="s">
        <v>4482</v>
      </c>
      <c r="C1447" s="8" t="s">
        <v>3127</v>
      </c>
      <c r="D1447" s="8"/>
      <c r="E1447" s="8" t="s">
        <v>3128</v>
      </c>
      <c r="F1447" s="9" t="s">
        <v>3123</v>
      </c>
      <c r="G1447" s="10">
        <v>42646</v>
      </c>
      <c r="H1447" s="8" t="s">
        <v>34</v>
      </c>
      <c r="I1447" s="11">
        <v>418508</v>
      </c>
      <c r="J1447" s="8" t="s">
        <v>2271</v>
      </c>
      <c r="K1447" s="8" t="s">
        <v>2272</v>
      </c>
      <c r="L1447" s="7">
        <v>2015</v>
      </c>
      <c r="M1447" s="8" t="s">
        <v>313</v>
      </c>
      <c r="N1447" s="11">
        <v>793956</v>
      </c>
      <c r="O1447" s="8" t="s">
        <v>2276</v>
      </c>
      <c r="P1447" s="8" t="s">
        <v>2277</v>
      </c>
      <c r="Q1447" s="8"/>
      <c r="R1447" s="8"/>
    </row>
    <row r="1448" spans="1:18" ht="26.15" customHeight="1">
      <c r="A1448" s="7">
        <v>1442</v>
      </c>
      <c r="B1448" s="8" t="s">
        <v>3241</v>
      </c>
      <c r="C1448" s="8" t="s">
        <v>3127</v>
      </c>
      <c r="D1448" s="8"/>
      <c r="E1448" s="8" t="s">
        <v>3128</v>
      </c>
      <c r="F1448" s="9" t="s">
        <v>3123</v>
      </c>
      <c r="G1448" s="10">
        <v>42646</v>
      </c>
      <c r="H1448" s="8" t="s">
        <v>34</v>
      </c>
      <c r="I1448" s="11">
        <v>418508</v>
      </c>
      <c r="J1448" s="8" t="s">
        <v>2271</v>
      </c>
      <c r="K1448" s="8" t="s">
        <v>2272</v>
      </c>
      <c r="L1448" s="7">
        <v>2015</v>
      </c>
      <c r="M1448" s="8" t="s">
        <v>313</v>
      </c>
      <c r="N1448" s="11">
        <v>793956</v>
      </c>
      <c r="O1448" s="8" t="s">
        <v>2276</v>
      </c>
      <c r="P1448" s="8" t="s">
        <v>2277</v>
      </c>
      <c r="Q1448" s="8"/>
      <c r="R1448" s="8"/>
    </row>
    <row r="1449" spans="1:18" ht="26.15" customHeight="1">
      <c r="A1449" s="7">
        <v>1443</v>
      </c>
      <c r="B1449" s="8" t="s">
        <v>3238</v>
      </c>
      <c r="C1449" s="8" t="s">
        <v>3127</v>
      </c>
      <c r="D1449" s="8"/>
      <c r="E1449" s="8" t="s">
        <v>3128</v>
      </c>
      <c r="F1449" s="9" t="s">
        <v>3123</v>
      </c>
      <c r="G1449" s="10">
        <v>42646</v>
      </c>
      <c r="H1449" s="8" t="s">
        <v>34</v>
      </c>
      <c r="I1449" s="11">
        <v>418508</v>
      </c>
      <c r="J1449" s="8" t="s">
        <v>2271</v>
      </c>
      <c r="K1449" s="8" t="s">
        <v>2272</v>
      </c>
      <c r="L1449" s="7">
        <v>2015</v>
      </c>
      <c r="M1449" s="8" t="s">
        <v>313</v>
      </c>
      <c r="N1449" s="11">
        <v>793956</v>
      </c>
      <c r="O1449" s="8" t="s">
        <v>2276</v>
      </c>
      <c r="P1449" s="8" t="s">
        <v>2277</v>
      </c>
      <c r="Q1449" s="8"/>
      <c r="R1449" s="8"/>
    </row>
    <row r="1450" spans="1:18" ht="26.15" customHeight="1">
      <c r="A1450" s="7">
        <v>1444</v>
      </c>
      <c r="B1450" s="8" t="s">
        <v>3517</v>
      </c>
      <c r="C1450" s="8" t="s">
        <v>3114</v>
      </c>
      <c r="D1450" s="8" t="s">
        <v>3518</v>
      </c>
      <c r="E1450" s="8" t="s">
        <v>3116</v>
      </c>
      <c r="F1450" s="9" t="s">
        <v>3123</v>
      </c>
      <c r="G1450" s="10">
        <v>42646</v>
      </c>
      <c r="H1450" s="8" t="s">
        <v>34</v>
      </c>
      <c r="I1450" s="11">
        <v>418508</v>
      </c>
      <c r="J1450" s="8" t="s">
        <v>2271</v>
      </c>
      <c r="K1450" s="8" t="s">
        <v>2272</v>
      </c>
      <c r="L1450" s="7">
        <v>2015</v>
      </c>
      <c r="M1450" s="8" t="s">
        <v>313</v>
      </c>
      <c r="N1450" s="11">
        <v>793956</v>
      </c>
      <c r="O1450" s="8" t="s">
        <v>2276</v>
      </c>
      <c r="P1450" s="8" t="s">
        <v>2277</v>
      </c>
      <c r="Q1450" s="8"/>
      <c r="R1450" s="8" t="s">
        <v>79</v>
      </c>
    </row>
    <row r="1451" spans="1:18" ht="26.15" customHeight="1">
      <c r="A1451" s="7">
        <v>1445</v>
      </c>
      <c r="B1451" s="8" t="s">
        <v>4483</v>
      </c>
      <c r="C1451" s="8" t="s">
        <v>3127</v>
      </c>
      <c r="D1451" s="8"/>
      <c r="E1451" s="8" t="s">
        <v>3128</v>
      </c>
      <c r="F1451" s="9" t="s">
        <v>3123</v>
      </c>
      <c r="G1451" s="10">
        <v>42646</v>
      </c>
      <c r="H1451" s="8" t="s">
        <v>34</v>
      </c>
      <c r="I1451" s="11">
        <v>418508</v>
      </c>
      <c r="J1451" s="8" t="s">
        <v>2271</v>
      </c>
      <c r="K1451" s="8" t="s">
        <v>2272</v>
      </c>
      <c r="L1451" s="7">
        <v>2015</v>
      </c>
      <c r="M1451" s="8" t="s">
        <v>313</v>
      </c>
      <c r="N1451" s="11">
        <v>793956</v>
      </c>
      <c r="O1451" s="8" t="s">
        <v>2276</v>
      </c>
      <c r="P1451" s="8" t="s">
        <v>2277</v>
      </c>
      <c r="Q1451" s="8"/>
      <c r="R1451" s="8"/>
    </row>
    <row r="1452" spans="1:18" ht="26.15" customHeight="1">
      <c r="A1452" s="7">
        <v>1446</v>
      </c>
      <c r="B1452" s="8" t="s">
        <v>4484</v>
      </c>
      <c r="C1452" s="8" t="s">
        <v>3127</v>
      </c>
      <c r="D1452" s="8"/>
      <c r="E1452" s="8" t="s">
        <v>3128</v>
      </c>
      <c r="F1452" s="9" t="s">
        <v>3123</v>
      </c>
      <c r="G1452" s="10">
        <v>42646</v>
      </c>
      <c r="H1452" s="8" t="s">
        <v>34</v>
      </c>
      <c r="I1452" s="11">
        <v>418508</v>
      </c>
      <c r="J1452" s="8" t="s">
        <v>2271</v>
      </c>
      <c r="K1452" s="8" t="s">
        <v>2272</v>
      </c>
      <c r="L1452" s="7">
        <v>2015</v>
      </c>
      <c r="M1452" s="8" t="s">
        <v>313</v>
      </c>
      <c r="N1452" s="11">
        <v>793956</v>
      </c>
      <c r="O1452" s="8" t="s">
        <v>2276</v>
      </c>
      <c r="P1452" s="8" t="s">
        <v>2277</v>
      </c>
      <c r="Q1452" s="8"/>
      <c r="R1452" s="8"/>
    </row>
    <row r="1453" spans="1:18" ht="26.15" customHeight="1">
      <c r="A1453" s="7">
        <v>1447</v>
      </c>
      <c r="B1453" s="8" t="s">
        <v>4485</v>
      </c>
      <c r="C1453" s="8" t="s">
        <v>3127</v>
      </c>
      <c r="D1453" s="8"/>
      <c r="E1453" s="8" t="s">
        <v>3128</v>
      </c>
      <c r="F1453" s="9" t="s">
        <v>3123</v>
      </c>
      <c r="G1453" s="10">
        <v>42646</v>
      </c>
      <c r="H1453" s="8" t="s">
        <v>34</v>
      </c>
      <c r="I1453" s="11">
        <v>418508</v>
      </c>
      <c r="J1453" s="8" t="s">
        <v>2271</v>
      </c>
      <c r="K1453" s="8" t="s">
        <v>2272</v>
      </c>
      <c r="L1453" s="7">
        <v>2015</v>
      </c>
      <c r="M1453" s="8" t="s">
        <v>313</v>
      </c>
      <c r="N1453" s="11">
        <v>793956</v>
      </c>
      <c r="O1453" s="8" t="s">
        <v>2276</v>
      </c>
      <c r="P1453" s="8" t="s">
        <v>2277</v>
      </c>
      <c r="Q1453" s="8"/>
      <c r="R1453" s="8"/>
    </row>
    <row r="1454" spans="1:18" ht="26.15" customHeight="1">
      <c r="A1454" s="7">
        <v>1448</v>
      </c>
      <c r="B1454" s="8" t="s">
        <v>4486</v>
      </c>
      <c r="C1454" s="8" t="s">
        <v>3127</v>
      </c>
      <c r="D1454" s="8"/>
      <c r="E1454" s="8" t="s">
        <v>3128</v>
      </c>
      <c r="F1454" s="9" t="s">
        <v>3123</v>
      </c>
      <c r="G1454" s="10">
        <v>42646</v>
      </c>
      <c r="H1454" s="8" t="s">
        <v>34</v>
      </c>
      <c r="I1454" s="11">
        <v>418508</v>
      </c>
      <c r="J1454" s="8" t="s">
        <v>2271</v>
      </c>
      <c r="K1454" s="8" t="s">
        <v>2272</v>
      </c>
      <c r="L1454" s="7">
        <v>2015</v>
      </c>
      <c r="M1454" s="8" t="s">
        <v>313</v>
      </c>
      <c r="N1454" s="11">
        <v>793956</v>
      </c>
      <c r="O1454" s="8" t="s">
        <v>2276</v>
      </c>
      <c r="P1454" s="8" t="s">
        <v>2277</v>
      </c>
      <c r="Q1454" s="8"/>
      <c r="R1454" s="8"/>
    </row>
    <row r="1455" spans="1:18" ht="26.15" customHeight="1">
      <c r="A1455" s="7">
        <v>1449</v>
      </c>
      <c r="B1455" s="8" t="s">
        <v>4487</v>
      </c>
      <c r="C1455" s="8" t="s">
        <v>3127</v>
      </c>
      <c r="D1455" s="8"/>
      <c r="E1455" s="8" t="s">
        <v>3128</v>
      </c>
      <c r="F1455" s="9" t="s">
        <v>3123</v>
      </c>
      <c r="G1455" s="10">
        <v>42646</v>
      </c>
      <c r="H1455" s="8" t="s">
        <v>34</v>
      </c>
      <c r="I1455" s="11">
        <v>418508</v>
      </c>
      <c r="J1455" s="8" t="s">
        <v>2271</v>
      </c>
      <c r="K1455" s="8" t="s">
        <v>2272</v>
      </c>
      <c r="L1455" s="7">
        <v>2015</v>
      </c>
      <c r="M1455" s="8" t="s">
        <v>313</v>
      </c>
      <c r="N1455" s="11">
        <v>793956</v>
      </c>
      <c r="O1455" s="8" t="s">
        <v>2276</v>
      </c>
      <c r="P1455" s="8" t="s">
        <v>2277</v>
      </c>
      <c r="Q1455" s="8"/>
      <c r="R1455" s="8"/>
    </row>
    <row r="1456" spans="1:18" ht="26.15" customHeight="1">
      <c r="A1456" s="7">
        <v>1450</v>
      </c>
      <c r="B1456" s="8" t="s">
        <v>2278</v>
      </c>
      <c r="C1456" s="8" t="s">
        <v>3127</v>
      </c>
      <c r="D1456" s="8"/>
      <c r="E1456" s="8" t="s">
        <v>3128</v>
      </c>
      <c r="F1456" s="9" t="s">
        <v>3117</v>
      </c>
      <c r="G1456" s="10">
        <v>42646</v>
      </c>
      <c r="H1456" s="8" t="s">
        <v>124</v>
      </c>
      <c r="I1456" s="11">
        <v>82292</v>
      </c>
      <c r="J1456" s="8" t="s">
        <v>878</v>
      </c>
      <c r="K1456" s="8" t="s">
        <v>879</v>
      </c>
      <c r="L1456" s="7">
        <v>2015</v>
      </c>
      <c r="M1456" s="8" t="s">
        <v>56</v>
      </c>
      <c r="N1456" s="11">
        <v>9059375</v>
      </c>
      <c r="O1456" s="8" t="s">
        <v>883</v>
      </c>
      <c r="P1456" s="8" t="s">
        <v>884</v>
      </c>
      <c r="Q1456" s="8"/>
      <c r="R1456" s="8"/>
    </row>
    <row r="1457" spans="1:18" ht="26.15" customHeight="1">
      <c r="A1457" s="7">
        <v>1451</v>
      </c>
      <c r="B1457" s="8" t="s">
        <v>3639</v>
      </c>
      <c r="C1457" s="8" t="s">
        <v>3114</v>
      </c>
      <c r="D1457" s="8" t="s">
        <v>3640</v>
      </c>
      <c r="E1457" s="8" t="s">
        <v>3116</v>
      </c>
      <c r="F1457" s="9" t="s">
        <v>3123</v>
      </c>
      <c r="G1457" s="10">
        <v>42644</v>
      </c>
      <c r="H1457" s="8" t="s">
        <v>184</v>
      </c>
      <c r="I1457" s="11">
        <v>89822</v>
      </c>
      <c r="J1457" s="8" t="s">
        <v>1239</v>
      </c>
      <c r="K1457" s="8" t="s">
        <v>1240</v>
      </c>
      <c r="L1457" s="7">
        <v>2016</v>
      </c>
      <c r="M1457" s="8" t="s">
        <v>1243</v>
      </c>
      <c r="N1457" s="11">
        <v>4352191</v>
      </c>
      <c r="O1457" s="8" t="s">
        <v>1244</v>
      </c>
      <c r="P1457" s="8" t="s">
        <v>1245</v>
      </c>
      <c r="Q1457" s="8"/>
      <c r="R1457" s="8" t="s">
        <v>79</v>
      </c>
    </row>
    <row r="1458" spans="1:18" ht="26.15" customHeight="1">
      <c r="A1458" s="7">
        <v>1452</v>
      </c>
      <c r="B1458" s="8" t="s">
        <v>1370</v>
      </c>
      <c r="C1458" s="8" t="s">
        <v>3114</v>
      </c>
      <c r="D1458" s="8" t="s">
        <v>3885</v>
      </c>
      <c r="E1458" s="8" t="s">
        <v>3116</v>
      </c>
      <c r="F1458" s="9" t="s">
        <v>3117</v>
      </c>
      <c r="G1458" s="10">
        <v>42643</v>
      </c>
      <c r="H1458" s="8" t="s">
        <v>34</v>
      </c>
      <c r="I1458" s="11">
        <v>50000</v>
      </c>
      <c r="J1458" s="8" t="s">
        <v>2279</v>
      </c>
      <c r="K1458" s="8" t="s">
        <v>2280</v>
      </c>
      <c r="L1458" s="7">
        <v>2016</v>
      </c>
      <c r="M1458" s="8" t="s">
        <v>1285</v>
      </c>
      <c r="N1458" s="11">
        <v>50000</v>
      </c>
      <c r="O1458" s="8" t="s">
        <v>2281</v>
      </c>
      <c r="P1458" s="8" t="s">
        <v>2282</v>
      </c>
      <c r="Q1458" s="8"/>
      <c r="R1458" s="8" t="s">
        <v>1285</v>
      </c>
    </row>
    <row r="1459" spans="1:18" ht="26.15" customHeight="1">
      <c r="A1459" s="7">
        <v>1453</v>
      </c>
      <c r="B1459" s="8" t="s">
        <v>4488</v>
      </c>
      <c r="C1459" s="8" t="s">
        <v>3139</v>
      </c>
      <c r="D1459" s="8" t="s">
        <v>4489</v>
      </c>
      <c r="E1459" s="8" t="s">
        <v>3116</v>
      </c>
      <c r="F1459" s="9" t="s">
        <v>3123</v>
      </c>
      <c r="G1459" s="10">
        <v>42641</v>
      </c>
      <c r="H1459" s="8" t="s">
        <v>34</v>
      </c>
      <c r="I1459" s="11">
        <v>1000000</v>
      </c>
      <c r="J1459" s="8" t="s">
        <v>507</v>
      </c>
      <c r="K1459" s="8" t="s">
        <v>508</v>
      </c>
      <c r="L1459" s="7">
        <v>2014</v>
      </c>
      <c r="M1459" s="8" t="s">
        <v>47</v>
      </c>
      <c r="N1459" s="11">
        <v>1000000</v>
      </c>
      <c r="O1459" s="8" t="s">
        <v>510</v>
      </c>
      <c r="P1459" s="8" t="s">
        <v>511</v>
      </c>
      <c r="Q1459" s="8"/>
      <c r="R1459" s="8" t="s">
        <v>313</v>
      </c>
    </row>
    <row r="1460" spans="1:18" ht="26.15" customHeight="1">
      <c r="A1460" s="7">
        <v>1454</v>
      </c>
      <c r="B1460" s="8" t="s">
        <v>1370</v>
      </c>
      <c r="C1460" s="8" t="s">
        <v>3114</v>
      </c>
      <c r="D1460" s="8" t="s">
        <v>3885</v>
      </c>
      <c r="E1460" s="8" t="s">
        <v>3116</v>
      </c>
      <c r="F1460" s="9" t="s">
        <v>3123</v>
      </c>
      <c r="G1460" s="10">
        <v>42620</v>
      </c>
      <c r="H1460" s="8" t="s">
        <v>34</v>
      </c>
      <c r="I1460" s="11">
        <v>50000</v>
      </c>
      <c r="J1460" s="8" t="s">
        <v>2288</v>
      </c>
      <c r="K1460" s="8" t="s">
        <v>2288</v>
      </c>
      <c r="L1460" s="7">
        <v>2016</v>
      </c>
      <c r="M1460" s="8" t="s">
        <v>1285</v>
      </c>
      <c r="N1460" s="11">
        <v>50000</v>
      </c>
      <c r="O1460" s="8" t="s">
        <v>2289</v>
      </c>
      <c r="P1460" s="8" t="s">
        <v>265</v>
      </c>
      <c r="Q1460" s="8"/>
      <c r="R1460" s="8" t="s">
        <v>1285</v>
      </c>
    </row>
    <row r="1461" spans="1:18" ht="26.15" customHeight="1">
      <c r="A1461" s="7">
        <v>1455</v>
      </c>
      <c r="B1461" s="8" t="s">
        <v>4490</v>
      </c>
      <c r="C1461" s="8" t="s">
        <v>3114</v>
      </c>
      <c r="D1461" s="8" t="s">
        <v>4491</v>
      </c>
      <c r="E1461" s="8" t="s">
        <v>3116</v>
      </c>
      <c r="F1461" s="9" t="s">
        <v>3123</v>
      </c>
      <c r="G1461" s="10">
        <v>42614</v>
      </c>
      <c r="H1461" s="8" t="s">
        <v>109</v>
      </c>
      <c r="I1461" s="11" t="s">
        <v>50</v>
      </c>
      <c r="J1461" s="8" t="s">
        <v>1728</v>
      </c>
      <c r="K1461" s="8" t="s">
        <v>1729</v>
      </c>
      <c r="L1461" s="7">
        <v>2015</v>
      </c>
      <c r="M1461" s="8" t="s">
        <v>1732</v>
      </c>
      <c r="N1461" s="11"/>
      <c r="O1461" s="8" t="s">
        <v>1733</v>
      </c>
      <c r="P1461" s="8" t="s">
        <v>1734</v>
      </c>
      <c r="Q1461" s="8"/>
      <c r="R1461" s="8" t="s">
        <v>1427</v>
      </c>
    </row>
    <row r="1462" spans="1:18" ht="26.15" customHeight="1">
      <c r="A1462" s="7">
        <v>1456</v>
      </c>
      <c r="B1462" s="8" t="s">
        <v>2297</v>
      </c>
      <c r="C1462" s="8" t="s">
        <v>3114</v>
      </c>
      <c r="D1462" s="8" t="s">
        <v>3852</v>
      </c>
      <c r="E1462" s="8" t="s">
        <v>3116</v>
      </c>
      <c r="F1462" s="9" t="s">
        <v>3117</v>
      </c>
      <c r="G1462" s="10">
        <v>42607</v>
      </c>
      <c r="H1462" s="8" t="s">
        <v>109</v>
      </c>
      <c r="I1462" s="11" t="s">
        <v>50</v>
      </c>
      <c r="J1462" s="8" t="s">
        <v>473</v>
      </c>
      <c r="K1462" s="8" t="s">
        <v>474</v>
      </c>
      <c r="L1462" s="7">
        <v>2014</v>
      </c>
      <c r="M1462" s="8" t="s">
        <v>39</v>
      </c>
      <c r="N1462" s="11">
        <v>46450000</v>
      </c>
      <c r="O1462" s="8" t="s">
        <v>475</v>
      </c>
      <c r="P1462" s="8" t="s">
        <v>476</v>
      </c>
      <c r="Q1462" s="8"/>
      <c r="R1462" s="8" t="s">
        <v>3853</v>
      </c>
    </row>
    <row r="1463" spans="1:18" ht="26.15" customHeight="1">
      <c r="A1463" s="7">
        <v>1457</v>
      </c>
      <c r="B1463" s="8" t="s">
        <v>2301</v>
      </c>
      <c r="C1463" s="8" t="s">
        <v>3114</v>
      </c>
      <c r="D1463" s="8" t="s">
        <v>4245</v>
      </c>
      <c r="E1463" s="8" t="s">
        <v>3116</v>
      </c>
      <c r="F1463" s="9" t="s">
        <v>3117</v>
      </c>
      <c r="G1463" s="10">
        <v>42605</v>
      </c>
      <c r="H1463" s="8" t="s">
        <v>34</v>
      </c>
      <c r="I1463" s="11">
        <v>300000</v>
      </c>
      <c r="J1463" s="8" t="s">
        <v>2298</v>
      </c>
      <c r="K1463" s="8" t="s">
        <v>2299</v>
      </c>
      <c r="L1463" s="7">
        <v>2016</v>
      </c>
      <c r="M1463" s="8" t="s">
        <v>2302</v>
      </c>
      <c r="N1463" s="11">
        <v>300000</v>
      </c>
      <c r="O1463" s="8" t="s">
        <v>2303</v>
      </c>
      <c r="P1463" s="8" t="s">
        <v>2304</v>
      </c>
      <c r="Q1463" s="8"/>
      <c r="R1463" s="8" t="s">
        <v>1732</v>
      </c>
    </row>
    <row r="1464" spans="1:18" ht="26.15" customHeight="1">
      <c r="A1464" s="7">
        <v>1458</v>
      </c>
      <c r="B1464" s="8" t="s">
        <v>653</v>
      </c>
      <c r="C1464" s="8" t="s">
        <v>3114</v>
      </c>
      <c r="D1464" s="8" t="s">
        <v>3532</v>
      </c>
      <c r="E1464" s="8" t="s">
        <v>3116</v>
      </c>
      <c r="F1464" s="9" t="s">
        <v>3123</v>
      </c>
      <c r="G1464" s="10">
        <v>42601</v>
      </c>
      <c r="H1464" s="8" t="s">
        <v>34</v>
      </c>
      <c r="I1464" s="11" t="s">
        <v>50</v>
      </c>
      <c r="J1464" s="8" t="s">
        <v>1990</v>
      </c>
      <c r="K1464" s="8" t="s">
        <v>1991</v>
      </c>
      <c r="L1464" s="7">
        <v>2014</v>
      </c>
      <c r="M1464" s="8" t="s">
        <v>79</v>
      </c>
      <c r="N1464" s="11"/>
      <c r="O1464" s="8" t="s">
        <v>1992</v>
      </c>
      <c r="P1464" s="8" t="s">
        <v>1993</v>
      </c>
      <c r="Q1464" s="8"/>
      <c r="R1464" s="8" t="s">
        <v>188</v>
      </c>
    </row>
    <row r="1465" spans="1:18" ht="26.15" customHeight="1">
      <c r="A1465" s="7">
        <v>1459</v>
      </c>
      <c r="B1465" s="8" t="s">
        <v>4492</v>
      </c>
      <c r="C1465" s="8" t="s">
        <v>3139</v>
      </c>
      <c r="D1465" s="8" t="s">
        <v>4493</v>
      </c>
      <c r="E1465" s="8" t="s">
        <v>3116</v>
      </c>
      <c r="F1465" s="9" t="s">
        <v>3123</v>
      </c>
      <c r="G1465" s="10">
        <v>42601</v>
      </c>
      <c r="H1465" s="8" t="s">
        <v>34</v>
      </c>
      <c r="I1465" s="11">
        <v>298912</v>
      </c>
      <c r="J1465" s="8" t="s">
        <v>1685</v>
      </c>
      <c r="K1465" s="8" t="s">
        <v>1686</v>
      </c>
      <c r="L1465" s="7">
        <v>2013</v>
      </c>
      <c r="M1465" s="8" t="s">
        <v>79</v>
      </c>
      <c r="N1465" s="11">
        <v>2257449</v>
      </c>
      <c r="O1465" s="8" t="s">
        <v>1690</v>
      </c>
      <c r="P1465" s="8" t="s">
        <v>1691</v>
      </c>
      <c r="Q1465" s="8"/>
      <c r="R1465" s="8" t="s">
        <v>4494</v>
      </c>
    </row>
    <row r="1466" spans="1:18" ht="26.15" customHeight="1">
      <c r="A1466" s="7">
        <v>1460</v>
      </c>
      <c r="B1466" s="8" t="s">
        <v>4495</v>
      </c>
      <c r="C1466" s="8" t="s">
        <v>3127</v>
      </c>
      <c r="D1466" s="8"/>
      <c r="E1466" s="8" t="s">
        <v>3128</v>
      </c>
      <c r="F1466" s="9" t="s">
        <v>3117</v>
      </c>
      <c r="G1466" s="10">
        <v>42601</v>
      </c>
      <c r="H1466" s="8" t="s">
        <v>34</v>
      </c>
      <c r="I1466" s="11">
        <v>298912</v>
      </c>
      <c r="J1466" s="8" t="s">
        <v>1685</v>
      </c>
      <c r="K1466" s="8" t="s">
        <v>1686</v>
      </c>
      <c r="L1466" s="7">
        <v>2013</v>
      </c>
      <c r="M1466" s="8" t="s">
        <v>79</v>
      </c>
      <c r="N1466" s="11">
        <v>2257449</v>
      </c>
      <c r="O1466" s="8" t="s">
        <v>1690</v>
      </c>
      <c r="P1466" s="8" t="s">
        <v>1691</v>
      </c>
      <c r="Q1466" s="8"/>
      <c r="R1466" s="8"/>
    </row>
    <row r="1467" spans="1:18" ht="26.15" customHeight="1">
      <c r="A1467" s="7">
        <v>1461</v>
      </c>
      <c r="B1467" s="8" t="s">
        <v>3923</v>
      </c>
      <c r="C1467" s="8" t="s">
        <v>3127</v>
      </c>
      <c r="D1467" s="8"/>
      <c r="E1467" s="8" t="s">
        <v>3128</v>
      </c>
      <c r="F1467" s="9" t="s">
        <v>3117</v>
      </c>
      <c r="G1467" s="10">
        <v>42601</v>
      </c>
      <c r="H1467" s="8" t="s">
        <v>34</v>
      </c>
      <c r="I1467" s="11">
        <v>298912</v>
      </c>
      <c r="J1467" s="8" t="s">
        <v>1685</v>
      </c>
      <c r="K1467" s="8" t="s">
        <v>1686</v>
      </c>
      <c r="L1467" s="7">
        <v>2013</v>
      </c>
      <c r="M1467" s="8" t="s">
        <v>79</v>
      </c>
      <c r="N1467" s="11">
        <v>2257449</v>
      </c>
      <c r="O1467" s="8" t="s">
        <v>1690</v>
      </c>
      <c r="P1467" s="8" t="s">
        <v>1691</v>
      </c>
      <c r="Q1467" s="8"/>
      <c r="R1467" s="8"/>
    </row>
    <row r="1468" spans="1:18" ht="26.15" customHeight="1">
      <c r="A1468" s="7">
        <v>1462</v>
      </c>
      <c r="B1468" s="8" t="s">
        <v>4496</v>
      </c>
      <c r="C1468" s="8" t="s">
        <v>3127</v>
      </c>
      <c r="D1468" s="8"/>
      <c r="E1468" s="8" t="s">
        <v>3128</v>
      </c>
      <c r="F1468" s="9" t="s">
        <v>3117</v>
      </c>
      <c r="G1468" s="10">
        <v>42601</v>
      </c>
      <c r="H1468" s="8" t="s">
        <v>34</v>
      </c>
      <c r="I1468" s="11">
        <v>298912</v>
      </c>
      <c r="J1468" s="8" t="s">
        <v>1685</v>
      </c>
      <c r="K1468" s="8" t="s">
        <v>1686</v>
      </c>
      <c r="L1468" s="7">
        <v>2013</v>
      </c>
      <c r="M1468" s="8" t="s">
        <v>79</v>
      </c>
      <c r="N1468" s="11">
        <v>2257449</v>
      </c>
      <c r="O1468" s="8" t="s">
        <v>1690</v>
      </c>
      <c r="P1468" s="8" t="s">
        <v>1691</v>
      </c>
      <c r="Q1468" s="8"/>
      <c r="R1468" s="8"/>
    </row>
    <row r="1469" spans="1:18" ht="26.15" customHeight="1">
      <c r="A1469" s="7">
        <v>1463</v>
      </c>
      <c r="B1469" s="8" t="s">
        <v>4497</v>
      </c>
      <c r="C1469" s="8" t="s">
        <v>3127</v>
      </c>
      <c r="D1469" s="8"/>
      <c r="E1469" s="8" t="s">
        <v>3128</v>
      </c>
      <c r="F1469" s="9" t="s">
        <v>3117</v>
      </c>
      <c r="G1469" s="10">
        <v>42601</v>
      </c>
      <c r="H1469" s="8" t="s">
        <v>34</v>
      </c>
      <c r="I1469" s="11">
        <v>298912</v>
      </c>
      <c r="J1469" s="8" t="s">
        <v>1685</v>
      </c>
      <c r="K1469" s="8" t="s">
        <v>1686</v>
      </c>
      <c r="L1469" s="7">
        <v>2013</v>
      </c>
      <c r="M1469" s="8" t="s">
        <v>79</v>
      </c>
      <c r="N1469" s="11">
        <v>2257449</v>
      </c>
      <c r="O1469" s="8" t="s">
        <v>1690</v>
      </c>
      <c r="P1469" s="8" t="s">
        <v>1691</v>
      </c>
      <c r="Q1469" s="8"/>
      <c r="R1469" s="8"/>
    </row>
    <row r="1470" spans="1:18" ht="26.15" customHeight="1">
      <c r="A1470" s="7">
        <v>1464</v>
      </c>
      <c r="B1470" s="8" t="s">
        <v>4498</v>
      </c>
      <c r="C1470" s="8" t="s">
        <v>3127</v>
      </c>
      <c r="D1470" s="8"/>
      <c r="E1470" s="8" t="s">
        <v>3128</v>
      </c>
      <c r="F1470" s="9" t="s">
        <v>3117</v>
      </c>
      <c r="G1470" s="10">
        <v>42601</v>
      </c>
      <c r="H1470" s="8" t="s">
        <v>34</v>
      </c>
      <c r="I1470" s="11">
        <v>298912</v>
      </c>
      <c r="J1470" s="8" t="s">
        <v>1685</v>
      </c>
      <c r="K1470" s="8" t="s">
        <v>1686</v>
      </c>
      <c r="L1470" s="7">
        <v>2013</v>
      </c>
      <c r="M1470" s="8" t="s">
        <v>79</v>
      </c>
      <c r="N1470" s="11">
        <v>2257449</v>
      </c>
      <c r="O1470" s="8" t="s">
        <v>1690</v>
      </c>
      <c r="P1470" s="8" t="s">
        <v>1691</v>
      </c>
      <c r="Q1470" s="8"/>
      <c r="R1470" s="8"/>
    </row>
    <row r="1471" spans="1:18" ht="26.15" customHeight="1">
      <c r="A1471" s="7">
        <v>1465</v>
      </c>
      <c r="B1471" s="8" t="s">
        <v>4390</v>
      </c>
      <c r="C1471" s="8" t="s">
        <v>3127</v>
      </c>
      <c r="D1471" s="8"/>
      <c r="E1471" s="8" t="s">
        <v>3128</v>
      </c>
      <c r="F1471" s="9" t="s">
        <v>3117</v>
      </c>
      <c r="G1471" s="10">
        <v>42601</v>
      </c>
      <c r="H1471" s="8" t="s">
        <v>34</v>
      </c>
      <c r="I1471" s="11">
        <v>298912</v>
      </c>
      <c r="J1471" s="8" t="s">
        <v>1685</v>
      </c>
      <c r="K1471" s="8" t="s">
        <v>1686</v>
      </c>
      <c r="L1471" s="7">
        <v>2013</v>
      </c>
      <c r="M1471" s="8" t="s">
        <v>79</v>
      </c>
      <c r="N1471" s="11">
        <v>2257449</v>
      </c>
      <c r="O1471" s="8" t="s">
        <v>1690</v>
      </c>
      <c r="P1471" s="8" t="s">
        <v>1691</v>
      </c>
      <c r="Q1471" s="8"/>
      <c r="R1471" s="8"/>
    </row>
    <row r="1472" spans="1:18" ht="26.15" customHeight="1">
      <c r="A1472" s="7">
        <v>1466</v>
      </c>
      <c r="B1472" s="8" t="s">
        <v>4499</v>
      </c>
      <c r="C1472" s="8" t="s">
        <v>3127</v>
      </c>
      <c r="D1472" s="8"/>
      <c r="E1472" s="8" t="s">
        <v>3128</v>
      </c>
      <c r="F1472" s="9" t="s">
        <v>3123</v>
      </c>
      <c r="G1472" s="10">
        <v>42601</v>
      </c>
      <c r="H1472" s="8" t="s">
        <v>34</v>
      </c>
      <c r="I1472" s="11">
        <v>298912</v>
      </c>
      <c r="J1472" s="8" t="s">
        <v>1685</v>
      </c>
      <c r="K1472" s="8" t="s">
        <v>1686</v>
      </c>
      <c r="L1472" s="7">
        <v>2013</v>
      </c>
      <c r="M1472" s="8" t="s">
        <v>79</v>
      </c>
      <c r="N1472" s="11">
        <v>2257449</v>
      </c>
      <c r="O1472" s="8" t="s">
        <v>1690</v>
      </c>
      <c r="P1472" s="8" t="s">
        <v>1691</v>
      </c>
      <c r="Q1472" s="8"/>
      <c r="R1472" s="8"/>
    </row>
    <row r="1473" spans="1:18" ht="26.15" customHeight="1">
      <c r="A1473" s="7">
        <v>1467</v>
      </c>
      <c r="B1473" s="8" t="s">
        <v>4500</v>
      </c>
      <c r="C1473" s="8" t="s">
        <v>3127</v>
      </c>
      <c r="D1473" s="8"/>
      <c r="E1473" s="8" t="s">
        <v>3128</v>
      </c>
      <c r="F1473" s="9" t="s">
        <v>3123</v>
      </c>
      <c r="G1473" s="10">
        <v>42601</v>
      </c>
      <c r="H1473" s="8" t="s">
        <v>34</v>
      </c>
      <c r="I1473" s="11">
        <v>298912</v>
      </c>
      <c r="J1473" s="8" t="s">
        <v>1685</v>
      </c>
      <c r="K1473" s="8" t="s">
        <v>1686</v>
      </c>
      <c r="L1473" s="7">
        <v>2013</v>
      </c>
      <c r="M1473" s="8" t="s">
        <v>79</v>
      </c>
      <c r="N1473" s="11">
        <v>2257449</v>
      </c>
      <c r="O1473" s="8" t="s">
        <v>1690</v>
      </c>
      <c r="P1473" s="8" t="s">
        <v>1691</v>
      </c>
      <c r="Q1473" s="8"/>
      <c r="R1473" s="8"/>
    </row>
    <row r="1474" spans="1:18" ht="26.15" customHeight="1">
      <c r="A1474" s="7">
        <v>1468</v>
      </c>
      <c r="B1474" s="8" t="s">
        <v>4501</v>
      </c>
      <c r="C1474" s="8" t="s">
        <v>3127</v>
      </c>
      <c r="D1474" s="8"/>
      <c r="E1474" s="8" t="s">
        <v>3128</v>
      </c>
      <c r="F1474" s="9" t="s">
        <v>3123</v>
      </c>
      <c r="G1474" s="10">
        <v>42601</v>
      </c>
      <c r="H1474" s="8" t="s">
        <v>34</v>
      </c>
      <c r="I1474" s="11">
        <v>298912</v>
      </c>
      <c r="J1474" s="8" t="s">
        <v>1685</v>
      </c>
      <c r="K1474" s="8" t="s">
        <v>1686</v>
      </c>
      <c r="L1474" s="7">
        <v>2013</v>
      </c>
      <c r="M1474" s="8" t="s">
        <v>79</v>
      </c>
      <c r="N1474" s="11">
        <v>2257449</v>
      </c>
      <c r="O1474" s="8" t="s">
        <v>1690</v>
      </c>
      <c r="P1474" s="8" t="s">
        <v>1691</v>
      </c>
      <c r="Q1474" s="8"/>
      <c r="R1474" s="8"/>
    </row>
    <row r="1475" spans="1:18" ht="26.15" customHeight="1">
      <c r="A1475" s="7">
        <v>1469</v>
      </c>
      <c r="B1475" s="8" t="s">
        <v>3918</v>
      </c>
      <c r="C1475" s="8" t="s">
        <v>3127</v>
      </c>
      <c r="D1475" s="8"/>
      <c r="E1475" s="8" t="s">
        <v>3128</v>
      </c>
      <c r="F1475" s="9" t="s">
        <v>3117</v>
      </c>
      <c r="G1475" s="10">
        <v>42601</v>
      </c>
      <c r="H1475" s="8" t="s">
        <v>34</v>
      </c>
      <c r="I1475" s="11">
        <v>298912</v>
      </c>
      <c r="J1475" s="8" t="s">
        <v>1685</v>
      </c>
      <c r="K1475" s="8" t="s">
        <v>1686</v>
      </c>
      <c r="L1475" s="7">
        <v>2013</v>
      </c>
      <c r="M1475" s="8" t="s">
        <v>79</v>
      </c>
      <c r="N1475" s="11">
        <v>2257449</v>
      </c>
      <c r="O1475" s="8" t="s">
        <v>1690</v>
      </c>
      <c r="P1475" s="8" t="s">
        <v>1691</v>
      </c>
      <c r="Q1475" s="8"/>
      <c r="R1475" s="8"/>
    </row>
    <row r="1476" spans="1:18" ht="26.15" customHeight="1">
      <c r="A1476" s="7">
        <v>1470</v>
      </c>
      <c r="B1476" s="8" t="s">
        <v>4502</v>
      </c>
      <c r="C1476" s="8" t="s">
        <v>3127</v>
      </c>
      <c r="D1476" s="8"/>
      <c r="E1476" s="8" t="s">
        <v>3128</v>
      </c>
      <c r="F1476" s="9" t="s">
        <v>3123</v>
      </c>
      <c r="G1476" s="10">
        <v>42601</v>
      </c>
      <c r="H1476" s="8" t="s">
        <v>34</v>
      </c>
      <c r="I1476" s="11">
        <v>298912</v>
      </c>
      <c r="J1476" s="8" t="s">
        <v>1685</v>
      </c>
      <c r="K1476" s="8" t="s">
        <v>1686</v>
      </c>
      <c r="L1476" s="7">
        <v>2013</v>
      </c>
      <c r="M1476" s="8" t="s">
        <v>79</v>
      </c>
      <c r="N1476" s="11">
        <v>2257449</v>
      </c>
      <c r="O1476" s="8" t="s">
        <v>1690</v>
      </c>
      <c r="P1476" s="8" t="s">
        <v>1691</v>
      </c>
      <c r="Q1476" s="8"/>
      <c r="R1476" s="8"/>
    </row>
    <row r="1477" spans="1:18" ht="26.15" customHeight="1">
      <c r="A1477" s="7">
        <v>1471</v>
      </c>
      <c r="B1477" s="8" t="s">
        <v>4503</v>
      </c>
      <c r="C1477" s="8" t="s">
        <v>3127</v>
      </c>
      <c r="D1477" s="8"/>
      <c r="E1477" s="8" t="s">
        <v>3128</v>
      </c>
      <c r="F1477" s="9" t="s">
        <v>3123</v>
      </c>
      <c r="G1477" s="10">
        <v>42601</v>
      </c>
      <c r="H1477" s="8" t="s">
        <v>34</v>
      </c>
      <c r="I1477" s="11">
        <v>298912</v>
      </c>
      <c r="J1477" s="8" t="s">
        <v>1685</v>
      </c>
      <c r="K1477" s="8" t="s">
        <v>1686</v>
      </c>
      <c r="L1477" s="7">
        <v>2013</v>
      </c>
      <c r="M1477" s="8" t="s">
        <v>79</v>
      </c>
      <c r="N1477" s="11">
        <v>2257449</v>
      </c>
      <c r="O1477" s="8" t="s">
        <v>1690</v>
      </c>
      <c r="P1477" s="8" t="s">
        <v>1691</v>
      </c>
      <c r="Q1477" s="8"/>
      <c r="R1477" s="8"/>
    </row>
    <row r="1478" spans="1:18" ht="26.15" customHeight="1">
      <c r="A1478" s="7">
        <v>1472</v>
      </c>
      <c r="B1478" s="8" t="s">
        <v>4504</v>
      </c>
      <c r="C1478" s="8" t="s">
        <v>3127</v>
      </c>
      <c r="D1478" s="8"/>
      <c r="E1478" s="8" t="s">
        <v>3128</v>
      </c>
      <c r="F1478" s="9" t="s">
        <v>3123</v>
      </c>
      <c r="G1478" s="10">
        <v>42601</v>
      </c>
      <c r="H1478" s="8" t="s">
        <v>34</v>
      </c>
      <c r="I1478" s="11">
        <v>298912</v>
      </c>
      <c r="J1478" s="8" t="s">
        <v>1685</v>
      </c>
      <c r="K1478" s="8" t="s">
        <v>1686</v>
      </c>
      <c r="L1478" s="7">
        <v>2013</v>
      </c>
      <c r="M1478" s="8" t="s">
        <v>79</v>
      </c>
      <c r="N1478" s="11">
        <v>2257449</v>
      </c>
      <c r="O1478" s="8" t="s">
        <v>1690</v>
      </c>
      <c r="P1478" s="8" t="s">
        <v>1691</v>
      </c>
      <c r="Q1478" s="8"/>
      <c r="R1478" s="8"/>
    </row>
    <row r="1479" spans="1:18" ht="26.15" customHeight="1">
      <c r="A1479" s="7">
        <v>1473</v>
      </c>
      <c r="B1479" s="8" t="s">
        <v>4505</v>
      </c>
      <c r="C1479" s="8" t="s">
        <v>3127</v>
      </c>
      <c r="D1479" s="8"/>
      <c r="E1479" s="8" t="s">
        <v>3128</v>
      </c>
      <c r="F1479" s="9" t="s">
        <v>3123</v>
      </c>
      <c r="G1479" s="10">
        <v>42601</v>
      </c>
      <c r="H1479" s="8" t="s">
        <v>34</v>
      </c>
      <c r="I1479" s="11">
        <v>298912</v>
      </c>
      <c r="J1479" s="8" t="s">
        <v>1685</v>
      </c>
      <c r="K1479" s="8" t="s">
        <v>1686</v>
      </c>
      <c r="L1479" s="7">
        <v>2013</v>
      </c>
      <c r="M1479" s="8" t="s">
        <v>79</v>
      </c>
      <c r="N1479" s="11">
        <v>2257449</v>
      </c>
      <c r="O1479" s="8" t="s">
        <v>1690</v>
      </c>
      <c r="P1479" s="8" t="s">
        <v>1691</v>
      </c>
      <c r="Q1479" s="8"/>
      <c r="R1479" s="8"/>
    </row>
    <row r="1480" spans="1:18" ht="26.15" customHeight="1">
      <c r="A1480" s="7">
        <v>1474</v>
      </c>
      <c r="B1480" s="8" t="s">
        <v>4506</v>
      </c>
      <c r="C1480" s="8" t="s">
        <v>3127</v>
      </c>
      <c r="D1480" s="8"/>
      <c r="E1480" s="8" t="s">
        <v>3128</v>
      </c>
      <c r="F1480" s="9" t="s">
        <v>3123</v>
      </c>
      <c r="G1480" s="10">
        <v>42601</v>
      </c>
      <c r="H1480" s="8" t="s">
        <v>34</v>
      </c>
      <c r="I1480" s="11">
        <v>298912</v>
      </c>
      <c r="J1480" s="8" t="s">
        <v>1685</v>
      </c>
      <c r="K1480" s="8" t="s">
        <v>1686</v>
      </c>
      <c r="L1480" s="7">
        <v>2013</v>
      </c>
      <c r="M1480" s="8" t="s">
        <v>79</v>
      </c>
      <c r="N1480" s="11">
        <v>2257449</v>
      </c>
      <c r="O1480" s="8" t="s">
        <v>1690</v>
      </c>
      <c r="P1480" s="8" t="s">
        <v>1691</v>
      </c>
      <c r="Q1480" s="8"/>
      <c r="R1480" s="8"/>
    </row>
    <row r="1481" spans="1:18" ht="26.15" customHeight="1">
      <c r="A1481" s="7">
        <v>1475</v>
      </c>
      <c r="B1481" s="8" t="s">
        <v>4507</v>
      </c>
      <c r="C1481" s="8" t="s">
        <v>3114</v>
      </c>
      <c r="D1481" s="8" t="s">
        <v>4508</v>
      </c>
      <c r="E1481" s="8" t="s">
        <v>3116</v>
      </c>
      <c r="F1481" s="9" t="s">
        <v>3123</v>
      </c>
      <c r="G1481" s="10">
        <v>42598</v>
      </c>
      <c r="H1481" s="8" t="s">
        <v>34</v>
      </c>
      <c r="I1481" s="11" t="s">
        <v>50</v>
      </c>
      <c r="J1481" s="8" t="s">
        <v>426</v>
      </c>
      <c r="K1481" s="8" t="s">
        <v>427</v>
      </c>
      <c r="L1481" s="7">
        <v>2014</v>
      </c>
      <c r="M1481" s="8" t="s">
        <v>173</v>
      </c>
      <c r="N1481" s="11">
        <v>5000000</v>
      </c>
      <c r="O1481" s="8" t="s">
        <v>430</v>
      </c>
      <c r="P1481" s="8" t="s">
        <v>431</v>
      </c>
      <c r="Q1481" s="8"/>
      <c r="R1481" s="8" t="s">
        <v>4509</v>
      </c>
    </row>
    <row r="1482" spans="1:18" ht="26.15" customHeight="1">
      <c r="A1482" s="7">
        <v>1476</v>
      </c>
      <c r="B1482" s="8" t="s">
        <v>4510</v>
      </c>
      <c r="C1482" s="8" t="s">
        <v>3139</v>
      </c>
      <c r="D1482" s="8" t="s">
        <v>4511</v>
      </c>
      <c r="E1482" s="8" t="s">
        <v>3116</v>
      </c>
      <c r="F1482" s="9" t="s">
        <v>3123</v>
      </c>
      <c r="G1482" s="10">
        <v>42598</v>
      </c>
      <c r="H1482" s="8" t="s">
        <v>34</v>
      </c>
      <c r="I1482" s="11" t="s">
        <v>50</v>
      </c>
      <c r="J1482" s="8" t="s">
        <v>426</v>
      </c>
      <c r="K1482" s="8" t="s">
        <v>427</v>
      </c>
      <c r="L1482" s="7">
        <v>2014</v>
      </c>
      <c r="M1482" s="8" t="s">
        <v>173</v>
      </c>
      <c r="N1482" s="11">
        <v>5000000</v>
      </c>
      <c r="O1482" s="8" t="s">
        <v>430</v>
      </c>
      <c r="P1482" s="8" t="s">
        <v>431</v>
      </c>
      <c r="Q1482" s="8"/>
      <c r="R1482" s="8"/>
    </row>
    <row r="1483" spans="1:18" ht="26.15" customHeight="1">
      <c r="A1483" s="7">
        <v>1477</v>
      </c>
      <c r="B1483" s="8" t="s">
        <v>4512</v>
      </c>
      <c r="C1483" s="8" t="s">
        <v>3139</v>
      </c>
      <c r="D1483" s="8" t="s">
        <v>4513</v>
      </c>
      <c r="E1483" s="8" t="s">
        <v>3116</v>
      </c>
      <c r="F1483" s="9" t="s">
        <v>3123</v>
      </c>
      <c r="G1483" s="10">
        <v>42590</v>
      </c>
      <c r="H1483" s="8" t="s">
        <v>1309</v>
      </c>
      <c r="I1483" s="11">
        <v>15019200</v>
      </c>
      <c r="J1483" s="8" t="s">
        <v>2309</v>
      </c>
      <c r="K1483" s="8" t="s">
        <v>2310</v>
      </c>
      <c r="L1483" s="7">
        <v>2009</v>
      </c>
      <c r="M1483" s="8" t="s">
        <v>1732</v>
      </c>
      <c r="N1483" s="11">
        <v>204990000</v>
      </c>
      <c r="O1483" s="8" t="s">
        <v>2312</v>
      </c>
      <c r="P1483" s="8" t="s">
        <v>2313</v>
      </c>
      <c r="Q1483" s="8"/>
      <c r="R1483" s="8" t="s">
        <v>2057</v>
      </c>
    </row>
    <row r="1484" spans="1:18" ht="26.15" customHeight="1">
      <c r="A1484" s="7">
        <v>1478</v>
      </c>
      <c r="B1484" s="8" t="s">
        <v>2275</v>
      </c>
      <c r="C1484" s="8" t="s">
        <v>3114</v>
      </c>
      <c r="D1484" s="8" t="s">
        <v>3409</v>
      </c>
      <c r="E1484" s="8" t="s">
        <v>3116</v>
      </c>
      <c r="F1484" s="9" t="s">
        <v>3123</v>
      </c>
      <c r="G1484" s="10">
        <v>42583</v>
      </c>
      <c r="H1484" s="8" t="s">
        <v>109</v>
      </c>
      <c r="I1484" s="11">
        <v>1420730</v>
      </c>
      <c r="J1484" s="8" t="s">
        <v>1330</v>
      </c>
      <c r="K1484" s="8" t="s">
        <v>1331</v>
      </c>
      <c r="L1484" s="7">
        <v>2010</v>
      </c>
      <c r="M1484" s="8" t="s">
        <v>79</v>
      </c>
      <c r="N1484" s="11">
        <v>15568800</v>
      </c>
      <c r="O1484" s="8" t="s">
        <v>1334</v>
      </c>
      <c r="P1484" s="8" t="s">
        <v>1335</v>
      </c>
      <c r="Q1484" s="8"/>
      <c r="R1484" s="8" t="s">
        <v>3204</v>
      </c>
    </row>
    <row r="1485" spans="1:18" ht="26.15" customHeight="1">
      <c r="A1485" s="7">
        <v>1479</v>
      </c>
      <c r="B1485" s="8" t="s">
        <v>4514</v>
      </c>
      <c r="C1485" s="8" t="s">
        <v>3114</v>
      </c>
      <c r="D1485" s="8" t="s">
        <v>4515</v>
      </c>
      <c r="E1485" s="8" t="s">
        <v>3116</v>
      </c>
      <c r="F1485" s="9" t="s">
        <v>3123</v>
      </c>
      <c r="G1485" s="10">
        <v>42583</v>
      </c>
      <c r="H1485" s="8" t="s">
        <v>109</v>
      </c>
      <c r="I1485" s="11">
        <v>1420730</v>
      </c>
      <c r="J1485" s="8" t="s">
        <v>1330</v>
      </c>
      <c r="K1485" s="8" t="s">
        <v>1331</v>
      </c>
      <c r="L1485" s="7">
        <v>2010</v>
      </c>
      <c r="M1485" s="8" t="s">
        <v>79</v>
      </c>
      <c r="N1485" s="11">
        <v>15568800</v>
      </c>
      <c r="O1485" s="8" t="s">
        <v>1334</v>
      </c>
      <c r="P1485" s="8" t="s">
        <v>1335</v>
      </c>
      <c r="Q1485" s="8"/>
      <c r="R1485" s="8"/>
    </row>
    <row r="1486" spans="1:18" ht="26.15" customHeight="1">
      <c r="A1486" s="7">
        <v>1480</v>
      </c>
      <c r="B1486" s="8" t="s">
        <v>1467</v>
      </c>
      <c r="C1486" s="8" t="s">
        <v>3114</v>
      </c>
      <c r="D1486" s="8" t="s">
        <v>3196</v>
      </c>
      <c r="E1486" s="8" t="s">
        <v>3116</v>
      </c>
      <c r="F1486" s="9" t="s">
        <v>3117</v>
      </c>
      <c r="G1486" s="10">
        <v>42579</v>
      </c>
      <c r="H1486" s="8" t="s">
        <v>34</v>
      </c>
      <c r="I1486" s="11">
        <v>89088</v>
      </c>
      <c r="J1486" s="8" t="s">
        <v>2315</v>
      </c>
      <c r="K1486" s="8" t="s">
        <v>2316</v>
      </c>
      <c r="L1486" s="7">
        <v>2011</v>
      </c>
      <c r="M1486" s="8" t="s">
        <v>188</v>
      </c>
      <c r="N1486" s="11">
        <v>89088</v>
      </c>
      <c r="O1486" s="8" t="s">
        <v>2317</v>
      </c>
      <c r="P1486" s="8" t="s">
        <v>2318</v>
      </c>
      <c r="Q1486" s="8"/>
      <c r="R1486" s="8" t="s">
        <v>313</v>
      </c>
    </row>
    <row r="1487" spans="1:18" ht="26.15" customHeight="1">
      <c r="A1487" s="7">
        <v>1481</v>
      </c>
      <c r="B1487" s="8" t="s">
        <v>4516</v>
      </c>
      <c r="C1487" s="8" t="s">
        <v>3139</v>
      </c>
      <c r="D1487" s="8" t="s">
        <v>4517</v>
      </c>
      <c r="E1487" s="8" t="s">
        <v>3116</v>
      </c>
      <c r="F1487" s="9" t="s">
        <v>3123</v>
      </c>
      <c r="G1487" s="10">
        <v>42578</v>
      </c>
      <c r="H1487" s="8" t="s">
        <v>184</v>
      </c>
      <c r="I1487" s="11">
        <v>867788</v>
      </c>
      <c r="J1487" s="8" t="s">
        <v>2319</v>
      </c>
      <c r="K1487" s="8" t="s">
        <v>2320</v>
      </c>
      <c r="L1487" s="7">
        <v>2007</v>
      </c>
      <c r="M1487" s="8" t="s">
        <v>1285</v>
      </c>
      <c r="N1487" s="11">
        <v>2750000</v>
      </c>
      <c r="O1487" s="8" t="s">
        <v>2322</v>
      </c>
      <c r="P1487" s="8" t="s">
        <v>2323</v>
      </c>
      <c r="Q1487" s="8"/>
      <c r="R1487" s="8"/>
    </row>
    <row r="1488" spans="1:18" ht="26.15" customHeight="1">
      <c r="A1488" s="7">
        <v>1482</v>
      </c>
      <c r="B1488" s="8" t="s">
        <v>206</v>
      </c>
      <c r="C1488" s="8" t="s">
        <v>3114</v>
      </c>
      <c r="D1488" s="8" t="s">
        <v>3181</v>
      </c>
      <c r="E1488" s="8" t="s">
        <v>3116</v>
      </c>
      <c r="F1488" s="9" t="s">
        <v>3123</v>
      </c>
      <c r="G1488" s="10">
        <v>42572</v>
      </c>
      <c r="H1488" s="8" t="s">
        <v>34</v>
      </c>
      <c r="I1488" s="11" t="s">
        <v>50</v>
      </c>
      <c r="J1488" s="8" t="s">
        <v>2324</v>
      </c>
      <c r="K1488" s="8" t="s">
        <v>2325</v>
      </c>
      <c r="L1488" s="7">
        <v>2015</v>
      </c>
      <c r="M1488" s="8" t="s">
        <v>2326</v>
      </c>
      <c r="N1488" s="11"/>
      <c r="O1488" s="8" t="s">
        <v>2327</v>
      </c>
      <c r="P1488" s="8" t="s">
        <v>2328</v>
      </c>
      <c r="Q1488" s="8"/>
      <c r="R1488" s="8" t="s">
        <v>3156</v>
      </c>
    </row>
    <row r="1489" spans="1:18" ht="26.15" customHeight="1">
      <c r="A1489" s="7">
        <v>1483</v>
      </c>
      <c r="B1489" s="8" t="s">
        <v>2014</v>
      </c>
      <c r="C1489" s="8" t="s">
        <v>3114</v>
      </c>
      <c r="D1489" s="8" t="s">
        <v>4304</v>
      </c>
      <c r="E1489" s="8" t="s">
        <v>3116</v>
      </c>
      <c r="F1489" s="9" t="s">
        <v>3117</v>
      </c>
      <c r="G1489" s="10">
        <v>42572</v>
      </c>
      <c r="H1489" s="8" t="s">
        <v>34</v>
      </c>
      <c r="I1489" s="11" t="s">
        <v>50</v>
      </c>
      <c r="J1489" s="8" t="s">
        <v>2329</v>
      </c>
      <c r="K1489" s="8" t="s">
        <v>2330</v>
      </c>
      <c r="L1489" s="7">
        <v>2015</v>
      </c>
      <c r="M1489" s="8" t="s">
        <v>79</v>
      </c>
      <c r="N1489" s="11">
        <v>89953</v>
      </c>
      <c r="O1489" s="8" t="s">
        <v>2333</v>
      </c>
      <c r="P1489" s="8" t="s">
        <v>2334</v>
      </c>
      <c r="Q1489" s="8"/>
      <c r="R1489" s="8" t="s">
        <v>79</v>
      </c>
    </row>
    <row r="1490" spans="1:18" ht="26.15" customHeight="1">
      <c r="A1490" s="7">
        <v>1484</v>
      </c>
      <c r="B1490" s="8" t="s">
        <v>4518</v>
      </c>
      <c r="C1490" s="8" t="s">
        <v>3139</v>
      </c>
      <c r="D1490" s="8" t="s">
        <v>4519</v>
      </c>
      <c r="E1490" s="8" t="s">
        <v>3116</v>
      </c>
      <c r="F1490" s="9" t="s">
        <v>3117</v>
      </c>
      <c r="G1490" s="10">
        <v>42572</v>
      </c>
      <c r="H1490" s="8" t="s">
        <v>34</v>
      </c>
      <c r="I1490" s="11" t="s">
        <v>50</v>
      </c>
      <c r="J1490" s="8" t="s">
        <v>2329</v>
      </c>
      <c r="K1490" s="8" t="s">
        <v>2330</v>
      </c>
      <c r="L1490" s="7">
        <v>2015</v>
      </c>
      <c r="M1490" s="8" t="s">
        <v>79</v>
      </c>
      <c r="N1490" s="11">
        <v>89953</v>
      </c>
      <c r="O1490" s="8" t="s">
        <v>2333</v>
      </c>
      <c r="P1490" s="8" t="s">
        <v>2334</v>
      </c>
      <c r="Q1490" s="8"/>
      <c r="R1490" s="8" t="s">
        <v>3269</v>
      </c>
    </row>
    <row r="1491" spans="1:18" ht="26.15" customHeight="1">
      <c r="A1491" s="7">
        <v>1485</v>
      </c>
      <c r="B1491" s="8" t="s">
        <v>4520</v>
      </c>
      <c r="C1491" s="8" t="s">
        <v>3114</v>
      </c>
      <c r="D1491" s="8" t="s">
        <v>4521</v>
      </c>
      <c r="E1491" s="8" t="s">
        <v>3116</v>
      </c>
      <c r="F1491" s="9" t="s">
        <v>3123</v>
      </c>
      <c r="G1491" s="10">
        <v>42571</v>
      </c>
      <c r="H1491" s="8" t="s">
        <v>184</v>
      </c>
      <c r="I1491" s="11">
        <v>21400</v>
      </c>
      <c r="J1491" s="8" t="s">
        <v>2335</v>
      </c>
      <c r="K1491" s="8" t="s">
        <v>2336</v>
      </c>
      <c r="L1491" s="7">
        <v>2015</v>
      </c>
      <c r="M1491" s="8" t="s">
        <v>2338</v>
      </c>
      <c r="N1491" s="11"/>
      <c r="O1491" s="8" t="s">
        <v>2339</v>
      </c>
      <c r="P1491" s="8" t="s">
        <v>2340</v>
      </c>
      <c r="Q1491" s="8"/>
      <c r="R1491" s="8" t="s">
        <v>4522</v>
      </c>
    </row>
    <row r="1492" spans="1:18" ht="26.15" customHeight="1">
      <c r="A1492" s="7">
        <v>1486</v>
      </c>
      <c r="B1492" s="8" t="s">
        <v>2344</v>
      </c>
      <c r="C1492" s="8" t="s">
        <v>3139</v>
      </c>
      <c r="D1492" s="8" t="s">
        <v>4523</v>
      </c>
      <c r="E1492" s="8" t="s">
        <v>3116</v>
      </c>
      <c r="F1492" s="9" t="s">
        <v>3117</v>
      </c>
      <c r="G1492" s="10">
        <v>42571</v>
      </c>
      <c r="H1492" s="8" t="s">
        <v>109</v>
      </c>
      <c r="I1492" s="11">
        <v>5971680</v>
      </c>
      <c r="J1492" s="8" t="s">
        <v>2341</v>
      </c>
      <c r="K1492" s="8" t="s">
        <v>2342</v>
      </c>
      <c r="L1492" s="7">
        <v>2015</v>
      </c>
      <c r="M1492" s="8" t="s">
        <v>894</v>
      </c>
      <c r="N1492" s="11">
        <v>5971680</v>
      </c>
      <c r="O1492" s="8" t="s">
        <v>2345</v>
      </c>
      <c r="P1492" s="8" t="s">
        <v>2346</v>
      </c>
      <c r="Q1492" s="8"/>
      <c r="R1492" s="8" t="s">
        <v>3357</v>
      </c>
    </row>
    <row r="1493" spans="1:18" ht="26.15" customHeight="1">
      <c r="A1493" s="7">
        <v>1487</v>
      </c>
      <c r="B1493" s="8" t="s">
        <v>4524</v>
      </c>
      <c r="C1493" s="8" t="s">
        <v>3114</v>
      </c>
      <c r="D1493" s="8" t="s">
        <v>4525</v>
      </c>
      <c r="E1493" s="8" t="s">
        <v>3116</v>
      </c>
      <c r="F1493" s="9" t="s">
        <v>3123</v>
      </c>
      <c r="G1493" s="10">
        <v>42570</v>
      </c>
      <c r="H1493" s="8" t="s">
        <v>109</v>
      </c>
      <c r="I1493" s="11">
        <v>1200000</v>
      </c>
      <c r="J1493" s="8" t="s">
        <v>2347</v>
      </c>
      <c r="K1493" s="8" t="s">
        <v>2348</v>
      </c>
      <c r="L1493" s="7">
        <v>2010</v>
      </c>
      <c r="M1493" s="8" t="s">
        <v>1588</v>
      </c>
      <c r="N1493" s="11">
        <v>2500000</v>
      </c>
      <c r="O1493" s="8" t="s">
        <v>2350</v>
      </c>
      <c r="P1493" s="8" t="s">
        <v>2351</v>
      </c>
      <c r="Q1493" s="8"/>
      <c r="R1493" s="8" t="s">
        <v>3580</v>
      </c>
    </row>
    <row r="1494" spans="1:18" ht="26.15" customHeight="1">
      <c r="A1494" s="7">
        <v>1488</v>
      </c>
      <c r="B1494" s="8" t="s">
        <v>2539</v>
      </c>
      <c r="C1494" s="8" t="s">
        <v>3114</v>
      </c>
      <c r="D1494" s="8" t="s">
        <v>3353</v>
      </c>
      <c r="E1494" s="8" t="s">
        <v>3116</v>
      </c>
      <c r="F1494" s="9" t="s">
        <v>3123</v>
      </c>
      <c r="G1494" s="10">
        <v>42570</v>
      </c>
      <c r="H1494" s="8" t="s">
        <v>109</v>
      </c>
      <c r="I1494" s="11">
        <v>1200000</v>
      </c>
      <c r="J1494" s="8" t="s">
        <v>2347</v>
      </c>
      <c r="K1494" s="8" t="s">
        <v>2348</v>
      </c>
      <c r="L1494" s="7">
        <v>2010</v>
      </c>
      <c r="M1494" s="8" t="s">
        <v>1588</v>
      </c>
      <c r="N1494" s="11">
        <v>2500000</v>
      </c>
      <c r="O1494" s="8" t="s">
        <v>2350</v>
      </c>
      <c r="P1494" s="8" t="s">
        <v>2351</v>
      </c>
      <c r="Q1494" s="8"/>
      <c r="R1494" s="8" t="s">
        <v>3354</v>
      </c>
    </row>
    <row r="1495" spans="1:18" ht="26.15" customHeight="1">
      <c r="A1495" s="7">
        <v>1489</v>
      </c>
      <c r="B1495" s="8" t="s">
        <v>2353</v>
      </c>
      <c r="C1495" s="8" t="s">
        <v>3114</v>
      </c>
      <c r="D1495" s="8" t="s">
        <v>4321</v>
      </c>
      <c r="E1495" s="8" t="s">
        <v>3116</v>
      </c>
      <c r="F1495" s="9" t="s">
        <v>3117</v>
      </c>
      <c r="G1495" s="10">
        <v>42567</v>
      </c>
      <c r="H1495" s="8" t="s">
        <v>109</v>
      </c>
      <c r="I1495" s="11">
        <v>7000000</v>
      </c>
      <c r="J1495" s="8" t="s">
        <v>2030</v>
      </c>
      <c r="K1495" s="8" t="s">
        <v>2031</v>
      </c>
      <c r="L1495" s="7">
        <v>2013</v>
      </c>
      <c r="M1495" s="8" t="s">
        <v>369</v>
      </c>
      <c r="N1495" s="11">
        <v>22000000</v>
      </c>
      <c r="O1495" s="8" t="s">
        <v>2034</v>
      </c>
      <c r="P1495" s="8" t="s">
        <v>2035</v>
      </c>
      <c r="Q1495" s="8"/>
      <c r="R1495" s="8" t="s">
        <v>3363</v>
      </c>
    </row>
    <row r="1496" spans="1:18" ht="26.15" customHeight="1">
      <c r="A1496" s="7">
        <v>1490</v>
      </c>
      <c r="B1496" s="8" t="s">
        <v>2355</v>
      </c>
      <c r="C1496" s="8" t="s">
        <v>3114</v>
      </c>
      <c r="D1496" s="8" t="s">
        <v>3147</v>
      </c>
      <c r="E1496" s="8" t="s">
        <v>3116</v>
      </c>
      <c r="F1496" s="9" t="s">
        <v>3117</v>
      </c>
      <c r="G1496" s="10">
        <v>42563</v>
      </c>
      <c r="H1496" s="8" t="s">
        <v>34</v>
      </c>
      <c r="I1496" s="11">
        <v>1960000</v>
      </c>
      <c r="J1496" s="8" t="s">
        <v>74</v>
      </c>
      <c r="K1496" s="8" t="s">
        <v>75</v>
      </c>
      <c r="L1496" s="7">
        <v>2015</v>
      </c>
      <c r="M1496" s="8" t="s">
        <v>79</v>
      </c>
      <c r="N1496" s="11">
        <v>36362460</v>
      </c>
      <c r="O1496" s="8" t="s">
        <v>80</v>
      </c>
      <c r="P1496" s="8" t="s">
        <v>81</v>
      </c>
      <c r="Q1496" s="8"/>
      <c r="R1496" s="8" t="s">
        <v>3148</v>
      </c>
    </row>
    <row r="1497" spans="1:18" ht="26.15" customHeight="1">
      <c r="A1497" s="7">
        <v>1491</v>
      </c>
      <c r="B1497" s="8" t="s">
        <v>2358</v>
      </c>
      <c r="C1497" s="8" t="s">
        <v>3114</v>
      </c>
      <c r="D1497" s="8" t="s">
        <v>3799</v>
      </c>
      <c r="E1497" s="8" t="s">
        <v>3116</v>
      </c>
      <c r="F1497" s="9" t="s">
        <v>3117</v>
      </c>
      <c r="G1497" s="10">
        <v>42559</v>
      </c>
      <c r="H1497" s="8" t="s">
        <v>34</v>
      </c>
      <c r="I1497" s="11">
        <v>1500000</v>
      </c>
      <c r="J1497" s="8" t="s">
        <v>160</v>
      </c>
      <c r="K1497" s="8" t="s">
        <v>161</v>
      </c>
      <c r="L1497" s="7">
        <v>2016</v>
      </c>
      <c r="M1497" s="8" t="s">
        <v>128</v>
      </c>
      <c r="N1497" s="11">
        <v>5866696</v>
      </c>
      <c r="O1497" s="8" t="s">
        <v>164</v>
      </c>
      <c r="P1497" s="8" t="s">
        <v>165</v>
      </c>
      <c r="Q1497" s="8"/>
      <c r="R1497" s="8" t="s">
        <v>79</v>
      </c>
    </row>
    <row r="1498" spans="1:18" ht="26.15" customHeight="1">
      <c r="A1498" s="7">
        <v>1492</v>
      </c>
      <c r="B1498" s="8" t="s">
        <v>4526</v>
      </c>
      <c r="C1498" s="8" t="s">
        <v>3127</v>
      </c>
      <c r="D1498" s="8"/>
      <c r="E1498" s="8" t="s">
        <v>3128</v>
      </c>
      <c r="F1498" s="9" t="s">
        <v>3123</v>
      </c>
      <c r="G1498" s="10">
        <v>42559</v>
      </c>
      <c r="H1498" s="8" t="s">
        <v>34</v>
      </c>
      <c r="I1498" s="11">
        <v>1500000</v>
      </c>
      <c r="J1498" s="8" t="s">
        <v>160</v>
      </c>
      <c r="K1498" s="8" t="s">
        <v>161</v>
      </c>
      <c r="L1498" s="7">
        <v>2016</v>
      </c>
      <c r="M1498" s="8" t="s">
        <v>128</v>
      </c>
      <c r="N1498" s="11">
        <v>5866696</v>
      </c>
      <c r="O1498" s="8" t="s">
        <v>164</v>
      </c>
      <c r="P1498" s="8" t="s">
        <v>165</v>
      </c>
      <c r="Q1498" s="8"/>
      <c r="R1498" s="8"/>
    </row>
    <row r="1499" spans="1:18" ht="26.15" customHeight="1">
      <c r="A1499" s="7">
        <v>1493</v>
      </c>
      <c r="B1499" s="8" t="s">
        <v>4527</v>
      </c>
      <c r="C1499" s="8" t="s">
        <v>3127</v>
      </c>
      <c r="D1499" s="8"/>
      <c r="E1499" s="8" t="s">
        <v>3128</v>
      </c>
      <c r="F1499" s="9" t="s">
        <v>3123</v>
      </c>
      <c r="G1499" s="10">
        <v>42559</v>
      </c>
      <c r="H1499" s="8" t="s">
        <v>34</v>
      </c>
      <c r="I1499" s="11">
        <v>1500000</v>
      </c>
      <c r="J1499" s="8" t="s">
        <v>160</v>
      </c>
      <c r="K1499" s="8" t="s">
        <v>161</v>
      </c>
      <c r="L1499" s="7">
        <v>2016</v>
      </c>
      <c r="M1499" s="8" t="s">
        <v>128</v>
      </c>
      <c r="N1499" s="11">
        <v>5866696</v>
      </c>
      <c r="O1499" s="8" t="s">
        <v>164</v>
      </c>
      <c r="P1499" s="8" t="s">
        <v>165</v>
      </c>
      <c r="Q1499" s="8"/>
      <c r="R1499" s="8"/>
    </row>
    <row r="1500" spans="1:18" ht="26.15" customHeight="1">
      <c r="A1500" s="7">
        <v>1494</v>
      </c>
      <c r="B1500" s="8" t="s">
        <v>4528</v>
      </c>
      <c r="C1500" s="8" t="s">
        <v>3127</v>
      </c>
      <c r="D1500" s="8"/>
      <c r="E1500" s="8" t="s">
        <v>3128</v>
      </c>
      <c r="F1500" s="9" t="s">
        <v>3123</v>
      </c>
      <c r="G1500" s="10">
        <v>42559</v>
      </c>
      <c r="H1500" s="8" t="s">
        <v>34</v>
      </c>
      <c r="I1500" s="11">
        <v>1500000</v>
      </c>
      <c r="J1500" s="8" t="s">
        <v>160</v>
      </c>
      <c r="K1500" s="8" t="s">
        <v>161</v>
      </c>
      <c r="L1500" s="7">
        <v>2016</v>
      </c>
      <c r="M1500" s="8" t="s">
        <v>128</v>
      </c>
      <c r="N1500" s="11">
        <v>5866696</v>
      </c>
      <c r="O1500" s="8" t="s">
        <v>164</v>
      </c>
      <c r="P1500" s="8" t="s">
        <v>165</v>
      </c>
      <c r="Q1500" s="8"/>
      <c r="R1500" s="8"/>
    </row>
    <row r="1501" spans="1:18" ht="26.15" customHeight="1">
      <c r="A1501" s="7">
        <v>1495</v>
      </c>
      <c r="B1501" s="8" t="s">
        <v>4529</v>
      </c>
      <c r="C1501" s="8" t="s">
        <v>3127</v>
      </c>
      <c r="D1501" s="8"/>
      <c r="E1501" s="8" t="s">
        <v>3128</v>
      </c>
      <c r="F1501" s="9" t="s">
        <v>3123</v>
      </c>
      <c r="G1501" s="10">
        <v>42559</v>
      </c>
      <c r="H1501" s="8" t="s">
        <v>34</v>
      </c>
      <c r="I1501" s="11">
        <v>1500000</v>
      </c>
      <c r="J1501" s="8" t="s">
        <v>160</v>
      </c>
      <c r="K1501" s="8" t="s">
        <v>161</v>
      </c>
      <c r="L1501" s="7">
        <v>2016</v>
      </c>
      <c r="M1501" s="8" t="s">
        <v>128</v>
      </c>
      <c r="N1501" s="11">
        <v>5866696</v>
      </c>
      <c r="O1501" s="8" t="s">
        <v>164</v>
      </c>
      <c r="P1501" s="8" t="s">
        <v>165</v>
      </c>
      <c r="Q1501" s="8"/>
      <c r="R1501" s="8"/>
    </row>
    <row r="1502" spans="1:18" ht="26.15" customHeight="1">
      <c r="A1502" s="7">
        <v>1496</v>
      </c>
      <c r="B1502" s="8" t="s">
        <v>4530</v>
      </c>
      <c r="C1502" s="8" t="s">
        <v>3127</v>
      </c>
      <c r="D1502" s="8"/>
      <c r="E1502" s="8" t="s">
        <v>3128</v>
      </c>
      <c r="F1502" s="9" t="s">
        <v>3123</v>
      </c>
      <c r="G1502" s="10">
        <v>42559</v>
      </c>
      <c r="H1502" s="8" t="s">
        <v>34</v>
      </c>
      <c r="I1502" s="11">
        <v>1500000</v>
      </c>
      <c r="J1502" s="8" t="s">
        <v>160</v>
      </c>
      <c r="K1502" s="8" t="s">
        <v>161</v>
      </c>
      <c r="L1502" s="7">
        <v>2016</v>
      </c>
      <c r="M1502" s="8" t="s">
        <v>128</v>
      </c>
      <c r="N1502" s="11">
        <v>5866696</v>
      </c>
      <c r="O1502" s="8" t="s">
        <v>164</v>
      </c>
      <c r="P1502" s="8" t="s">
        <v>165</v>
      </c>
      <c r="Q1502" s="8"/>
      <c r="R1502" s="8"/>
    </row>
    <row r="1503" spans="1:18" ht="26.15" customHeight="1">
      <c r="A1503" s="7">
        <v>1497</v>
      </c>
      <c r="B1503" s="8" t="s">
        <v>4531</v>
      </c>
      <c r="C1503" s="8" t="s">
        <v>3127</v>
      </c>
      <c r="D1503" s="8"/>
      <c r="E1503" s="8" t="s">
        <v>3128</v>
      </c>
      <c r="F1503" s="9" t="s">
        <v>3123</v>
      </c>
      <c r="G1503" s="10">
        <v>42559</v>
      </c>
      <c r="H1503" s="8" t="s">
        <v>34</v>
      </c>
      <c r="I1503" s="11">
        <v>1500000</v>
      </c>
      <c r="J1503" s="8" t="s">
        <v>160</v>
      </c>
      <c r="K1503" s="8" t="s">
        <v>161</v>
      </c>
      <c r="L1503" s="7">
        <v>2016</v>
      </c>
      <c r="M1503" s="8" t="s">
        <v>128</v>
      </c>
      <c r="N1503" s="11">
        <v>5866696</v>
      </c>
      <c r="O1503" s="8" t="s">
        <v>164</v>
      </c>
      <c r="P1503" s="8" t="s">
        <v>165</v>
      </c>
      <c r="Q1503" s="8"/>
      <c r="R1503" s="8"/>
    </row>
    <row r="1504" spans="1:18" ht="26.15" customHeight="1">
      <c r="A1504" s="7">
        <v>1498</v>
      </c>
      <c r="B1504" s="8" t="s">
        <v>4532</v>
      </c>
      <c r="C1504" s="8" t="s">
        <v>3127</v>
      </c>
      <c r="D1504" s="8"/>
      <c r="E1504" s="8" t="s">
        <v>3128</v>
      </c>
      <c r="F1504" s="9" t="s">
        <v>3123</v>
      </c>
      <c r="G1504" s="10">
        <v>42559</v>
      </c>
      <c r="H1504" s="8" t="s">
        <v>34</v>
      </c>
      <c r="I1504" s="11">
        <v>1500000</v>
      </c>
      <c r="J1504" s="8" t="s">
        <v>160</v>
      </c>
      <c r="K1504" s="8" t="s">
        <v>161</v>
      </c>
      <c r="L1504" s="7">
        <v>2016</v>
      </c>
      <c r="M1504" s="8" t="s">
        <v>128</v>
      </c>
      <c r="N1504" s="11">
        <v>5866696</v>
      </c>
      <c r="O1504" s="8" t="s">
        <v>164</v>
      </c>
      <c r="P1504" s="8" t="s">
        <v>165</v>
      </c>
      <c r="Q1504" s="8"/>
      <c r="R1504" s="8"/>
    </row>
    <row r="1505" spans="1:18" ht="26.15" customHeight="1">
      <c r="A1505" s="7">
        <v>1499</v>
      </c>
      <c r="B1505" s="8" t="s">
        <v>4533</v>
      </c>
      <c r="C1505" s="8" t="s">
        <v>3127</v>
      </c>
      <c r="D1505" s="8"/>
      <c r="E1505" s="8" t="s">
        <v>3128</v>
      </c>
      <c r="F1505" s="9" t="s">
        <v>3123</v>
      </c>
      <c r="G1505" s="10">
        <v>42559</v>
      </c>
      <c r="H1505" s="8" t="s">
        <v>34</v>
      </c>
      <c r="I1505" s="11">
        <v>1500000</v>
      </c>
      <c r="J1505" s="8" t="s">
        <v>160</v>
      </c>
      <c r="K1505" s="8" t="s">
        <v>161</v>
      </c>
      <c r="L1505" s="7">
        <v>2016</v>
      </c>
      <c r="M1505" s="8" t="s">
        <v>128</v>
      </c>
      <c r="N1505" s="11">
        <v>5866696</v>
      </c>
      <c r="O1505" s="8" t="s">
        <v>164</v>
      </c>
      <c r="P1505" s="8" t="s">
        <v>165</v>
      </c>
      <c r="Q1505" s="8"/>
      <c r="R1505" s="8"/>
    </row>
    <row r="1506" spans="1:18" ht="26.15" customHeight="1">
      <c r="A1506" s="7">
        <v>1500</v>
      </c>
      <c r="B1506" s="8" t="s">
        <v>4534</v>
      </c>
      <c r="C1506" s="8" t="s">
        <v>3127</v>
      </c>
      <c r="D1506" s="8"/>
      <c r="E1506" s="8" t="s">
        <v>3128</v>
      </c>
      <c r="F1506" s="9" t="s">
        <v>3123</v>
      </c>
      <c r="G1506" s="10">
        <v>42559</v>
      </c>
      <c r="H1506" s="8" t="s">
        <v>34</v>
      </c>
      <c r="I1506" s="11">
        <v>1500000</v>
      </c>
      <c r="J1506" s="8" t="s">
        <v>160</v>
      </c>
      <c r="K1506" s="8" t="s">
        <v>161</v>
      </c>
      <c r="L1506" s="7">
        <v>2016</v>
      </c>
      <c r="M1506" s="8" t="s">
        <v>128</v>
      </c>
      <c r="N1506" s="11">
        <v>5866696</v>
      </c>
      <c r="O1506" s="8" t="s">
        <v>164</v>
      </c>
      <c r="P1506" s="8" t="s">
        <v>165</v>
      </c>
      <c r="Q1506" s="8"/>
      <c r="R1506" s="8"/>
    </row>
    <row r="1507" spans="1:18" ht="26.15" customHeight="1">
      <c r="A1507" s="7">
        <v>1501</v>
      </c>
      <c r="B1507" s="8" t="s">
        <v>4535</v>
      </c>
      <c r="C1507" s="8" t="s">
        <v>3127</v>
      </c>
      <c r="D1507" s="8"/>
      <c r="E1507" s="8" t="s">
        <v>3128</v>
      </c>
      <c r="F1507" s="9" t="s">
        <v>3123</v>
      </c>
      <c r="G1507" s="10">
        <v>42559</v>
      </c>
      <c r="H1507" s="8" t="s">
        <v>34</v>
      </c>
      <c r="I1507" s="11">
        <v>1500000</v>
      </c>
      <c r="J1507" s="8" t="s">
        <v>160</v>
      </c>
      <c r="K1507" s="8" t="s">
        <v>161</v>
      </c>
      <c r="L1507" s="7">
        <v>2016</v>
      </c>
      <c r="M1507" s="8" t="s">
        <v>128</v>
      </c>
      <c r="N1507" s="11">
        <v>5866696</v>
      </c>
      <c r="O1507" s="8" t="s">
        <v>164</v>
      </c>
      <c r="P1507" s="8" t="s">
        <v>165</v>
      </c>
      <c r="Q1507" s="8"/>
      <c r="R1507" s="8"/>
    </row>
    <row r="1508" spans="1:18" ht="26.15" customHeight="1">
      <c r="A1508" s="7">
        <v>1502</v>
      </c>
      <c r="B1508" s="8" t="s">
        <v>4536</v>
      </c>
      <c r="C1508" s="8" t="s">
        <v>3127</v>
      </c>
      <c r="D1508" s="8"/>
      <c r="E1508" s="8" t="s">
        <v>3128</v>
      </c>
      <c r="F1508" s="9" t="s">
        <v>3123</v>
      </c>
      <c r="G1508" s="10">
        <v>42559</v>
      </c>
      <c r="H1508" s="8" t="s">
        <v>34</v>
      </c>
      <c r="I1508" s="11">
        <v>1500000</v>
      </c>
      <c r="J1508" s="8" t="s">
        <v>160</v>
      </c>
      <c r="K1508" s="8" t="s">
        <v>161</v>
      </c>
      <c r="L1508" s="7">
        <v>2016</v>
      </c>
      <c r="M1508" s="8" t="s">
        <v>128</v>
      </c>
      <c r="N1508" s="11">
        <v>5866696</v>
      </c>
      <c r="O1508" s="8" t="s">
        <v>164</v>
      </c>
      <c r="P1508" s="8" t="s">
        <v>165</v>
      </c>
      <c r="Q1508" s="8"/>
      <c r="R1508" s="8"/>
    </row>
    <row r="1509" spans="1:18" ht="26.15" customHeight="1">
      <c r="A1509" s="7">
        <v>1503</v>
      </c>
      <c r="B1509" s="8" t="s">
        <v>4537</v>
      </c>
      <c r="C1509" s="8" t="s">
        <v>3127</v>
      </c>
      <c r="D1509" s="8"/>
      <c r="E1509" s="8" t="s">
        <v>3128</v>
      </c>
      <c r="F1509" s="9" t="s">
        <v>3123</v>
      </c>
      <c r="G1509" s="10">
        <v>42559</v>
      </c>
      <c r="H1509" s="8" t="s">
        <v>34</v>
      </c>
      <c r="I1509" s="11">
        <v>1500000</v>
      </c>
      <c r="J1509" s="8" t="s">
        <v>160</v>
      </c>
      <c r="K1509" s="8" t="s">
        <v>161</v>
      </c>
      <c r="L1509" s="7">
        <v>2016</v>
      </c>
      <c r="M1509" s="8" t="s">
        <v>128</v>
      </c>
      <c r="N1509" s="11">
        <v>5866696</v>
      </c>
      <c r="O1509" s="8" t="s">
        <v>164</v>
      </c>
      <c r="P1509" s="8" t="s">
        <v>165</v>
      </c>
      <c r="Q1509" s="8"/>
      <c r="R1509" s="8"/>
    </row>
    <row r="1510" spans="1:18" ht="26.15" customHeight="1">
      <c r="A1510" s="7">
        <v>1504</v>
      </c>
      <c r="B1510" s="8" t="s">
        <v>4538</v>
      </c>
      <c r="C1510" s="8" t="s">
        <v>3127</v>
      </c>
      <c r="D1510" s="8"/>
      <c r="E1510" s="8" t="s">
        <v>3128</v>
      </c>
      <c r="F1510" s="9" t="s">
        <v>3123</v>
      </c>
      <c r="G1510" s="10">
        <v>42559</v>
      </c>
      <c r="H1510" s="8" t="s">
        <v>34</v>
      </c>
      <c r="I1510" s="11">
        <v>1500000</v>
      </c>
      <c r="J1510" s="8" t="s">
        <v>160</v>
      </c>
      <c r="K1510" s="8" t="s">
        <v>161</v>
      </c>
      <c r="L1510" s="7">
        <v>2016</v>
      </c>
      <c r="M1510" s="8" t="s">
        <v>128</v>
      </c>
      <c r="N1510" s="11">
        <v>5866696</v>
      </c>
      <c r="O1510" s="8" t="s">
        <v>164</v>
      </c>
      <c r="P1510" s="8" t="s">
        <v>165</v>
      </c>
      <c r="Q1510" s="8"/>
      <c r="R1510" s="8"/>
    </row>
    <row r="1511" spans="1:18" ht="26.15" customHeight="1">
      <c r="A1511" s="7">
        <v>1505</v>
      </c>
      <c r="B1511" s="8" t="s">
        <v>4539</v>
      </c>
      <c r="C1511" s="8" t="s">
        <v>3127</v>
      </c>
      <c r="D1511" s="8"/>
      <c r="E1511" s="8" t="s">
        <v>3128</v>
      </c>
      <c r="F1511" s="9" t="s">
        <v>3123</v>
      </c>
      <c r="G1511" s="10">
        <v>42559</v>
      </c>
      <c r="H1511" s="8" t="s">
        <v>34</v>
      </c>
      <c r="I1511" s="11">
        <v>1500000</v>
      </c>
      <c r="J1511" s="8" t="s">
        <v>160</v>
      </c>
      <c r="K1511" s="8" t="s">
        <v>161</v>
      </c>
      <c r="L1511" s="7">
        <v>2016</v>
      </c>
      <c r="M1511" s="8" t="s">
        <v>128</v>
      </c>
      <c r="N1511" s="11">
        <v>5866696</v>
      </c>
      <c r="O1511" s="8" t="s">
        <v>164</v>
      </c>
      <c r="P1511" s="8" t="s">
        <v>165</v>
      </c>
      <c r="Q1511" s="8"/>
      <c r="R1511" s="8"/>
    </row>
    <row r="1512" spans="1:18" ht="26.15" customHeight="1">
      <c r="A1512" s="7">
        <v>1506</v>
      </c>
      <c r="B1512" s="8" t="s">
        <v>4413</v>
      </c>
      <c r="C1512" s="8" t="s">
        <v>3127</v>
      </c>
      <c r="D1512" s="8"/>
      <c r="E1512" s="8" t="s">
        <v>3128</v>
      </c>
      <c r="F1512" s="9" t="s">
        <v>3123</v>
      </c>
      <c r="G1512" s="10">
        <v>42559</v>
      </c>
      <c r="H1512" s="8" t="s">
        <v>34</v>
      </c>
      <c r="I1512" s="11">
        <v>1500000</v>
      </c>
      <c r="J1512" s="8" t="s">
        <v>160</v>
      </c>
      <c r="K1512" s="8" t="s">
        <v>161</v>
      </c>
      <c r="L1512" s="7">
        <v>2016</v>
      </c>
      <c r="M1512" s="8" t="s">
        <v>128</v>
      </c>
      <c r="N1512" s="11">
        <v>5866696</v>
      </c>
      <c r="O1512" s="8" t="s">
        <v>164</v>
      </c>
      <c r="P1512" s="8" t="s">
        <v>165</v>
      </c>
      <c r="Q1512" s="8"/>
      <c r="R1512" s="8"/>
    </row>
    <row r="1513" spans="1:18" ht="26.15" customHeight="1">
      <c r="A1513" s="7">
        <v>1507</v>
      </c>
      <c r="B1513" s="8" t="s">
        <v>206</v>
      </c>
      <c r="C1513" s="8" t="s">
        <v>3114</v>
      </c>
      <c r="D1513" s="8" t="s">
        <v>3181</v>
      </c>
      <c r="E1513" s="8" t="s">
        <v>3116</v>
      </c>
      <c r="F1513" s="9" t="s">
        <v>3117</v>
      </c>
      <c r="G1513" s="10">
        <v>42545</v>
      </c>
      <c r="H1513" s="8" t="s">
        <v>34</v>
      </c>
      <c r="I1513" s="11" t="s">
        <v>50</v>
      </c>
      <c r="J1513" s="8" t="s">
        <v>2363</v>
      </c>
      <c r="K1513" s="8" t="s">
        <v>2364</v>
      </c>
      <c r="L1513" s="7">
        <v>2014</v>
      </c>
      <c r="M1513" s="8" t="s">
        <v>960</v>
      </c>
      <c r="N1513" s="11">
        <v>125000</v>
      </c>
      <c r="O1513" s="8" t="s">
        <v>2367</v>
      </c>
      <c r="P1513" s="8" t="s">
        <v>2368</v>
      </c>
      <c r="Q1513" s="8"/>
      <c r="R1513" s="8" t="s">
        <v>3156</v>
      </c>
    </row>
    <row r="1514" spans="1:18" ht="26.15" customHeight="1">
      <c r="A1514" s="7">
        <v>1508</v>
      </c>
      <c r="B1514" s="8" t="s">
        <v>2537</v>
      </c>
      <c r="C1514" s="8" t="s">
        <v>3114</v>
      </c>
      <c r="D1514" s="8" t="s">
        <v>3874</v>
      </c>
      <c r="E1514" s="8" t="s">
        <v>3116</v>
      </c>
      <c r="F1514" s="9" t="s">
        <v>3117</v>
      </c>
      <c r="G1514" s="10">
        <v>42545</v>
      </c>
      <c r="H1514" s="8" t="s">
        <v>34</v>
      </c>
      <c r="I1514" s="11" t="s">
        <v>50</v>
      </c>
      <c r="J1514" s="8" t="s">
        <v>2363</v>
      </c>
      <c r="K1514" s="8" t="s">
        <v>2364</v>
      </c>
      <c r="L1514" s="7">
        <v>2014</v>
      </c>
      <c r="M1514" s="8" t="s">
        <v>960</v>
      </c>
      <c r="N1514" s="11">
        <v>125000</v>
      </c>
      <c r="O1514" s="8" t="s">
        <v>2367</v>
      </c>
      <c r="P1514" s="8" t="s">
        <v>2368</v>
      </c>
      <c r="Q1514" s="8"/>
      <c r="R1514" s="8" t="s">
        <v>3204</v>
      </c>
    </row>
    <row r="1515" spans="1:18" ht="26.15" customHeight="1">
      <c r="A1515" s="7">
        <v>1509</v>
      </c>
      <c r="B1515" s="8" t="s">
        <v>653</v>
      </c>
      <c r="C1515" s="8" t="s">
        <v>3114</v>
      </c>
      <c r="D1515" s="8" t="s">
        <v>3532</v>
      </c>
      <c r="E1515" s="8" t="s">
        <v>3116</v>
      </c>
      <c r="F1515" s="9" t="s">
        <v>3117</v>
      </c>
      <c r="G1515" s="10">
        <v>42539</v>
      </c>
      <c r="H1515" s="8" t="s">
        <v>34</v>
      </c>
      <c r="I1515" s="11">
        <v>148638</v>
      </c>
      <c r="J1515" s="8" t="s">
        <v>2369</v>
      </c>
      <c r="K1515" s="8" t="s">
        <v>2370</v>
      </c>
      <c r="L1515" s="7">
        <v>2013</v>
      </c>
      <c r="M1515" s="8" t="s">
        <v>79</v>
      </c>
      <c r="N1515" s="11">
        <v>223330</v>
      </c>
      <c r="O1515" s="8" t="s">
        <v>2372</v>
      </c>
      <c r="P1515" s="8" t="s">
        <v>2373</v>
      </c>
      <c r="Q1515" s="8"/>
      <c r="R1515" s="8" t="s">
        <v>188</v>
      </c>
    </row>
    <row r="1516" spans="1:18" ht="26.15" customHeight="1">
      <c r="A1516" s="7">
        <v>1510</v>
      </c>
      <c r="B1516" s="8" t="s">
        <v>4518</v>
      </c>
      <c r="C1516" s="8" t="s">
        <v>3139</v>
      </c>
      <c r="D1516" s="8" t="s">
        <v>4519</v>
      </c>
      <c r="E1516" s="8" t="s">
        <v>3116</v>
      </c>
      <c r="F1516" s="9" t="s">
        <v>3123</v>
      </c>
      <c r="G1516" s="10">
        <v>42539</v>
      </c>
      <c r="H1516" s="8" t="s">
        <v>34</v>
      </c>
      <c r="I1516" s="11">
        <v>148638</v>
      </c>
      <c r="J1516" s="8" t="s">
        <v>2369</v>
      </c>
      <c r="K1516" s="8" t="s">
        <v>2370</v>
      </c>
      <c r="L1516" s="7">
        <v>2013</v>
      </c>
      <c r="M1516" s="8" t="s">
        <v>79</v>
      </c>
      <c r="N1516" s="11">
        <v>223330</v>
      </c>
      <c r="O1516" s="8" t="s">
        <v>2372</v>
      </c>
      <c r="P1516" s="8" t="s">
        <v>2373</v>
      </c>
      <c r="Q1516" s="8"/>
      <c r="R1516" s="8" t="s">
        <v>3269</v>
      </c>
    </row>
    <row r="1517" spans="1:18" ht="26.15" customHeight="1">
      <c r="A1517" s="7">
        <v>1511</v>
      </c>
      <c r="B1517" s="8" t="s">
        <v>4540</v>
      </c>
      <c r="C1517" s="8" t="s">
        <v>3114</v>
      </c>
      <c r="D1517" s="8" t="s">
        <v>4541</v>
      </c>
      <c r="E1517" s="8" t="s">
        <v>3116</v>
      </c>
      <c r="F1517" s="9" t="s">
        <v>3123</v>
      </c>
      <c r="G1517" s="10">
        <v>42539</v>
      </c>
      <c r="H1517" s="8" t="s">
        <v>34</v>
      </c>
      <c r="I1517" s="11">
        <v>148638</v>
      </c>
      <c r="J1517" s="8" t="s">
        <v>2369</v>
      </c>
      <c r="K1517" s="8" t="s">
        <v>2370</v>
      </c>
      <c r="L1517" s="7">
        <v>2013</v>
      </c>
      <c r="M1517" s="8" t="s">
        <v>79</v>
      </c>
      <c r="N1517" s="11">
        <v>223330</v>
      </c>
      <c r="O1517" s="8" t="s">
        <v>2372</v>
      </c>
      <c r="P1517" s="8" t="s">
        <v>2373</v>
      </c>
      <c r="Q1517" s="8"/>
      <c r="R1517" s="8" t="s">
        <v>4542</v>
      </c>
    </row>
    <row r="1518" spans="1:18" ht="26.15" customHeight="1">
      <c r="A1518" s="7">
        <v>1512</v>
      </c>
      <c r="B1518" s="8" t="s">
        <v>3991</v>
      </c>
      <c r="C1518" s="8" t="s">
        <v>3114</v>
      </c>
      <c r="D1518" s="8" t="s">
        <v>3992</v>
      </c>
      <c r="E1518" s="8" t="s">
        <v>3116</v>
      </c>
      <c r="F1518" s="9" t="s">
        <v>3123</v>
      </c>
      <c r="G1518" s="10">
        <v>42539</v>
      </c>
      <c r="H1518" s="8" t="s">
        <v>34</v>
      </c>
      <c r="I1518" s="11">
        <v>148638</v>
      </c>
      <c r="J1518" s="8" t="s">
        <v>2369</v>
      </c>
      <c r="K1518" s="8" t="s">
        <v>2370</v>
      </c>
      <c r="L1518" s="7">
        <v>2013</v>
      </c>
      <c r="M1518" s="8" t="s">
        <v>79</v>
      </c>
      <c r="N1518" s="11">
        <v>223330</v>
      </c>
      <c r="O1518" s="8" t="s">
        <v>2372</v>
      </c>
      <c r="P1518" s="8" t="s">
        <v>2373</v>
      </c>
      <c r="Q1518" s="8"/>
      <c r="R1518" s="8" t="s">
        <v>3311</v>
      </c>
    </row>
    <row r="1519" spans="1:18" ht="26.15" customHeight="1">
      <c r="A1519" s="7">
        <v>1513</v>
      </c>
      <c r="B1519" s="8" t="s">
        <v>1661</v>
      </c>
      <c r="C1519" s="8" t="s">
        <v>3114</v>
      </c>
      <c r="D1519" s="8" t="s">
        <v>4090</v>
      </c>
      <c r="E1519" s="8" t="s">
        <v>3116</v>
      </c>
      <c r="F1519" s="9" t="s">
        <v>3123</v>
      </c>
      <c r="G1519" s="10">
        <v>42539</v>
      </c>
      <c r="H1519" s="8" t="s">
        <v>34</v>
      </c>
      <c r="I1519" s="11">
        <v>148638</v>
      </c>
      <c r="J1519" s="8" t="s">
        <v>2369</v>
      </c>
      <c r="K1519" s="8" t="s">
        <v>2370</v>
      </c>
      <c r="L1519" s="7">
        <v>2013</v>
      </c>
      <c r="M1519" s="8" t="s">
        <v>79</v>
      </c>
      <c r="N1519" s="11">
        <v>223330</v>
      </c>
      <c r="O1519" s="8" t="s">
        <v>2372</v>
      </c>
      <c r="P1519" s="8" t="s">
        <v>2373</v>
      </c>
      <c r="Q1519" s="8"/>
      <c r="R1519" s="8" t="s">
        <v>181</v>
      </c>
    </row>
    <row r="1520" spans="1:18" ht="26.15" customHeight="1">
      <c r="A1520" s="7">
        <v>1514</v>
      </c>
      <c r="B1520" s="8" t="s">
        <v>1407</v>
      </c>
      <c r="C1520" s="8" t="s">
        <v>3139</v>
      </c>
      <c r="D1520" s="8" t="s">
        <v>1408</v>
      </c>
      <c r="E1520" s="8" t="s">
        <v>3116</v>
      </c>
      <c r="F1520" s="9" t="s">
        <v>3117</v>
      </c>
      <c r="G1520" s="10">
        <v>42536</v>
      </c>
      <c r="H1520" s="8" t="s">
        <v>34</v>
      </c>
      <c r="I1520" s="11">
        <v>1500000</v>
      </c>
      <c r="J1520" s="8" t="s">
        <v>1500</v>
      </c>
      <c r="K1520" s="8" t="s">
        <v>1501</v>
      </c>
      <c r="L1520" s="7">
        <v>2004</v>
      </c>
      <c r="M1520" s="8" t="s">
        <v>56</v>
      </c>
      <c r="N1520" s="11">
        <v>2111924</v>
      </c>
      <c r="O1520" s="8" t="s">
        <v>1503</v>
      </c>
      <c r="P1520" s="8" t="s">
        <v>1504</v>
      </c>
      <c r="Q1520" s="8"/>
      <c r="R1520" s="8" t="s">
        <v>313</v>
      </c>
    </row>
    <row r="1521" spans="1:18" ht="26.15" customHeight="1">
      <c r="A1521" s="7">
        <v>1515</v>
      </c>
      <c r="B1521" s="8" t="s">
        <v>4514</v>
      </c>
      <c r="C1521" s="8" t="s">
        <v>3114</v>
      </c>
      <c r="D1521" s="8" t="s">
        <v>4515</v>
      </c>
      <c r="E1521" s="8" t="s">
        <v>3116</v>
      </c>
      <c r="F1521" s="9" t="s">
        <v>3123</v>
      </c>
      <c r="G1521" s="10">
        <v>42531</v>
      </c>
      <c r="H1521" s="8" t="s">
        <v>34</v>
      </c>
      <c r="I1521" s="11">
        <v>194844</v>
      </c>
      <c r="J1521" s="8" t="s">
        <v>1330</v>
      </c>
      <c r="K1521" s="8" t="s">
        <v>1331</v>
      </c>
      <c r="L1521" s="7">
        <v>2010</v>
      </c>
      <c r="M1521" s="8" t="s">
        <v>79</v>
      </c>
      <c r="N1521" s="11">
        <v>15568800</v>
      </c>
      <c r="O1521" s="8" t="s">
        <v>1334</v>
      </c>
      <c r="P1521" s="8" t="s">
        <v>1335</v>
      </c>
      <c r="Q1521" s="8"/>
      <c r="R1521" s="8"/>
    </row>
    <row r="1522" spans="1:18" ht="26.15" customHeight="1">
      <c r="A1522" s="7">
        <v>1516</v>
      </c>
      <c r="B1522" s="8" t="s">
        <v>4543</v>
      </c>
      <c r="C1522" s="8" t="s">
        <v>3127</v>
      </c>
      <c r="D1522" s="8"/>
      <c r="E1522" s="8" t="s">
        <v>3128</v>
      </c>
      <c r="F1522" s="9" t="s">
        <v>3117</v>
      </c>
      <c r="G1522" s="10">
        <v>42529</v>
      </c>
      <c r="H1522" s="8" t="s">
        <v>124</v>
      </c>
      <c r="I1522" s="11">
        <v>32912</v>
      </c>
      <c r="J1522" s="8" t="s">
        <v>1126</v>
      </c>
      <c r="K1522" s="8" t="s">
        <v>1127</v>
      </c>
      <c r="L1522" s="7">
        <v>2013</v>
      </c>
      <c r="M1522" s="8" t="s">
        <v>47</v>
      </c>
      <c r="N1522" s="11">
        <v>264994</v>
      </c>
      <c r="O1522" s="8" t="s">
        <v>1130</v>
      </c>
      <c r="P1522" s="8" t="s">
        <v>968</v>
      </c>
      <c r="Q1522" s="8"/>
      <c r="R1522" s="8"/>
    </row>
    <row r="1523" spans="1:18" ht="26.15" customHeight="1">
      <c r="A1523" s="7">
        <v>1517</v>
      </c>
      <c r="B1523" s="8" t="s">
        <v>1712</v>
      </c>
      <c r="C1523" s="8" t="s">
        <v>3127</v>
      </c>
      <c r="D1523" s="8"/>
      <c r="E1523" s="8" t="s">
        <v>3128</v>
      </c>
      <c r="F1523" s="9" t="s">
        <v>3117</v>
      </c>
      <c r="G1523" s="10">
        <v>42529</v>
      </c>
      <c r="H1523" s="8" t="s">
        <v>124</v>
      </c>
      <c r="I1523" s="11">
        <v>32912</v>
      </c>
      <c r="J1523" s="8" t="s">
        <v>1126</v>
      </c>
      <c r="K1523" s="8" t="s">
        <v>1127</v>
      </c>
      <c r="L1523" s="7">
        <v>2013</v>
      </c>
      <c r="M1523" s="8" t="s">
        <v>47</v>
      </c>
      <c r="N1523" s="11">
        <v>264994</v>
      </c>
      <c r="O1523" s="8" t="s">
        <v>1130</v>
      </c>
      <c r="P1523" s="8" t="s">
        <v>968</v>
      </c>
      <c r="Q1523" s="8"/>
      <c r="R1523" s="8"/>
    </row>
    <row r="1524" spans="1:18" ht="26.15" customHeight="1">
      <c r="A1524" s="7">
        <v>1518</v>
      </c>
      <c r="B1524" s="8" t="s">
        <v>4544</v>
      </c>
      <c r="C1524" s="8" t="s">
        <v>3127</v>
      </c>
      <c r="D1524" s="8"/>
      <c r="E1524" s="8" t="s">
        <v>3128</v>
      </c>
      <c r="F1524" s="9" t="s">
        <v>3117</v>
      </c>
      <c r="G1524" s="10">
        <v>42529</v>
      </c>
      <c r="H1524" s="8" t="s">
        <v>124</v>
      </c>
      <c r="I1524" s="11">
        <v>32912</v>
      </c>
      <c r="J1524" s="8" t="s">
        <v>1126</v>
      </c>
      <c r="K1524" s="8" t="s">
        <v>1127</v>
      </c>
      <c r="L1524" s="7">
        <v>2013</v>
      </c>
      <c r="M1524" s="8" t="s">
        <v>47</v>
      </c>
      <c r="N1524" s="11">
        <v>264994</v>
      </c>
      <c r="O1524" s="8" t="s">
        <v>1130</v>
      </c>
      <c r="P1524" s="8" t="s">
        <v>968</v>
      </c>
      <c r="Q1524" s="8"/>
      <c r="R1524" s="8"/>
    </row>
    <row r="1525" spans="1:18" ht="26.15" customHeight="1">
      <c r="A1525" s="7">
        <v>1519</v>
      </c>
      <c r="B1525" s="8" t="s">
        <v>4545</v>
      </c>
      <c r="C1525" s="8" t="s">
        <v>3127</v>
      </c>
      <c r="D1525" s="8"/>
      <c r="E1525" s="8" t="s">
        <v>3128</v>
      </c>
      <c r="F1525" s="9" t="s">
        <v>3123</v>
      </c>
      <c r="G1525" s="10">
        <v>42529</v>
      </c>
      <c r="H1525" s="8" t="s">
        <v>124</v>
      </c>
      <c r="I1525" s="11">
        <v>32912</v>
      </c>
      <c r="J1525" s="8" t="s">
        <v>1126</v>
      </c>
      <c r="K1525" s="8" t="s">
        <v>1127</v>
      </c>
      <c r="L1525" s="7">
        <v>2013</v>
      </c>
      <c r="M1525" s="8" t="s">
        <v>47</v>
      </c>
      <c r="N1525" s="11">
        <v>264994</v>
      </c>
      <c r="O1525" s="8" t="s">
        <v>1130</v>
      </c>
      <c r="P1525" s="8" t="s">
        <v>968</v>
      </c>
      <c r="Q1525" s="8"/>
      <c r="R1525" s="8"/>
    </row>
    <row r="1526" spans="1:18" ht="26.15" customHeight="1">
      <c r="A1526" s="7">
        <v>1520</v>
      </c>
      <c r="B1526" s="8" t="s">
        <v>4546</v>
      </c>
      <c r="C1526" s="8" t="s">
        <v>3127</v>
      </c>
      <c r="D1526" s="8"/>
      <c r="E1526" s="8" t="s">
        <v>3128</v>
      </c>
      <c r="F1526" s="9" t="s">
        <v>3123</v>
      </c>
      <c r="G1526" s="10">
        <v>42529</v>
      </c>
      <c r="H1526" s="8" t="s">
        <v>124</v>
      </c>
      <c r="I1526" s="11">
        <v>32912</v>
      </c>
      <c r="J1526" s="8" t="s">
        <v>1126</v>
      </c>
      <c r="K1526" s="8" t="s">
        <v>1127</v>
      </c>
      <c r="L1526" s="7">
        <v>2013</v>
      </c>
      <c r="M1526" s="8" t="s">
        <v>47</v>
      </c>
      <c r="N1526" s="11">
        <v>264994</v>
      </c>
      <c r="O1526" s="8" t="s">
        <v>1130</v>
      </c>
      <c r="P1526" s="8" t="s">
        <v>968</v>
      </c>
      <c r="Q1526" s="8"/>
      <c r="R1526" s="8"/>
    </row>
    <row r="1527" spans="1:18" ht="26.15" customHeight="1">
      <c r="A1527" s="7">
        <v>1521</v>
      </c>
      <c r="B1527" s="8" t="s">
        <v>4547</v>
      </c>
      <c r="C1527" s="8" t="s">
        <v>3127</v>
      </c>
      <c r="D1527" s="8"/>
      <c r="E1527" s="8" t="s">
        <v>3128</v>
      </c>
      <c r="F1527" s="9" t="s">
        <v>3123</v>
      </c>
      <c r="G1527" s="10">
        <v>42529</v>
      </c>
      <c r="H1527" s="8" t="s">
        <v>124</v>
      </c>
      <c r="I1527" s="11">
        <v>32912</v>
      </c>
      <c r="J1527" s="8" t="s">
        <v>1126</v>
      </c>
      <c r="K1527" s="8" t="s">
        <v>1127</v>
      </c>
      <c r="L1527" s="7">
        <v>2013</v>
      </c>
      <c r="M1527" s="8" t="s">
        <v>47</v>
      </c>
      <c r="N1527" s="11">
        <v>264994</v>
      </c>
      <c r="O1527" s="8" t="s">
        <v>1130</v>
      </c>
      <c r="P1527" s="8" t="s">
        <v>968</v>
      </c>
      <c r="Q1527" s="8"/>
      <c r="R1527" s="8"/>
    </row>
    <row r="1528" spans="1:18" ht="26.15" customHeight="1">
      <c r="A1528" s="7">
        <v>1522</v>
      </c>
      <c r="B1528" s="8" t="s">
        <v>4548</v>
      </c>
      <c r="C1528" s="8" t="s">
        <v>3127</v>
      </c>
      <c r="D1528" s="8"/>
      <c r="E1528" s="8" t="s">
        <v>3128</v>
      </c>
      <c r="F1528" s="9" t="s">
        <v>3123</v>
      </c>
      <c r="G1528" s="10">
        <v>42529</v>
      </c>
      <c r="H1528" s="8" t="s">
        <v>124</v>
      </c>
      <c r="I1528" s="11">
        <v>32912</v>
      </c>
      <c r="J1528" s="8" t="s">
        <v>1126</v>
      </c>
      <c r="K1528" s="8" t="s">
        <v>1127</v>
      </c>
      <c r="L1528" s="7">
        <v>2013</v>
      </c>
      <c r="M1528" s="8" t="s">
        <v>47</v>
      </c>
      <c r="N1528" s="11">
        <v>264994</v>
      </c>
      <c r="O1528" s="8" t="s">
        <v>1130</v>
      </c>
      <c r="P1528" s="8" t="s">
        <v>968</v>
      </c>
      <c r="Q1528" s="8"/>
      <c r="R1528" s="8"/>
    </row>
    <row r="1529" spans="1:18" ht="26.15" customHeight="1">
      <c r="A1529" s="7">
        <v>1523</v>
      </c>
      <c r="B1529" s="8" t="s">
        <v>588</v>
      </c>
      <c r="C1529" s="8" t="s">
        <v>3114</v>
      </c>
      <c r="D1529" s="8" t="s">
        <v>3504</v>
      </c>
      <c r="E1529" s="8" t="s">
        <v>3116</v>
      </c>
      <c r="F1529" s="9" t="s">
        <v>3123</v>
      </c>
      <c r="G1529" s="10">
        <v>42528</v>
      </c>
      <c r="H1529" s="8" t="s">
        <v>34</v>
      </c>
      <c r="I1529" s="11">
        <v>710223</v>
      </c>
      <c r="J1529" s="8" t="s">
        <v>1724</v>
      </c>
      <c r="K1529" s="8" t="s">
        <v>1725</v>
      </c>
      <c r="L1529" s="7">
        <v>2015</v>
      </c>
      <c r="M1529" s="8" t="s">
        <v>787</v>
      </c>
      <c r="N1529" s="11">
        <v>810223</v>
      </c>
      <c r="O1529" s="8" t="s">
        <v>1726</v>
      </c>
      <c r="P1529" s="8" t="s">
        <v>1727</v>
      </c>
      <c r="Q1529" s="8"/>
      <c r="R1529" s="8" t="s">
        <v>3220</v>
      </c>
    </row>
    <row r="1530" spans="1:18" ht="26.15" customHeight="1">
      <c r="A1530" s="7">
        <v>1524</v>
      </c>
      <c r="B1530" s="8" t="s">
        <v>4549</v>
      </c>
      <c r="C1530" s="8" t="s">
        <v>3139</v>
      </c>
      <c r="D1530" s="8" t="s">
        <v>4550</v>
      </c>
      <c r="E1530" s="8" t="s">
        <v>3116</v>
      </c>
      <c r="F1530" s="9" t="s">
        <v>3123</v>
      </c>
      <c r="G1530" s="10">
        <v>42527</v>
      </c>
      <c r="H1530" s="8" t="s">
        <v>109</v>
      </c>
      <c r="I1530" s="11">
        <v>5000000</v>
      </c>
      <c r="J1530" s="8" t="s">
        <v>2377</v>
      </c>
      <c r="K1530" s="8" t="s">
        <v>2378</v>
      </c>
      <c r="L1530" s="7">
        <v>2014</v>
      </c>
      <c r="M1530" s="8" t="s">
        <v>894</v>
      </c>
      <c r="N1530" s="11">
        <v>5000000</v>
      </c>
      <c r="O1530" s="8" t="s">
        <v>2380</v>
      </c>
      <c r="P1530" s="8" t="s">
        <v>2381</v>
      </c>
      <c r="Q1530" s="8"/>
      <c r="R1530" s="8" t="s">
        <v>2057</v>
      </c>
    </row>
    <row r="1531" spans="1:18" ht="26.15" customHeight="1">
      <c r="A1531" s="7">
        <v>1525</v>
      </c>
      <c r="B1531" s="8" t="s">
        <v>2508</v>
      </c>
      <c r="C1531" s="8" t="s">
        <v>3114</v>
      </c>
      <c r="D1531" s="8" t="s">
        <v>4551</v>
      </c>
      <c r="E1531" s="8" t="s">
        <v>3116</v>
      </c>
      <c r="F1531" s="9" t="s">
        <v>3123</v>
      </c>
      <c r="G1531" s="10">
        <v>42527</v>
      </c>
      <c r="H1531" s="8" t="s">
        <v>109</v>
      </c>
      <c r="I1531" s="11">
        <v>5000000</v>
      </c>
      <c r="J1531" s="8" t="s">
        <v>2377</v>
      </c>
      <c r="K1531" s="8" t="s">
        <v>2378</v>
      </c>
      <c r="L1531" s="7">
        <v>2014</v>
      </c>
      <c r="M1531" s="8" t="s">
        <v>894</v>
      </c>
      <c r="N1531" s="11">
        <v>5000000</v>
      </c>
      <c r="O1531" s="8" t="s">
        <v>2380</v>
      </c>
      <c r="P1531" s="8" t="s">
        <v>2381</v>
      </c>
      <c r="Q1531" s="8"/>
      <c r="R1531" s="8" t="s">
        <v>1732</v>
      </c>
    </row>
    <row r="1532" spans="1:18" ht="26.15" customHeight="1">
      <c r="A1532" s="7">
        <v>1526</v>
      </c>
      <c r="B1532" s="8" t="s">
        <v>588</v>
      </c>
      <c r="C1532" s="8" t="s">
        <v>3114</v>
      </c>
      <c r="D1532" s="8" t="s">
        <v>3504</v>
      </c>
      <c r="E1532" s="8" t="s">
        <v>3116</v>
      </c>
      <c r="F1532" s="9" t="s">
        <v>3123</v>
      </c>
      <c r="G1532" s="10">
        <v>42527</v>
      </c>
      <c r="H1532" s="8" t="s">
        <v>34</v>
      </c>
      <c r="I1532" s="11">
        <v>707614</v>
      </c>
      <c r="J1532" s="8" t="s">
        <v>2382</v>
      </c>
      <c r="K1532" s="8" t="s">
        <v>2383</v>
      </c>
      <c r="L1532" s="7">
        <v>2013</v>
      </c>
      <c r="M1532" s="8" t="s">
        <v>1836</v>
      </c>
      <c r="N1532" s="11">
        <v>707610</v>
      </c>
      <c r="O1532" s="8" t="s">
        <v>2384</v>
      </c>
      <c r="P1532" s="8" t="s">
        <v>2385</v>
      </c>
      <c r="Q1532" s="8"/>
      <c r="R1532" s="8" t="s">
        <v>3220</v>
      </c>
    </row>
    <row r="1533" spans="1:18" ht="26.15" customHeight="1">
      <c r="A1533" s="7">
        <v>1527</v>
      </c>
      <c r="B1533" s="8" t="s">
        <v>2389</v>
      </c>
      <c r="C1533" s="8" t="s">
        <v>3114</v>
      </c>
      <c r="D1533" s="8" t="s">
        <v>4552</v>
      </c>
      <c r="E1533" s="8" t="s">
        <v>3116</v>
      </c>
      <c r="F1533" s="9" t="s">
        <v>3117</v>
      </c>
      <c r="G1533" s="10">
        <v>42527</v>
      </c>
      <c r="H1533" s="8" t="s">
        <v>109</v>
      </c>
      <c r="I1533" s="11" t="s">
        <v>50</v>
      </c>
      <c r="J1533" s="8" t="s">
        <v>2386</v>
      </c>
      <c r="K1533" s="8" t="s">
        <v>2387</v>
      </c>
      <c r="L1533" s="7">
        <v>2013</v>
      </c>
      <c r="M1533" s="8" t="s">
        <v>2390</v>
      </c>
      <c r="N1533" s="11"/>
      <c r="O1533" s="8" t="s">
        <v>2391</v>
      </c>
      <c r="P1533" s="8" t="s">
        <v>2392</v>
      </c>
      <c r="Q1533" s="8"/>
      <c r="R1533" s="8" t="s">
        <v>3138</v>
      </c>
    </row>
    <row r="1534" spans="1:18" ht="26.15" customHeight="1">
      <c r="A1534" s="7">
        <v>1528</v>
      </c>
      <c r="B1534" s="8" t="s">
        <v>4553</v>
      </c>
      <c r="C1534" s="8" t="s">
        <v>3114</v>
      </c>
      <c r="D1534" s="8" t="s">
        <v>4554</v>
      </c>
      <c r="E1534" s="8" t="s">
        <v>3116</v>
      </c>
      <c r="F1534" s="9" t="s">
        <v>3123</v>
      </c>
      <c r="G1534" s="10">
        <v>42526</v>
      </c>
      <c r="H1534" s="8" t="s">
        <v>184</v>
      </c>
      <c r="I1534" s="11">
        <v>3000</v>
      </c>
      <c r="J1534" s="8" t="s">
        <v>2393</v>
      </c>
      <c r="K1534" s="8" t="s">
        <v>2394</v>
      </c>
      <c r="L1534" s="7">
        <v>2015</v>
      </c>
      <c r="M1534" s="8" t="s">
        <v>39</v>
      </c>
      <c r="N1534" s="11"/>
      <c r="O1534" s="8" t="s">
        <v>2396</v>
      </c>
      <c r="P1534" s="8" t="s">
        <v>2397</v>
      </c>
      <c r="Q1534" s="8"/>
      <c r="R1534" s="8" t="s">
        <v>39</v>
      </c>
    </row>
    <row r="1535" spans="1:18" ht="26.15" customHeight="1">
      <c r="A1535" s="7">
        <v>1529</v>
      </c>
      <c r="B1535" s="8" t="s">
        <v>2398</v>
      </c>
      <c r="C1535" s="8" t="s">
        <v>3139</v>
      </c>
      <c r="D1535" s="8" t="s">
        <v>2398</v>
      </c>
      <c r="E1535" s="8" t="s">
        <v>3116</v>
      </c>
      <c r="F1535" s="9" t="s">
        <v>3117</v>
      </c>
      <c r="G1535" s="10">
        <v>42523</v>
      </c>
      <c r="H1535" s="8" t="s">
        <v>34</v>
      </c>
      <c r="I1535" s="11">
        <v>281563</v>
      </c>
      <c r="J1535" s="8" t="s">
        <v>991</v>
      </c>
      <c r="K1535" s="8" t="s">
        <v>992</v>
      </c>
      <c r="L1535" s="7">
        <v>2014</v>
      </c>
      <c r="M1535" s="8" t="s">
        <v>128</v>
      </c>
      <c r="N1535" s="11">
        <v>1570818</v>
      </c>
      <c r="O1535" s="8" t="s">
        <v>994</v>
      </c>
      <c r="P1535" s="8" t="s">
        <v>995</v>
      </c>
      <c r="Q1535" s="8"/>
      <c r="R1535" s="8"/>
    </row>
    <row r="1536" spans="1:18" ht="26.15" customHeight="1">
      <c r="A1536" s="7">
        <v>1530</v>
      </c>
      <c r="B1536" s="8" t="s">
        <v>1716</v>
      </c>
      <c r="C1536" s="8" t="s">
        <v>3127</v>
      </c>
      <c r="D1536" s="8"/>
      <c r="E1536" s="8" t="s">
        <v>3128</v>
      </c>
      <c r="F1536" s="9" t="s">
        <v>3123</v>
      </c>
      <c r="G1536" s="10">
        <v>42523</v>
      </c>
      <c r="H1536" s="8" t="s">
        <v>34</v>
      </c>
      <c r="I1536" s="11">
        <v>281563</v>
      </c>
      <c r="J1536" s="8" t="s">
        <v>991</v>
      </c>
      <c r="K1536" s="8" t="s">
        <v>992</v>
      </c>
      <c r="L1536" s="7">
        <v>2014</v>
      </c>
      <c r="M1536" s="8" t="s">
        <v>128</v>
      </c>
      <c r="N1536" s="11">
        <v>1570818</v>
      </c>
      <c r="O1536" s="8" t="s">
        <v>994</v>
      </c>
      <c r="P1536" s="8" t="s">
        <v>995</v>
      </c>
      <c r="Q1536" s="8"/>
      <c r="R1536" s="8"/>
    </row>
    <row r="1537" spans="1:18" ht="26.15" customHeight="1">
      <c r="A1537" s="7">
        <v>1531</v>
      </c>
      <c r="B1537" s="8" t="s">
        <v>3991</v>
      </c>
      <c r="C1537" s="8" t="s">
        <v>3114</v>
      </c>
      <c r="D1537" s="8" t="s">
        <v>3992</v>
      </c>
      <c r="E1537" s="8" t="s">
        <v>3116</v>
      </c>
      <c r="F1537" s="9" t="s">
        <v>3123</v>
      </c>
      <c r="G1537" s="10">
        <v>42522</v>
      </c>
      <c r="H1537" s="8" t="s">
        <v>34</v>
      </c>
      <c r="I1537" s="11" t="s">
        <v>50</v>
      </c>
      <c r="J1537" s="8" t="s">
        <v>2399</v>
      </c>
      <c r="K1537" s="8" t="s">
        <v>2400</v>
      </c>
      <c r="L1537" s="7">
        <v>2013</v>
      </c>
      <c r="M1537" s="8" t="s">
        <v>79</v>
      </c>
      <c r="N1537" s="11"/>
      <c r="O1537" s="8" t="s">
        <v>2402</v>
      </c>
      <c r="P1537" s="8" t="s">
        <v>2403</v>
      </c>
      <c r="Q1537" s="8"/>
      <c r="R1537" s="8" t="s">
        <v>3311</v>
      </c>
    </row>
    <row r="1538" spans="1:18" ht="26.15" customHeight="1">
      <c r="A1538" s="7">
        <v>1532</v>
      </c>
      <c r="B1538" s="8" t="s">
        <v>2275</v>
      </c>
      <c r="C1538" s="8" t="s">
        <v>3114</v>
      </c>
      <c r="D1538" s="8" t="s">
        <v>3409</v>
      </c>
      <c r="E1538" s="8" t="s">
        <v>3116</v>
      </c>
      <c r="F1538" s="9" t="s">
        <v>3123</v>
      </c>
      <c r="G1538" s="10">
        <v>42522</v>
      </c>
      <c r="H1538" s="8" t="s">
        <v>109</v>
      </c>
      <c r="I1538" s="11">
        <v>4000000</v>
      </c>
      <c r="J1538" s="8" t="s">
        <v>1330</v>
      </c>
      <c r="K1538" s="8" t="s">
        <v>1331</v>
      </c>
      <c r="L1538" s="7">
        <v>2010</v>
      </c>
      <c r="M1538" s="8" t="s">
        <v>79</v>
      </c>
      <c r="N1538" s="11">
        <v>15568800</v>
      </c>
      <c r="O1538" s="8" t="s">
        <v>1334</v>
      </c>
      <c r="P1538" s="8" t="s">
        <v>1335</v>
      </c>
      <c r="Q1538" s="8"/>
      <c r="R1538" s="8" t="s">
        <v>3204</v>
      </c>
    </row>
    <row r="1539" spans="1:18" ht="26.15" customHeight="1">
      <c r="A1539" s="7">
        <v>1533</v>
      </c>
      <c r="B1539" s="8" t="s">
        <v>1467</v>
      </c>
      <c r="C1539" s="8" t="s">
        <v>3114</v>
      </c>
      <c r="D1539" s="8" t="s">
        <v>3196</v>
      </c>
      <c r="E1539" s="8" t="s">
        <v>3116</v>
      </c>
      <c r="F1539" s="9" t="s">
        <v>3123</v>
      </c>
      <c r="G1539" s="10">
        <v>42522</v>
      </c>
      <c r="H1539" s="8" t="s">
        <v>109</v>
      </c>
      <c r="I1539" s="11">
        <v>4000000</v>
      </c>
      <c r="J1539" s="8" t="s">
        <v>1330</v>
      </c>
      <c r="K1539" s="8" t="s">
        <v>1331</v>
      </c>
      <c r="L1539" s="7">
        <v>2010</v>
      </c>
      <c r="M1539" s="8" t="s">
        <v>79</v>
      </c>
      <c r="N1539" s="11">
        <v>15568800</v>
      </c>
      <c r="O1539" s="8" t="s">
        <v>1334</v>
      </c>
      <c r="P1539" s="8" t="s">
        <v>1335</v>
      </c>
      <c r="Q1539" s="8"/>
      <c r="R1539" s="8" t="s">
        <v>313</v>
      </c>
    </row>
    <row r="1540" spans="1:18" ht="26.15" customHeight="1">
      <c r="A1540" s="7">
        <v>1534</v>
      </c>
      <c r="B1540" s="8" t="s">
        <v>4555</v>
      </c>
      <c r="C1540" s="8" t="s">
        <v>3139</v>
      </c>
      <c r="D1540" s="8" t="s">
        <v>4556</v>
      </c>
      <c r="E1540" s="8" t="s">
        <v>3116</v>
      </c>
      <c r="F1540" s="9" t="s">
        <v>3123</v>
      </c>
      <c r="G1540" s="10">
        <v>42522</v>
      </c>
      <c r="H1540" s="8" t="s">
        <v>184</v>
      </c>
      <c r="I1540" s="11">
        <v>10000</v>
      </c>
      <c r="J1540" s="8" t="s">
        <v>1990</v>
      </c>
      <c r="K1540" s="8" t="s">
        <v>1991</v>
      </c>
      <c r="L1540" s="7">
        <v>2014</v>
      </c>
      <c r="M1540" s="8" t="s">
        <v>79</v>
      </c>
      <c r="N1540" s="11"/>
      <c r="O1540" s="8" t="s">
        <v>1992</v>
      </c>
      <c r="P1540" s="8" t="s">
        <v>1993</v>
      </c>
      <c r="Q1540" s="8"/>
      <c r="R1540" s="8" t="s">
        <v>3214</v>
      </c>
    </row>
    <row r="1541" spans="1:18" ht="26.15" customHeight="1">
      <c r="A1541" s="7">
        <v>1535</v>
      </c>
      <c r="B1541" s="8" t="s">
        <v>4557</v>
      </c>
      <c r="C1541" s="8" t="s">
        <v>3114</v>
      </c>
      <c r="D1541" s="8" t="s">
        <v>4558</v>
      </c>
      <c r="E1541" s="8" t="s">
        <v>3116</v>
      </c>
      <c r="F1541" s="9" t="s">
        <v>3123</v>
      </c>
      <c r="G1541" s="10">
        <v>42522</v>
      </c>
      <c r="H1541" s="8" t="s">
        <v>109</v>
      </c>
      <c r="I1541" s="11" t="s">
        <v>50</v>
      </c>
      <c r="J1541" s="8" t="s">
        <v>2406</v>
      </c>
      <c r="K1541" s="8" t="s">
        <v>2407</v>
      </c>
      <c r="L1541" s="7">
        <v>2014</v>
      </c>
      <c r="M1541" s="8" t="s">
        <v>278</v>
      </c>
      <c r="N1541" s="11"/>
      <c r="O1541" s="8" t="s">
        <v>2409</v>
      </c>
      <c r="P1541" s="8" t="s">
        <v>2410</v>
      </c>
      <c r="Q1541" s="8"/>
      <c r="R1541" s="8" t="s">
        <v>1427</v>
      </c>
    </row>
    <row r="1542" spans="1:18" ht="26.15" customHeight="1">
      <c r="A1542" s="7">
        <v>1536</v>
      </c>
      <c r="B1542" s="8" t="s">
        <v>2412</v>
      </c>
      <c r="C1542" s="8" t="s">
        <v>3114</v>
      </c>
      <c r="D1542" s="8" t="s">
        <v>4559</v>
      </c>
      <c r="E1542" s="8" t="s">
        <v>3116</v>
      </c>
      <c r="F1542" s="9" t="s">
        <v>3117</v>
      </c>
      <c r="G1542" s="10">
        <v>42522</v>
      </c>
      <c r="H1542" s="8" t="s">
        <v>109</v>
      </c>
      <c r="I1542" s="11" t="s">
        <v>50</v>
      </c>
      <c r="J1542" s="8" t="s">
        <v>473</v>
      </c>
      <c r="K1542" s="8" t="s">
        <v>474</v>
      </c>
      <c r="L1542" s="7">
        <v>2014</v>
      </c>
      <c r="M1542" s="8" t="s">
        <v>39</v>
      </c>
      <c r="N1542" s="11">
        <v>46450000</v>
      </c>
      <c r="O1542" s="8" t="s">
        <v>475</v>
      </c>
      <c r="P1542" s="8" t="s">
        <v>476</v>
      </c>
      <c r="Q1542" s="8"/>
      <c r="R1542" s="8" t="s">
        <v>3145</v>
      </c>
    </row>
    <row r="1543" spans="1:18" ht="26.15" customHeight="1">
      <c r="A1543" s="7">
        <v>1537</v>
      </c>
      <c r="B1543" s="8" t="s">
        <v>4560</v>
      </c>
      <c r="C1543" s="8" t="s">
        <v>3114</v>
      </c>
      <c r="D1543" s="8" t="s">
        <v>4561</v>
      </c>
      <c r="E1543" s="8" t="s">
        <v>3116</v>
      </c>
      <c r="F1543" s="9" t="s">
        <v>3123</v>
      </c>
      <c r="G1543" s="10">
        <v>42522</v>
      </c>
      <c r="H1543" s="8" t="s">
        <v>184</v>
      </c>
      <c r="I1543" s="11">
        <v>50000</v>
      </c>
      <c r="J1543" s="8" t="s">
        <v>2347</v>
      </c>
      <c r="K1543" s="8" t="s">
        <v>2348</v>
      </c>
      <c r="L1543" s="7">
        <v>2010</v>
      </c>
      <c r="M1543" s="8" t="s">
        <v>1588</v>
      </c>
      <c r="N1543" s="11">
        <v>2500000</v>
      </c>
      <c r="O1543" s="8" t="s">
        <v>2350</v>
      </c>
      <c r="P1543" s="8" t="s">
        <v>2351</v>
      </c>
      <c r="Q1543" s="8"/>
      <c r="R1543" s="8" t="s">
        <v>3580</v>
      </c>
    </row>
    <row r="1544" spans="1:18" ht="26.15" customHeight="1">
      <c r="A1544" s="7">
        <v>1538</v>
      </c>
      <c r="B1544" s="8" t="s">
        <v>480</v>
      </c>
      <c r="C1544" s="8" t="s">
        <v>3114</v>
      </c>
      <c r="D1544" s="8" t="s">
        <v>3426</v>
      </c>
      <c r="E1544" s="8" t="s">
        <v>3116</v>
      </c>
      <c r="F1544" s="9" t="s">
        <v>3117</v>
      </c>
      <c r="G1544" s="10">
        <v>42522</v>
      </c>
      <c r="H1544" s="8" t="s">
        <v>34</v>
      </c>
      <c r="I1544" s="11">
        <v>120000</v>
      </c>
      <c r="J1544" s="8" t="s">
        <v>500</v>
      </c>
      <c r="K1544" s="8" t="s">
        <v>501</v>
      </c>
      <c r="L1544" s="7">
        <v>2015</v>
      </c>
      <c r="M1544" s="8" t="s">
        <v>56</v>
      </c>
      <c r="N1544" s="11">
        <v>3493115</v>
      </c>
      <c r="O1544" s="8" t="s">
        <v>505</v>
      </c>
      <c r="P1544" s="8" t="s">
        <v>506</v>
      </c>
      <c r="Q1544" s="8"/>
      <c r="R1544" s="8" t="s">
        <v>3427</v>
      </c>
    </row>
    <row r="1545" spans="1:18" ht="26.15" customHeight="1">
      <c r="A1545" s="7">
        <v>1539</v>
      </c>
      <c r="B1545" s="8" t="s">
        <v>2418</v>
      </c>
      <c r="C1545" s="8" t="s">
        <v>3114</v>
      </c>
      <c r="D1545" s="8" t="s">
        <v>4132</v>
      </c>
      <c r="E1545" s="8" t="s">
        <v>3116</v>
      </c>
      <c r="F1545" s="9" t="s">
        <v>3117</v>
      </c>
      <c r="G1545" s="10">
        <v>42522</v>
      </c>
      <c r="H1545" s="8" t="s">
        <v>34</v>
      </c>
      <c r="I1545" s="11" t="s">
        <v>50</v>
      </c>
      <c r="J1545" s="8" t="s">
        <v>610</v>
      </c>
      <c r="K1545" s="8" t="s">
        <v>611</v>
      </c>
      <c r="L1545" s="7">
        <v>2011</v>
      </c>
      <c r="M1545" s="8" t="s">
        <v>612</v>
      </c>
      <c r="N1545" s="11">
        <v>1577228</v>
      </c>
      <c r="O1545" s="8" t="s">
        <v>613</v>
      </c>
      <c r="P1545" s="8" t="s">
        <v>614</v>
      </c>
      <c r="Q1545" s="8"/>
      <c r="R1545" s="8" t="s">
        <v>278</v>
      </c>
    </row>
    <row r="1546" spans="1:18" ht="26.15" customHeight="1">
      <c r="A1546" s="7">
        <v>1540</v>
      </c>
      <c r="B1546" s="8" t="s">
        <v>4562</v>
      </c>
      <c r="C1546" s="8" t="s">
        <v>3114</v>
      </c>
      <c r="D1546" s="8" t="s">
        <v>4563</v>
      </c>
      <c r="E1546" s="8" t="s">
        <v>3116</v>
      </c>
      <c r="F1546" s="9" t="s">
        <v>3123</v>
      </c>
      <c r="G1546" s="10">
        <v>42521</v>
      </c>
      <c r="H1546" s="8" t="s">
        <v>34</v>
      </c>
      <c r="I1546" s="11">
        <v>1000000</v>
      </c>
      <c r="J1546" s="8" t="s">
        <v>2419</v>
      </c>
      <c r="K1546" s="8" t="s">
        <v>2420</v>
      </c>
      <c r="L1546" s="7">
        <v>2014</v>
      </c>
      <c r="M1546" s="8" t="s">
        <v>1188</v>
      </c>
      <c r="N1546" s="11">
        <v>1000000</v>
      </c>
      <c r="O1546" s="8" t="s">
        <v>2422</v>
      </c>
      <c r="P1546" s="8" t="s">
        <v>2423</v>
      </c>
      <c r="Q1546" s="8"/>
      <c r="R1546" s="8" t="s">
        <v>3537</v>
      </c>
    </row>
    <row r="1547" spans="1:18" ht="26.15" customHeight="1">
      <c r="A1547" s="7">
        <v>1541</v>
      </c>
      <c r="B1547" s="8" t="s">
        <v>2425</v>
      </c>
      <c r="C1547" s="8" t="s">
        <v>3114</v>
      </c>
      <c r="D1547" s="8" t="s">
        <v>4280</v>
      </c>
      <c r="E1547" s="8" t="s">
        <v>3116</v>
      </c>
      <c r="F1547" s="9" t="s">
        <v>3117</v>
      </c>
      <c r="G1547" s="10">
        <v>42520</v>
      </c>
      <c r="H1547" s="8" t="s">
        <v>34</v>
      </c>
      <c r="I1547" s="11">
        <v>1458270</v>
      </c>
      <c r="J1547" s="8" t="s">
        <v>1946</v>
      </c>
      <c r="K1547" s="8" t="s">
        <v>1947</v>
      </c>
      <c r="L1547" s="7">
        <v>2015</v>
      </c>
      <c r="M1547" s="8" t="s">
        <v>79</v>
      </c>
      <c r="N1547" s="11">
        <v>10693115</v>
      </c>
      <c r="O1547" s="8" t="s">
        <v>1951</v>
      </c>
      <c r="P1547" s="8" t="s">
        <v>1952</v>
      </c>
      <c r="Q1547" s="8"/>
      <c r="R1547" s="8" t="s">
        <v>157</v>
      </c>
    </row>
    <row r="1548" spans="1:18" ht="26.15" customHeight="1">
      <c r="A1548" s="7">
        <v>1542</v>
      </c>
      <c r="B1548" s="8" t="s">
        <v>206</v>
      </c>
      <c r="C1548" s="8" t="s">
        <v>3114</v>
      </c>
      <c r="D1548" s="8" t="s">
        <v>3181</v>
      </c>
      <c r="E1548" s="8" t="s">
        <v>3116</v>
      </c>
      <c r="F1548" s="9" t="s">
        <v>3117</v>
      </c>
      <c r="G1548" s="10">
        <v>42514</v>
      </c>
      <c r="H1548" s="8" t="s">
        <v>34</v>
      </c>
      <c r="I1548" s="11" t="s">
        <v>50</v>
      </c>
      <c r="J1548" s="8" t="s">
        <v>2426</v>
      </c>
      <c r="K1548" s="8" t="s">
        <v>2427</v>
      </c>
      <c r="L1548" s="7">
        <v>2016</v>
      </c>
      <c r="M1548" s="8" t="s">
        <v>2390</v>
      </c>
      <c r="N1548" s="11"/>
      <c r="O1548" s="8" t="s">
        <v>2428</v>
      </c>
      <c r="P1548" s="8" t="s">
        <v>2429</v>
      </c>
      <c r="Q1548" s="8"/>
      <c r="R1548" s="8" t="s">
        <v>3156</v>
      </c>
    </row>
    <row r="1549" spans="1:18" ht="26.15" customHeight="1">
      <c r="A1549" s="7">
        <v>1543</v>
      </c>
      <c r="B1549" s="8" t="s">
        <v>4564</v>
      </c>
      <c r="C1549" s="8" t="s">
        <v>3114</v>
      </c>
      <c r="D1549" s="8" t="s">
        <v>4565</v>
      </c>
      <c r="E1549" s="8" t="s">
        <v>3116</v>
      </c>
      <c r="F1549" s="9" t="s">
        <v>3123</v>
      </c>
      <c r="G1549" s="10">
        <v>42509</v>
      </c>
      <c r="H1549" s="8" t="s">
        <v>34</v>
      </c>
      <c r="I1549" s="11">
        <v>1000000</v>
      </c>
      <c r="J1549" s="8" t="s">
        <v>856</v>
      </c>
      <c r="K1549" s="8" t="s">
        <v>857</v>
      </c>
      <c r="L1549" s="7">
        <v>2014</v>
      </c>
      <c r="M1549" s="8" t="s">
        <v>860</v>
      </c>
      <c r="N1549" s="11">
        <v>7000000</v>
      </c>
      <c r="O1549" s="8" t="s">
        <v>861</v>
      </c>
      <c r="P1549" s="8" t="s">
        <v>862</v>
      </c>
      <c r="Q1549" s="8"/>
      <c r="R1549" s="8" t="s">
        <v>860</v>
      </c>
    </row>
    <row r="1550" spans="1:18" ht="26.15" customHeight="1">
      <c r="A1550" s="7">
        <v>1544</v>
      </c>
      <c r="B1550" s="8" t="s">
        <v>588</v>
      </c>
      <c r="C1550" s="8" t="s">
        <v>3114</v>
      </c>
      <c r="D1550" s="8" t="s">
        <v>3504</v>
      </c>
      <c r="E1550" s="8" t="s">
        <v>3116</v>
      </c>
      <c r="F1550" s="9" t="s">
        <v>3117</v>
      </c>
      <c r="G1550" s="10">
        <v>42509</v>
      </c>
      <c r="H1550" s="8" t="s">
        <v>34</v>
      </c>
      <c r="I1550" s="11">
        <v>1000000</v>
      </c>
      <c r="J1550" s="8" t="s">
        <v>856</v>
      </c>
      <c r="K1550" s="8" t="s">
        <v>857</v>
      </c>
      <c r="L1550" s="7">
        <v>2014</v>
      </c>
      <c r="M1550" s="8" t="s">
        <v>860</v>
      </c>
      <c r="N1550" s="11">
        <v>7000000</v>
      </c>
      <c r="O1550" s="8" t="s">
        <v>861</v>
      </c>
      <c r="P1550" s="8" t="s">
        <v>862</v>
      </c>
      <c r="Q1550" s="8"/>
      <c r="R1550" s="8" t="s">
        <v>3220</v>
      </c>
    </row>
    <row r="1551" spans="1:18" ht="26.15" customHeight="1">
      <c r="A1551" s="7">
        <v>1545</v>
      </c>
      <c r="B1551" s="8" t="s">
        <v>4088</v>
      </c>
      <c r="C1551" s="8" t="s">
        <v>3114</v>
      </c>
      <c r="D1551" s="8" t="s">
        <v>4089</v>
      </c>
      <c r="E1551" s="8" t="s">
        <v>3116</v>
      </c>
      <c r="F1551" s="9" t="s">
        <v>3123</v>
      </c>
      <c r="G1551" s="10">
        <v>42498</v>
      </c>
      <c r="H1551" s="8" t="s">
        <v>109</v>
      </c>
      <c r="I1551" s="11" t="s">
        <v>50</v>
      </c>
      <c r="J1551" s="8" t="s">
        <v>1748</v>
      </c>
      <c r="K1551" s="8" t="s">
        <v>1749</v>
      </c>
      <c r="L1551" s="7">
        <v>2014</v>
      </c>
      <c r="M1551" s="8" t="s">
        <v>1222</v>
      </c>
      <c r="N1551" s="11">
        <v>14470000</v>
      </c>
      <c r="O1551" s="8" t="s">
        <v>1752</v>
      </c>
      <c r="P1551" s="8" t="s">
        <v>1753</v>
      </c>
      <c r="Q1551" s="8"/>
      <c r="R1551" s="8" t="s">
        <v>278</v>
      </c>
    </row>
    <row r="1552" spans="1:18" ht="26.15" customHeight="1">
      <c r="A1552" s="7">
        <v>1546</v>
      </c>
      <c r="B1552" s="8" t="s">
        <v>4422</v>
      </c>
      <c r="C1552" s="8" t="s">
        <v>3114</v>
      </c>
      <c r="D1552" s="8" t="s">
        <v>4423</v>
      </c>
      <c r="E1552" s="8" t="s">
        <v>3116</v>
      </c>
      <c r="F1552" s="9" t="s">
        <v>3123</v>
      </c>
      <c r="G1552" s="10">
        <v>42498</v>
      </c>
      <c r="H1552" s="8" t="s">
        <v>109</v>
      </c>
      <c r="I1552" s="11" t="s">
        <v>50</v>
      </c>
      <c r="J1552" s="8" t="s">
        <v>1748</v>
      </c>
      <c r="K1552" s="8" t="s">
        <v>1749</v>
      </c>
      <c r="L1552" s="7">
        <v>2014</v>
      </c>
      <c r="M1552" s="8" t="s">
        <v>1222</v>
      </c>
      <c r="N1552" s="11">
        <v>14470000</v>
      </c>
      <c r="O1552" s="8" t="s">
        <v>1752</v>
      </c>
      <c r="P1552" s="8" t="s">
        <v>1753</v>
      </c>
      <c r="Q1552" s="8"/>
      <c r="R1552" s="8" t="s">
        <v>278</v>
      </c>
    </row>
    <row r="1553" spans="1:18" ht="26.15" customHeight="1">
      <c r="A1553" s="7">
        <v>1547</v>
      </c>
      <c r="B1553" s="8" t="s">
        <v>4128</v>
      </c>
      <c r="C1553" s="8" t="s">
        <v>3114</v>
      </c>
      <c r="D1553" s="8" t="s">
        <v>4129</v>
      </c>
      <c r="E1553" s="8" t="s">
        <v>3116</v>
      </c>
      <c r="F1553" s="9" t="s">
        <v>3123</v>
      </c>
      <c r="G1553" s="10">
        <v>42498</v>
      </c>
      <c r="H1553" s="8" t="s">
        <v>109</v>
      </c>
      <c r="I1553" s="11" t="s">
        <v>50</v>
      </c>
      <c r="J1553" s="8" t="s">
        <v>1748</v>
      </c>
      <c r="K1553" s="8" t="s">
        <v>1749</v>
      </c>
      <c r="L1553" s="7">
        <v>2014</v>
      </c>
      <c r="M1553" s="8" t="s">
        <v>1222</v>
      </c>
      <c r="N1553" s="11">
        <v>14470000</v>
      </c>
      <c r="O1553" s="8" t="s">
        <v>1752</v>
      </c>
      <c r="P1553" s="8" t="s">
        <v>1753</v>
      </c>
      <c r="Q1553" s="8"/>
      <c r="R1553" s="8" t="s">
        <v>1732</v>
      </c>
    </row>
    <row r="1554" spans="1:18" ht="26.15" customHeight="1">
      <c r="A1554" s="7">
        <v>1548</v>
      </c>
      <c r="B1554" s="8" t="s">
        <v>4130</v>
      </c>
      <c r="C1554" s="8" t="s">
        <v>3114</v>
      </c>
      <c r="D1554" s="8" t="s">
        <v>4131</v>
      </c>
      <c r="E1554" s="8" t="s">
        <v>3116</v>
      </c>
      <c r="F1554" s="9" t="s">
        <v>3123</v>
      </c>
      <c r="G1554" s="10">
        <v>42498</v>
      </c>
      <c r="H1554" s="8" t="s">
        <v>109</v>
      </c>
      <c r="I1554" s="11" t="s">
        <v>50</v>
      </c>
      <c r="J1554" s="8" t="s">
        <v>1748</v>
      </c>
      <c r="K1554" s="8" t="s">
        <v>1749</v>
      </c>
      <c r="L1554" s="7">
        <v>2014</v>
      </c>
      <c r="M1554" s="8" t="s">
        <v>1222</v>
      </c>
      <c r="N1554" s="11">
        <v>14470000</v>
      </c>
      <c r="O1554" s="8" t="s">
        <v>1752</v>
      </c>
      <c r="P1554" s="8" t="s">
        <v>1753</v>
      </c>
      <c r="Q1554" s="8"/>
      <c r="R1554" s="8" t="s">
        <v>278</v>
      </c>
    </row>
    <row r="1555" spans="1:18" ht="26.15" customHeight="1">
      <c r="A1555" s="7">
        <v>1549</v>
      </c>
      <c r="B1555" s="8" t="s">
        <v>4566</v>
      </c>
      <c r="C1555" s="8" t="s">
        <v>3114</v>
      </c>
      <c r="D1555" s="8" t="s">
        <v>4567</v>
      </c>
      <c r="E1555" s="8" t="s">
        <v>3116</v>
      </c>
      <c r="F1555" s="9" t="s">
        <v>3117</v>
      </c>
      <c r="G1555" s="10">
        <v>42495</v>
      </c>
      <c r="H1555" s="8" t="s">
        <v>109</v>
      </c>
      <c r="I1555" s="11" t="s">
        <v>50</v>
      </c>
      <c r="J1555" s="8" t="s">
        <v>2432</v>
      </c>
      <c r="K1555" s="8" t="s">
        <v>2433</v>
      </c>
      <c r="L1555" s="7">
        <v>2013</v>
      </c>
      <c r="M1555" s="8" t="s">
        <v>143</v>
      </c>
      <c r="N1555" s="11">
        <v>5080000</v>
      </c>
      <c r="O1555" s="8" t="s">
        <v>2436</v>
      </c>
      <c r="P1555" s="8" t="s">
        <v>2437</v>
      </c>
      <c r="Q1555" s="8"/>
      <c r="R1555" s="8" t="s">
        <v>3220</v>
      </c>
    </row>
    <row r="1556" spans="1:18" ht="26.15" customHeight="1">
      <c r="A1556" s="7">
        <v>1550</v>
      </c>
      <c r="B1556" s="8" t="s">
        <v>2033</v>
      </c>
      <c r="C1556" s="8" t="s">
        <v>3114</v>
      </c>
      <c r="D1556" s="8" t="s">
        <v>3839</v>
      </c>
      <c r="E1556" s="8" t="s">
        <v>3116</v>
      </c>
      <c r="F1556" s="9" t="s">
        <v>3117</v>
      </c>
      <c r="G1556" s="10">
        <v>42495</v>
      </c>
      <c r="H1556" s="8" t="s">
        <v>109</v>
      </c>
      <c r="I1556" s="11" t="s">
        <v>50</v>
      </c>
      <c r="J1556" s="8" t="s">
        <v>2432</v>
      </c>
      <c r="K1556" s="8" t="s">
        <v>2433</v>
      </c>
      <c r="L1556" s="7">
        <v>2013</v>
      </c>
      <c r="M1556" s="8" t="s">
        <v>143</v>
      </c>
      <c r="N1556" s="11">
        <v>5080000</v>
      </c>
      <c r="O1556" s="8" t="s">
        <v>2436</v>
      </c>
      <c r="P1556" s="8" t="s">
        <v>2437</v>
      </c>
      <c r="Q1556" s="8"/>
      <c r="R1556" s="8" t="s">
        <v>3214</v>
      </c>
    </row>
    <row r="1557" spans="1:18" ht="26.15" customHeight="1">
      <c r="A1557" s="7">
        <v>1551</v>
      </c>
      <c r="B1557" s="8" t="s">
        <v>326</v>
      </c>
      <c r="C1557" s="8" t="s">
        <v>3114</v>
      </c>
      <c r="D1557" s="110" t="s">
        <v>3127</v>
      </c>
      <c r="E1557" s="8" t="s">
        <v>3116</v>
      </c>
      <c r="F1557" s="9" t="s">
        <v>3117</v>
      </c>
      <c r="G1557" s="10">
        <v>42492</v>
      </c>
      <c r="H1557" s="8" t="s">
        <v>34</v>
      </c>
      <c r="I1557" s="11">
        <v>165066</v>
      </c>
      <c r="J1557" s="8" t="s">
        <v>259</v>
      </c>
      <c r="K1557" s="8" t="s">
        <v>260</v>
      </c>
      <c r="L1557" s="7">
        <v>2013</v>
      </c>
      <c r="M1557" s="8" t="s">
        <v>79</v>
      </c>
      <c r="N1557" s="11">
        <v>5345286</v>
      </c>
      <c r="O1557" s="8" t="s">
        <v>264</v>
      </c>
      <c r="P1557" s="8" t="s">
        <v>265</v>
      </c>
      <c r="Q1557" s="8"/>
      <c r="R1557" s="8" t="s">
        <v>79</v>
      </c>
    </row>
    <row r="1558" spans="1:18" ht="26.15" customHeight="1">
      <c r="A1558" s="7">
        <v>1552</v>
      </c>
      <c r="B1558" s="8" t="s">
        <v>4568</v>
      </c>
      <c r="C1558" s="8" t="s">
        <v>3114</v>
      </c>
      <c r="D1558" s="8" t="s">
        <v>4569</v>
      </c>
      <c r="E1558" s="8" t="s">
        <v>3116</v>
      </c>
      <c r="F1558" s="9" t="s">
        <v>3123</v>
      </c>
      <c r="G1558" s="10">
        <v>42492</v>
      </c>
      <c r="H1558" s="8" t="s">
        <v>34</v>
      </c>
      <c r="I1558" s="11">
        <v>165066</v>
      </c>
      <c r="J1558" s="8" t="s">
        <v>259</v>
      </c>
      <c r="K1558" s="8" t="s">
        <v>260</v>
      </c>
      <c r="L1558" s="7">
        <v>2013</v>
      </c>
      <c r="M1558" s="8" t="s">
        <v>79</v>
      </c>
      <c r="N1558" s="11">
        <v>5345286</v>
      </c>
      <c r="O1558" s="8" t="s">
        <v>264</v>
      </c>
      <c r="P1558" s="8" t="s">
        <v>265</v>
      </c>
      <c r="Q1558" s="8"/>
      <c r="R1558" s="8" t="s">
        <v>188</v>
      </c>
    </row>
    <row r="1559" spans="1:18" ht="26.15" customHeight="1">
      <c r="A1559" s="7">
        <v>1553</v>
      </c>
      <c r="B1559" s="8" t="s">
        <v>4570</v>
      </c>
      <c r="C1559" s="8" t="s">
        <v>3127</v>
      </c>
      <c r="D1559" s="8"/>
      <c r="E1559" s="8" t="s">
        <v>3128</v>
      </c>
      <c r="F1559" s="9" t="s">
        <v>3123</v>
      </c>
      <c r="G1559" s="10">
        <v>42492</v>
      </c>
      <c r="H1559" s="8" t="s">
        <v>34</v>
      </c>
      <c r="I1559" s="11">
        <v>165066</v>
      </c>
      <c r="J1559" s="8" t="s">
        <v>259</v>
      </c>
      <c r="K1559" s="8" t="s">
        <v>260</v>
      </c>
      <c r="L1559" s="7">
        <v>2013</v>
      </c>
      <c r="M1559" s="8" t="s">
        <v>79</v>
      </c>
      <c r="N1559" s="11">
        <v>5345286</v>
      </c>
      <c r="O1559" s="8" t="s">
        <v>264</v>
      </c>
      <c r="P1559" s="8" t="s">
        <v>265</v>
      </c>
      <c r="Q1559" s="8"/>
      <c r="R1559" s="8"/>
    </row>
    <row r="1560" spans="1:18" ht="26.15" customHeight="1">
      <c r="A1560" s="7">
        <v>1554</v>
      </c>
      <c r="B1560" s="8" t="s">
        <v>4571</v>
      </c>
      <c r="C1560" s="8" t="s">
        <v>3127</v>
      </c>
      <c r="D1560" s="8"/>
      <c r="E1560" s="8" t="s">
        <v>3128</v>
      </c>
      <c r="F1560" s="9" t="s">
        <v>3123</v>
      </c>
      <c r="G1560" s="10">
        <v>42492</v>
      </c>
      <c r="H1560" s="8" t="s">
        <v>34</v>
      </c>
      <c r="I1560" s="11">
        <v>165066</v>
      </c>
      <c r="J1560" s="8" t="s">
        <v>259</v>
      </c>
      <c r="K1560" s="8" t="s">
        <v>260</v>
      </c>
      <c r="L1560" s="7">
        <v>2013</v>
      </c>
      <c r="M1560" s="8" t="s">
        <v>79</v>
      </c>
      <c r="N1560" s="11">
        <v>5345286</v>
      </c>
      <c r="O1560" s="8" t="s">
        <v>264</v>
      </c>
      <c r="P1560" s="8" t="s">
        <v>265</v>
      </c>
      <c r="Q1560" s="8"/>
      <c r="R1560" s="8"/>
    </row>
    <row r="1561" spans="1:18" ht="26.15" customHeight="1">
      <c r="A1561" s="7">
        <v>1555</v>
      </c>
      <c r="B1561" s="8" t="s">
        <v>4572</v>
      </c>
      <c r="C1561" s="8" t="s">
        <v>3127</v>
      </c>
      <c r="D1561" s="8"/>
      <c r="E1561" s="8" t="s">
        <v>3128</v>
      </c>
      <c r="F1561" s="9" t="s">
        <v>3123</v>
      </c>
      <c r="G1561" s="10">
        <v>42492</v>
      </c>
      <c r="H1561" s="8" t="s">
        <v>34</v>
      </c>
      <c r="I1561" s="11">
        <v>165066</v>
      </c>
      <c r="J1561" s="8" t="s">
        <v>259</v>
      </c>
      <c r="K1561" s="8" t="s">
        <v>260</v>
      </c>
      <c r="L1561" s="7">
        <v>2013</v>
      </c>
      <c r="M1561" s="8" t="s">
        <v>79</v>
      </c>
      <c r="N1561" s="11">
        <v>5345286</v>
      </c>
      <c r="O1561" s="8" t="s">
        <v>264</v>
      </c>
      <c r="P1561" s="8" t="s">
        <v>265</v>
      </c>
      <c r="Q1561" s="8"/>
      <c r="R1561" s="8"/>
    </row>
    <row r="1562" spans="1:18" ht="26.15" customHeight="1">
      <c r="A1562" s="7">
        <v>1556</v>
      </c>
      <c r="B1562" s="8" t="s">
        <v>156</v>
      </c>
      <c r="C1562" s="8" t="s">
        <v>3139</v>
      </c>
      <c r="D1562" s="8" t="s">
        <v>3170</v>
      </c>
      <c r="E1562" s="8" t="s">
        <v>3116</v>
      </c>
      <c r="F1562" s="9" t="s">
        <v>3123</v>
      </c>
      <c r="G1562" s="10">
        <v>42491</v>
      </c>
      <c r="H1562" s="8" t="s">
        <v>184</v>
      </c>
      <c r="I1562" s="11">
        <v>55000</v>
      </c>
      <c r="J1562" s="8" t="s">
        <v>2440</v>
      </c>
      <c r="K1562" s="8" t="s">
        <v>2441</v>
      </c>
      <c r="L1562" s="7">
        <v>2013</v>
      </c>
      <c r="M1562" s="8" t="s">
        <v>1251</v>
      </c>
      <c r="N1562" s="11"/>
      <c r="O1562" s="8" t="s">
        <v>2442</v>
      </c>
      <c r="P1562" s="8" t="s">
        <v>2443</v>
      </c>
      <c r="Q1562" s="8"/>
      <c r="R1562" s="8"/>
    </row>
    <row r="1563" spans="1:18" ht="26.15" customHeight="1">
      <c r="A1563" s="7">
        <v>1557</v>
      </c>
      <c r="B1563" s="8" t="s">
        <v>156</v>
      </c>
      <c r="C1563" s="8" t="s">
        <v>3139</v>
      </c>
      <c r="D1563" s="8" t="s">
        <v>3170</v>
      </c>
      <c r="E1563" s="8" t="s">
        <v>3116</v>
      </c>
      <c r="F1563" s="9" t="s">
        <v>3123</v>
      </c>
      <c r="G1563" s="10">
        <v>42491</v>
      </c>
      <c r="H1563" s="8" t="s">
        <v>184</v>
      </c>
      <c r="I1563" s="11">
        <v>57000</v>
      </c>
      <c r="J1563" s="8" t="s">
        <v>2444</v>
      </c>
      <c r="K1563" s="8" t="s">
        <v>2445</v>
      </c>
      <c r="L1563" s="7">
        <v>2010</v>
      </c>
      <c r="M1563" s="8" t="s">
        <v>1251</v>
      </c>
      <c r="N1563" s="11"/>
      <c r="O1563" s="8" t="s">
        <v>2446</v>
      </c>
      <c r="P1563" s="8" t="s">
        <v>2447</v>
      </c>
      <c r="Q1563" s="8"/>
      <c r="R1563" s="8"/>
    </row>
    <row r="1564" spans="1:18" ht="26.15" customHeight="1">
      <c r="A1564" s="7">
        <v>1558</v>
      </c>
      <c r="B1564" s="8" t="s">
        <v>3689</v>
      </c>
      <c r="C1564" s="8" t="s">
        <v>3114</v>
      </c>
      <c r="D1564" s="8" t="s">
        <v>3690</v>
      </c>
      <c r="E1564" s="8" t="s">
        <v>3116</v>
      </c>
      <c r="F1564" s="9" t="s">
        <v>3123</v>
      </c>
      <c r="G1564" s="10">
        <v>42489</v>
      </c>
      <c r="H1564" s="8" t="s">
        <v>184</v>
      </c>
      <c r="I1564" s="11">
        <v>33000</v>
      </c>
      <c r="J1564" s="8" t="s">
        <v>2448</v>
      </c>
      <c r="K1564" s="8" t="s">
        <v>2449</v>
      </c>
      <c r="L1564" s="7">
        <v>2013</v>
      </c>
      <c r="M1564" s="8" t="s">
        <v>2008</v>
      </c>
      <c r="N1564" s="11"/>
      <c r="O1564" s="8" t="s">
        <v>2450</v>
      </c>
      <c r="P1564" s="8" t="s">
        <v>2451</v>
      </c>
      <c r="Q1564" s="8"/>
      <c r="R1564" s="8" t="s">
        <v>299</v>
      </c>
    </row>
    <row r="1565" spans="1:18" ht="26.15" customHeight="1">
      <c r="A1565" s="7">
        <v>1559</v>
      </c>
      <c r="B1565" s="8" t="s">
        <v>2164</v>
      </c>
      <c r="C1565" s="8" t="s">
        <v>3114</v>
      </c>
      <c r="D1565" s="8" t="s">
        <v>3471</v>
      </c>
      <c r="E1565" s="8" t="s">
        <v>3116</v>
      </c>
      <c r="F1565" s="9" t="s">
        <v>3117</v>
      </c>
      <c r="G1565" s="10">
        <v>42482</v>
      </c>
      <c r="H1565" s="8" t="s">
        <v>109</v>
      </c>
      <c r="I1565" s="11">
        <v>3012220</v>
      </c>
      <c r="J1565" s="8" t="s">
        <v>628</v>
      </c>
      <c r="K1565" s="8" t="s">
        <v>629</v>
      </c>
      <c r="L1565" s="7">
        <v>2015</v>
      </c>
      <c r="M1565" s="8" t="s">
        <v>79</v>
      </c>
      <c r="N1565" s="11">
        <v>94500000</v>
      </c>
      <c r="O1565" s="8" t="s">
        <v>632</v>
      </c>
      <c r="P1565" s="8" t="s">
        <v>633</v>
      </c>
      <c r="Q1565" s="8"/>
      <c r="R1565" s="8" t="s">
        <v>3148</v>
      </c>
    </row>
    <row r="1566" spans="1:18" ht="26.15" customHeight="1">
      <c r="A1566" s="7">
        <v>1560</v>
      </c>
      <c r="B1566" s="8" t="s">
        <v>2266</v>
      </c>
      <c r="C1566" s="8" t="s">
        <v>3127</v>
      </c>
      <c r="D1566" s="8"/>
      <c r="E1566" s="8" t="s">
        <v>3128</v>
      </c>
      <c r="F1566" s="9" t="s">
        <v>3117</v>
      </c>
      <c r="G1566" s="10">
        <v>42479</v>
      </c>
      <c r="H1566" s="8" t="s">
        <v>124</v>
      </c>
      <c r="I1566" s="11">
        <v>60005</v>
      </c>
      <c r="J1566" s="8" t="s">
        <v>2157</v>
      </c>
      <c r="K1566" s="8" t="s">
        <v>2158</v>
      </c>
      <c r="L1566" s="7">
        <v>2014</v>
      </c>
      <c r="M1566" s="8" t="s">
        <v>79</v>
      </c>
      <c r="N1566" s="11">
        <v>239863</v>
      </c>
      <c r="O1566" s="8" t="s">
        <v>2161</v>
      </c>
      <c r="P1566" s="8" t="s">
        <v>2162</v>
      </c>
      <c r="Q1566" s="8"/>
      <c r="R1566" s="8"/>
    </row>
    <row r="1567" spans="1:18" ht="26.15" customHeight="1">
      <c r="A1567" s="7">
        <v>1561</v>
      </c>
      <c r="B1567" s="8" t="s">
        <v>4573</v>
      </c>
      <c r="C1567" s="8" t="s">
        <v>3127</v>
      </c>
      <c r="D1567" s="8"/>
      <c r="E1567" s="8" t="s">
        <v>3128</v>
      </c>
      <c r="F1567" s="9" t="s">
        <v>3123</v>
      </c>
      <c r="G1567" s="10">
        <v>42479</v>
      </c>
      <c r="H1567" s="8" t="s">
        <v>124</v>
      </c>
      <c r="I1567" s="11">
        <v>60005</v>
      </c>
      <c r="J1567" s="8" t="s">
        <v>2157</v>
      </c>
      <c r="K1567" s="8" t="s">
        <v>2158</v>
      </c>
      <c r="L1567" s="7">
        <v>2014</v>
      </c>
      <c r="M1567" s="8" t="s">
        <v>79</v>
      </c>
      <c r="N1567" s="11">
        <v>239863</v>
      </c>
      <c r="O1567" s="8" t="s">
        <v>2161</v>
      </c>
      <c r="P1567" s="8" t="s">
        <v>2162</v>
      </c>
      <c r="Q1567" s="8"/>
      <c r="R1567" s="8"/>
    </row>
    <row r="1568" spans="1:18" ht="26.15" customHeight="1">
      <c r="A1568" s="7">
        <v>1562</v>
      </c>
      <c r="B1568" s="8" t="s">
        <v>4574</v>
      </c>
      <c r="C1568" s="8" t="s">
        <v>3127</v>
      </c>
      <c r="D1568" s="8"/>
      <c r="E1568" s="8" t="s">
        <v>3128</v>
      </c>
      <c r="F1568" s="9" t="s">
        <v>3123</v>
      </c>
      <c r="G1568" s="10">
        <v>42479</v>
      </c>
      <c r="H1568" s="8" t="s">
        <v>124</v>
      </c>
      <c r="I1568" s="11">
        <v>60005</v>
      </c>
      <c r="J1568" s="8" t="s">
        <v>2157</v>
      </c>
      <c r="K1568" s="8" t="s">
        <v>2158</v>
      </c>
      <c r="L1568" s="7">
        <v>2014</v>
      </c>
      <c r="M1568" s="8" t="s">
        <v>79</v>
      </c>
      <c r="N1568" s="11">
        <v>239863</v>
      </c>
      <c r="O1568" s="8" t="s">
        <v>2161</v>
      </c>
      <c r="P1568" s="8" t="s">
        <v>2162</v>
      </c>
      <c r="Q1568" s="8"/>
      <c r="R1568" s="8"/>
    </row>
    <row r="1569" spans="1:18" ht="26.15" customHeight="1">
      <c r="A1569" s="7">
        <v>1563</v>
      </c>
      <c r="B1569" s="8" t="s">
        <v>4370</v>
      </c>
      <c r="C1569" s="8" t="s">
        <v>3127</v>
      </c>
      <c r="D1569" s="8"/>
      <c r="E1569" s="8" t="s">
        <v>3128</v>
      </c>
      <c r="F1569" s="9" t="s">
        <v>3123</v>
      </c>
      <c r="G1569" s="10">
        <v>42479</v>
      </c>
      <c r="H1569" s="8" t="s">
        <v>124</v>
      </c>
      <c r="I1569" s="11">
        <v>60005</v>
      </c>
      <c r="J1569" s="8" t="s">
        <v>2157</v>
      </c>
      <c r="K1569" s="8" t="s">
        <v>2158</v>
      </c>
      <c r="L1569" s="7">
        <v>2014</v>
      </c>
      <c r="M1569" s="8" t="s">
        <v>79</v>
      </c>
      <c r="N1569" s="11">
        <v>239863</v>
      </c>
      <c r="O1569" s="8" t="s">
        <v>2161</v>
      </c>
      <c r="P1569" s="8" t="s">
        <v>2162</v>
      </c>
      <c r="Q1569" s="8"/>
      <c r="R1569" s="8"/>
    </row>
    <row r="1570" spans="1:18" ht="26.15" customHeight="1">
      <c r="A1570" s="7">
        <v>1564</v>
      </c>
      <c r="B1570" s="8" t="s">
        <v>4575</v>
      </c>
      <c r="C1570" s="8" t="s">
        <v>3139</v>
      </c>
      <c r="D1570" s="8" t="s">
        <v>4576</v>
      </c>
      <c r="E1570" s="8" t="s">
        <v>3116</v>
      </c>
      <c r="F1570" s="9" t="s">
        <v>3123</v>
      </c>
      <c r="G1570" s="10">
        <v>42473</v>
      </c>
      <c r="H1570" s="8" t="s">
        <v>34</v>
      </c>
      <c r="I1570" s="11">
        <v>1250000</v>
      </c>
      <c r="J1570" s="8" t="s">
        <v>634</v>
      </c>
      <c r="K1570" s="8" t="s">
        <v>635</v>
      </c>
      <c r="L1570" s="7">
        <v>2012</v>
      </c>
      <c r="M1570" s="8" t="s">
        <v>638</v>
      </c>
      <c r="N1570" s="11">
        <v>17600000</v>
      </c>
      <c r="O1570" s="8" t="s">
        <v>639</v>
      </c>
      <c r="P1570" s="8" t="s">
        <v>640</v>
      </c>
      <c r="Q1570" s="8"/>
      <c r="R1570" s="8"/>
    </row>
    <row r="1571" spans="1:18" ht="26.15" customHeight="1">
      <c r="A1571" s="7">
        <v>1565</v>
      </c>
      <c r="B1571" s="8" t="s">
        <v>4577</v>
      </c>
      <c r="C1571" s="8" t="s">
        <v>3114</v>
      </c>
      <c r="D1571" s="8" t="s">
        <v>4578</v>
      </c>
      <c r="E1571" s="8" t="s">
        <v>3116</v>
      </c>
      <c r="F1571" s="9" t="s">
        <v>3117</v>
      </c>
      <c r="G1571" s="10">
        <v>42472</v>
      </c>
      <c r="H1571" s="8" t="s">
        <v>109</v>
      </c>
      <c r="I1571" s="11">
        <v>1000000</v>
      </c>
      <c r="J1571" s="8" t="s">
        <v>885</v>
      </c>
      <c r="K1571" s="8" t="s">
        <v>886</v>
      </c>
      <c r="L1571" s="7">
        <v>2013</v>
      </c>
      <c r="M1571" s="8" t="s">
        <v>369</v>
      </c>
      <c r="N1571" s="11">
        <v>30000000</v>
      </c>
      <c r="O1571" s="8" t="s">
        <v>889</v>
      </c>
      <c r="P1571" s="8" t="s">
        <v>890</v>
      </c>
      <c r="Q1571" s="8"/>
      <c r="R1571" s="8" t="s">
        <v>4579</v>
      </c>
    </row>
    <row r="1572" spans="1:18" ht="26.15" customHeight="1">
      <c r="A1572" s="7">
        <v>1566</v>
      </c>
      <c r="B1572" s="8" t="s">
        <v>4580</v>
      </c>
      <c r="C1572" s="8" t="s">
        <v>3139</v>
      </c>
      <c r="D1572" s="8" t="s">
        <v>4581</v>
      </c>
      <c r="E1572" s="8" t="s">
        <v>3116</v>
      </c>
      <c r="F1572" s="9" t="s">
        <v>3117</v>
      </c>
      <c r="G1572" s="10">
        <v>42472</v>
      </c>
      <c r="H1572" s="8" t="s">
        <v>109</v>
      </c>
      <c r="I1572" s="11">
        <v>1000000</v>
      </c>
      <c r="J1572" s="8" t="s">
        <v>885</v>
      </c>
      <c r="K1572" s="8" t="s">
        <v>886</v>
      </c>
      <c r="L1572" s="7">
        <v>2013</v>
      </c>
      <c r="M1572" s="8" t="s">
        <v>369</v>
      </c>
      <c r="N1572" s="11">
        <v>30000000</v>
      </c>
      <c r="O1572" s="8" t="s">
        <v>889</v>
      </c>
      <c r="P1572" s="8" t="s">
        <v>890</v>
      </c>
      <c r="Q1572" s="8"/>
      <c r="R1572" s="8" t="s">
        <v>4582</v>
      </c>
    </row>
    <row r="1573" spans="1:18" ht="26.15" customHeight="1">
      <c r="A1573" s="7">
        <v>1567</v>
      </c>
      <c r="B1573" s="8" t="s">
        <v>2464</v>
      </c>
      <c r="C1573" s="8" t="s">
        <v>3139</v>
      </c>
      <c r="D1573" s="8" t="s">
        <v>4583</v>
      </c>
      <c r="E1573" s="8" t="s">
        <v>3116</v>
      </c>
      <c r="F1573" s="9" t="s">
        <v>3117</v>
      </c>
      <c r="G1573" s="10">
        <v>42471</v>
      </c>
      <c r="H1573" s="8" t="s">
        <v>34</v>
      </c>
      <c r="I1573" s="11">
        <v>314748</v>
      </c>
      <c r="J1573" s="8" t="s">
        <v>2461</v>
      </c>
      <c r="K1573" s="8" t="s">
        <v>2462</v>
      </c>
      <c r="L1573" s="7">
        <v>2015</v>
      </c>
      <c r="M1573" s="8" t="s">
        <v>56</v>
      </c>
      <c r="N1573" s="11">
        <v>314748</v>
      </c>
      <c r="O1573" s="8" t="s">
        <v>2465</v>
      </c>
      <c r="P1573" s="8" t="s">
        <v>2466</v>
      </c>
      <c r="Q1573" s="8"/>
      <c r="R1573" s="8" t="s">
        <v>56</v>
      </c>
    </row>
    <row r="1574" spans="1:18" ht="26.15" customHeight="1">
      <c r="A1574" s="7">
        <v>1568</v>
      </c>
      <c r="B1574" s="8" t="s">
        <v>798</v>
      </c>
      <c r="C1574" s="8" t="s">
        <v>3114</v>
      </c>
      <c r="D1574" s="8" t="s">
        <v>3581</v>
      </c>
      <c r="E1574" s="8" t="s">
        <v>3116</v>
      </c>
      <c r="F1574" s="9" t="s">
        <v>3117</v>
      </c>
      <c r="G1574" s="10">
        <v>42465</v>
      </c>
      <c r="H1574" s="8" t="s">
        <v>34</v>
      </c>
      <c r="I1574" s="11" t="s">
        <v>50</v>
      </c>
      <c r="J1574" s="8" t="s">
        <v>2467</v>
      </c>
      <c r="K1574" s="8" t="s">
        <v>2468</v>
      </c>
      <c r="L1574" s="7">
        <v>2012</v>
      </c>
      <c r="M1574" s="8" t="s">
        <v>684</v>
      </c>
      <c r="N1574" s="11"/>
      <c r="O1574" s="8" t="s">
        <v>2469</v>
      </c>
      <c r="P1574" s="8" t="s">
        <v>2470</v>
      </c>
      <c r="Q1574" s="8"/>
      <c r="R1574" s="8" t="s">
        <v>3582</v>
      </c>
    </row>
    <row r="1575" spans="1:18" ht="26.15" customHeight="1">
      <c r="A1575" s="7">
        <v>1569</v>
      </c>
      <c r="B1575" s="8" t="s">
        <v>3760</v>
      </c>
      <c r="C1575" s="8" t="s">
        <v>3139</v>
      </c>
      <c r="D1575" s="8" t="s">
        <v>3761</v>
      </c>
      <c r="E1575" s="8" t="s">
        <v>3116</v>
      </c>
      <c r="F1575" s="9" t="s">
        <v>3123</v>
      </c>
      <c r="G1575" s="10">
        <v>42461</v>
      </c>
      <c r="H1575" s="8" t="s">
        <v>184</v>
      </c>
      <c r="I1575" s="11">
        <v>2000</v>
      </c>
      <c r="J1575" s="8" t="s">
        <v>2146</v>
      </c>
      <c r="K1575" s="8" t="s">
        <v>2147</v>
      </c>
      <c r="L1575" s="7">
        <v>2015</v>
      </c>
      <c r="M1575" s="8" t="s">
        <v>1326</v>
      </c>
      <c r="N1575" s="11"/>
      <c r="O1575" s="8" t="s">
        <v>2148</v>
      </c>
      <c r="P1575" s="8" t="s">
        <v>2149</v>
      </c>
      <c r="Q1575" s="8"/>
      <c r="R1575" s="8" t="s">
        <v>3762</v>
      </c>
    </row>
    <row r="1576" spans="1:18" ht="26.15" customHeight="1">
      <c r="A1576" s="7">
        <v>1570</v>
      </c>
      <c r="B1576" s="8" t="s">
        <v>2475</v>
      </c>
      <c r="C1576" s="8" t="s">
        <v>3139</v>
      </c>
      <c r="D1576" s="8" t="s">
        <v>4584</v>
      </c>
      <c r="E1576" s="8" t="s">
        <v>3116</v>
      </c>
      <c r="F1576" s="9" t="s">
        <v>3117</v>
      </c>
      <c r="G1576" s="10">
        <v>42461</v>
      </c>
      <c r="H1576" s="8" t="s">
        <v>109</v>
      </c>
      <c r="I1576" s="11">
        <v>4632223</v>
      </c>
      <c r="J1576" s="8" t="s">
        <v>2472</v>
      </c>
      <c r="K1576" s="8" t="s">
        <v>2473</v>
      </c>
      <c r="L1576" s="7">
        <v>2014</v>
      </c>
      <c r="M1576" s="8" t="s">
        <v>278</v>
      </c>
      <c r="N1576" s="11">
        <v>4632223</v>
      </c>
      <c r="O1576" s="8" t="s">
        <v>2476</v>
      </c>
      <c r="P1576" s="8" t="s">
        <v>2477</v>
      </c>
      <c r="Q1576" s="8"/>
      <c r="R1576" s="8" t="s">
        <v>1732</v>
      </c>
    </row>
    <row r="1577" spans="1:18" ht="26.15" customHeight="1">
      <c r="A1577" s="7">
        <v>1571</v>
      </c>
      <c r="B1577" s="8" t="s">
        <v>4585</v>
      </c>
      <c r="C1577" s="8"/>
      <c r="D1577" s="8" t="s">
        <v>4586</v>
      </c>
      <c r="E1577" s="8" t="s">
        <v>3116</v>
      </c>
      <c r="F1577" s="9" t="s">
        <v>3123</v>
      </c>
      <c r="G1577" s="10">
        <v>42459</v>
      </c>
      <c r="H1577" s="8" t="s">
        <v>170</v>
      </c>
      <c r="I1577" s="11">
        <v>120000000</v>
      </c>
      <c r="J1577" s="8" t="s">
        <v>2478</v>
      </c>
      <c r="K1577" s="8" t="s">
        <v>2479</v>
      </c>
      <c r="L1577" s="7">
        <v>1963</v>
      </c>
      <c r="M1577" s="8" t="s">
        <v>2481</v>
      </c>
      <c r="N1577" s="11"/>
      <c r="O1577" s="8" t="s">
        <v>2482</v>
      </c>
      <c r="P1577" s="8" t="s">
        <v>2483</v>
      </c>
      <c r="Q1577" s="8"/>
      <c r="R1577" s="8" t="s">
        <v>4587</v>
      </c>
    </row>
    <row r="1578" spans="1:18" ht="26.15" customHeight="1">
      <c r="A1578" s="7">
        <v>1572</v>
      </c>
      <c r="B1578" s="8" t="s">
        <v>3140</v>
      </c>
      <c r="C1578" s="8" t="s">
        <v>3139</v>
      </c>
      <c r="D1578" s="8" t="s">
        <v>3141</v>
      </c>
      <c r="E1578" s="8" t="s">
        <v>3116</v>
      </c>
      <c r="F1578" s="9" t="s">
        <v>3117</v>
      </c>
      <c r="G1578" s="10">
        <v>42459</v>
      </c>
      <c r="H1578" s="8" t="s">
        <v>34</v>
      </c>
      <c r="I1578" s="11">
        <v>2000000</v>
      </c>
      <c r="J1578" s="8" t="s">
        <v>228</v>
      </c>
      <c r="K1578" s="8" t="s">
        <v>229</v>
      </c>
      <c r="L1578" s="7">
        <v>2015</v>
      </c>
      <c r="M1578" s="8" t="s">
        <v>233</v>
      </c>
      <c r="N1578" s="11">
        <v>60000000</v>
      </c>
      <c r="O1578" s="8" t="s">
        <v>234</v>
      </c>
      <c r="P1578" s="8" t="s">
        <v>235</v>
      </c>
      <c r="Q1578" s="8"/>
      <c r="R1578" s="8" t="s">
        <v>954</v>
      </c>
    </row>
    <row r="1579" spans="1:18" ht="26.15" customHeight="1">
      <c r="A1579" s="7">
        <v>1573</v>
      </c>
      <c r="B1579" s="8" t="s">
        <v>4347</v>
      </c>
      <c r="C1579" s="8" t="s">
        <v>3114</v>
      </c>
      <c r="D1579" s="8" t="s">
        <v>4348</v>
      </c>
      <c r="E1579" s="8" t="s">
        <v>3116</v>
      </c>
      <c r="F1579" s="9" t="s">
        <v>3117</v>
      </c>
      <c r="G1579" s="10">
        <v>42459</v>
      </c>
      <c r="H1579" s="8" t="s">
        <v>34</v>
      </c>
      <c r="I1579" s="11">
        <v>2000000</v>
      </c>
      <c r="J1579" s="8" t="s">
        <v>228</v>
      </c>
      <c r="K1579" s="8" t="s">
        <v>229</v>
      </c>
      <c r="L1579" s="7">
        <v>2015</v>
      </c>
      <c r="M1579" s="8" t="s">
        <v>233</v>
      </c>
      <c r="N1579" s="11">
        <v>60000000</v>
      </c>
      <c r="O1579" s="8" t="s">
        <v>234</v>
      </c>
      <c r="P1579" s="8" t="s">
        <v>235</v>
      </c>
      <c r="Q1579" s="8"/>
      <c r="R1579" s="8" t="s">
        <v>698</v>
      </c>
    </row>
    <row r="1580" spans="1:18" ht="26.15" customHeight="1">
      <c r="A1580" s="7">
        <v>1574</v>
      </c>
      <c r="B1580" s="8" t="s">
        <v>4588</v>
      </c>
      <c r="C1580" s="8" t="s">
        <v>3114</v>
      </c>
      <c r="D1580" s="8" t="s">
        <v>4589</v>
      </c>
      <c r="E1580" s="8" t="s">
        <v>3116</v>
      </c>
      <c r="F1580" s="9" t="s">
        <v>3123</v>
      </c>
      <c r="G1580" s="10">
        <v>42459</v>
      </c>
      <c r="H1580" s="8" t="s">
        <v>34</v>
      </c>
      <c r="I1580" s="11">
        <v>2000000</v>
      </c>
      <c r="J1580" s="8" t="s">
        <v>228</v>
      </c>
      <c r="K1580" s="8" t="s">
        <v>229</v>
      </c>
      <c r="L1580" s="7">
        <v>2015</v>
      </c>
      <c r="M1580" s="8" t="s">
        <v>233</v>
      </c>
      <c r="N1580" s="11">
        <v>60000000</v>
      </c>
      <c r="O1580" s="8" t="s">
        <v>234</v>
      </c>
      <c r="P1580" s="8" t="s">
        <v>235</v>
      </c>
      <c r="Q1580" s="8"/>
      <c r="R1580" s="8" t="s">
        <v>369</v>
      </c>
    </row>
    <row r="1581" spans="1:18" ht="26.15" customHeight="1">
      <c r="A1581" s="7">
        <v>1575</v>
      </c>
      <c r="B1581" s="8" t="s">
        <v>3208</v>
      </c>
      <c r="C1581" s="8" t="s">
        <v>3139</v>
      </c>
      <c r="D1581" s="8" t="s">
        <v>3209</v>
      </c>
      <c r="E1581" s="8" t="s">
        <v>3116</v>
      </c>
      <c r="F1581" s="9" t="s">
        <v>3123</v>
      </c>
      <c r="G1581" s="10">
        <v>42459</v>
      </c>
      <c r="H1581" s="8" t="s">
        <v>34</v>
      </c>
      <c r="I1581" s="11">
        <v>2000000</v>
      </c>
      <c r="J1581" s="8" t="s">
        <v>228</v>
      </c>
      <c r="K1581" s="8" t="s">
        <v>229</v>
      </c>
      <c r="L1581" s="7">
        <v>2015</v>
      </c>
      <c r="M1581" s="8" t="s">
        <v>233</v>
      </c>
      <c r="N1581" s="11">
        <v>60000000</v>
      </c>
      <c r="O1581" s="8" t="s">
        <v>234</v>
      </c>
      <c r="P1581" s="8" t="s">
        <v>235</v>
      </c>
      <c r="Q1581" s="8"/>
      <c r="R1581" s="8" t="s">
        <v>369</v>
      </c>
    </row>
    <row r="1582" spans="1:18" ht="26.15" customHeight="1">
      <c r="A1582" s="7">
        <v>1576</v>
      </c>
      <c r="B1582" s="8" t="s">
        <v>4590</v>
      </c>
      <c r="C1582" s="8" t="s">
        <v>3114</v>
      </c>
      <c r="D1582" s="8" t="s">
        <v>4591</v>
      </c>
      <c r="E1582" s="8" t="s">
        <v>3116</v>
      </c>
      <c r="F1582" s="9" t="s">
        <v>3123</v>
      </c>
      <c r="G1582" s="10">
        <v>42459</v>
      </c>
      <c r="H1582" s="8" t="s">
        <v>34</v>
      </c>
      <c r="I1582" s="11">
        <v>2000000</v>
      </c>
      <c r="J1582" s="8" t="s">
        <v>228</v>
      </c>
      <c r="K1582" s="8" t="s">
        <v>229</v>
      </c>
      <c r="L1582" s="7">
        <v>2015</v>
      </c>
      <c r="M1582" s="8" t="s">
        <v>233</v>
      </c>
      <c r="N1582" s="11">
        <v>60000000</v>
      </c>
      <c r="O1582" s="8" t="s">
        <v>234</v>
      </c>
      <c r="P1582" s="8" t="s">
        <v>235</v>
      </c>
      <c r="Q1582" s="8"/>
      <c r="R1582" s="8" t="s">
        <v>4592</v>
      </c>
    </row>
    <row r="1583" spans="1:18" ht="26.15" customHeight="1">
      <c r="A1583" s="7">
        <v>1577</v>
      </c>
      <c r="B1583" s="8" t="s">
        <v>2485</v>
      </c>
      <c r="C1583" s="8" t="s">
        <v>3127</v>
      </c>
      <c r="D1583" s="8"/>
      <c r="E1583" s="8" t="s">
        <v>3128</v>
      </c>
      <c r="F1583" s="9" t="s">
        <v>3123</v>
      </c>
      <c r="G1583" s="10">
        <v>42459</v>
      </c>
      <c r="H1583" s="8" t="s">
        <v>34</v>
      </c>
      <c r="I1583" s="11">
        <v>2000000</v>
      </c>
      <c r="J1583" s="8" t="s">
        <v>228</v>
      </c>
      <c r="K1583" s="8" t="s">
        <v>229</v>
      </c>
      <c r="L1583" s="7">
        <v>2015</v>
      </c>
      <c r="M1583" s="8" t="s">
        <v>233</v>
      </c>
      <c r="N1583" s="11">
        <v>60000000</v>
      </c>
      <c r="O1583" s="8" t="s">
        <v>234</v>
      </c>
      <c r="P1583" s="8" t="s">
        <v>235</v>
      </c>
      <c r="Q1583" s="8"/>
      <c r="R1583" s="8"/>
    </row>
    <row r="1584" spans="1:18" ht="26.15" customHeight="1">
      <c r="A1584" s="7">
        <v>1578</v>
      </c>
      <c r="B1584" s="8" t="s">
        <v>4593</v>
      </c>
      <c r="C1584" s="8" t="s">
        <v>3114</v>
      </c>
      <c r="D1584" s="8" t="s">
        <v>4594</v>
      </c>
      <c r="E1584" s="8" t="s">
        <v>3116</v>
      </c>
      <c r="F1584" s="9" t="s">
        <v>3123</v>
      </c>
      <c r="G1584" s="10">
        <v>42459</v>
      </c>
      <c r="H1584" s="8" t="s">
        <v>34</v>
      </c>
      <c r="I1584" s="11">
        <v>75000</v>
      </c>
      <c r="J1584" s="8" t="s">
        <v>2491</v>
      </c>
      <c r="K1584" s="8" t="s">
        <v>2492</v>
      </c>
      <c r="L1584" s="7">
        <v>2016</v>
      </c>
      <c r="M1584" s="8" t="s">
        <v>299</v>
      </c>
      <c r="N1584" s="11">
        <v>75000</v>
      </c>
      <c r="O1584" s="8" t="s">
        <v>2494</v>
      </c>
      <c r="P1584" s="8" t="s">
        <v>2495</v>
      </c>
      <c r="Q1584" s="8"/>
      <c r="R1584" s="8" t="s">
        <v>1487</v>
      </c>
    </row>
    <row r="1585" spans="1:18" ht="26.15" customHeight="1">
      <c r="A1585" s="7">
        <v>1579</v>
      </c>
      <c r="B1585" s="8" t="s">
        <v>2722</v>
      </c>
      <c r="C1585" s="8" t="s">
        <v>3139</v>
      </c>
      <c r="D1585" s="8" t="s">
        <v>4595</v>
      </c>
      <c r="E1585" s="8" t="s">
        <v>3116</v>
      </c>
      <c r="F1585" s="9" t="s">
        <v>3117</v>
      </c>
      <c r="G1585" s="10">
        <v>42458</v>
      </c>
      <c r="H1585" s="8" t="s">
        <v>1309</v>
      </c>
      <c r="I1585" s="11">
        <v>100000000</v>
      </c>
      <c r="J1585" s="8" t="s">
        <v>2309</v>
      </c>
      <c r="K1585" s="8" t="s">
        <v>2310</v>
      </c>
      <c r="L1585" s="7">
        <v>2009</v>
      </c>
      <c r="M1585" s="8" t="s">
        <v>1732</v>
      </c>
      <c r="N1585" s="11">
        <v>204990000</v>
      </c>
      <c r="O1585" s="8" t="s">
        <v>2312</v>
      </c>
      <c r="P1585" s="8" t="s">
        <v>2313</v>
      </c>
      <c r="Q1585" s="8"/>
      <c r="R1585" s="8" t="s">
        <v>278</v>
      </c>
    </row>
    <row r="1586" spans="1:18" ht="26.15" customHeight="1">
      <c r="A1586" s="7">
        <v>1580</v>
      </c>
      <c r="B1586" s="8" t="s">
        <v>2908</v>
      </c>
      <c r="C1586" s="8" t="s">
        <v>3114</v>
      </c>
      <c r="D1586" s="8" t="s">
        <v>4596</v>
      </c>
      <c r="E1586" s="8" t="s">
        <v>3116</v>
      </c>
      <c r="F1586" s="9" t="s">
        <v>3117</v>
      </c>
      <c r="G1586" s="10">
        <v>42458</v>
      </c>
      <c r="H1586" s="8" t="s">
        <v>1309</v>
      </c>
      <c r="I1586" s="11">
        <v>100000000</v>
      </c>
      <c r="J1586" s="8" t="s">
        <v>2309</v>
      </c>
      <c r="K1586" s="8" t="s">
        <v>2310</v>
      </c>
      <c r="L1586" s="7">
        <v>2009</v>
      </c>
      <c r="M1586" s="8" t="s">
        <v>1732</v>
      </c>
      <c r="N1586" s="11">
        <v>204990000</v>
      </c>
      <c r="O1586" s="8" t="s">
        <v>2312</v>
      </c>
      <c r="P1586" s="8" t="s">
        <v>2313</v>
      </c>
      <c r="Q1586" s="8"/>
      <c r="R1586" s="8" t="s">
        <v>1732</v>
      </c>
    </row>
    <row r="1587" spans="1:18" ht="26.15" customHeight="1">
      <c r="A1587" s="7">
        <v>1581</v>
      </c>
      <c r="B1587" s="8" t="s">
        <v>2964</v>
      </c>
      <c r="C1587" s="8" t="s">
        <v>3114</v>
      </c>
      <c r="D1587" s="8" t="s">
        <v>4597</v>
      </c>
      <c r="E1587" s="8" t="s">
        <v>3116</v>
      </c>
      <c r="F1587" s="9" t="s">
        <v>3117</v>
      </c>
      <c r="G1587" s="10">
        <v>42458</v>
      </c>
      <c r="H1587" s="8" t="s">
        <v>1309</v>
      </c>
      <c r="I1587" s="11">
        <v>100000000</v>
      </c>
      <c r="J1587" s="8" t="s">
        <v>2309</v>
      </c>
      <c r="K1587" s="8" t="s">
        <v>2310</v>
      </c>
      <c r="L1587" s="7">
        <v>2009</v>
      </c>
      <c r="M1587" s="8" t="s">
        <v>1732</v>
      </c>
      <c r="N1587" s="11">
        <v>204990000</v>
      </c>
      <c r="O1587" s="8" t="s">
        <v>2312</v>
      </c>
      <c r="P1587" s="8" t="s">
        <v>2313</v>
      </c>
      <c r="Q1587" s="8"/>
      <c r="R1587" s="8" t="s">
        <v>1732</v>
      </c>
    </row>
    <row r="1588" spans="1:18" ht="26.15" customHeight="1">
      <c r="A1588" s="7">
        <v>1582</v>
      </c>
      <c r="B1588" s="8" t="s">
        <v>1762</v>
      </c>
      <c r="C1588" s="8" t="s">
        <v>3139</v>
      </c>
      <c r="D1588" s="8" t="s">
        <v>4135</v>
      </c>
      <c r="E1588" s="8" t="s">
        <v>3116</v>
      </c>
      <c r="F1588" s="9" t="s">
        <v>3117</v>
      </c>
      <c r="G1588" s="10">
        <v>42453</v>
      </c>
      <c r="H1588" s="8" t="s">
        <v>34</v>
      </c>
      <c r="I1588" s="11">
        <v>1120610</v>
      </c>
      <c r="J1588" s="8" t="s">
        <v>185</v>
      </c>
      <c r="K1588" s="8" t="s">
        <v>186</v>
      </c>
      <c r="L1588" s="7">
        <v>2015</v>
      </c>
      <c r="M1588" s="8" t="s">
        <v>188</v>
      </c>
      <c r="N1588" s="11">
        <v>65736870</v>
      </c>
      <c r="O1588" s="8" t="s">
        <v>189</v>
      </c>
      <c r="P1588" s="8" t="s">
        <v>190</v>
      </c>
      <c r="Q1588" s="8"/>
      <c r="R1588" s="8" t="s">
        <v>47</v>
      </c>
    </row>
    <row r="1589" spans="1:18" ht="26.15" customHeight="1">
      <c r="A1589" s="7">
        <v>1583</v>
      </c>
      <c r="B1589" s="8" t="s">
        <v>4138</v>
      </c>
      <c r="C1589" s="8" t="s">
        <v>3127</v>
      </c>
      <c r="D1589" s="8"/>
      <c r="E1589" s="8" t="s">
        <v>3128</v>
      </c>
      <c r="F1589" s="9" t="s">
        <v>3123</v>
      </c>
      <c r="G1589" s="10">
        <v>42453</v>
      </c>
      <c r="H1589" s="8" t="s">
        <v>34</v>
      </c>
      <c r="I1589" s="11">
        <v>1120610</v>
      </c>
      <c r="J1589" s="8" t="s">
        <v>185</v>
      </c>
      <c r="K1589" s="8" t="s">
        <v>186</v>
      </c>
      <c r="L1589" s="7">
        <v>2015</v>
      </c>
      <c r="M1589" s="8" t="s">
        <v>188</v>
      </c>
      <c r="N1589" s="11">
        <v>65736870</v>
      </c>
      <c r="O1589" s="8" t="s">
        <v>189</v>
      </c>
      <c r="P1589" s="8" t="s">
        <v>190</v>
      </c>
      <c r="Q1589" s="8"/>
      <c r="R1589" s="8"/>
    </row>
    <row r="1590" spans="1:18" ht="26.15" customHeight="1">
      <c r="A1590" s="7">
        <v>1584</v>
      </c>
      <c r="B1590" s="8" t="s">
        <v>4598</v>
      </c>
      <c r="C1590" s="8" t="s">
        <v>3139</v>
      </c>
      <c r="D1590" s="8" t="s">
        <v>4599</v>
      </c>
      <c r="E1590" s="8" t="s">
        <v>3116</v>
      </c>
      <c r="F1590" s="9" t="s">
        <v>3123</v>
      </c>
      <c r="G1590" s="10">
        <v>42453</v>
      </c>
      <c r="H1590" s="8" t="s">
        <v>34</v>
      </c>
      <c r="I1590" s="11">
        <v>1120610</v>
      </c>
      <c r="J1590" s="8" t="s">
        <v>185</v>
      </c>
      <c r="K1590" s="8" t="s">
        <v>186</v>
      </c>
      <c r="L1590" s="7">
        <v>2015</v>
      </c>
      <c r="M1590" s="8" t="s">
        <v>188</v>
      </c>
      <c r="N1590" s="11">
        <v>65736870</v>
      </c>
      <c r="O1590" s="8" t="s">
        <v>189</v>
      </c>
      <c r="P1590" s="8" t="s">
        <v>190</v>
      </c>
      <c r="Q1590" s="8"/>
      <c r="R1590" s="8" t="s">
        <v>128</v>
      </c>
    </row>
    <row r="1591" spans="1:18" ht="26.15" customHeight="1">
      <c r="A1591" s="7">
        <v>1585</v>
      </c>
      <c r="B1591" s="8" t="s">
        <v>4600</v>
      </c>
      <c r="C1591" s="8" t="s">
        <v>3127</v>
      </c>
      <c r="D1591" s="8"/>
      <c r="E1591" s="8" t="s">
        <v>3128</v>
      </c>
      <c r="F1591" s="9" t="s">
        <v>3123</v>
      </c>
      <c r="G1591" s="10">
        <v>42453</v>
      </c>
      <c r="H1591" s="8" t="s">
        <v>34</v>
      </c>
      <c r="I1591" s="11">
        <v>1120610</v>
      </c>
      <c r="J1591" s="8" t="s">
        <v>185</v>
      </c>
      <c r="K1591" s="8" t="s">
        <v>186</v>
      </c>
      <c r="L1591" s="7">
        <v>2015</v>
      </c>
      <c r="M1591" s="8" t="s">
        <v>188</v>
      </c>
      <c r="N1591" s="11">
        <v>65736870</v>
      </c>
      <c r="O1591" s="8" t="s">
        <v>189</v>
      </c>
      <c r="P1591" s="8" t="s">
        <v>190</v>
      </c>
      <c r="Q1591" s="8"/>
      <c r="R1591" s="8"/>
    </row>
    <row r="1592" spans="1:18" ht="26.15" customHeight="1">
      <c r="A1592" s="7">
        <v>1586</v>
      </c>
      <c r="B1592" s="8" t="s">
        <v>4601</v>
      </c>
      <c r="C1592" s="8" t="s">
        <v>3127</v>
      </c>
      <c r="D1592" s="8"/>
      <c r="E1592" s="8" t="s">
        <v>3128</v>
      </c>
      <c r="F1592" s="9" t="s">
        <v>3123</v>
      </c>
      <c r="G1592" s="10">
        <v>42453</v>
      </c>
      <c r="H1592" s="8" t="s">
        <v>34</v>
      </c>
      <c r="I1592" s="11">
        <v>1120610</v>
      </c>
      <c r="J1592" s="8" t="s">
        <v>185</v>
      </c>
      <c r="K1592" s="8" t="s">
        <v>186</v>
      </c>
      <c r="L1592" s="7">
        <v>2015</v>
      </c>
      <c r="M1592" s="8" t="s">
        <v>188</v>
      </c>
      <c r="N1592" s="11">
        <v>65736870</v>
      </c>
      <c r="O1592" s="8" t="s">
        <v>189</v>
      </c>
      <c r="P1592" s="8" t="s">
        <v>190</v>
      </c>
      <c r="Q1592" s="8"/>
      <c r="R1592" s="8"/>
    </row>
    <row r="1593" spans="1:18" ht="26.15" customHeight="1">
      <c r="A1593" s="7">
        <v>1587</v>
      </c>
      <c r="B1593" s="8" t="s">
        <v>4602</v>
      </c>
      <c r="C1593" s="8" t="s">
        <v>3127</v>
      </c>
      <c r="D1593" s="8"/>
      <c r="E1593" s="8" t="s">
        <v>3128</v>
      </c>
      <c r="F1593" s="9" t="s">
        <v>3123</v>
      </c>
      <c r="G1593" s="10">
        <v>42453</v>
      </c>
      <c r="H1593" s="8" t="s">
        <v>34</v>
      </c>
      <c r="I1593" s="11">
        <v>1120610</v>
      </c>
      <c r="J1593" s="8" t="s">
        <v>185</v>
      </c>
      <c r="K1593" s="8" t="s">
        <v>186</v>
      </c>
      <c r="L1593" s="7">
        <v>2015</v>
      </c>
      <c r="M1593" s="8" t="s">
        <v>188</v>
      </c>
      <c r="N1593" s="11">
        <v>65736870</v>
      </c>
      <c r="O1593" s="8" t="s">
        <v>189</v>
      </c>
      <c r="P1593" s="8" t="s">
        <v>190</v>
      </c>
      <c r="Q1593" s="8"/>
      <c r="R1593" s="8"/>
    </row>
    <row r="1594" spans="1:18" ht="26.15" customHeight="1">
      <c r="A1594" s="7">
        <v>1588</v>
      </c>
      <c r="B1594" s="8" t="s">
        <v>4137</v>
      </c>
      <c r="C1594" s="8" t="s">
        <v>3127</v>
      </c>
      <c r="D1594" s="8"/>
      <c r="E1594" s="8" t="s">
        <v>3128</v>
      </c>
      <c r="F1594" s="9" t="s">
        <v>3123</v>
      </c>
      <c r="G1594" s="10">
        <v>42453</v>
      </c>
      <c r="H1594" s="8" t="s">
        <v>34</v>
      </c>
      <c r="I1594" s="11">
        <v>1120610</v>
      </c>
      <c r="J1594" s="8" t="s">
        <v>185</v>
      </c>
      <c r="K1594" s="8" t="s">
        <v>186</v>
      </c>
      <c r="L1594" s="7">
        <v>2015</v>
      </c>
      <c r="M1594" s="8" t="s">
        <v>188</v>
      </c>
      <c r="N1594" s="11">
        <v>65736870</v>
      </c>
      <c r="O1594" s="8" t="s">
        <v>189</v>
      </c>
      <c r="P1594" s="8" t="s">
        <v>190</v>
      </c>
      <c r="Q1594" s="8"/>
      <c r="R1594" s="8"/>
    </row>
    <row r="1595" spans="1:18" ht="26.15" customHeight="1">
      <c r="A1595" s="7">
        <v>1589</v>
      </c>
      <c r="B1595" s="8" t="s">
        <v>4603</v>
      </c>
      <c r="C1595" s="8" t="s">
        <v>3127</v>
      </c>
      <c r="D1595" s="8"/>
      <c r="E1595" s="8" t="s">
        <v>3128</v>
      </c>
      <c r="F1595" s="9" t="s">
        <v>3123</v>
      </c>
      <c r="G1595" s="10">
        <v>42453</v>
      </c>
      <c r="H1595" s="8" t="s">
        <v>34</v>
      </c>
      <c r="I1595" s="11">
        <v>1120610</v>
      </c>
      <c r="J1595" s="8" t="s">
        <v>185</v>
      </c>
      <c r="K1595" s="8" t="s">
        <v>186</v>
      </c>
      <c r="L1595" s="7">
        <v>2015</v>
      </c>
      <c r="M1595" s="8" t="s">
        <v>188</v>
      </c>
      <c r="N1595" s="11">
        <v>65736870</v>
      </c>
      <c r="O1595" s="8" t="s">
        <v>189</v>
      </c>
      <c r="P1595" s="8" t="s">
        <v>190</v>
      </c>
      <c r="Q1595" s="8"/>
      <c r="R1595" s="8"/>
    </row>
    <row r="1596" spans="1:18" ht="26.15" customHeight="1">
      <c r="A1596" s="7">
        <v>1590</v>
      </c>
      <c r="B1596" s="8" t="s">
        <v>2017</v>
      </c>
      <c r="C1596" s="8" t="s">
        <v>3114</v>
      </c>
      <c r="D1596" s="8" t="s">
        <v>3792</v>
      </c>
      <c r="E1596" s="8" t="s">
        <v>3116</v>
      </c>
      <c r="F1596" s="9" t="s">
        <v>3123</v>
      </c>
      <c r="G1596" s="10">
        <v>42438</v>
      </c>
      <c r="H1596" s="8" t="s">
        <v>34</v>
      </c>
      <c r="I1596" s="11" t="s">
        <v>50</v>
      </c>
      <c r="J1596" s="8" t="s">
        <v>1505</v>
      </c>
      <c r="K1596" s="8" t="s">
        <v>1506</v>
      </c>
      <c r="L1596" s="7">
        <v>2014</v>
      </c>
      <c r="M1596" s="8" t="s">
        <v>1507</v>
      </c>
      <c r="N1596" s="11"/>
      <c r="O1596" s="8" t="s">
        <v>1508</v>
      </c>
      <c r="P1596" s="8" t="s">
        <v>1509</v>
      </c>
      <c r="Q1596" s="8"/>
      <c r="R1596" s="8" t="s">
        <v>3543</v>
      </c>
    </row>
    <row r="1597" spans="1:18" ht="26.15" customHeight="1">
      <c r="A1597" s="7">
        <v>1591</v>
      </c>
      <c r="B1597" s="8" t="s">
        <v>1308</v>
      </c>
      <c r="C1597" s="8" t="s">
        <v>3114</v>
      </c>
      <c r="D1597" s="8" t="s">
        <v>3469</v>
      </c>
      <c r="E1597" s="8" t="s">
        <v>3116</v>
      </c>
      <c r="F1597" s="9" t="s">
        <v>3117</v>
      </c>
      <c r="G1597" s="10">
        <v>42436</v>
      </c>
      <c r="H1597" s="8" t="s">
        <v>109</v>
      </c>
      <c r="I1597" s="11">
        <v>3000000</v>
      </c>
      <c r="J1597" s="8" t="s">
        <v>96</v>
      </c>
      <c r="K1597" s="8" t="s">
        <v>97</v>
      </c>
      <c r="L1597" s="7">
        <v>2015</v>
      </c>
      <c r="M1597" s="8" t="s">
        <v>79</v>
      </c>
      <c r="N1597" s="11">
        <v>163285834</v>
      </c>
      <c r="O1597" s="8" t="s">
        <v>100</v>
      </c>
      <c r="P1597" s="8" t="s">
        <v>101</v>
      </c>
      <c r="Q1597" s="8"/>
      <c r="R1597" s="8" t="s">
        <v>3470</v>
      </c>
    </row>
    <row r="1598" spans="1:18" ht="26.15" customHeight="1">
      <c r="A1598" s="7">
        <v>1592</v>
      </c>
      <c r="B1598" s="8" t="s">
        <v>2033</v>
      </c>
      <c r="C1598" s="8" t="s">
        <v>3114</v>
      </c>
      <c r="D1598" s="8" t="s">
        <v>3839</v>
      </c>
      <c r="E1598" s="8" t="s">
        <v>3116</v>
      </c>
      <c r="F1598" s="9" t="s">
        <v>3123</v>
      </c>
      <c r="G1598" s="10">
        <v>42436</v>
      </c>
      <c r="H1598" s="8" t="s">
        <v>109</v>
      </c>
      <c r="I1598" s="11">
        <v>3000000</v>
      </c>
      <c r="J1598" s="8" t="s">
        <v>96</v>
      </c>
      <c r="K1598" s="8" t="s">
        <v>97</v>
      </c>
      <c r="L1598" s="7">
        <v>2015</v>
      </c>
      <c r="M1598" s="8" t="s">
        <v>79</v>
      </c>
      <c r="N1598" s="11">
        <v>163285834</v>
      </c>
      <c r="O1598" s="8" t="s">
        <v>100</v>
      </c>
      <c r="P1598" s="8" t="s">
        <v>101</v>
      </c>
      <c r="Q1598" s="8"/>
      <c r="R1598" s="8" t="s">
        <v>3214</v>
      </c>
    </row>
    <row r="1599" spans="1:18" ht="26.15" customHeight="1">
      <c r="A1599" s="7">
        <v>1593</v>
      </c>
      <c r="B1599" s="8" t="s">
        <v>4604</v>
      </c>
      <c r="C1599" s="8" t="s">
        <v>3139</v>
      </c>
      <c r="D1599" s="8" t="s">
        <v>4605</v>
      </c>
      <c r="E1599" s="8" t="s">
        <v>3116</v>
      </c>
      <c r="F1599" s="9" t="s">
        <v>3123</v>
      </c>
      <c r="G1599" s="10">
        <v>42436</v>
      </c>
      <c r="H1599" s="8" t="s">
        <v>109</v>
      </c>
      <c r="I1599" s="11">
        <v>3000000</v>
      </c>
      <c r="J1599" s="8" t="s">
        <v>96</v>
      </c>
      <c r="K1599" s="8" t="s">
        <v>97</v>
      </c>
      <c r="L1599" s="7">
        <v>2015</v>
      </c>
      <c r="M1599" s="8" t="s">
        <v>79</v>
      </c>
      <c r="N1599" s="11">
        <v>163285834</v>
      </c>
      <c r="O1599" s="8" t="s">
        <v>100</v>
      </c>
      <c r="P1599" s="8" t="s">
        <v>101</v>
      </c>
      <c r="Q1599" s="8"/>
      <c r="R1599" s="8" t="s">
        <v>79</v>
      </c>
    </row>
    <row r="1600" spans="1:18" ht="26.15" customHeight="1">
      <c r="A1600" s="7">
        <v>1594</v>
      </c>
      <c r="B1600" s="8" t="s">
        <v>4362</v>
      </c>
      <c r="C1600" s="8" t="s">
        <v>3139</v>
      </c>
      <c r="D1600" s="8" t="s">
        <v>4363</v>
      </c>
      <c r="E1600" s="8" t="s">
        <v>3116</v>
      </c>
      <c r="F1600" s="9" t="s">
        <v>3123</v>
      </c>
      <c r="G1600" s="10">
        <v>42436</v>
      </c>
      <c r="H1600" s="8" t="s">
        <v>109</v>
      </c>
      <c r="I1600" s="11">
        <v>3000000</v>
      </c>
      <c r="J1600" s="8" t="s">
        <v>96</v>
      </c>
      <c r="K1600" s="8" t="s">
        <v>97</v>
      </c>
      <c r="L1600" s="7">
        <v>2015</v>
      </c>
      <c r="M1600" s="8" t="s">
        <v>79</v>
      </c>
      <c r="N1600" s="11">
        <v>163285834</v>
      </c>
      <c r="O1600" s="8" t="s">
        <v>100</v>
      </c>
      <c r="P1600" s="8" t="s">
        <v>101</v>
      </c>
      <c r="Q1600" s="8"/>
      <c r="R1600" s="8" t="s">
        <v>4364</v>
      </c>
    </row>
    <row r="1601" spans="1:18" ht="26.15" customHeight="1">
      <c r="A1601" s="7">
        <v>1595</v>
      </c>
      <c r="B1601" s="8" t="s">
        <v>4606</v>
      </c>
      <c r="C1601" s="8" t="s">
        <v>3114</v>
      </c>
      <c r="D1601" s="8" t="s">
        <v>4607</v>
      </c>
      <c r="E1601" s="8" t="s">
        <v>3116</v>
      </c>
      <c r="F1601" s="9" t="s">
        <v>3123</v>
      </c>
      <c r="G1601" s="10">
        <v>42431</v>
      </c>
      <c r="H1601" s="8" t="s">
        <v>109</v>
      </c>
      <c r="I1601" s="11" t="s">
        <v>50</v>
      </c>
      <c r="J1601" s="8" t="s">
        <v>2502</v>
      </c>
      <c r="K1601" s="8" t="s">
        <v>2503</v>
      </c>
      <c r="L1601" s="7">
        <v>2015</v>
      </c>
      <c r="M1601" s="8" t="s">
        <v>278</v>
      </c>
      <c r="N1601" s="11">
        <v>781000</v>
      </c>
      <c r="O1601" s="8" t="s">
        <v>2505</v>
      </c>
      <c r="P1601" s="8" t="s">
        <v>2506</v>
      </c>
      <c r="Q1601" s="8"/>
      <c r="R1601" s="8" t="s">
        <v>1427</v>
      </c>
    </row>
    <row r="1602" spans="1:18" ht="26.15" customHeight="1">
      <c r="A1602" s="7">
        <v>1596</v>
      </c>
      <c r="B1602" s="8" t="s">
        <v>4608</v>
      </c>
      <c r="C1602" s="8" t="s">
        <v>3114</v>
      </c>
      <c r="D1602" s="8" t="s">
        <v>4609</v>
      </c>
      <c r="E1602" s="8" t="s">
        <v>3116</v>
      </c>
      <c r="F1602" s="9" t="s">
        <v>3123</v>
      </c>
      <c r="G1602" s="10">
        <v>42431</v>
      </c>
      <c r="H1602" s="8" t="s">
        <v>109</v>
      </c>
      <c r="I1602" s="11" t="s">
        <v>50</v>
      </c>
      <c r="J1602" s="8" t="s">
        <v>2502</v>
      </c>
      <c r="K1602" s="8" t="s">
        <v>2503</v>
      </c>
      <c r="L1602" s="7">
        <v>2015</v>
      </c>
      <c r="M1602" s="8" t="s">
        <v>278</v>
      </c>
      <c r="N1602" s="11">
        <v>781000</v>
      </c>
      <c r="O1602" s="8" t="s">
        <v>2505</v>
      </c>
      <c r="P1602" s="8" t="s">
        <v>2506</v>
      </c>
      <c r="Q1602" s="8"/>
      <c r="R1602" s="8" t="s">
        <v>1427</v>
      </c>
    </row>
    <row r="1603" spans="1:18" ht="26.15" customHeight="1">
      <c r="A1603" s="7">
        <v>1597</v>
      </c>
      <c r="B1603" s="8" t="s">
        <v>4610</v>
      </c>
      <c r="C1603" s="8" t="s">
        <v>3114</v>
      </c>
      <c r="D1603" s="8" t="s">
        <v>4611</v>
      </c>
      <c r="E1603" s="8" t="s">
        <v>3116</v>
      </c>
      <c r="F1603" s="9" t="s">
        <v>3123</v>
      </c>
      <c r="G1603" s="10">
        <v>42431</v>
      </c>
      <c r="H1603" s="8" t="s">
        <v>109</v>
      </c>
      <c r="I1603" s="11" t="s">
        <v>50</v>
      </c>
      <c r="J1603" s="8" t="s">
        <v>2502</v>
      </c>
      <c r="K1603" s="8" t="s">
        <v>2503</v>
      </c>
      <c r="L1603" s="7">
        <v>2015</v>
      </c>
      <c r="M1603" s="8" t="s">
        <v>278</v>
      </c>
      <c r="N1603" s="11">
        <v>781000</v>
      </c>
      <c r="O1603" s="8" t="s">
        <v>2505</v>
      </c>
      <c r="P1603" s="8" t="s">
        <v>2506</v>
      </c>
      <c r="Q1603" s="8"/>
      <c r="R1603" s="8" t="s">
        <v>3470</v>
      </c>
    </row>
    <row r="1604" spans="1:18" ht="26.15" customHeight="1">
      <c r="A1604" s="7">
        <v>1598</v>
      </c>
      <c r="B1604" s="8" t="s">
        <v>644</v>
      </c>
      <c r="C1604" s="8" t="s">
        <v>3114</v>
      </c>
      <c r="D1604" s="8" t="s">
        <v>3162</v>
      </c>
      <c r="E1604" s="8" t="s">
        <v>3116</v>
      </c>
      <c r="F1604" s="9" t="s">
        <v>3117</v>
      </c>
      <c r="G1604" s="10">
        <v>42431</v>
      </c>
      <c r="H1604" s="8" t="s">
        <v>109</v>
      </c>
      <c r="I1604" s="11">
        <v>734740</v>
      </c>
      <c r="J1604" s="8" t="s">
        <v>641</v>
      </c>
      <c r="K1604" s="8" t="s">
        <v>642</v>
      </c>
      <c r="L1604" s="7">
        <v>2009</v>
      </c>
      <c r="M1604" s="8" t="s">
        <v>47</v>
      </c>
      <c r="N1604" s="11">
        <v>10590520</v>
      </c>
      <c r="O1604" s="8" t="s">
        <v>645</v>
      </c>
      <c r="P1604" s="8" t="s">
        <v>646</v>
      </c>
      <c r="Q1604" s="8"/>
      <c r="R1604" s="8" t="s">
        <v>313</v>
      </c>
    </row>
    <row r="1605" spans="1:18" ht="26.15" customHeight="1">
      <c r="A1605" s="7">
        <v>1599</v>
      </c>
      <c r="B1605" s="8" t="s">
        <v>2508</v>
      </c>
      <c r="C1605" s="8" t="s">
        <v>3114</v>
      </c>
      <c r="D1605" s="8" t="s">
        <v>4551</v>
      </c>
      <c r="E1605" s="8" t="s">
        <v>3116</v>
      </c>
      <c r="F1605" s="9" t="s">
        <v>3117</v>
      </c>
      <c r="G1605" s="10">
        <v>42430</v>
      </c>
      <c r="H1605" s="8" t="s">
        <v>109</v>
      </c>
      <c r="I1605" s="11">
        <v>5000000</v>
      </c>
      <c r="J1605" s="8" t="s">
        <v>1476</v>
      </c>
      <c r="K1605" s="8" t="s">
        <v>1477</v>
      </c>
      <c r="L1605" s="7">
        <v>2014</v>
      </c>
      <c r="M1605" s="8" t="s">
        <v>1479</v>
      </c>
      <c r="N1605" s="11">
        <v>6141730</v>
      </c>
      <c r="O1605" s="8" t="s">
        <v>1480</v>
      </c>
      <c r="P1605" s="8" t="s">
        <v>1481</v>
      </c>
      <c r="Q1605" s="8"/>
      <c r="R1605" s="8" t="s">
        <v>1732</v>
      </c>
    </row>
    <row r="1606" spans="1:18" ht="26.15" customHeight="1">
      <c r="A1606" s="7">
        <v>1600</v>
      </c>
      <c r="B1606" s="8" t="s">
        <v>356</v>
      </c>
      <c r="C1606" s="8" t="s">
        <v>3114</v>
      </c>
      <c r="D1606" s="8" t="s">
        <v>3341</v>
      </c>
      <c r="E1606" s="8" t="s">
        <v>3116</v>
      </c>
      <c r="F1606" s="9" t="s">
        <v>3117</v>
      </c>
      <c r="G1606" s="10">
        <v>42424</v>
      </c>
      <c r="H1606" s="8" t="s">
        <v>34</v>
      </c>
      <c r="I1606" s="11">
        <v>1000000</v>
      </c>
      <c r="J1606" s="8" t="s">
        <v>353</v>
      </c>
      <c r="K1606" s="8" t="s">
        <v>354</v>
      </c>
      <c r="L1606" s="7">
        <v>2013</v>
      </c>
      <c r="M1606" s="8" t="s">
        <v>357</v>
      </c>
      <c r="N1606" s="11">
        <v>9700000</v>
      </c>
      <c r="O1606" s="8" t="s">
        <v>358</v>
      </c>
      <c r="P1606" s="8" t="s">
        <v>359</v>
      </c>
      <c r="Q1606" s="8"/>
      <c r="R1606" s="8" t="s">
        <v>357</v>
      </c>
    </row>
    <row r="1607" spans="1:18" ht="26.15" customHeight="1">
      <c r="A1607" s="7">
        <v>1601</v>
      </c>
      <c r="B1607" s="8" t="s">
        <v>4612</v>
      </c>
      <c r="C1607" s="8" t="s">
        <v>3114</v>
      </c>
      <c r="D1607" s="8" t="s">
        <v>4613</v>
      </c>
      <c r="E1607" s="8" t="s">
        <v>3116</v>
      </c>
      <c r="F1607" s="9" t="s">
        <v>3123</v>
      </c>
      <c r="G1607" s="10">
        <v>42424</v>
      </c>
      <c r="H1607" s="8" t="s">
        <v>34</v>
      </c>
      <c r="I1607" s="11">
        <v>1000000</v>
      </c>
      <c r="J1607" s="8" t="s">
        <v>353</v>
      </c>
      <c r="K1607" s="8" t="s">
        <v>354</v>
      </c>
      <c r="L1607" s="7">
        <v>2013</v>
      </c>
      <c r="M1607" s="8" t="s">
        <v>357</v>
      </c>
      <c r="N1607" s="11">
        <v>9700000</v>
      </c>
      <c r="O1607" s="8" t="s">
        <v>358</v>
      </c>
      <c r="P1607" s="8" t="s">
        <v>359</v>
      </c>
      <c r="Q1607" s="8"/>
      <c r="R1607" s="8" t="s">
        <v>4614</v>
      </c>
    </row>
    <row r="1608" spans="1:18" ht="26.15" customHeight="1">
      <c r="A1608" s="7">
        <v>1602</v>
      </c>
      <c r="B1608" s="8" t="s">
        <v>326</v>
      </c>
      <c r="C1608" s="8" t="s">
        <v>3114</v>
      </c>
      <c r="D1608" s="8" t="s">
        <v>3315</v>
      </c>
      <c r="E1608" s="8" t="s">
        <v>3116</v>
      </c>
      <c r="F1608" s="9" t="s">
        <v>3117</v>
      </c>
      <c r="G1608" s="10">
        <v>42423</v>
      </c>
      <c r="H1608" s="8" t="s">
        <v>34</v>
      </c>
      <c r="I1608" s="11">
        <v>363933</v>
      </c>
      <c r="J1608" s="8" t="s">
        <v>322</v>
      </c>
      <c r="K1608" s="8" t="s">
        <v>323</v>
      </c>
      <c r="L1608" s="7">
        <v>2013</v>
      </c>
      <c r="M1608" s="8" t="s">
        <v>79</v>
      </c>
      <c r="N1608" s="11">
        <v>814923</v>
      </c>
      <c r="O1608" s="8" t="s">
        <v>327</v>
      </c>
      <c r="P1608" s="8" t="s">
        <v>328</v>
      </c>
      <c r="Q1608" s="8"/>
      <c r="R1608" s="8" t="s">
        <v>79</v>
      </c>
    </row>
    <row r="1609" spans="1:18" ht="26.15" customHeight="1">
      <c r="A1609" s="7">
        <v>1603</v>
      </c>
      <c r="B1609" s="8" t="s">
        <v>3517</v>
      </c>
      <c r="C1609" s="8" t="s">
        <v>3114</v>
      </c>
      <c r="D1609" s="8" t="s">
        <v>3518</v>
      </c>
      <c r="E1609" s="8" t="s">
        <v>3116</v>
      </c>
      <c r="F1609" s="9" t="s">
        <v>3123</v>
      </c>
      <c r="G1609" s="10">
        <v>42423</v>
      </c>
      <c r="H1609" s="8" t="s">
        <v>34</v>
      </c>
      <c r="I1609" s="11">
        <v>363933</v>
      </c>
      <c r="J1609" s="8" t="s">
        <v>322</v>
      </c>
      <c r="K1609" s="8" t="s">
        <v>323</v>
      </c>
      <c r="L1609" s="7">
        <v>2013</v>
      </c>
      <c r="M1609" s="8" t="s">
        <v>79</v>
      </c>
      <c r="N1609" s="11">
        <v>814923</v>
      </c>
      <c r="O1609" s="8" t="s">
        <v>327</v>
      </c>
      <c r="P1609" s="8" t="s">
        <v>328</v>
      </c>
      <c r="Q1609" s="8"/>
      <c r="R1609" s="8" t="s">
        <v>79</v>
      </c>
    </row>
    <row r="1610" spans="1:18" ht="26.15" customHeight="1">
      <c r="A1610" s="7">
        <v>1604</v>
      </c>
      <c r="B1610" s="8" t="s">
        <v>4615</v>
      </c>
      <c r="C1610" s="8" t="s">
        <v>3139</v>
      </c>
      <c r="D1610" s="8" t="s">
        <v>4616</v>
      </c>
      <c r="E1610" s="8" t="s">
        <v>3116</v>
      </c>
      <c r="F1610" s="9" t="s">
        <v>3123</v>
      </c>
      <c r="G1610" s="10">
        <v>42423</v>
      </c>
      <c r="H1610" s="8" t="s">
        <v>34</v>
      </c>
      <c r="I1610" s="11">
        <v>363933</v>
      </c>
      <c r="J1610" s="8" t="s">
        <v>322</v>
      </c>
      <c r="K1610" s="8" t="s">
        <v>323</v>
      </c>
      <c r="L1610" s="7">
        <v>2013</v>
      </c>
      <c r="M1610" s="8" t="s">
        <v>79</v>
      </c>
      <c r="N1610" s="11">
        <v>814923</v>
      </c>
      <c r="O1610" s="8" t="s">
        <v>327</v>
      </c>
      <c r="P1610" s="8" t="s">
        <v>328</v>
      </c>
      <c r="Q1610" s="8"/>
      <c r="R1610" s="8"/>
    </row>
    <row r="1611" spans="1:18" ht="26.15" customHeight="1">
      <c r="A1611" s="7">
        <v>1605</v>
      </c>
      <c r="B1611" s="8" t="s">
        <v>1787</v>
      </c>
      <c r="C1611" s="8" t="s">
        <v>3127</v>
      </c>
      <c r="D1611" s="8"/>
      <c r="E1611" s="8" t="s">
        <v>3128</v>
      </c>
      <c r="F1611" s="9" t="s">
        <v>3123</v>
      </c>
      <c r="G1611" s="10">
        <v>42423</v>
      </c>
      <c r="H1611" s="8" t="s">
        <v>34</v>
      </c>
      <c r="I1611" s="11">
        <v>363933</v>
      </c>
      <c r="J1611" s="8" t="s">
        <v>322</v>
      </c>
      <c r="K1611" s="8" t="s">
        <v>323</v>
      </c>
      <c r="L1611" s="7">
        <v>2013</v>
      </c>
      <c r="M1611" s="8" t="s">
        <v>79</v>
      </c>
      <c r="N1611" s="11">
        <v>814923</v>
      </c>
      <c r="O1611" s="8" t="s">
        <v>327</v>
      </c>
      <c r="P1611" s="8" t="s">
        <v>328</v>
      </c>
      <c r="Q1611" s="8"/>
      <c r="R1611" s="8"/>
    </row>
    <row r="1612" spans="1:18" ht="26.15" customHeight="1">
      <c r="A1612" s="7">
        <v>1606</v>
      </c>
      <c r="B1612" s="8" t="s">
        <v>325</v>
      </c>
      <c r="C1612" s="8" t="s">
        <v>3127</v>
      </c>
      <c r="D1612" s="8"/>
      <c r="E1612" s="8" t="s">
        <v>3128</v>
      </c>
      <c r="F1612" s="9" t="s">
        <v>3123</v>
      </c>
      <c r="G1612" s="10">
        <v>42423</v>
      </c>
      <c r="H1612" s="8" t="s">
        <v>34</v>
      </c>
      <c r="I1612" s="11">
        <v>363933</v>
      </c>
      <c r="J1612" s="8" t="s">
        <v>322</v>
      </c>
      <c r="K1612" s="8" t="s">
        <v>323</v>
      </c>
      <c r="L1612" s="7">
        <v>2013</v>
      </c>
      <c r="M1612" s="8" t="s">
        <v>79</v>
      </c>
      <c r="N1612" s="11">
        <v>814923</v>
      </c>
      <c r="O1612" s="8" t="s">
        <v>327</v>
      </c>
      <c r="P1612" s="8" t="s">
        <v>328</v>
      </c>
      <c r="Q1612" s="8"/>
      <c r="R1612" s="8"/>
    </row>
    <row r="1613" spans="1:18" ht="26.15" customHeight="1">
      <c r="A1613" s="7">
        <v>1607</v>
      </c>
      <c r="B1613" s="8" t="s">
        <v>4617</v>
      </c>
      <c r="C1613" s="8" t="s">
        <v>3114</v>
      </c>
      <c r="D1613" s="8" t="s">
        <v>4618</v>
      </c>
      <c r="E1613" s="8" t="s">
        <v>3116</v>
      </c>
      <c r="F1613" s="9" t="s">
        <v>3123</v>
      </c>
      <c r="G1613" s="10">
        <v>42423</v>
      </c>
      <c r="H1613" s="8" t="s">
        <v>34</v>
      </c>
      <c r="I1613" s="11">
        <v>363933</v>
      </c>
      <c r="J1613" s="8" t="s">
        <v>322</v>
      </c>
      <c r="K1613" s="8" t="s">
        <v>323</v>
      </c>
      <c r="L1613" s="7">
        <v>2013</v>
      </c>
      <c r="M1613" s="8" t="s">
        <v>79</v>
      </c>
      <c r="N1613" s="11">
        <v>814923</v>
      </c>
      <c r="O1613" s="8" t="s">
        <v>327</v>
      </c>
      <c r="P1613" s="8" t="s">
        <v>328</v>
      </c>
      <c r="Q1613" s="8"/>
      <c r="R1613" s="8" t="s">
        <v>56</v>
      </c>
    </row>
    <row r="1614" spans="1:18" ht="26.15" customHeight="1">
      <c r="A1614" s="7">
        <v>1608</v>
      </c>
      <c r="B1614" s="8" t="s">
        <v>2514</v>
      </c>
      <c r="C1614" s="8" t="s">
        <v>3139</v>
      </c>
      <c r="D1614" s="8" t="s">
        <v>4619</v>
      </c>
      <c r="E1614" s="8" t="s">
        <v>3116</v>
      </c>
      <c r="F1614" s="9" t="s">
        <v>3117</v>
      </c>
      <c r="G1614" s="10">
        <v>42415</v>
      </c>
      <c r="H1614" s="8" t="s">
        <v>34</v>
      </c>
      <c r="I1614" s="11">
        <v>73271</v>
      </c>
      <c r="J1614" s="8" t="s">
        <v>1846</v>
      </c>
      <c r="K1614" s="8" t="s">
        <v>1847</v>
      </c>
      <c r="L1614" s="7">
        <v>2014</v>
      </c>
      <c r="M1614" s="8" t="s">
        <v>79</v>
      </c>
      <c r="N1614" s="11">
        <v>214702</v>
      </c>
      <c r="O1614" s="8" t="s">
        <v>1850</v>
      </c>
      <c r="P1614" s="8" t="s">
        <v>1851</v>
      </c>
      <c r="Q1614" s="8"/>
      <c r="R1614" s="8" t="s">
        <v>79</v>
      </c>
    </row>
    <row r="1615" spans="1:18" ht="26.15" customHeight="1">
      <c r="A1615" s="7">
        <v>1609</v>
      </c>
      <c r="B1615" s="8" t="s">
        <v>4620</v>
      </c>
      <c r="C1615" s="8" t="s">
        <v>3127</v>
      </c>
      <c r="D1615" s="8"/>
      <c r="E1615" s="8" t="s">
        <v>3128</v>
      </c>
      <c r="F1615" s="9" t="s">
        <v>3123</v>
      </c>
      <c r="G1615" s="10">
        <v>42415</v>
      </c>
      <c r="H1615" s="8" t="s">
        <v>34</v>
      </c>
      <c r="I1615" s="11">
        <v>73271</v>
      </c>
      <c r="J1615" s="8" t="s">
        <v>1846</v>
      </c>
      <c r="K1615" s="8" t="s">
        <v>1847</v>
      </c>
      <c r="L1615" s="7">
        <v>2014</v>
      </c>
      <c r="M1615" s="8" t="s">
        <v>79</v>
      </c>
      <c r="N1615" s="11">
        <v>214702</v>
      </c>
      <c r="O1615" s="8" t="s">
        <v>1850</v>
      </c>
      <c r="P1615" s="8" t="s">
        <v>1851</v>
      </c>
      <c r="Q1615" s="8"/>
      <c r="R1615" s="8"/>
    </row>
    <row r="1616" spans="1:18" ht="26.15" customHeight="1">
      <c r="A1616" s="7">
        <v>1610</v>
      </c>
      <c r="B1616" s="8" t="s">
        <v>4621</v>
      </c>
      <c r="C1616" s="8" t="s">
        <v>3127</v>
      </c>
      <c r="D1616" s="8"/>
      <c r="E1616" s="8" t="s">
        <v>3128</v>
      </c>
      <c r="F1616" s="9" t="s">
        <v>3123</v>
      </c>
      <c r="G1616" s="10">
        <v>42415</v>
      </c>
      <c r="H1616" s="8" t="s">
        <v>34</v>
      </c>
      <c r="I1616" s="11">
        <v>73271</v>
      </c>
      <c r="J1616" s="8" t="s">
        <v>1846</v>
      </c>
      <c r="K1616" s="8" t="s">
        <v>1847</v>
      </c>
      <c r="L1616" s="7">
        <v>2014</v>
      </c>
      <c r="M1616" s="8" t="s">
        <v>79</v>
      </c>
      <c r="N1616" s="11">
        <v>214702</v>
      </c>
      <c r="O1616" s="8" t="s">
        <v>1850</v>
      </c>
      <c r="P1616" s="8" t="s">
        <v>1851</v>
      </c>
      <c r="Q1616" s="8"/>
      <c r="R1616" s="8"/>
    </row>
    <row r="1617" spans="1:18" ht="26.15" customHeight="1">
      <c r="A1617" s="7">
        <v>1611</v>
      </c>
      <c r="B1617" s="8" t="s">
        <v>4025</v>
      </c>
      <c r="C1617" s="8" t="s">
        <v>3127</v>
      </c>
      <c r="D1617" s="8"/>
      <c r="E1617" s="8" t="s">
        <v>3128</v>
      </c>
      <c r="F1617" s="9" t="s">
        <v>3123</v>
      </c>
      <c r="G1617" s="10">
        <v>42399</v>
      </c>
      <c r="H1617" s="8" t="s">
        <v>124</v>
      </c>
      <c r="I1617" s="11">
        <v>19126</v>
      </c>
      <c r="J1617" s="8" t="s">
        <v>2112</v>
      </c>
      <c r="K1617" s="8" t="s">
        <v>2113</v>
      </c>
      <c r="L1617" s="7">
        <v>2013</v>
      </c>
      <c r="M1617" s="8" t="s">
        <v>79</v>
      </c>
      <c r="N1617" s="11">
        <v>212000</v>
      </c>
      <c r="O1617" s="8" t="s">
        <v>2114</v>
      </c>
      <c r="P1617" s="8" t="s">
        <v>2115</v>
      </c>
      <c r="Q1617" s="8"/>
      <c r="R1617" s="8"/>
    </row>
    <row r="1618" spans="1:18" ht="26.15" customHeight="1">
      <c r="A1618" s="7">
        <v>1612</v>
      </c>
      <c r="B1618" s="8" t="s">
        <v>4622</v>
      </c>
      <c r="C1618" s="8" t="s">
        <v>3127</v>
      </c>
      <c r="D1618" s="8"/>
      <c r="E1618" s="8" t="s">
        <v>3128</v>
      </c>
      <c r="F1618" s="9" t="s">
        <v>3123</v>
      </c>
      <c r="G1618" s="10">
        <v>42399</v>
      </c>
      <c r="H1618" s="8" t="s">
        <v>124</v>
      </c>
      <c r="I1618" s="11">
        <v>19126</v>
      </c>
      <c r="J1618" s="8" t="s">
        <v>2112</v>
      </c>
      <c r="K1618" s="8" t="s">
        <v>2113</v>
      </c>
      <c r="L1618" s="7">
        <v>2013</v>
      </c>
      <c r="M1618" s="8" t="s">
        <v>79</v>
      </c>
      <c r="N1618" s="11">
        <v>212000</v>
      </c>
      <c r="O1618" s="8" t="s">
        <v>2114</v>
      </c>
      <c r="P1618" s="8" t="s">
        <v>2115</v>
      </c>
      <c r="Q1618" s="8"/>
      <c r="R1618" s="8"/>
    </row>
    <row r="1619" spans="1:18" ht="26.15" customHeight="1">
      <c r="A1619" s="7">
        <v>1613</v>
      </c>
      <c r="B1619" s="8" t="s">
        <v>3374</v>
      </c>
      <c r="C1619" s="8" t="s">
        <v>3114</v>
      </c>
      <c r="D1619" s="8" t="s">
        <v>3375</v>
      </c>
      <c r="E1619" s="8" t="s">
        <v>3116</v>
      </c>
      <c r="F1619" s="9" t="s">
        <v>3123</v>
      </c>
      <c r="G1619" s="10">
        <v>42396</v>
      </c>
      <c r="H1619" s="8" t="s">
        <v>124</v>
      </c>
      <c r="I1619" s="11">
        <v>375448</v>
      </c>
      <c r="J1619" s="8" t="s">
        <v>2271</v>
      </c>
      <c r="K1619" s="8" t="s">
        <v>2272</v>
      </c>
      <c r="L1619" s="7">
        <v>2015</v>
      </c>
      <c r="M1619" s="8" t="s">
        <v>313</v>
      </c>
      <c r="N1619" s="11">
        <v>793956</v>
      </c>
      <c r="O1619" s="8" t="s">
        <v>2276</v>
      </c>
      <c r="P1619" s="8" t="s">
        <v>2277</v>
      </c>
      <c r="Q1619" s="8"/>
      <c r="R1619" s="8" t="s">
        <v>79</v>
      </c>
    </row>
    <row r="1620" spans="1:18" ht="26.15" customHeight="1">
      <c r="A1620" s="7">
        <v>1614</v>
      </c>
      <c r="B1620" s="8" t="s">
        <v>3238</v>
      </c>
      <c r="C1620" s="8" t="s">
        <v>3127</v>
      </c>
      <c r="D1620" s="8"/>
      <c r="E1620" s="8" t="s">
        <v>3128</v>
      </c>
      <c r="F1620" s="9" t="s">
        <v>3123</v>
      </c>
      <c r="G1620" s="10">
        <v>42396</v>
      </c>
      <c r="H1620" s="8" t="s">
        <v>124</v>
      </c>
      <c r="I1620" s="11">
        <v>375448</v>
      </c>
      <c r="J1620" s="8" t="s">
        <v>2271</v>
      </c>
      <c r="K1620" s="8" t="s">
        <v>2272</v>
      </c>
      <c r="L1620" s="7">
        <v>2015</v>
      </c>
      <c r="M1620" s="8" t="s">
        <v>313</v>
      </c>
      <c r="N1620" s="11">
        <v>793956</v>
      </c>
      <c r="O1620" s="8" t="s">
        <v>2276</v>
      </c>
      <c r="P1620" s="8" t="s">
        <v>2277</v>
      </c>
      <c r="Q1620" s="8"/>
      <c r="R1620" s="8"/>
    </row>
    <row r="1621" spans="1:18" ht="26.15" customHeight="1">
      <c r="A1621" s="7">
        <v>1615</v>
      </c>
      <c r="B1621" s="8" t="s">
        <v>3241</v>
      </c>
      <c r="C1621" s="8" t="s">
        <v>3127</v>
      </c>
      <c r="D1621" s="8"/>
      <c r="E1621" s="8" t="s">
        <v>3128</v>
      </c>
      <c r="F1621" s="9" t="s">
        <v>3123</v>
      </c>
      <c r="G1621" s="10">
        <v>42396</v>
      </c>
      <c r="H1621" s="8" t="s">
        <v>124</v>
      </c>
      <c r="I1621" s="11">
        <v>375448</v>
      </c>
      <c r="J1621" s="8" t="s">
        <v>2271</v>
      </c>
      <c r="K1621" s="8" t="s">
        <v>2272</v>
      </c>
      <c r="L1621" s="7">
        <v>2015</v>
      </c>
      <c r="M1621" s="8" t="s">
        <v>313</v>
      </c>
      <c r="N1621" s="11">
        <v>793956</v>
      </c>
      <c r="O1621" s="8" t="s">
        <v>2276</v>
      </c>
      <c r="P1621" s="8" t="s">
        <v>2277</v>
      </c>
      <c r="Q1621" s="8"/>
      <c r="R1621" s="8"/>
    </row>
    <row r="1622" spans="1:18" ht="26.15" customHeight="1">
      <c r="A1622" s="7">
        <v>1616</v>
      </c>
      <c r="B1622" s="8" t="s">
        <v>4623</v>
      </c>
      <c r="C1622" s="8" t="s">
        <v>3127</v>
      </c>
      <c r="D1622" s="8"/>
      <c r="E1622" s="8" t="s">
        <v>3128</v>
      </c>
      <c r="F1622" s="9" t="s">
        <v>3117</v>
      </c>
      <c r="G1622" s="10">
        <v>42396</v>
      </c>
      <c r="H1622" s="8" t="s">
        <v>124</v>
      </c>
      <c r="I1622" s="11">
        <v>375448</v>
      </c>
      <c r="J1622" s="8" t="s">
        <v>2271</v>
      </c>
      <c r="K1622" s="8" t="s">
        <v>2272</v>
      </c>
      <c r="L1622" s="7">
        <v>2015</v>
      </c>
      <c r="M1622" s="8" t="s">
        <v>313</v>
      </c>
      <c r="N1622" s="11">
        <v>793956</v>
      </c>
      <c r="O1622" s="8" t="s">
        <v>2276</v>
      </c>
      <c r="P1622" s="8" t="s">
        <v>2277</v>
      </c>
      <c r="Q1622" s="8"/>
      <c r="R1622" s="8"/>
    </row>
    <row r="1623" spans="1:18" ht="26.15" customHeight="1">
      <c r="A1623" s="7">
        <v>1617</v>
      </c>
      <c r="B1623" s="8" t="s">
        <v>4624</v>
      </c>
      <c r="C1623" s="8" t="s">
        <v>3127</v>
      </c>
      <c r="D1623" s="8"/>
      <c r="E1623" s="8" t="s">
        <v>3128</v>
      </c>
      <c r="F1623" s="9" t="s">
        <v>3123</v>
      </c>
      <c r="G1623" s="10">
        <v>42396</v>
      </c>
      <c r="H1623" s="8" t="s">
        <v>124</v>
      </c>
      <c r="I1623" s="11">
        <v>375448</v>
      </c>
      <c r="J1623" s="8" t="s">
        <v>2271</v>
      </c>
      <c r="K1623" s="8" t="s">
        <v>2272</v>
      </c>
      <c r="L1623" s="7">
        <v>2015</v>
      </c>
      <c r="M1623" s="8" t="s">
        <v>313</v>
      </c>
      <c r="N1623" s="11">
        <v>793956</v>
      </c>
      <c r="O1623" s="8" t="s">
        <v>2276</v>
      </c>
      <c r="P1623" s="8" t="s">
        <v>2277</v>
      </c>
      <c r="Q1623" s="8"/>
      <c r="R1623" s="8"/>
    </row>
    <row r="1624" spans="1:18" ht="26.15" customHeight="1">
      <c r="A1624" s="7">
        <v>1618</v>
      </c>
      <c r="B1624" s="8" t="s">
        <v>4625</v>
      </c>
      <c r="C1624" s="8" t="s">
        <v>3127</v>
      </c>
      <c r="D1624" s="8"/>
      <c r="E1624" s="8" t="s">
        <v>3128</v>
      </c>
      <c r="F1624" s="9" t="s">
        <v>3117</v>
      </c>
      <c r="G1624" s="10">
        <v>42396</v>
      </c>
      <c r="H1624" s="8" t="s">
        <v>124</v>
      </c>
      <c r="I1624" s="11">
        <v>375448</v>
      </c>
      <c r="J1624" s="8" t="s">
        <v>2271</v>
      </c>
      <c r="K1624" s="8" t="s">
        <v>2272</v>
      </c>
      <c r="L1624" s="7">
        <v>2015</v>
      </c>
      <c r="M1624" s="8" t="s">
        <v>313</v>
      </c>
      <c r="N1624" s="11">
        <v>793956</v>
      </c>
      <c r="O1624" s="8" t="s">
        <v>2276</v>
      </c>
      <c r="P1624" s="8" t="s">
        <v>2277</v>
      </c>
      <c r="Q1624" s="8"/>
      <c r="R1624" s="8"/>
    </row>
    <row r="1625" spans="1:18" ht="26.15" customHeight="1">
      <c r="A1625" s="7">
        <v>1619</v>
      </c>
      <c r="B1625" s="8" t="s">
        <v>4626</v>
      </c>
      <c r="C1625" s="8" t="s">
        <v>3127</v>
      </c>
      <c r="D1625" s="8"/>
      <c r="E1625" s="8" t="s">
        <v>3128</v>
      </c>
      <c r="F1625" s="9" t="s">
        <v>3123</v>
      </c>
      <c r="G1625" s="10">
        <v>42396</v>
      </c>
      <c r="H1625" s="8" t="s">
        <v>124</v>
      </c>
      <c r="I1625" s="11">
        <v>375448</v>
      </c>
      <c r="J1625" s="8" t="s">
        <v>2271</v>
      </c>
      <c r="K1625" s="8" t="s">
        <v>2272</v>
      </c>
      <c r="L1625" s="7">
        <v>2015</v>
      </c>
      <c r="M1625" s="8" t="s">
        <v>313</v>
      </c>
      <c r="N1625" s="11">
        <v>793956</v>
      </c>
      <c r="O1625" s="8" t="s">
        <v>2276</v>
      </c>
      <c r="P1625" s="8" t="s">
        <v>2277</v>
      </c>
      <c r="Q1625" s="8"/>
      <c r="R1625" s="8"/>
    </row>
    <row r="1626" spans="1:18" ht="26.15" customHeight="1">
      <c r="A1626" s="7">
        <v>1620</v>
      </c>
      <c r="B1626" s="8" t="s">
        <v>3925</v>
      </c>
      <c r="C1626" s="8" t="s">
        <v>3127</v>
      </c>
      <c r="D1626" s="8"/>
      <c r="E1626" s="8" t="s">
        <v>3128</v>
      </c>
      <c r="F1626" s="9" t="s">
        <v>3123</v>
      </c>
      <c r="G1626" s="10">
        <v>42396</v>
      </c>
      <c r="H1626" s="8" t="s">
        <v>124</v>
      </c>
      <c r="I1626" s="11">
        <v>375448</v>
      </c>
      <c r="J1626" s="8" t="s">
        <v>2271</v>
      </c>
      <c r="K1626" s="8" t="s">
        <v>2272</v>
      </c>
      <c r="L1626" s="7">
        <v>2015</v>
      </c>
      <c r="M1626" s="8" t="s">
        <v>313</v>
      </c>
      <c r="N1626" s="11">
        <v>793956</v>
      </c>
      <c r="O1626" s="8" t="s">
        <v>2276</v>
      </c>
      <c r="P1626" s="8" t="s">
        <v>2277</v>
      </c>
      <c r="Q1626" s="8"/>
      <c r="R1626" s="8"/>
    </row>
    <row r="1627" spans="1:18" ht="26.15" customHeight="1">
      <c r="A1627" s="7">
        <v>1621</v>
      </c>
      <c r="B1627" s="8" t="s">
        <v>4627</v>
      </c>
      <c r="C1627" s="8" t="s">
        <v>3127</v>
      </c>
      <c r="D1627" s="8"/>
      <c r="E1627" s="8" t="s">
        <v>3128</v>
      </c>
      <c r="F1627" s="9" t="s">
        <v>3123</v>
      </c>
      <c r="G1627" s="10">
        <v>42396</v>
      </c>
      <c r="H1627" s="8" t="s">
        <v>124</v>
      </c>
      <c r="I1627" s="11">
        <v>375448</v>
      </c>
      <c r="J1627" s="8" t="s">
        <v>2271</v>
      </c>
      <c r="K1627" s="8" t="s">
        <v>2272</v>
      </c>
      <c r="L1627" s="7">
        <v>2015</v>
      </c>
      <c r="M1627" s="8" t="s">
        <v>313</v>
      </c>
      <c r="N1627" s="11">
        <v>793956</v>
      </c>
      <c r="O1627" s="8" t="s">
        <v>2276</v>
      </c>
      <c r="P1627" s="8" t="s">
        <v>2277</v>
      </c>
      <c r="Q1627" s="8"/>
      <c r="R1627" s="8"/>
    </row>
    <row r="1628" spans="1:18" ht="26.15" customHeight="1">
      <c r="A1628" s="7">
        <v>1622</v>
      </c>
      <c r="B1628" s="8" t="s">
        <v>4486</v>
      </c>
      <c r="C1628" s="8" t="s">
        <v>3127</v>
      </c>
      <c r="D1628" s="8"/>
      <c r="E1628" s="8" t="s">
        <v>3128</v>
      </c>
      <c r="F1628" s="9" t="s">
        <v>3123</v>
      </c>
      <c r="G1628" s="10">
        <v>42396</v>
      </c>
      <c r="H1628" s="8" t="s">
        <v>124</v>
      </c>
      <c r="I1628" s="11">
        <v>375448</v>
      </c>
      <c r="J1628" s="8" t="s">
        <v>2271</v>
      </c>
      <c r="K1628" s="8" t="s">
        <v>2272</v>
      </c>
      <c r="L1628" s="7">
        <v>2015</v>
      </c>
      <c r="M1628" s="8" t="s">
        <v>313</v>
      </c>
      <c r="N1628" s="11">
        <v>793956</v>
      </c>
      <c r="O1628" s="8" t="s">
        <v>2276</v>
      </c>
      <c r="P1628" s="8" t="s">
        <v>2277</v>
      </c>
      <c r="Q1628" s="8"/>
      <c r="R1628" s="8"/>
    </row>
    <row r="1629" spans="1:18" ht="26.15" customHeight="1">
      <c r="A1629" s="7">
        <v>1623</v>
      </c>
      <c r="B1629" s="8" t="s">
        <v>4628</v>
      </c>
      <c r="C1629" s="8" t="s">
        <v>3127</v>
      </c>
      <c r="D1629" s="8"/>
      <c r="E1629" s="8" t="s">
        <v>3128</v>
      </c>
      <c r="F1629" s="9" t="s">
        <v>3123</v>
      </c>
      <c r="G1629" s="10">
        <v>42396</v>
      </c>
      <c r="H1629" s="8" t="s">
        <v>124</v>
      </c>
      <c r="I1629" s="11">
        <v>375448</v>
      </c>
      <c r="J1629" s="8" t="s">
        <v>2271</v>
      </c>
      <c r="K1629" s="8" t="s">
        <v>2272</v>
      </c>
      <c r="L1629" s="7">
        <v>2015</v>
      </c>
      <c r="M1629" s="8" t="s">
        <v>313</v>
      </c>
      <c r="N1629" s="11">
        <v>793956</v>
      </c>
      <c r="O1629" s="8" t="s">
        <v>2276</v>
      </c>
      <c r="P1629" s="8" t="s">
        <v>2277</v>
      </c>
      <c r="Q1629" s="8"/>
      <c r="R1629" s="8"/>
    </row>
    <row r="1630" spans="1:18" ht="26.15" customHeight="1">
      <c r="A1630" s="7">
        <v>1624</v>
      </c>
      <c r="B1630" s="8" t="s">
        <v>4629</v>
      </c>
      <c r="C1630" s="8" t="s">
        <v>3127</v>
      </c>
      <c r="D1630" s="8"/>
      <c r="E1630" s="8" t="s">
        <v>3128</v>
      </c>
      <c r="F1630" s="9" t="s">
        <v>3123</v>
      </c>
      <c r="G1630" s="10">
        <v>42396</v>
      </c>
      <c r="H1630" s="8" t="s">
        <v>124</v>
      </c>
      <c r="I1630" s="11">
        <v>375448</v>
      </c>
      <c r="J1630" s="8" t="s">
        <v>2271</v>
      </c>
      <c r="K1630" s="8" t="s">
        <v>2272</v>
      </c>
      <c r="L1630" s="7">
        <v>2015</v>
      </c>
      <c r="M1630" s="8" t="s">
        <v>313</v>
      </c>
      <c r="N1630" s="11">
        <v>793956</v>
      </c>
      <c r="O1630" s="8" t="s">
        <v>2276</v>
      </c>
      <c r="P1630" s="8" t="s">
        <v>2277</v>
      </c>
      <c r="Q1630" s="8"/>
      <c r="R1630" s="8"/>
    </row>
    <row r="1631" spans="1:18" ht="26.15" customHeight="1">
      <c r="A1631" s="7">
        <v>1625</v>
      </c>
      <c r="B1631" s="8" t="s">
        <v>4630</v>
      </c>
      <c r="C1631" s="8" t="s">
        <v>3127</v>
      </c>
      <c r="D1631" s="8"/>
      <c r="E1631" s="8" t="s">
        <v>3128</v>
      </c>
      <c r="F1631" s="9" t="s">
        <v>3123</v>
      </c>
      <c r="G1631" s="10">
        <v>42396</v>
      </c>
      <c r="H1631" s="8" t="s">
        <v>124</v>
      </c>
      <c r="I1631" s="11">
        <v>375448</v>
      </c>
      <c r="J1631" s="8" t="s">
        <v>2271</v>
      </c>
      <c r="K1631" s="8" t="s">
        <v>2272</v>
      </c>
      <c r="L1631" s="7">
        <v>2015</v>
      </c>
      <c r="M1631" s="8" t="s">
        <v>313</v>
      </c>
      <c r="N1631" s="11">
        <v>793956</v>
      </c>
      <c r="O1631" s="8" t="s">
        <v>2276</v>
      </c>
      <c r="P1631" s="8" t="s">
        <v>2277</v>
      </c>
      <c r="Q1631" s="8"/>
      <c r="R1631" s="8"/>
    </row>
    <row r="1632" spans="1:18" ht="26.15" customHeight="1">
      <c r="A1632" s="7">
        <v>1626</v>
      </c>
      <c r="B1632" s="8" t="s">
        <v>4631</v>
      </c>
      <c r="C1632" s="8" t="s">
        <v>3127</v>
      </c>
      <c r="D1632" s="8"/>
      <c r="E1632" s="8" t="s">
        <v>3128</v>
      </c>
      <c r="F1632" s="9" t="s">
        <v>3123</v>
      </c>
      <c r="G1632" s="10">
        <v>42396</v>
      </c>
      <c r="H1632" s="8" t="s">
        <v>124</v>
      </c>
      <c r="I1632" s="11">
        <v>375448</v>
      </c>
      <c r="J1632" s="8" t="s">
        <v>2271</v>
      </c>
      <c r="K1632" s="8" t="s">
        <v>2272</v>
      </c>
      <c r="L1632" s="7">
        <v>2015</v>
      </c>
      <c r="M1632" s="8" t="s">
        <v>313</v>
      </c>
      <c r="N1632" s="11">
        <v>793956</v>
      </c>
      <c r="O1632" s="8" t="s">
        <v>2276</v>
      </c>
      <c r="P1632" s="8" t="s">
        <v>2277</v>
      </c>
      <c r="Q1632" s="8"/>
      <c r="R1632" s="8"/>
    </row>
    <row r="1633" spans="1:18" ht="26.15" customHeight="1">
      <c r="A1633" s="7">
        <v>1627</v>
      </c>
      <c r="B1633" s="8" t="s">
        <v>4632</v>
      </c>
      <c r="C1633" s="8" t="s">
        <v>3127</v>
      </c>
      <c r="D1633" s="8"/>
      <c r="E1633" s="8" t="s">
        <v>3128</v>
      </c>
      <c r="F1633" s="9" t="s">
        <v>3123</v>
      </c>
      <c r="G1633" s="10">
        <v>42396</v>
      </c>
      <c r="H1633" s="8" t="s">
        <v>124</v>
      </c>
      <c r="I1633" s="11">
        <v>375448</v>
      </c>
      <c r="J1633" s="8" t="s">
        <v>2271</v>
      </c>
      <c r="K1633" s="8" t="s">
        <v>2272</v>
      </c>
      <c r="L1633" s="7">
        <v>2015</v>
      </c>
      <c r="M1633" s="8" t="s">
        <v>313</v>
      </c>
      <c r="N1633" s="11">
        <v>793956</v>
      </c>
      <c r="O1633" s="8" t="s">
        <v>2276</v>
      </c>
      <c r="P1633" s="8" t="s">
        <v>2277</v>
      </c>
      <c r="Q1633" s="8"/>
      <c r="R1633" s="8"/>
    </row>
    <row r="1634" spans="1:18" ht="26.15" customHeight="1">
      <c r="A1634" s="7">
        <v>1628</v>
      </c>
      <c r="B1634" s="8" t="s">
        <v>4633</v>
      </c>
      <c r="C1634" s="8" t="s">
        <v>3127</v>
      </c>
      <c r="D1634" s="8"/>
      <c r="E1634" s="8" t="s">
        <v>3128</v>
      </c>
      <c r="F1634" s="9" t="s">
        <v>3123</v>
      </c>
      <c r="G1634" s="10">
        <v>42396</v>
      </c>
      <c r="H1634" s="8" t="s">
        <v>124</v>
      </c>
      <c r="I1634" s="11">
        <v>375448</v>
      </c>
      <c r="J1634" s="8" t="s">
        <v>2271</v>
      </c>
      <c r="K1634" s="8" t="s">
        <v>2272</v>
      </c>
      <c r="L1634" s="7">
        <v>2015</v>
      </c>
      <c r="M1634" s="8" t="s">
        <v>313</v>
      </c>
      <c r="N1634" s="11">
        <v>793956</v>
      </c>
      <c r="O1634" s="8" t="s">
        <v>2276</v>
      </c>
      <c r="P1634" s="8" t="s">
        <v>2277</v>
      </c>
      <c r="Q1634" s="8"/>
      <c r="R1634" s="8"/>
    </row>
    <row r="1635" spans="1:18" ht="26.15" customHeight="1">
      <c r="A1635" s="7">
        <v>1629</v>
      </c>
      <c r="B1635" s="8" t="s">
        <v>4634</v>
      </c>
      <c r="C1635" s="8" t="s">
        <v>3127</v>
      </c>
      <c r="D1635" s="8"/>
      <c r="E1635" s="8" t="s">
        <v>3128</v>
      </c>
      <c r="F1635" s="9" t="s">
        <v>3123</v>
      </c>
      <c r="G1635" s="10">
        <v>42396</v>
      </c>
      <c r="H1635" s="8" t="s">
        <v>124</v>
      </c>
      <c r="I1635" s="11">
        <v>375448</v>
      </c>
      <c r="J1635" s="8" t="s">
        <v>2271</v>
      </c>
      <c r="K1635" s="8" t="s">
        <v>2272</v>
      </c>
      <c r="L1635" s="7">
        <v>2015</v>
      </c>
      <c r="M1635" s="8" t="s">
        <v>313</v>
      </c>
      <c r="N1635" s="11">
        <v>793956</v>
      </c>
      <c r="O1635" s="8" t="s">
        <v>2276</v>
      </c>
      <c r="P1635" s="8" t="s">
        <v>2277</v>
      </c>
      <c r="Q1635" s="8"/>
      <c r="R1635" s="8"/>
    </row>
    <row r="1636" spans="1:18" ht="26.15" customHeight="1">
      <c r="A1636" s="7">
        <v>1630</v>
      </c>
      <c r="B1636" s="8" t="s">
        <v>4485</v>
      </c>
      <c r="C1636" s="8" t="s">
        <v>3127</v>
      </c>
      <c r="D1636" s="8"/>
      <c r="E1636" s="8" t="s">
        <v>3128</v>
      </c>
      <c r="F1636" s="9" t="s">
        <v>3117</v>
      </c>
      <c r="G1636" s="10">
        <v>42396</v>
      </c>
      <c r="H1636" s="8" t="s">
        <v>124</v>
      </c>
      <c r="I1636" s="11">
        <v>375448</v>
      </c>
      <c r="J1636" s="8" t="s">
        <v>2271</v>
      </c>
      <c r="K1636" s="8" t="s">
        <v>2272</v>
      </c>
      <c r="L1636" s="7">
        <v>2015</v>
      </c>
      <c r="M1636" s="8" t="s">
        <v>313</v>
      </c>
      <c r="N1636" s="11">
        <v>793956</v>
      </c>
      <c r="O1636" s="8" t="s">
        <v>2276</v>
      </c>
      <c r="P1636" s="8" t="s">
        <v>2277</v>
      </c>
      <c r="Q1636" s="8"/>
      <c r="R1636" s="8"/>
    </row>
    <row r="1637" spans="1:18" ht="26.15" customHeight="1">
      <c r="A1637" s="7">
        <v>1631</v>
      </c>
      <c r="B1637" s="8" t="s">
        <v>4635</v>
      </c>
      <c r="C1637" s="8" t="s">
        <v>3127</v>
      </c>
      <c r="D1637" s="8"/>
      <c r="E1637" s="8" t="s">
        <v>3128</v>
      </c>
      <c r="F1637" s="9" t="s">
        <v>3123</v>
      </c>
      <c r="G1637" s="10">
        <v>42396</v>
      </c>
      <c r="H1637" s="8" t="s">
        <v>124</v>
      </c>
      <c r="I1637" s="11">
        <v>375448</v>
      </c>
      <c r="J1637" s="8" t="s">
        <v>2271</v>
      </c>
      <c r="K1637" s="8" t="s">
        <v>2272</v>
      </c>
      <c r="L1637" s="7">
        <v>2015</v>
      </c>
      <c r="M1637" s="8" t="s">
        <v>313</v>
      </c>
      <c r="N1637" s="11">
        <v>793956</v>
      </c>
      <c r="O1637" s="8" t="s">
        <v>2276</v>
      </c>
      <c r="P1637" s="8" t="s">
        <v>2277</v>
      </c>
      <c r="Q1637" s="8"/>
      <c r="R1637" s="8"/>
    </row>
    <row r="1638" spans="1:18" ht="26.15" customHeight="1">
      <c r="A1638" s="7">
        <v>1632</v>
      </c>
      <c r="B1638" s="8" t="s">
        <v>4487</v>
      </c>
      <c r="C1638" s="8" t="s">
        <v>3127</v>
      </c>
      <c r="D1638" s="8"/>
      <c r="E1638" s="8" t="s">
        <v>3128</v>
      </c>
      <c r="F1638" s="9" t="s">
        <v>3123</v>
      </c>
      <c r="G1638" s="10">
        <v>42396</v>
      </c>
      <c r="H1638" s="8" t="s">
        <v>124</v>
      </c>
      <c r="I1638" s="11">
        <v>375448</v>
      </c>
      <c r="J1638" s="8" t="s">
        <v>2271</v>
      </c>
      <c r="K1638" s="8" t="s">
        <v>2272</v>
      </c>
      <c r="L1638" s="7">
        <v>2015</v>
      </c>
      <c r="M1638" s="8" t="s">
        <v>313</v>
      </c>
      <c r="N1638" s="11">
        <v>793956</v>
      </c>
      <c r="O1638" s="8" t="s">
        <v>2276</v>
      </c>
      <c r="P1638" s="8" t="s">
        <v>2277</v>
      </c>
      <c r="Q1638" s="8"/>
      <c r="R1638" s="8"/>
    </row>
    <row r="1639" spans="1:18" ht="26.15" customHeight="1">
      <c r="A1639" s="7">
        <v>1633</v>
      </c>
      <c r="B1639" s="8" t="s">
        <v>4636</v>
      </c>
      <c r="C1639" s="8" t="s">
        <v>3127</v>
      </c>
      <c r="D1639" s="8"/>
      <c r="E1639" s="8" t="s">
        <v>3128</v>
      </c>
      <c r="F1639" s="9" t="s">
        <v>3123</v>
      </c>
      <c r="G1639" s="10">
        <v>42396</v>
      </c>
      <c r="H1639" s="8" t="s">
        <v>124</v>
      </c>
      <c r="I1639" s="11">
        <v>375448</v>
      </c>
      <c r="J1639" s="8" t="s">
        <v>2271</v>
      </c>
      <c r="K1639" s="8" t="s">
        <v>2272</v>
      </c>
      <c r="L1639" s="7">
        <v>2015</v>
      </c>
      <c r="M1639" s="8" t="s">
        <v>313</v>
      </c>
      <c r="N1639" s="11">
        <v>793956</v>
      </c>
      <c r="O1639" s="8" t="s">
        <v>2276</v>
      </c>
      <c r="P1639" s="8" t="s">
        <v>2277</v>
      </c>
      <c r="Q1639" s="8"/>
      <c r="R1639" s="8"/>
    </row>
    <row r="1640" spans="1:18" ht="26.15" customHeight="1">
      <c r="A1640" s="7">
        <v>1634</v>
      </c>
      <c r="B1640" s="8" t="s">
        <v>3916</v>
      </c>
      <c r="C1640" s="8" t="s">
        <v>3127</v>
      </c>
      <c r="D1640" s="8"/>
      <c r="E1640" s="8" t="s">
        <v>3128</v>
      </c>
      <c r="F1640" s="9" t="s">
        <v>3117</v>
      </c>
      <c r="G1640" s="10">
        <v>42396</v>
      </c>
      <c r="H1640" s="8" t="s">
        <v>124</v>
      </c>
      <c r="I1640" s="11">
        <v>375448</v>
      </c>
      <c r="J1640" s="8" t="s">
        <v>2271</v>
      </c>
      <c r="K1640" s="8" t="s">
        <v>2272</v>
      </c>
      <c r="L1640" s="7">
        <v>2015</v>
      </c>
      <c r="M1640" s="8" t="s">
        <v>313</v>
      </c>
      <c r="N1640" s="11">
        <v>793956</v>
      </c>
      <c r="O1640" s="8" t="s">
        <v>2276</v>
      </c>
      <c r="P1640" s="8" t="s">
        <v>2277</v>
      </c>
      <c r="Q1640" s="8"/>
      <c r="R1640" s="8"/>
    </row>
    <row r="1641" spans="1:18" ht="26.15" customHeight="1">
      <c r="A1641" s="7">
        <v>1635</v>
      </c>
      <c r="B1641" s="8" t="s">
        <v>4393</v>
      </c>
      <c r="C1641" s="8"/>
      <c r="D1641" s="8" t="s">
        <v>4394</v>
      </c>
      <c r="E1641" s="8" t="s">
        <v>3116</v>
      </c>
      <c r="F1641" s="9" t="s">
        <v>3123</v>
      </c>
      <c r="G1641" s="10">
        <v>42390</v>
      </c>
      <c r="H1641" s="8" t="s">
        <v>34</v>
      </c>
      <c r="I1641" s="11">
        <v>323389</v>
      </c>
      <c r="J1641" s="8" t="s">
        <v>1685</v>
      </c>
      <c r="K1641" s="8" t="s">
        <v>1686</v>
      </c>
      <c r="L1641" s="7">
        <v>2013</v>
      </c>
      <c r="M1641" s="8" t="s">
        <v>79</v>
      </c>
      <c r="N1641" s="11">
        <v>2257449</v>
      </c>
      <c r="O1641" s="8" t="s">
        <v>1690</v>
      </c>
      <c r="P1641" s="8" t="s">
        <v>1691</v>
      </c>
      <c r="Q1641" s="8"/>
      <c r="R1641" s="8" t="s">
        <v>4364</v>
      </c>
    </row>
    <row r="1642" spans="1:18" ht="26.15" customHeight="1">
      <c r="A1642" s="7">
        <v>1636</v>
      </c>
      <c r="B1642" s="8" t="s">
        <v>4492</v>
      </c>
      <c r="C1642" s="8" t="s">
        <v>3139</v>
      </c>
      <c r="D1642" s="8" t="s">
        <v>4493</v>
      </c>
      <c r="E1642" s="8" t="s">
        <v>3116</v>
      </c>
      <c r="F1642" s="9" t="s">
        <v>3123</v>
      </c>
      <c r="G1642" s="10">
        <v>42390</v>
      </c>
      <c r="H1642" s="8" t="s">
        <v>34</v>
      </c>
      <c r="I1642" s="11">
        <v>323389</v>
      </c>
      <c r="J1642" s="8" t="s">
        <v>1685</v>
      </c>
      <c r="K1642" s="8" t="s">
        <v>1686</v>
      </c>
      <c r="L1642" s="7">
        <v>2013</v>
      </c>
      <c r="M1642" s="8" t="s">
        <v>79</v>
      </c>
      <c r="N1642" s="11">
        <v>2257449</v>
      </c>
      <c r="O1642" s="8" t="s">
        <v>1690</v>
      </c>
      <c r="P1642" s="8" t="s">
        <v>1691</v>
      </c>
      <c r="Q1642" s="8"/>
      <c r="R1642" s="8" t="s">
        <v>4494</v>
      </c>
    </row>
    <row r="1643" spans="1:18" ht="26.15" customHeight="1">
      <c r="A1643" s="7">
        <v>1637</v>
      </c>
      <c r="B1643" s="8" t="s">
        <v>4637</v>
      </c>
      <c r="C1643" s="8" t="s">
        <v>3127</v>
      </c>
      <c r="D1643" s="8"/>
      <c r="E1643" s="8" t="s">
        <v>3128</v>
      </c>
      <c r="F1643" s="9" t="s">
        <v>3117</v>
      </c>
      <c r="G1643" s="10">
        <v>42390</v>
      </c>
      <c r="H1643" s="8" t="s">
        <v>34</v>
      </c>
      <c r="I1643" s="11">
        <v>323389</v>
      </c>
      <c r="J1643" s="8" t="s">
        <v>1685</v>
      </c>
      <c r="K1643" s="8" t="s">
        <v>1686</v>
      </c>
      <c r="L1643" s="7">
        <v>2013</v>
      </c>
      <c r="M1643" s="8" t="s">
        <v>79</v>
      </c>
      <c r="N1643" s="11">
        <v>2257449</v>
      </c>
      <c r="O1643" s="8" t="s">
        <v>1690</v>
      </c>
      <c r="P1643" s="8" t="s">
        <v>1691</v>
      </c>
      <c r="Q1643" s="8"/>
      <c r="R1643" s="8"/>
    </row>
    <row r="1644" spans="1:18" ht="26.15" customHeight="1">
      <c r="A1644" s="7">
        <v>1638</v>
      </c>
      <c r="B1644" s="8" t="s">
        <v>4638</v>
      </c>
      <c r="C1644" s="8" t="s">
        <v>3127</v>
      </c>
      <c r="D1644" s="8"/>
      <c r="E1644" s="8" t="s">
        <v>3128</v>
      </c>
      <c r="F1644" s="9" t="s">
        <v>3117</v>
      </c>
      <c r="G1644" s="10">
        <v>42390</v>
      </c>
      <c r="H1644" s="8" t="s">
        <v>34</v>
      </c>
      <c r="I1644" s="11">
        <v>323389</v>
      </c>
      <c r="J1644" s="8" t="s">
        <v>1685</v>
      </c>
      <c r="K1644" s="8" t="s">
        <v>1686</v>
      </c>
      <c r="L1644" s="7">
        <v>2013</v>
      </c>
      <c r="M1644" s="8" t="s">
        <v>79</v>
      </c>
      <c r="N1644" s="11">
        <v>2257449</v>
      </c>
      <c r="O1644" s="8" t="s">
        <v>1690</v>
      </c>
      <c r="P1644" s="8" t="s">
        <v>1691</v>
      </c>
      <c r="Q1644" s="8"/>
      <c r="R1644" s="8"/>
    </row>
    <row r="1645" spans="1:18" ht="26.15" customHeight="1">
      <c r="A1645" s="7">
        <v>1639</v>
      </c>
      <c r="B1645" s="8" t="s">
        <v>4505</v>
      </c>
      <c r="C1645" s="8" t="s">
        <v>3127</v>
      </c>
      <c r="D1645" s="8"/>
      <c r="E1645" s="8" t="s">
        <v>3128</v>
      </c>
      <c r="F1645" s="9" t="s">
        <v>3117</v>
      </c>
      <c r="G1645" s="10">
        <v>42390</v>
      </c>
      <c r="H1645" s="8" t="s">
        <v>34</v>
      </c>
      <c r="I1645" s="11">
        <v>323389</v>
      </c>
      <c r="J1645" s="8" t="s">
        <v>1685</v>
      </c>
      <c r="K1645" s="8" t="s">
        <v>1686</v>
      </c>
      <c r="L1645" s="7">
        <v>2013</v>
      </c>
      <c r="M1645" s="8" t="s">
        <v>79</v>
      </c>
      <c r="N1645" s="11">
        <v>2257449</v>
      </c>
      <c r="O1645" s="8" t="s">
        <v>1690</v>
      </c>
      <c r="P1645" s="8" t="s">
        <v>1691</v>
      </c>
      <c r="Q1645" s="8"/>
      <c r="R1645" s="8"/>
    </row>
    <row r="1646" spans="1:18" ht="26.15" customHeight="1">
      <c r="A1646" s="7">
        <v>1640</v>
      </c>
      <c r="B1646" s="8" t="s">
        <v>4639</v>
      </c>
      <c r="C1646" s="8" t="s">
        <v>3127</v>
      </c>
      <c r="D1646" s="8"/>
      <c r="E1646" s="8" t="s">
        <v>3128</v>
      </c>
      <c r="F1646" s="9" t="s">
        <v>3117</v>
      </c>
      <c r="G1646" s="10">
        <v>42390</v>
      </c>
      <c r="H1646" s="8" t="s">
        <v>34</v>
      </c>
      <c r="I1646" s="11">
        <v>323389</v>
      </c>
      <c r="J1646" s="8" t="s">
        <v>1685</v>
      </c>
      <c r="K1646" s="8" t="s">
        <v>1686</v>
      </c>
      <c r="L1646" s="7">
        <v>2013</v>
      </c>
      <c r="M1646" s="8" t="s">
        <v>79</v>
      </c>
      <c r="N1646" s="11">
        <v>2257449</v>
      </c>
      <c r="O1646" s="8" t="s">
        <v>1690</v>
      </c>
      <c r="P1646" s="8" t="s">
        <v>1691</v>
      </c>
      <c r="Q1646" s="8"/>
      <c r="R1646" s="8"/>
    </row>
    <row r="1647" spans="1:18" ht="26.15" customHeight="1">
      <c r="A1647" s="7">
        <v>1641</v>
      </c>
      <c r="B1647" s="8" t="s">
        <v>4640</v>
      </c>
      <c r="C1647" s="8" t="s">
        <v>3127</v>
      </c>
      <c r="D1647" s="8"/>
      <c r="E1647" s="8" t="s">
        <v>3128</v>
      </c>
      <c r="F1647" s="9" t="s">
        <v>3117</v>
      </c>
      <c r="G1647" s="10">
        <v>42390</v>
      </c>
      <c r="H1647" s="8" t="s">
        <v>34</v>
      </c>
      <c r="I1647" s="11">
        <v>323389</v>
      </c>
      <c r="J1647" s="8" t="s">
        <v>1685</v>
      </c>
      <c r="K1647" s="8" t="s">
        <v>1686</v>
      </c>
      <c r="L1647" s="7">
        <v>2013</v>
      </c>
      <c r="M1647" s="8" t="s">
        <v>79</v>
      </c>
      <c r="N1647" s="11">
        <v>2257449</v>
      </c>
      <c r="O1647" s="8" t="s">
        <v>1690</v>
      </c>
      <c r="P1647" s="8" t="s">
        <v>1691</v>
      </c>
      <c r="Q1647" s="8"/>
      <c r="R1647" s="8"/>
    </row>
    <row r="1648" spans="1:18" ht="26.15" customHeight="1">
      <c r="A1648" s="7">
        <v>1642</v>
      </c>
      <c r="B1648" s="8" t="s">
        <v>4641</v>
      </c>
      <c r="C1648" s="8" t="s">
        <v>3127</v>
      </c>
      <c r="D1648" s="8"/>
      <c r="E1648" s="8" t="s">
        <v>3128</v>
      </c>
      <c r="F1648" s="9" t="s">
        <v>3117</v>
      </c>
      <c r="G1648" s="10">
        <v>42390</v>
      </c>
      <c r="H1648" s="8" t="s">
        <v>34</v>
      </c>
      <c r="I1648" s="11">
        <v>323389</v>
      </c>
      <c r="J1648" s="8" t="s">
        <v>1685</v>
      </c>
      <c r="K1648" s="8" t="s">
        <v>1686</v>
      </c>
      <c r="L1648" s="7">
        <v>2013</v>
      </c>
      <c r="M1648" s="8" t="s">
        <v>79</v>
      </c>
      <c r="N1648" s="11">
        <v>2257449</v>
      </c>
      <c r="O1648" s="8" t="s">
        <v>1690</v>
      </c>
      <c r="P1648" s="8" t="s">
        <v>1691</v>
      </c>
      <c r="Q1648" s="8"/>
      <c r="R1648" s="8"/>
    </row>
    <row r="1649" spans="1:18" ht="26.15" customHeight="1">
      <c r="A1649" s="7">
        <v>1643</v>
      </c>
      <c r="B1649" s="8" t="s">
        <v>4642</v>
      </c>
      <c r="C1649" s="8" t="s">
        <v>3127</v>
      </c>
      <c r="D1649" s="8"/>
      <c r="E1649" s="8" t="s">
        <v>3128</v>
      </c>
      <c r="F1649" s="9" t="s">
        <v>3117</v>
      </c>
      <c r="G1649" s="10">
        <v>42390</v>
      </c>
      <c r="H1649" s="8" t="s">
        <v>34</v>
      </c>
      <c r="I1649" s="11">
        <v>323389</v>
      </c>
      <c r="J1649" s="8" t="s">
        <v>1685</v>
      </c>
      <c r="K1649" s="8" t="s">
        <v>1686</v>
      </c>
      <c r="L1649" s="7">
        <v>2013</v>
      </c>
      <c r="M1649" s="8" t="s">
        <v>79</v>
      </c>
      <c r="N1649" s="11">
        <v>2257449</v>
      </c>
      <c r="O1649" s="8" t="s">
        <v>1690</v>
      </c>
      <c r="P1649" s="8" t="s">
        <v>1691</v>
      </c>
      <c r="Q1649" s="8"/>
      <c r="R1649" s="8"/>
    </row>
    <row r="1650" spans="1:18" ht="26.15" customHeight="1">
      <c r="A1650" s="7">
        <v>1644</v>
      </c>
      <c r="B1650" s="8" t="s">
        <v>4643</v>
      </c>
      <c r="C1650" s="8" t="s">
        <v>3127</v>
      </c>
      <c r="D1650" s="8"/>
      <c r="E1650" s="8" t="s">
        <v>3128</v>
      </c>
      <c r="F1650" s="9" t="s">
        <v>3117</v>
      </c>
      <c r="G1650" s="10">
        <v>42390</v>
      </c>
      <c r="H1650" s="8" t="s">
        <v>34</v>
      </c>
      <c r="I1650" s="11">
        <v>323389</v>
      </c>
      <c r="J1650" s="8" t="s">
        <v>1685</v>
      </c>
      <c r="K1650" s="8" t="s">
        <v>1686</v>
      </c>
      <c r="L1650" s="7">
        <v>2013</v>
      </c>
      <c r="M1650" s="8" t="s">
        <v>79</v>
      </c>
      <c r="N1650" s="11">
        <v>2257449</v>
      </c>
      <c r="O1650" s="8" t="s">
        <v>1690</v>
      </c>
      <c r="P1650" s="8" t="s">
        <v>1691</v>
      </c>
      <c r="Q1650" s="8"/>
      <c r="R1650" s="8"/>
    </row>
    <row r="1651" spans="1:18" ht="26.15" customHeight="1">
      <c r="A1651" s="7">
        <v>1645</v>
      </c>
      <c r="B1651" s="8" t="s">
        <v>4644</v>
      </c>
      <c r="C1651" s="8" t="s">
        <v>3127</v>
      </c>
      <c r="D1651" s="8"/>
      <c r="E1651" s="8" t="s">
        <v>3128</v>
      </c>
      <c r="F1651" s="9" t="s">
        <v>3117</v>
      </c>
      <c r="G1651" s="10">
        <v>42390</v>
      </c>
      <c r="H1651" s="8" t="s">
        <v>34</v>
      </c>
      <c r="I1651" s="11">
        <v>323389</v>
      </c>
      <c r="J1651" s="8" t="s">
        <v>1685</v>
      </c>
      <c r="K1651" s="8" t="s">
        <v>1686</v>
      </c>
      <c r="L1651" s="7">
        <v>2013</v>
      </c>
      <c r="M1651" s="8" t="s">
        <v>79</v>
      </c>
      <c r="N1651" s="11">
        <v>2257449</v>
      </c>
      <c r="O1651" s="8" t="s">
        <v>1690</v>
      </c>
      <c r="P1651" s="8" t="s">
        <v>1691</v>
      </c>
      <c r="Q1651" s="8"/>
      <c r="R1651" s="8"/>
    </row>
    <row r="1652" spans="1:18" ht="26.15" customHeight="1">
      <c r="A1652" s="7">
        <v>1646</v>
      </c>
      <c r="B1652" s="8" t="s">
        <v>4390</v>
      </c>
      <c r="C1652" s="8" t="s">
        <v>3127</v>
      </c>
      <c r="D1652" s="8"/>
      <c r="E1652" s="8" t="s">
        <v>3128</v>
      </c>
      <c r="F1652" s="9" t="s">
        <v>3117</v>
      </c>
      <c r="G1652" s="10">
        <v>42390</v>
      </c>
      <c r="H1652" s="8" t="s">
        <v>34</v>
      </c>
      <c r="I1652" s="11">
        <v>323389</v>
      </c>
      <c r="J1652" s="8" t="s">
        <v>1685</v>
      </c>
      <c r="K1652" s="8" t="s">
        <v>1686</v>
      </c>
      <c r="L1652" s="7">
        <v>2013</v>
      </c>
      <c r="M1652" s="8" t="s">
        <v>79</v>
      </c>
      <c r="N1652" s="11">
        <v>2257449</v>
      </c>
      <c r="O1652" s="8" t="s">
        <v>1690</v>
      </c>
      <c r="P1652" s="8" t="s">
        <v>1691</v>
      </c>
      <c r="Q1652" s="8"/>
      <c r="R1652" s="8"/>
    </row>
    <row r="1653" spans="1:18" ht="26.15" customHeight="1">
      <c r="A1653" s="7">
        <v>1647</v>
      </c>
      <c r="B1653" s="8" t="s">
        <v>4645</v>
      </c>
      <c r="C1653" s="8" t="s">
        <v>3127</v>
      </c>
      <c r="D1653" s="8"/>
      <c r="E1653" s="8" t="s">
        <v>3128</v>
      </c>
      <c r="F1653" s="9" t="s">
        <v>3117</v>
      </c>
      <c r="G1653" s="10">
        <v>42390</v>
      </c>
      <c r="H1653" s="8" t="s">
        <v>34</v>
      </c>
      <c r="I1653" s="11">
        <v>323389</v>
      </c>
      <c r="J1653" s="8" t="s">
        <v>1685</v>
      </c>
      <c r="K1653" s="8" t="s">
        <v>1686</v>
      </c>
      <c r="L1653" s="7">
        <v>2013</v>
      </c>
      <c r="M1653" s="8" t="s">
        <v>79</v>
      </c>
      <c r="N1653" s="11">
        <v>2257449</v>
      </c>
      <c r="O1653" s="8" t="s">
        <v>1690</v>
      </c>
      <c r="P1653" s="8" t="s">
        <v>1691</v>
      </c>
      <c r="Q1653" s="8"/>
      <c r="R1653" s="8"/>
    </row>
    <row r="1654" spans="1:18" ht="26.15" customHeight="1">
      <c r="A1654" s="7">
        <v>1648</v>
      </c>
      <c r="B1654" s="8" t="s">
        <v>4646</v>
      </c>
      <c r="C1654" s="8" t="s">
        <v>3127</v>
      </c>
      <c r="D1654" s="8"/>
      <c r="E1654" s="8" t="s">
        <v>3128</v>
      </c>
      <c r="F1654" s="9" t="s">
        <v>3117</v>
      </c>
      <c r="G1654" s="10">
        <v>42390</v>
      </c>
      <c r="H1654" s="8" t="s">
        <v>34</v>
      </c>
      <c r="I1654" s="11">
        <v>323389</v>
      </c>
      <c r="J1654" s="8" t="s">
        <v>1685</v>
      </c>
      <c r="K1654" s="8" t="s">
        <v>1686</v>
      </c>
      <c r="L1654" s="7">
        <v>2013</v>
      </c>
      <c r="M1654" s="8" t="s">
        <v>79</v>
      </c>
      <c r="N1654" s="11">
        <v>2257449</v>
      </c>
      <c r="O1654" s="8" t="s">
        <v>1690</v>
      </c>
      <c r="P1654" s="8" t="s">
        <v>1691</v>
      </c>
      <c r="Q1654" s="8"/>
      <c r="R1654" s="8"/>
    </row>
    <row r="1655" spans="1:18" ht="26.15" customHeight="1">
      <c r="A1655" s="7">
        <v>1649</v>
      </c>
      <c r="B1655" s="8" t="s">
        <v>3911</v>
      </c>
      <c r="C1655" s="8" t="s">
        <v>3127</v>
      </c>
      <c r="D1655" s="8"/>
      <c r="E1655" s="8" t="s">
        <v>3128</v>
      </c>
      <c r="F1655" s="9" t="s">
        <v>3117</v>
      </c>
      <c r="G1655" s="10">
        <v>42390</v>
      </c>
      <c r="H1655" s="8" t="s">
        <v>34</v>
      </c>
      <c r="I1655" s="11">
        <v>323389</v>
      </c>
      <c r="J1655" s="8" t="s">
        <v>1685</v>
      </c>
      <c r="K1655" s="8" t="s">
        <v>1686</v>
      </c>
      <c r="L1655" s="7">
        <v>2013</v>
      </c>
      <c r="M1655" s="8" t="s">
        <v>79</v>
      </c>
      <c r="N1655" s="11">
        <v>2257449</v>
      </c>
      <c r="O1655" s="8" t="s">
        <v>1690</v>
      </c>
      <c r="P1655" s="8" t="s">
        <v>1691</v>
      </c>
      <c r="Q1655" s="8"/>
      <c r="R1655" s="8"/>
    </row>
    <row r="1656" spans="1:18" ht="26.15" customHeight="1">
      <c r="A1656" s="7">
        <v>1650</v>
      </c>
      <c r="B1656" s="8" t="s">
        <v>4506</v>
      </c>
      <c r="C1656" s="8" t="s">
        <v>3127</v>
      </c>
      <c r="D1656" s="8"/>
      <c r="E1656" s="8" t="s">
        <v>3128</v>
      </c>
      <c r="F1656" s="9" t="s">
        <v>3117</v>
      </c>
      <c r="G1656" s="10">
        <v>42390</v>
      </c>
      <c r="H1656" s="8" t="s">
        <v>34</v>
      </c>
      <c r="I1656" s="11">
        <v>323389</v>
      </c>
      <c r="J1656" s="8" t="s">
        <v>1685</v>
      </c>
      <c r="K1656" s="8" t="s">
        <v>1686</v>
      </c>
      <c r="L1656" s="7">
        <v>2013</v>
      </c>
      <c r="M1656" s="8" t="s">
        <v>79</v>
      </c>
      <c r="N1656" s="11">
        <v>2257449</v>
      </c>
      <c r="O1656" s="8" t="s">
        <v>1690</v>
      </c>
      <c r="P1656" s="8" t="s">
        <v>1691</v>
      </c>
      <c r="Q1656" s="8"/>
      <c r="R1656" s="8"/>
    </row>
    <row r="1657" spans="1:18" ht="26.15" customHeight="1">
      <c r="A1657" s="7">
        <v>1651</v>
      </c>
      <c r="B1657" s="8" t="s">
        <v>4495</v>
      </c>
      <c r="C1657" s="8" t="s">
        <v>3127</v>
      </c>
      <c r="D1657" s="8"/>
      <c r="E1657" s="8" t="s">
        <v>3128</v>
      </c>
      <c r="F1657" s="9" t="s">
        <v>3117</v>
      </c>
      <c r="G1657" s="10">
        <v>42390</v>
      </c>
      <c r="H1657" s="8" t="s">
        <v>34</v>
      </c>
      <c r="I1657" s="11">
        <v>323389</v>
      </c>
      <c r="J1657" s="8" t="s">
        <v>1685</v>
      </c>
      <c r="K1657" s="8" t="s">
        <v>1686</v>
      </c>
      <c r="L1657" s="7">
        <v>2013</v>
      </c>
      <c r="M1657" s="8" t="s">
        <v>79</v>
      </c>
      <c r="N1657" s="11">
        <v>2257449</v>
      </c>
      <c r="O1657" s="8" t="s">
        <v>1690</v>
      </c>
      <c r="P1657" s="8" t="s">
        <v>1691</v>
      </c>
      <c r="Q1657" s="8"/>
      <c r="R1657" s="8"/>
    </row>
    <row r="1658" spans="1:18" ht="26.15" customHeight="1">
      <c r="A1658" s="7">
        <v>1652</v>
      </c>
      <c r="B1658" s="8" t="s">
        <v>4647</v>
      </c>
      <c r="C1658" s="8" t="s">
        <v>3127</v>
      </c>
      <c r="D1658" s="8"/>
      <c r="E1658" s="8" t="s">
        <v>3128</v>
      </c>
      <c r="F1658" s="9" t="s">
        <v>3123</v>
      </c>
      <c r="G1658" s="10">
        <v>42390</v>
      </c>
      <c r="H1658" s="8" t="s">
        <v>34</v>
      </c>
      <c r="I1658" s="11">
        <v>323389</v>
      </c>
      <c r="J1658" s="8" t="s">
        <v>1685</v>
      </c>
      <c r="K1658" s="8" t="s">
        <v>1686</v>
      </c>
      <c r="L1658" s="7">
        <v>2013</v>
      </c>
      <c r="M1658" s="8" t="s">
        <v>79</v>
      </c>
      <c r="N1658" s="11">
        <v>2257449</v>
      </c>
      <c r="O1658" s="8" t="s">
        <v>1690</v>
      </c>
      <c r="P1658" s="8" t="s">
        <v>1691</v>
      </c>
      <c r="Q1658" s="8"/>
      <c r="R1658" s="8"/>
    </row>
    <row r="1659" spans="1:18" ht="26.15" customHeight="1">
      <c r="A1659" s="7">
        <v>1653</v>
      </c>
      <c r="B1659" s="8" t="s">
        <v>4648</v>
      </c>
      <c r="C1659" s="8" t="s">
        <v>3127</v>
      </c>
      <c r="D1659" s="8"/>
      <c r="E1659" s="8" t="s">
        <v>3128</v>
      </c>
      <c r="F1659" s="9" t="s">
        <v>3123</v>
      </c>
      <c r="G1659" s="10">
        <v>42390</v>
      </c>
      <c r="H1659" s="8" t="s">
        <v>34</v>
      </c>
      <c r="I1659" s="11">
        <v>323389</v>
      </c>
      <c r="J1659" s="8" t="s">
        <v>1685</v>
      </c>
      <c r="K1659" s="8" t="s">
        <v>1686</v>
      </c>
      <c r="L1659" s="7">
        <v>2013</v>
      </c>
      <c r="M1659" s="8" t="s">
        <v>79</v>
      </c>
      <c r="N1659" s="11">
        <v>2257449</v>
      </c>
      <c r="O1659" s="8" t="s">
        <v>1690</v>
      </c>
      <c r="P1659" s="8" t="s">
        <v>1691</v>
      </c>
      <c r="Q1659" s="8"/>
      <c r="R1659" s="8"/>
    </row>
    <row r="1660" spans="1:18" ht="26.15" customHeight="1">
      <c r="A1660" s="7">
        <v>1654</v>
      </c>
      <c r="B1660" s="8" t="s">
        <v>4649</v>
      </c>
      <c r="C1660" s="8" t="s">
        <v>3127</v>
      </c>
      <c r="D1660" s="8"/>
      <c r="E1660" s="8" t="s">
        <v>3128</v>
      </c>
      <c r="F1660" s="9" t="s">
        <v>3123</v>
      </c>
      <c r="G1660" s="10">
        <v>42390</v>
      </c>
      <c r="H1660" s="8" t="s">
        <v>34</v>
      </c>
      <c r="I1660" s="11">
        <v>323389</v>
      </c>
      <c r="J1660" s="8" t="s">
        <v>1685</v>
      </c>
      <c r="K1660" s="8" t="s">
        <v>1686</v>
      </c>
      <c r="L1660" s="7">
        <v>2013</v>
      </c>
      <c r="M1660" s="8" t="s">
        <v>79</v>
      </c>
      <c r="N1660" s="11">
        <v>2257449</v>
      </c>
      <c r="O1660" s="8" t="s">
        <v>1690</v>
      </c>
      <c r="P1660" s="8" t="s">
        <v>1691</v>
      </c>
      <c r="Q1660" s="8"/>
      <c r="R1660" s="8"/>
    </row>
    <row r="1661" spans="1:18" ht="26.15" customHeight="1">
      <c r="A1661" s="7">
        <v>1655</v>
      </c>
      <c r="B1661" s="8" t="s">
        <v>4650</v>
      </c>
      <c r="C1661" s="8" t="s">
        <v>3127</v>
      </c>
      <c r="D1661" s="8"/>
      <c r="E1661" s="8" t="s">
        <v>3128</v>
      </c>
      <c r="F1661" s="9" t="s">
        <v>3123</v>
      </c>
      <c r="G1661" s="10">
        <v>42390</v>
      </c>
      <c r="H1661" s="8" t="s">
        <v>34</v>
      </c>
      <c r="I1661" s="11">
        <v>323389</v>
      </c>
      <c r="J1661" s="8" t="s">
        <v>1685</v>
      </c>
      <c r="K1661" s="8" t="s">
        <v>1686</v>
      </c>
      <c r="L1661" s="7">
        <v>2013</v>
      </c>
      <c r="M1661" s="8" t="s">
        <v>79</v>
      </c>
      <c r="N1661" s="11">
        <v>2257449</v>
      </c>
      <c r="O1661" s="8" t="s">
        <v>1690</v>
      </c>
      <c r="P1661" s="8" t="s">
        <v>1691</v>
      </c>
      <c r="Q1661" s="8"/>
      <c r="R1661" s="8"/>
    </row>
    <row r="1662" spans="1:18" ht="26.15" customHeight="1">
      <c r="A1662" s="7">
        <v>1656</v>
      </c>
      <c r="B1662" s="8" t="s">
        <v>4651</v>
      </c>
      <c r="C1662" s="8" t="s">
        <v>3127</v>
      </c>
      <c r="D1662" s="8"/>
      <c r="E1662" s="8" t="s">
        <v>3128</v>
      </c>
      <c r="F1662" s="9" t="s">
        <v>3123</v>
      </c>
      <c r="G1662" s="10">
        <v>42390</v>
      </c>
      <c r="H1662" s="8" t="s">
        <v>34</v>
      </c>
      <c r="I1662" s="11">
        <v>323389</v>
      </c>
      <c r="J1662" s="8" t="s">
        <v>1685</v>
      </c>
      <c r="K1662" s="8" t="s">
        <v>1686</v>
      </c>
      <c r="L1662" s="7">
        <v>2013</v>
      </c>
      <c r="M1662" s="8" t="s">
        <v>79</v>
      </c>
      <c r="N1662" s="11">
        <v>2257449</v>
      </c>
      <c r="O1662" s="8" t="s">
        <v>1690</v>
      </c>
      <c r="P1662" s="8" t="s">
        <v>1691</v>
      </c>
      <c r="Q1662" s="8"/>
      <c r="R1662" s="8"/>
    </row>
    <row r="1663" spans="1:18" ht="26.15" customHeight="1">
      <c r="A1663" s="7">
        <v>1657</v>
      </c>
      <c r="B1663" s="8" t="s">
        <v>4652</v>
      </c>
      <c r="C1663" s="8" t="s">
        <v>3127</v>
      </c>
      <c r="D1663" s="8"/>
      <c r="E1663" s="8" t="s">
        <v>3128</v>
      </c>
      <c r="F1663" s="9" t="s">
        <v>3123</v>
      </c>
      <c r="G1663" s="10">
        <v>42390</v>
      </c>
      <c r="H1663" s="8" t="s">
        <v>34</v>
      </c>
      <c r="I1663" s="11">
        <v>323389</v>
      </c>
      <c r="J1663" s="8" t="s">
        <v>1685</v>
      </c>
      <c r="K1663" s="8" t="s">
        <v>1686</v>
      </c>
      <c r="L1663" s="7">
        <v>2013</v>
      </c>
      <c r="M1663" s="8" t="s">
        <v>79</v>
      </c>
      <c r="N1663" s="11">
        <v>2257449</v>
      </c>
      <c r="O1663" s="8" t="s">
        <v>1690</v>
      </c>
      <c r="P1663" s="8" t="s">
        <v>1691</v>
      </c>
      <c r="Q1663" s="8"/>
      <c r="R1663" s="8"/>
    </row>
    <row r="1664" spans="1:18" ht="26.15" customHeight="1">
      <c r="A1664" s="7">
        <v>1658</v>
      </c>
      <c r="B1664" s="8" t="s">
        <v>4653</v>
      </c>
      <c r="C1664" s="8" t="s">
        <v>3127</v>
      </c>
      <c r="D1664" s="8"/>
      <c r="E1664" s="8" t="s">
        <v>3128</v>
      </c>
      <c r="F1664" s="9" t="s">
        <v>3123</v>
      </c>
      <c r="G1664" s="10">
        <v>42390</v>
      </c>
      <c r="H1664" s="8" t="s">
        <v>34</v>
      </c>
      <c r="I1664" s="11">
        <v>323389</v>
      </c>
      <c r="J1664" s="8" t="s">
        <v>1685</v>
      </c>
      <c r="K1664" s="8" t="s">
        <v>1686</v>
      </c>
      <c r="L1664" s="7">
        <v>2013</v>
      </c>
      <c r="M1664" s="8" t="s">
        <v>79</v>
      </c>
      <c r="N1664" s="11">
        <v>2257449</v>
      </c>
      <c r="O1664" s="8" t="s">
        <v>1690</v>
      </c>
      <c r="P1664" s="8" t="s">
        <v>1691</v>
      </c>
      <c r="Q1664" s="8"/>
      <c r="R1664" s="8"/>
    </row>
    <row r="1665" spans="1:18" ht="26.15" customHeight="1">
      <c r="A1665" s="7">
        <v>1659</v>
      </c>
      <c r="B1665" s="8" t="s">
        <v>2949</v>
      </c>
      <c r="C1665" s="8" t="s">
        <v>3127</v>
      </c>
      <c r="D1665" s="8"/>
      <c r="E1665" s="8" t="s">
        <v>3128</v>
      </c>
      <c r="F1665" s="9" t="s">
        <v>3123</v>
      </c>
      <c r="G1665" s="10">
        <v>42390</v>
      </c>
      <c r="H1665" s="8" t="s">
        <v>34</v>
      </c>
      <c r="I1665" s="11">
        <v>323389</v>
      </c>
      <c r="J1665" s="8" t="s">
        <v>1685</v>
      </c>
      <c r="K1665" s="8" t="s">
        <v>1686</v>
      </c>
      <c r="L1665" s="7">
        <v>2013</v>
      </c>
      <c r="M1665" s="8" t="s">
        <v>79</v>
      </c>
      <c r="N1665" s="11">
        <v>2257449</v>
      </c>
      <c r="O1665" s="8" t="s">
        <v>1690</v>
      </c>
      <c r="P1665" s="8" t="s">
        <v>1691</v>
      </c>
      <c r="Q1665" s="8"/>
      <c r="R1665" s="8"/>
    </row>
    <row r="1666" spans="1:18" ht="26.15" customHeight="1">
      <c r="A1666" s="7">
        <v>1660</v>
      </c>
      <c r="B1666" s="8" t="s">
        <v>4654</v>
      </c>
      <c r="C1666" s="8" t="s">
        <v>3127</v>
      </c>
      <c r="D1666" s="8"/>
      <c r="E1666" s="8" t="s">
        <v>3128</v>
      </c>
      <c r="F1666" s="9" t="s">
        <v>3123</v>
      </c>
      <c r="G1666" s="10">
        <v>42390</v>
      </c>
      <c r="H1666" s="8" t="s">
        <v>34</v>
      </c>
      <c r="I1666" s="11">
        <v>323389</v>
      </c>
      <c r="J1666" s="8" t="s">
        <v>1685</v>
      </c>
      <c r="K1666" s="8" t="s">
        <v>1686</v>
      </c>
      <c r="L1666" s="7">
        <v>2013</v>
      </c>
      <c r="M1666" s="8" t="s">
        <v>79</v>
      </c>
      <c r="N1666" s="11">
        <v>2257449</v>
      </c>
      <c r="O1666" s="8" t="s">
        <v>1690</v>
      </c>
      <c r="P1666" s="8" t="s">
        <v>1691</v>
      </c>
      <c r="Q1666" s="8"/>
      <c r="R1666" s="8"/>
    </row>
    <row r="1667" spans="1:18" ht="26.15" customHeight="1">
      <c r="A1667" s="7">
        <v>1661</v>
      </c>
      <c r="B1667" s="8" t="s">
        <v>4504</v>
      </c>
      <c r="C1667" s="8" t="s">
        <v>3127</v>
      </c>
      <c r="D1667" s="8"/>
      <c r="E1667" s="8" t="s">
        <v>3128</v>
      </c>
      <c r="F1667" s="9" t="s">
        <v>3123</v>
      </c>
      <c r="G1667" s="10">
        <v>42390</v>
      </c>
      <c r="H1667" s="8" t="s">
        <v>34</v>
      </c>
      <c r="I1667" s="11">
        <v>323389</v>
      </c>
      <c r="J1667" s="8" t="s">
        <v>1685</v>
      </c>
      <c r="K1667" s="8" t="s">
        <v>1686</v>
      </c>
      <c r="L1667" s="7">
        <v>2013</v>
      </c>
      <c r="M1667" s="8" t="s">
        <v>79</v>
      </c>
      <c r="N1667" s="11">
        <v>2257449</v>
      </c>
      <c r="O1667" s="8" t="s">
        <v>1690</v>
      </c>
      <c r="P1667" s="8" t="s">
        <v>1691</v>
      </c>
      <c r="Q1667" s="8"/>
      <c r="R1667" s="8"/>
    </row>
    <row r="1668" spans="1:18" ht="26.15" customHeight="1">
      <c r="A1668" s="7">
        <v>1662</v>
      </c>
      <c r="B1668" s="8" t="s">
        <v>4655</v>
      </c>
      <c r="C1668" s="8" t="s">
        <v>3127</v>
      </c>
      <c r="D1668" s="8"/>
      <c r="E1668" s="8" t="s">
        <v>3128</v>
      </c>
      <c r="F1668" s="9" t="s">
        <v>3123</v>
      </c>
      <c r="G1668" s="10">
        <v>42390</v>
      </c>
      <c r="H1668" s="8" t="s">
        <v>34</v>
      </c>
      <c r="I1668" s="11">
        <v>323389</v>
      </c>
      <c r="J1668" s="8" t="s">
        <v>1685</v>
      </c>
      <c r="K1668" s="8" t="s">
        <v>1686</v>
      </c>
      <c r="L1668" s="7">
        <v>2013</v>
      </c>
      <c r="M1668" s="8" t="s">
        <v>79</v>
      </c>
      <c r="N1668" s="11">
        <v>2257449</v>
      </c>
      <c r="O1668" s="8" t="s">
        <v>1690</v>
      </c>
      <c r="P1668" s="8" t="s">
        <v>1691</v>
      </c>
      <c r="Q1668" s="8"/>
      <c r="R1668" s="8"/>
    </row>
    <row r="1669" spans="1:18" ht="26.15" customHeight="1">
      <c r="A1669" s="7">
        <v>1663</v>
      </c>
      <c r="B1669" s="8" t="s">
        <v>4086</v>
      </c>
      <c r="C1669" s="8" t="s">
        <v>3114</v>
      </c>
      <c r="D1669" s="8" t="s">
        <v>4087</v>
      </c>
      <c r="E1669" s="8" t="s">
        <v>3116</v>
      </c>
      <c r="F1669" s="9" t="s">
        <v>3123</v>
      </c>
      <c r="G1669" s="10">
        <v>42387</v>
      </c>
      <c r="H1669" s="8" t="s">
        <v>109</v>
      </c>
      <c r="I1669" s="11" t="s">
        <v>50</v>
      </c>
      <c r="J1669" s="8" t="s">
        <v>1544</v>
      </c>
      <c r="K1669" s="8" t="s">
        <v>1545</v>
      </c>
      <c r="L1669" s="7">
        <v>2015</v>
      </c>
      <c r="M1669" s="8" t="s">
        <v>1528</v>
      </c>
      <c r="N1669" s="11">
        <v>62610600</v>
      </c>
      <c r="O1669" s="8" t="s">
        <v>1547</v>
      </c>
      <c r="P1669" s="8" t="s">
        <v>1416</v>
      </c>
      <c r="Q1669" s="8"/>
      <c r="R1669" s="8" t="s">
        <v>1528</v>
      </c>
    </row>
    <row r="1670" spans="1:18" ht="26.15" customHeight="1">
      <c r="A1670" s="7">
        <v>1664</v>
      </c>
      <c r="B1670" s="8" t="s">
        <v>2531</v>
      </c>
      <c r="C1670" s="8" t="s">
        <v>3114</v>
      </c>
      <c r="D1670" s="8" t="s">
        <v>3635</v>
      </c>
      <c r="E1670" s="8" t="s">
        <v>3116</v>
      </c>
      <c r="F1670" s="9" t="s">
        <v>3117</v>
      </c>
      <c r="G1670" s="10">
        <v>42370</v>
      </c>
      <c r="H1670" s="8" t="s">
        <v>109</v>
      </c>
      <c r="I1670" s="11" t="s">
        <v>50</v>
      </c>
      <c r="J1670" s="8" t="s">
        <v>1120</v>
      </c>
      <c r="K1670" s="8" t="s">
        <v>1121</v>
      </c>
      <c r="L1670" s="7">
        <v>2014</v>
      </c>
      <c r="M1670" s="8" t="s">
        <v>894</v>
      </c>
      <c r="N1670" s="11">
        <v>73326732</v>
      </c>
      <c r="O1670" s="8" t="s">
        <v>1124</v>
      </c>
      <c r="P1670" s="8" t="s">
        <v>1125</v>
      </c>
      <c r="Q1670" s="8"/>
      <c r="R1670" s="8" t="s">
        <v>1141</v>
      </c>
    </row>
    <row r="1671" spans="1:18" ht="26.15" customHeight="1">
      <c r="A1671" s="7">
        <v>1665</v>
      </c>
      <c r="B1671" s="8" t="s">
        <v>2537</v>
      </c>
      <c r="C1671" s="8" t="s">
        <v>3114</v>
      </c>
      <c r="D1671" s="8" t="s">
        <v>3874</v>
      </c>
      <c r="E1671" s="8" t="s">
        <v>3116</v>
      </c>
      <c r="F1671" s="9" t="s">
        <v>3117</v>
      </c>
      <c r="G1671" s="10">
        <v>42370</v>
      </c>
      <c r="H1671" s="8" t="s">
        <v>34</v>
      </c>
      <c r="I1671" s="11">
        <v>125000</v>
      </c>
      <c r="J1671" s="8" t="s">
        <v>2363</v>
      </c>
      <c r="K1671" s="8" t="s">
        <v>2364</v>
      </c>
      <c r="L1671" s="7">
        <v>2014</v>
      </c>
      <c r="M1671" s="8" t="s">
        <v>960</v>
      </c>
      <c r="N1671" s="11">
        <v>125000</v>
      </c>
      <c r="O1671" s="8" t="s">
        <v>2367</v>
      </c>
      <c r="P1671" s="8" t="s">
        <v>2368</v>
      </c>
      <c r="Q1671" s="8"/>
      <c r="R1671" s="8" t="s">
        <v>3204</v>
      </c>
    </row>
    <row r="1672" spans="1:18" ht="26.15" customHeight="1">
      <c r="A1672" s="7">
        <v>1666</v>
      </c>
      <c r="B1672" s="8" t="s">
        <v>4656</v>
      </c>
      <c r="C1672" s="8" t="s">
        <v>3139</v>
      </c>
      <c r="D1672" s="8" t="s">
        <v>4657</v>
      </c>
      <c r="E1672" s="8" t="s">
        <v>3116</v>
      </c>
      <c r="F1672" s="9" t="s">
        <v>3123</v>
      </c>
      <c r="G1672" s="10">
        <v>42366</v>
      </c>
      <c r="H1672" s="8" t="s">
        <v>109</v>
      </c>
      <c r="I1672" s="11" t="s">
        <v>50</v>
      </c>
      <c r="J1672" s="8" t="s">
        <v>131</v>
      </c>
      <c r="K1672" s="8" t="s">
        <v>132</v>
      </c>
      <c r="L1672" s="7">
        <v>1999</v>
      </c>
      <c r="M1672" s="8" t="s">
        <v>135</v>
      </c>
      <c r="N1672" s="11">
        <v>37500000</v>
      </c>
      <c r="O1672" s="8" t="s">
        <v>136</v>
      </c>
      <c r="P1672" s="8" t="s">
        <v>137</v>
      </c>
      <c r="Q1672" s="8"/>
      <c r="R1672" s="8" t="s">
        <v>3156</v>
      </c>
    </row>
    <row r="1673" spans="1:18" ht="26.15" customHeight="1">
      <c r="A1673" s="7">
        <v>1667</v>
      </c>
      <c r="B1673" s="8" t="s">
        <v>2539</v>
      </c>
      <c r="C1673" s="8" t="s">
        <v>3114</v>
      </c>
      <c r="D1673" s="8" t="s">
        <v>3353</v>
      </c>
      <c r="E1673" s="8" t="s">
        <v>3116</v>
      </c>
      <c r="F1673" s="9" t="s">
        <v>3117</v>
      </c>
      <c r="G1673" s="10">
        <v>42366</v>
      </c>
      <c r="H1673" s="8" t="s">
        <v>109</v>
      </c>
      <c r="I1673" s="11" t="s">
        <v>50</v>
      </c>
      <c r="J1673" s="8" t="s">
        <v>131</v>
      </c>
      <c r="K1673" s="8" t="s">
        <v>132</v>
      </c>
      <c r="L1673" s="7">
        <v>1999</v>
      </c>
      <c r="M1673" s="8" t="s">
        <v>135</v>
      </c>
      <c r="N1673" s="11">
        <v>37500000</v>
      </c>
      <c r="O1673" s="8" t="s">
        <v>136</v>
      </c>
      <c r="P1673" s="8" t="s">
        <v>137</v>
      </c>
      <c r="Q1673" s="8"/>
      <c r="R1673" s="8" t="s">
        <v>3354</v>
      </c>
    </row>
    <row r="1674" spans="1:18" ht="26.15" customHeight="1">
      <c r="A1674" s="7">
        <v>1668</v>
      </c>
      <c r="B1674" s="8" t="s">
        <v>4658</v>
      </c>
      <c r="C1674" s="8" t="s">
        <v>3114</v>
      </c>
      <c r="D1674" s="8" t="s">
        <v>4659</v>
      </c>
      <c r="E1674" s="8" t="s">
        <v>3116</v>
      </c>
      <c r="F1674" s="9" t="s">
        <v>3123</v>
      </c>
      <c r="G1674" s="10">
        <v>42366</v>
      </c>
      <c r="H1674" s="8" t="s">
        <v>34</v>
      </c>
      <c r="I1674" s="11" t="s">
        <v>50</v>
      </c>
      <c r="J1674" s="8" t="s">
        <v>2540</v>
      </c>
      <c r="K1674" s="8" t="s">
        <v>2541</v>
      </c>
      <c r="L1674" s="7">
        <v>2015</v>
      </c>
      <c r="M1674" s="8" t="s">
        <v>1732</v>
      </c>
      <c r="N1674" s="11"/>
      <c r="O1674" s="8" t="s">
        <v>2543</v>
      </c>
      <c r="P1674" s="8" t="s">
        <v>2544</v>
      </c>
      <c r="Q1674" s="8"/>
      <c r="R1674" s="8" t="s">
        <v>278</v>
      </c>
    </row>
    <row r="1675" spans="1:18" ht="26.15" customHeight="1">
      <c r="A1675" s="7">
        <v>1669</v>
      </c>
      <c r="B1675" s="8" t="s">
        <v>4660</v>
      </c>
      <c r="C1675" s="8" t="s">
        <v>3114</v>
      </c>
      <c r="D1675" s="8" t="s">
        <v>4661</v>
      </c>
      <c r="E1675" s="8" t="s">
        <v>3116</v>
      </c>
      <c r="F1675" s="9" t="s">
        <v>3123</v>
      </c>
      <c r="G1675" s="10">
        <v>42361</v>
      </c>
      <c r="H1675" s="8" t="s">
        <v>184</v>
      </c>
      <c r="I1675" s="11">
        <v>15000</v>
      </c>
      <c r="J1675" s="8" t="s">
        <v>2419</v>
      </c>
      <c r="K1675" s="8" t="s">
        <v>2420</v>
      </c>
      <c r="L1675" s="7">
        <v>2014</v>
      </c>
      <c r="M1675" s="8" t="s">
        <v>1188</v>
      </c>
      <c r="N1675" s="11">
        <v>1000000</v>
      </c>
      <c r="O1675" s="8" t="s">
        <v>2422</v>
      </c>
      <c r="P1675" s="8" t="s">
        <v>2423</v>
      </c>
      <c r="Q1675" s="8"/>
      <c r="R1675" s="8" t="s">
        <v>1188</v>
      </c>
    </row>
    <row r="1676" spans="1:18" ht="26.15" customHeight="1">
      <c r="A1676" s="7">
        <v>1670</v>
      </c>
      <c r="B1676" s="8" t="s">
        <v>4662</v>
      </c>
      <c r="C1676" s="8" t="s">
        <v>3139</v>
      </c>
      <c r="D1676" s="8" t="s">
        <v>4663</v>
      </c>
      <c r="E1676" s="8" t="s">
        <v>3116</v>
      </c>
      <c r="F1676" s="9" t="s">
        <v>3123</v>
      </c>
      <c r="G1676" s="10">
        <v>42361</v>
      </c>
      <c r="H1676" s="8" t="s">
        <v>184</v>
      </c>
      <c r="I1676" s="11">
        <v>15000</v>
      </c>
      <c r="J1676" s="8" t="s">
        <v>2419</v>
      </c>
      <c r="K1676" s="8" t="s">
        <v>2420</v>
      </c>
      <c r="L1676" s="7">
        <v>2014</v>
      </c>
      <c r="M1676" s="8" t="s">
        <v>1188</v>
      </c>
      <c r="N1676" s="11">
        <v>1000000</v>
      </c>
      <c r="O1676" s="8" t="s">
        <v>2422</v>
      </c>
      <c r="P1676" s="8" t="s">
        <v>2423</v>
      </c>
      <c r="Q1676" s="8"/>
      <c r="R1676" s="8" t="s">
        <v>4664</v>
      </c>
    </row>
    <row r="1677" spans="1:18" ht="26.15" customHeight="1">
      <c r="A1677" s="7">
        <v>1671</v>
      </c>
      <c r="B1677" s="8" t="s">
        <v>4665</v>
      </c>
      <c r="C1677" s="8" t="s">
        <v>3139</v>
      </c>
      <c r="D1677" s="8" t="s">
        <v>4666</v>
      </c>
      <c r="E1677" s="8" t="s">
        <v>3116</v>
      </c>
      <c r="F1677" s="9" t="s">
        <v>3123</v>
      </c>
      <c r="G1677" s="10">
        <v>42361</v>
      </c>
      <c r="H1677" s="8" t="s">
        <v>184</v>
      </c>
      <c r="I1677" s="11">
        <v>15000</v>
      </c>
      <c r="J1677" s="8" t="s">
        <v>2419</v>
      </c>
      <c r="K1677" s="8" t="s">
        <v>2420</v>
      </c>
      <c r="L1677" s="7">
        <v>2014</v>
      </c>
      <c r="M1677" s="8" t="s">
        <v>1188</v>
      </c>
      <c r="N1677" s="11">
        <v>1000000</v>
      </c>
      <c r="O1677" s="8" t="s">
        <v>2422</v>
      </c>
      <c r="P1677" s="8" t="s">
        <v>2423</v>
      </c>
      <c r="Q1677" s="8"/>
      <c r="R1677" s="8" t="s">
        <v>3957</v>
      </c>
    </row>
    <row r="1678" spans="1:18" ht="26.15" customHeight="1">
      <c r="A1678" s="7">
        <v>1672</v>
      </c>
      <c r="B1678" s="8" t="s">
        <v>4667</v>
      </c>
      <c r="C1678" s="8" t="s">
        <v>3139</v>
      </c>
      <c r="D1678" s="8" t="s">
        <v>4668</v>
      </c>
      <c r="E1678" s="8" t="s">
        <v>3116</v>
      </c>
      <c r="F1678" s="9" t="s">
        <v>3123</v>
      </c>
      <c r="G1678" s="10">
        <v>42359</v>
      </c>
      <c r="H1678" s="8" t="s">
        <v>34</v>
      </c>
      <c r="I1678" s="11" t="s">
        <v>50</v>
      </c>
      <c r="J1678" s="8" t="s">
        <v>2546</v>
      </c>
      <c r="K1678" s="8" t="s">
        <v>2547</v>
      </c>
      <c r="L1678" s="7">
        <v>2014</v>
      </c>
      <c r="M1678" s="8" t="s">
        <v>278</v>
      </c>
      <c r="N1678" s="11"/>
      <c r="O1678" s="8" t="s">
        <v>2549</v>
      </c>
      <c r="P1678" s="8" t="s">
        <v>2550</v>
      </c>
      <c r="Q1678" s="8"/>
      <c r="R1678" s="8" t="s">
        <v>2057</v>
      </c>
    </row>
    <row r="1679" spans="1:18" ht="26.15" customHeight="1">
      <c r="A1679" s="7">
        <v>1673</v>
      </c>
      <c r="B1679" s="8" t="s">
        <v>3689</v>
      </c>
      <c r="C1679" s="8" t="s">
        <v>3114</v>
      </c>
      <c r="D1679" s="8" t="s">
        <v>3690</v>
      </c>
      <c r="E1679" s="8" t="s">
        <v>3116</v>
      </c>
      <c r="F1679" s="9" t="s">
        <v>3123</v>
      </c>
      <c r="G1679" s="10">
        <v>42356</v>
      </c>
      <c r="H1679" s="8" t="s">
        <v>184</v>
      </c>
      <c r="I1679" s="11">
        <v>33000</v>
      </c>
      <c r="J1679" s="8" t="s">
        <v>2551</v>
      </c>
      <c r="K1679" s="8" t="s">
        <v>2552</v>
      </c>
      <c r="L1679" s="7">
        <v>2015</v>
      </c>
      <c r="M1679" s="8" t="s">
        <v>299</v>
      </c>
      <c r="N1679" s="11"/>
      <c r="O1679" s="8" t="s">
        <v>2553</v>
      </c>
      <c r="P1679" s="8" t="s">
        <v>2554</v>
      </c>
      <c r="Q1679" s="8"/>
      <c r="R1679" s="8" t="s">
        <v>299</v>
      </c>
    </row>
    <row r="1680" spans="1:18" ht="26.15" customHeight="1">
      <c r="A1680" s="7">
        <v>1674</v>
      </c>
      <c r="B1680" s="8" t="s">
        <v>4669</v>
      </c>
      <c r="C1680" s="8" t="s">
        <v>3114</v>
      </c>
      <c r="D1680" s="8" t="s">
        <v>4670</v>
      </c>
      <c r="E1680" s="8" t="s">
        <v>3116</v>
      </c>
      <c r="F1680" s="9" t="s">
        <v>3123</v>
      </c>
      <c r="G1680" s="10">
        <v>42355</v>
      </c>
      <c r="H1680" s="8" t="s">
        <v>109</v>
      </c>
      <c r="I1680" s="11">
        <v>1200000</v>
      </c>
      <c r="J1680" s="8" t="s">
        <v>2347</v>
      </c>
      <c r="K1680" s="8" t="s">
        <v>2348</v>
      </c>
      <c r="L1680" s="7">
        <v>2010</v>
      </c>
      <c r="M1680" s="8" t="s">
        <v>1588</v>
      </c>
      <c r="N1680" s="11">
        <v>2500000</v>
      </c>
      <c r="O1680" s="8" t="s">
        <v>2350</v>
      </c>
      <c r="P1680" s="8" t="s">
        <v>2351</v>
      </c>
      <c r="Q1680" s="8"/>
      <c r="R1680" s="8" t="s">
        <v>3580</v>
      </c>
    </row>
    <row r="1681" spans="1:18" ht="26.15" customHeight="1">
      <c r="A1681" s="7">
        <v>1675</v>
      </c>
      <c r="B1681" s="8" t="s">
        <v>4671</v>
      </c>
      <c r="C1681" s="8" t="s">
        <v>3114</v>
      </c>
      <c r="D1681" s="8" t="s">
        <v>4672</v>
      </c>
      <c r="E1681" s="8" t="s">
        <v>3116</v>
      </c>
      <c r="F1681" s="9" t="s">
        <v>3123</v>
      </c>
      <c r="G1681" s="10">
        <v>42354</v>
      </c>
      <c r="H1681" s="8" t="s">
        <v>184</v>
      </c>
      <c r="I1681" s="11">
        <v>50000</v>
      </c>
      <c r="J1681" s="8" t="s">
        <v>856</v>
      </c>
      <c r="K1681" s="8" t="s">
        <v>857</v>
      </c>
      <c r="L1681" s="7">
        <v>2014</v>
      </c>
      <c r="M1681" s="8" t="s">
        <v>860</v>
      </c>
      <c r="N1681" s="11">
        <v>7000000</v>
      </c>
      <c r="O1681" s="8" t="s">
        <v>861</v>
      </c>
      <c r="P1681" s="8" t="s">
        <v>862</v>
      </c>
      <c r="Q1681" s="8"/>
      <c r="R1681" s="8" t="s">
        <v>3427</v>
      </c>
    </row>
    <row r="1682" spans="1:18" ht="26.15" customHeight="1">
      <c r="A1682" s="7">
        <v>1676</v>
      </c>
      <c r="B1682" s="8" t="s">
        <v>2558</v>
      </c>
      <c r="C1682" s="8" t="s">
        <v>3139</v>
      </c>
      <c r="D1682" s="8" t="s">
        <v>4673</v>
      </c>
      <c r="E1682" s="8" t="s">
        <v>3116</v>
      </c>
      <c r="F1682" s="9" t="s">
        <v>3117</v>
      </c>
      <c r="G1682" s="10">
        <v>42350</v>
      </c>
      <c r="H1682" s="8" t="s">
        <v>34</v>
      </c>
      <c r="I1682" s="11">
        <v>74692</v>
      </c>
      <c r="J1682" s="8" t="s">
        <v>2369</v>
      </c>
      <c r="K1682" s="8" t="s">
        <v>2370</v>
      </c>
      <c r="L1682" s="7">
        <v>2013</v>
      </c>
      <c r="M1682" s="8" t="s">
        <v>79</v>
      </c>
      <c r="N1682" s="11">
        <v>223330</v>
      </c>
      <c r="O1682" s="8" t="s">
        <v>2372</v>
      </c>
      <c r="P1682" s="8" t="s">
        <v>2373</v>
      </c>
      <c r="Q1682" s="8"/>
      <c r="R1682" s="8" t="s">
        <v>313</v>
      </c>
    </row>
    <row r="1683" spans="1:18" ht="26.15" customHeight="1">
      <c r="A1683" s="7">
        <v>1677</v>
      </c>
      <c r="B1683" s="8" t="s">
        <v>4674</v>
      </c>
      <c r="C1683" s="8" t="s">
        <v>3127</v>
      </c>
      <c r="D1683" s="8"/>
      <c r="E1683" s="8" t="s">
        <v>3128</v>
      </c>
      <c r="F1683" s="9" t="s">
        <v>3117</v>
      </c>
      <c r="G1683" s="10">
        <v>42346</v>
      </c>
      <c r="H1683" s="8" t="s">
        <v>124</v>
      </c>
      <c r="I1683" s="11">
        <v>449403</v>
      </c>
      <c r="J1683" s="8" t="s">
        <v>980</v>
      </c>
      <c r="K1683" s="8" t="s">
        <v>981</v>
      </c>
      <c r="L1683" s="7">
        <v>2012</v>
      </c>
      <c r="M1683" s="8" t="s">
        <v>181</v>
      </c>
      <c r="N1683" s="11">
        <v>987327</v>
      </c>
      <c r="O1683" s="8" t="s">
        <v>984</v>
      </c>
      <c r="P1683" s="8" t="s">
        <v>435</v>
      </c>
      <c r="Q1683" s="8"/>
      <c r="R1683" s="8"/>
    </row>
    <row r="1684" spans="1:18" ht="26.15" customHeight="1">
      <c r="A1684" s="7">
        <v>1678</v>
      </c>
      <c r="B1684" s="8" t="s">
        <v>4675</v>
      </c>
      <c r="C1684" s="8" t="s">
        <v>3127</v>
      </c>
      <c r="D1684" s="8"/>
      <c r="E1684" s="8" t="s">
        <v>3128</v>
      </c>
      <c r="F1684" s="9" t="s">
        <v>3117</v>
      </c>
      <c r="G1684" s="10">
        <v>42346</v>
      </c>
      <c r="H1684" s="8" t="s">
        <v>124</v>
      </c>
      <c r="I1684" s="11">
        <v>449403</v>
      </c>
      <c r="J1684" s="8" t="s">
        <v>980</v>
      </c>
      <c r="K1684" s="8" t="s">
        <v>981</v>
      </c>
      <c r="L1684" s="7">
        <v>2012</v>
      </c>
      <c r="M1684" s="8" t="s">
        <v>181</v>
      </c>
      <c r="N1684" s="11">
        <v>987327</v>
      </c>
      <c r="O1684" s="8" t="s">
        <v>984</v>
      </c>
      <c r="P1684" s="8" t="s">
        <v>435</v>
      </c>
      <c r="Q1684" s="8"/>
      <c r="R1684" s="8"/>
    </row>
    <row r="1685" spans="1:18" ht="26.15" customHeight="1">
      <c r="A1685" s="7">
        <v>1679</v>
      </c>
      <c r="B1685" s="8" t="s">
        <v>4676</v>
      </c>
      <c r="C1685" s="8" t="s">
        <v>3127</v>
      </c>
      <c r="D1685" s="8"/>
      <c r="E1685" s="8" t="s">
        <v>3128</v>
      </c>
      <c r="F1685" s="9" t="s">
        <v>3117</v>
      </c>
      <c r="G1685" s="10">
        <v>42346</v>
      </c>
      <c r="H1685" s="8" t="s">
        <v>124</v>
      </c>
      <c r="I1685" s="11">
        <v>449403</v>
      </c>
      <c r="J1685" s="8" t="s">
        <v>980</v>
      </c>
      <c r="K1685" s="8" t="s">
        <v>981</v>
      </c>
      <c r="L1685" s="7">
        <v>2012</v>
      </c>
      <c r="M1685" s="8" t="s">
        <v>181</v>
      </c>
      <c r="N1685" s="11">
        <v>987327</v>
      </c>
      <c r="O1685" s="8" t="s">
        <v>984</v>
      </c>
      <c r="P1685" s="8" t="s">
        <v>435</v>
      </c>
      <c r="Q1685" s="8"/>
      <c r="R1685" s="8"/>
    </row>
    <row r="1686" spans="1:18" ht="26.15" customHeight="1">
      <c r="A1686" s="7">
        <v>1680</v>
      </c>
      <c r="B1686" s="8" t="s">
        <v>3262</v>
      </c>
      <c r="C1686" s="8" t="s">
        <v>3114</v>
      </c>
      <c r="D1686" s="8" t="s">
        <v>3263</v>
      </c>
      <c r="E1686" s="8" t="s">
        <v>3116</v>
      </c>
      <c r="F1686" s="9" t="s">
        <v>3123</v>
      </c>
      <c r="G1686" s="10">
        <v>42342</v>
      </c>
      <c r="H1686" s="8" t="s">
        <v>109</v>
      </c>
      <c r="I1686" s="11" t="s">
        <v>50</v>
      </c>
      <c r="J1686" s="8" t="s">
        <v>251</v>
      </c>
      <c r="K1686" s="8" t="s">
        <v>252</v>
      </c>
      <c r="L1686" s="7">
        <v>2006</v>
      </c>
      <c r="M1686" s="8" t="s">
        <v>255</v>
      </c>
      <c r="N1686" s="11">
        <v>37911025</v>
      </c>
      <c r="O1686" s="8" t="s">
        <v>256</v>
      </c>
      <c r="P1686" s="8" t="s">
        <v>257</v>
      </c>
      <c r="Q1686" s="8"/>
      <c r="R1686" s="8" t="s">
        <v>39</v>
      </c>
    </row>
    <row r="1687" spans="1:18" ht="26.15" customHeight="1">
      <c r="A1687" s="7">
        <v>1681</v>
      </c>
      <c r="B1687" s="8" t="s">
        <v>3420</v>
      </c>
      <c r="C1687" s="8" t="s">
        <v>3114</v>
      </c>
      <c r="D1687" s="8" t="s">
        <v>3421</v>
      </c>
      <c r="E1687" s="8" t="s">
        <v>3116</v>
      </c>
      <c r="F1687" s="9" t="s">
        <v>3123</v>
      </c>
      <c r="G1687" s="10">
        <v>42339</v>
      </c>
      <c r="H1687" s="8" t="s">
        <v>184</v>
      </c>
      <c r="I1687" s="11">
        <v>1000000</v>
      </c>
      <c r="J1687" s="8" t="s">
        <v>2564</v>
      </c>
      <c r="K1687" s="8" t="s">
        <v>2565</v>
      </c>
      <c r="L1687" s="7">
        <v>2013</v>
      </c>
      <c r="M1687" s="8" t="s">
        <v>1578</v>
      </c>
      <c r="N1687" s="11"/>
      <c r="O1687" s="8" t="s">
        <v>2567</v>
      </c>
      <c r="P1687" s="8" t="s">
        <v>2568</v>
      </c>
      <c r="Q1687" s="8"/>
      <c r="R1687" s="8" t="s">
        <v>369</v>
      </c>
    </row>
    <row r="1688" spans="1:18" ht="26.15" customHeight="1">
      <c r="A1688" s="7">
        <v>1682</v>
      </c>
      <c r="B1688" s="8" t="s">
        <v>3733</v>
      </c>
      <c r="C1688" s="8" t="s">
        <v>3114</v>
      </c>
      <c r="D1688" s="8" t="s">
        <v>3734</v>
      </c>
      <c r="E1688" s="8" t="s">
        <v>3116</v>
      </c>
      <c r="F1688" s="9" t="s">
        <v>3123</v>
      </c>
      <c r="G1688" s="10">
        <v>42339</v>
      </c>
      <c r="H1688" s="8" t="s">
        <v>124</v>
      </c>
      <c r="I1688" s="11" t="s">
        <v>50</v>
      </c>
      <c r="J1688" s="8" t="s">
        <v>2569</v>
      </c>
      <c r="K1688" s="8" t="s">
        <v>2570</v>
      </c>
      <c r="L1688" s="7">
        <v>2012</v>
      </c>
      <c r="M1688" s="8" t="s">
        <v>278</v>
      </c>
      <c r="N1688" s="11"/>
      <c r="O1688" s="8" t="s">
        <v>2572</v>
      </c>
      <c r="P1688" s="8" t="s">
        <v>2573</v>
      </c>
      <c r="Q1688" s="8"/>
      <c r="R1688" s="8" t="s">
        <v>278</v>
      </c>
    </row>
    <row r="1689" spans="1:18" ht="26.15" customHeight="1">
      <c r="A1689" s="7">
        <v>1683</v>
      </c>
      <c r="B1689" s="8" t="s">
        <v>4677</v>
      </c>
      <c r="C1689" s="8" t="s">
        <v>3114</v>
      </c>
      <c r="D1689" s="8" t="s">
        <v>4678</v>
      </c>
      <c r="E1689" s="8" t="s">
        <v>3116</v>
      </c>
      <c r="F1689" s="9" t="s">
        <v>3123</v>
      </c>
      <c r="G1689" s="10">
        <v>42333</v>
      </c>
      <c r="H1689" s="8" t="s">
        <v>109</v>
      </c>
      <c r="I1689" s="11" t="s">
        <v>50</v>
      </c>
      <c r="J1689" s="8" t="s">
        <v>2578</v>
      </c>
      <c r="K1689" s="8" t="s">
        <v>2579</v>
      </c>
      <c r="L1689" s="7">
        <v>2014</v>
      </c>
      <c r="M1689" s="8" t="s">
        <v>278</v>
      </c>
      <c r="N1689" s="11"/>
      <c r="O1689" s="8" t="s">
        <v>2581</v>
      </c>
      <c r="P1689" s="8" t="s">
        <v>2582</v>
      </c>
      <c r="Q1689" s="8"/>
      <c r="R1689" s="8" t="s">
        <v>1732</v>
      </c>
    </row>
    <row r="1690" spans="1:18" ht="26.15" customHeight="1">
      <c r="A1690" s="7">
        <v>1684</v>
      </c>
      <c r="B1690" s="8" t="s">
        <v>4679</v>
      </c>
      <c r="C1690" s="8" t="s">
        <v>3114</v>
      </c>
      <c r="D1690" s="8" t="s">
        <v>4680</v>
      </c>
      <c r="E1690" s="8" t="s">
        <v>3116</v>
      </c>
      <c r="F1690" s="9" t="s">
        <v>3123</v>
      </c>
      <c r="G1690" s="10">
        <v>42328</v>
      </c>
      <c r="H1690" s="8" t="s">
        <v>34</v>
      </c>
      <c r="I1690" s="11" t="s">
        <v>50</v>
      </c>
      <c r="J1690" s="8" t="s">
        <v>2583</v>
      </c>
      <c r="K1690" s="8" t="s">
        <v>2584</v>
      </c>
      <c r="L1690" s="7">
        <v>2015</v>
      </c>
      <c r="M1690" s="8" t="s">
        <v>2338</v>
      </c>
      <c r="N1690" s="11"/>
      <c r="O1690" s="8" t="s">
        <v>2586</v>
      </c>
      <c r="P1690" s="8" t="s">
        <v>2587</v>
      </c>
      <c r="Q1690" s="8"/>
      <c r="R1690" s="8" t="s">
        <v>2700</v>
      </c>
    </row>
    <row r="1691" spans="1:18" ht="26.15" customHeight="1">
      <c r="A1691" s="7">
        <v>1685</v>
      </c>
      <c r="B1691" s="8" t="s">
        <v>156</v>
      </c>
      <c r="C1691" s="8" t="s">
        <v>3139</v>
      </c>
      <c r="D1691" s="8" t="s">
        <v>3170</v>
      </c>
      <c r="E1691" s="8" t="s">
        <v>3116</v>
      </c>
      <c r="F1691" s="9" t="s">
        <v>3123</v>
      </c>
      <c r="G1691" s="10">
        <v>42325</v>
      </c>
      <c r="H1691" s="8" t="s">
        <v>184</v>
      </c>
      <c r="I1691" s="11" t="s">
        <v>50</v>
      </c>
      <c r="J1691" s="8" t="s">
        <v>2591</v>
      </c>
      <c r="K1691" s="8" t="s">
        <v>2592</v>
      </c>
      <c r="L1691" s="7">
        <v>2004</v>
      </c>
      <c r="M1691" s="8" t="s">
        <v>2593</v>
      </c>
      <c r="N1691" s="11"/>
      <c r="O1691" s="8" t="s">
        <v>2594</v>
      </c>
      <c r="P1691" s="8" t="s">
        <v>2595</v>
      </c>
      <c r="Q1691" s="8"/>
      <c r="R1691" s="8"/>
    </row>
    <row r="1692" spans="1:18" ht="26.15" customHeight="1">
      <c r="A1692" s="7">
        <v>1686</v>
      </c>
      <c r="B1692" s="8" t="s">
        <v>2223</v>
      </c>
      <c r="C1692" s="8"/>
      <c r="D1692" s="8" t="s">
        <v>4428</v>
      </c>
      <c r="E1692" s="8" t="s">
        <v>3116</v>
      </c>
      <c r="F1692" s="9" t="s">
        <v>3117</v>
      </c>
      <c r="G1692" s="10">
        <v>42325</v>
      </c>
      <c r="H1692" s="8" t="s">
        <v>34</v>
      </c>
      <c r="I1692" s="11">
        <v>2269340</v>
      </c>
      <c r="J1692" s="8" t="s">
        <v>1763</v>
      </c>
      <c r="K1692" s="8" t="s">
        <v>1764</v>
      </c>
      <c r="L1692" s="7">
        <v>2006</v>
      </c>
      <c r="M1692" s="8" t="s">
        <v>47</v>
      </c>
      <c r="N1692" s="11">
        <v>9099055</v>
      </c>
      <c r="O1692" s="8" t="s">
        <v>1767</v>
      </c>
      <c r="P1692" s="8" t="s">
        <v>1768</v>
      </c>
      <c r="Q1692" s="8"/>
      <c r="R1692" s="8" t="s">
        <v>313</v>
      </c>
    </row>
    <row r="1693" spans="1:18" ht="26.15" customHeight="1">
      <c r="A1693" s="7">
        <v>1687</v>
      </c>
      <c r="B1693" s="8" t="s">
        <v>2596</v>
      </c>
      <c r="C1693" s="8" t="s">
        <v>3127</v>
      </c>
      <c r="D1693" s="8"/>
      <c r="E1693" s="8" t="s">
        <v>3128</v>
      </c>
      <c r="F1693" s="9" t="s">
        <v>3123</v>
      </c>
      <c r="G1693" s="10">
        <v>42325</v>
      </c>
      <c r="H1693" s="8" t="s">
        <v>34</v>
      </c>
      <c r="I1693" s="11">
        <v>2269340</v>
      </c>
      <c r="J1693" s="8" t="s">
        <v>1763</v>
      </c>
      <c r="K1693" s="8" t="s">
        <v>1764</v>
      </c>
      <c r="L1693" s="7">
        <v>2006</v>
      </c>
      <c r="M1693" s="8" t="s">
        <v>47</v>
      </c>
      <c r="N1693" s="11">
        <v>9099055</v>
      </c>
      <c r="O1693" s="8" t="s">
        <v>1767</v>
      </c>
      <c r="P1693" s="8" t="s">
        <v>1768</v>
      </c>
      <c r="Q1693" s="8"/>
      <c r="R1693" s="8"/>
    </row>
    <row r="1694" spans="1:18" ht="26.15" customHeight="1">
      <c r="A1694" s="7">
        <v>1688</v>
      </c>
      <c r="B1694" s="8" t="s">
        <v>247</v>
      </c>
      <c r="C1694" s="8" t="s">
        <v>3114</v>
      </c>
      <c r="D1694" s="8" t="s">
        <v>3254</v>
      </c>
      <c r="E1694" s="8" t="s">
        <v>3116</v>
      </c>
      <c r="F1694" s="9" t="s">
        <v>3123</v>
      </c>
      <c r="G1694" s="10">
        <v>42302</v>
      </c>
      <c r="H1694" s="8" t="s">
        <v>34</v>
      </c>
      <c r="I1694" s="11">
        <v>10000000</v>
      </c>
      <c r="J1694" s="8" t="s">
        <v>2601</v>
      </c>
      <c r="K1694" s="8" t="s">
        <v>2602</v>
      </c>
      <c r="L1694" s="7">
        <v>2004</v>
      </c>
      <c r="M1694" s="8" t="s">
        <v>638</v>
      </c>
      <c r="N1694" s="11">
        <v>10300000</v>
      </c>
      <c r="O1694" s="8" t="s">
        <v>2603</v>
      </c>
      <c r="P1694" s="8" t="s">
        <v>435</v>
      </c>
      <c r="Q1694" s="8"/>
      <c r="R1694" s="8" t="s">
        <v>3255</v>
      </c>
    </row>
    <row r="1695" spans="1:18" ht="26.15" customHeight="1">
      <c r="A1695" s="7">
        <v>1689</v>
      </c>
      <c r="B1695" s="8" t="s">
        <v>644</v>
      </c>
      <c r="C1695" s="8" t="s">
        <v>3114</v>
      </c>
      <c r="D1695" s="8" t="s">
        <v>3162</v>
      </c>
      <c r="E1695" s="8" t="s">
        <v>3116</v>
      </c>
      <c r="F1695" s="9" t="s">
        <v>3117</v>
      </c>
      <c r="G1695" s="10">
        <v>42297</v>
      </c>
      <c r="H1695" s="8" t="s">
        <v>109</v>
      </c>
      <c r="I1695" s="11">
        <v>539574</v>
      </c>
      <c r="J1695" s="8" t="s">
        <v>1705</v>
      </c>
      <c r="K1695" s="8" t="s">
        <v>1706</v>
      </c>
      <c r="L1695" s="7">
        <v>2012</v>
      </c>
      <c r="M1695" s="8" t="s">
        <v>1709</v>
      </c>
      <c r="N1695" s="11">
        <v>6780764</v>
      </c>
      <c r="O1695" s="8" t="s">
        <v>1710</v>
      </c>
      <c r="P1695" s="8" t="s">
        <v>1711</v>
      </c>
      <c r="Q1695" s="8"/>
      <c r="R1695" s="8" t="s">
        <v>313</v>
      </c>
    </row>
    <row r="1696" spans="1:18" ht="26.15" customHeight="1">
      <c r="A1696" s="7">
        <v>1690</v>
      </c>
      <c r="B1696" s="8" t="s">
        <v>4681</v>
      </c>
      <c r="C1696" s="8" t="s">
        <v>3139</v>
      </c>
      <c r="D1696" s="8" t="s">
        <v>4682</v>
      </c>
      <c r="E1696" s="8" t="s">
        <v>3116</v>
      </c>
      <c r="F1696" s="9" t="s">
        <v>3123</v>
      </c>
      <c r="G1696" s="10">
        <v>42293</v>
      </c>
      <c r="H1696" s="8" t="s">
        <v>528</v>
      </c>
      <c r="I1696" s="11">
        <v>180000000</v>
      </c>
      <c r="J1696" s="8" t="s">
        <v>2604</v>
      </c>
      <c r="K1696" s="8" t="s">
        <v>2605</v>
      </c>
      <c r="L1696" s="7">
        <v>1988</v>
      </c>
      <c r="M1696" s="8" t="s">
        <v>1103</v>
      </c>
      <c r="N1696" s="11">
        <v>180000000</v>
      </c>
      <c r="O1696" s="8" t="s">
        <v>2607</v>
      </c>
      <c r="P1696" s="8" t="s">
        <v>2608</v>
      </c>
      <c r="Q1696" s="8"/>
      <c r="R1696" s="8" t="s">
        <v>4683</v>
      </c>
    </row>
    <row r="1697" spans="1:18" ht="26.15" customHeight="1">
      <c r="A1697" s="7">
        <v>1691</v>
      </c>
      <c r="B1697" s="8" t="s">
        <v>4684</v>
      </c>
      <c r="C1697" s="8" t="s">
        <v>3127</v>
      </c>
      <c r="D1697" s="8"/>
      <c r="E1697" s="8" t="s">
        <v>3128</v>
      </c>
      <c r="F1697" s="9" t="s">
        <v>3117</v>
      </c>
      <c r="G1697" s="10">
        <v>42291</v>
      </c>
      <c r="H1697" s="8" t="s">
        <v>124</v>
      </c>
      <c r="I1697" s="11">
        <v>414752</v>
      </c>
      <c r="J1697" s="8" t="s">
        <v>878</v>
      </c>
      <c r="K1697" s="8" t="s">
        <v>879</v>
      </c>
      <c r="L1697" s="7">
        <v>2015</v>
      </c>
      <c r="M1697" s="8" t="s">
        <v>56</v>
      </c>
      <c r="N1697" s="11">
        <v>9059375</v>
      </c>
      <c r="O1697" s="8" t="s">
        <v>883</v>
      </c>
      <c r="P1697" s="8" t="s">
        <v>884</v>
      </c>
      <c r="Q1697" s="8"/>
      <c r="R1697" s="8"/>
    </row>
    <row r="1698" spans="1:18" ht="26.15" customHeight="1">
      <c r="A1698" s="7">
        <v>1692</v>
      </c>
      <c r="B1698" s="8" t="s">
        <v>4685</v>
      </c>
      <c r="C1698" s="8" t="s">
        <v>3127</v>
      </c>
      <c r="D1698" s="8"/>
      <c r="E1698" s="8" t="s">
        <v>3128</v>
      </c>
      <c r="F1698" s="9" t="s">
        <v>3123</v>
      </c>
      <c r="G1698" s="10">
        <v>42291</v>
      </c>
      <c r="H1698" s="8" t="s">
        <v>124</v>
      </c>
      <c r="I1698" s="11">
        <v>414752</v>
      </c>
      <c r="J1698" s="8" t="s">
        <v>878</v>
      </c>
      <c r="K1698" s="8" t="s">
        <v>879</v>
      </c>
      <c r="L1698" s="7">
        <v>2015</v>
      </c>
      <c r="M1698" s="8" t="s">
        <v>56</v>
      </c>
      <c r="N1698" s="11">
        <v>9059375</v>
      </c>
      <c r="O1698" s="8" t="s">
        <v>883</v>
      </c>
      <c r="P1698" s="8" t="s">
        <v>884</v>
      </c>
      <c r="Q1698" s="8"/>
      <c r="R1698" s="8"/>
    </row>
    <row r="1699" spans="1:18" ht="26.15" customHeight="1">
      <c r="A1699" s="7">
        <v>1693</v>
      </c>
      <c r="B1699" s="8" t="s">
        <v>4686</v>
      </c>
      <c r="C1699" s="8" t="s">
        <v>3127</v>
      </c>
      <c r="D1699" s="8"/>
      <c r="E1699" s="8" t="s">
        <v>3128</v>
      </c>
      <c r="F1699" s="9" t="s">
        <v>3123</v>
      </c>
      <c r="G1699" s="10">
        <v>42291</v>
      </c>
      <c r="H1699" s="8" t="s">
        <v>124</v>
      </c>
      <c r="I1699" s="11">
        <v>414752</v>
      </c>
      <c r="J1699" s="8" t="s">
        <v>878</v>
      </c>
      <c r="K1699" s="8" t="s">
        <v>879</v>
      </c>
      <c r="L1699" s="7">
        <v>2015</v>
      </c>
      <c r="M1699" s="8" t="s">
        <v>56</v>
      </c>
      <c r="N1699" s="11">
        <v>9059375</v>
      </c>
      <c r="O1699" s="8" t="s">
        <v>883</v>
      </c>
      <c r="P1699" s="8" t="s">
        <v>884</v>
      </c>
      <c r="Q1699" s="8"/>
      <c r="R1699" s="8"/>
    </row>
    <row r="1700" spans="1:18" ht="26.15" customHeight="1">
      <c r="A1700" s="7">
        <v>1694</v>
      </c>
      <c r="B1700" s="8" t="s">
        <v>4687</v>
      </c>
      <c r="C1700" s="8" t="s">
        <v>3127</v>
      </c>
      <c r="D1700" s="8"/>
      <c r="E1700" s="8" t="s">
        <v>3128</v>
      </c>
      <c r="F1700" s="9" t="s">
        <v>3117</v>
      </c>
      <c r="G1700" s="10">
        <v>42291</v>
      </c>
      <c r="H1700" s="8" t="s">
        <v>124</v>
      </c>
      <c r="I1700" s="11">
        <v>414752</v>
      </c>
      <c r="J1700" s="8" t="s">
        <v>878</v>
      </c>
      <c r="K1700" s="8" t="s">
        <v>879</v>
      </c>
      <c r="L1700" s="7">
        <v>2015</v>
      </c>
      <c r="M1700" s="8" t="s">
        <v>56</v>
      </c>
      <c r="N1700" s="11">
        <v>9059375</v>
      </c>
      <c r="O1700" s="8" t="s">
        <v>883</v>
      </c>
      <c r="P1700" s="8" t="s">
        <v>884</v>
      </c>
      <c r="Q1700" s="8"/>
      <c r="R1700" s="8"/>
    </row>
    <row r="1701" spans="1:18" ht="26.15" customHeight="1">
      <c r="A1701" s="7">
        <v>1695</v>
      </c>
      <c r="B1701" s="8" t="s">
        <v>4688</v>
      </c>
      <c r="C1701" s="8" t="s">
        <v>3127</v>
      </c>
      <c r="D1701" s="8"/>
      <c r="E1701" s="8" t="s">
        <v>3128</v>
      </c>
      <c r="F1701" s="9" t="s">
        <v>3117</v>
      </c>
      <c r="G1701" s="10">
        <v>42291</v>
      </c>
      <c r="H1701" s="8" t="s">
        <v>124</v>
      </c>
      <c r="I1701" s="11">
        <v>414752</v>
      </c>
      <c r="J1701" s="8" t="s">
        <v>878</v>
      </c>
      <c r="K1701" s="8" t="s">
        <v>879</v>
      </c>
      <c r="L1701" s="7">
        <v>2015</v>
      </c>
      <c r="M1701" s="8" t="s">
        <v>56</v>
      </c>
      <c r="N1701" s="11">
        <v>9059375</v>
      </c>
      <c r="O1701" s="8" t="s">
        <v>883</v>
      </c>
      <c r="P1701" s="8" t="s">
        <v>884</v>
      </c>
      <c r="Q1701" s="8"/>
      <c r="R1701" s="8"/>
    </row>
    <row r="1702" spans="1:18" ht="26.15" customHeight="1">
      <c r="A1702" s="7">
        <v>1696</v>
      </c>
      <c r="B1702" s="8" t="s">
        <v>4689</v>
      </c>
      <c r="C1702" s="8" t="s">
        <v>3127</v>
      </c>
      <c r="D1702" s="8"/>
      <c r="E1702" s="8" t="s">
        <v>3128</v>
      </c>
      <c r="F1702" s="9" t="s">
        <v>3117</v>
      </c>
      <c r="G1702" s="10">
        <v>42291</v>
      </c>
      <c r="H1702" s="8" t="s">
        <v>124</v>
      </c>
      <c r="I1702" s="11">
        <v>414752</v>
      </c>
      <c r="J1702" s="8" t="s">
        <v>878</v>
      </c>
      <c r="K1702" s="8" t="s">
        <v>879</v>
      </c>
      <c r="L1702" s="7">
        <v>2015</v>
      </c>
      <c r="M1702" s="8" t="s">
        <v>56</v>
      </c>
      <c r="N1702" s="11">
        <v>9059375</v>
      </c>
      <c r="O1702" s="8" t="s">
        <v>883</v>
      </c>
      <c r="P1702" s="8" t="s">
        <v>884</v>
      </c>
      <c r="Q1702" s="8"/>
      <c r="R1702" s="8"/>
    </row>
    <row r="1703" spans="1:18" ht="26.15" customHeight="1">
      <c r="A1703" s="7">
        <v>1697</v>
      </c>
      <c r="B1703" s="8" t="s">
        <v>4690</v>
      </c>
      <c r="C1703" s="8" t="s">
        <v>3127</v>
      </c>
      <c r="D1703" s="8"/>
      <c r="E1703" s="8" t="s">
        <v>3128</v>
      </c>
      <c r="F1703" s="9" t="s">
        <v>3123</v>
      </c>
      <c r="G1703" s="10">
        <v>42291</v>
      </c>
      <c r="H1703" s="8" t="s">
        <v>124</v>
      </c>
      <c r="I1703" s="11">
        <v>414752</v>
      </c>
      <c r="J1703" s="8" t="s">
        <v>878</v>
      </c>
      <c r="K1703" s="8" t="s">
        <v>879</v>
      </c>
      <c r="L1703" s="7">
        <v>2015</v>
      </c>
      <c r="M1703" s="8" t="s">
        <v>56</v>
      </c>
      <c r="N1703" s="11">
        <v>9059375</v>
      </c>
      <c r="O1703" s="8" t="s">
        <v>883</v>
      </c>
      <c r="P1703" s="8" t="s">
        <v>884</v>
      </c>
      <c r="Q1703" s="8"/>
      <c r="R1703" s="8"/>
    </row>
    <row r="1704" spans="1:18" ht="26.15" customHeight="1">
      <c r="A1704" s="7">
        <v>1698</v>
      </c>
      <c r="B1704" s="8" t="s">
        <v>2278</v>
      </c>
      <c r="C1704" s="8" t="s">
        <v>3127</v>
      </c>
      <c r="D1704" s="8"/>
      <c r="E1704" s="8" t="s">
        <v>3128</v>
      </c>
      <c r="F1704" s="9" t="s">
        <v>3123</v>
      </c>
      <c r="G1704" s="10">
        <v>42291</v>
      </c>
      <c r="H1704" s="8" t="s">
        <v>124</v>
      </c>
      <c r="I1704" s="11">
        <v>414752</v>
      </c>
      <c r="J1704" s="8" t="s">
        <v>878</v>
      </c>
      <c r="K1704" s="8" t="s">
        <v>879</v>
      </c>
      <c r="L1704" s="7">
        <v>2015</v>
      </c>
      <c r="M1704" s="8" t="s">
        <v>56</v>
      </c>
      <c r="N1704" s="11">
        <v>9059375</v>
      </c>
      <c r="O1704" s="8" t="s">
        <v>883</v>
      </c>
      <c r="P1704" s="8" t="s">
        <v>884</v>
      </c>
      <c r="Q1704" s="8"/>
      <c r="R1704" s="8"/>
    </row>
    <row r="1705" spans="1:18" ht="26.15" customHeight="1">
      <c r="A1705" s="7">
        <v>1699</v>
      </c>
      <c r="B1705" s="8" t="s">
        <v>4691</v>
      </c>
      <c r="C1705" s="8" t="s">
        <v>3127</v>
      </c>
      <c r="D1705" s="8"/>
      <c r="E1705" s="8" t="s">
        <v>3128</v>
      </c>
      <c r="F1705" s="9" t="s">
        <v>3117</v>
      </c>
      <c r="G1705" s="10">
        <v>42291</v>
      </c>
      <c r="H1705" s="8" t="s">
        <v>124</v>
      </c>
      <c r="I1705" s="11">
        <v>414752</v>
      </c>
      <c r="J1705" s="8" t="s">
        <v>878</v>
      </c>
      <c r="K1705" s="8" t="s">
        <v>879</v>
      </c>
      <c r="L1705" s="7">
        <v>2015</v>
      </c>
      <c r="M1705" s="8" t="s">
        <v>56</v>
      </c>
      <c r="N1705" s="11">
        <v>9059375</v>
      </c>
      <c r="O1705" s="8" t="s">
        <v>883</v>
      </c>
      <c r="P1705" s="8" t="s">
        <v>884</v>
      </c>
      <c r="Q1705" s="8"/>
      <c r="R1705" s="8"/>
    </row>
    <row r="1706" spans="1:18" ht="26.15" customHeight="1">
      <c r="A1706" s="7">
        <v>1700</v>
      </c>
      <c r="B1706" s="8" t="s">
        <v>4608</v>
      </c>
      <c r="C1706" s="8" t="s">
        <v>3114</v>
      </c>
      <c r="D1706" s="8" t="s">
        <v>4609</v>
      </c>
      <c r="E1706" s="8" t="s">
        <v>3116</v>
      </c>
      <c r="F1706" s="9" t="s">
        <v>3123</v>
      </c>
      <c r="G1706" s="10">
        <v>42277</v>
      </c>
      <c r="H1706" s="8" t="s">
        <v>124</v>
      </c>
      <c r="I1706" s="11">
        <v>781000</v>
      </c>
      <c r="J1706" s="8" t="s">
        <v>2502</v>
      </c>
      <c r="K1706" s="8" t="s">
        <v>2503</v>
      </c>
      <c r="L1706" s="7">
        <v>2015</v>
      </c>
      <c r="M1706" s="8" t="s">
        <v>278</v>
      </c>
      <c r="N1706" s="11">
        <v>781000</v>
      </c>
      <c r="O1706" s="8" t="s">
        <v>2505</v>
      </c>
      <c r="P1706" s="8" t="s">
        <v>2506</v>
      </c>
      <c r="Q1706" s="8"/>
      <c r="R1706" s="8" t="s">
        <v>1427</v>
      </c>
    </row>
    <row r="1707" spans="1:18" ht="26.15" customHeight="1">
      <c r="A1707" s="7">
        <v>1701</v>
      </c>
      <c r="B1707" s="8" t="s">
        <v>2418</v>
      </c>
      <c r="C1707" s="8" t="s">
        <v>3114</v>
      </c>
      <c r="D1707" s="8" t="s">
        <v>4132</v>
      </c>
      <c r="E1707" s="8" t="s">
        <v>3116</v>
      </c>
      <c r="F1707" s="9" t="s">
        <v>3123</v>
      </c>
      <c r="G1707" s="10">
        <v>42277</v>
      </c>
      <c r="H1707" s="8" t="s">
        <v>25</v>
      </c>
      <c r="I1707" s="11">
        <v>10000000</v>
      </c>
      <c r="J1707" s="8" t="s">
        <v>2612</v>
      </c>
      <c r="K1707" s="8" t="s">
        <v>2613</v>
      </c>
      <c r="L1707" s="7">
        <v>2014</v>
      </c>
      <c r="M1707" s="8" t="s">
        <v>278</v>
      </c>
      <c r="N1707" s="11">
        <v>10000000</v>
      </c>
      <c r="O1707" s="8" t="s">
        <v>2615</v>
      </c>
      <c r="P1707" s="8" t="s">
        <v>2616</v>
      </c>
      <c r="Q1707" s="8"/>
      <c r="R1707" s="8" t="s">
        <v>278</v>
      </c>
    </row>
    <row r="1708" spans="1:18" ht="26.15" customHeight="1">
      <c r="A1708" s="7">
        <v>1702</v>
      </c>
      <c r="B1708" s="8" t="s">
        <v>4692</v>
      </c>
      <c r="C1708" s="8" t="s">
        <v>3139</v>
      </c>
      <c r="D1708" s="8" t="s">
        <v>4693</v>
      </c>
      <c r="E1708" s="8" t="s">
        <v>3116</v>
      </c>
      <c r="F1708" s="9" t="s">
        <v>3123</v>
      </c>
      <c r="G1708" s="10">
        <v>42277</v>
      </c>
      <c r="H1708" s="8" t="s">
        <v>25</v>
      </c>
      <c r="I1708" s="11">
        <v>10000000</v>
      </c>
      <c r="J1708" s="8" t="s">
        <v>2612</v>
      </c>
      <c r="K1708" s="8" t="s">
        <v>2613</v>
      </c>
      <c r="L1708" s="7">
        <v>2014</v>
      </c>
      <c r="M1708" s="8" t="s">
        <v>278</v>
      </c>
      <c r="N1708" s="11">
        <v>10000000</v>
      </c>
      <c r="O1708" s="8" t="s">
        <v>2615</v>
      </c>
      <c r="P1708" s="8" t="s">
        <v>2616</v>
      </c>
      <c r="Q1708" s="8"/>
      <c r="R1708" s="8" t="s">
        <v>278</v>
      </c>
    </row>
    <row r="1709" spans="1:18" ht="26.15" customHeight="1">
      <c r="A1709" s="7">
        <v>1703</v>
      </c>
      <c r="B1709" s="8" t="s">
        <v>2619</v>
      </c>
      <c r="C1709" s="8" t="s">
        <v>3139</v>
      </c>
      <c r="D1709" s="8" t="s">
        <v>4694</v>
      </c>
      <c r="E1709" s="8" t="s">
        <v>3116</v>
      </c>
      <c r="F1709" s="9" t="s">
        <v>3117</v>
      </c>
      <c r="G1709" s="10">
        <v>42269</v>
      </c>
      <c r="H1709" s="8" t="s">
        <v>34</v>
      </c>
      <c r="I1709" s="11">
        <v>1000000</v>
      </c>
      <c r="J1709" s="8" t="s">
        <v>628</v>
      </c>
      <c r="K1709" s="8" t="s">
        <v>629</v>
      </c>
      <c r="L1709" s="7">
        <v>2015</v>
      </c>
      <c r="M1709" s="8" t="s">
        <v>79</v>
      </c>
      <c r="N1709" s="11">
        <v>94500000</v>
      </c>
      <c r="O1709" s="8" t="s">
        <v>632</v>
      </c>
      <c r="P1709" s="8" t="s">
        <v>633</v>
      </c>
      <c r="Q1709" s="8"/>
      <c r="R1709" s="8" t="s">
        <v>3994</v>
      </c>
    </row>
    <row r="1710" spans="1:18" ht="26.15" customHeight="1">
      <c r="A1710" s="7">
        <v>1704</v>
      </c>
      <c r="B1710" s="8" t="s">
        <v>4307</v>
      </c>
      <c r="C1710" s="8" t="s">
        <v>3114</v>
      </c>
      <c r="D1710" s="8" t="s">
        <v>4308</v>
      </c>
      <c r="E1710" s="8" t="s">
        <v>3116</v>
      </c>
      <c r="F1710" s="9" t="s">
        <v>3123</v>
      </c>
      <c r="G1710" s="10">
        <v>42269</v>
      </c>
      <c r="H1710" s="8" t="s">
        <v>34</v>
      </c>
      <c r="I1710" s="11">
        <v>1000000</v>
      </c>
      <c r="J1710" s="8" t="s">
        <v>628</v>
      </c>
      <c r="K1710" s="8" t="s">
        <v>629</v>
      </c>
      <c r="L1710" s="7">
        <v>2015</v>
      </c>
      <c r="M1710" s="8" t="s">
        <v>79</v>
      </c>
      <c r="N1710" s="11">
        <v>94500000</v>
      </c>
      <c r="O1710" s="8" t="s">
        <v>632</v>
      </c>
      <c r="P1710" s="8" t="s">
        <v>633</v>
      </c>
      <c r="Q1710" s="8"/>
      <c r="R1710" s="8" t="s">
        <v>79</v>
      </c>
    </row>
    <row r="1711" spans="1:18" ht="26.15" customHeight="1">
      <c r="A1711" s="7">
        <v>1705</v>
      </c>
      <c r="B1711" s="8" t="s">
        <v>4695</v>
      </c>
      <c r="C1711" s="8" t="s">
        <v>3127</v>
      </c>
      <c r="D1711" s="8"/>
      <c r="E1711" s="8" t="s">
        <v>3128</v>
      </c>
      <c r="F1711" s="9" t="s">
        <v>3123</v>
      </c>
      <c r="G1711" s="10">
        <v>42269</v>
      </c>
      <c r="H1711" s="8" t="s">
        <v>34</v>
      </c>
      <c r="I1711" s="11">
        <v>1000000</v>
      </c>
      <c r="J1711" s="8" t="s">
        <v>628</v>
      </c>
      <c r="K1711" s="8" t="s">
        <v>629</v>
      </c>
      <c r="L1711" s="7">
        <v>2015</v>
      </c>
      <c r="M1711" s="8" t="s">
        <v>79</v>
      </c>
      <c r="N1711" s="11">
        <v>94500000</v>
      </c>
      <c r="O1711" s="8" t="s">
        <v>632</v>
      </c>
      <c r="P1711" s="8" t="s">
        <v>633</v>
      </c>
      <c r="Q1711" s="8"/>
      <c r="R1711" s="8"/>
    </row>
    <row r="1712" spans="1:18" ht="26.15" customHeight="1">
      <c r="A1712" s="7">
        <v>1706</v>
      </c>
      <c r="B1712" s="8" t="s">
        <v>4696</v>
      </c>
      <c r="C1712" s="8" t="s">
        <v>3127</v>
      </c>
      <c r="D1712" s="8"/>
      <c r="E1712" s="8" t="s">
        <v>3128</v>
      </c>
      <c r="F1712" s="9" t="s">
        <v>3123</v>
      </c>
      <c r="G1712" s="10">
        <v>42269</v>
      </c>
      <c r="H1712" s="8" t="s">
        <v>34</v>
      </c>
      <c r="I1712" s="11">
        <v>1000000</v>
      </c>
      <c r="J1712" s="8" t="s">
        <v>628</v>
      </c>
      <c r="K1712" s="8" t="s">
        <v>629</v>
      </c>
      <c r="L1712" s="7">
        <v>2015</v>
      </c>
      <c r="M1712" s="8" t="s">
        <v>79</v>
      </c>
      <c r="N1712" s="11">
        <v>94500000</v>
      </c>
      <c r="O1712" s="8" t="s">
        <v>632</v>
      </c>
      <c r="P1712" s="8" t="s">
        <v>633</v>
      </c>
      <c r="Q1712" s="8"/>
      <c r="R1712" s="8"/>
    </row>
    <row r="1713" spans="1:18" ht="26.15" customHeight="1">
      <c r="A1713" s="7">
        <v>1707</v>
      </c>
      <c r="B1713" s="8" t="s">
        <v>4697</v>
      </c>
      <c r="C1713" s="8" t="s">
        <v>3127</v>
      </c>
      <c r="D1713" s="8"/>
      <c r="E1713" s="8" t="s">
        <v>3128</v>
      </c>
      <c r="F1713" s="9" t="s">
        <v>3123</v>
      </c>
      <c r="G1713" s="10">
        <v>42269</v>
      </c>
      <c r="H1713" s="8" t="s">
        <v>34</v>
      </c>
      <c r="I1713" s="11">
        <v>1000000</v>
      </c>
      <c r="J1713" s="8" t="s">
        <v>628</v>
      </c>
      <c r="K1713" s="8" t="s">
        <v>629</v>
      </c>
      <c r="L1713" s="7">
        <v>2015</v>
      </c>
      <c r="M1713" s="8" t="s">
        <v>79</v>
      </c>
      <c r="N1713" s="11">
        <v>94500000</v>
      </c>
      <c r="O1713" s="8" t="s">
        <v>632</v>
      </c>
      <c r="P1713" s="8" t="s">
        <v>633</v>
      </c>
      <c r="Q1713" s="8"/>
      <c r="R1713" s="8"/>
    </row>
    <row r="1714" spans="1:18" ht="26.15" customHeight="1">
      <c r="A1714" s="7">
        <v>1708</v>
      </c>
      <c r="B1714" s="8" t="s">
        <v>4698</v>
      </c>
      <c r="C1714" s="8" t="s">
        <v>3127</v>
      </c>
      <c r="D1714" s="8"/>
      <c r="E1714" s="8" t="s">
        <v>3128</v>
      </c>
      <c r="F1714" s="9" t="s">
        <v>3123</v>
      </c>
      <c r="G1714" s="10">
        <v>42269</v>
      </c>
      <c r="H1714" s="8" t="s">
        <v>34</v>
      </c>
      <c r="I1714" s="11">
        <v>1000000</v>
      </c>
      <c r="J1714" s="8" t="s">
        <v>628</v>
      </c>
      <c r="K1714" s="8" t="s">
        <v>629</v>
      </c>
      <c r="L1714" s="7">
        <v>2015</v>
      </c>
      <c r="M1714" s="8" t="s">
        <v>79</v>
      </c>
      <c r="N1714" s="11">
        <v>94500000</v>
      </c>
      <c r="O1714" s="8" t="s">
        <v>632</v>
      </c>
      <c r="P1714" s="8" t="s">
        <v>633</v>
      </c>
      <c r="Q1714" s="8"/>
      <c r="R1714" s="8"/>
    </row>
    <row r="1715" spans="1:18" ht="26.15" customHeight="1">
      <c r="A1715" s="7">
        <v>1709</v>
      </c>
      <c r="B1715" s="8" t="s">
        <v>4699</v>
      </c>
      <c r="C1715" s="8" t="s">
        <v>3127</v>
      </c>
      <c r="D1715" s="8"/>
      <c r="E1715" s="8" t="s">
        <v>3128</v>
      </c>
      <c r="F1715" s="9" t="s">
        <v>3123</v>
      </c>
      <c r="G1715" s="10">
        <v>42269</v>
      </c>
      <c r="H1715" s="8" t="s">
        <v>34</v>
      </c>
      <c r="I1715" s="11">
        <v>1000000</v>
      </c>
      <c r="J1715" s="8" t="s">
        <v>628</v>
      </c>
      <c r="K1715" s="8" t="s">
        <v>629</v>
      </c>
      <c r="L1715" s="7">
        <v>2015</v>
      </c>
      <c r="M1715" s="8" t="s">
        <v>79</v>
      </c>
      <c r="N1715" s="11">
        <v>94500000</v>
      </c>
      <c r="O1715" s="8" t="s">
        <v>632</v>
      </c>
      <c r="P1715" s="8" t="s">
        <v>633</v>
      </c>
      <c r="Q1715" s="8"/>
      <c r="R1715" s="8"/>
    </row>
    <row r="1716" spans="1:18" ht="26.15" customHeight="1">
      <c r="A1716" s="7">
        <v>1710</v>
      </c>
      <c r="B1716" s="8" t="s">
        <v>4700</v>
      </c>
      <c r="C1716" s="8" t="s">
        <v>3127</v>
      </c>
      <c r="D1716" s="8"/>
      <c r="E1716" s="8" t="s">
        <v>3128</v>
      </c>
      <c r="F1716" s="9" t="s">
        <v>3123</v>
      </c>
      <c r="G1716" s="10">
        <v>42269</v>
      </c>
      <c r="H1716" s="8" t="s">
        <v>34</v>
      </c>
      <c r="I1716" s="11">
        <v>1000000</v>
      </c>
      <c r="J1716" s="8" t="s">
        <v>628</v>
      </c>
      <c r="K1716" s="8" t="s">
        <v>629</v>
      </c>
      <c r="L1716" s="7">
        <v>2015</v>
      </c>
      <c r="M1716" s="8" t="s">
        <v>79</v>
      </c>
      <c r="N1716" s="11">
        <v>94500000</v>
      </c>
      <c r="O1716" s="8" t="s">
        <v>632</v>
      </c>
      <c r="P1716" s="8" t="s">
        <v>633</v>
      </c>
      <c r="Q1716" s="8"/>
      <c r="R1716" s="8"/>
    </row>
    <row r="1717" spans="1:18" ht="26.15" customHeight="1">
      <c r="A1717" s="7">
        <v>1711</v>
      </c>
      <c r="B1717" s="8" t="s">
        <v>4701</v>
      </c>
      <c r="C1717" s="8" t="s">
        <v>3127</v>
      </c>
      <c r="D1717" s="8"/>
      <c r="E1717" s="8" t="s">
        <v>3128</v>
      </c>
      <c r="F1717" s="9" t="s">
        <v>3123</v>
      </c>
      <c r="G1717" s="10">
        <v>42269</v>
      </c>
      <c r="H1717" s="8" t="s">
        <v>34</v>
      </c>
      <c r="I1717" s="11">
        <v>1000000</v>
      </c>
      <c r="J1717" s="8" t="s">
        <v>628</v>
      </c>
      <c r="K1717" s="8" t="s">
        <v>629</v>
      </c>
      <c r="L1717" s="7">
        <v>2015</v>
      </c>
      <c r="M1717" s="8" t="s">
        <v>79</v>
      </c>
      <c r="N1717" s="11">
        <v>94500000</v>
      </c>
      <c r="O1717" s="8" t="s">
        <v>632</v>
      </c>
      <c r="P1717" s="8" t="s">
        <v>633</v>
      </c>
      <c r="Q1717" s="8"/>
      <c r="R1717" s="8"/>
    </row>
    <row r="1718" spans="1:18" ht="26.15" customHeight="1">
      <c r="A1718" s="7">
        <v>1712</v>
      </c>
      <c r="B1718" s="8" t="s">
        <v>4702</v>
      </c>
      <c r="C1718" s="8" t="s">
        <v>3139</v>
      </c>
      <c r="D1718" s="8" t="s">
        <v>4703</v>
      </c>
      <c r="E1718" s="8" t="s">
        <v>3116</v>
      </c>
      <c r="F1718" s="9" t="s">
        <v>3123</v>
      </c>
      <c r="G1718" s="10">
        <v>42269</v>
      </c>
      <c r="H1718" s="8" t="s">
        <v>34</v>
      </c>
      <c r="I1718" s="11">
        <v>1000000</v>
      </c>
      <c r="J1718" s="8" t="s">
        <v>628</v>
      </c>
      <c r="K1718" s="8" t="s">
        <v>629</v>
      </c>
      <c r="L1718" s="7">
        <v>2015</v>
      </c>
      <c r="M1718" s="8" t="s">
        <v>79</v>
      </c>
      <c r="N1718" s="11">
        <v>94500000</v>
      </c>
      <c r="O1718" s="8" t="s">
        <v>632</v>
      </c>
      <c r="P1718" s="8" t="s">
        <v>633</v>
      </c>
      <c r="Q1718" s="8"/>
      <c r="R1718" s="8" t="s">
        <v>3145</v>
      </c>
    </row>
    <row r="1719" spans="1:18" ht="26.15" customHeight="1">
      <c r="A1719" s="7">
        <v>1713</v>
      </c>
      <c r="B1719" s="8" t="s">
        <v>4480</v>
      </c>
      <c r="C1719" s="8" t="s">
        <v>3127</v>
      </c>
      <c r="D1719" s="8"/>
      <c r="E1719" s="8" t="s">
        <v>3128</v>
      </c>
      <c r="F1719" s="9" t="s">
        <v>3123</v>
      </c>
      <c r="G1719" s="10">
        <v>42269</v>
      </c>
      <c r="H1719" s="8" t="s">
        <v>34</v>
      </c>
      <c r="I1719" s="11">
        <v>1000000</v>
      </c>
      <c r="J1719" s="8" t="s">
        <v>628</v>
      </c>
      <c r="K1719" s="8" t="s">
        <v>629</v>
      </c>
      <c r="L1719" s="7">
        <v>2015</v>
      </c>
      <c r="M1719" s="8" t="s">
        <v>79</v>
      </c>
      <c r="N1719" s="11">
        <v>94500000</v>
      </c>
      <c r="O1719" s="8" t="s">
        <v>632</v>
      </c>
      <c r="P1719" s="8" t="s">
        <v>633</v>
      </c>
      <c r="Q1719" s="8"/>
      <c r="R1719" s="8"/>
    </row>
    <row r="1720" spans="1:18" ht="26.15" customHeight="1">
      <c r="A1720" s="7">
        <v>1714</v>
      </c>
      <c r="B1720" s="8" t="s">
        <v>4704</v>
      </c>
      <c r="C1720" s="8" t="s">
        <v>3127</v>
      </c>
      <c r="D1720" s="8"/>
      <c r="E1720" s="8" t="s">
        <v>3128</v>
      </c>
      <c r="F1720" s="9" t="s">
        <v>3123</v>
      </c>
      <c r="G1720" s="10">
        <v>42269</v>
      </c>
      <c r="H1720" s="8" t="s">
        <v>34</v>
      </c>
      <c r="I1720" s="11">
        <v>1000000</v>
      </c>
      <c r="J1720" s="8" t="s">
        <v>628</v>
      </c>
      <c r="K1720" s="8" t="s">
        <v>629</v>
      </c>
      <c r="L1720" s="7">
        <v>2015</v>
      </c>
      <c r="M1720" s="8" t="s">
        <v>79</v>
      </c>
      <c r="N1720" s="11">
        <v>94500000</v>
      </c>
      <c r="O1720" s="8" t="s">
        <v>632</v>
      </c>
      <c r="P1720" s="8" t="s">
        <v>633</v>
      </c>
      <c r="Q1720" s="8"/>
      <c r="R1720" s="8"/>
    </row>
    <row r="1721" spans="1:18" ht="26.15" customHeight="1">
      <c r="A1721" s="7">
        <v>1715</v>
      </c>
      <c r="B1721" s="8" t="s">
        <v>4705</v>
      </c>
      <c r="C1721" s="8" t="s">
        <v>3114</v>
      </c>
      <c r="D1721" s="8" t="s">
        <v>4706</v>
      </c>
      <c r="E1721" s="8" t="s">
        <v>3116</v>
      </c>
      <c r="F1721" s="9" t="s">
        <v>3123</v>
      </c>
      <c r="G1721" s="10">
        <v>42264</v>
      </c>
      <c r="H1721" s="8" t="s">
        <v>109</v>
      </c>
      <c r="I1721" s="11" t="s">
        <v>50</v>
      </c>
      <c r="J1721" s="8" t="s">
        <v>2237</v>
      </c>
      <c r="K1721" s="8" t="s">
        <v>2238</v>
      </c>
      <c r="L1721" s="7">
        <v>2014</v>
      </c>
      <c r="M1721" s="8" t="s">
        <v>278</v>
      </c>
      <c r="N1721" s="11">
        <v>1800000</v>
      </c>
      <c r="O1721" s="8" t="s">
        <v>2240</v>
      </c>
      <c r="P1721" s="8" t="s">
        <v>2241</v>
      </c>
      <c r="Q1721" s="8"/>
      <c r="R1721" s="8" t="s">
        <v>1215</v>
      </c>
    </row>
    <row r="1722" spans="1:18" ht="26.15" customHeight="1">
      <c r="A1722" s="7">
        <v>1716</v>
      </c>
      <c r="B1722" s="8" t="s">
        <v>3689</v>
      </c>
      <c r="C1722" s="8" t="s">
        <v>3114</v>
      </c>
      <c r="D1722" s="8" t="s">
        <v>3690</v>
      </c>
      <c r="E1722" s="8" t="s">
        <v>3116</v>
      </c>
      <c r="F1722" s="9" t="s">
        <v>3123</v>
      </c>
      <c r="G1722" s="10">
        <v>42262</v>
      </c>
      <c r="H1722" s="8" t="s">
        <v>184</v>
      </c>
      <c r="I1722" s="11">
        <v>100000</v>
      </c>
      <c r="J1722" s="8" t="s">
        <v>2621</v>
      </c>
      <c r="K1722" s="8" t="s">
        <v>2622</v>
      </c>
      <c r="L1722" s="7">
        <v>2013</v>
      </c>
      <c r="M1722" s="8" t="s">
        <v>1588</v>
      </c>
      <c r="N1722" s="11"/>
      <c r="O1722" s="8" t="s">
        <v>2623</v>
      </c>
      <c r="P1722" s="8" t="s">
        <v>2624</v>
      </c>
      <c r="Q1722" s="8"/>
      <c r="R1722" s="8" t="s">
        <v>299</v>
      </c>
    </row>
    <row r="1723" spans="1:18" ht="26.15" customHeight="1">
      <c r="A1723" s="7">
        <v>1717</v>
      </c>
      <c r="B1723" s="8" t="s">
        <v>2964</v>
      </c>
      <c r="C1723" s="8" t="s">
        <v>3114</v>
      </c>
      <c r="D1723" s="8" t="s">
        <v>4597</v>
      </c>
      <c r="E1723" s="8" t="s">
        <v>3116</v>
      </c>
      <c r="F1723" s="9" t="s">
        <v>3123</v>
      </c>
      <c r="G1723" s="10">
        <v>42261</v>
      </c>
      <c r="H1723" s="8" t="s">
        <v>109</v>
      </c>
      <c r="I1723" s="11">
        <v>7200000</v>
      </c>
      <c r="J1723" s="8" t="s">
        <v>2625</v>
      </c>
      <c r="K1723" s="8" t="s">
        <v>2626</v>
      </c>
      <c r="L1723" s="7">
        <v>2013</v>
      </c>
      <c r="M1723" s="8" t="s">
        <v>1732</v>
      </c>
      <c r="N1723" s="11">
        <v>7200000</v>
      </c>
      <c r="O1723" s="8" t="s">
        <v>2628</v>
      </c>
      <c r="P1723" s="8" t="s">
        <v>2629</v>
      </c>
      <c r="Q1723" s="8"/>
      <c r="R1723" s="8" t="s">
        <v>1732</v>
      </c>
    </row>
    <row r="1724" spans="1:18" ht="26.15" customHeight="1">
      <c r="A1724" s="7">
        <v>1718</v>
      </c>
      <c r="B1724" s="8" t="s">
        <v>4707</v>
      </c>
      <c r="C1724" s="8" t="s">
        <v>3114</v>
      </c>
      <c r="D1724" s="8" t="s">
        <v>4708</v>
      </c>
      <c r="E1724" s="8" t="s">
        <v>3116</v>
      </c>
      <c r="F1724" s="9" t="s">
        <v>3123</v>
      </c>
      <c r="G1724" s="10">
        <v>42261</v>
      </c>
      <c r="H1724" s="8" t="s">
        <v>109</v>
      </c>
      <c r="I1724" s="11">
        <v>7200000</v>
      </c>
      <c r="J1724" s="8" t="s">
        <v>2625</v>
      </c>
      <c r="K1724" s="8" t="s">
        <v>2626</v>
      </c>
      <c r="L1724" s="7">
        <v>2013</v>
      </c>
      <c r="M1724" s="8" t="s">
        <v>1732</v>
      </c>
      <c r="N1724" s="11">
        <v>7200000</v>
      </c>
      <c r="O1724" s="8" t="s">
        <v>2628</v>
      </c>
      <c r="P1724" s="8" t="s">
        <v>2629</v>
      </c>
      <c r="Q1724" s="8"/>
      <c r="R1724" s="8" t="s">
        <v>1732</v>
      </c>
    </row>
    <row r="1725" spans="1:18" ht="26.15" customHeight="1">
      <c r="A1725" s="7">
        <v>1719</v>
      </c>
      <c r="B1725" s="8" t="s">
        <v>4709</v>
      </c>
      <c r="C1725" s="8" t="s">
        <v>3114</v>
      </c>
      <c r="D1725" s="8" t="s">
        <v>4710</v>
      </c>
      <c r="E1725" s="8" t="s">
        <v>3116</v>
      </c>
      <c r="F1725" s="9" t="s">
        <v>3123</v>
      </c>
      <c r="G1725" s="10">
        <v>42260</v>
      </c>
      <c r="H1725" s="8" t="s">
        <v>25</v>
      </c>
      <c r="I1725" s="11">
        <v>16000000</v>
      </c>
      <c r="J1725" s="8" t="s">
        <v>2630</v>
      </c>
      <c r="K1725" s="8" t="s">
        <v>2631</v>
      </c>
      <c r="L1725" s="7">
        <v>2009</v>
      </c>
      <c r="M1725" s="8" t="s">
        <v>369</v>
      </c>
      <c r="N1725" s="11">
        <v>26000000</v>
      </c>
      <c r="O1725" s="8" t="s">
        <v>2634</v>
      </c>
      <c r="P1725" s="8" t="s">
        <v>2635</v>
      </c>
      <c r="Q1725" s="8"/>
      <c r="R1725" s="8" t="s">
        <v>4711</v>
      </c>
    </row>
    <row r="1726" spans="1:18" ht="26.15" customHeight="1">
      <c r="A1726" s="7">
        <v>1720</v>
      </c>
      <c r="B1726" s="8" t="s">
        <v>4712</v>
      </c>
      <c r="C1726" s="8" t="s">
        <v>3114</v>
      </c>
      <c r="D1726" s="8" t="s">
        <v>4713</v>
      </c>
      <c r="E1726" s="8" t="s">
        <v>3116</v>
      </c>
      <c r="F1726" s="9" t="s">
        <v>3123</v>
      </c>
      <c r="G1726" s="10">
        <v>42260</v>
      </c>
      <c r="H1726" s="8" t="s">
        <v>25</v>
      </c>
      <c r="I1726" s="11">
        <v>16000000</v>
      </c>
      <c r="J1726" s="8" t="s">
        <v>2630</v>
      </c>
      <c r="K1726" s="8" t="s">
        <v>2631</v>
      </c>
      <c r="L1726" s="7">
        <v>2009</v>
      </c>
      <c r="M1726" s="8" t="s">
        <v>369</v>
      </c>
      <c r="N1726" s="11">
        <v>26000000</v>
      </c>
      <c r="O1726" s="8" t="s">
        <v>2634</v>
      </c>
      <c r="P1726" s="8" t="s">
        <v>2635</v>
      </c>
      <c r="Q1726" s="8"/>
      <c r="R1726" s="8" t="s">
        <v>3138</v>
      </c>
    </row>
    <row r="1727" spans="1:18" ht="26.15" customHeight="1">
      <c r="A1727" s="7">
        <v>1721</v>
      </c>
      <c r="B1727" s="8" t="s">
        <v>2633</v>
      </c>
      <c r="C1727" s="8" t="s">
        <v>3114</v>
      </c>
      <c r="D1727" s="8" t="s">
        <v>4714</v>
      </c>
      <c r="E1727" s="8" t="s">
        <v>3116</v>
      </c>
      <c r="F1727" s="9" t="s">
        <v>3117</v>
      </c>
      <c r="G1727" s="10">
        <v>42260</v>
      </c>
      <c r="H1727" s="8" t="s">
        <v>25</v>
      </c>
      <c r="I1727" s="11">
        <v>16000000</v>
      </c>
      <c r="J1727" s="8" t="s">
        <v>2630</v>
      </c>
      <c r="K1727" s="8" t="s">
        <v>2631</v>
      </c>
      <c r="L1727" s="7">
        <v>2009</v>
      </c>
      <c r="M1727" s="8" t="s">
        <v>369</v>
      </c>
      <c r="N1727" s="11">
        <v>26000000</v>
      </c>
      <c r="O1727" s="8" t="s">
        <v>2634</v>
      </c>
      <c r="P1727" s="8" t="s">
        <v>2635</v>
      </c>
      <c r="Q1727" s="8"/>
      <c r="R1727" s="8" t="s">
        <v>3138</v>
      </c>
    </row>
    <row r="1728" spans="1:18" ht="26.15" customHeight="1">
      <c r="A1728" s="7">
        <v>1722</v>
      </c>
      <c r="B1728" s="8" t="s">
        <v>4322</v>
      </c>
      <c r="C1728" s="8" t="s">
        <v>3114</v>
      </c>
      <c r="D1728" s="8" t="s">
        <v>4323</v>
      </c>
      <c r="E1728" s="8" t="s">
        <v>3116</v>
      </c>
      <c r="F1728" s="9" t="s">
        <v>3123</v>
      </c>
      <c r="G1728" s="10">
        <v>42256</v>
      </c>
      <c r="H1728" s="8" t="s">
        <v>25</v>
      </c>
      <c r="I1728" s="11" t="s">
        <v>50</v>
      </c>
      <c r="J1728" s="8" t="s">
        <v>2636</v>
      </c>
      <c r="K1728" s="8" t="s">
        <v>2637</v>
      </c>
      <c r="L1728" s="7">
        <v>2014</v>
      </c>
      <c r="M1728" s="8" t="s">
        <v>2639</v>
      </c>
      <c r="N1728" s="11"/>
      <c r="O1728" s="8" t="s">
        <v>2640</v>
      </c>
      <c r="P1728" s="8" t="s">
        <v>2641</v>
      </c>
      <c r="Q1728" s="8"/>
      <c r="R1728" s="8" t="s">
        <v>1567</v>
      </c>
    </row>
    <row r="1729" spans="1:18" ht="26.15" customHeight="1">
      <c r="A1729" s="7">
        <v>1723</v>
      </c>
      <c r="B1729" s="8" t="s">
        <v>4098</v>
      </c>
      <c r="C1729" s="8" t="s">
        <v>3114</v>
      </c>
      <c r="D1729" s="8" t="s">
        <v>4099</v>
      </c>
      <c r="E1729" s="8" t="s">
        <v>3116</v>
      </c>
      <c r="F1729" s="9" t="s">
        <v>3123</v>
      </c>
      <c r="G1729" s="10">
        <v>42256</v>
      </c>
      <c r="H1729" s="8" t="s">
        <v>25</v>
      </c>
      <c r="I1729" s="11" t="s">
        <v>50</v>
      </c>
      <c r="J1729" s="8" t="s">
        <v>2636</v>
      </c>
      <c r="K1729" s="8" t="s">
        <v>2637</v>
      </c>
      <c r="L1729" s="7">
        <v>2014</v>
      </c>
      <c r="M1729" s="8" t="s">
        <v>2639</v>
      </c>
      <c r="N1729" s="11"/>
      <c r="O1729" s="8" t="s">
        <v>2640</v>
      </c>
      <c r="P1729" s="8" t="s">
        <v>2641</v>
      </c>
      <c r="Q1729" s="8"/>
      <c r="R1729" s="8" t="s">
        <v>3425</v>
      </c>
    </row>
    <row r="1730" spans="1:18" ht="26.15" customHeight="1">
      <c r="A1730" s="7">
        <v>1724</v>
      </c>
      <c r="B1730" s="8" t="s">
        <v>4715</v>
      </c>
      <c r="C1730" s="8" t="s">
        <v>3139</v>
      </c>
      <c r="D1730" s="8" t="s">
        <v>4716</v>
      </c>
      <c r="E1730" s="8" t="s">
        <v>3116</v>
      </c>
      <c r="F1730" s="9" t="s">
        <v>3123</v>
      </c>
      <c r="G1730" s="10">
        <v>42256</v>
      </c>
      <c r="H1730" s="8" t="s">
        <v>25</v>
      </c>
      <c r="I1730" s="11" t="s">
        <v>50</v>
      </c>
      <c r="J1730" s="8" t="s">
        <v>2636</v>
      </c>
      <c r="K1730" s="8" t="s">
        <v>2637</v>
      </c>
      <c r="L1730" s="7">
        <v>2014</v>
      </c>
      <c r="M1730" s="8" t="s">
        <v>2639</v>
      </c>
      <c r="N1730" s="11"/>
      <c r="O1730" s="8" t="s">
        <v>2640</v>
      </c>
      <c r="P1730" s="8" t="s">
        <v>2641</v>
      </c>
      <c r="Q1730" s="8"/>
      <c r="R1730" s="8"/>
    </row>
    <row r="1731" spans="1:18" ht="26.15" customHeight="1">
      <c r="A1731" s="7">
        <v>1725</v>
      </c>
      <c r="B1731" s="8" t="s">
        <v>4717</v>
      </c>
      <c r="C1731" s="8"/>
      <c r="D1731" s="8" t="s">
        <v>4718</v>
      </c>
      <c r="E1731" s="8" t="s">
        <v>3116</v>
      </c>
      <c r="F1731" s="9" t="s">
        <v>3123</v>
      </c>
      <c r="G1731" s="10">
        <v>42256</v>
      </c>
      <c r="H1731" s="8" t="s">
        <v>25</v>
      </c>
      <c r="I1731" s="11" t="s">
        <v>50</v>
      </c>
      <c r="J1731" s="8" t="s">
        <v>2636</v>
      </c>
      <c r="K1731" s="8" t="s">
        <v>2637</v>
      </c>
      <c r="L1731" s="7">
        <v>2014</v>
      </c>
      <c r="M1731" s="8" t="s">
        <v>2639</v>
      </c>
      <c r="N1731" s="11"/>
      <c r="O1731" s="8" t="s">
        <v>2640</v>
      </c>
      <c r="P1731" s="8" t="s">
        <v>2641</v>
      </c>
      <c r="Q1731" s="8"/>
      <c r="R1731" s="8" t="s">
        <v>3357</v>
      </c>
    </row>
    <row r="1732" spans="1:18" ht="26.15" customHeight="1">
      <c r="A1732" s="7">
        <v>1726</v>
      </c>
      <c r="B1732" s="8" t="s">
        <v>1134</v>
      </c>
      <c r="C1732" s="8" t="s">
        <v>3114</v>
      </c>
      <c r="D1732" s="8" t="s">
        <v>3193</v>
      </c>
      <c r="E1732" s="8" t="s">
        <v>3116</v>
      </c>
      <c r="F1732" s="9" t="s">
        <v>3117</v>
      </c>
      <c r="G1732" s="10">
        <v>42255</v>
      </c>
      <c r="H1732" s="8" t="s">
        <v>34</v>
      </c>
      <c r="I1732" s="11" t="s">
        <v>50</v>
      </c>
      <c r="J1732" s="8" t="s">
        <v>210</v>
      </c>
      <c r="K1732" s="8" t="s">
        <v>211</v>
      </c>
      <c r="L1732" s="7">
        <v>2013</v>
      </c>
      <c r="M1732" s="8" t="s">
        <v>214</v>
      </c>
      <c r="N1732" s="11">
        <v>4000000</v>
      </c>
      <c r="O1732" s="8" t="s">
        <v>215</v>
      </c>
      <c r="P1732" s="8" t="s">
        <v>216</v>
      </c>
      <c r="Q1732" s="8"/>
      <c r="R1732" s="8" t="s">
        <v>3194</v>
      </c>
    </row>
    <row r="1733" spans="1:18" ht="26.15" customHeight="1">
      <c r="A1733" s="7">
        <v>1727</v>
      </c>
      <c r="B1733" s="8" t="s">
        <v>4719</v>
      </c>
      <c r="C1733" s="8" t="s">
        <v>3114</v>
      </c>
      <c r="D1733" s="8" t="s">
        <v>4720</v>
      </c>
      <c r="E1733" s="8" t="s">
        <v>3116</v>
      </c>
      <c r="F1733" s="9" t="s">
        <v>3123</v>
      </c>
      <c r="G1733" s="10">
        <v>42255</v>
      </c>
      <c r="H1733" s="8" t="s">
        <v>34</v>
      </c>
      <c r="I1733" s="11" t="s">
        <v>50</v>
      </c>
      <c r="J1733" s="8" t="s">
        <v>210</v>
      </c>
      <c r="K1733" s="8" t="s">
        <v>211</v>
      </c>
      <c r="L1733" s="7">
        <v>2013</v>
      </c>
      <c r="M1733" s="8" t="s">
        <v>214</v>
      </c>
      <c r="N1733" s="11">
        <v>4000000</v>
      </c>
      <c r="O1733" s="8" t="s">
        <v>215</v>
      </c>
      <c r="P1733" s="8" t="s">
        <v>216</v>
      </c>
      <c r="Q1733" s="8"/>
      <c r="R1733" s="8" t="s">
        <v>207</v>
      </c>
    </row>
    <row r="1734" spans="1:18" ht="26.15" customHeight="1">
      <c r="A1734" s="7">
        <v>1728</v>
      </c>
      <c r="B1734" s="8" t="s">
        <v>356</v>
      </c>
      <c r="C1734" s="8" t="s">
        <v>3114</v>
      </c>
      <c r="D1734" s="8" t="s">
        <v>3341</v>
      </c>
      <c r="E1734" s="8" t="s">
        <v>3116</v>
      </c>
      <c r="F1734" s="9" t="s">
        <v>3123</v>
      </c>
      <c r="G1734" s="10">
        <v>42248</v>
      </c>
      <c r="H1734" s="8" t="s">
        <v>34</v>
      </c>
      <c r="I1734" s="11" t="s">
        <v>50</v>
      </c>
      <c r="J1734" s="8" t="s">
        <v>1900</v>
      </c>
      <c r="K1734" s="8" t="s">
        <v>1901</v>
      </c>
      <c r="L1734" s="7">
        <v>2015</v>
      </c>
      <c r="M1734" s="8" t="s">
        <v>357</v>
      </c>
      <c r="N1734" s="11">
        <v>1500000</v>
      </c>
      <c r="O1734" s="8" t="s">
        <v>1903</v>
      </c>
      <c r="P1734" s="8" t="s">
        <v>1904</v>
      </c>
      <c r="Q1734" s="8"/>
      <c r="R1734" s="8" t="s">
        <v>357</v>
      </c>
    </row>
    <row r="1735" spans="1:18" ht="26.15" customHeight="1">
      <c r="A1735" s="7">
        <v>1729</v>
      </c>
      <c r="B1735" s="8" t="s">
        <v>4177</v>
      </c>
      <c r="C1735" s="8" t="s">
        <v>3139</v>
      </c>
      <c r="D1735" s="8" t="s">
        <v>4178</v>
      </c>
      <c r="E1735" s="8" t="s">
        <v>3116</v>
      </c>
      <c r="F1735" s="9" t="s">
        <v>3123</v>
      </c>
      <c r="G1735" s="10">
        <v>42247</v>
      </c>
      <c r="H1735" s="8" t="s">
        <v>184</v>
      </c>
      <c r="I1735" s="11" t="s">
        <v>50</v>
      </c>
      <c r="J1735" s="8" t="s">
        <v>2644</v>
      </c>
      <c r="K1735" s="8" t="s">
        <v>2645</v>
      </c>
      <c r="L1735" s="7">
        <v>2014</v>
      </c>
      <c r="M1735" s="8" t="s">
        <v>47</v>
      </c>
      <c r="N1735" s="11"/>
      <c r="O1735" s="8" t="s">
        <v>2646</v>
      </c>
      <c r="P1735" s="8" t="s">
        <v>2647</v>
      </c>
      <c r="Q1735" s="8"/>
      <c r="R1735" s="8" t="s">
        <v>56</v>
      </c>
    </row>
    <row r="1736" spans="1:18" ht="26.15" customHeight="1">
      <c r="A1736" s="7">
        <v>1730</v>
      </c>
      <c r="B1736" s="8" t="s">
        <v>3256</v>
      </c>
      <c r="C1736" s="8" t="s">
        <v>3114</v>
      </c>
      <c r="D1736" s="8" t="s">
        <v>3257</v>
      </c>
      <c r="E1736" s="8" t="s">
        <v>3116</v>
      </c>
      <c r="F1736" s="9" t="s">
        <v>3123</v>
      </c>
      <c r="G1736" s="10">
        <v>42247</v>
      </c>
      <c r="H1736" s="8" t="s">
        <v>34</v>
      </c>
      <c r="I1736" s="11">
        <v>750000</v>
      </c>
      <c r="J1736" s="8" t="s">
        <v>1802</v>
      </c>
      <c r="K1736" s="8" t="s">
        <v>1803</v>
      </c>
      <c r="L1736" s="7">
        <v>2015</v>
      </c>
      <c r="M1736" s="8" t="s">
        <v>369</v>
      </c>
      <c r="N1736" s="11">
        <v>910000</v>
      </c>
      <c r="O1736" s="8" t="s">
        <v>1806</v>
      </c>
      <c r="P1736" s="8" t="s">
        <v>1807</v>
      </c>
      <c r="Q1736" s="8"/>
      <c r="R1736" s="8" t="s">
        <v>369</v>
      </c>
    </row>
    <row r="1737" spans="1:18" ht="26.15" customHeight="1">
      <c r="A1737" s="7">
        <v>1731</v>
      </c>
      <c r="B1737" s="8" t="s">
        <v>2650</v>
      </c>
      <c r="C1737" s="8" t="s">
        <v>3139</v>
      </c>
      <c r="D1737" s="8" t="s">
        <v>4283</v>
      </c>
      <c r="E1737" s="8" t="s">
        <v>3116</v>
      </c>
      <c r="F1737" s="9" t="s">
        <v>3117</v>
      </c>
      <c r="G1737" s="10">
        <v>42237</v>
      </c>
      <c r="H1737" s="8" t="s">
        <v>34</v>
      </c>
      <c r="I1737" s="11">
        <v>305854</v>
      </c>
      <c r="J1737" s="8" t="s">
        <v>1330</v>
      </c>
      <c r="K1737" s="8" t="s">
        <v>1331</v>
      </c>
      <c r="L1737" s="7">
        <v>2010</v>
      </c>
      <c r="M1737" s="8" t="s">
        <v>79</v>
      </c>
      <c r="N1737" s="11">
        <v>15568800</v>
      </c>
      <c r="O1737" s="8" t="s">
        <v>1334</v>
      </c>
      <c r="P1737" s="8" t="s">
        <v>1335</v>
      </c>
      <c r="Q1737" s="8"/>
      <c r="R1737" s="8" t="s">
        <v>3632</v>
      </c>
    </row>
    <row r="1738" spans="1:18" ht="26.15" customHeight="1">
      <c r="A1738" s="7">
        <v>1732</v>
      </c>
      <c r="B1738" s="8" t="s">
        <v>1467</v>
      </c>
      <c r="C1738" s="8" t="s">
        <v>3114</v>
      </c>
      <c r="D1738" s="8" t="s">
        <v>3196</v>
      </c>
      <c r="E1738" s="8" t="s">
        <v>3116</v>
      </c>
      <c r="F1738" s="9" t="s">
        <v>3123</v>
      </c>
      <c r="G1738" s="10">
        <v>42237</v>
      </c>
      <c r="H1738" s="8" t="s">
        <v>34</v>
      </c>
      <c r="I1738" s="11">
        <v>305854</v>
      </c>
      <c r="J1738" s="8" t="s">
        <v>1330</v>
      </c>
      <c r="K1738" s="8" t="s">
        <v>1331</v>
      </c>
      <c r="L1738" s="7">
        <v>2010</v>
      </c>
      <c r="M1738" s="8" t="s">
        <v>79</v>
      </c>
      <c r="N1738" s="11">
        <v>15568800</v>
      </c>
      <c r="O1738" s="8" t="s">
        <v>1334</v>
      </c>
      <c r="P1738" s="8" t="s">
        <v>1335</v>
      </c>
      <c r="Q1738" s="8"/>
      <c r="R1738" s="8" t="s">
        <v>313</v>
      </c>
    </row>
    <row r="1739" spans="1:18" ht="26.15" customHeight="1">
      <c r="A1739" s="7">
        <v>1733</v>
      </c>
      <c r="B1739" s="8" t="s">
        <v>2655</v>
      </c>
      <c r="C1739" s="8" t="s">
        <v>3139</v>
      </c>
      <c r="D1739" s="8" t="s">
        <v>4721</v>
      </c>
      <c r="E1739" s="8" t="s">
        <v>3116</v>
      </c>
      <c r="F1739" s="9" t="s">
        <v>3117</v>
      </c>
      <c r="G1739" s="10">
        <v>42230</v>
      </c>
      <c r="H1739" s="8" t="s">
        <v>109</v>
      </c>
      <c r="I1739" s="11">
        <v>6632060</v>
      </c>
      <c r="J1739" s="8" t="s">
        <v>2651</v>
      </c>
      <c r="K1739" s="8" t="s">
        <v>2652</v>
      </c>
      <c r="L1739" s="7">
        <v>2010</v>
      </c>
      <c r="M1739" s="8" t="s">
        <v>79</v>
      </c>
      <c r="N1739" s="11">
        <v>8883505</v>
      </c>
      <c r="O1739" s="8" t="s">
        <v>2656</v>
      </c>
      <c r="P1739" s="8" t="s">
        <v>2657</v>
      </c>
      <c r="Q1739" s="8"/>
      <c r="R1739" s="8" t="s">
        <v>313</v>
      </c>
    </row>
    <row r="1740" spans="1:18" ht="26.15" customHeight="1">
      <c r="A1740" s="7">
        <v>1734</v>
      </c>
      <c r="B1740" s="8" t="s">
        <v>3002</v>
      </c>
      <c r="C1740" s="8" t="s">
        <v>3127</v>
      </c>
      <c r="D1740" s="8"/>
      <c r="E1740" s="8" t="s">
        <v>3128</v>
      </c>
      <c r="F1740" s="9" t="s">
        <v>3123</v>
      </c>
      <c r="G1740" s="10">
        <v>42230</v>
      </c>
      <c r="H1740" s="8" t="s">
        <v>109</v>
      </c>
      <c r="I1740" s="11">
        <v>6632060</v>
      </c>
      <c r="J1740" s="8" t="s">
        <v>2651</v>
      </c>
      <c r="K1740" s="8" t="s">
        <v>2652</v>
      </c>
      <c r="L1740" s="7">
        <v>2010</v>
      </c>
      <c r="M1740" s="8" t="s">
        <v>79</v>
      </c>
      <c r="N1740" s="11">
        <v>8883505</v>
      </c>
      <c r="O1740" s="8" t="s">
        <v>2656</v>
      </c>
      <c r="P1740" s="8" t="s">
        <v>2657</v>
      </c>
      <c r="Q1740" s="8"/>
      <c r="R1740" s="8"/>
    </row>
    <row r="1741" spans="1:18" ht="26.15" customHeight="1">
      <c r="A1741" s="7">
        <v>1735</v>
      </c>
      <c r="B1741" s="8" t="s">
        <v>3071</v>
      </c>
      <c r="C1741" s="8" t="s">
        <v>3127</v>
      </c>
      <c r="D1741" s="8"/>
      <c r="E1741" s="8" t="s">
        <v>3128</v>
      </c>
      <c r="F1741" s="9" t="s">
        <v>3123</v>
      </c>
      <c r="G1741" s="10">
        <v>42230</v>
      </c>
      <c r="H1741" s="8" t="s">
        <v>109</v>
      </c>
      <c r="I1741" s="11">
        <v>6632060</v>
      </c>
      <c r="J1741" s="8" t="s">
        <v>2651</v>
      </c>
      <c r="K1741" s="8" t="s">
        <v>2652</v>
      </c>
      <c r="L1741" s="7">
        <v>2010</v>
      </c>
      <c r="M1741" s="8" t="s">
        <v>79</v>
      </c>
      <c r="N1741" s="11">
        <v>8883505</v>
      </c>
      <c r="O1741" s="8" t="s">
        <v>2656</v>
      </c>
      <c r="P1741" s="8" t="s">
        <v>2657</v>
      </c>
      <c r="Q1741" s="8"/>
      <c r="R1741" s="8"/>
    </row>
    <row r="1742" spans="1:18" ht="26.15" customHeight="1">
      <c r="A1742" s="7">
        <v>1736</v>
      </c>
      <c r="B1742" s="8" t="s">
        <v>4549</v>
      </c>
      <c r="C1742" s="8" t="s">
        <v>3139</v>
      </c>
      <c r="D1742" s="8" t="s">
        <v>4550</v>
      </c>
      <c r="E1742" s="8" t="s">
        <v>3116</v>
      </c>
      <c r="F1742" s="9" t="s">
        <v>3123</v>
      </c>
      <c r="G1742" s="10">
        <v>42230</v>
      </c>
      <c r="H1742" s="8" t="s">
        <v>34</v>
      </c>
      <c r="I1742" s="11" t="s">
        <v>50</v>
      </c>
      <c r="J1742" s="8" t="s">
        <v>2377</v>
      </c>
      <c r="K1742" s="8" t="s">
        <v>2378</v>
      </c>
      <c r="L1742" s="7">
        <v>2014</v>
      </c>
      <c r="M1742" s="8" t="s">
        <v>894</v>
      </c>
      <c r="N1742" s="11">
        <v>5000000</v>
      </c>
      <c r="O1742" s="8" t="s">
        <v>2380</v>
      </c>
      <c r="P1742" s="8" t="s">
        <v>2381</v>
      </c>
      <c r="Q1742" s="8"/>
      <c r="R1742" s="8" t="s">
        <v>2057</v>
      </c>
    </row>
    <row r="1743" spans="1:18" ht="26.15" customHeight="1">
      <c r="A1743" s="7">
        <v>1737</v>
      </c>
      <c r="B1743" s="8" t="s">
        <v>113</v>
      </c>
      <c r="C1743" s="8" t="s">
        <v>3114</v>
      </c>
      <c r="D1743" s="8" t="s">
        <v>3163</v>
      </c>
      <c r="E1743" s="8" t="s">
        <v>3116</v>
      </c>
      <c r="F1743" s="9" t="s">
        <v>3117</v>
      </c>
      <c r="G1743" s="10">
        <v>42229</v>
      </c>
      <c r="H1743" s="8" t="s">
        <v>109</v>
      </c>
      <c r="I1743" s="11">
        <v>4000000</v>
      </c>
      <c r="J1743" s="8" t="s">
        <v>1171</v>
      </c>
      <c r="K1743" s="8" t="s">
        <v>1172</v>
      </c>
      <c r="L1743" s="7">
        <v>2008</v>
      </c>
      <c r="M1743" s="8" t="s">
        <v>47</v>
      </c>
      <c r="N1743" s="11">
        <v>47182672</v>
      </c>
      <c r="O1743" s="8" t="s">
        <v>1175</v>
      </c>
      <c r="P1743" s="8" t="s">
        <v>1176</v>
      </c>
      <c r="Q1743" s="8"/>
      <c r="R1743" s="8" t="s">
        <v>79</v>
      </c>
    </row>
    <row r="1744" spans="1:18" ht="26.15" customHeight="1">
      <c r="A1744" s="7">
        <v>1738</v>
      </c>
      <c r="B1744" s="8" t="s">
        <v>484</v>
      </c>
      <c r="C1744" s="8" t="s">
        <v>3114</v>
      </c>
      <c r="D1744" s="8" t="s">
        <v>3164</v>
      </c>
      <c r="E1744" s="8" t="s">
        <v>3116</v>
      </c>
      <c r="F1744" s="9" t="s">
        <v>3123</v>
      </c>
      <c r="G1744" s="10">
        <v>42229</v>
      </c>
      <c r="H1744" s="8" t="s">
        <v>109</v>
      </c>
      <c r="I1744" s="11">
        <v>4000000</v>
      </c>
      <c r="J1744" s="8" t="s">
        <v>1171</v>
      </c>
      <c r="K1744" s="8" t="s">
        <v>1172</v>
      </c>
      <c r="L1744" s="7">
        <v>2008</v>
      </c>
      <c r="M1744" s="8" t="s">
        <v>47</v>
      </c>
      <c r="N1744" s="11">
        <v>47182672</v>
      </c>
      <c r="O1744" s="8" t="s">
        <v>1175</v>
      </c>
      <c r="P1744" s="8" t="s">
        <v>1176</v>
      </c>
      <c r="Q1744" s="8"/>
      <c r="R1744" s="8" t="s">
        <v>313</v>
      </c>
    </row>
    <row r="1745" spans="1:18" ht="26.15" customHeight="1">
      <c r="A1745" s="7">
        <v>1739</v>
      </c>
      <c r="B1745" s="8" t="s">
        <v>4722</v>
      </c>
      <c r="C1745" s="8" t="s">
        <v>3139</v>
      </c>
      <c r="D1745" s="8" t="s">
        <v>4723</v>
      </c>
      <c r="E1745" s="8" t="s">
        <v>3116</v>
      </c>
      <c r="F1745" s="9" t="s">
        <v>3117</v>
      </c>
      <c r="G1745" s="10">
        <v>42217</v>
      </c>
      <c r="H1745" s="8" t="s">
        <v>95</v>
      </c>
      <c r="I1745" s="11" t="s">
        <v>50</v>
      </c>
      <c r="J1745" s="8" t="s">
        <v>1411</v>
      </c>
      <c r="K1745" s="8" t="s">
        <v>1412</v>
      </c>
      <c r="L1745" s="7">
        <v>2014</v>
      </c>
      <c r="M1745" s="8" t="s">
        <v>278</v>
      </c>
      <c r="N1745" s="11">
        <v>1303000000</v>
      </c>
      <c r="O1745" s="8" t="s">
        <v>1415</v>
      </c>
      <c r="P1745" s="8" t="s">
        <v>1416</v>
      </c>
      <c r="Q1745" s="8"/>
      <c r="R1745" s="8" t="s">
        <v>278</v>
      </c>
    </row>
    <row r="1746" spans="1:18" ht="26.15" customHeight="1">
      <c r="A1746" s="7">
        <v>1740</v>
      </c>
      <c r="B1746" s="8" t="s">
        <v>4724</v>
      </c>
      <c r="C1746" s="8" t="s">
        <v>3139</v>
      </c>
      <c r="D1746" s="8" t="s">
        <v>4725</v>
      </c>
      <c r="E1746" s="8" t="s">
        <v>3116</v>
      </c>
      <c r="F1746" s="9" t="s">
        <v>3117</v>
      </c>
      <c r="G1746" s="10">
        <v>42217</v>
      </c>
      <c r="H1746" s="8" t="s">
        <v>95</v>
      </c>
      <c r="I1746" s="11" t="s">
        <v>50</v>
      </c>
      <c r="J1746" s="8" t="s">
        <v>1411</v>
      </c>
      <c r="K1746" s="8" t="s">
        <v>1412</v>
      </c>
      <c r="L1746" s="7">
        <v>2014</v>
      </c>
      <c r="M1746" s="8" t="s">
        <v>278</v>
      </c>
      <c r="N1746" s="11">
        <v>1303000000</v>
      </c>
      <c r="O1746" s="8" t="s">
        <v>1415</v>
      </c>
      <c r="P1746" s="8" t="s">
        <v>1416</v>
      </c>
      <c r="Q1746" s="8"/>
      <c r="R1746" s="8" t="s">
        <v>4726</v>
      </c>
    </row>
    <row r="1747" spans="1:18" ht="26.15" customHeight="1">
      <c r="A1747" s="7">
        <v>1741</v>
      </c>
      <c r="B1747" s="8" t="s">
        <v>4727</v>
      </c>
      <c r="C1747" s="8" t="s">
        <v>3127</v>
      </c>
      <c r="D1747" s="8"/>
      <c r="E1747" s="8" t="s">
        <v>3128</v>
      </c>
      <c r="F1747" s="9" t="s">
        <v>3123</v>
      </c>
      <c r="G1747" s="10">
        <v>42209</v>
      </c>
      <c r="H1747" s="8" t="s">
        <v>34</v>
      </c>
      <c r="I1747" s="11">
        <v>600000</v>
      </c>
      <c r="J1747" s="8" t="s">
        <v>259</v>
      </c>
      <c r="K1747" s="8" t="s">
        <v>260</v>
      </c>
      <c r="L1747" s="7">
        <v>2013</v>
      </c>
      <c r="M1747" s="8" t="s">
        <v>79</v>
      </c>
      <c r="N1747" s="11">
        <v>5345286</v>
      </c>
      <c r="O1747" s="8" t="s">
        <v>264</v>
      </c>
      <c r="P1747" s="8" t="s">
        <v>265</v>
      </c>
      <c r="Q1747" s="8"/>
      <c r="R1747" s="8"/>
    </row>
    <row r="1748" spans="1:18" ht="26.15" customHeight="1">
      <c r="A1748" s="7">
        <v>1742</v>
      </c>
      <c r="B1748" s="8" t="s">
        <v>4728</v>
      </c>
      <c r="C1748" s="8" t="s">
        <v>3127</v>
      </c>
      <c r="D1748" s="8"/>
      <c r="E1748" s="8" t="s">
        <v>3128</v>
      </c>
      <c r="F1748" s="9" t="s">
        <v>3123</v>
      </c>
      <c r="G1748" s="10">
        <v>42209</v>
      </c>
      <c r="H1748" s="8" t="s">
        <v>34</v>
      </c>
      <c r="I1748" s="11">
        <v>600000</v>
      </c>
      <c r="J1748" s="8" t="s">
        <v>259</v>
      </c>
      <c r="K1748" s="8" t="s">
        <v>260</v>
      </c>
      <c r="L1748" s="7">
        <v>2013</v>
      </c>
      <c r="M1748" s="8" t="s">
        <v>79</v>
      </c>
      <c r="N1748" s="11">
        <v>5345286</v>
      </c>
      <c r="O1748" s="8" t="s">
        <v>264</v>
      </c>
      <c r="P1748" s="8" t="s">
        <v>265</v>
      </c>
      <c r="Q1748" s="8"/>
      <c r="R1748" s="8"/>
    </row>
    <row r="1749" spans="1:18" ht="26.15" customHeight="1">
      <c r="A1749" s="7">
        <v>1743</v>
      </c>
      <c r="B1749" s="8" t="s">
        <v>4729</v>
      </c>
      <c r="C1749" s="8" t="s">
        <v>3127</v>
      </c>
      <c r="D1749" s="8"/>
      <c r="E1749" s="8" t="s">
        <v>3128</v>
      </c>
      <c r="F1749" s="9" t="s">
        <v>3123</v>
      </c>
      <c r="G1749" s="10">
        <v>42209</v>
      </c>
      <c r="H1749" s="8" t="s">
        <v>34</v>
      </c>
      <c r="I1749" s="11">
        <v>600000</v>
      </c>
      <c r="J1749" s="8" t="s">
        <v>259</v>
      </c>
      <c r="K1749" s="8" t="s">
        <v>260</v>
      </c>
      <c r="L1749" s="7">
        <v>2013</v>
      </c>
      <c r="M1749" s="8" t="s">
        <v>79</v>
      </c>
      <c r="N1749" s="11">
        <v>5345286</v>
      </c>
      <c r="O1749" s="8" t="s">
        <v>264</v>
      </c>
      <c r="P1749" s="8" t="s">
        <v>265</v>
      </c>
      <c r="Q1749" s="8"/>
      <c r="R1749" s="8"/>
    </row>
    <row r="1750" spans="1:18" ht="26.15" customHeight="1">
      <c r="A1750" s="7">
        <v>1744</v>
      </c>
      <c r="B1750" s="8" t="s">
        <v>4572</v>
      </c>
      <c r="C1750" s="8" t="s">
        <v>3127</v>
      </c>
      <c r="D1750" s="8"/>
      <c r="E1750" s="8" t="s">
        <v>3128</v>
      </c>
      <c r="F1750" s="9" t="s">
        <v>3123</v>
      </c>
      <c r="G1750" s="10">
        <v>42209</v>
      </c>
      <c r="H1750" s="8" t="s">
        <v>34</v>
      </c>
      <c r="I1750" s="11">
        <v>600000</v>
      </c>
      <c r="J1750" s="8" t="s">
        <v>259</v>
      </c>
      <c r="K1750" s="8" t="s">
        <v>260</v>
      </c>
      <c r="L1750" s="7">
        <v>2013</v>
      </c>
      <c r="M1750" s="8" t="s">
        <v>79</v>
      </c>
      <c r="N1750" s="11">
        <v>5345286</v>
      </c>
      <c r="O1750" s="8" t="s">
        <v>264</v>
      </c>
      <c r="P1750" s="8" t="s">
        <v>265</v>
      </c>
      <c r="Q1750" s="8"/>
      <c r="R1750" s="8"/>
    </row>
    <row r="1751" spans="1:18" ht="26.15" customHeight="1">
      <c r="A1751" s="7">
        <v>1745</v>
      </c>
      <c r="B1751" s="8" t="s">
        <v>4307</v>
      </c>
      <c r="C1751" s="8" t="s">
        <v>3114</v>
      </c>
      <c r="D1751" s="8" t="s">
        <v>4308</v>
      </c>
      <c r="E1751" s="8" t="s">
        <v>3116</v>
      </c>
      <c r="F1751" s="9" t="s">
        <v>3123</v>
      </c>
      <c r="G1751" s="10">
        <v>42209</v>
      </c>
      <c r="H1751" s="8" t="s">
        <v>34</v>
      </c>
      <c r="I1751" s="11">
        <v>600000</v>
      </c>
      <c r="J1751" s="8" t="s">
        <v>259</v>
      </c>
      <c r="K1751" s="8" t="s">
        <v>260</v>
      </c>
      <c r="L1751" s="7">
        <v>2013</v>
      </c>
      <c r="M1751" s="8" t="s">
        <v>79</v>
      </c>
      <c r="N1751" s="11">
        <v>5345286</v>
      </c>
      <c r="O1751" s="8" t="s">
        <v>264</v>
      </c>
      <c r="P1751" s="8" t="s">
        <v>265</v>
      </c>
      <c r="Q1751" s="8"/>
      <c r="R1751" s="8" t="s">
        <v>79</v>
      </c>
    </row>
    <row r="1752" spans="1:18" ht="26.15" customHeight="1">
      <c r="A1752" s="7">
        <v>1746</v>
      </c>
      <c r="B1752" s="8" t="s">
        <v>4730</v>
      </c>
      <c r="C1752" s="8" t="s">
        <v>3127</v>
      </c>
      <c r="D1752" s="8"/>
      <c r="E1752" s="8" t="s">
        <v>3128</v>
      </c>
      <c r="F1752" s="9" t="s">
        <v>3123</v>
      </c>
      <c r="G1752" s="10">
        <v>42209</v>
      </c>
      <c r="H1752" s="8" t="s">
        <v>34</v>
      </c>
      <c r="I1752" s="11">
        <v>600000</v>
      </c>
      <c r="J1752" s="8" t="s">
        <v>259</v>
      </c>
      <c r="K1752" s="8" t="s">
        <v>260</v>
      </c>
      <c r="L1752" s="7">
        <v>2013</v>
      </c>
      <c r="M1752" s="8" t="s">
        <v>79</v>
      </c>
      <c r="N1752" s="11">
        <v>5345286</v>
      </c>
      <c r="O1752" s="8" t="s">
        <v>264</v>
      </c>
      <c r="P1752" s="8" t="s">
        <v>265</v>
      </c>
      <c r="Q1752" s="8"/>
      <c r="R1752" s="8"/>
    </row>
    <row r="1753" spans="1:18" ht="26.15" customHeight="1">
      <c r="A1753" s="7">
        <v>1747</v>
      </c>
      <c r="B1753" s="8" t="s">
        <v>4731</v>
      </c>
      <c r="C1753" s="8" t="s">
        <v>3127</v>
      </c>
      <c r="D1753" s="8"/>
      <c r="E1753" s="8" t="s">
        <v>3128</v>
      </c>
      <c r="F1753" s="9" t="s">
        <v>3123</v>
      </c>
      <c r="G1753" s="10">
        <v>42209</v>
      </c>
      <c r="H1753" s="8" t="s">
        <v>34</v>
      </c>
      <c r="I1753" s="11">
        <v>600000</v>
      </c>
      <c r="J1753" s="8" t="s">
        <v>259</v>
      </c>
      <c r="K1753" s="8" t="s">
        <v>260</v>
      </c>
      <c r="L1753" s="7">
        <v>2013</v>
      </c>
      <c r="M1753" s="8" t="s">
        <v>79</v>
      </c>
      <c r="N1753" s="11">
        <v>5345286</v>
      </c>
      <c r="O1753" s="8" t="s">
        <v>264</v>
      </c>
      <c r="P1753" s="8" t="s">
        <v>265</v>
      </c>
      <c r="Q1753" s="8"/>
      <c r="R1753" s="8"/>
    </row>
    <row r="1754" spans="1:18" ht="26.15" customHeight="1">
      <c r="A1754" s="7">
        <v>1748</v>
      </c>
      <c r="B1754" s="8" t="s">
        <v>4309</v>
      </c>
      <c r="C1754" s="8" t="s">
        <v>3127</v>
      </c>
      <c r="D1754" s="8"/>
      <c r="E1754" s="8" t="s">
        <v>3128</v>
      </c>
      <c r="F1754" s="9" t="s">
        <v>3123</v>
      </c>
      <c r="G1754" s="10">
        <v>42209</v>
      </c>
      <c r="H1754" s="8" t="s">
        <v>34</v>
      </c>
      <c r="I1754" s="11">
        <v>600000</v>
      </c>
      <c r="J1754" s="8" t="s">
        <v>259</v>
      </c>
      <c r="K1754" s="8" t="s">
        <v>260</v>
      </c>
      <c r="L1754" s="7">
        <v>2013</v>
      </c>
      <c r="M1754" s="8" t="s">
        <v>79</v>
      </c>
      <c r="N1754" s="11">
        <v>5345286</v>
      </c>
      <c r="O1754" s="8" t="s">
        <v>264</v>
      </c>
      <c r="P1754" s="8" t="s">
        <v>265</v>
      </c>
      <c r="Q1754" s="8"/>
      <c r="R1754" s="8"/>
    </row>
    <row r="1755" spans="1:18" ht="26.15" customHeight="1">
      <c r="A1755" s="7">
        <v>1749</v>
      </c>
      <c r="B1755" s="8" t="s">
        <v>4732</v>
      </c>
      <c r="C1755" s="8" t="s">
        <v>3127</v>
      </c>
      <c r="D1755" s="8"/>
      <c r="E1755" s="8" t="s">
        <v>3128</v>
      </c>
      <c r="F1755" s="9" t="s">
        <v>3123</v>
      </c>
      <c r="G1755" s="10">
        <v>42209</v>
      </c>
      <c r="H1755" s="8" t="s">
        <v>34</v>
      </c>
      <c r="I1755" s="11">
        <v>600000</v>
      </c>
      <c r="J1755" s="8" t="s">
        <v>259</v>
      </c>
      <c r="K1755" s="8" t="s">
        <v>260</v>
      </c>
      <c r="L1755" s="7">
        <v>2013</v>
      </c>
      <c r="M1755" s="8" t="s">
        <v>79</v>
      </c>
      <c r="N1755" s="11">
        <v>5345286</v>
      </c>
      <c r="O1755" s="8" t="s">
        <v>264</v>
      </c>
      <c r="P1755" s="8" t="s">
        <v>265</v>
      </c>
      <c r="Q1755" s="8"/>
      <c r="R1755" s="8"/>
    </row>
    <row r="1756" spans="1:18" ht="26.15" customHeight="1">
      <c r="A1756" s="7">
        <v>1750</v>
      </c>
      <c r="B1756" s="8" t="s">
        <v>4733</v>
      </c>
      <c r="C1756" s="8" t="s">
        <v>3127</v>
      </c>
      <c r="D1756" s="8"/>
      <c r="E1756" s="8" t="s">
        <v>3128</v>
      </c>
      <c r="F1756" s="9" t="s">
        <v>3123</v>
      </c>
      <c r="G1756" s="10">
        <v>42209</v>
      </c>
      <c r="H1756" s="8" t="s">
        <v>34</v>
      </c>
      <c r="I1756" s="11">
        <v>600000</v>
      </c>
      <c r="J1756" s="8" t="s">
        <v>259</v>
      </c>
      <c r="K1756" s="8" t="s">
        <v>260</v>
      </c>
      <c r="L1756" s="7">
        <v>2013</v>
      </c>
      <c r="M1756" s="8" t="s">
        <v>79</v>
      </c>
      <c r="N1756" s="11">
        <v>5345286</v>
      </c>
      <c r="O1756" s="8" t="s">
        <v>264</v>
      </c>
      <c r="P1756" s="8" t="s">
        <v>265</v>
      </c>
      <c r="Q1756" s="8"/>
      <c r="R1756" s="8"/>
    </row>
    <row r="1757" spans="1:18" ht="26.15" customHeight="1">
      <c r="A1757" s="7">
        <v>1751</v>
      </c>
      <c r="B1757" s="8" t="s">
        <v>4734</v>
      </c>
      <c r="C1757" s="8" t="s">
        <v>3127</v>
      </c>
      <c r="D1757" s="8"/>
      <c r="E1757" s="8" t="s">
        <v>3128</v>
      </c>
      <c r="F1757" s="9" t="s">
        <v>3123</v>
      </c>
      <c r="G1757" s="10">
        <v>42209</v>
      </c>
      <c r="H1757" s="8" t="s">
        <v>34</v>
      </c>
      <c r="I1757" s="11">
        <v>600000</v>
      </c>
      <c r="J1757" s="8" t="s">
        <v>259</v>
      </c>
      <c r="K1757" s="8" t="s">
        <v>260</v>
      </c>
      <c r="L1757" s="7">
        <v>2013</v>
      </c>
      <c r="M1757" s="8" t="s">
        <v>79</v>
      </c>
      <c r="N1757" s="11">
        <v>5345286</v>
      </c>
      <c r="O1757" s="8" t="s">
        <v>264</v>
      </c>
      <c r="P1757" s="8" t="s">
        <v>265</v>
      </c>
      <c r="Q1757" s="8"/>
      <c r="R1757" s="8"/>
    </row>
    <row r="1758" spans="1:18" ht="26.15" customHeight="1">
      <c r="A1758" s="7">
        <v>1752</v>
      </c>
      <c r="B1758" s="8" t="s">
        <v>2667</v>
      </c>
      <c r="C1758" s="8" t="s">
        <v>3114</v>
      </c>
      <c r="D1758" s="8" t="s">
        <v>4305</v>
      </c>
      <c r="E1758" s="8" t="s">
        <v>3116</v>
      </c>
      <c r="F1758" s="9" t="s">
        <v>3117</v>
      </c>
      <c r="G1758" s="10">
        <v>42209</v>
      </c>
      <c r="H1758" s="8" t="s">
        <v>34</v>
      </c>
      <c r="I1758" s="11">
        <v>600000</v>
      </c>
      <c r="J1758" s="8" t="s">
        <v>259</v>
      </c>
      <c r="K1758" s="8" t="s">
        <v>260</v>
      </c>
      <c r="L1758" s="7">
        <v>2013</v>
      </c>
      <c r="M1758" s="8" t="s">
        <v>79</v>
      </c>
      <c r="N1758" s="11">
        <v>5345286</v>
      </c>
      <c r="O1758" s="8" t="s">
        <v>264</v>
      </c>
      <c r="P1758" s="8" t="s">
        <v>265</v>
      </c>
      <c r="Q1758" s="8"/>
      <c r="R1758" s="8" t="s">
        <v>4306</v>
      </c>
    </row>
    <row r="1759" spans="1:18" ht="26.15" customHeight="1">
      <c r="A1759" s="7">
        <v>1753</v>
      </c>
      <c r="B1759" s="8" t="s">
        <v>3270</v>
      </c>
      <c r="C1759" s="8" t="s">
        <v>3127</v>
      </c>
      <c r="D1759" s="8"/>
      <c r="E1759" s="8" t="s">
        <v>3128</v>
      </c>
      <c r="F1759" s="9" t="s">
        <v>3123</v>
      </c>
      <c r="G1759" s="10">
        <v>42209</v>
      </c>
      <c r="H1759" s="8" t="s">
        <v>34</v>
      </c>
      <c r="I1759" s="11">
        <v>600000</v>
      </c>
      <c r="J1759" s="8" t="s">
        <v>259</v>
      </c>
      <c r="K1759" s="8" t="s">
        <v>260</v>
      </c>
      <c r="L1759" s="7">
        <v>2013</v>
      </c>
      <c r="M1759" s="8" t="s">
        <v>79</v>
      </c>
      <c r="N1759" s="11">
        <v>5345286</v>
      </c>
      <c r="O1759" s="8" t="s">
        <v>264</v>
      </c>
      <c r="P1759" s="8" t="s">
        <v>265</v>
      </c>
      <c r="Q1759" s="8"/>
      <c r="R1759" s="8"/>
    </row>
    <row r="1760" spans="1:18" ht="26.15" customHeight="1">
      <c r="A1760" s="7">
        <v>1754</v>
      </c>
      <c r="B1760" s="8" t="s">
        <v>2675</v>
      </c>
      <c r="C1760" s="8" t="s">
        <v>3114</v>
      </c>
      <c r="D1760" s="8" t="s">
        <v>4735</v>
      </c>
      <c r="E1760" s="8" t="s">
        <v>3116</v>
      </c>
      <c r="F1760" s="9" t="s">
        <v>3117</v>
      </c>
      <c r="G1760" s="10">
        <v>42195</v>
      </c>
      <c r="H1760" s="8" t="s">
        <v>34</v>
      </c>
      <c r="I1760" s="11" t="s">
        <v>50</v>
      </c>
      <c r="J1760" s="8" t="s">
        <v>2672</v>
      </c>
      <c r="K1760" s="8" t="s">
        <v>2673</v>
      </c>
      <c r="L1760" s="7">
        <v>2014</v>
      </c>
      <c r="M1760" s="8" t="s">
        <v>2676</v>
      </c>
      <c r="N1760" s="11"/>
      <c r="O1760" s="8" t="s">
        <v>2677</v>
      </c>
      <c r="P1760" s="8" t="s">
        <v>2678</v>
      </c>
      <c r="Q1760" s="8"/>
      <c r="R1760" s="8" t="s">
        <v>2676</v>
      </c>
    </row>
    <row r="1761" spans="1:18" ht="26.15" customHeight="1">
      <c r="A1761" s="7">
        <v>1755</v>
      </c>
      <c r="B1761" s="8" t="s">
        <v>3140</v>
      </c>
      <c r="C1761" s="8" t="s">
        <v>3139</v>
      </c>
      <c r="D1761" s="8" t="s">
        <v>3141</v>
      </c>
      <c r="E1761" s="8" t="s">
        <v>3116</v>
      </c>
      <c r="F1761" s="9" t="s">
        <v>3123</v>
      </c>
      <c r="G1761" s="10">
        <v>42177</v>
      </c>
      <c r="H1761" s="8" t="s">
        <v>109</v>
      </c>
      <c r="I1761" s="11">
        <v>9000000</v>
      </c>
      <c r="J1761" s="8" t="s">
        <v>885</v>
      </c>
      <c r="K1761" s="8" t="s">
        <v>886</v>
      </c>
      <c r="L1761" s="7">
        <v>2013</v>
      </c>
      <c r="M1761" s="8" t="s">
        <v>369</v>
      </c>
      <c r="N1761" s="11">
        <v>30000000</v>
      </c>
      <c r="O1761" s="8" t="s">
        <v>889</v>
      </c>
      <c r="P1761" s="8" t="s">
        <v>890</v>
      </c>
      <c r="Q1761" s="8"/>
      <c r="R1761" s="8" t="s">
        <v>954</v>
      </c>
    </row>
    <row r="1762" spans="1:18" ht="26.15" customHeight="1">
      <c r="A1762" s="7">
        <v>1756</v>
      </c>
      <c r="B1762" s="8" t="s">
        <v>3630</v>
      </c>
      <c r="C1762" s="8" t="s">
        <v>3114</v>
      </c>
      <c r="D1762" s="8" t="s">
        <v>3631</v>
      </c>
      <c r="E1762" s="8" t="s">
        <v>3116</v>
      </c>
      <c r="F1762" s="9" t="s">
        <v>3123</v>
      </c>
      <c r="G1762" s="10">
        <v>42177</v>
      </c>
      <c r="H1762" s="8" t="s">
        <v>109</v>
      </c>
      <c r="I1762" s="11">
        <v>9000000</v>
      </c>
      <c r="J1762" s="8" t="s">
        <v>885</v>
      </c>
      <c r="K1762" s="8" t="s">
        <v>886</v>
      </c>
      <c r="L1762" s="7">
        <v>2013</v>
      </c>
      <c r="M1762" s="8" t="s">
        <v>369</v>
      </c>
      <c r="N1762" s="11">
        <v>30000000</v>
      </c>
      <c r="O1762" s="8" t="s">
        <v>889</v>
      </c>
      <c r="P1762" s="8" t="s">
        <v>890</v>
      </c>
      <c r="Q1762" s="8"/>
      <c r="R1762" s="8" t="s">
        <v>3632</v>
      </c>
    </row>
    <row r="1763" spans="1:18" ht="26.15" customHeight="1">
      <c r="A1763" s="7">
        <v>1757</v>
      </c>
      <c r="B1763" s="8" t="s">
        <v>3633</v>
      </c>
      <c r="C1763" s="8" t="s">
        <v>3114</v>
      </c>
      <c r="D1763" s="8" t="s">
        <v>3634</v>
      </c>
      <c r="E1763" s="8" t="s">
        <v>3116</v>
      </c>
      <c r="F1763" s="9" t="s">
        <v>3117</v>
      </c>
      <c r="G1763" s="10">
        <v>42177</v>
      </c>
      <c r="H1763" s="8" t="s">
        <v>109</v>
      </c>
      <c r="I1763" s="11">
        <v>9000000</v>
      </c>
      <c r="J1763" s="8" t="s">
        <v>885</v>
      </c>
      <c r="K1763" s="8" t="s">
        <v>886</v>
      </c>
      <c r="L1763" s="7">
        <v>2013</v>
      </c>
      <c r="M1763" s="8" t="s">
        <v>369</v>
      </c>
      <c r="N1763" s="11">
        <v>30000000</v>
      </c>
      <c r="O1763" s="8" t="s">
        <v>889</v>
      </c>
      <c r="P1763" s="8" t="s">
        <v>890</v>
      </c>
      <c r="Q1763" s="8"/>
      <c r="R1763" s="8" t="s">
        <v>3470</v>
      </c>
    </row>
    <row r="1764" spans="1:18" ht="26.15" customHeight="1">
      <c r="A1764" s="7">
        <v>1758</v>
      </c>
      <c r="B1764" s="8" t="s">
        <v>3212</v>
      </c>
      <c r="C1764" s="8" t="s">
        <v>3114</v>
      </c>
      <c r="D1764" s="8" t="s">
        <v>3213</v>
      </c>
      <c r="E1764" s="8" t="s">
        <v>3116</v>
      </c>
      <c r="F1764" s="9" t="s">
        <v>3117</v>
      </c>
      <c r="G1764" s="10">
        <v>42177</v>
      </c>
      <c r="H1764" s="8" t="s">
        <v>109</v>
      </c>
      <c r="I1764" s="11">
        <v>9000000</v>
      </c>
      <c r="J1764" s="8" t="s">
        <v>885</v>
      </c>
      <c r="K1764" s="8" t="s">
        <v>886</v>
      </c>
      <c r="L1764" s="7">
        <v>2013</v>
      </c>
      <c r="M1764" s="8" t="s">
        <v>369</v>
      </c>
      <c r="N1764" s="11">
        <v>30000000</v>
      </c>
      <c r="O1764" s="8" t="s">
        <v>889</v>
      </c>
      <c r="P1764" s="8" t="s">
        <v>890</v>
      </c>
      <c r="Q1764" s="8"/>
      <c r="R1764" s="8" t="s">
        <v>3214</v>
      </c>
    </row>
    <row r="1765" spans="1:18" ht="26.15" customHeight="1">
      <c r="A1765" s="7">
        <v>1759</v>
      </c>
      <c r="B1765" s="8" t="s">
        <v>786</v>
      </c>
      <c r="C1765" s="8" t="s">
        <v>3114</v>
      </c>
      <c r="D1765" s="8" t="s">
        <v>3579</v>
      </c>
      <c r="E1765" s="8" t="s">
        <v>3116</v>
      </c>
      <c r="F1765" s="9" t="s">
        <v>3123</v>
      </c>
      <c r="G1765" s="10">
        <v>42173</v>
      </c>
      <c r="H1765" s="8" t="s">
        <v>34</v>
      </c>
      <c r="I1765" s="11">
        <v>100000</v>
      </c>
      <c r="J1765" s="8" t="s">
        <v>2347</v>
      </c>
      <c r="K1765" s="8" t="s">
        <v>2348</v>
      </c>
      <c r="L1765" s="7">
        <v>2010</v>
      </c>
      <c r="M1765" s="8" t="s">
        <v>1588</v>
      </c>
      <c r="N1765" s="11">
        <v>2500000</v>
      </c>
      <c r="O1765" s="8" t="s">
        <v>2350</v>
      </c>
      <c r="P1765" s="8" t="s">
        <v>2351</v>
      </c>
      <c r="Q1765" s="8"/>
      <c r="R1765" s="8" t="s">
        <v>3580</v>
      </c>
    </row>
    <row r="1766" spans="1:18" ht="26.15" customHeight="1">
      <c r="A1766" s="7">
        <v>1760</v>
      </c>
      <c r="B1766" s="8" t="s">
        <v>4736</v>
      </c>
      <c r="C1766" s="8" t="s">
        <v>3114</v>
      </c>
      <c r="D1766" s="8" t="s">
        <v>4737</v>
      </c>
      <c r="E1766" s="8" t="s">
        <v>3116</v>
      </c>
      <c r="F1766" s="9" t="s">
        <v>3123</v>
      </c>
      <c r="G1766" s="10">
        <v>42169</v>
      </c>
      <c r="H1766" s="8" t="s">
        <v>124</v>
      </c>
      <c r="I1766" s="11" t="s">
        <v>50</v>
      </c>
      <c r="J1766" s="8" t="s">
        <v>2681</v>
      </c>
      <c r="K1766" s="8" t="s">
        <v>2682</v>
      </c>
      <c r="L1766" s="7">
        <v>2015</v>
      </c>
      <c r="M1766" s="8" t="s">
        <v>278</v>
      </c>
      <c r="N1766" s="11"/>
      <c r="O1766" s="8" t="s">
        <v>2684</v>
      </c>
      <c r="P1766" s="8" t="s">
        <v>2685</v>
      </c>
      <c r="Q1766" s="8"/>
      <c r="R1766" s="8" t="s">
        <v>4738</v>
      </c>
    </row>
    <row r="1767" spans="1:18" ht="26.15" customHeight="1">
      <c r="A1767" s="7">
        <v>1761</v>
      </c>
      <c r="B1767" s="8" t="s">
        <v>4658</v>
      </c>
      <c r="C1767" s="8" t="s">
        <v>3114</v>
      </c>
      <c r="D1767" s="8" t="s">
        <v>4659</v>
      </c>
      <c r="E1767" s="8" t="s">
        <v>3116</v>
      </c>
      <c r="F1767" s="9" t="s">
        <v>3123</v>
      </c>
      <c r="G1767" s="10">
        <v>42169</v>
      </c>
      <c r="H1767" s="8" t="s">
        <v>124</v>
      </c>
      <c r="I1767" s="11" t="s">
        <v>50</v>
      </c>
      <c r="J1767" s="8" t="s">
        <v>2681</v>
      </c>
      <c r="K1767" s="8" t="s">
        <v>2682</v>
      </c>
      <c r="L1767" s="7">
        <v>2015</v>
      </c>
      <c r="M1767" s="8" t="s">
        <v>278</v>
      </c>
      <c r="N1767" s="11"/>
      <c r="O1767" s="8" t="s">
        <v>2684</v>
      </c>
      <c r="P1767" s="8" t="s">
        <v>2685</v>
      </c>
      <c r="Q1767" s="8"/>
      <c r="R1767" s="8" t="s">
        <v>278</v>
      </c>
    </row>
    <row r="1768" spans="1:18" ht="26.15" customHeight="1">
      <c r="A1768" s="7">
        <v>1762</v>
      </c>
      <c r="B1768" s="8" t="s">
        <v>2353</v>
      </c>
      <c r="C1768" s="8" t="s">
        <v>3114</v>
      </c>
      <c r="D1768" s="8" t="s">
        <v>4321</v>
      </c>
      <c r="E1768" s="8" t="s">
        <v>3116</v>
      </c>
      <c r="F1768" s="9" t="s">
        <v>3117</v>
      </c>
      <c r="G1768" s="10">
        <v>42158</v>
      </c>
      <c r="H1768" s="8" t="s">
        <v>34</v>
      </c>
      <c r="I1768" s="11" t="s">
        <v>50</v>
      </c>
      <c r="J1768" s="8" t="s">
        <v>2030</v>
      </c>
      <c r="K1768" s="8" t="s">
        <v>2031</v>
      </c>
      <c r="L1768" s="7">
        <v>2013</v>
      </c>
      <c r="M1768" s="8" t="s">
        <v>369</v>
      </c>
      <c r="N1768" s="11">
        <v>22000000</v>
      </c>
      <c r="O1768" s="8" t="s">
        <v>2034</v>
      </c>
      <c r="P1768" s="8" t="s">
        <v>2035</v>
      </c>
      <c r="Q1768" s="8"/>
      <c r="R1768" s="8" t="s">
        <v>3363</v>
      </c>
    </row>
    <row r="1769" spans="1:18" ht="26.15" customHeight="1">
      <c r="A1769" s="7">
        <v>1763</v>
      </c>
      <c r="B1769" s="8" t="s">
        <v>746</v>
      </c>
      <c r="C1769" s="8" t="s">
        <v>3114</v>
      </c>
      <c r="D1769" s="8" t="s">
        <v>3475</v>
      </c>
      <c r="E1769" s="8" t="s">
        <v>3116</v>
      </c>
      <c r="F1769" s="9" t="s">
        <v>3117</v>
      </c>
      <c r="G1769" s="10">
        <v>42157</v>
      </c>
      <c r="H1769" s="8" t="s">
        <v>109</v>
      </c>
      <c r="I1769" s="11">
        <v>4311640</v>
      </c>
      <c r="J1769" s="8" t="s">
        <v>743</v>
      </c>
      <c r="K1769" s="8" t="s">
        <v>744</v>
      </c>
      <c r="L1769" s="7">
        <v>2013</v>
      </c>
      <c r="M1769" s="8" t="s">
        <v>121</v>
      </c>
      <c r="N1769" s="11">
        <v>17022002</v>
      </c>
      <c r="O1769" s="8" t="s">
        <v>747</v>
      </c>
      <c r="P1769" s="8" t="s">
        <v>748</v>
      </c>
      <c r="Q1769" s="8"/>
      <c r="R1769" s="8" t="s">
        <v>79</v>
      </c>
    </row>
    <row r="1770" spans="1:18" ht="26.15" customHeight="1">
      <c r="A1770" s="7">
        <v>1764</v>
      </c>
      <c r="B1770" s="8" t="s">
        <v>4739</v>
      </c>
      <c r="C1770" s="8" t="s">
        <v>3139</v>
      </c>
      <c r="D1770" s="8" t="s">
        <v>4740</v>
      </c>
      <c r="E1770" s="8" t="s">
        <v>3116</v>
      </c>
      <c r="F1770" s="9" t="s">
        <v>3123</v>
      </c>
      <c r="G1770" s="10">
        <v>42156</v>
      </c>
      <c r="H1770" s="8" t="s">
        <v>184</v>
      </c>
      <c r="I1770" s="11" t="s">
        <v>50</v>
      </c>
      <c r="J1770" s="8" t="s">
        <v>1312</v>
      </c>
      <c r="K1770" s="8" t="s">
        <v>1313</v>
      </c>
      <c r="L1770" s="7">
        <v>2013</v>
      </c>
      <c r="M1770" s="8" t="s">
        <v>704</v>
      </c>
      <c r="N1770" s="11"/>
      <c r="O1770" s="25" t="s">
        <v>2623</v>
      </c>
      <c r="P1770" s="8" t="s">
        <v>1316</v>
      </c>
      <c r="Q1770" s="8"/>
      <c r="R1770" s="8" t="s">
        <v>3280</v>
      </c>
    </row>
    <row r="1771" spans="1:18" ht="26.15" customHeight="1">
      <c r="A1771" s="7">
        <v>1765</v>
      </c>
      <c r="B1771" s="8" t="s">
        <v>4741</v>
      </c>
      <c r="C1771" s="8" t="s">
        <v>3114</v>
      </c>
      <c r="D1771" s="8" t="s">
        <v>4742</v>
      </c>
      <c r="E1771" s="8" t="s">
        <v>3116</v>
      </c>
      <c r="F1771" s="9" t="s">
        <v>3123</v>
      </c>
      <c r="G1771" s="10">
        <v>42156</v>
      </c>
      <c r="H1771" s="8" t="s">
        <v>25</v>
      </c>
      <c r="I1771" s="11" t="s">
        <v>50</v>
      </c>
      <c r="J1771" s="8" t="s">
        <v>2691</v>
      </c>
      <c r="K1771" s="8" t="s">
        <v>2692</v>
      </c>
      <c r="L1771" s="7">
        <v>2012</v>
      </c>
      <c r="M1771" s="8" t="s">
        <v>278</v>
      </c>
      <c r="N1771" s="11"/>
      <c r="O1771" s="8" t="s">
        <v>2694</v>
      </c>
      <c r="P1771" s="8" t="s">
        <v>2695</v>
      </c>
      <c r="Q1771" s="8"/>
      <c r="R1771" s="8" t="s">
        <v>3394</v>
      </c>
    </row>
    <row r="1772" spans="1:18" ht="26.15" customHeight="1">
      <c r="A1772" s="7">
        <v>1766</v>
      </c>
      <c r="B1772" s="8" t="s">
        <v>2696</v>
      </c>
      <c r="C1772" s="8" t="s">
        <v>3114</v>
      </c>
      <c r="D1772" s="8" t="s">
        <v>3875</v>
      </c>
      <c r="E1772" s="8" t="s">
        <v>3116</v>
      </c>
      <c r="F1772" s="9" t="s">
        <v>3117</v>
      </c>
      <c r="G1772" s="10">
        <v>42156</v>
      </c>
      <c r="H1772" s="8" t="s">
        <v>25</v>
      </c>
      <c r="I1772" s="11" t="s">
        <v>50</v>
      </c>
      <c r="J1772" s="8" t="s">
        <v>2691</v>
      </c>
      <c r="K1772" s="8" t="s">
        <v>2692</v>
      </c>
      <c r="L1772" s="7">
        <v>2012</v>
      </c>
      <c r="M1772" s="8" t="s">
        <v>278</v>
      </c>
      <c r="N1772" s="11"/>
      <c r="O1772" s="8" t="s">
        <v>2694</v>
      </c>
      <c r="P1772" s="8" t="s">
        <v>2695</v>
      </c>
      <c r="Q1772" s="8"/>
      <c r="R1772" s="8" t="s">
        <v>3876</v>
      </c>
    </row>
    <row r="1773" spans="1:18" ht="26.15" customHeight="1">
      <c r="A1773" s="7">
        <v>1767</v>
      </c>
      <c r="B1773" s="8" t="s">
        <v>4743</v>
      </c>
      <c r="C1773" s="8" t="s">
        <v>3114</v>
      </c>
      <c r="D1773" s="8" t="s">
        <v>4744</v>
      </c>
      <c r="E1773" s="8" t="s">
        <v>3116</v>
      </c>
      <c r="F1773" s="9" t="s">
        <v>3123</v>
      </c>
      <c r="G1773" s="10">
        <v>42156</v>
      </c>
      <c r="H1773" s="8" t="s">
        <v>34</v>
      </c>
      <c r="I1773" s="11" t="s">
        <v>50</v>
      </c>
      <c r="J1773" s="8" t="s">
        <v>2697</v>
      </c>
      <c r="K1773" s="8" t="s">
        <v>2698</v>
      </c>
      <c r="L1773" s="7">
        <v>2015</v>
      </c>
      <c r="M1773" s="8" t="s">
        <v>2700</v>
      </c>
      <c r="N1773" s="11"/>
      <c r="O1773" s="8" t="s">
        <v>2701</v>
      </c>
      <c r="P1773" s="8" t="s">
        <v>2702</v>
      </c>
      <c r="Q1773" s="8"/>
      <c r="R1773" s="8" t="s">
        <v>2700</v>
      </c>
    </row>
    <row r="1774" spans="1:18" ht="26.15" customHeight="1">
      <c r="A1774" s="7">
        <v>1768</v>
      </c>
      <c r="B1774" s="8" t="s">
        <v>1395</v>
      </c>
      <c r="C1774" s="8" t="s">
        <v>3114</v>
      </c>
      <c r="D1774" s="8" t="s">
        <v>3906</v>
      </c>
      <c r="E1774" s="8" t="s">
        <v>3116</v>
      </c>
      <c r="F1774" s="9" t="s">
        <v>3123</v>
      </c>
      <c r="G1774" s="10">
        <v>42156</v>
      </c>
      <c r="H1774" s="8" t="s">
        <v>34</v>
      </c>
      <c r="I1774" s="11">
        <v>50000</v>
      </c>
      <c r="J1774" s="8" t="s">
        <v>2703</v>
      </c>
      <c r="K1774" s="8" t="s">
        <v>2704</v>
      </c>
      <c r="L1774" s="7">
        <v>2014</v>
      </c>
      <c r="M1774" s="8" t="s">
        <v>39</v>
      </c>
      <c r="N1774" s="11">
        <v>50000</v>
      </c>
      <c r="O1774" s="8" t="s">
        <v>2705</v>
      </c>
      <c r="P1774" s="8" t="s">
        <v>2706</v>
      </c>
      <c r="Q1774" s="8"/>
      <c r="R1774" s="8" t="s">
        <v>3425</v>
      </c>
    </row>
    <row r="1775" spans="1:18" ht="26.15" customHeight="1">
      <c r="A1775" s="7">
        <v>1769</v>
      </c>
      <c r="B1775" s="8" t="s">
        <v>515</v>
      </c>
      <c r="C1775" s="8" t="s">
        <v>3114</v>
      </c>
      <c r="D1775" s="8" t="s">
        <v>3460</v>
      </c>
      <c r="E1775" s="8" t="s">
        <v>3116</v>
      </c>
      <c r="F1775" s="9" t="s">
        <v>3117</v>
      </c>
      <c r="G1775" s="10">
        <v>42156</v>
      </c>
      <c r="H1775" s="8" t="s">
        <v>34</v>
      </c>
      <c r="I1775" s="11">
        <v>100000</v>
      </c>
      <c r="J1775" s="8" t="s">
        <v>2707</v>
      </c>
      <c r="K1775" s="8" t="s">
        <v>2708</v>
      </c>
      <c r="L1775" s="7">
        <v>2012</v>
      </c>
      <c r="M1775" s="8" t="s">
        <v>369</v>
      </c>
      <c r="N1775" s="11">
        <v>100000</v>
      </c>
      <c r="O1775" s="8" t="s">
        <v>2709</v>
      </c>
      <c r="P1775" s="8" t="s">
        <v>2710</v>
      </c>
      <c r="Q1775" s="8"/>
      <c r="R1775" s="8" t="s">
        <v>3392</v>
      </c>
    </row>
    <row r="1776" spans="1:18" ht="26.15" customHeight="1">
      <c r="A1776" s="7">
        <v>1770</v>
      </c>
      <c r="B1776" s="8" t="s">
        <v>4745</v>
      </c>
      <c r="C1776" s="8" t="s">
        <v>3139</v>
      </c>
      <c r="D1776" s="8" t="s">
        <v>4746</v>
      </c>
      <c r="E1776" s="8" t="s">
        <v>3116</v>
      </c>
      <c r="F1776" s="9" t="s">
        <v>3123</v>
      </c>
      <c r="G1776" s="10">
        <v>42156</v>
      </c>
      <c r="H1776" s="8" t="s">
        <v>184</v>
      </c>
      <c r="I1776" s="11">
        <v>10772</v>
      </c>
      <c r="J1776" s="8" t="s">
        <v>2711</v>
      </c>
      <c r="K1776" s="8" t="s">
        <v>2712</v>
      </c>
      <c r="L1776" s="7">
        <v>2011</v>
      </c>
      <c r="M1776" s="8" t="s">
        <v>2714</v>
      </c>
      <c r="N1776" s="11"/>
      <c r="O1776" s="8" t="s">
        <v>2715</v>
      </c>
      <c r="P1776" s="8" t="s">
        <v>2716</v>
      </c>
      <c r="Q1776" s="8"/>
      <c r="R1776" s="8" t="s">
        <v>3593</v>
      </c>
    </row>
    <row r="1777" spans="1:18" ht="26.15" customHeight="1">
      <c r="A1777" s="7">
        <v>1771</v>
      </c>
      <c r="B1777" s="8" t="s">
        <v>1395</v>
      </c>
      <c r="C1777" s="8" t="s">
        <v>3114</v>
      </c>
      <c r="D1777" s="8" t="s">
        <v>3906</v>
      </c>
      <c r="E1777" s="8" t="s">
        <v>3116</v>
      </c>
      <c r="F1777" s="9" t="s">
        <v>3123</v>
      </c>
      <c r="G1777" s="10">
        <v>42156</v>
      </c>
      <c r="H1777" s="8" t="s">
        <v>34</v>
      </c>
      <c r="I1777" s="11">
        <v>50000</v>
      </c>
      <c r="J1777" s="8" t="s">
        <v>2717</v>
      </c>
      <c r="K1777" s="8" t="s">
        <v>2718</v>
      </c>
      <c r="L1777" s="7">
        <v>2012</v>
      </c>
      <c r="M1777" s="8" t="s">
        <v>39</v>
      </c>
      <c r="N1777" s="11">
        <v>50000</v>
      </c>
      <c r="O1777" s="8" t="s">
        <v>2719</v>
      </c>
      <c r="P1777" s="8" t="s">
        <v>2720</v>
      </c>
      <c r="Q1777" s="8"/>
      <c r="R1777" s="8" t="s">
        <v>3425</v>
      </c>
    </row>
    <row r="1778" spans="1:18" ht="26.15" customHeight="1">
      <c r="A1778" s="7">
        <v>1772</v>
      </c>
      <c r="B1778" s="8" t="s">
        <v>2908</v>
      </c>
      <c r="C1778" s="8" t="s">
        <v>3114</v>
      </c>
      <c r="D1778" s="8" t="s">
        <v>4596</v>
      </c>
      <c r="E1778" s="8" t="s">
        <v>3116</v>
      </c>
      <c r="F1778" s="9" t="s">
        <v>3123</v>
      </c>
      <c r="G1778" s="10">
        <v>42149</v>
      </c>
      <c r="H1778" s="8" t="s">
        <v>95</v>
      </c>
      <c r="I1778" s="11">
        <v>70000000</v>
      </c>
      <c r="J1778" s="8" t="s">
        <v>2309</v>
      </c>
      <c r="K1778" s="8" t="s">
        <v>2310</v>
      </c>
      <c r="L1778" s="7">
        <v>2009</v>
      </c>
      <c r="M1778" s="8" t="s">
        <v>1732</v>
      </c>
      <c r="N1778" s="11">
        <v>204990000</v>
      </c>
      <c r="O1778" s="8" t="s">
        <v>2312</v>
      </c>
      <c r="P1778" s="8" t="s">
        <v>2313</v>
      </c>
      <c r="Q1778" s="8"/>
      <c r="R1778" s="8" t="s">
        <v>1732</v>
      </c>
    </row>
    <row r="1779" spans="1:18" ht="26.15" customHeight="1">
      <c r="A1779" s="7">
        <v>1773</v>
      </c>
      <c r="B1779" s="8" t="s">
        <v>2964</v>
      </c>
      <c r="C1779" s="8" t="s">
        <v>3114</v>
      </c>
      <c r="D1779" s="8" t="s">
        <v>4597</v>
      </c>
      <c r="E1779" s="8" t="s">
        <v>3116</v>
      </c>
      <c r="F1779" s="9" t="s">
        <v>3123</v>
      </c>
      <c r="G1779" s="10">
        <v>42149</v>
      </c>
      <c r="H1779" s="8" t="s">
        <v>95</v>
      </c>
      <c r="I1779" s="11">
        <v>70000000</v>
      </c>
      <c r="J1779" s="8" t="s">
        <v>2309</v>
      </c>
      <c r="K1779" s="8" t="s">
        <v>2310</v>
      </c>
      <c r="L1779" s="7">
        <v>2009</v>
      </c>
      <c r="M1779" s="8" t="s">
        <v>1732</v>
      </c>
      <c r="N1779" s="11">
        <v>204990000</v>
      </c>
      <c r="O1779" s="8" t="s">
        <v>2312</v>
      </c>
      <c r="P1779" s="8" t="s">
        <v>2313</v>
      </c>
      <c r="Q1779" s="8"/>
      <c r="R1779" s="8" t="s">
        <v>1732</v>
      </c>
    </row>
    <row r="1780" spans="1:18" ht="26.15" customHeight="1">
      <c r="A1780" s="7">
        <v>1774</v>
      </c>
      <c r="B1780" s="8" t="s">
        <v>2722</v>
      </c>
      <c r="C1780" s="8" t="s">
        <v>3139</v>
      </c>
      <c r="D1780" s="8" t="s">
        <v>4595</v>
      </c>
      <c r="E1780" s="8" t="s">
        <v>3116</v>
      </c>
      <c r="F1780" s="9" t="s">
        <v>3117</v>
      </c>
      <c r="G1780" s="10">
        <v>42149</v>
      </c>
      <c r="H1780" s="8" t="s">
        <v>95</v>
      </c>
      <c r="I1780" s="11">
        <v>70000000</v>
      </c>
      <c r="J1780" s="8" t="s">
        <v>2309</v>
      </c>
      <c r="K1780" s="8" t="s">
        <v>2310</v>
      </c>
      <c r="L1780" s="7">
        <v>2009</v>
      </c>
      <c r="M1780" s="8" t="s">
        <v>1732</v>
      </c>
      <c r="N1780" s="11">
        <v>204990000</v>
      </c>
      <c r="O1780" s="8" t="s">
        <v>2312</v>
      </c>
      <c r="P1780" s="8" t="s">
        <v>2313</v>
      </c>
      <c r="Q1780" s="8"/>
      <c r="R1780" s="8" t="s">
        <v>278</v>
      </c>
    </row>
    <row r="1781" spans="1:18" ht="26.15" customHeight="1">
      <c r="A1781" s="7">
        <v>1775</v>
      </c>
      <c r="B1781" s="8" t="s">
        <v>4747</v>
      </c>
      <c r="C1781" s="8" t="s">
        <v>3114</v>
      </c>
      <c r="D1781" s="8" t="s">
        <v>4748</v>
      </c>
      <c r="E1781" s="8" t="s">
        <v>3116</v>
      </c>
      <c r="F1781" s="9" t="s">
        <v>3117</v>
      </c>
      <c r="G1781" s="10">
        <v>42144</v>
      </c>
      <c r="H1781" s="8" t="s">
        <v>109</v>
      </c>
      <c r="I1781" s="11">
        <v>7014810</v>
      </c>
      <c r="J1781" s="8" t="s">
        <v>2723</v>
      </c>
      <c r="K1781" s="8" t="s">
        <v>2724</v>
      </c>
      <c r="L1781" s="7">
        <v>2015</v>
      </c>
      <c r="M1781" s="8" t="s">
        <v>2727</v>
      </c>
      <c r="N1781" s="11">
        <v>7014810</v>
      </c>
      <c r="O1781" s="8" t="s">
        <v>2728</v>
      </c>
      <c r="P1781" s="8" t="s">
        <v>2729</v>
      </c>
      <c r="Q1781" s="8"/>
      <c r="R1781" s="8" t="s">
        <v>3220</v>
      </c>
    </row>
    <row r="1782" spans="1:18" ht="26.15" customHeight="1">
      <c r="A1782" s="7">
        <v>1776</v>
      </c>
      <c r="B1782" s="8" t="s">
        <v>4749</v>
      </c>
      <c r="C1782" s="8" t="s">
        <v>3139</v>
      </c>
      <c r="D1782" s="8" t="s">
        <v>4750</v>
      </c>
      <c r="E1782" s="8" t="s">
        <v>3116</v>
      </c>
      <c r="F1782" s="9" t="s">
        <v>3117</v>
      </c>
      <c r="G1782" s="10">
        <v>42144</v>
      </c>
      <c r="H1782" s="8" t="s">
        <v>109</v>
      </c>
      <c r="I1782" s="11">
        <v>7014810</v>
      </c>
      <c r="J1782" s="8" t="s">
        <v>2723</v>
      </c>
      <c r="K1782" s="8" t="s">
        <v>2724</v>
      </c>
      <c r="L1782" s="7">
        <v>2015</v>
      </c>
      <c r="M1782" s="8" t="s">
        <v>2727</v>
      </c>
      <c r="N1782" s="11">
        <v>7014810</v>
      </c>
      <c r="O1782" s="8" t="s">
        <v>2728</v>
      </c>
      <c r="P1782" s="8" t="s">
        <v>2729</v>
      </c>
      <c r="Q1782" s="8"/>
      <c r="R1782" s="8" t="s">
        <v>4751</v>
      </c>
    </row>
    <row r="1783" spans="1:18" ht="26.15" customHeight="1">
      <c r="A1783" s="7">
        <v>1777</v>
      </c>
      <c r="B1783" s="8" t="s">
        <v>4752</v>
      </c>
      <c r="C1783" s="8" t="s">
        <v>3139</v>
      </c>
      <c r="D1783" s="8" t="s">
        <v>4753</v>
      </c>
      <c r="E1783" s="8" t="s">
        <v>3116</v>
      </c>
      <c r="F1783" s="9" t="s">
        <v>3117</v>
      </c>
      <c r="G1783" s="10">
        <v>42144</v>
      </c>
      <c r="H1783" s="8" t="s">
        <v>109</v>
      </c>
      <c r="I1783" s="11">
        <v>7014810</v>
      </c>
      <c r="J1783" s="8" t="s">
        <v>2723</v>
      </c>
      <c r="K1783" s="8" t="s">
        <v>2724</v>
      </c>
      <c r="L1783" s="7">
        <v>2015</v>
      </c>
      <c r="M1783" s="8" t="s">
        <v>2727</v>
      </c>
      <c r="N1783" s="11">
        <v>7014810</v>
      </c>
      <c r="O1783" s="8" t="s">
        <v>2728</v>
      </c>
      <c r="P1783" s="8" t="s">
        <v>2729</v>
      </c>
      <c r="Q1783" s="8"/>
      <c r="R1783" s="8" t="s">
        <v>3138</v>
      </c>
    </row>
    <row r="1784" spans="1:18" ht="26.15" customHeight="1">
      <c r="A1784" s="7">
        <v>1778</v>
      </c>
      <c r="B1784" s="8" t="s">
        <v>2731</v>
      </c>
      <c r="C1784" s="8" t="s">
        <v>3114</v>
      </c>
      <c r="D1784" s="8" t="s">
        <v>3865</v>
      </c>
      <c r="E1784" s="8" t="s">
        <v>3116</v>
      </c>
      <c r="F1784" s="9" t="s">
        <v>3117</v>
      </c>
      <c r="G1784" s="10">
        <v>42141</v>
      </c>
      <c r="H1784" s="8" t="s">
        <v>34</v>
      </c>
      <c r="I1784" s="11">
        <v>150000</v>
      </c>
      <c r="J1784" s="8" t="s">
        <v>473</v>
      </c>
      <c r="K1784" s="8" t="s">
        <v>474</v>
      </c>
      <c r="L1784" s="7">
        <v>2014</v>
      </c>
      <c r="M1784" s="8" t="s">
        <v>39</v>
      </c>
      <c r="N1784" s="11">
        <v>46450000</v>
      </c>
      <c r="O1784" s="8" t="s">
        <v>475</v>
      </c>
      <c r="P1784" s="8" t="s">
        <v>476</v>
      </c>
      <c r="Q1784" s="8"/>
      <c r="R1784" s="8" t="s">
        <v>3425</v>
      </c>
    </row>
    <row r="1785" spans="1:18" ht="26.15" customHeight="1">
      <c r="A1785" s="7">
        <v>1779</v>
      </c>
      <c r="B1785" s="8" t="s">
        <v>644</v>
      </c>
      <c r="C1785" s="8" t="s">
        <v>3114</v>
      </c>
      <c r="D1785" s="8" t="s">
        <v>3162</v>
      </c>
      <c r="E1785" s="8" t="s">
        <v>3116</v>
      </c>
      <c r="F1785" s="9" t="s">
        <v>3117</v>
      </c>
      <c r="G1785" s="10">
        <v>42101</v>
      </c>
      <c r="H1785" s="8" t="s">
        <v>109</v>
      </c>
      <c r="I1785" s="11">
        <v>1000000</v>
      </c>
      <c r="J1785" s="8" t="s">
        <v>641</v>
      </c>
      <c r="K1785" s="8" t="s">
        <v>642</v>
      </c>
      <c r="L1785" s="7">
        <v>2009</v>
      </c>
      <c r="M1785" s="8" t="s">
        <v>47</v>
      </c>
      <c r="N1785" s="11">
        <v>10590520</v>
      </c>
      <c r="O1785" s="8" t="s">
        <v>645</v>
      </c>
      <c r="P1785" s="8" t="s">
        <v>646</v>
      </c>
      <c r="Q1785" s="8"/>
      <c r="R1785" s="8" t="s">
        <v>313</v>
      </c>
    </row>
    <row r="1786" spans="1:18" ht="26.15" customHeight="1">
      <c r="A1786" s="7">
        <v>1780</v>
      </c>
      <c r="B1786" s="8" t="s">
        <v>4754</v>
      </c>
      <c r="C1786" s="8" t="s">
        <v>3114</v>
      </c>
      <c r="D1786" s="8" t="s">
        <v>4755</v>
      </c>
      <c r="E1786" s="8" t="s">
        <v>3116</v>
      </c>
      <c r="F1786" s="9" t="s">
        <v>3123</v>
      </c>
      <c r="G1786" s="10">
        <v>42095</v>
      </c>
      <c r="H1786" s="8" t="s">
        <v>34</v>
      </c>
      <c r="I1786" s="11" t="s">
        <v>50</v>
      </c>
      <c r="J1786" s="8" t="s">
        <v>2736</v>
      </c>
      <c r="K1786" s="8" t="s">
        <v>2737</v>
      </c>
      <c r="L1786" s="7">
        <v>2014</v>
      </c>
      <c r="M1786" s="8" t="s">
        <v>2739</v>
      </c>
      <c r="N1786" s="11"/>
      <c r="O1786" s="8" t="s">
        <v>2740</v>
      </c>
      <c r="P1786" s="8" t="s">
        <v>2741</v>
      </c>
      <c r="Q1786" s="8"/>
      <c r="R1786" s="8" t="s">
        <v>1086</v>
      </c>
    </row>
    <row r="1787" spans="1:18" ht="26.15" customHeight="1">
      <c r="A1787" s="7">
        <v>1781</v>
      </c>
      <c r="B1787" s="8" t="s">
        <v>644</v>
      </c>
      <c r="C1787" s="8" t="s">
        <v>3114</v>
      </c>
      <c r="D1787" s="8" t="s">
        <v>3162</v>
      </c>
      <c r="E1787" s="8" t="s">
        <v>3116</v>
      </c>
      <c r="F1787" s="9" t="s">
        <v>3117</v>
      </c>
      <c r="G1787" s="10">
        <v>42094</v>
      </c>
      <c r="H1787" s="8" t="s">
        <v>34</v>
      </c>
      <c r="I1787" s="11">
        <v>1595440</v>
      </c>
      <c r="J1787" s="8" t="s">
        <v>303</v>
      </c>
      <c r="K1787" s="8" t="s">
        <v>304</v>
      </c>
      <c r="L1787" s="7">
        <v>2011</v>
      </c>
      <c r="M1787" s="8" t="s">
        <v>79</v>
      </c>
      <c r="N1787" s="11">
        <v>19009146</v>
      </c>
      <c r="O1787" s="8" t="s">
        <v>306</v>
      </c>
      <c r="P1787" s="8" t="s">
        <v>307</v>
      </c>
      <c r="Q1787" s="8"/>
      <c r="R1787" s="8" t="s">
        <v>313</v>
      </c>
    </row>
    <row r="1788" spans="1:18" ht="26.15" customHeight="1">
      <c r="A1788" s="7">
        <v>1782</v>
      </c>
      <c r="B1788" s="8" t="s">
        <v>746</v>
      </c>
      <c r="C1788" s="8" t="s">
        <v>3114</v>
      </c>
      <c r="D1788" s="8" t="s">
        <v>3475</v>
      </c>
      <c r="E1788" s="8" t="s">
        <v>3116</v>
      </c>
      <c r="F1788" s="9" t="s">
        <v>3117</v>
      </c>
      <c r="G1788" s="10">
        <v>42093</v>
      </c>
      <c r="H1788" s="8" t="s">
        <v>109</v>
      </c>
      <c r="I1788" s="11">
        <v>3186640</v>
      </c>
      <c r="J1788" s="8" t="s">
        <v>1115</v>
      </c>
      <c r="K1788" s="8" t="s">
        <v>1116</v>
      </c>
      <c r="L1788" s="7">
        <v>2009</v>
      </c>
      <c r="M1788" s="8" t="s">
        <v>313</v>
      </c>
      <c r="N1788" s="11">
        <v>14634837</v>
      </c>
      <c r="O1788" s="8" t="s">
        <v>1118</v>
      </c>
      <c r="P1788" s="8" t="s">
        <v>1119</v>
      </c>
      <c r="Q1788" s="8"/>
      <c r="R1788" s="8" t="s">
        <v>79</v>
      </c>
    </row>
    <row r="1789" spans="1:18" ht="26.15" customHeight="1">
      <c r="A1789" s="7">
        <v>1783</v>
      </c>
      <c r="B1789" s="8" t="s">
        <v>2743</v>
      </c>
      <c r="C1789" s="8" t="s">
        <v>3127</v>
      </c>
      <c r="D1789" s="8"/>
      <c r="E1789" s="8" t="s">
        <v>3128</v>
      </c>
      <c r="F1789" s="9" t="s">
        <v>3117</v>
      </c>
      <c r="G1789" s="10">
        <v>42087</v>
      </c>
      <c r="H1789" s="8" t="s">
        <v>124</v>
      </c>
      <c r="I1789" s="11">
        <v>64156</v>
      </c>
      <c r="J1789" s="8" t="s">
        <v>1885</v>
      </c>
      <c r="K1789" s="8" t="s">
        <v>1886</v>
      </c>
      <c r="L1789" s="7">
        <v>2013</v>
      </c>
      <c r="M1789" s="8" t="s">
        <v>79</v>
      </c>
      <c r="N1789" s="11">
        <v>133229</v>
      </c>
      <c r="O1789" s="8" t="s">
        <v>1889</v>
      </c>
      <c r="P1789" s="8" t="s">
        <v>1890</v>
      </c>
      <c r="Q1789" s="8"/>
      <c r="R1789" s="8"/>
    </row>
    <row r="1790" spans="1:18" ht="26.15" customHeight="1">
      <c r="A1790" s="7">
        <v>1784</v>
      </c>
      <c r="B1790" s="8" t="s">
        <v>4233</v>
      </c>
      <c r="C1790" s="8" t="s">
        <v>3127</v>
      </c>
      <c r="D1790" s="8"/>
      <c r="E1790" s="8" t="s">
        <v>3128</v>
      </c>
      <c r="F1790" s="9" t="s">
        <v>3123</v>
      </c>
      <c r="G1790" s="10">
        <v>42087</v>
      </c>
      <c r="H1790" s="8" t="s">
        <v>124</v>
      </c>
      <c r="I1790" s="11">
        <v>64156</v>
      </c>
      <c r="J1790" s="8" t="s">
        <v>1885</v>
      </c>
      <c r="K1790" s="8" t="s">
        <v>1886</v>
      </c>
      <c r="L1790" s="7">
        <v>2013</v>
      </c>
      <c r="M1790" s="8" t="s">
        <v>79</v>
      </c>
      <c r="N1790" s="11">
        <v>133229</v>
      </c>
      <c r="O1790" s="8" t="s">
        <v>1889</v>
      </c>
      <c r="P1790" s="8" t="s">
        <v>1890</v>
      </c>
      <c r="Q1790" s="8"/>
      <c r="R1790" s="8"/>
    </row>
    <row r="1791" spans="1:18" ht="26.15" customHeight="1">
      <c r="A1791" s="7">
        <v>1785</v>
      </c>
      <c r="B1791" s="8" t="s">
        <v>4241</v>
      </c>
      <c r="C1791" s="8" t="s">
        <v>3127</v>
      </c>
      <c r="D1791" s="8"/>
      <c r="E1791" s="8" t="s">
        <v>3128</v>
      </c>
      <c r="F1791" s="9" t="s">
        <v>3123</v>
      </c>
      <c r="G1791" s="10">
        <v>42087</v>
      </c>
      <c r="H1791" s="8" t="s">
        <v>124</v>
      </c>
      <c r="I1791" s="11">
        <v>64156</v>
      </c>
      <c r="J1791" s="8" t="s">
        <v>1885</v>
      </c>
      <c r="K1791" s="8" t="s">
        <v>1886</v>
      </c>
      <c r="L1791" s="7">
        <v>2013</v>
      </c>
      <c r="M1791" s="8" t="s">
        <v>79</v>
      </c>
      <c r="N1791" s="11">
        <v>133229</v>
      </c>
      <c r="O1791" s="8" t="s">
        <v>1889</v>
      </c>
      <c r="P1791" s="8" t="s">
        <v>1890</v>
      </c>
      <c r="Q1791" s="8"/>
      <c r="R1791" s="8"/>
    </row>
    <row r="1792" spans="1:18" ht="26.15" customHeight="1">
      <c r="A1792" s="7">
        <v>1786</v>
      </c>
      <c r="B1792" s="8" t="s">
        <v>4242</v>
      </c>
      <c r="C1792" s="8" t="s">
        <v>3127</v>
      </c>
      <c r="D1792" s="8"/>
      <c r="E1792" s="8" t="s">
        <v>3128</v>
      </c>
      <c r="F1792" s="9" t="s">
        <v>3123</v>
      </c>
      <c r="G1792" s="10">
        <v>42087</v>
      </c>
      <c r="H1792" s="8" t="s">
        <v>124</v>
      </c>
      <c r="I1792" s="11">
        <v>64156</v>
      </c>
      <c r="J1792" s="8" t="s">
        <v>1885</v>
      </c>
      <c r="K1792" s="8" t="s">
        <v>1886</v>
      </c>
      <c r="L1792" s="7">
        <v>2013</v>
      </c>
      <c r="M1792" s="8" t="s">
        <v>79</v>
      </c>
      <c r="N1792" s="11">
        <v>133229</v>
      </c>
      <c r="O1792" s="8" t="s">
        <v>1889</v>
      </c>
      <c r="P1792" s="8" t="s">
        <v>1890</v>
      </c>
      <c r="Q1792" s="8"/>
      <c r="R1792" s="8"/>
    </row>
    <row r="1793" spans="1:18" ht="26.15" customHeight="1">
      <c r="A1793" s="7">
        <v>1787</v>
      </c>
      <c r="B1793" s="8" t="s">
        <v>4756</v>
      </c>
      <c r="C1793" s="8" t="s">
        <v>3114</v>
      </c>
      <c r="D1793" s="8" t="s">
        <v>4757</v>
      </c>
      <c r="E1793" s="8" t="s">
        <v>3116</v>
      </c>
      <c r="F1793" s="9" t="s">
        <v>3123</v>
      </c>
      <c r="G1793" s="10">
        <v>42087</v>
      </c>
      <c r="H1793" s="8" t="s">
        <v>34</v>
      </c>
      <c r="I1793" s="11" t="s">
        <v>50</v>
      </c>
      <c r="J1793" s="8" t="s">
        <v>2661</v>
      </c>
      <c r="K1793" s="8" t="s">
        <v>2662</v>
      </c>
      <c r="L1793" s="7">
        <v>2015</v>
      </c>
      <c r="M1793" s="8" t="s">
        <v>278</v>
      </c>
      <c r="N1793" s="11"/>
      <c r="O1793" s="8" t="s">
        <v>2663</v>
      </c>
      <c r="P1793" s="8" t="s">
        <v>2664</v>
      </c>
      <c r="Q1793" s="8"/>
      <c r="R1793" s="8" t="s">
        <v>278</v>
      </c>
    </row>
    <row r="1794" spans="1:18" ht="26.15" customHeight="1">
      <c r="A1794" s="7">
        <v>1788</v>
      </c>
      <c r="B1794" s="8" t="s">
        <v>4758</v>
      </c>
      <c r="C1794" s="8" t="s">
        <v>3114</v>
      </c>
      <c r="D1794" s="8" t="s">
        <v>4759</v>
      </c>
      <c r="E1794" s="8" t="s">
        <v>3116</v>
      </c>
      <c r="F1794" s="9" t="s">
        <v>3123</v>
      </c>
      <c r="G1794" s="10">
        <v>42087</v>
      </c>
      <c r="H1794" s="8" t="s">
        <v>34</v>
      </c>
      <c r="I1794" s="11" t="s">
        <v>50</v>
      </c>
      <c r="J1794" s="8" t="s">
        <v>2661</v>
      </c>
      <c r="K1794" s="8" t="s">
        <v>2662</v>
      </c>
      <c r="L1794" s="7">
        <v>2015</v>
      </c>
      <c r="M1794" s="8" t="s">
        <v>278</v>
      </c>
      <c r="N1794" s="11"/>
      <c r="O1794" s="8" t="s">
        <v>2663</v>
      </c>
      <c r="P1794" s="8" t="s">
        <v>2664</v>
      </c>
      <c r="Q1794" s="8"/>
      <c r="R1794" s="8" t="s">
        <v>157</v>
      </c>
    </row>
    <row r="1795" spans="1:18" ht="26.15" customHeight="1">
      <c r="A1795" s="7">
        <v>1789</v>
      </c>
      <c r="B1795" s="8" t="s">
        <v>4760</v>
      </c>
      <c r="C1795" s="8" t="s">
        <v>3114</v>
      </c>
      <c r="D1795" s="8" t="s">
        <v>4761</v>
      </c>
      <c r="E1795" s="8" t="s">
        <v>3116</v>
      </c>
      <c r="F1795" s="9" t="s">
        <v>3123</v>
      </c>
      <c r="G1795" s="10">
        <v>42083</v>
      </c>
      <c r="H1795" s="8" t="s">
        <v>34</v>
      </c>
      <c r="I1795" s="11" t="s">
        <v>50</v>
      </c>
      <c r="J1795" s="8" t="s">
        <v>2745</v>
      </c>
      <c r="K1795" s="8" t="s">
        <v>2746</v>
      </c>
      <c r="L1795" s="7">
        <v>2014</v>
      </c>
      <c r="M1795" s="8" t="s">
        <v>1732</v>
      </c>
      <c r="N1795" s="11"/>
      <c r="O1795" s="8" t="s">
        <v>2748</v>
      </c>
      <c r="P1795" s="8" t="s">
        <v>2749</v>
      </c>
      <c r="Q1795" s="8"/>
      <c r="R1795" s="8" t="s">
        <v>1732</v>
      </c>
    </row>
    <row r="1796" spans="1:18" ht="26.15" customHeight="1">
      <c r="A1796" s="7">
        <v>1790</v>
      </c>
      <c r="B1796" s="8" t="s">
        <v>4762</v>
      </c>
      <c r="C1796" s="8" t="s">
        <v>3139</v>
      </c>
      <c r="D1796" s="8" t="s">
        <v>4763</v>
      </c>
      <c r="E1796" s="8" t="s">
        <v>3116</v>
      </c>
      <c r="F1796" s="9" t="s">
        <v>3123</v>
      </c>
      <c r="G1796" s="10">
        <v>42083</v>
      </c>
      <c r="H1796" s="8" t="s">
        <v>109</v>
      </c>
      <c r="I1796" s="11">
        <v>10000000</v>
      </c>
      <c r="J1796" s="8" t="s">
        <v>2668</v>
      </c>
      <c r="K1796" s="8" t="s">
        <v>2669</v>
      </c>
      <c r="L1796" s="7">
        <v>2013</v>
      </c>
      <c r="M1796" s="8" t="s">
        <v>278</v>
      </c>
      <c r="N1796" s="11">
        <v>26000000</v>
      </c>
      <c r="O1796" s="8" t="s">
        <v>2670</v>
      </c>
      <c r="P1796" s="8" t="s">
        <v>2671</v>
      </c>
      <c r="Q1796" s="8"/>
      <c r="R1796" s="8" t="s">
        <v>278</v>
      </c>
    </row>
    <row r="1797" spans="1:18" ht="26.15" customHeight="1">
      <c r="A1797" s="7">
        <v>1791</v>
      </c>
      <c r="B1797" s="8" t="s">
        <v>4764</v>
      </c>
      <c r="C1797" s="8" t="s">
        <v>3127</v>
      </c>
      <c r="D1797" s="8"/>
      <c r="E1797" s="8" t="s">
        <v>3128</v>
      </c>
      <c r="F1797" s="9" t="s">
        <v>3123</v>
      </c>
      <c r="G1797" s="10">
        <v>42068</v>
      </c>
      <c r="H1797" s="8" t="s">
        <v>34</v>
      </c>
      <c r="I1797" s="11">
        <v>643792</v>
      </c>
      <c r="J1797" s="8" t="s">
        <v>110</v>
      </c>
      <c r="K1797" s="8" t="s">
        <v>111</v>
      </c>
      <c r="L1797" s="7">
        <v>2010</v>
      </c>
      <c r="M1797" s="8" t="s">
        <v>79</v>
      </c>
      <c r="N1797" s="11">
        <v>10726419</v>
      </c>
      <c r="O1797" s="8" t="s">
        <v>114</v>
      </c>
      <c r="P1797" s="8" t="s">
        <v>115</v>
      </c>
      <c r="Q1797" s="8"/>
      <c r="R1797" s="8"/>
    </row>
    <row r="1798" spans="1:18" ht="26.15" customHeight="1">
      <c r="A1798" s="7">
        <v>1792</v>
      </c>
      <c r="B1798" s="8" t="s">
        <v>4765</v>
      </c>
      <c r="C1798" s="8" t="s">
        <v>3127</v>
      </c>
      <c r="D1798" s="8"/>
      <c r="E1798" s="8" t="s">
        <v>3128</v>
      </c>
      <c r="F1798" s="9" t="s">
        <v>3123</v>
      </c>
      <c r="G1798" s="10">
        <v>42068</v>
      </c>
      <c r="H1798" s="8" t="s">
        <v>34</v>
      </c>
      <c r="I1798" s="11">
        <v>643792</v>
      </c>
      <c r="J1798" s="8" t="s">
        <v>110</v>
      </c>
      <c r="K1798" s="8" t="s">
        <v>111</v>
      </c>
      <c r="L1798" s="7">
        <v>2010</v>
      </c>
      <c r="M1798" s="8" t="s">
        <v>79</v>
      </c>
      <c r="N1798" s="11">
        <v>10726419</v>
      </c>
      <c r="O1798" s="8" t="s">
        <v>114</v>
      </c>
      <c r="P1798" s="8" t="s">
        <v>115</v>
      </c>
      <c r="Q1798" s="8"/>
      <c r="R1798" s="8"/>
    </row>
    <row r="1799" spans="1:18" ht="26.15" customHeight="1">
      <c r="A1799" s="7">
        <v>1793</v>
      </c>
      <c r="B1799" s="8" t="s">
        <v>484</v>
      </c>
      <c r="C1799" s="8" t="s">
        <v>3114</v>
      </c>
      <c r="D1799" s="8" t="s">
        <v>3164</v>
      </c>
      <c r="E1799" s="8" t="s">
        <v>3116</v>
      </c>
      <c r="F1799" s="9" t="s">
        <v>3117</v>
      </c>
      <c r="G1799" s="10">
        <v>42068</v>
      </c>
      <c r="H1799" s="8" t="s">
        <v>34</v>
      </c>
      <c r="I1799" s="11">
        <v>643792</v>
      </c>
      <c r="J1799" s="8" t="s">
        <v>110</v>
      </c>
      <c r="K1799" s="8" t="s">
        <v>111</v>
      </c>
      <c r="L1799" s="7">
        <v>2010</v>
      </c>
      <c r="M1799" s="8" t="s">
        <v>79</v>
      </c>
      <c r="N1799" s="11">
        <v>10726419</v>
      </c>
      <c r="O1799" s="8" t="s">
        <v>114</v>
      </c>
      <c r="P1799" s="8" t="s">
        <v>115</v>
      </c>
      <c r="Q1799" s="8"/>
      <c r="R1799" s="8" t="s">
        <v>313</v>
      </c>
    </row>
    <row r="1800" spans="1:18" ht="26.15" customHeight="1">
      <c r="A1800" s="7">
        <v>1794</v>
      </c>
      <c r="B1800" s="8" t="s">
        <v>644</v>
      </c>
      <c r="C1800" s="8" t="s">
        <v>3114</v>
      </c>
      <c r="D1800" s="8" t="s">
        <v>3162</v>
      </c>
      <c r="E1800" s="8" t="s">
        <v>3116</v>
      </c>
      <c r="F1800" s="9" t="s">
        <v>3117</v>
      </c>
      <c r="G1800" s="10">
        <v>42067</v>
      </c>
      <c r="H1800" s="8" t="s">
        <v>109</v>
      </c>
      <c r="I1800" s="11">
        <v>2099580</v>
      </c>
      <c r="J1800" s="8" t="s">
        <v>622</v>
      </c>
      <c r="K1800" s="8" t="s">
        <v>623</v>
      </c>
      <c r="L1800" s="7">
        <v>2011</v>
      </c>
      <c r="M1800" s="8" t="s">
        <v>79</v>
      </c>
      <c r="N1800" s="11">
        <v>3574388</v>
      </c>
      <c r="O1800" s="8" t="s">
        <v>625</v>
      </c>
      <c r="P1800" s="8" t="s">
        <v>626</v>
      </c>
      <c r="Q1800" s="8"/>
      <c r="R1800" s="8" t="s">
        <v>313</v>
      </c>
    </row>
    <row r="1801" spans="1:18" ht="26.15" customHeight="1">
      <c r="A1801" s="7">
        <v>1795</v>
      </c>
      <c r="B1801" s="8" t="s">
        <v>156</v>
      </c>
      <c r="C1801" s="8" t="s">
        <v>3139</v>
      </c>
      <c r="D1801" s="8" t="s">
        <v>3170</v>
      </c>
      <c r="E1801" s="8" t="s">
        <v>3116</v>
      </c>
      <c r="F1801" s="9" t="s">
        <v>3123</v>
      </c>
      <c r="G1801" s="10">
        <v>42064</v>
      </c>
      <c r="H1801" s="8" t="s">
        <v>184</v>
      </c>
      <c r="I1801" s="11">
        <v>100000</v>
      </c>
      <c r="J1801" s="8" t="s">
        <v>2754</v>
      </c>
      <c r="K1801" s="8" t="s">
        <v>2755</v>
      </c>
      <c r="L1801" s="7">
        <v>2015</v>
      </c>
      <c r="M1801" s="8" t="s">
        <v>2756</v>
      </c>
      <c r="N1801" s="11"/>
      <c r="O1801" s="8" t="s">
        <v>2757</v>
      </c>
      <c r="P1801" s="8" t="s">
        <v>968</v>
      </c>
      <c r="Q1801" s="8"/>
      <c r="R1801" s="8"/>
    </row>
    <row r="1802" spans="1:18" ht="26.15" customHeight="1">
      <c r="A1802" s="7">
        <v>1796</v>
      </c>
      <c r="B1802" s="8" t="s">
        <v>3535</v>
      </c>
      <c r="C1802" s="8" t="s">
        <v>3114</v>
      </c>
      <c r="D1802" s="8" t="s">
        <v>3536</v>
      </c>
      <c r="E1802" s="8" t="s">
        <v>3116</v>
      </c>
      <c r="F1802" s="9" t="s">
        <v>3123</v>
      </c>
      <c r="G1802" s="10">
        <v>42034</v>
      </c>
      <c r="H1802" s="8" t="s">
        <v>184</v>
      </c>
      <c r="I1802" s="11">
        <v>500000</v>
      </c>
      <c r="J1802" s="8" t="s">
        <v>210</v>
      </c>
      <c r="K1802" s="8" t="s">
        <v>211</v>
      </c>
      <c r="L1802" s="7">
        <v>2013</v>
      </c>
      <c r="M1802" s="8" t="s">
        <v>214</v>
      </c>
      <c r="N1802" s="11">
        <v>4000000</v>
      </c>
      <c r="O1802" s="8" t="s">
        <v>215</v>
      </c>
      <c r="P1802" s="8" t="s">
        <v>216</v>
      </c>
      <c r="Q1802" s="8"/>
      <c r="R1802" s="8" t="s">
        <v>3537</v>
      </c>
    </row>
    <row r="1803" spans="1:18" ht="26.15" customHeight="1">
      <c r="A1803" s="7">
        <v>1797</v>
      </c>
      <c r="B1803" s="8" t="s">
        <v>4606</v>
      </c>
      <c r="C1803" s="8" t="s">
        <v>3114</v>
      </c>
      <c r="D1803" s="8" t="s">
        <v>4607</v>
      </c>
      <c r="E1803" s="8" t="s">
        <v>3116</v>
      </c>
      <c r="F1803" s="9" t="s">
        <v>3123</v>
      </c>
      <c r="G1803" s="10">
        <v>42020</v>
      </c>
      <c r="H1803" s="8" t="s">
        <v>34</v>
      </c>
      <c r="I1803" s="11">
        <v>500000</v>
      </c>
      <c r="J1803" s="8" t="s">
        <v>2762</v>
      </c>
      <c r="K1803" s="8" t="s">
        <v>2763</v>
      </c>
      <c r="L1803" s="7">
        <v>2014</v>
      </c>
      <c r="M1803" s="8" t="s">
        <v>278</v>
      </c>
      <c r="N1803" s="11">
        <v>500000</v>
      </c>
      <c r="O1803" s="8" t="s">
        <v>2765</v>
      </c>
      <c r="P1803" s="8" t="s">
        <v>2766</v>
      </c>
      <c r="Q1803" s="8"/>
      <c r="R1803" s="8" t="s">
        <v>1427</v>
      </c>
    </row>
    <row r="1804" spans="1:18" ht="26.15" customHeight="1">
      <c r="A1804" s="7">
        <v>1798</v>
      </c>
      <c r="B1804" s="8" t="s">
        <v>4637</v>
      </c>
      <c r="C1804" s="8" t="s">
        <v>3127</v>
      </c>
      <c r="D1804" s="8"/>
      <c r="E1804" s="8" t="s">
        <v>3128</v>
      </c>
      <c r="F1804" s="9" t="s">
        <v>3117</v>
      </c>
      <c r="G1804" s="10">
        <v>42012</v>
      </c>
      <c r="H1804" s="8" t="s">
        <v>34</v>
      </c>
      <c r="I1804" s="11">
        <v>471936</v>
      </c>
      <c r="J1804" s="8" t="s">
        <v>1685</v>
      </c>
      <c r="K1804" s="8" t="s">
        <v>1686</v>
      </c>
      <c r="L1804" s="7">
        <v>2013</v>
      </c>
      <c r="M1804" s="8" t="s">
        <v>79</v>
      </c>
      <c r="N1804" s="11">
        <v>2257449</v>
      </c>
      <c r="O1804" s="8" t="s">
        <v>1690</v>
      </c>
      <c r="P1804" s="8" t="s">
        <v>1691</v>
      </c>
      <c r="Q1804" s="8"/>
      <c r="R1804" s="8"/>
    </row>
    <row r="1805" spans="1:18" ht="26.15" customHeight="1">
      <c r="A1805" s="7">
        <v>1799</v>
      </c>
      <c r="B1805" s="8" t="s">
        <v>3911</v>
      </c>
      <c r="C1805" s="8" t="s">
        <v>3127</v>
      </c>
      <c r="D1805" s="8"/>
      <c r="E1805" s="8" t="s">
        <v>3128</v>
      </c>
      <c r="F1805" s="9" t="s">
        <v>3117</v>
      </c>
      <c r="G1805" s="10">
        <v>42012</v>
      </c>
      <c r="H1805" s="8" t="s">
        <v>34</v>
      </c>
      <c r="I1805" s="11">
        <v>471936</v>
      </c>
      <c r="J1805" s="8" t="s">
        <v>1685</v>
      </c>
      <c r="K1805" s="8" t="s">
        <v>1686</v>
      </c>
      <c r="L1805" s="7">
        <v>2013</v>
      </c>
      <c r="M1805" s="8" t="s">
        <v>79</v>
      </c>
      <c r="N1805" s="11">
        <v>2257449</v>
      </c>
      <c r="O1805" s="8" t="s">
        <v>1690</v>
      </c>
      <c r="P1805" s="8" t="s">
        <v>1691</v>
      </c>
      <c r="Q1805" s="8"/>
      <c r="R1805" s="8"/>
    </row>
    <row r="1806" spans="1:18" ht="26.15" customHeight="1">
      <c r="A1806" s="7">
        <v>1800</v>
      </c>
      <c r="B1806" s="8" t="s">
        <v>4766</v>
      </c>
      <c r="C1806" s="8" t="s">
        <v>3127</v>
      </c>
      <c r="D1806" s="8"/>
      <c r="E1806" s="8" t="s">
        <v>3128</v>
      </c>
      <c r="F1806" s="9" t="s">
        <v>3117</v>
      </c>
      <c r="G1806" s="10">
        <v>42012</v>
      </c>
      <c r="H1806" s="8" t="s">
        <v>34</v>
      </c>
      <c r="I1806" s="11">
        <v>471936</v>
      </c>
      <c r="J1806" s="8" t="s">
        <v>1685</v>
      </c>
      <c r="K1806" s="8" t="s">
        <v>1686</v>
      </c>
      <c r="L1806" s="7">
        <v>2013</v>
      </c>
      <c r="M1806" s="8" t="s">
        <v>79</v>
      </c>
      <c r="N1806" s="11">
        <v>2257449</v>
      </c>
      <c r="O1806" s="8" t="s">
        <v>1690</v>
      </c>
      <c r="P1806" s="8" t="s">
        <v>1691</v>
      </c>
      <c r="Q1806" s="8"/>
      <c r="R1806" s="8"/>
    </row>
    <row r="1807" spans="1:18" ht="26.15" customHeight="1">
      <c r="A1807" s="7">
        <v>1801</v>
      </c>
      <c r="B1807" s="8" t="s">
        <v>4641</v>
      </c>
      <c r="C1807" s="8" t="s">
        <v>3127</v>
      </c>
      <c r="D1807" s="8"/>
      <c r="E1807" s="8" t="s">
        <v>3128</v>
      </c>
      <c r="F1807" s="9" t="s">
        <v>3117</v>
      </c>
      <c r="G1807" s="10">
        <v>42012</v>
      </c>
      <c r="H1807" s="8" t="s">
        <v>34</v>
      </c>
      <c r="I1807" s="11">
        <v>471936</v>
      </c>
      <c r="J1807" s="8" t="s">
        <v>1685</v>
      </c>
      <c r="K1807" s="8" t="s">
        <v>1686</v>
      </c>
      <c r="L1807" s="7">
        <v>2013</v>
      </c>
      <c r="M1807" s="8" t="s">
        <v>79</v>
      </c>
      <c r="N1807" s="11">
        <v>2257449</v>
      </c>
      <c r="O1807" s="8" t="s">
        <v>1690</v>
      </c>
      <c r="P1807" s="8" t="s">
        <v>1691</v>
      </c>
      <c r="Q1807" s="8"/>
      <c r="R1807" s="8"/>
    </row>
    <row r="1808" spans="1:18" ht="26.15" customHeight="1">
      <c r="A1808" s="7">
        <v>1802</v>
      </c>
      <c r="B1808" s="8" t="s">
        <v>4767</v>
      </c>
      <c r="C1808" s="8" t="s">
        <v>3127</v>
      </c>
      <c r="D1808" s="8"/>
      <c r="E1808" s="8" t="s">
        <v>3128</v>
      </c>
      <c r="F1808" s="9" t="s">
        <v>3117</v>
      </c>
      <c r="G1808" s="10">
        <v>42012</v>
      </c>
      <c r="H1808" s="8" t="s">
        <v>34</v>
      </c>
      <c r="I1808" s="11">
        <v>471936</v>
      </c>
      <c r="J1808" s="8" t="s">
        <v>1685</v>
      </c>
      <c r="K1808" s="8" t="s">
        <v>1686</v>
      </c>
      <c r="L1808" s="7">
        <v>2013</v>
      </c>
      <c r="M1808" s="8" t="s">
        <v>79</v>
      </c>
      <c r="N1808" s="11">
        <v>2257449</v>
      </c>
      <c r="O1808" s="8" t="s">
        <v>1690</v>
      </c>
      <c r="P1808" s="8" t="s">
        <v>1691</v>
      </c>
      <c r="Q1808" s="8"/>
      <c r="R1808" s="8"/>
    </row>
    <row r="1809" spans="1:18" ht="26.15" customHeight="1">
      <c r="A1809" s="7">
        <v>1803</v>
      </c>
      <c r="B1809" s="8" t="s">
        <v>4643</v>
      </c>
      <c r="C1809" s="8" t="s">
        <v>3127</v>
      </c>
      <c r="D1809" s="8"/>
      <c r="E1809" s="8" t="s">
        <v>3128</v>
      </c>
      <c r="F1809" s="9" t="s">
        <v>3117</v>
      </c>
      <c r="G1809" s="10">
        <v>42012</v>
      </c>
      <c r="H1809" s="8" t="s">
        <v>34</v>
      </c>
      <c r="I1809" s="11">
        <v>471936</v>
      </c>
      <c r="J1809" s="8" t="s">
        <v>1685</v>
      </c>
      <c r="K1809" s="8" t="s">
        <v>1686</v>
      </c>
      <c r="L1809" s="7">
        <v>2013</v>
      </c>
      <c r="M1809" s="8" t="s">
        <v>79</v>
      </c>
      <c r="N1809" s="11">
        <v>2257449</v>
      </c>
      <c r="O1809" s="8" t="s">
        <v>1690</v>
      </c>
      <c r="P1809" s="8" t="s">
        <v>1691</v>
      </c>
      <c r="Q1809" s="8"/>
      <c r="R1809" s="8"/>
    </row>
    <row r="1810" spans="1:18" ht="26.15" customHeight="1">
      <c r="A1810" s="7">
        <v>1804</v>
      </c>
      <c r="B1810" s="8" t="s">
        <v>4505</v>
      </c>
      <c r="C1810" s="8" t="s">
        <v>3127</v>
      </c>
      <c r="D1810" s="8"/>
      <c r="E1810" s="8" t="s">
        <v>3128</v>
      </c>
      <c r="F1810" s="9" t="s">
        <v>3117</v>
      </c>
      <c r="G1810" s="10">
        <v>42012</v>
      </c>
      <c r="H1810" s="8" t="s">
        <v>34</v>
      </c>
      <c r="I1810" s="11">
        <v>471936</v>
      </c>
      <c r="J1810" s="8" t="s">
        <v>1685</v>
      </c>
      <c r="K1810" s="8" t="s">
        <v>1686</v>
      </c>
      <c r="L1810" s="7">
        <v>2013</v>
      </c>
      <c r="M1810" s="8" t="s">
        <v>79</v>
      </c>
      <c r="N1810" s="11">
        <v>2257449</v>
      </c>
      <c r="O1810" s="8" t="s">
        <v>1690</v>
      </c>
      <c r="P1810" s="8" t="s">
        <v>1691</v>
      </c>
      <c r="Q1810" s="8"/>
      <c r="R1810" s="8"/>
    </row>
    <row r="1811" spans="1:18" ht="26.15" customHeight="1">
      <c r="A1811" s="7">
        <v>1805</v>
      </c>
      <c r="B1811" s="8" t="s">
        <v>4768</v>
      </c>
      <c r="C1811" s="8" t="s">
        <v>3127</v>
      </c>
      <c r="D1811" s="8"/>
      <c r="E1811" s="8" t="s">
        <v>3128</v>
      </c>
      <c r="F1811" s="9" t="s">
        <v>3117</v>
      </c>
      <c r="G1811" s="10">
        <v>42012</v>
      </c>
      <c r="H1811" s="8" t="s">
        <v>34</v>
      </c>
      <c r="I1811" s="11">
        <v>471936</v>
      </c>
      <c r="J1811" s="8" t="s">
        <v>1685</v>
      </c>
      <c r="K1811" s="8" t="s">
        <v>1686</v>
      </c>
      <c r="L1811" s="7">
        <v>2013</v>
      </c>
      <c r="M1811" s="8" t="s">
        <v>79</v>
      </c>
      <c r="N1811" s="11">
        <v>2257449</v>
      </c>
      <c r="O1811" s="8" t="s">
        <v>1690</v>
      </c>
      <c r="P1811" s="8" t="s">
        <v>1691</v>
      </c>
      <c r="Q1811" s="8"/>
      <c r="R1811" s="8"/>
    </row>
    <row r="1812" spans="1:18" ht="26.15" customHeight="1">
      <c r="A1812" s="7">
        <v>1806</v>
      </c>
      <c r="B1812" s="8" t="s">
        <v>4506</v>
      </c>
      <c r="C1812" s="8" t="s">
        <v>3127</v>
      </c>
      <c r="D1812" s="8"/>
      <c r="E1812" s="8" t="s">
        <v>3128</v>
      </c>
      <c r="F1812" s="9" t="s">
        <v>3117</v>
      </c>
      <c r="G1812" s="10">
        <v>42012</v>
      </c>
      <c r="H1812" s="8" t="s">
        <v>34</v>
      </c>
      <c r="I1812" s="11">
        <v>471936</v>
      </c>
      <c r="J1812" s="8" t="s">
        <v>1685</v>
      </c>
      <c r="K1812" s="8" t="s">
        <v>1686</v>
      </c>
      <c r="L1812" s="7">
        <v>2013</v>
      </c>
      <c r="M1812" s="8" t="s">
        <v>79</v>
      </c>
      <c r="N1812" s="11">
        <v>2257449</v>
      </c>
      <c r="O1812" s="8" t="s">
        <v>1690</v>
      </c>
      <c r="P1812" s="8" t="s">
        <v>1691</v>
      </c>
      <c r="Q1812" s="8"/>
      <c r="R1812" s="8"/>
    </row>
    <row r="1813" spans="1:18" ht="26.15" customHeight="1">
      <c r="A1813" s="7">
        <v>1807</v>
      </c>
      <c r="B1813" s="8" t="s">
        <v>4390</v>
      </c>
      <c r="C1813" s="8" t="s">
        <v>3127</v>
      </c>
      <c r="D1813" s="8"/>
      <c r="E1813" s="8" t="s">
        <v>3128</v>
      </c>
      <c r="F1813" s="9" t="s">
        <v>3117</v>
      </c>
      <c r="G1813" s="10">
        <v>42012</v>
      </c>
      <c r="H1813" s="8" t="s">
        <v>34</v>
      </c>
      <c r="I1813" s="11">
        <v>471936</v>
      </c>
      <c r="J1813" s="8" t="s">
        <v>1685</v>
      </c>
      <c r="K1813" s="8" t="s">
        <v>1686</v>
      </c>
      <c r="L1813" s="7">
        <v>2013</v>
      </c>
      <c r="M1813" s="8" t="s">
        <v>79</v>
      </c>
      <c r="N1813" s="11">
        <v>2257449</v>
      </c>
      <c r="O1813" s="8" t="s">
        <v>1690</v>
      </c>
      <c r="P1813" s="8" t="s">
        <v>1691</v>
      </c>
      <c r="Q1813" s="8"/>
      <c r="R1813" s="8"/>
    </row>
    <row r="1814" spans="1:18" ht="26.15" customHeight="1">
      <c r="A1814" s="7">
        <v>1808</v>
      </c>
      <c r="B1814" s="8" t="s">
        <v>4769</v>
      </c>
      <c r="C1814" s="8" t="s">
        <v>3127</v>
      </c>
      <c r="D1814" s="8"/>
      <c r="E1814" s="8" t="s">
        <v>3128</v>
      </c>
      <c r="F1814" s="9" t="s">
        <v>3117</v>
      </c>
      <c r="G1814" s="10">
        <v>42012</v>
      </c>
      <c r="H1814" s="8" t="s">
        <v>34</v>
      </c>
      <c r="I1814" s="11">
        <v>471936</v>
      </c>
      <c r="J1814" s="8" t="s">
        <v>1685</v>
      </c>
      <c r="K1814" s="8" t="s">
        <v>1686</v>
      </c>
      <c r="L1814" s="7">
        <v>2013</v>
      </c>
      <c r="M1814" s="8" t="s">
        <v>79</v>
      </c>
      <c r="N1814" s="11">
        <v>2257449</v>
      </c>
      <c r="O1814" s="8" t="s">
        <v>1690</v>
      </c>
      <c r="P1814" s="8" t="s">
        <v>1691</v>
      </c>
      <c r="Q1814" s="8"/>
      <c r="R1814" s="8"/>
    </row>
    <row r="1815" spans="1:18" ht="26.15" customHeight="1">
      <c r="A1815" s="7">
        <v>1809</v>
      </c>
      <c r="B1815" s="8" t="s">
        <v>4498</v>
      </c>
      <c r="C1815" s="8" t="s">
        <v>3127</v>
      </c>
      <c r="D1815" s="8"/>
      <c r="E1815" s="8" t="s">
        <v>3128</v>
      </c>
      <c r="F1815" s="9" t="s">
        <v>3117</v>
      </c>
      <c r="G1815" s="10">
        <v>42012</v>
      </c>
      <c r="H1815" s="8" t="s">
        <v>34</v>
      </c>
      <c r="I1815" s="11">
        <v>471936</v>
      </c>
      <c r="J1815" s="8" t="s">
        <v>1685</v>
      </c>
      <c r="K1815" s="8" t="s">
        <v>1686</v>
      </c>
      <c r="L1815" s="7">
        <v>2013</v>
      </c>
      <c r="M1815" s="8" t="s">
        <v>79</v>
      </c>
      <c r="N1815" s="11">
        <v>2257449</v>
      </c>
      <c r="O1815" s="8" t="s">
        <v>1690</v>
      </c>
      <c r="P1815" s="8" t="s">
        <v>1691</v>
      </c>
      <c r="Q1815" s="8"/>
      <c r="R1815" s="8"/>
    </row>
    <row r="1816" spans="1:18" ht="26.15" customHeight="1">
      <c r="A1816" s="7">
        <v>1810</v>
      </c>
      <c r="B1816" s="8" t="s">
        <v>4770</v>
      </c>
      <c r="C1816" s="8" t="s">
        <v>3127</v>
      </c>
      <c r="D1816" s="8"/>
      <c r="E1816" s="8" t="s">
        <v>3128</v>
      </c>
      <c r="F1816" s="9" t="s">
        <v>3117</v>
      </c>
      <c r="G1816" s="10">
        <v>42012</v>
      </c>
      <c r="H1816" s="8" t="s">
        <v>34</v>
      </c>
      <c r="I1816" s="11">
        <v>471936</v>
      </c>
      <c r="J1816" s="8" t="s">
        <v>1685</v>
      </c>
      <c r="K1816" s="8" t="s">
        <v>1686</v>
      </c>
      <c r="L1816" s="7">
        <v>2013</v>
      </c>
      <c r="M1816" s="8" t="s">
        <v>79</v>
      </c>
      <c r="N1816" s="11">
        <v>2257449</v>
      </c>
      <c r="O1816" s="8" t="s">
        <v>1690</v>
      </c>
      <c r="P1816" s="8" t="s">
        <v>1691</v>
      </c>
      <c r="Q1816" s="8"/>
      <c r="R1816" s="8"/>
    </row>
    <row r="1817" spans="1:18" ht="26.15" customHeight="1">
      <c r="A1817" s="7">
        <v>1811</v>
      </c>
      <c r="B1817" s="8" t="s">
        <v>4771</v>
      </c>
      <c r="C1817" s="8" t="s">
        <v>3127</v>
      </c>
      <c r="D1817" s="8"/>
      <c r="E1817" s="8" t="s">
        <v>3128</v>
      </c>
      <c r="F1817" s="9" t="s">
        <v>3123</v>
      </c>
      <c r="G1817" s="10">
        <v>42012</v>
      </c>
      <c r="H1817" s="8" t="s">
        <v>34</v>
      </c>
      <c r="I1817" s="11">
        <v>471936</v>
      </c>
      <c r="J1817" s="8" t="s">
        <v>1685</v>
      </c>
      <c r="K1817" s="8" t="s">
        <v>1686</v>
      </c>
      <c r="L1817" s="7">
        <v>2013</v>
      </c>
      <c r="M1817" s="8" t="s">
        <v>79</v>
      </c>
      <c r="N1817" s="11">
        <v>2257449</v>
      </c>
      <c r="O1817" s="8" t="s">
        <v>1690</v>
      </c>
      <c r="P1817" s="8" t="s">
        <v>1691</v>
      </c>
      <c r="Q1817" s="8"/>
      <c r="R1817" s="8"/>
    </row>
    <row r="1818" spans="1:18" ht="26.15" customHeight="1">
      <c r="A1818" s="7">
        <v>1812</v>
      </c>
      <c r="B1818" s="8" t="s">
        <v>4642</v>
      </c>
      <c r="C1818" s="8" t="s">
        <v>3127</v>
      </c>
      <c r="D1818" s="8"/>
      <c r="E1818" s="8" t="s">
        <v>3128</v>
      </c>
      <c r="F1818" s="9" t="s">
        <v>3117</v>
      </c>
      <c r="G1818" s="10">
        <v>42012</v>
      </c>
      <c r="H1818" s="8" t="s">
        <v>34</v>
      </c>
      <c r="I1818" s="11">
        <v>471936</v>
      </c>
      <c r="J1818" s="8" t="s">
        <v>1685</v>
      </c>
      <c r="K1818" s="8" t="s">
        <v>1686</v>
      </c>
      <c r="L1818" s="7">
        <v>2013</v>
      </c>
      <c r="M1818" s="8" t="s">
        <v>79</v>
      </c>
      <c r="N1818" s="11">
        <v>2257449</v>
      </c>
      <c r="O1818" s="8" t="s">
        <v>1690</v>
      </c>
      <c r="P1818" s="8" t="s">
        <v>1691</v>
      </c>
      <c r="Q1818" s="8"/>
      <c r="R1818" s="8"/>
    </row>
    <row r="1819" spans="1:18" ht="26.15" customHeight="1">
      <c r="A1819" s="7">
        <v>1813</v>
      </c>
      <c r="B1819" s="8" t="s">
        <v>4772</v>
      </c>
      <c r="C1819" s="8" t="s">
        <v>3127</v>
      </c>
      <c r="D1819" s="8"/>
      <c r="E1819" s="8" t="s">
        <v>3128</v>
      </c>
      <c r="F1819" s="9" t="s">
        <v>3123</v>
      </c>
      <c r="G1819" s="10">
        <v>42012</v>
      </c>
      <c r="H1819" s="8" t="s">
        <v>34</v>
      </c>
      <c r="I1819" s="11">
        <v>471936</v>
      </c>
      <c r="J1819" s="8" t="s">
        <v>1685</v>
      </c>
      <c r="K1819" s="8" t="s">
        <v>1686</v>
      </c>
      <c r="L1819" s="7">
        <v>2013</v>
      </c>
      <c r="M1819" s="8" t="s">
        <v>79</v>
      </c>
      <c r="N1819" s="11">
        <v>2257449</v>
      </c>
      <c r="O1819" s="8" t="s">
        <v>1690</v>
      </c>
      <c r="P1819" s="8" t="s">
        <v>1691</v>
      </c>
      <c r="Q1819" s="8"/>
      <c r="R1819" s="8"/>
    </row>
    <row r="1820" spans="1:18" ht="26.15" customHeight="1">
      <c r="A1820" s="7">
        <v>1814</v>
      </c>
      <c r="B1820" s="8" t="s">
        <v>4497</v>
      </c>
      <c r="C1820" s="8" t="s">
        <v>3127</v>
      </c>
      <c r="D1820" s="8"/>
      <c r="E1820" s="8" t="s">
        <v>3128</v>
      </c>
      <c r="F1820" s="9" t="s">
        <v>3117</v>
      </c>
      <c r="G1820" s="10">
        <v>42012</v>
      </c>
      <c r="H1820" s="8" t="s">
        <v>34</v>
      </c>
      <c r="I1820" s="11">
        <v>471936</v>
      </c>
      <c r="J1820" s="8" t="s">
        <v>1685</v>
      </c>
      <c r="K1820" s="8" t="s">
        <v>1686</v>
      </c>
      <c r="L1820" s="7">
        <v>2013</v>
      </c>
      <c r="M1820" s="8" t="s">
        <v>79</v>
      </c>
      <c r="N1820" s="11">
        <v>2257449</v>
      </c>
      <c r="O1820" s="8" t="s">
        <v>1690</v>
      </c>
      <c r="P1820" s="8" t="s">
        <v>1691</v>
      </c>
      <c r="Q1820" s="8"/>
      <c r="R1820" s="8"/>
    </row>
    <row r="1821" spans="1:18" ht="26.15" customHeight="1">
      <c r="A1821" s="7">
        <v>1815</v>
      </c>
      <c r="B1821" s="8" t="s">
        <v>4100</v>
      </c>
      <c r="C1821" s="8" t="s">
        <v>3114</v>
      </c>
      <c r="D1821" s="8" t="s">
        <v>4101</v>
      </c>
      <c r="E1821" s="8" t="s">
        <v>3116</v>
      </c>
      <c r="F1821" s="9" t="s">
        <v>3123</v>
      </c>
      <c r="G1821" s="10">
        <v>42012</v>
      </c>
      <c r="H1821" s="8" t="s">
        <v>34</v>
      </c>
      <c r="I1821" s="11">
        <v>471936</v>
      </c>
      <c r="J1821" s="8" t="s">
        <v>1685</v>
      </c>
      <c r="K1821" s="8" t="s">
        <v>1686</v>
      </c>
      <c r="L1821" s="7">
        <v>2013</v>
      </c>
      <c r="M1821" s="8" t="s">
        <v>79</v>
      </c>
      <c r="N1821" s="11">
        <v>2257449</v>
      </c>
      <c r="O1821" s="8" t="s">
        <v>1690</v>
      </c>
      <c r="P1821" s="8" t="s">
        <v>1691</v>
      </c>
      <c r="Q1821" s="8"/>
      <c r="R1821" s="8" t="s">
        <v>56</v>
      </c>
    </row>
    <row r="1822" spans="1:18" ht="26.15" customHeight="1">
      <c r="A1822" s="7">
        <v>1816</v>
      </c>
      <c r="B1822" s="8" t="s">
        <v>4648</v>
      </c>
      <c r="C1822" s="8" t="s">
        <v>3127</v>
      </c>
      <c r="D1822" s="8"/>
      <c r="E1822" s="8" t="s">
        <v>3128</v>
      </c>
      <c r="F1822" s="9" t="s">
        <v>3123</v>
      </c>
      <c r="G1822" s="10">
        <v>42012</v>
      </c>
      <c r="H1822" s="8" t="s">
        <v>34</v>
      </c>
      <c r="I1822" s="11">
        <v>471936</v>
      </c>
      <c r="J1822" s="8" t="s">
        <v>1685</v>
      </c>
      <c r="K1822" s="8" t="s">
        <v>1686</v>
      </c>
      <c r="L1822" s="7">
        <v>2013</v>
      </c>
      <c r="M1822" s="8" t="s">
        <v>79</v>
      </c>
      <c r="N1822" s="11">
        <v>2257449</v>
      </c>
      <c r="O1822" s="8" t="s">
        <v>1690</v>
      </c>
      <c r="P1822" s="8" t="s">
        <v>1691</v>
      </c>
      <c r="Q1822" s="8"/>
      <c r="R1822" s="8"/>
    </row>
    <row r="1823" spans="1:18" ht="26.15" customHeight="1">
      <c r="A1823" s="7">
        <v>1817</v>
      </c>
      <c r="B1823" s="8" t="s">
        <v>4393</v>
      </c>
      <c r="C1823" s="8"/>
      <c r="D1823" s="8" t="s">
        <v>4394</v>
      </c>
      <c r="E1823" s="8" t="s">
        <v>3116</v>
      </c>
      <c r="F1823" s="9" t="s">
        <v>3123</v>
      </c>
      <c r="G1823" s="10">
        <v>42012</v>
      </c>
      <c r="H1823" s="8" t="s">
        <v>34</v>
      </c>
      <c r="I1823" s="11">
        <v>471936</v>
      </c>
      <c r="J1823" s="8" t="s">
        <v>1685</v>
      </c>
      <c r="K1823" s="8" t="s">
        <v>1686</v>
      </c>
      <c r="L1823" s="7">
        <v>2013</v>
      </c>
      <c r="M1823" s="8" t="s">
        <v>79</v>
      </c>
      <c r="N1823" s="11">
        <v>2257449</v>
      </c>
      <c r="O1823" s="8" t="s">
        <v>1690</v>
      </c>
      <c r="P1823" s="8" t="s">
        <v>1691</v>
      </c>
      <c r="Q1823" s="8"/>
      <c r="R1823" s="8" t="s">
        <v>4364</v>
      </c>
    </row>
    <row r="1824" spans="1:18" ht="26.15" customHeight="1">
      <c r="A1824" s="7">
        <v>1818</v>
      </c>
      <c r="B1824" s="8" t="s">
        <v>4773</v>
      </c>
      <c r="C1824" s="8"/>
      <c r="D1824" s="8" t="s">
        <v>4774</v>
      </c>
      <c r="E1824" s="8" t="s">
        <v>3116</v>
      </c>
      <c r="F1824" s="9" t="s">
        <v>3123</v>
      </c>
      <c r="G1824" s="10">
        <v>42012</v>
      </c>
      <c r="H1824" s="8" t="s">
        <v>34</v>
      </c>
      <c r="I1824" s="11">
        <v>471936</v>
      </c>
      <c r="J1824" s="8" t="s">
        <v>1685</v>
      </c>
      <c r="K1824" s="8" t="s">
        <v>1686</v>
      </c>
      <c r="L1824" s="7">
        <v>2013</v>
      </c>
      <c r="M1824" s="8" t="s">
        <v>79</v>
      </c>
      <c r="N1824" s="11">
        <v>2257449</v>
      </c>
      <c r="O1824" s="8" t="s">
        <v>1690</v>
      </c>
      <c r="P1824" s="8" t="s">
        <v>1691</v>
      </c>
      <c r="Q1824" s="8"/>
      <c r="R1824" s="8" t="s">
        <v>181</v>
      </c>
    </row>
    <row r="1825" spans="1:18" ht="26.15" customHeight="1">
      <c r="A1825" s="7">
        <v>1819</v>
      </c>
      <c r="B1825" s="8" t="s">
        <v>4492</v>
      </c>
      <c r="C1825" s="8" t="s">
        <v>3139</v>
      </c>
      <c r="D1825" s="8" t="s">
        <v>4493</v>
      </c>
      <c r="E1825" s="8" t="s">
        <v>3116</v>
      </c>
      <c r="F1825" s="9" t="s">
        <v>3123</v>
      </c>
      <c r="G1825" s="10">
        <v>42012</v>
      </c>
      <c r="H1825" s="8" t="s">
        <v>34</v>
      </c>
      <c r="I1825" s="11">
        <v>471936</v>
      </c>
      <c r="J1825" s="8" t="s">
        <v>1685</v>
      </c>
      <c r="K1825" s="8" t="s">
        <v>1686</v>
      </c>
      <c r="L1825" s="7">
        <v>2013</v>
      </c>
      <c r="M1825" s="8" t="s">
        <v>79</v>
      </c>
      <c r="N1825" s="11">
        <v>2257449</v>
      </c>
      <c r="O1825" s="8" t="s">
        <v>1690</v>
      </c>
      <c r="P1825" s="8" t="s">
        <v>1691</v>
      </c>
      <c r="Q1825" s="8"/>
      <c r="R1825" s="8" t="s">
        <v>4494</v>
      </c>
    </row>
    <row r="1826" spans="1:18" ht="26.15" customHeight="1">
      <c r="A1826" s="7">
        <v>1820</v>
      </c>
      <c r="B1826" s="8" t="s">
        <v>4646</v>
      </c>
      <c r="C1826" s="8" t="s">
        <v>3127</v>
      </c>
      <c r="D1826" s="8"/>
      <c r="E1826" s="8" t="s">
        <v>3128</v>
      </c>
      <c r="F1826" s="9" t="s">
        <v>3117</v>
      </c>
      <c r="G1826" s="10">
        <v>42012</v>
      </c>
      <c r="H1826" s="8" t="s">
        <v>34</v>
      </c>
      <c r="I1826" s="11">
        <v>471936</v>
      </c>
      <c r="J1826" s="8" t="s">
        <v>1685</v>
      </c>
      <c r="K1826" s="8" t="s">
        <v>1686</v>
      </c>
      <c r="L1826" s="7">
        <v>2013</v>
      </c>
      <c r="M1826" s="8" t="s">
        <v>79</v>
      </c>
      <c r="N1826" s="11">
        <v>2257449</v>
      </c>
      <c r="O1826" s="8" t="s">
        <v>1690</v>
      </c>
      <c r="P1826" s="8" t="s">
        <v>1691</v>
      </c>
      <c r="Q1826" s="8"/>
      <c r="R1826" s="8"/>
    </row>
    <row r="1827" spans="1:18" ht="26.15" customHeight="1">
      <c r="A1827" s="7">
        <v>1821</v>
      </c>
      <c r="B1827" s="8" t="s">
        <v>4775</v>
      </c>
      <c r="C1827" s="8" t="s">
        <v>3127</v>
      </c>
      <c r="D1827" s="8"/>
      <c r="E1827" s="8" t="s">
        <v>3128</v>
      </c>
      <c r="F1827" s="9" t="s">
        <v>3123</v>
      </c>
      <c r="G1827" s="10">
        <v>42012</v>
      </c>
      <c r="H1827" s="8" t="s">
        <v>34</v>
      </c>
      <c r="I1827" s="11">
        <v>471936</v>
      </c>
      <c r="J1827" s="8" t="s">
        <v>1685</v>
      </c>
      <c r="K1827" s="8" t="s">
        <v>1686</v>
      </c>
      <c r="L1827" s="7">
        <v>2013</v>
      </c>
      <c r="M1827" s="8" t="s">
        <v>79</v>
      </c>
      <c r="N1827" s="11">
        <v>2257449</v>
      </c>
      <c r="O1827" s="8" t="s">
        <v>1690</v>
      </c>
      <c r="P1827" s="8" t="s">
        <v>1691</v>
      </c>
      <c r="Q1827" s="8"/>
      <c r="R1827" s="8"/>
    </row>
    <row r="1828" spans="1:18" ht="26.15" customHeight="1">
      <c r="A1828" s="7">
        <v>1822</v>
      </c>
      <c r="B1828" s="8" t="s">
        <v>4776</v>
      </c>
      <c r="C1828" s="8" t="s">
        <v>3127</v>
      </c>
      <c r="D1828" s="8"/>
      <c r="E1828" s="8" t="s">
        <v>3128</v>
      </c>
      <c r="F1828" s="9" t="s">
        <v>3123</v>
      </c>
      <c r="G1828" s="10">
        <v>42012</v>
      </c>
      <c r="H1828" s="8" t="s">
        <v>34</v>
      </c>
      <c r="I1828" s="11">
        <v>471936</v>
      </c>
      <c r="J1828" s="8" t="s">
        <v>1685</v>
      </c>
      <c r="K1828" s="8" t="s">
        <v>1686</v>
      </c>
      <c r="L1828" s="7">
        <v>2013</v>
      </c>
      <c r="M1828" s="8" t="s">
        <v>79</v>
      </c>
      <c r="N1828" s="11">
        <v>2257449</v>
      </c>
      <c r="O1828" s="8" t="s">
        <v>1690</v>
      </c>
      <c r="P1828" s="8" t="s">
        <v>1691</v>
      </c>
      <c r="Q1828" s="8"/>
      <c r="R1828" s="8"/>
    </row>
    <row r="1829" spans="1:18" ht="26.15" customHeight="1">
      <c r="A1829" s="7">
        <v>1823</v>
      </c>
      <c r="B1829" s="8" t="s">
        <v>4777</v>
      </c>
      <c r="C1829" s="8" t="s">
        <v>3127</v>
      </c>
      <c r="D1829" s="8"/>
      <c r="E1829" s="8" t="s">
        <v>3128</v>
      </c>
      <c r="F1829" s="9" t="s">
        <v>3117</v>
      </c>
      <c r="G1829" s="10">
        <v>42012</v>
      </c>
      <c r="H1829" s="8" t="s">
        <v>34</v>
      </c>
      <c r="I1829" s="11">
        <v>471936</v>
      </c>
      <c r="J1829" s="8" t="s">
        <v>1685</v>
      </c>
      <c r="K1829" s="8" t="s">
        <v>1686</v>
      </c>
      <c r="L1829" s="7">
        <v>2013</v>
      </c>
      <c r="M1829" s="8" t="s">
        <v>79</v>
      </c>
      <c r="N1829" s="11">
        <v>2257449</v>
      </c>
      <c r="O1829" s="8" t="s">
        <v>1690</v>
      </c>
      <c r="P1829" s="8" t="s">
        <v>1691</v>
      </c>
      <c r="Q1829" s="8"/>
      <c r="R1829" s="8"/>
    </row>
    <row r="1830" spans="1:18" ht="26.15" customHeight="1">
      <c r="A1830" s="7">
        <v>1824</v>
      </c>
      <c r="B1830" s="8" t="s">
        <v>4778</v>
      </c>
      <c r="C1830" s="8" t="s">
        <v>3127</v>
      </c>
      <c r="D1830" s="8"/>
      <c r="E1830" s="8" t="s">
        <v>3128</v>
      </c>
      <c r="F1830" s="9" t="s">
        <v>3117</v>
      </c>
      <c r="G1830" s="10">
        <v>42012</v>
      </c>
      <c r="H1830" s="8" t="s">
        <v>34</v>
      </c>
      <c r="I1830" s="11">
        <v>471936</v>
      </c>
      <c r="J1830" s="8" t="s">
        <v>1685</v>
      </c>
      <c r="K1830" s="8" t="s">
        <v>1686</v>
      </c>
      <c r="L1830" s="7">
        <v>2013</v>
      </c>
      <c r="M1830" s="8" t="s">
        <v>79</v>
      </c>
      <c r="N1830" s="11">
        <v>2257449</v>
      </c>
      <c r="O1830" s="8" t="s">
        <v>1690</v>
      </c>
      <c r="P1830" s="8" t="s">
        <v>1691</v>
      </c>
      <c r="Q1830" s="8"/>
      <c r="R1830" s="8"/>
    </row>
    <row r="1831" spans="1:18" ht="26.15" customHeight="1">
      <c r="A1831" s="7">
        <v>1825</v>
      </c>
      <c r="B1831" s="8" t="s">
        <v>4652</v>
      </c>
      <c r="C1831" s="8" t="s">
        <v>3127</v>
      </c>
      <c r="D1831" s="8"/>
      <c r="E1831" s="8" t="s">
        <v>3128</v>
      </c>
      <c r="F1831" s="9" t="s">
        <v>3123</v>
      </c>
      <c r="G1831" s="10">
        <v>42012</v>
      </c>
      <c r="H1831" s="8" t="s">
        <v>34</v>
      </c>
      <c r="I1831" s="11">
        <v>471936</v>
      </c>
      <c r="J1831" s="8" t="s">
        <v>1685</v>
      </c>
      <c r="K1831" s="8" t="s">
        <v>1686</v>
      </c>
      <c r="L1831" s="7">
        <v>2013</v>
      </c>
      <c r="M1831" s="8" t="s">
        <v>79</v>
      </c>
      <c r="N1831" s="11">
        <v>2257449</v>
      </c>
      <c r="O1831" s="8" t="s">
        <v>1690</v>
      </c>
      <c r="P1831" s="8" t="s">
        <v>1691</v>
      </c>
      <c r="Q1831" s="8"/>
      <c r="R1831" s="8"/>
    </row>
    <row r="1832" spans="1:18" ht="26.15" customHeight="1">
      <c r="A1832" s="7">
        <v>1826</v>
      </c>
      <c r="B1832" s="8" t="s">
        <v>3140</v>
      </c>
      <c r="C1832" s="8" t="s">
        <v>3139</v>
      </c>
      <c r="D1832" s="8" t="s">
        <v>3141</v>
      </c>
      <c r="E1832" s="8" t="s">
        <v>3116</v>
      </c>
      <c r="F1832" s="9" t="s">
        <v>3123</v>
      </c>
      <c r="G1832" s="10">
        <v>42010</v>
      </c>
      <c r="H1832" s="8" t="s">
        <v>34</v>
      </c>
      <c r="I1832" s="11">
        <v>1000000</v>
      </c>
      <c r="J1832" s="8" t="s">
        <v>1970</v>
      </c>
      <c r="K1832" s="8" t="s">
        <v>1971</v>
      </c>
      <c r="L1832" s="7">
        <v>2012</v>
      </c>
      <c r="M1832" s="8" t="s">
        <v>954</v>
      </c>
      <c r="N1832" s="11">
        <v>3000000</v>
      </c>
      <c r="O1832" s="8" t="s">
        <v>1973</v>
      </c>
      <c r="P1832" s="8" t="s">
        <v>1974</v>
      </c>
      <c r="Q1832" s="8"/>
      <c r="R1832" s="8" t="s">
        <v>954</v>
      </c>
    </row>
    <row r="1833" spans="1:18" ht="26.15" customHeight="1">
      <c r="A1833" s="7">
        <v>1827</v>
      </c>
      <c r="B1833" s="8" t="s">
        <v>4779</v>
      </c>
      <c r="C1833" s="8" t="s">
        <v>3114</v>
      </c>
      <c r="D1833" s="8" t="s">
        <v>4780</v>
      </c>
      <c r="E1833" s="8" t="s">
        <v>3116</v>
      </c>
      <c r="F1833" s="9" t="s">
        <v>3123</v>
      </c>
      <c r="G1833" s="10">
        <v>42005</v>
      </c>
      <c r="H1833" s="8" t="s">
        <v>34</v>
      </c>
      <c r="I1833" s="11">
        <v>550000</v>
      </c>
      <c r="J1833" s="8" t="s">
        <v>2775</v>
      </c>
      <c r="K1833" s="8" t="s">
        <v>2776</v>
      </c>
      <c r="L1833" s="7">
        <v>2015</v>
      </c>
      <c r="M1833" s="8" t="s">
        <v>173</v>
      </c>
      <c r="N1833" s="11">
        <v>550000</v>
      </c>
      <c r="O1833" s="8" t="s">
        <v>2778</v>
      </c>
      <c r="P1833" s="8" t="s">
        <v>2779</v>
      </c>
      <c r="Q1833" s="8"/>
      <c r="R1833" s="8" t="s">
        <v>173</v>
      </c>
    </row>
    <row r="1834" spans="1:18" ht="26.15" customHeight="1">
      <c r="A1834" s="7">
        <v>1828</v>
      </c>
      <c r="B1834" s="8" t="s">
        <v>4781</v>
      </c>
      <c r="C1834" s="8" t="s">
        <v>3114</v>
      </c>
      <c r="D1834" s="8" t="s">
        <v>4782</v>
      </c>
      <c r="E1834" s="8" t="s">
        <v>3116</v>
      </c>
      <c r="F1834" s="9" t="s">
        <v>3117</v>
      </c>
      <c r="G1834" s="10">
        <v>42005</v>
      </c>
      <c r="H1834" s="8" t="s">
        <v>25</v>
      </c>
      <c r="I1834" s="11">
        <v>50000000</v>
      </c>
      <c r="J1834" s="8" t="s">
        <v>1411</v>
      </c>
      <c r="K1834" s="8" t="s">
        <v>1412</v>
      </c>
      <c r="L1834" s="7">
        <v>2014</v>
      </c>
      <c r="M1834" s="8" t="s">
        <v>278</v>
      </c>
      <c r="N1834" s="11">
        <v>1303000000</v>
      </c>
      <c r="O1834" s="8" t="s">
        <v>1415</v>
      </c>
      <c r="P1834" s="8" t="s">
        <v>1416</v>
      </c>
      <c r="Q1834" s="8"/>
      <c r="R1834" s="8" t="s">
        <v>1141</v>
      </c>
    </row>
    <row r="1835" spans="1:18" ht="26.15" customHeight="1">
      <c r="A1835" s="7">
        <v>1829</v>
      </c>
      <c r="B1835" s="8" t="s">
        <v>4088</v>
      </c>
      <c r="C1835" s="8" t="s">
        <v>3114</v>
      </c>
      <c r="D1835" s="8" t="s">
        <v>4089</v>
      </c>
      <c r="E1835" s="8" t="s">
        <v>3116</v>
      </c>
      <c r="F1835" s="9" t="s">
        <v>3117</v>
      </c>
      <c r="G1835" s="10">
        <v>42005</v>
      </c>
      <c r="H1835" s="8" t="s">
        <v>25</v>
      </c>
      <c r="I1835" s="11">
        <v>50000000</v>
      </c>
      <c r="J1835" s="8" t="s">
        <v>1411</v>
      </c>
      <c r="K1835" s="8" t="s">
        <v>1412</v>
      </c>
      <c r="L1835" s="7">
        <v>2014</v>
      </c>
      <c r="M1835" s="8" t="s">
        <v>278</v>
      </c>
      <c r="N1835" s="11">
        <v>1303000000</v>
      </c>
      <c r="O1835" s="8" t="s">
        <v>1415</v>
      </c>
      <c r="P1835" s="8" t="s">
        <v>1416</v>
      </c>
      <c r="Q1835" s="8"/>
      <c r="R1835" s="8" t="s">
        <v>278</v>
      </c>
    </row>
    <row r="1836" spans="1:18" ht="26.15" customHeight="1">
      <c r="A1836" s="7">
        <v>1830</v>
      </c>
      <c r="B1836" s="8" t="s">
        <v>356</v>
      </c>
      <c r="C1836" s="8" t="s">
        <v>3114</v>
      </c>
      <c r="D1836" s="8" t="s">
        <v>3341</v>
      </c>
      <c r="E1836" s="8" t="s">
        <v>3116</v>
      </c>
      <c r="F1836" s="9" t="s">
        <v>3123</v>
      </c>
      <c r="G1836" s="10">
        <v>42005</v>
      </c>
      <c r="H1836" s="8" t="s">
        <v>34</v>
      </c>
      <c r="I1836" s="11" t="s">
        <v>50</v>
      </c>
      <c r="J1836" s="8" t="s">
        <v>2782</v>
      </c>
      <c r="K1836" s="8" t="s">
        <v>2783</v>
      </c>
      <c r="L1836" s="7">
        <v>2015</v>
      </c>
      <c r="M1836" s="8" t="s">
        <v>638</v>
      </c>
      <c r="N1836" s="11"/>
      <c r="O1836" s="8" t="s">
        <v>2784</v>
      </c>
      <c r="P1836" s="8" t="s">
        <v>2785</v>
      </c>
      <c r="Q1836" s="8"/>
      <c r="R1836" s="8" t="s">
        <v>357</v>
      </c>
    </row>
    <row r="1837" spans="1:18" ht="26.15" customHeight="1">
      <c r="A1837" s="7">
        <v>1831</v>
      </c>
      <c r="B1837" s="8" t="s">
        <v>644</v>
      </c>
      <c r="C1837" s="8" t="s">
        <v>3114</v>
      </c>
      <c r="D1837" s="8" t="s">
        <v>3162</v>
      </c>
      <c r="E1837" s="8" t="s">
        <v>3116</v>
      </c>
      <c r="F1837" s="9" t="s">
        <v>3117</v>
      </c>
      <c r="G1837" s="10">
        <v>42004</v>
      </c>
      <c r="H1837" s="8" t="s">
        <v>34</v>
      </c>
      <c r="I1837" s="11">
        <v>784575</v>
      </c>
      <c r="J1837" s="8" t="s">
        <v>2786</v>
      </c>
      <c r="K1837" s="8" t="s">
        <v>2787</v>
      </c>
      <c r="L1837" s="7">
        <v>2010</v>
      </c>
      <c r="M1837" s="8" t="s">
        <v>79</v>
      </c>
      <c r="N1837" s="11">
        <v>1740510</v>
      </c>
      <c r="O1837" s="8" t="s">
        <v>2788</v>
      </c>
      <c r="P1837" s="8" t="s">
        <v>2789</v>
      </c>
      <c r="Q1837" s="8"/>
      <c r="R1837" s="8" t="s">
        <v>313</v>
      </c>
    </row>
    <row r="1838" spans="1:18" ht="26.15" customHeight="1">
      <c r="A1838" s="7">
        <v>1832</v>
      </c>
      <c r="B1838" s="8" t="s">
        <v>4783</v>
      </c>
      <c r="C1838" s="8" t="s">
        <v>3114</v>
      </c>
      <c r="D1838" s="8" t="s">
        <v>4784</v>
      </c>
      <c r="E1838" s="8" t="s">
        <v>3116</v>
      </c>
      <c r="F1838" s="9" t="s">
        <v>3123</v>
      </c>
      <c r="G1838" s="10">
        <v>41995</v>
      </c>
      <c r="H1838" s="8" t="s">
        <v>34</v>
      </c>
      <c r="I1838" s="11" t="s">
        <v>50</v>
      </c>
      <c r="J1838" s="8" t="s">
        <v>2790</v>
      </c>
      <c r="K1838" s="8" t="s">
        <v>2791</v>
      </c>
      <c r="L1838" s="7">
        <v>2014</v>
      </c>
      <c r="M1838" s="8" t="s">
        <v>278</v>
      </c>
      <c r="N1838" s="11"/>
      <c r="O1838" s="8" t="s">
        <v>2793</v>
      </c>
      <c r="P1838" s="8" t="s">
        <v>2794</v>
      </c>
      <c r="Q1838" s="8"/>
      <c r="R1838" s="8" t="s">
        <v>1732</v>
      </c>
    </row>
    <row r="1839" spans="1:18" ht="26.15" customHeight="1">
      <c r="A1839" s="7">
        <v>1833</v>
      </c>
      <c r="B1839" s="8" t="s">
        <v>4785</v>
      </c>
      <c r="C1839" s="8" t="s">
        <v>3114</v>
      </c>
      <c r="D1839" s="8" t="s">
        <v>4786</v>
      </c>
      <c r="E1839" s="8" t="s">
        <v>3116</v>
      </c>
      <c r="F1839" s="9" t="s">
        <v>3123</v>
      </c>
      <c r="G1839" s="10">
        <v>41992</v>
      </c>
      <c r="H1839" s="8" t="s">
        <v>124</v>
      </c>
      <c r="I1839" s="11">
        <v>157802</v>
      </c>
      <c r="J1839" s="8" t="s">
        <v>2795</v>
      </c>
      <c r="K1839" s="8" t="s">
        <v>2796</v>
      </c>
      <c r="L1839" s="7">
        <v>2014</v>
      </c>
      <c r="M1839" s="8" t="s">
        <v>181</v>
      </c>
      <c r="N1839" s="11">
        <v>158000</v>
      </c>
      <c r="O1839" s="8" t="s">
        <v>2798</v>
      </c>
      <c r="P1839" s="8" t="s">
        <v>2799</v>
      </c>
      <c r="Q1839" s="8"/>
      <c r="R1839" s="8" t="s">
        <v>313</v>
      </c>
    </row>
    <row r="1840" spans="1:18" ht="26.15" customHeight="1">
      <c r="A1840" s="7">
        <v>1834</v>
      </c>
      <c r="B1840" s="8" t="s">
        <v>2801</v>
      </c>
      <c r="C1840" s="8" t="s">
        <v>3114</v>
      </c>
      <c r="D1840" s="8" t="s">
        <v>4787</v>
      </c>
      <c r="E1840" s="8" t="s">
        <v>3116</v>
      </c>
      <c r="F1840" s="9" t="s">
        <v>3117</v>
      </c>
      <c r="G1840" s="10">
        <v>41985</v>
      </c>
      <c r="H1840" s="8" t="s">
        <v>34</v>
      </c>
      <c r="I1840" s="11">
        <v>16030</v>
      </c>
      <c r="J1840" s="8" t="s">
        <v>1554</v>
      </c>
      <c r="K1840" s="8" t="s">
        <v>1555</v>
      </c>
      <c r="L1840" s="7">
        <v>2013</v>
      </c>
      <c r="M1840" s="8" t="s">
        <v>188</v>
      </c>
      <c r="N1840" s="11">
        <v>234941</v>
      </c>
      <c r="O1840" s="8" t="s">
        <v>1558</v>
      </c>
      <c r="P1840" s="8" t="s">
        <v>1559</v>
      </c>
      <c r="Q1840" s="8"/>
      <c r="R1840" s="8" t="s">
        <v>188</v>
      </c>
    </row>
    <row r="1841" spans="1:18" ht="26.15" customHeight="1">
      <c r="A1841" s="7">
        <v>1835</v>
      </c>
      <c r="B1841" s="8" t="s">
        <v>4564</v>
      </c>
      <c r="C1841" s="8" t="s">
        <v>3114</v>
      </c>
      <c r="D1841" s="8" t="s">
        <v>4565</v>
      </c>
      <c r="E1841" s="8" t="s">
        <v>3116</v>
      </c>
      <c r="F1841" s="9" t="s">
        <v>3117</v>
      </c>
      <c r="G1841" s="10">
        <v>41974</v>
      </c>
      <c r="H1841" s="8" t="s">
        <v>34</v>
      </c>
      <c r="I1841" s="11">
        <v>100000</v>
      </c>
      <c r="J1841" s="8" t="s">
        <v>856</v>
      </c>
      <c r="K1841" s="8" t="s">
        <v>857</v>
      </c>
      <c r="L1841" s="7">
        <v>2014</v>
      </c>
      <c r="M1841" s="8" t="s">
        <v>860</v>
      </c>
      <c r="N1841" s="11">
        <v>7000000</v>
      </c>
      <c r="O1841" s="8" t="s">
        <v>861</v>
      </c>
      <c r="P1841" s="8" t="s">
        <v>862</v>
      </c>
      <c r="Q1841" s="8"/>
      <c r="R1841" s="8" t="s">
        <v>860</v>
      </c>
    </row>
    <row r="1842" spans="1:18" ht="26.15" customHeight="1">
      <c r="A1842" s="7">
        <v>1836</v>
      </c>
      <c r="B1842" s="8" t="s">
        <v>4788</v>
      </c>
      <c r="C1842" s="8" t="s">
        <v>3114</v>
      </c>
      <c r="D1842" s="8" t="s">
        <v>4789</v>
      </c>
      <c r="E1842" s="8" t="s">
        <v>3116</v>
      </c>
      <c r="F1842" s="9" t="s">
        <v>3117</v>
      </c>
      <c r="G1842" s="10">
        <v>41974</v>
      </c>
      <c r="H1842" s="8" t="s">
        <v>34</v>
      </c>
      <c r="I1842" s="11">
        <v>100000</v>
      </c>
      <c r="J1842" s="8" t="s">
        <v>856</v>
      </c>
      <c r="K1842" s="8" t="s">
        <v>857</v>
      </c>
      <c r="L1842" s="7">
        <v>2014</v>
      </c>
      <c r="M1842" s="8" t="s">
        <v>860</v>
      </c>
      <c r="N1842" s="11">
        <v>7000000</v>
      </c>
      <c r="O1842" s="8" t="s">
        <v>861</v>
      </c>
      <c r="P1842" s="8" t="s">
        <v>862</v>
      </c>
      <c r="Q1842" s="8"/>
      <c r="R1842" s="8" t="s">
        <v>3220</v>
      </c>
    </row>
    <row r="1843" spans="1:18" ht="26.15" customHeight="1">
      <c r="A1843" s="7">
        <v>1837</v>
      </c>
      <c r="B1843" s="8" t="s">
        <v>484</v>
      </c>
      <c r="C1843" s="8" t="s">
        <v>3114</v>
      </c>
      <c r="D1843" s="8" t="s">
        <v>3164</v>
      </c>
      <c r="E1843" s="8" t="s">
        <v>3116</v>
      </c>
      <c r="F1843" s="9" t="s">
        <v>3117</v>
      </c>
      <c r="G1843" s="10">
        <v>41974</v>
      </c>
      <c r="H1843" s="8" t="s">
        <v>34</v>
      </c>
      <c r="I1843" s="11" t="s">
        <v>50</v>
      </c>
      <c r="J1843" s="8" t="s">
        <v>110</v>
      </c>
      <c r="K1843" s="8" t="s">
        <v>111</v>
      </c>
      <c r="L1843" s="7">
        <v>2010</v>
      </c>
      <c r="M1843" s="8" t="s">
        <v>79</v>
      </c>
      <c r="N1843" s="11">
        <v>10726419</v>
      </c>
      <c r="O1843" s="8" t="s">
        <v>114</v>
      </c>
      <c r="P1843" s="8" t="s">
        <v>115</v>
      </c>
      <c r="Q1843" s="8"/>
      <c r="R1843" s="8" t="s">
        <v>313</v>
      </c>
    </row>
    <row r="1844" spans="1:18" ht="26.15" customHeight="1">
      <c r="A1844" s="7">
        <v>1838</v>
      </c>
      <c r="B1844" s="8" t="s">
        <v>3420</v>
      </c>
      <c r="C1844" s="8" t="s">
        <v>3114</v>
      </c>
      <c r="D1844" s="8" t="s">
        <v>3421</v>
      </c>
      <c r="E1844" s="8" t="s">
        <v>3116</v>
      </c>
      <c r="F1844" s="9" t="s">
        <v>3123</v>
      </c>
      <c r="G1844" s="10">
        <v>41974</v>
      </c>
      <c r="H1844" s="8" t="s">
        <v>184</v>
      </c>
      <c r="I1844" s="11" t="s">
        <v>50</v>
      </c>
      <c r="J1844" s="8" t="s">
        <v>2804</v>
      </c>
      <c r="K1844" s="8" t="s">
        <v>2805</v>
      </c>
      <c r="L1844" s="7">
        <v>2008</v>
      </c>
      <c r="M1844" s="8" t="s">
        <v>2806</v>
      </c>
      <c r="N1844" s="11"/>
      <c r="O1844" s="8" t="s">
        <v>2807</v>
      </c>
      <c r="P1844" s="8" t="s">
        <v>2808</v>
      </c>
      <c r="Q1844" s="8"/>
      <c r="R1844" s="8" t="s">
        <v>369</v>
      </c>
    </row>
    <row r="1845" spans="1:18" ht="26.15" customHeight="1">
      <c r="A1845" s="7">
        <v>1839</v>
      </c>
      <c r="B1845" s="8" t="s">
        <v>484</v>
      </c>
      <c r="C1845" s="8" t="s">
        <v>3114</v>
      </c>
      <c r="D1845" s="8" t="s">
        <v>3164</v>
      </c>
      <c r="E1845" s="8" t="s">
        <v>3116</v>
      </c>
      <c r="F1845" s="9" t="s">
        <v>3117</v>
      </c>
      <c r="G1845" s="10">
        <v>41972</v>
      </c>
      <c r="H1845" s="8" t="s">
        <v>34</v>
      </c>
      <c r="I1845" s="11">
        <v>645128</v>
      </c>
      <c r="J1845" s="8" t="s">
        <v>1171</v>
      </c>
      <c r="K1845" s="8" t="s">
        <v>1172</v>
      </c>
      <c r="L1845" s="7">
        <v>2008</v>
      </c>
      <c r="M1845" s="8" t="s">
        <v>47</v>
      </c>
      <c r="N1845" s="11">
        <v>47182672</v>
      </c>
      <c r="O1845" s="8" t="s">
        <v>1175</v>
      </c>
      <c r="P1845" s="8" t="s">
        <v>1176</v>
      </c>
      <c r="Q1845" s="8"/>
      <c r="R1845" s="8" t="s">
        <v>313</v>
      </c>
    </row>
    <row r="1846" spans="1:18" ht="26.15" customHeight="1">
      <c r="A1846" s="7">
        <v>1840</v>
      </c>
      <c r="B1846" s="8" t="s">
        <v>4762</v>
      </c>
      <c r="C1846" s="8" t="s">
        <v>3139</v>
      </c>
      <c r="D1846" s="8" t="s">
        <v>4763</v>
      </c>
      <c r="E1846" s="8" t="s">
        <v>3116</v>
      </c>
      <c r="F1846" s="9" t="s">
        <v>3123</v>
      </c>
      <c r="G1846" s="10">
        <v>41946</v>
      </c>
      <c r="H1846" s="8" t="s">
        <v>109</v>
      </c>
      <c r="I1846" s="11" t="s">
        <v>50</v>
      </c>
      <c r="J1846" s="8" t="s">
        <v>2809</v>
      </c>
      <c r="K1846" s="8" t="s">
        <v>2810</v>
      </c>
      <c r="L1846" s="7">
        <v>2007</v>
      </c>
      <c r="M1846" s="8" t="s">
        <v>2811</v>
      </c>
      <c r="N1846" s="11"/>
      <c r="O1846" s="8" t="s">
        <v>2812</v>
      </c>
      <c r="P1846" s="8" t="s">
        <v>2813</v>
      </c>
      <c r="Q1846" s="8"/>
      <c r="R1846" s="8" t="s">
        <v>278</v>
      </c>
    </row>
    <row r="1847" spans="1:18" ht="26.15" customHeight="1">
      <c r="A1847" s="7">
        <v>1841</v>
      </c>
      <c r="B1847" s="8" t="s">
        <v>1609</v>
      </c>
      <c r="C1847" s="8" t="s">
        <v>3114</v>
      </c>
      <c r="D1847" s="8" t="s">
        <v>3544</v>
      </c>
      <c r="E1847" s="8" t="s">
        <v>3116</v>
      </c>
      <c r="F1847" s="9" t="s">
        <v>3123</v>
      </c>
      <c r="G1847" s="10">
        <v>41941</v>
      </c>
      <c r="H1847" s="8" t="s">
        <v>184</v>
      </c>
      <c r="I1847" s="11" t="s">
        <v>50</v>
      </c>
      <c r="J1847" s="8" t="s">
        <v>2604</v>
      </c>
      <c r="K1847" s="8" t="s">
        <v>2605</v>
      </c>
      <c r="L1847" s="7">
        <v>1988</v>
      </c>
      <c r="M1847" s="8" t="s">
        <v>1103</v>
      </c>
      <c r="N1847" s="11">
        <v>180000000</v>
      </c>
      <c r="O1847" s="8" t="s">
        <v>2607</v>
      </c>
      <c r="P1847" s="8" t="s">
        <v>2608</v>
      </c>
      <c r="Q1847" s="8"/>
      <c r="R1847" s="8" t="s">
        <v>3166</v>
      </c>
    </row>
    <row r="1848" spans="1:18" ht="26.15" customHeight="1">
      <c r="A1848" s="7">
        <v>1842</v>
      </c>
      <c r="B1848" s="8" t="s">
        <v>2819</v>
      </c>
      <c r="C1848" s="8" t="s">
        <v>3114</v>
      </c>
      <c r="D1848" s="8" t="s">
        <v>3541</v>
      </c>
      <c r="E1848" s="8" t="s">
        <v>3116</v>
      </c>
      <c r="F1848" s="9" t="s">
        <v>3117</v>
      </c>
      <c r="G1848" s="10">
        <v>41927</v>
      </c>
      <c r="H1848" s="8" t="s">
        <v>34</v>
      </c>
      <c r="I1848" s="11" t="s">
        <v>50</v>
      </c>
      <c r="J1848" s="8" t="s">
        <v>2432</v>
      </c>
      <c r="K1848" s="8" t="s">
        <v>2433</v>
      </c>
      <c r="L1848" s="7">
        <v>2013</v>
      </c>
      <c r="M1848" s="8" t="s">
        <v>143</v>
      </c>
      <c r="N1848" s="11">
        <v>5080000</v>
      </c>
      <c r="O1848" s="8" t="s">
        <v>2436</v>
      </c>
      <c r="P1848" s="8" t="s">
        <v>2437</v>
      </c>
      <c r="Q1848" s="8"/>
      <c r="R1848" s="8" t="s">
        <v>3220</v>
      </c>
    </row>
    <row r="1849" spans="1:18" ht="26.15" customHeight="1">
      <c r="A1849" s="7">
        <v>1843</v>
      </c>
      <c r="B1849" s="8" t="s">
        <v>2821</v>
      </c>
      <c r="C1849" s="8" t="s">
        <v>3127</v>
      </c>
      <c r="D1849" s="8"/>
      <c r="E1849" s="8" t="s">
        <v>3128</v>
      </c>
      <c r="F1849" s="9" t="s">
        <v>3117</v>
      </c>
      <c r="G1849" s="10">
        <v>41926</v>
      </c>
      <c r="H1849" s="8" t="s">
        <v>124</v>
      </c>
      <c r="I1849" s="11">
        <v>73729</v>
      </c>
      <c r="J1849" s="8" t="s">
        <v>2112</v>
      </c>
      <c r="K1849" s="8" t="s">
        <v>2113</v>
      </c>
      <c r="L1849" s="7">
        <v>2013</v>
      </c>
      <c r="M1849" s="8" t="s">
        <v>79</v>
      </c>
      <c r="N1849" s="11">
        <v>212000</v>
      </c>
      <c r="O1849" s="8" t="s">
        <v>2114</v>
      </c>
      <c r="P1849" s="8" t="s">
        <v>2115</v>
      </c>
      <c r="Q1849" s="8"/>
      <c r="R1849" s="8"/>
    </row>
    <row r="1850" spans="1:18" ht="26.15" customHeight="1">
      <c r="A1850" s="7">
        <v>1844</v>
      </c>
      <c r="B1850" s="8" t="s">
        <v>4790</v>
      </c>
      <c r="C1850" s="8" t="s">
        <v>3127</v>
      </c>
      <c r="D1850" s="8"/>
      <c r="E1850" s="8" t="s">
        <v>3128</v>
      </c>
      <c r="F1850" s="9" t="s">
        <v>3123</v>
      </c>
      <c r="G1850" s="10">
        <v>41926</v>
      </c>
      <c r="H1850" s="8" t="s">
        <v>124</v>
      </c>
      <c r="I1850" s="11">
        <v>73729</v>
      </c>
      <c r="J1850" s="8" t="s">
        <v>2112</v>
      </c>
      <c r="K1850" s="8" t="s">
        <v>2113</v>
      </c>
      <c r="L1850" s="7">
        <v>2013</v>
      </c>
      <c r="M1850" s="8" t="s">
        <v>79</v>
      </c>
      <c r="N1850" s="11">
        <v>212000</v>
      </c>
      <c r="O1850" s="8" t="s">
        <v>2114</v>
      </c>
      <c r="P1850" s="8" t="s">
        <v>2115</v>
      </c>
      <c r="Q1850" s="8"/>
      <c r="R1850" s="8"/>
    </row>
    <row r="1851" spans="1:18" ht="26.15" customHeight="1">
      <c r="A1851" s="7">
        <v>1845</v>
      </c>
      <c r="B1851" s="8" t="s">
        <v>4791</v>
      </c>
      <c r="C1851" s="8" t="s">
        <v>3127</v>
      </c>
      <c r="D1851" s="8"/>
      <c r="E1851" s="8" t="s">
        <v>3128</v>
      </c>
      <c r="F1851" s="9" t="s">
        <v>3123</v>
      </c>
      <c r="G1851" s="10">
        <v>41926</v>
      </c>
      <c r="H1851" s="8" t="s">
        <v>124</v>
      </c>
      <c r="I1851" s="11">
        <v>73729</v>
      </c>
      <c r="J1851" s="8" t="s">
        <v>2112</v>
      </c>
      <c r="K1851" s="8" t="s">
        <v>2113</v>
      </c>
      <c r="L1851" s="7">
        <v>2013</v>
      </c>
      <c r="M1851" s="8" t="s">
        <v>79</v>
      </c>
      <c r="N1851" s="11">
        <v>212000</v>
      </c>
      <c r="O1851" s="8" t="s">
        <v>2114</v>
      </c>
      <c r="P1851" s="8" t="s">
        <v>2115</v>
      </c>
      <c r="Q1851" s="8"/>
      <c r="R1851" s="8"/>
    </row>
    <row r="1852" spans="1:18" ht="26.15" customHeight="1">
      <c r="A1852" s="7">
        <v>1846</v>
      </c>
      <c r="B1852" s="8" t="s">
        <v>588</v>
      </c>
      <c r="C1852" s="8" t="s">
        <v>3114</v>
      </c>
      <c r="D1852" s="8" t="s">
        <v>3504</v>
      </c>
      <c r="E1852" s="8" t="s">
        <v>3116</v>
      </c>
      <c r="F1852" s="9" t="s">
        <v>3123</v>
      </c>
      <c r="G1852" s="10">
        <v>41897</v>
      </c>
      <c r="H1852" s="8" t="s">
        <v>109</v>
      </c>
      <c r="I1852" s="11">
        <v>1731230</v>
      </c>
      <c r="J1852" s="8" t="s">
        <v>2822</v>
      </c>
      <c r="K1852" s="8" t="s">
        <v>2823</v>
      </c>
      <c r="L1852" s="7">
        <v>2006</v>
      </c>
      <c r="M1852" s="8" t="s">
        <v>2824</v>
      </c>
      <c r="N1852" s="11">
        <v>1731230</v>
      </c>
      <c r="O1852" s="8" t="s">
        <v>2825</v>
      </c>
      <c r="P1852" s="8" t="s">
        <v>2826</v>
      </c>
      <c r="Q1852" s="8"/>
      <c r="R1852" s="8" t="s">
        <v>3220</v>
      </c>
    </row>
    <row r="1853" spans="1:18" ht="26.15" customHeight="1">
      <c r="A1853" s="7">
        <v>1847</v>
      </c>
      <c r="B1853" s="8" t="s">
        <v>2418</v>
      </c>
      <c r="C1853" s="8" t="s">
        <v>3114</v>
      </c>
      <c r="D1853" s="8" t="s">
        <v>4132</v>
      </c>
      <c r="E1853" s="8" t="s">
        <v>3116</v>
      </c>
      <c r="F1853" s="9" t="s">
        <v>3123</v>
      </c>
      <c r="G1853" s="10">
        <v>41883</v>
      </c>
      <c r="H1853" s="8" t="s">
        <v>34</v>
      </c>
      <c r="I1853" s="11" t="s">
        <v>50</v>
      </c>
      <c r="J1853" s="8" t="s">
        <v>2827</v>
      </c>
      <c r="K1853" s="8" t="s">
        <v>2828</v>
      </c>
      <c r="L1853" s="7">
        <v>2014</v>
      </c>
      <c r="M1853" s="8" t="s">
        <v>278</v>
      </c>
      <c r="N1853" s="11"/>
      <c r="O1853" s="8" t="s">
        <v>2830</v>
      </c>
      <c r="P1853" s="8" t="s">
        <v>2831</v>
      </c>
      <c r="Q1853" s="8"/>
      <c r="R1853" s="8" t="s">
        <v>278</v>
      </c>
    </row>
    <row r="1854" spans="1:18" ht="26.15" customHeight="1">
      <c r="A1854" s="7">
        <v>1848</v>
      </c>
      <c r="B1854" s="8" t="s">
        <v>4088</v>
      </c>
      <c r="C1854" s="8" t="s">
        <v>3114</v>
      </c>
      <c r="D1854" s="8" t="s">
        <v>4089</v>
      </c>
      <c r="E1854" s="8" t="s">
        <v>3116</v>
      </c>
      <c r="F1854" s="9" t="s">
        <v>3123</v>
      </c>
      <c r="G1854" s="10">
        <v>41883</v>
      </c>
      <c r="H1854" s="8" t="s">
        <v>34</v>
      </c>
      <c r="I1854" s="11" t="s">
        <v>50</v>
      </c>
      <c r="J1854" s="8" t="s">
        <v>2827</v>
      </c>
      <c r="K1854" s="8" t="s">
        <v>2828</v>
      </c>
      <c r="L1854" s="7">
        <v>2014</v>
      </c>
      <c r="M1854" s="8" t="s">
        <v>278</v>
      </c>
      <c r="N1854" s="11"/>
      <c r="O1854" s="8" t="s">
        <v>2830</v>
      </c>
      <c r="P1854" s="8" t="s">
        <v>2831</v>
      </c>
      <c r="Q1854" s="8"/>
      <c r="R1854" s="8" t="s">
        <v>278</v>
      </c>
    </row>
    <row r="1855" spans="1:18" ht="26.15" customHeight="1">
      <c r="A1855" s="7">
        <v>1849</v>
      </c>
      <c r="B1855" s="8" t="s">
        <v>4792</v>
      </c>
      <c r="C1855" s="8" t="s">
        <v>3139</v>
      </c>
      <c r="D1855" s="8" t="s">
        <v>4793</v>
      </c>
      <c r="E1855" s="8" t="s">
        <v>3116</v>
      </c>
      <c r="F1855" s="9" t="s">
        <v>3123</v>
      </c>
      <c r="G1855" s="10">
        <v>41883</v>
      </c>
      <c r="H1855" s="8" t="s">
        <v>34</v>
      </c>
      <c r="I1855" s="11" t="s">
        <v>50</v>
      </c>
      <c r="J1855" s="8" t="s">
        <v>2827</v>
      </c>
      <c r="K1855" s="8" t="s">
        <v>2828</v>
      </c>
      <c r="L1855" s="7">
        <v>2014</v>
      </c>
      <c r="M1855" s="8" t="s">
        <v>278</v>
      </c>
      <c r="N1855" s="11"/>
      <c r="O1855" s="8" t="s">
        <v>2830</v>
      </c>
      <c r="P1855" s="8" t="s">
        <v>2831</v>
      </c>
      <c r="Q1855" s="8"/>
      <c r="R1855" s="8" t="s">
        <v>278</v>
      </c>
    </row>
    <row r="1856" spans="1:18" ht="26.15" customHeight="1">
      <c r="A1856" s="7">
        <v>1850</v>
      </c>
      <c r="B1856" s="8" t="s">
        <v>4794</v>
      </c>
      <c r="C1856" s="8" t="s">
        <v>3139</v>
      </c>
      <c r="D1856" s="8" t="s">
        <v>4795</v>
      </c>
      <c r="E1856" s="8" t="s">
        <v>3116</v>
      </c>
      <c r="F1856" s="9" t="s">
        <v>3123</v>
      </c>
      <c r="G1856" s="10">
        <v>41883</v>
      </c>
      <c r="H1856" s="8" t="s">
        <v>184</v>
      </c>
      <c r="I1856" s="11" t="s">
        <v>50</v>
      </c>
      <c r="J1856" s="8" t="s">
        <v>2832</v>
      </c>
      <c r="K1856" s="8" t="s">
        <v>2833</v>
      </c>
      <c r="L1856" s="7">
        <v>2013</v>
      </c>
      <c r="M1856" s="8" t="s">
        <v>2835</v>
      </c>
      <c r="N1856" s="11"/>
      <c r="O1856" s="8" t="s">
        <v>2836</v>
      </c>
      <c r="P1856" s="8" t="s">
        <v>2837</v>
      </c>
      <c r="Q1856" s="8"/>
      <c r="R1856" s="8" t="s">
        <v>56</v>
      </c>
    </row>
    <row r="1857" spans="1:18" ht="26.15" customHeight="1">
      <c r="A1857" s="7">
        <v>1851</v>
      </c>
      <c r="B1857" s="8" t="s">
        <v>4177</v>
      </c>
      <c r="C1857" s="8" t="s">
        <v>3139</v>
      </c>
      <c r="D1857" s="8" t="s">
        <v>4178</v>
      </c>
      <c r="E1857" s="8" t="s">
        <v>3116</v>
      </c>
      <c r="F1857" s="9" t="s">
        <v>3123</v>
      </c>
      <c r="G1857" s="10">
        <v>41883</v>
      </c>
      <c r="H1857" s="8" t="s">
        <v>184</v>
      </c>
      <c r="I1857" s="11" t="s">
        <v>50</v>
      </c>
      <c r="J1857" s="8" t="s">
        <v>2832</v>
      </c>
      <c r="K1857" s="8" t="s">
        <v>2833</v>
      </c>
      <c r="L1857" s="7">
        <v>2013</v>
      </c>
      <c r="M1857" s="8" t="s">
        <v>2835</v>
      </c>
      <c r="N1857" s="11"/>
      <c r="O1857" s="8" t="s">
        <v>2836</v>
      </c>
      <c r="P1857" s="8" t="s">
        <v>2837</v>
      </c>
      <c r="Q1857" s="8"/>
      <c r="R1857" s="8" t="s">
        <v>56</v>
      </c>
    </row>
    <row r="1858" spans="1:18" ht="26.15" customHeight="1">
      <c r="A1858" s="7">
        <v>1852</v>
      </c>
      <c r="B1858" s="8" t="s">
        <v>644</v>
      </c>
      <c r="C1858" s="8" t="s">
        <v>3114</v>
      </c>
      <c r="D1858" s="8" t="s">
        <v>3162</v>
      </c>
      <c r="E1858" s="8" t="s">
        <v>3116</v>
      </c>
      <c r="F1858" s="9" t="s">
        <v>3123</v>
      </c>
      <c r="G1858" s="10">
        <v>41857</v>
      </c>
      <c r="H1858" s="8" t="s">
        <v>25</v>
      </c>
      <c r="I1858" s="11">
        <v>4500000</v>
      </c>
      <c r="J1858" s="8" t="s">
        <v>1868</v>
      </c>
      <c r="K1858" s="8" t="s">
        <v>1869</v>
      </c>
      <c r="L1858" s="7">
        <v>2003</v>
      </c>
      <c r="M1858" s="8" t="s">
        <v>121</v>
      </c>
      <c r="N1858" s="11">
        <v>11768115</v>
      </c>
      <c r="O1858" s="8" t="s">
        <v>1870</v>
      </c>
      <c r="P1858" s="8" t="s">
        <v>1871</v>
      </c>
      <c r="Q1858" s="8"/>
      <c r="R1858" s="8" t="s">
        <v>313</v>
      </c>
    </row>
    <row r="1859" spans="1:18" ht="26.15" customHeight="1">
      <c r="A1859" s="7">
        <v>1853</v>
      </c>
      <c r="B1859" s="8" t="s">
        <v>2839</v>
      </c>
      <c r="C1859" s="8" t="s">
        <v>3139</v>
      </c>
      <c r="D1859" s="8" t="s">
        <v>4796</v>
      </c>
      <c r="E1859" s="8" t="s">
        <v>3116</v>
      </c>
      <c r="F1859" s="9" t="s">
        <v>3117</v>
      </c>
      <c r="G1859" s="10">
        <v>41857</v>
      </c>
      <c r="H1859" s="8" t="s">
        <v>25</v>
      </c>
      <c r="I1859" s="11">
        <v>4500000</v>
      </c>
      <c r="J1859" s="8" t="s">
        <v>1868</v>
      </c>
      <c r="K1859" s="8" t="s">
        <v>1869</v>
      </c>
      <c r="L1859" s="7">
        <v>2003</v>
      </c>
      <c r="M1859" s="8" t="s">
        <v>121</v>
      </c>
      <c r="N1859" s="11">
        <v>11768115</v>
      </c>
      <c r="O1859" s="8" t="s">
        <v>1870</v>
      </c>
      <c r="P1859" s="8" t="s">
        <v>1871</v>
      </c>
      <c r="Q1859" s="8"/>
      <c r="R1859" s="8" t="s">
        <v>3357</v>
      </c>
    </row>
    <row r="1860" spans="1:18" ht="26.15" customHeight="1">
      <c r="A1860" s="7">
        <v>1854</v>
      </c>
      <c r="B1860" s="8" t="s">
        <v>2418</v>
      </c>
      <c r="C1860" s="8" t="s">
        <v>3114</v>
      </c>
      <c r="D1860" s="8" t="s">
        <v>4132</v>
      </c>
      <c r="E1860" s="8" t="s">
        <v>3116</v>
      </c>
      <c r="F1860" s="9" t="s">
        <v>3123</v>
      </c>
      <c r="G1860" s="10">
        <v>41820</v>
      </c>
      <c r="H1860" s="8" t="s">
        <v>109</v>
      </c>
      <c r="I1860" s="11" t="s">
        <v>50</v>
      </c>
      <c r="J1860" s="8" t="s">
        <v>2612</v>
      </c>
      <c r="K1860" s="8" t="s">
        <v>2613</v>
      </c>
      <c r="L1860" s="7">
        <v>2014</v>
      </c>
      <c r="M1860" s="8" t="s">
        <v>278</v>
      </c>
      <c r="N1860" s="11">
        <v>10000000</v>
      </c>
      <c r="O1860" s="8" t="s">
        <v>2615</v>
      </c>
      <c r="P1860" s="8" t="s">
        <v>2616</v>
      </c>
      <c r="Q1860" s="8"/>
      <c r="R1860" s="8" t="s">
        <v>278</v>
      </c>
    </row>
    <row r="1861" spans="1:18" ht="26.15" customHeight="1">
      <c r="A1861" s="7">
        <v>1855</v>
      </c>
      <c r="B1861" s="8" t="s">
        <v>4797</v>
      </c>
      <c r="C1861" s="8" t="s">
        <v>3139</v>
      </c>
      <c r="D1861" s="8" t="s">
        <v>4798</v>
      </c>
      <c r="E1861" s="8" t="s">
        <v>3116</v>
      </c>
      <c r="F1861" s="9" t="s">
        <v>3123</v>
      </c>
      <c r="G1861" s="10">
        <v>41809</v>
      </c>
      <c r="H1861" s="8" t="s">
        <v>184</v>
      </c>
      <c r="I1861" s="11">
        <v>20000</v>
      </c>
      <c r="J1861" s="8" t="s">
        <v>2840</v>
      </c>
      <c r="K1861" s="8" t="s">
        <v>2841</v>
      </c>
      <c r="L1861" s="7">
        <v>2015</v>
      </c>
      <c r="M1861" s="8" t="s">
        <v>173</v>
      </c>
      <c r="N1861" s="11"/>
      <c r="O1861" s="8" t="s">
        <v>2843</v>
      </c>
      <c r="P1861" s="8" t="s">
        <v>2844</v>
      </c>
      <c r="Q1861" s="8"/>
      <c r="R1861" s="8" t="s">
        <v>4799</v>
      </c>
    </row>
    <row r="1862" spans="1:18" ht="26.15" customHeight="1">
      <c r="A1862" s="7">
        <v>1856</v>
      </c>
      <c r="B1862" s="8" t="s">
        <v>4785</v>
      </c>
      <c r="C1862" s="8" t="s">
        <v>3114</v>
      </c>
      <c r="D1862" s="8" t="s">
        <v>4786</v>
      </c>
      <c r="E1862" s="8" t="s">
        <v>3116</v>
      </c>
      <c r="F1862" s="9" t="s">
        <v>3123</v>
      </c>
      <c r="G1862" s="10">
        <v>41804</v>
      </c>
      <c r="H1862" s="8" t="s">
        <v>34</v>
      </c>
      <c r="I1862" s="11">
        <v>500000</v>
      </c>
      <c r="J1862" s="8" t="s">
        <v>2845</v>
      </c>
      <c r="K1862" s="8" t="s">
        <v>2846</v>
      </c>
      <c r="L1862" s="7">
        <v>2012</v>
      </c>
      <c r="M1862" s="8" t="s">
        <v>562</v>
      </c>
      <c r="N1862" s="11">
        <v>500000</v>
      </c>
      <c r="O1862" s="8" t="s">
        <v>2847</v>
      </c>
      <c r="P1862" s="8" t="s">
        <v>2848</v>
      </c>
      <c r="Q1862" s="8"/>
      <c r="R1862" s="8" t="s">
        <v>313</v>
      </c>
    </row>
    <row r="1863" spans="1:18" ht="26.15" customHeight="1">
      <c r="A1863" s="7">
        <v>1857</v>
      </c>
      <c r="B1863" s="8" t="s">
        <v>2851</v>
      </c>
      <c r="C1863" s="8"/>
      <c r="D1863" s="8" t="s">
        <v>2851</v>
      </c>
      <c r="E1863" s="8" t="s">
        <v>3116</v>
      </c>
      <c r="F1863" s="9" t="s">
        <v>3117</v>
      </c>
      <c r="G1863" s="10">
        <v>41791</v>
      </c>
      <c r="H1863" s="8" t="s">
        <v>95</v>
      </c>
      <c r="I1863" s="11" t="s">
        <v>50</v>
      </c>
      <c r="J1863" s="8" t="s">
        <v>2849</v>
      </c>
      <c r="K1863" s="8" t="s">
        <v>2850</v>
      </c>
      <c r="L1863" s="7">
        <v>2009</v>
      </c>
      <c r="M1863" s="8" t="s">
        <v>1732</v>
      </c>
      <c r="N1863" s="11">
        <v>30060731</v>
      </c>
      <c r="O1863" s="8" t="s">
        <v>2852</v>
      </c>
      <c r="P1863" s="8" t="s">
        <v>2853</v>
      </c>
      <c r="Q1863" s="8"/>
      <c r="R1863" s="8"/>
    </row>
    <row r="1864" spans="1:18" ht="26.15" customHeight="1">
      <c r="A1864" s="7">
        <v>1858</v>
      </c>
      <c r="B1864" s="8" t="s">
        <v>4797</v>
      </c>
      <c r="C1864" s="8" t="s">
        <v>3139</v>
      </c>
      <c r="D1864" s="8" t="s">
        <v>4798</v>
      </c>
      <c r="E1864" s="8" t="s">
        <v>3116</v>
      </c>
      <c r="F1864" s="9" t="s">
        <v>3123</v>
      </c>
      <c r="G1864" s="10">
        <v>41791</v>
      </c>
      <c r="H1864" s="8" t="s">
        <v>184</v>
      </c>
      <c r="I1864" s="11">
        <v>20000</v>
      </c>
      <c r="J1864" s="8" t="s">
        <v>2854</v>
      </c>
      <c r="K1864" s="8" t="s">
        <v>2855</v>
      </c>
      <c r="L1864" s="7">
        <v>2009</v>
      </c>
      <c r="M1864" s="8" t="s">
        <v>173</v>
      </c>
      <c r="N1864" s="11"/>
      <c r="O1864" s="8" t="s">
        <v>2856</v>
      </c>
      <c r="P1864" s="8" t="s">
        <v>2857</v>
      </c>
      <c r="Q1864" s="8"/>
      <c r="R1864" s="8" t="s">
        <v>4799</v>
      </c>
    </row>
    <row r="1865" spans="1:18" ht="26.15" customHeight="1">
      <c r="A1865" s="7">
        <v>1859</v>
      </c>
      <c r="B1865" s="8" t="s">
        <v>3971</v>
      </c>
      <c r="C1865" s="8" t="s">
        <v>3114</v>
      </c>
      <c r="D1865" s="8" t="s">
        <v>3972</v>
      </c>
      <c r="E1865" s="8" t="s">
        <v>3116</v>
      </c>
      <c r="F1865" s="9" t="s">
        <v>3123</v>
      </c>
      <c r="G1865" s="10">
        <v>41791</v>
      </c>
      <c r="H1865" s="8" t="s">
        <v>25</v>
      </c>
      <c r="I1865" s="11">
        <v>20000000</v>
      </c>
      <c r="J1865" s="8" t="s">
        <v>1265</v>
      </c>
      <c r="K1865" s="8" t="s">
        <v>1266</v>
      </c>
      <c r="L1865" s="7">
        <v>2011</v>
      </c>
      <c r="M1865" s="8" t="s">
        <v>278</v>
      </c>
      <c r="N1865" s="11">
        <v>20000000</v>
      </c>
      <c r="O1865" s="8" t="s">
        <v>1268</v>
      </c>
      <c r="P1865" s="8" t="s">
        <v>1269</v>
      </c>
      <c r="Q1865" s="8"/>
      <c r="R1865" s="8" t="s">
        <v>278</v>
      </c>
    </row>
    <row r="1866" spans="1:18" ht="26.15" customHeight="1">
      <c r="A1866" s="7">
        <v>1860</v>
      </c>
      <c r="B1866" s="8" t="s">
        <v>461</v>
      </c>
      <c r="C1866" s="8" t="s">
        <v>3114</v>
      </c>
      <c r="D1866" s="8" t="s">
        <v>3413</v>
      </c>
      <c r="E1866" s="8" t="s">
        <v>3116</v>
      </c>
      <c r="F1866" s="9" t="s">
        <v>3123</v>
      </c>
      <c r="G1866" s="10">
        <v>41791</v>
      </c>
      <c r="H1866" s="8" t="s">
        <v>25</v>
      </c>
      <c r="I1866" s="11">
        <v>20000000</v>
      </c>
      <c r="J1866" s="8" t="s">
        <v>1265</v>
      </c>
      <c r="K1866" s="8" t="s">
        <v>1266</v>
      </c>
      <c r="L1866" s="7">
        <v>2011</v>
      </c>
      <c r="M1866" s="8" t="s">
        <v>278</v>
      </c>
      <c r="N1866" s="11">
        <v>20000000</v>
      </c>
      <c r="O1866" s="8" t="s">
        <v>1268</v>
      </c>
      <c r="P1866" s="8" t="s">
        <v>1269</v>
      </c>
      <c r="Q1866" s="8"/>
      <c r="R1866" s="8" t="s">
        <v>3148</v>
      </c>
    </row>
    <row r="1867" spans="1:18" ht="26.15" customHeight="1">
      <c r="A1867" s="7">
        <v>1861</v>
      </c>
      <c r="B1867" s="8" t="s">
        <v>3689</v>
      </c>
      <c r="C1867" s="8" t="s">
        <v>3114</v>
      </c>
      <c r="D1867" s="8" t="s">
        <v>3690</v>
      </c>
      <c r="E1867" s="8" t="s">
        <v>3116</v>
      </c>
      <c r="F1867" s="9" t="s">
        <v>3123</v>
      </c>
      <c r="G1867" s="10">
        <v>41791</v>
      </c>
      <c r="H1867" s="8" t="s">
        <v>34</v>
      </c>
      <c r="I1867" s="11">
        <v>40000</v>
      </c>
      <c r="J1867" s="8" t="s">
        <v>2859</v>
      </c>
      <c r="K1867" s="8" t="s">
        <v>2860</v>
      </c>
      <c r="L1867" s="7">
        <v>2013</v>
      </c>
      <c r="M1867" s="8" t="s">
        <v>299</v>
      </c>
      <c r="N1867" s="11">
        <v>40000</v>
      </c>
      <c r="O1867" s="8" t="s">
        <v>2861</v>
      </c>
      <c r="P1867" s="8" t="s">
        <v>2862</v>
      </c>
      <c r="Q1867" s="8"/>
      <c r="R1867" s="8" t="s">
        <v>299</v>
      </c>
    </row>
    <row r="1868" spans="1:18" ht="26.15" customHeight="1">
      <c r="A1868" s="7">
        <v>1862</v>
      </c>
      <c r="B1868" s="8" t="s">
        <v>4800</v>
      </c>
      <c r="C1868" s="8" t="s">
        <v>3139</v>
      </c>
      <c r="D1868" s="8" t="s">
        <v>4801</v>
      </c>
      <c r="E1868" s="8" t="s">
        <v>3116</v>
      </c>
      <c r="F1868" s="9" t="s">
        <v>3123</v>
      </c>
      <c r="G1868" s="10">
        <v>41791</v>
      </c>
      <c r="H1868" s="8" t="s">
        <v>184</v>
      </c>
      <c r="I1868" s="11">
        <v>50000</v>
      </c>
      <c r="J1868" s="8" t="s">
        <v>2863</v>
      </c>
      <c r="K1868" s="8" t="s">
        <v>2864</v>
      </c>
      <c r="L1868" s="7">
        <v>2014</v>
      </c>
      <c r="M1868" s="8" t="s">
        <v>2866</v>
      </c>
      <c r="N1868" s="11"/>
      <c r="O1868" s="8" t="s">
        <v>2867</v>
      </c>
      <c r="P1868" s="8" t="s">
        <v>2868</v>
      </c>
      <c r="Q1868" s="8"/>
      <c r="R1868" s="8" t="s">
        <v>3120</v>
      </c>
    </row>
    <row r="1869" spans="1:18" ht="26.15" customHeight="1">
      <c r="A1869" s="7">
        <v>1863</v>
      </c>
      <c r="B1869" s="8" t="s">
        <v>180</v>
      </c>
      <c r="C1869" s="8" t="s">
        <v>3114</v>
      </c>
      <c r="D1869" s="8" t="s">
        <v>3172</v>
      </c>
      <c r="E1869" s="8" t="s">
        <v>3116</v>
      </c>
      <c r="F1869" s="9" t="s">
        <v>3123</v>
      </c>
      <c r="G1869" s="10">
        <v>41791</v>
      </c>
      <c r="H1869" s="8" t="s">
        <v>34</v>
      </c>
      <c r="I1869" s="11">
        <v>400000</v>
      </c>
      <c r="J1869" s="8" t="s">
        <v>2869</v>
      </c>
      <c r="K1869" s="8" t="s">
        <v>2870</v>
      </c>
      <c r="L1869" s="7">
        <v>2013</v>
      </c>
      <c r="M1869" s="8" t="s">
        <v>2027</v>
      </c>
      <c r="N1869" s="11">
        <v>400000</v>
      </c>
      <c r="O1869" s="8" t="s">
        <v>2872</v>
      </c>
      <c r="P1869" s="8" t="s">
        <v>2873</v>
      </c>
      <c r="Q1869" s="8"/>
      <c r="R1869" s="8" t="s">
        <v>3145</v>
      </c>
    </row>
    <row r="1870" spans="1:18" ht="26.15" customHeight="1">
      <c r="A1870" s="7">
        <v>1864</v>
      </c>
      <c r="B1870" s="8" t="s">
        <v>4802</v>
      </c>
      <c r="C1870" s="8" t="s">
        <v>3114</v>
      </c>
      <c r="D1870" s="8" t="s">
        <v>4803</v>
      </c>
      <c r="E1870" s="8" t="s">
        <v>3116</v>
      </c>
      <c r="F1870" s="9" t="s">
        <v>3123</v>
      </c>
      <c r="G1870" s="10">
        <v>41791</v>
      </c>
      <c r="H1870" s="8" t="s">
        <v>184</v>
      </c>
      <c r="I1870" s="11">
        <v>30000</v>
      </c>
      <c r="J1870" s="8" t="s">
        <v>2880</v>
      </c>
      <c r="K1870" s="8" t="s">
        <v>2881</v>
      </c>
      <c r="L1870" s="7">
        <v>2014</v>
      </c>
      <c r="M1870" s="8" t="s">
        <v>2883</v>
      </c>
      <c r="N1870" s="11"/>
      <c r="O1870" s="8" t="s">
        <v>2884</v>
      </c>
      <c r="P1870" s="8" t="s">
        <v>2885</v>
      </c>
      <c r="Q1870" s="8"/>
      <c r="R1870" s="8" t="s">
        <v>4804</v>
      </c>
    </row>
    <row r="1871" spans="1:18" ht="26.15" customHeight="1">
      <c r="A1871" s="7">
        <v>1865</v>
      </c>
      <c r="B1871" s="8" t="s">
        <v>4745</v>
      </c>
      <c r="C1871" s="8" t="s">
        <v>3139</v>
      </c>
      <c r="D1871" s="8" t="s">
        <v>4746</v>
      </c>
      <c r="E1871" s="8" t="s">
        <v>3116</v>
      </c>
      <c r="F1871" s="9" t="s">
        <v>3123</v>
      </c>
      <c r="G1871" s="10">
        <v>41791</v>
      </c>
      <c r="H1871" s="8" t="s">
        <v>184</v>
      </c>
      <c r="I1871" s="11">
        <v>34417</v>
      </c>
      <c r="J1871" s="8" t="s">
        <v>2880</v>
      </c>
      <c r="K1871" s="8" t="s">
        <v>2881</v>
      </c>
      <c r="L1871" s="7">
        <v>2014</v>
      </c>
      <c r="M1871" s="8" t="s">
        <v>2883</v>
      </c>
      <c r="N1871" s="11"/>
      <c r="O1871" s="8" t="s">
        <v>2884</v>
      </c>
      <c r="P1871" s="8" t="s">
        <v>2885</v>
      </c>
      <c r="Q1871" s="8"/>
      <c r="R1871" s="8" t="s">
        <v>3593</v>
      </c>
    </row>
    <row r="1872" spans="1:18" ht="26.15" customHeight="1">
      <c r="A1872" s="7">
        <v>1866</v>
      </c>
      <c r="B1872" s="8" t="s">
        <v>3689</v>
      </c>
      <c r="C1872" s="8" t="s">
        <v>3114</v>
      </c>
      <c r="D1872" s="8" t="s">
        <v>3690</v>
      </c>
      <c r="E1872" s="8" t="s">
        <v>3116</v>
      </c>
      <c r="F1872" s="9" t="s">
        <v>3123</v>
      </c>
      <c r="G1872" s="10">
        <v>41789</v>
      </c>
      <c r="H1872" s="8" t="s">
        <v>34</v>
      </c>
      <c r="I1872" s="11" t="s">
        <v>50</v>
      </c>
      <c r="J1872" s="8" t="s">
        <v>2890</v>
      </c>
      <c r="K1872" s="8" t="s">
        <v>2891</v>
      </c>
      <c r="L1872" s="7">
        <v>2014</v>
      </c>
      <c r="M1872" s="8" t="s">
        <v>299</v>
      </c>
      <c r="N1872" s="11"/>
      <c r="O1872" s="8" t="s">
        <v>2892</v>
      </c>
      <c r="P1872" s="8" t="s">
        <v>2893</v>
      </c>
      <c r="Q1872" s="8"/>
      <c r="R1872" s="8" t="s">
        <v>299</v>
      </c>
    </row>
    <row r="1873" spans="1:18" ht="26.15" customHeight="1">
      <c r="A1873" s="7">
        <v>1867</v>
      </c>
      <c r="B1873" s="8" t="s">
        <v>4805</v>
      </c>
      <c r="C1873" s="8" t="s">
        <v>3127</v>
      </c>
      <c r="D1873" s="8"/>
      <c r="E1873" s="8" t="s">
        <v>3128</v>
      </c>
      <c r="F1873" s="9" t="s">
        <v>3117</v>
      </c>
      <c r="G1873" s="10">
        <v>41781</v>
      </c>
      <c r="H1873" s="8" t="s">
        <v>124</v>
      </c>
      <c r="I1873" s="11">
        <v>123977</v>
      </c>
      <c r="J1873" s="8" t="s">
        <v>1685</v>
      </c>
      <c r="K1873" s="8" t="s">
        <v>1686</v>
      </c>
      <c r="L1873" s="7">
        <v>2013</v>
      </c>
      <c r="M1873" s="8" t="s">
        <v>79</v>
      </c>
      <c r="N1873" s="11">
        <v>2257449</v>
      </c>
      <c r="O1873" s="8" t="s">
        <v>1690</v>
      </c>
      <c r="P1873" s="8" t="s">
        <v>1691</v>
      </c>
      <c r="Q1873" s="8"/>
      <c r="R1873" s="8"/>
    </row>
    <row r="1874" spans="1:18" ht="26.15" customHeight="1">
      <c r="A1874" s="7">
        <v>1868</v>
      </c>
      <c r="B1874" s="8" t="s">
        <v>4500</v>
      </c>
      <c r="C1874" s="8" t="s">
        <v>3127</v>
      </c>
      <c r="D1874" s="8"/>
      <c r="E1874" s="8" t="s">
        <v>3128</v>
      </c>
      <c r="F1874" s="9" t="s">
        <v>3117</v>
      </c>
      <c r="G1874" s="10">
        <v>41781</v>
      </c>
      <c r="H1874" s="8" t="s">
        <v>124</v>
      </c>
      <c r="I1874" s="11">
        <v>123977</v>
      </c>
      <c r="J1874" s="8" t="s">
        <v>1685</v>
      </c>
      <c r="K1874" s="8" t="s">
        <v>1686</v>
      </c>
      <c r="L1874" s="7">
        <v>2013</v>
      </c>
      <c r="M1874" s="8" t="s">
        <v>79</v>
      </c>
      <c r="N1874" s="11">
        <v>2257449</v>
      </c>
      <c r="O1874" s="8" t="s">
        <v>1690</v>
      </c>
      <c r="P1874" s="8" t="s">
        <v>1691</v>
      </c>
      <c r="Q1874" s="8"/>
      <c r="R1874" s="8"/>
    </row>
    <row r="1875" spans="1:18" ht="26.15" customHeight="1">
      <c r="A1875" s="7">
        <v>1869</v>
      </c>
      <c r="B1875" s="8" t="s">
        <v>4806</v>
      </c>
      <c r="C1875" s="8" t="s">
        <v>3127</v>
      </c>
      <c r="D1875" s="8"/>
      <c r="E1875" s="8" t="s">
        <v>3128</v>
      </c>
      <c r="F1875" s="9" t="s">
        <v>3123</v>
      </c>
      <c r="G1875" s="10">
        <v>41781</v>
      </c>
      <c r="H1875" s="8" t="s">
        <v>124</v>
      </c>
      <c r="I1875" s="11">
        <v>123977</v>
      </c>
      <c r="J1875" s="8" t="s">
        <v>1685</v>
      </c>
      <c r="K1875" s="8" t="s">
        <v>1686</v>
      </c>
      <c r="L1875" s="7">
        <v>2013</v>
      </c>
      <c r="M1875" s="8" t="s">
        <v>79</v>
      </c>
      <c r="N1875" s="11">
        <v>2257449</v>
      </c>
      <c r="O1875" s="8" t="s">
        <v>1690</v>
      </c>
      <c r="P1875" s="8" t="s">
        <v>1691</v>
      </c>
      <c r="Q1875" s="8"/>
      <c r="R1875" s="8"/>
    </row>
    <row r="1876" spans="1:18" ht="26.15" customHeight="1">
      <c r="A1876" s="7">
        <v>1870</v>
      </c>
      <c r="B1876" s="8" t="s">
        <v>4807</v>
      </c>
      <c r="C1876" s="8" t="s">
        <v>3127</v>
      </c>
      <c r="D1876" s="8"/>
      <c r="E1876" s="8" t="s">
        <v>3128</v>
      </c>
      <c r="F1876" s="9" t="s">
        <v>3123</v>
      </c>
      <c r="G1876" s="10">
        <v>41781</v>
      </c>
      <c r="H1876" s="8" t="s">
        <v>124</v>
      </c>
      <c r="I1876" s="11">
        <v>123977</v>
      </c>
      <c r="J1876" s="8" t="s">
        <v>1685</v>
      </c>
      <c r="K1876" s="8" t="s">
        <v>1686</v>
      </c>
      <c r="L1876" s="7">
        <v>2013</v>
      </c>
      <c r="M1876" s="8" t="s">
        <v>79</v>
      </c>
      <c r="N1876" s="11">
        <v>2257449</v>
      </c>
      <c r="O1876" s="8" t="s">
        <v>1690</v>
      </c>
      <c r="P1876" s="8" t="s">
        <v>1691</v>
      </c>
      <c r="Q1876" s="8"/>
      <c r="R1876" s="8"/>
    </row>
    <row r="1877" spans="1:18" ht="26.15" customHeight="1">
      <c r="A1877" s="7">
        <v>1871</v>
      </c>
      <c r="B1877" s="8" t="s">
        <v>4808</v>
      </c>
      <c r="C1877" s="8" t="s">
        <v>3127</v>
      </c>
      <c r="D1877" s="8"/>
      <c r="E1877" s="8" t="s">
        <v>3128</v>
      </c>
      <c r="F1877" s="9" t="s">
        <v>3123</v>
      </c>
      <c r="G1877" s="10">
        <v>41781</v>
      </c>
      <c r="H1877" s="8" t="s">
        <v>124</v>
      </c>
      <c r="I1877" s="11">
        <v>123977</v>
      </c>
      <c r="J1877" s="8" t="s">
        <v>1685</v>
      </c>
      <c r="K1877" s="8" t="s">
        <v>1686</v>
      </c>
      <c r="L1877" s="7">
        <v>2013</v>
      </c>
      <c r="M1877" s="8" t="s">
        <v>79</v>
      </c>
      <c r="N1877" s="11">
        <v>2257449</v>
      </c>
      <c r="O1877" s="8" t="s">
        <v>1690</v>
      </c>
      <c r="P1877" s="8" t="s">
        <v>1691</v>
      </c>
      <c r="Q1877" s="8"/>
      <c r="R1877" s="8"/>
    </row>
    <row r="1878" spans="1:18" ht="26.15" customHeight="1">
      <c r="A1878" s="7">
        <v>1872</v>
      </c>
      <c r="B1878" s="8" t="s">
        <v>4809</v>
      </c>
      <c r="C1878" s="8" t="s">
        <v>3127</v>
      </c>
      <c r="D1878" s="8"/>
      <c r="E1878" s="8" t="s">
        <v>3128</v>
      </c>
      <c r="F1878" s="9" t="s">
        <v>3123</v>
      </c>
      <c r="G1878" s="10">
        <v>41781</v>
      </c>
      <c r="H1878" s="8" t="s">
        <v>124</v>
      </c>
      <c r="I1878" s="11">
        <v>123977</v>
      </c>
      <c r="J1878" s="8" t="s">
        <v>1685</v>
      </c>
      <c r="K1878" s="8" t="s">
        <v>1686</v>
      </c>
      <c r="L1878" s="7">
        <v>2013</v>
      </c>
      <c r="M1878" s="8" t="s">
        <v>79</v>
      </c>
      <c r="N1878" s="11">
        <v>2257449</v>
      </c>
      <c r="O1878" s="8" t="s">
        <v>1690</v>
      </c>
      <c r="P1878" s="8" t="s">
        <v>1691</v>
      </c>
      <c r="Q1878" s="8"/>
      <c r="R1878" s="8"/>
    </row>
    <row r="1879" spans="1:18" ht="26.15" customHeight="1">
      <c r="A1879" s="7">
        <v>1873</v>
      </c>
      <c r="B1879" s="8" t="s">
        <v>4810</v>
      </c>
      <c r="C1879" s="8" t="s">
        <v>3127</v>
      </c>
      <c r="D1879" s="8"/>
      <c r="E1879" s="8" t="s">
        <v>3128</v>
      </c>
      <c r="F1879" s="9" t="s">
        <v>3123</v>
      </c>
      <c r="G1879" s="10">
        <v>41781</v>
      </c>
      <c r="H1879" s="8" t="s">
        <v>124</v>
      </c>
      <c r="I1879" s="11">
        <v>123977</v>
      </c>
      <c r="J1879" s="8" t="s">
        <v>1685</v>
      </c>
      <c r="K1879" s="8" t="s">
        <v>1686</v>
      </c>
      <c r="L1879" s="7">
        <v>2013</v>
      </c>
      <c r="M1879" s="8" t="s">
        <v>79</v>
      </c>
      <c r="N1879" s="11">
        <v>2257449</v>
      </c>
      <c r="O1879" s="8" t="s">
        <v>1690</v>
      </c>
      <c r="P1879" s="8" t="s">
        <v>1691</v>
      </c>
      <c r="Q1879" s="8"/>
      <c r="R1879" s="8"/>
    </row>
    <row r="1880" spans="1:18" ht="26.15" customHeight="1">
      <c r="A1880" s="7">
        <v>1874</v>
      </c>
      <c r="B1880" s="8" t="s">
        <v>4811</v>
      </c>
      <c r="C1880" s="8" t="s">
        <v>3127</v>
      </c>
      <c r="D1880" s="8"/>
      <c r="E1880" s="8" t="s">
        <v>3128</v>
      </c>
      <c r="F1880" s="9" t="s">
        <v>3123</v>
      </c>
      <c r="G1880" s="10">
        <v>41781</v>
      </c>
      <c r="H1880" s="8" t="s">
        <v>124</v>
      </c>
      <c r="I1880" s="11">
        <v>123977</v>
      </c>
      <c r="J1880" s="8" t="s">
        <v>1685</v>
      </c>
      <c r="K1880" s="8" t="s">
        <v>1686</v>
      </c>
      <c r="L1880" s="7">
        <v>2013</v>
      </c>
      <c r="M1880" s="8" t="s">
        <v>79</v>
      </c>
      <c r="N1880" s="11">
        <v>2257449</v>
      </c>
      <c r="O1880" s="8" t="s">
        <v>1690</v>
      </c>
      <c r="P1880" s="8" t="s">
        <v>1691</v>
      </c>
      <c r="Q1880" s="8"/>
      <c r="R1880" s="8"/>
    </row>
    <row r="1881" spans="1:18" ht="26.15" customHeight="1">
      <c r="A1881" s="7">
        <v>1875</v>
      </c>
      <c r="B1881" s="8" t="s">
        <v>4812</v>
      </c>
      <c r="C1881" s="8" t="s">
        <v>3127</v>
      </c>
      <c r="D1881" s="8"/>
      <c r="E1881" s="8" t="s">
        <v>3128</v>
      </c>
      <c r="F1881" s="9" t="s">
        <v>3123</v>
      </c>
      <c r="G1881" s="10">
        <v>41781</v>
      </c>
      <c r="H1881" s="8" t="s">
        <v>124</v>
      </c>
      <c r="I1881" s="11">
        <v>123977</v>
      </c>
      <c r="J1881" s="8" t="s">
        <v>1685</v>
      </c>
      <c r="K1881" s="8" t="s">
        <v>1686</v>
      </c>
      <c r="L1881" s="7">
        <v>2013</v>
      </c>
      <c r="M1881" s="8" t="s">
        <v>79</v>
      </c>
      <c r="N1881" s="11">
        <v>2257449</v>
      </c>
      <c r="O1881" s="8" t="s">
        <v>1690</v>
      </c>
      <c r="P1881" s="8" t="s">
        <v>1691</v>
      </c>
      <c r="Q1881" s="8"/>
      <c r="R1881" s="8"/>
    </row>
    <row r="1882" spans="1:18" ht="26.15" customHeight="1">
      <c r="A1882" s="7">
        <v>1876</v>
      </c>
      <c r="B1882" s="8" t="s">
        <v>4813</v>
      </c>
      <c r="C1882" s="8" t="s">
        <v>3127</v>
      </c>
      <c r="D1882" s="8"/>
      <c r="E1882" s="8" t="s">
        <v>3128</v>
      </c>
      <c r="F1882" s="9" t="s">
        <v>3123</v>
      </c>
      <c r="G1882" s="10">
        <v>41781</v>
      </c>
      <c r="H1882" s="8" t="s">
        <v>124</v>
      </c>
      <c r="I1882" s="11">
        <v>123977</v>
      </c>
      <c r="J1882" s="8" t="s">
        <v>1685</v>
      </c>
      <c r="K1882" s="8" t="s">
        <v>1686</v>
      </c>
      <c r="L1882" s="7">
        <v>2013</v>
      </c>
      <c r="M1882" s="8" t="s">
        <v>79</v>
      </c>
      <c r="N1882" s="11">
        <v>2257449</v>
      </c>
      <c r="O1882" s="8" t="s">
        <v>1690</v>
      </c>
      <c r="P1882" s="8" t="s">
        <v>1691</v>
      </c>
      <c r="Q1882" s="8"/>
      <c r="R1882" s="8"/>
    </row>
    <row r="1883" spans="1:18" ht="26.15" customHeight="1">
      <c r="A1883" s="7">
        <v>1877</v>
      </c>
      <c r="B1883" s="8" t="s">
        <v>4814</v>
      </c>
      <c r="C1883" s="8" t="s">
        <v>3127</v>
      </c>
      <c r="D1883" s="8"/>
      <c r="E1883" s="8" t="s">
        <v>3128</v>
      </c>
      <c r="F1883" s="9" t="s">
        <v>3123</v>
      </c>
      <c r="G1883" s="10">
        <v>41781</v>
      </c>
      <c r="H1883" s="8" t="s">
        <v>124</v>
      </c>
      <c r="I1883" s="11">
        <v>123977</v>
      </c>
      <c r="J1883" s="8" t="s">
        <v>1685</v>
      </c>
      <c r="K1883" s="8" t="s">
        <v>1686</v>
      </c>
      <c r="L1883" s="7">
        <v>2013</v>
      </c>
      <c r="M1883" s="8" t="s">
        <v>79</v>
      </c>
      <c r="N1883" s="11">
        <v>2257449</v>
      </c>
      <c r="O1883" s="8" t="s">
        <v>1690</v>
      </c>
      <c r="P1883" s="8" t="s">
        <v>1691</v>
      </c>
      <c r="Q1883" s="8"/>
      <c r="R1883" s="8"/>
    </row>
    <row r="1884" spans="1:18" ht="26.15" customHeight="1">
      <c r="A1884" s="7">
        <v>1878</v>
      </c>
      <c r="B1884" s="8" t="s">
        <v>2650</v>
      </c>
      <c r="C1884" s="8" t="s">
        <v>3139</v>
      </c>
      <c r="D1884" s="8" t="s">
        <v>4283</v>
      </c>
      <c r="E1884" s="8" t="s">
        <v>3116</v>
      </c>
      <c r="F1884" s="9" t="s">
        <v>3117</v>
      </c>
      <c r="G1884" s="10">
        <v>41780</v>
      </c>
      <c r="H1884" s="8" t="s">
        <v>34</v>
      </c>
      <c r="I1884" s="11">
        <v>290078</v>
      </c>
      <c r="J1884" s="8" t="s">
        <v>1330</v>
      </c>
      <c r="K1884" s="8" t="s">
        <v>1331</v>
      </c>
      <c r="L1884" s="7">
        <v>2010</v>
      </c>
      <c r="M1884" s="8" t="s">
        <v>79</v>
      </c>
      <c r="N1884" s="11">
        <v>15568800</v>
      </c>
      <c r="O1884" s="8" t="s">
        <v>1334</v>
      </c>
      <c r="P1884" s="8" t="s">
        <v>1335</v>
      </c>
      <c r="Q1884" s="8"/>
      <c r="R1884" s="8" t="s">
        <v>3632</v>
      </c>
    </row>
    <row r="1885" spans="1:18" ht="26.15" customHeight="1">
      <c r="A1885" s="7">
        <v>1879</v>
      </c>
      <c r="B1885" s="8" t="s">
        <v>1467</v>
      </c>
      <c r="C1885" s="8" t="s">
        <v>3114</v>
      </c>
      <c r="D1885" s="8" t="s">
        <v>3196</v>
      </c>
      <c r="E1885" s="8" t="s">
        <v>3116</v>
      </c>
      <c r="F1885" s="9" t="s">
        <v>3123</v>
      </c>
      <c r="G1885" s="10">
        <v>41780</v>
      </c>
      <c r="H1885" s="8" t="s">
        <v>34</v>
      </c>
      <c r="I1885" s="11">
        <v>290078</v>
      </c>
      <c r="J1885" s="8" t="s">
        <v>1330</v>
      </c>
      <c r="K1885" s="8" t="s">
        <v>1331</v>
      </c>
      <c r="L1885" s="7">
        <v>2010</v>
      </c>
      <c r="M1885" s="8" t="s">
        <v>79</v>
      </c>
      <c r="N1885" s="11">
        <v>15568800</v>
      </c>
      <c r="O1885" s="8" t="s">
        <v>1334</v>
      </c>
      <c r="P1885" s="8" t="s">
        <v>1335</v>
      </c>
      <c r="Q1885" s="8"/>
      <c r="R1885" s="8" t="s">
        <v>313</v>
      </c>
    </row>
    <row r="1886" spans="1:18" ht="26.15" customHeight="1">
      <c r="A1886" s="7">
        <v>1880</v>
      </c>
      <c r="B1886" s="8" t="s">
        <v>2896</v>
      </c>
      <c r="C1886" s="8" t="s">
        <v>3127</v>
      </c>
      <c r="D1886" s="8"/>
      <c r="E1886" s="8" t="s">
        <v>3128</v>
      </c>
      <c r="F1886" s="9" t="s">
        <v>3123</v>
      </c>
      <c r="G1886" s="10">
        <v>41780</v>
      </c>
      <c r="H1886" s="8" t="s">
        <v>34</v>
      </c>
      <c r="I1886" s="11">
        <v>290078</v>
      </c>
      <c r="J1886" s="8" t="s">
        <v>1330</v>
      </c>
      <c r="K1886" s="8" t="s">
        <v>1331</v>
      </c>
      <c r="L1886" s="7">
        <v>2010</v>
      </c>
      <c r="M1886" s="8" t="s">
        <v>79</v>
      </c>
      <c r="N1886" s="11">
        <v>15568800</v>
      </c>
      <c r="O1886" s="8" t="s">
        <v>1334</v>
      </c>
      <c r="P1886" s="8" t="s">
        <v>1335</v>
      </c>
      <c r="Q1886" s="8"/>
      <c r="R1886" s="8"/>
    </row>
    <row r="1887" spans="1:18" ht="26.15" customHeight="1">
      <c r="A1887" s="7">
        <v>1881</v>
      </c>
      <c r="B1887" s="8" t="s">
        <v>4815</v>
      </c>
      <c r="C1887" s="8" t="s">
        <v>3114</v>
      </c>
      <c r="D1887" s="8" t="s">
        <v>4816</v>
      </c>
      <c r="E1887" s="8" t="s">
        <v>3116</v>
      </c>
      <c r="F1887" s="9" t="s">
        <v>3117</v>
      </c>
      <c r="G1887" s="10">
        <v>41771</v>
      </c>
      <c r="H1887" s="8" t="s">
        <v>34</v>
      </c>
      <c r="I1887" s="11">
        <v>1500000</v>
      </c>
      <c r="J1887" s="8" t="s">
        <v>2319</v>
      </c>
      <c r="K1887" s="8" t="s">
        <v>2320</v>
      </c>
      <c r="L1887" s="7">
        <v>2007</v>
      </c>
      <c r="M1887" s="8" t="s">
        <v>1285</v>
      </c>
      <c r="N1887" s="11">
        <v>2750000</v>
      </c>
      <c r="O1887" s="8" t="s">
        <v>2322</v>
      </c>
      <c r="P1887" s="8" t="s">
        <v>2323</v>
      </c>
      <c r="Q1887" s="8"/>
      <c r="R1887" s="8" t="s">
        <v>3864</v>
      </c>
    </row>
    <row r="1888" spans="1:18" ht="26.15" customHeight="1">
      <c r="A1888" s="7">
        <v>1882</v>
      </c>
      <c r="B1888" s="8" t="s">
        <v>180</v>
      </c>
      <c r="C1888" s="8" t="s">
        <v>3114</v>
      </c>
      <c r="D1888" s="8" t="s">
        <v>3172</v>
      </c>
      <c r="E1888" s="8" t="s">
        <v>3116</v>
      </c>
      <c r="F1888" s="9" t="s">
        <v>3117</v>
      </c>
      <c r="G1888" s="10">
        <v>41771</v>
      </c>
      <c r="H1888" s="8" t="s">
        <v>34</v>
      </c>
      <c r="I1888" s="11">
        <v>1500000</v>
      </c>
      <c r="J1888" s="8" t="s">
        <v>2319</v>
      </c>
      <c r="K1888" s="8" t="s">
        <v>2320</v>
      </c>
      <c r="L1888" s="7">
        <v>2007</v>
      </c>
      <c r="M1888" s="8" t="s">
        <v>1285</v>
      </c>
      <c r="N1888" s="11">
        <v>2750000</v>
      </c>
      <c r="O1888" s="8" t="s">
        <v>2322</v>
      </c>
      <c r="P1888" s="8" t="s">
        <v>2323</v>
      </c>
      <c r="Q1888" s="8"/>
      <c r="R1888" s="8" t="s">
        <v>3145</v>
      </c>
    </row>
    <row r="1889" spans="1:18" ht="26.15" customHeight="1">
      <c r="A1889" s="7">
        <v>1883</v>
      </c>
      <c r="B1889" s="8" t="s">
        <v>4815</v>
      </c>
      <c r="C1889" s="8" t="s">
        <v>3114</v>
      </c>
      <c r="D1889" s="8" t="s">
        <v>4816</v>
      </c>
      <c r="E1889" s="8" t="s">
        <v>3116</v>
      </c>
      <c r="F1889" s="9" t="s">
        <v>3123</v>
      </c>
      <c r="G1889" s="10">
        <v>41771</v>
      </c>
      <c r="H1889" s="8" t="s">
        <v>289</v>
      </c>
      <c r="I1889" s="11" t="s">
        <v>50</v>
      </c>
      <c r="J1889" s="8" t="s">
        <v>2319</v>
      </c>
      <c r="K1889" s="8" t="s">
        <v>2320</v>
      </c>
      <c r="L1889" s="7">
        <v>2007</v>
      </c>
      <c r="M1889" s="8" t="s">
        <v>1285</v>
      </c>
      <c r="N1889" s="11">
        <v>2750000</v>
      </c>
      <c r="O1889" s="8" t="s">
        <v>2322</v>
      </c>
      <c r="P1889" s="8" t="s">
        <v>2323</v>
      </c>
      <c r="Q1889" s="8"/>
      <c r="R1889" s="8" t="s">
        <v>3864</v>
      </c>
    </row>
    <row r="1890" spans="1:18" ht="26.15" customHeight="1">
      <c r="A1890" s="7">
        <v>1884</v>
      </c>
      <c r="B1890" s="8" t="s">
        <v>180</v>
      </c>
      <c r="C1890" s="8" t="s">
        <v>3114</v>
      </c>
      <c r="D1890" s="8" t="s">
        <v>3172</v>
      </c>
      <c r="E1890" s="8" t="s">
        <v>3116</v>
      </c>
      <c r="F1890" s="9" t="s">
        <v>3123</v>
      </c>
      <c r="G1890" s="10">
        <v>41771</v>
      </c>
      <c r="H1890" s="8" t="s">
        <v>289</v>
      </c>
      <c r="I1890" s="11" t="s">
        <v>50</v>
      </c>
      <c r="J1890" s="8" t="s">
        <v>2319</v>
      </c>
      <c r="K1890" s="8" t="s">
        <v>2320</v>
      </c>
      <c r="L1890" s="7">
        <v>2007</v>
      </c>
      <c r="M1890" s="8" t="s">
        <v>1285</v>
      </c>
      <c r="N1890" s="11">
        <v>2750000</v>
      </c>
      <c r="O1890" s="8" t="s">
        <v>2322</v>
      </c>
      <c r="P1890" s="8" t="s">
        <v>2323</v>
      </c>
      <c r="Q1890" s="8"/>
      <c r="R1890" s="8" t="s">
        <v>3145</v>
      </c>
    </row>
    <row r="1891" spans="1:18" ht="26.15" customHeight="1">
      <c r="A1891" s="7">
        <v>1885</v>
      </c>
      <c r="B1891" s="8" t="s">
        <v>2223</v>
      </c>
      <c r="C1891" s="8"/>
      <c r="D1891" s="8" t="s">
        <v>4428</v>
      </c>
      <c r="E1891" s="8" t="s">
        <v>3116</v>
      </c>
      <c r="F1891" s="9" t="s">
        <v>3117</v>
      </c>
      <c r="G1891" s="10">
        <v>41751</v>
      </c>
      <c r="H1891" s="8" t="s">
        <v>34</v>
      </c>
      <c r="I1891" s="11">
        <v>3338150</v>
      </c>
      <c r="J1891" s="8" t="s">
        <v>1763</v>
      </c>
      <c r="K1891" s="8" t="s">
        <v>1764</v>
      </c>
      <c r="L1891" s="7">
        <v>2006</v>
      </c>
      <c r="M1891" s="8" t="s">
        <v>47</v>
      </c>
      <c r="N1891" s="11">
        <v>9099055</v>
      </c>
      <c r="O1891" s="8" t="s">
        <v>1767</v>
      </c>
      <c r="P1891" s="8" t="s">
        <v>1768</v>
      </c>
      <c r="Q1891" s="8"/>
      <c r="R1891" s="8" t="s">
        <v>313</v>
      </c>
    </row>
    <row r="1892" spans="1:18" ht="26.15" customHeight="1">
      <c r="A1892" s="7">
        <v>1886</v>
      </c>
      <c r="B1892" s="8" t="s">
        <v>2596</v>
      </c>
      <c r="C1892" s="8" t="s">
        <v>3127</v>
      </c>
      <c r="D1892" s="8"/>
      <c r="E1892" s="8" t="s">
        <v>3128</v>
      </c>
      <c r="F1892" s="9" t="s">
        <v>3123</v>
      </c>
      <c r="G1892" s="10">
        <v>41751</v>
      </c>
      <c r="H1892" s="8" t="s">
        <v>34</v>
      </c>
      <c r="I1892" s="11">
        <v>3338150</v>
      </c>
      <c r="J1892" s="8" t="s">
        <v>1763</v>
      </c>
      <c r="K1892" s="8" t="s">
        <v>1764</v>
      </c>
      <c r="L1892" s="7">
        <v>2006</v>
      </c>
      <c r="M1892" s="8" t="s">
        <v>47</v>
      </c>
      <c r="N1892" s="11">
        <v>9099055</v>
      </c>
      <c r="O1892" s="8" t="s">
        <v>1767</v>
      </c>
      <c r="P1892" s="8" t="s">
        <v>1768</v>
      </c>
      <c r="Q1892" s="8"/>
      <c r="R1892" s="8"/>
    </row>
    <row r="1893" spans="1:18" ht="26.15" customHeight="1">
      <c r="A1893" s="7">
        <v>1887</v>
      </c>
      <c r="B1893" s="8" t="s">
        <v>4817</v>
      </c>
      <c r="C1893" s="8" t="s">
        <v>3127</v>
      </c>
      <c r="D1893" s="8"/>
      <c r="E1893" s="8" t="s">
        <v>3128</v>
      </c>
      <c r="F1893" s="9" t="s">
        <v>3123</v>
      </c>
      <c r="G1893" s="10">
        <v>41751</v>
      </c>
      <c r="H1893" s="8" t="s">
        <v>34</v>
      </c>
      <c r="I1893" s="11">
        <v>3338150</v>
      </c>
      <c r="J1893" s="8" t="s">
        <v>1763</v>
      </c>
      <c r="K1893" s="8" t="s">
        <v>1764</v>
      </c>
      <c r="L1893" s="7">
        <v>2006</v>
      </c>
      <c r="M1893" s="8" t="s">
        <v>47</v>
      </c>
      <c r="N1893" s="11">
        <v>9099055</v>
      </c>
      <c r="O1893" s="8" t="s">
        <v>1767</v>
      </c>
      <c r="P1893" s="8" t="s">
        <v>1768</v>
      </c>
      <c r="Q1893" s="8"/>
      <c r="R1893" s="8"/>
    </row>
    <row r="1894" spans="1:18" ht="26.15" customHeight="1">
      <c r="A1894" s="7">
        <v>1888</v>
      </c>
      <c r="B1894" s="8" t="s">
        <v>4818</v>
      </c>
      <c r="C1894" s="8" t="s">
        <v>3114</v>
      </c>
      <c r="D1894" s="8" t="s">
        <v>4819</v>
      </c>
      <c r="E1894" s="8" t="s">
        <v>3116</v>
      </c>
      <c r="F1894" s="9" t="s">
        <v>3123</v>
      </c>
      <c r="G1894" s="10">
        <v>41730</v>
      </c>
      <c r="H1894" s="8" t="s">
        <v>109</v>
      </c>
      <c r="I1894" s="11">
        <v>1000000</v>
      </c>
      <c r="J1894" s="8" t="s">
        <v>131</v>
      </c>
      <c r="K1894" s="8" t="s">
        <v>132</v>
      </c>
      <c r="L1894" s="7">
        <v>1999</v>
      </c>
      <c r="M1894" s="8" t="s">
        <v>135</v>
      </c>
      <c r="N1894" s="11">
        <v>37500000</v>
      </c>
      <c r="O1894" s="8" t="s">
        <v>136</v>
      </c>
      <c r="P1894" s="8" t="s">
        <v>137</v>
      </c>
      <c r="Q1894" s="8"/>
      <c r="R1894" s="8" t="s">
        <v>3357</v>
      </c>
    </row>
    <row r="1895" spans="1:18" ht="26.15" customHeight="1">
      <c r="A1895" s="7">
        <v>1889</v>
      </c>
      <c r="B1895" s="8" t="s">
        <v>2906</v>
      </c>
      <c r="C1895" s="8" t="s">
        <v>3127</v>
      </c>
      <c r="D1895" s="8"/>
      <c r="E1895" s="8" t="s">
        <v>3128</v>
      </c>
      <c r="F1895" s="9" t="s">
        <v>3117</v>
      </c>
      <c r="G1895" s="10">
        <v>41727</v>
      </c>
      <c r="H1895" s="8" t="s">
        <v>124</v>
      </c>
      <c r="I1895" s="11">
        <v>119145</v>
      </c>
      <c r="J1895" s="8" t="s">
        <v>2112</v>
      </c>
      <c r="K1895" s="8" t="s">
        <v>2113</v>
      </c>
      <c r="L1895" s="7">
        <v>2013</v>
      </c>
      <c r="M1895" s="8" t="s">
        <v>79</v>
      </c>
      <c r="N1895" s="11">
        <v>212000</v>
      </c>
      <c r="O1895" s="8" t="s">
        <v>2114</v>
      </c>
      <c r="P1895" s="8" t="s">
        <v>2115</v>
      </c>
      <c r="Q1895" s="8"/>
      <c r="R1895" s="8"/>
    </row>
    <row r="1896" spans="1:18" ht="26.15" customHeight="1">
      <c r="A1896" s="7">
        <v>1890</v>
      </c>
      <c r="B1896" s="8" t="s">
        <v>4791</v>
      </c>
      <c r="C1896" s="8" t="s">
        <v>3127</v>
      </c>
      <c r="D1896" s="8"/>
      <c r="E1896" s="8" t="s">
        <v>3128</v>
      </c>
      <c r="F1896" s="9" t="s">
        <v>3123</v>
      </c>
      <c r="G1896" s="10">
        <v>41727</v>
      </c>
      <c r="H1896" s="8" t="s">
        <v>124</v>
      </c>
      <c r="I1896" s="11">
        <v>119145</v>
      </c>
      <c r="J1896" s="8" t="s">
        <v>2112</v>
      </c>
      <c r="K1896" s="8" t="s">
        <v>2113</v>
      </c>
      <c r="L1896" s="7">
        <v>2013</v>
      </c>
      <c r="M1896" s="8" t="s">
        <v>79</v>
      </c>
      <c r="N1896" s="11">
        <v>212000</v>
      </c>
      <c r="O1896" s="8" t="s">
        <v>2114</v>
      </c>
      <c r="P1896" s="8" t="s">
        <v>2115</v>
      </c>
      <c r="Q1896" s="8"/>
      <c r="R1896" s="8"/>
    </row>
    <row r="1897" spans="1:18" ht="26.15" customHeight="1">
      <c r="A1897" s="7">
        <v>1891</v>
      </c>
      <c r="B1897" s="8" t="s">
        <v>4820</v>
      </c>
      <c r="C1897" s="8" t="s">
        <v>3127</v>
      </c>
      <c r="D1897" s="8"/>
      <c r="E1897" s="8" t="s">
        <v>3128</v>
      </c>
      <c r="F1897" s="9" t="s">
        <v>3123</v>
      </c>
      <c r="G1897" s="10">
        <v>41727</v>
      </c>
      <c r="H1897" s="8" t="s">
        <v>124</v>
      </c>
      <c r="I1897" s="11">
        <v>119145</v>
      </c>
      <c r="J1897" s="8" t="s">
        <v>2112</v>
      </c>
      <c r="K1897" s="8" t="s">
        <v>2113</v>
      </c>
      <c r="L1897" s="7">
        <v>2013</v>
      </c>
      <c r="M1897" s="8" t="s">
        <v>79</v>
      </c>
      <c r="N1897" s="11">
        <v>212000</v>
      </c>
      <c r="O1897" s="8" t="s">
        <v>2114</v>
      </c>
      <c r="P1897" s="8" t="s">
        <v>2115</v>
      </c>
      <c r="Q1897" s="8"/>
      <c r="R1897" s="8"/>
    </row>
    <row r="1898" spans="1:18" ht="26.15" customHeight="1">
      <c r="A1898" s="7">
        <v>1892</v>
      </c>
      <c r="B1898" s="8" t="s">
        <v>2908</v>
      </c>
      <c r="C1898" s="8" t="s">
        <v>3114</v>
      </c>
      <c r="D1898" s="8" t="s">
        <v>4596</v>
      </c>
      <c r="E1898" s="8" t="s">
        <v>3116</v>
      </c>
      <c r="F1898" s="9" t="s">
        <v>3117</v>
      </c>
      <c r="G1898" s="10">
        <v>41723</v>
      </c>
      <c r="H1898" s="8" t="s">
        <v>25</v>
      </c>
      <c r="I1898" s="11">
        <v>10000000</v>
      </c>
      <c r="J1898" s="8" t="s">
        <v>2309</v>
      </c>
      <c r="K1898" s="8" t="s">
        <v>2310</v>
      </c>
      <c r="L1898" s="7">
        <v>2009</v>
      </c>
      <c r="M1898" s="8" t="s">
        <v>1732</v>
      </c>
      <c r="N1898" s="11">
        <v>204990000</v>
      </c>
      <c r="O1898" s="8" t="s">
        <v>2312</v>
      </c>
      <c r="P1898" s="8" t="s">
        <v>2313</v>
      </c>
      <c r="Q1898" s="8"/>
      <c r="R1898" s="8" t="s">
        <v>1732</v>
      </c>
    </row>
    <row r="1899" spans="1:18" ht="26.15" customHeight="1">
      <c r="A1899" s="7">
        <v>1893</v>
      </c>
      <c r="B1899" s="8" t="s">
        <v>2964</v>
      </c>
      <c r="C1899" s="8" t="s">
        <v>3114</v>
      </c>
      <c r="D1899" s="8" t="s">
        <v>4597</v>
      </c>
      <c r="E1899" s="8" t="s">
        <v>3116</v>
      </c>
      <c r="F1899" s="9" t="s">
        <v>3123</v>
      </c>
      <c r="G1899" s="10">
        <v>41723</v>
      </c>
      <c r="H1899" s="8" t="s">
        <v>25</v>
      </c>
      <c r="I1899" s="11">
        <v>10000000</v>
      </c>
      <c r="J1899" s="8" t="s">
        <v>2309</v>
      </c>
      <c r="K1899" s="8" t="s">
        <v>2310</v>
      </c>
      <c r="L1899" s="7">
        <v>2009</v>
      </c>
      <c r="M1899" s="8" t="s">
        <v>1732</v>
      </c>
      <c r="N1899" s="11">
        <v>204990000</v>
      </c>
      <c r="O1899" s="8" t="s">
        <v>2312</v>
      </c>
      <c r="P1899" s="8" t="s">
        <v>2313</v>
      </c>
      <c r="Q1899" s="8"/>
      <c r="R1899" s="8" t="s">
        <v>1732</v>
      </c>
    </row>
    <row r="1900" spans="1:18" ht="26.15" customHeight="1">
      <c r="A1900" s="7">
        <v>1894</v>
      </c>
      <c r="B1900" s="8" t="s">
        <v>3058</v>
      </c>
      <c r="C1900" s="8" t="s">
        <v>3114</v>
      </c>
      <c r="D1900" s="8" t="s">
        <v>4821</v>
      </c>
      <c r="E1900" s="8" t="s">
        <v>3116</v>
      </c>
      <c r="F1900" s="9" t="s">
        <v>3123</v>
      </c>
      <c r="G1900" s="10">
        <v>41670</v>
      </c>
      <c r="H1900" s="8" t="s">
        <v>34</v>
      </c>
      <c r="I1900" s="11" t="s">
        <v>50</v>
      </c>
      <c r="J1900" s="8" t="s">
        <v>2909</v>
      </c>
      <c r="K1900" s="8" t="s">
        <v>2910</v>
      </c>
      <c r="L1900" s="7">
        <v>2011</v>
      </c>
      <c r="M1900" s="8" t="s">
        <v>313</v>
      </c>
      <c r="N1900" s="11"/>
      <c r="O1900" s="8" t="s">
        <v>2912</v>
      </c>
      <c r="P1900" s="8" t="s">
        <v>2913</v>
      </c>
      <c r="Q1900" s="8"/>
      <c r="R1900" s="8" t="s">
        <v>313</v>
      </c>
    </row>
    <row r="1901" spans="1:18" ht="26.15" customHeight="1">
      <c r="A1901" s="7">
        <v>1895</v>
      </c>
      <c r="B1901" s="8" t="s">
        <v>2916</v>
      </c>
      <c r="C1901" s="8" t="s">
        <v>3139</v>
      </c>
      <c r="D1901" s="8" t="s">
        <v>2916</v>
      </c>
      <c r="E1901" s="8" t="s">
        <v>3116</v>
      </c>
      <c r="F1901" s="9" t="s">
        <v>3123</v>
      </c>
      <c r="G1901" s="10">
        <v>41640</v>
      </c>
      <c r="H1901" s="8" t="s">
        <v>184</v>
      </c>
      <c r="I1901" s="11">
        <v>91000</v>
      </c>
      <c r="J1901" s="8" t="s">
        <v>2914</v>
      </c>
      <c r="K1901" s="8" t="s">
        <v>2915</v>
      </c>
      <c r="L1901" s="7">
        <v>2011</v>
      </c>
      <c r="M1901" s="8" t="s">
        <v>39</v>
      </c>
      <c r="N1901" s="11"/>
      <c r="O1901" s="8" t="s">
        <v>2917</v>
      </c>
      <c r="P1901" s="8" t="s">
        <v>2913</v>
      </c>
      <c r="Q1901" s="8"/>
      <c r="R1901" s="8" t="s">
        <v>3425</v>
      </c>
    </row>
    <row r="1902" spans="1:18" ht="26.15" customHeight="1">
      <c r="A1902" s="7">
        <v>1896</v>
      </c>
      <c r="B1902" s="8" t="s">
        <v>644</v>
      </c>
      <c r="C1902" s="8" t="s">
        <v>3114</v>
      </c>
      <c r="D1902" s="8" t="s">
        <v>3162</v>
      </c>
      <c r="E1902" s="8" t="s">
        <v>3116</v>
      </c>
      <c r="F1902" s="9" t="s">
        <v>3117</v>
      </c>
      <c r="G1902" s="10">
        <v>41632</v>
      </c>
      <c r="H1902" s="8" t="s">
        <v>34</v>
      </c>
      <c r="I1902" s="11">
        <v>1050560</v>
      </c>
      <c r="J1902" s="8" t="s">
        <v>622</v>
      </c>
      <c r="K1902" s="8" t="s">
        <v>623</v>
      </c>
      <c r="L1902" s="7">
        <v>2011</v>
      </c>
      <c r="M1902" s="8" t="s">
        <v>79</v>
      </c>
      <c r="N1902" s="11">
        <v>3574388</v>
      </c>
      <c r="O1902" s="8" t="s">
        <v>625</v>
      </c>
      <c r="P1902" s="8" t="s">
        <v>626</v>
      </c>
      <c r="Q1902" s="8"/>
      <c r="R1902" s="8" t="s">
        <v>313</v>
      </c>
    </row>
    <row r="1903" spans="1:18" ht="26.15" customHeight="1">
      <c r="A1903" s="7">
        <v>1897</v>
      </c>
      <c r="B1903" s="8" t="s">
        <v>4822</v>
      </c>
      <c r="C1903" s="8" t="s">
        <v>3114</v>
      </c>
      <c r="D1903" s="8" t="s">
        <v>4823</v>
      </c>
      <c r="E1903" s="8" t="s">
        <v>3116</v>
      </c>
      <c r="F1903" s="9" t="s">
        <v>3123</v>
      </c>
      <c r="G1903" s="10">
        <v>41631</v>
      </c>
      <c r="H1903" s="8" t="s">
        <v>109</v>
      </c>
      <c r="I1903" s="11">
        <v>4200000</v>
      </c>
      <c r="J1903" s="8" t="s">
        <v>2918</v>
      </c>
      <c r="K1903" s="8" t="s">
        <v>2919</v>
      </c>
      <c r="L1903" s="7">
        <v>2004</v>
      </c>
      <c r="M1903" s="8" t="s">
        <v>369</v>
      </c>
      <c r="N1903" s="11">
        <v>5200000</v>
      </c>
      <c r="O1903" s="8" t="s">
        <v>2921</v>
      </c>
      <c r="P1903" s="8" t="s">
        <v>1974</v>
      </c>
      <c r="Q1903" s="8"/>
      <c r="R1903" s="8" t="s">
        <v>369</v>
      </c>
    </row>
    <row r="1904" spans="1:18" ht="26.15" customHeight="1">
      <c r="A1904" s="7">
        <v>1898</v>
      </c>
      <c r="B1904" s="8" t="s">
        <v>3630</v>
      </c>
      <c r="C1904" s="8" t="s">
        <v>3114</v>
      </c>
      <c r="D1904" s="8" t="s">
        <v>3631</v>
      </c>
      <c r="E1904" s="8" t="s">
        <v>3116</v>
      </c>
      <c r="F1904" s="9" t="s">
        <v>3123</v>
      </c>
      <c r="G1904" s="10">
        <v>41625</v>
      </c>
      <c r="H1904" s="8" t="s">
        <v>109</v>
      </c>
      <c r="I1904" s="11" t="s">
        <v>50</v>
      </c>
      <c r="J1904" s="8" t="s">
        <v>2922</v>
      </c>
      <c r="K1904" s="8" t="s">
        <v>2923</v>
      </c>
      <c r="L1904" s="7">
        <v>2008</v>
      </c>
      <c r="M1904" s="8" t="s">
        <v>638</v>
      </c>
      <c r="N1904" s="11"/>
      <c r="O1904" s="8" t="s">
        <v>2925</v>
      </c>
      <c r="P1904" s="8" t="s">
        <v>2926</v>
      </c>
      <c r="Q1904" s="8"/>
      <c r="R1904" s="8" t="s">
        <v>3632</v>
      </c>
    </row>
    <row r="1905" spans="1:18" ht="26.15" customHeight="1">
      <c r="A1905" s="7">
        <v>1899</v>
      </c>
      <c r="B1905" s="8" t="s">
        <v>653</v>
      </c>
      <c r="C1905" s="8" t="s">
        <v>3114</v>
      </c>
      <c r="D1905" s="8" t="s">
        <v>3532</v>
      </c>
      <c r="E1905" s="8" t="s">
        <v>3116</v>
      </c>
      <c r="F1905" s="9" t="s">
        <v>3117</v>
      </c>
      <c r="G1905" s="10">
        <v>41618</v>
      </c>
      <c r="H1905" s="8" t="s">
        <v>34</v>
      </c>
      <c r="I1905" s="11">
        <v>24620</v>
      </c>
      <c r="J1905" s="8" t="s">
        <v>641</v>
      </c>
      <c r="K1905" s="8" t="s">
        <v>642</v>
      </c>
      <c r="L1905" s="7">
        <v>2009</v>
      </c>
      <c r="M1905" s="8" t="s">
        <v>47</v>
      </c>
      <c r="N1905" s="11">
        <v>10590520</v>
      </c>
      <c r="O1905" s="8" t="s">
        <v>645</v>
      </c>
      <c r="P1905" s="8" t="s">
        <v>646</v>
      </c>
      <c r="Q1905" s="8"/>
      <c r="R1905" s="8" t="s">
        <v>188</v>
      </c>
    </row>
    <row r="1906" spans="1:18" ht="26.15" customHeight="1">
      <c r="A1906" s="7">
        <v>1900</v>
      </c>
      <c r="B1906" s="8" t="s">
        <v>3689</v>
      </c>
      <c r="C1906" s="8" t="s">
        <v>3114</v>
      </c>
      <c r="D1906" s="8" t="s">
        <v>3690</v>
      </c>
      <c r="E1906" s="8" t="s">
        <v>3116</v>
      </c>
      <c r="F1906" s="9" t="s">
        <v>3123</v>
      </c>
      <c r="G1906" s="10">
        <v>41617</v>
      </c>
      <c r="H1906" s="8" t="s">
        <v>34</v>
      </c>
      <c r="I1906" s="11" t="s">
        <v>50</v>
      </c>
      <c r="J1906" s="8" t="s">
        <v>2927</v>
      </c>
      <c r="K1906" s="8" t="s">
        <v>2928</v>
      </c>
      <c r="L1906" s="7">
        <v>2013</v>
      </c>
      <c r="M1906" s="8" t="s">
        <v>299</v>
      </c>
      <c r="N1906" s="11"/>
      <c r="O1906" s="8" t="s">
        <v>2929</v>
      </c>
      <c r="P1906" s="8" t="s">
        <v>2930</v>
      </c>
      <c r="Q1906" s="8"/>
      <c r="R1906" s="8" t="s">
        <v>299</v>
      </c>
    </row>
    <row r="1907" spans="1:18" ht="26.15" customHeight="1">
      <c r="A1907" s="7">
        <v>1901</v>
      </c>
      <c r="B1907" s="8" t="s">
        <v>644</v>
      </c>
      <c r="C1907" s="8" t="s">
        <v>3114</v>
      </c>
      <c r="D1907" s="8" t="s">
        <v>3162</v>
      </c>
      <c r="E1907" s="8" t="s">
        <v>3116</v>
      </c>
      <c r="F1907" s="9" t="s">
        <v>3117</v>
      </c>
      <c r="G1907" s="10">
        <v>41604</v>
      </c>
      <c r="H1907" s="8" t="s">
        <v>109</v>
      </c>
      <c r="I1907" s="11">
        <v>801440</v>
      </c>
      <c r="J1907" s="8" t="s">
        <v>1705</v>
      </c>
      <c r="K1907" s="8" t="s">
        <v>1706</v>
      </c>
      <c r="L1907" s="7">
        <v>2012</v>
      </c>
      <c r="M1907" s="8" t="s">
        <v>1709</v>
      </c>
      <c r="N1907" s="11">
        <v>6780764</v>
      </c>
      <c r="O1907" s="8" t="s">
        <v>1710</v>
      </c>
      <c r="P1907" s="8" t="s">
        <v>1711</v>
      </c>
      <c r="Q1907" s="8"/>
      <c r="R1907" s="8" t="s">
        <v>313</v>
      </c>
    </row>
    <row r="1908" spans="1:18" ht="26.15" customHeight="1">
      <c r="A1908" s="7">
        <v>1902</v>
      </c>
      <c r="B1908" s="8" t="s">
        <v>1467</v>
      </c>
      <c r="C1908" s="8" t="s">
        <v>3114</v>
      </c>
      <c r="D1908" s="8" t="s">
        <v>3196</v>
      </c>
      <c r="E1908" s="8" t="s">
        <v>3116</v>
      </c>
      <c r="F1908" s="9" t="s">
        <v>3117</v>
      </c>
      <c r="G1908" s="10">
        <v>41571</v>
      </c>
      <c r="H1908" s="8" t="s">
        <v>34</v>
      </c>
      <c r="I1908" s="11">
        <v>61084</v>
      </c>
      <c r="J1908" s="8" t="s">
        <v>1330</v>
      </c>
      <c r="K1908" s="8" t="s">
        <v>1331</v>
      </c>
      <c r="L1908" s="7">
        <v>2010</v>
      </c>
      <c r="M1908" s="8" t="s">
        <v>79</v>
      </c>
      <c r="N1908" s="11">
        <v>15568800</v>
      </c>
      <c r="O1908" s="8" t="s">
        <v>1334</v>
      </c>
      <c r="P1908" s="8" t="s">
        <v>1335</v>
      </c>
      <c r="Q1908" s="8"/>
      <c r="R1908" s="8" t="s">
        <v>313</v>
      </c>
    </row>
    <row r="1909" spans="1:18" ht="26.15" customHeight="1">
      <c r="A1909" s="7">
        <v>1903</v>
      </c>
      <c r="B1909" s="8" t="s">
        <v>2896</v>
      </c>
      <c r="C1909" s="8" t="s">
        <v>3127</v>
      </c>
      <c r="D1909" s="8"/>
      <c r="E1909" s="8" t="s">
        <v>3128</v>
      </c>
      <c r="F1909" s="9" t="s">
        <v>3123</v>
      </c>
      <c r="G1909" s="10">
        <v>41571</v>
      </c>
      <c r="H1909" s="8" t="s">
        <v>34</v>
      </c>
      <c r="I1909" s="11">
        <v>61084</v>
      </c>
      <c r="J1909" s="8" t="s">
        <v>1330</v>
      </c>
      <c r="K1909" s="8" t="s">
        <v>1331</v>
      </c>
      <c r="L1909" s="7">
        <v>2010</v>
      </c>
      <c r="M1909" s="8" t="s">
        <v>79</v>
      </c>
      <c r="N1909" s="11">
        <v>15568800</v>
      </c>
      <c r="O1909" s="8" t="s">
        <v>1334</v>
      </c>
      <c r="P1909" s="8" t="s">
        <v>1335</v>
      </c>
      <c r="Q1909" s="8"/>
      <c r="R1909" s="8"/>
    </row>
    <row r="1910" spans="1:18" ht="26.15" customHeight="1">
      <c r="A1910" s="7">
        <v>1904</v>
      </c>
      <c r="B1910" s="8" t="s">
        <v>4824</v>
      </c>
      <c r="C1910" s="8" t="s">
        <v>3139</v>
      </c>
      <c r="D1910" s="8" t="s">
        <v>4825</v>
      </c>
      <c r="E1910" s="8" t="s">
        <v>3116</v>
      </c>
      <c r="F1910" s="9" t="s">
        <v>3123</v>
      </c>
      <c r="G1910" s="10">
        <v>41558</v>
      </c>
      <c r="H1910" s="8" t="s">
        <v>34</v>
      </c>
      <c r="I1910" s="11">
        <v>235000</v>
      </c>
      <c r="J1910" s="8" t="s">
        <v>2886</v>
      </c>
      <c r="K1910" s="8" t="s">
        <v>2887</v>
      </c>
      <c r="L1910" s="7">
        <v>2010</v>
      </c>
      <c r="M1910" s="8" t="s">
        <v>39</v>
      </c>
      <c r="N1910" s="11">
        <v>235000</v>
      </c>
      <c r="O1910" s="8" t="s">
        <v>2888</v>
      </c>
      <c r="P1910" s="8" t="s">
        <v>2889</v>
      </c>
      <c r="Q1910" s="8"/>
      <c r="R1910" s="8"/>
    </row>
    <row r="1911" spans="1:18" ht="26.15" customHeight="1">
      <c r="A1911" s="7">
        <v>1905</v>
      </c>
      <c r="B1911" s="8" t="s">
        <v>4826</v>
      </c>
      <c r="C1911" s="8" t="s">
        <v>3114</v>
      </c>
      <c r="D1911" s="8" t="s">
        <v>4827</v>
      </c>
      <c r="E1911" s="8" t="s">
        <v>3116</v>
      </c>
      <c r="F1911" s="9" t="s">
        <v>3123</v>
      </c>
      <c r="G1911" s="10">
        <v>41520</v>
      </c>
      <c r="H1911" s="8" t="s">
        <v>95</v>
      </c>
      <c r="I1911" s="11">
        <v>65000000</v>
      </c>
      <c r="J1911" s="8" t="s">
        <v>2941</v>
      </c>
      <c r="K1911" s="8" t="s">
        <v>2942</v>
      </c>
      <c r="L1911" s="7">
        <v>2007</v>
      </c>
      <c r="M1911" s="8" t="s">
        <v>2945</v>
      </c>
      <c r="N1911" s="11">
        <v>91000000</v>
      </c>
      <c r="O1911" s="8" t="s">
        <v>2946</v>
      </c>
      <c r="P1911" s="8" t="s">
        <v>2947</v>
      </c>
      <c r="Q1911" s="8"/>
      <c r="R1911" s="8" t="s">
        <v>3148</v>
      </c>
    </row>
    <row r="1912" spans="1:18" ht="26.15" customHeight="1">
      <c r="A1912" s="7">
        <v>1906</v>
      </c>
      <c r="B1912" s="8" t="s">
        <v>773</v>
      </c>
      <c r="C1912" s="8" t="s">
        <v>3114</v>
      </c>
      <c r="D1912" s="8" t="s">
        <v>3557</v>
      </c>
      <c r="E1912" s="8" t="s">
        <v>3116</v>
      </c>
      <c r="F1912" s="9" t="s">
        <v>3117</v>
      </c>
      <c r="G1912" s="10">
        <v>41520</v>
      </c>
      <c r="H1912" s="8" t="s">
        <v>95</v>
      </c>
      <c r="I1912" s="11">
        <v>65000000</v>
      </c>
      <c r="J1912" s="8" t="s">
        <v>2941</v>
      </c>
      <c r="K1912" s="8" t="s">
        <v>2942</v>
      </c>
      <c r="L1912" s="7">
        <v>2007</v>
      </c>
      <c r="M1912" s="8" t="s">
        <v>2945</v>
      </c>
      <c r="N1912" s="11">
        <v>91000000</v>
      </c>
      <c r="O1912" s="8" t="s">
        <v>2946</v>
      </c>
      <c r="P1912" s="8" t="s">
        <v>2947</v>
      </c>
      <c r="Q1912" s="8"/>
      <c r="R1912" s="8" t="s">
        <v>3425</v>
      </c>
    </row>
    <row r="1913" spans="1:18" ht="26.15" customHeight="1">
      <c r="A1913" s="7">
        <v>1907</v>
      </c>
      <c r="B1913" s="8" t="s">
        <v>4822</v>
      </c>
      <c r="C1913" s="8" t="s">
        <v>3114</v>
      </c>
      <c r="D1913" s="8" t="s">
        <v>4823</v>
      </c>
      <c r="E1913" s="8" t="s">
        <v>3116</v>
      </c>
      <c r="F1913" s="9" t="s">
        <v>3117</v>
      </c>
      <c r="G1913" s="10">
        <v>41520</v>
      </c>
      <c r="H1913" s="8" t="s">
        <v>95</v>
      </c>
      <c r="I1913" s="11">
        <v>65000000</v>
      </c>
      <c r="J1913" s="8" t="s">
        <v>2941</v>
      </c>
      <c r="K1913" s="8" t="s">
        <v>2942</v>
      </c>
      <c r="L1913" s="7">
        <v>2007</v>
      </c>
      <c r="M1913" s="8" t="s">
        <v>2945</v>
      </c>
      <c r="N1913" s="11">
        <v>91000000</v>
      </c>
      <c r="O1913" s="8" t="s">
        <v>2946</v>
      </c>
      <c r="P1913" s="8" t="s">
        <v>2947</v>
      </c>
      <c r="Q1913" s="8"/>
      <c r="R1913" s="8" t="s">
        <v>369</v>
      </c>
    </row>
    <row r="1914" spans="1:18" ht="26.15" customHeight="1">
      <c r="A1914" s="7">
        <v>1908</v>
      </c>
      <c r="B1914" s="8" t="s">
        <v>4828</v>
      </c>
      <c r="C1914" s="8" t="s">
        <v>3114</v>
      </c>
      <c r="D1914" s="8" t="s">
        <v>4829</v>
      </c>
      <c r="E1914" s="8" t="s">
        <v>3116</v>
      </c>
      <c r="F1914" s="9" t="s">
        <v>3123</v>
      </c>
      <c r="G1914" s="10">
        <v>41520</v>
      </c>
      <c r="H1914" s="8" t="s">
        <v>95</v>
      </c>
      <c r="I1914" s="11">
        <v>65000000</v>
      </c>
      <c r="J1914" s="8" t="s">
        <v>2941</v>
      </c>
      <c r="K1914" s="8" t="s">
        <v>2942</v>
      </c>
      <c r="L1914" s="7">
        <v>2007</v>
      </c>
      <c r="M1914" s="8" t="s">
        <v>2945</v>
      </c>
      <c r="N1914" s="11">
        <v>91000000</v>
      </c>
      <c r="O1914" s="8" t="s">
        <v>2946</v>
      </c>
      <c r="P1914" s="8" t="s">
        <v>2947</v>
      </c>
      <c r="Q1914" s="8"/>
      <c r="R1914" s="8" t="s">
        <v>3148</v>
      </c>
    </row>
    <row r="1915" spans="1:18" ht="26.15" customHeight="1">
      <c r="A1915" s="7">
        <v>1909</v>
      </c>
      <c r="B1915" s="8" t="s">
        <v>4830</v>
      </c>
      <c r="C1915" s="8" t="s">
        <v>3114</v>
      </c>
      <c r="D1915" s="8" t="s">
        <v>4831</v>
      </c>
      <c r="E1915" s="8" t="s">
        <v>3116</v>
      </c>
      <c r="F1915" s="9" t="s">
        <v>3123</v>
      </c>
      <c r="G1915" s="10">
        <v>41520</v>
      </c>
      <c r="H1915" s="8" t="s">
        <v>95</v>
      </c>
      <c r="I1915" s="11">
        <v>65000000</v>
      </c>
      <c r="J1915" s="8" t="s">
        <v>2941</v>
      </c>
      <c r="K1915" s="8" t="s">
        <v>2942</v>
      </c>
      <c r="L1915" s="7">
        <v>2007</v>
      </c>
      <c r="M1915" s="8" t="s">
        <v>2945</v>
      </c>
      <c r="N1915" s="11">
        <v>91000000</v>
      </c>
      <c r="O1915" s="8" t="s">
        <v>2946</v>
      </c>
      <c r="P1915" s="8" t="s">
        <v>2947</v>
      </c>
      <c r="Q1915" s="8"/>
      <c r="R1915" s="8" t="s">
        <v>3145</v>
      </c>
    </row>
    <row r="1916" spans="1:18" ht="26.15" customHeight="1">
      <c r="A1916" s="7">
        <v>1910</v>
      </c>
      <c r="B1916" s="8" t="s">
        <v>4832</v>
      </c>
      <c r="C1916" s="8" t="s">
        <v>3139</v>
      </c>
      <c r="D1916" s="8" t="s">
        <v>4833</v>
      </c>
      <c r="E1916" s="8" t="s">
        <v>3116</v>
      </c>
      <c r="F1916" s="9" t="s">
        <v>3123</v>
      </c>
      <c r="G1916" s="10">
        <v>41520</v>
      </c>
      <c r="H1916" s="8" t="s">
        <v>95</v>
      </c>
      <c r="I1916" s="11">
        <v>65000000</v>
      </c>
      <c r="J1916" s="8" t="s">
        <v>2941</v>
      </c>
      <c r="K1916" s="8" t="s">
        <v>2942</v>
      </c>
      <c r="L1916" s="7">
        <v>2007</v>
      </c>
      <c r="M1916" s="8" t="s">
        <v>2945</v>
      </c>
      <c r="N1916" s="11">
        <v>91000000</v>
      </c>
      <c r="O1916" s="8" t="s">
        <v>2946</v>
      </c>
      <c r="P1916" s="8" t="s">
        <v>2947</v>
      </c>
      <c r="Q1916" s="8"/>
      <c r="R1916" s="8" t="s">
        <v>369</v>
      </c>
    </row>
    <row r="1917" spans="1:18" ht="26.15" customHeight="1">
      <c r="A1917" s="7">
        <v>1911</v>
      </c>
      <c r="B1917" s="8" t="s">
        <v>4834</v>
      </c>
      <c r="C1917" s="8" t="s">
        <v>3114</v>
      </c>
      <c r="D1917" s="8" t="s">
        <v>4835</v>
      </c>
      <c r="E1917" s="8" t="s">
        <v>3116</v>
      </c>
      <c r="F1917" s="9" t="s">
        <v>3123</v>
      </c>
      <c r="G1917" s="10">
        <v>41520</v>
      </c>
      <c r="H1917" s="8" t="s">
        <v>95</v>
      </c>
      <c r="I1917" s="11">
        <v>65000000</v>
      </c>
      <c r="J1917" s="8" t="s">
        <v>2941</v>
      </c>
      <c r="K1917" s="8" t="s">
        <v>2942</v>
      </c>
      <c r="L1917" s="7">
        <v>2007</v>
      </c>
      <c r="M1917" s="8" t="s">
        <v>2945</v>
      </c>
      <c r="N1917" s="11">
        <v>91000000</v>
      </c>
      <c r="O1917" s="8" t="s">
        <v>2946</v>
      </c>
      <c r="P1917" s="8" t="s">
        <v>2947</v>
      </c>
      <c r="Q1917" s="8"/>
      <c r="R1917" s="8" t="s">
        <v>3148</v>
      </c>
    </row>
    <row r="1918" spans="1:18" ht="26.15" customHeight="1">
      <c r="A1918" s="7">
        <v>1912</v>
      </c>
      <c r="B1918" s="8" t="s">
        <v>2949</v>
      </c>
      <c r="C1918" s="8" t="s">
        <v>3127</v>
      </c>
      <c r="D1918" s="8"/>
      <c r="E1918" s="8" t="s">
        <v>3128</v>
      </c>
      <c r="F1918" s="9" t="s">
        <v>3117</v>
      </c>
      <c r="G1918" s="10">
        <v>41456</v>
      </c>
      <c r="H1918" s="8" t="s">
        <v>124</v>
      </c>
      <c r="I1918" s="11">
        <v>165548</v>
      </c>
      <c r="J1918" s="8" t="s">
        <v>1685</v>
      </c>
      <c r="K1918" s="8" t="s">
        <v>1686</v>
      </c>
      <c r="L1918" s="7">
        <v>2013</v>
      </c>
      <c r="M1918" s="8" t="s">
        <v>79</v>
      </c>
      <c r="N1918" s="11">
        <v>2257449</v>
      </c>
      <c r="O1918" s="8" t="s">
        <v>1690</v>
      </c>
      <c r="P1918" s="8" t="s">
        <v>1691</v>
      </c>
      <c r="Q1918" s="8"/>
      <c r="R1918" s="8"/>
    </row>
    <row r="1919" spans="1:18" ht="26.15" customHeight="1">
      <c r="A1919" s="7">
        <v>1913</v>
      </c>
      <c r="B1919" s="8" t="s">
        <v>4836</v>
      </c>
      <c r="C1919" s="8" t="s">
        <v>3127</v>
      </c>
      <c r="D1919" s="8"/>
      <c r="E1919" s="8" t="s">
        <v>3128</v>
      </c>
      <c r="F1919" s="9" t="s">
        <v>3123</v>
      </c>
      <c r="G1919" s="10">
        <v>41456</v>
      </c>
      <c r="H1919" s="8" t="s">
        <v>124</v>
      </c>
      <c r="I1919" s="11">
        <v>165548</v>
      </c>
      <c r="J1919" s="8" t="s">
        <v>1685</v>
      </c>
      <c r="K1919" s="8" t="s">
        <v>1686</v>
      </c>
      <c r="L1919" s="7">
        <v>2013</v>
      </c>
      <c r="M1919" s="8" t="s">
        <v>79</v>
      </c>
      <c r="N1919" s="11">
        <v>2257449</v>
      </c>
      <c r="O1919" s="8" t="s">
        <v>1690</v>
      </c>
      <c r="P1919" s="8" t="s">
        <v>1691</v>
      </c>
      <c r="Q1919" s="8"/>
      <c r="R1919" s="8"/>
    </row>
    <row r="1920" spans="1:18" ht="26.15" customHeight="1">
      <c r="A1920" s="7">
        <v>1914</v>
      </c>
      <c r="B1920" s="8" t="s">
        <v>4837</v>
      </c>
      <c r="C1920" s="8" t="s">
        <v>3127</v>
      </c>
      <c r="D1920" s="8"/>
      <c r="E1920" s="8" t="s">
        <v>3128</v>
      </c>
      <c r="F1920" s="9" t="s">
        <v>3123</v>
      </c>
      <c r="G1920" s="10">
        <v>41456</v>
      </c>
      <c r="H1920" s="8" t="s">
        <v>124</v>
      </c>
      <c r="I1920" s="11">
        <v>165548</v>
      </c>
      <c r="J1920" s="8" t="s">
        <v>1685</v>
      </c>
      <c r="K1920" s="8" t="s">
        <v>1686</v>
      </c>
      <c r="L1920" s="7">
        <v>2013</v>
      </c>
      <c r="M1920" s="8" t="s">
        <v>79</v>
      </c>
      <c r="N1920" s="11">
        <v>2257449</v>
      </c>
      <c r="O1920" s="8" t="s">
        <v>1690</v>
      </c>
      <c r="P1920" s="8" t="s">
        <v>1691</v>
      </c>
      <c r="Q1920" s="8"/>
      <c r="R1920" s="8"/>
    </row>
    <row r="1921" spans="1:18" ht="26.15" customHeight="1">
      <c r="A1921" s="7">
        <v>1915</v>
      </c>
      <c r="B1921" s="8" t="s">
        <v>4838</v>
      </c>
      <c r="C1921" s="8" t="s">
        <v>3127</v>
      </c>
      <c r="D1921" s="8"/>
      <c r="E1921" s="8" t="s">
        <v>3128</v>
      </c>
      <c r="F1921" s="9" t="s">
        <v>3123</v>
      </c>
      <c r="G1921" s="10">
        <v>41456</v>
      </c>
      <c r="H1921" s="8" t="s">
        <v>124</v>
      </c>
      <c r="I1921" s="11">
        <v>165548</v>
      </c>
      <c r="J1921" s="8" t="s">
        <v>1685</v>
      </c>
      <c r="K1921" s="8" t="s">
        <v>1686</v>
      </c>
      <c r="L1921" s="7">
        <v>2013</v>
      </c>
      <c r="M1921" s="8" t="s">
        <v>79</v>
      </c>
      <c r="N1921" s="11">
        <v>2257449</v>
      </c>
      <c r="O1921" s="8" t="s">
        <v>1690</v>
      </c>
      <c r="P1921" s="8" t="s">
        <v>1691</v>
      </c>
      <c r="Q1921" s="8"/>
      <c r="R1921" s="8"/>
    </row>
    <row r="1922" spans="1:18" ht="26.15" customHeight="1">
      <c r="A1922" s="7">
        <v>1916</v>
      </c>
      <c r="B1922" s="8" t="s">
        <v>4839</v>
      </c>
      <c r="C1922" s="8" t="s">
        <v>3127</v>
      </c>
      <c r="D1922" s="8"/>
      <c r="E1922" s="8" t="s">
        <v>3128</v>
      </c>
      <c r="F1922" s="9" t="s">
        <v>3123</v>
      </c>
      <c r="G1922" s="10">
        <v>41456</v>
      </c>
      <c r="H1922" s="8" t="s">
        <v>124</v>
      </c>
      <c r="I1922" s="11">
        <v>165548</v>
      </c>
      <c r="J1922" s="8" t="s">
        <v>1685</v>
      </c>
      <c r="K1922" s="8" t="s">
        <v>1686</v>
      </c>
      <c r="L1922" s="7">
        <v>2013</v>
      </c>
      <c r="M1922" s="8" t="s">
        <v>79</v>
      </c>
      <c r="N1922" s="11">
        <v>2257449</v>
      </c>
      <c r="O1922" s="8" t="s">
        <v>1690</v>
      </c>
      <c r="P1922" s="8" t="s">
        <v>1691</v>
      </c>
      <c r="Q1922" s="8"/>
      <c r="R1922" s="8"/>
    </row>
    <row r="1923" spans="1:18" ht="26.15" customHeight="1">
      <c r="A1923" s="7">
        <v>1917</v>
      </c>
      <c r="B1923" s="8" t="s">
        <v>4840</v>
      </c>
      <c r="C1923" s="8" t="s">
        <v>3127</v>
      </c>
      <c r="D1923" s="8"/>
      <c r="E1923" s="8" t="s">
        <v>3128</v>
      </c>
      <c r="F1923" s="9" t="s">
        <v>3123</v>
      </c>
      <c r="G1923" s="10">
        <v>41456</v>
      </c>
      <c r="H1923" s="8" t="s">
        <v>124</v>
      </c>
      <c r="I1923" s="11">
        <v>165548</v>
      </c>
      <c r="J1923" s="8" t="s">
        <v>1685</v>
      </c>
      <c r="K1923" s="8" t="s">
        <v>1686</v>
      </c>
      <c r="L1923" s="7">
        <v>2013</v>
      </c>
      <c r="M1923" s="8" t="s">
        <v>79</v>
      </c>
      <c r="N1923" s="11">
        <v>2257449</v>
      </c>
      <c r="O1923" s="8" t="s">
        <v>1690</v>
      </c>
      <c r="P1923" s="8" t="s">
        <v>1691</v>
      </c>
      <c r="Q1923" s="8"/>
      <c r="R1923" s="8"/>
    </row>
    <row r="1924" spans="1:18" ht="26.15" customHeight="1">
      <c r="A1924" s="7">
        <v>1918</v>
      </c>
      <c r="B1924" s="8" t="s">
        <v>4841</v>
      </c>
      <c r="C1924" s="8" t="s">
        <v>3127</v>
      </c>
      <c r="D1924" s="8"/>
      <c r="E1924" s="8" t="s">
        <v>3128</v>
      </c>
      <c r="F1924" s="9" t="s">
        <v>3123</v>
      </c>
      <c r="G1924" s="10">
        <v>41456</v>
      </c>
      <c r="H1924" s="8" t="s">
        <v>124</v>
      </c>
      <c r="I1924" s="11">
        <v>165548</v>
      </c>
      <c r="J1924" s="8" t="s">
        <v>1685</v>
      </c>
      <c r="K1924" s="8" t="s">
        <v>1686</v>
      </c>
      <c r="L1924" s="7">
        <v>2013</v>
      </c>
      <c r="M1924" s="8" t="s">
        <v>79</v>
      </c>
      <c r="N1924" s="11">
        <v>2257449</v>
      </c>
      <c r="O1924" s="8" t="s">
        <v>1690</v>
      </c>
      <c r="P1924" s="8" t="s">
        <v>1691</v>
      </c>
      <c r="Q1924" s="8"/>
      <c r="R1924" s="8"/>
    </row>
    <row r="1925" spans="1:18" ht="26.15" customHeight="1">
      <c r="A1925" s="7">
        <v>1919</v>
      </c>
      <c r="B1925" s="8" t="s">
        <v>4810</v>
      </c>
      <c r="C1925" s="8" t="s">
        <v>3127</v>
      </c>
      <c r="D1925" s="8"/>
      <c r="E1925" s="8" t="s">
        <v>3128</v>
      </c>
      <c r="F1925" s="9" t="s">
        <v>3123</v>
      </c>
      <c r="G1925" s="10">
        <v>41456</v>
      </c>
      <c r="H1925" s="8" t="s">
        <v>124</v>
      </c>
      <c r="I1925" s="11">
        <v>165548</v>
      </c>
      <c r="J1925" s="8" t="s">
        <v>1685</v>
      </c>
      <c r="K1925" s="8" t="s">
        <v>1686</v>
      </c>
      <c r="L1925" s="7">
        <v>2013</v>
      </c>
      <c r="M1925" s="8" t="s">
        <v>79</v>
      </c>
      <c r="N1925" s="11">
        <v>2257449</v>
      </c>
      <c r="O1925" s="8" t="s">
        <v>1690</v>
      </c>
      <c r="P1925" s="8" t="s">
        <v>1691</v>
      </c>
      <c r="Q1925" s="8"/>
      <c r="R1925" s="8"/>
    </row>
    <row r="1926" spans="1:18" ht="26.15" customHeight="1">
      <c r="A1926" s="7">
        <v>1920</v>
      </c>
      <c r="B1926" s="8" t="s">
        <v>4842</v>
      </c>
      <c r="C1926" s="8" t="s">
        <v>3127</v>
      </c>
      <c r="D1926" s="8"/>
      <c r="E1926" s="8" t="s">
        <v>3128</v>
      </c>
      <c r="F1926" s="9" t="s">
        <v>3123</v>
      </c>
      <c r="G1926" s="10">
        <v>41456</v>
      </c>
      <c r="H1926" s="8" t="s">
        <v>124</v>
      </c>
      <c r="I1926" s="11">
        <v>165548</v>
      </c>
      <c r="J1926" s="8" t="s">
        <v>1685</v>
      </c>
      <c r="K1926" s="8" t="s">
        <v>1686</v>
      </c>
      <c r="L1926" s="7">
        <v>2013</v>
      </c>
      <c r="M1926" s="8" t="s">
        <v>79</v>
      </c>
      <c r="N1926" s="11">
        <v>2257449</v>
      </c>
      <c r="O1926" s="8" t="s">
        <v>1690</v>
      </c>
      <c r="P1926" s="8" t="s">
        <v>1691</v>
      </c>
      <c r="Q1926" s="8"/>
      <c r="R1926" s="8"/>
    </row>
    <row r="1927" spans="1:18" ht="26.15" customHeight="1">
      <c r="A1927" s="7">
        <v>1921</v>
      </c>
      <c r="B1927" s="8" t="s">
        <v>4843</v>
      </c>
      <c r="C1927" s="8" t="s">
        <v>3127</v>
      </c>
      <c r="D1927" s="8"/>
      <c r="E1927" s="8" t="s">
        <v>3128</v>
      </c>
      <c r="F1927" s="9" t="s">
        <v>3123</v>
      </c>
      <c r="G1927" s="10">
        <v>41456</v>
      </c>
      <c r="H1927" s="8" t="s">
        <v>124</v>
      </c>
      <c r="I1927" s="11">
        <v>165548</v>
      </c>
      <c r="J1927" s="8" t="s">
        <v>1685</v>
      </c>
      <c r="K1927" s="8" t="s">
        <v>1686</v>
      </c>
      <c r="L1927" s="7">
        <v>2013</v>
      </c>
      <c r="M1927" s="8" t="s">
        <v>79</v>
      </c>
      <c r="N1927" s="11">
        <v>2257449</v>
      </c>
      <c r="O1927" s="8" t="s">
        <v>1690</v>
      </c>
      <c r="P1927" s="8" t="s">
        <v>1691</v>
      </c>
      <c r="Q1927" s="8"/>
      <c r="R1927" s="8"/>
    </row>
    <row r="1928" spans="1:18" ht="26.15" customHeight="1">
      <c r="A1928" s="7">
        <v>1922</v>
      </c>
      <c r="B1928" s="8" t="s">
        <v>4844</v>
      </c>
      <c r="C1928" s="8" t="s">
        <v>3127</v>
      </c>
      <c r="D1928" s="8"/>
      <c r="E1928" s="8" t="s">
        <v>3128</v>
      </c>
      <c r="F1928" s="9" t="s">
        <v>3123</v>
      </c>
      <c r="G1928" s="10">
        <v>41456</v>
      </c>
      <c r="H1928" s="8" t="s">
        <v>124</v>
      </c>
      <c r="I1928" s="11">
        <v>165548</v>
      </c>
      <c r="J1928" s="8" t="s">
        <v>1685</v>
      </c>
      <c r="K1928" s="8" t="s">
        <v>1686</v>
      </c>
      <c r="L1928" s="7">
        <v>2013</v>
      </c>
      <c r="M1928" s="8" t="s">
        <v>79</v>
      </c>
      <c r="N1928" s="11">
        <v>2257449</v>
      </c>
      <c r="O1928" s="8" t="s">
        <v>1690</v>
      </c>
      <c r="P1928" s="8" t="s">
        <v>1691</v>
      </c>
      <c r="Q1928" s="8"/>
      <c r="R1928" s="8"/>
    </row>
    <row r="1929" spans="1:18" ht="26.15" customHeight="1">
      <c r="A1929" s="7">
        <v>1923</v>
      </c>
      <c r="B1929" s="8" t="s">
        <v>4650</v>
      </c>
      <c r="C1929" s="8" t="s">
        <v>3127</v>
      </c>
      <c r="D1929" s="8"/>
      <c r="E1929" s="8" t="s">
        <v>3128</v>
      </c>
      <c r="F1929" s="9" t="s">
        <v>3123</v>
      </c>
      <c r="G1929" s="10">
        <v>41456</v>
      </c>
      <c r="H1929" s="8" t="s">
        <v>124</v>
      </c>
      <c r="I1929" s="11">
        <v>165548</v>
      </c>
      <c r="J1929" s="8" t="s">
        <v>1685</v>
      </c>
      <c r="K1929" s="8" t="s">
        <v>1686</v>
      </c>
      <c r="L1929" s="7">
        <v>2013</v>
      </c>
      <c r="M1929" s="8" t="s">
        <v>79</v>
      </c>
      <c r="N1929" s="11">
        <v>2257449</v>
      </c>
      <c r="O1929" s="8" t="s">
        <v>1690</v>
      </c>
      <c r="P1929" s="8" t="s">
        <v>1691</v>
      </c>
      <c r="Q1929" s="8"/>
      <c r="R1929" s="8"/>
    </row>
    <row r="1930" spans="1:18" ht="26.15" customHeight="1">
      <c r="A1930" s="7">
        <v>1924</v>
      </c>
      <c r="B1930" s="8" t="s">
        <v>4845</v>
      </c>
      <c r="C1930" s="8" t="s">
        <v>3127</v>
      </c>
      <c r="D1930" s="8"/>
      <c r="E1930" s="8" t="s">
        <v>3128</v>
      </c>
      <c r="F1930" s="9" t="s">
        <v>3123</v>
      </c>
      <c r="G1930" s="10">
        <v>41456</v>
      </c>
      <c r="H1930" s="8" t="s">
        <v>124</v>
      </c>
      <c r="I1930" s="11">
        <v>165548</v>
      </c>
      <c r="J1930" s="8" t="s">
        <v>1685</v>
      </c>
      <c r="K1930" s="8" t="s">
        <v>1686</v>
      </c>
      <c r="L1930" s="7">
        <v>2013</v>
      </c>
      <c r="M1930" s="8" t="s">
        <v>79</v>
      </c>
      <c r="N1930" s="11">
        <v>2257449</v>
      </c>
      <c r="O1930" s="8" t="s">
        <v>1690</v>
      </c>
      <c r="P1930" s="8" t="s">
        <v>1691</v>
      </c>
      <c r="Q1930" s="8"/>
      <c r="R1930" s="8"/>
    </row>
    <row r="1931" spans="1:18" ht="26.15" customHeight="1">
      <c r="A1931" s="7">
        <v>1925</v>
      </c>
      <c r="B1931" s="8" t="s">
        <v>4846</v>
      </c>
      <c r="C1931" s="8" t="s">
        <v>3127</v>
      </c>
      <c r="D1931" s="8"/>
      <c r="E1931" s="8" t="s">
        <v>3128</v>
      </c>
      <c r="F1931" s="9" t="s">
        <v>3123</v>
      </c>
      <c r="G1931" s="10">
        <v>41456</v>
      </c>
      <c r="H1931" s="8" t="s">
        <v>124</v>
      </c>
      <c r="I1931" s="11">
        <v>165548</v>
      </c>
      <c r="J1931" s="8" t="s">
        <v>1685</v>
      </c>
      <c r="K1931" s="8" t="s">
        <v>1686</v>
      </c>
      <c r="L1931" s="7">
        <v>2013</v>
      </c>
      <c r="M1931" s="8" t="s">
        <v>79</v>
      </c>
      <c r="N1931" s="11">
        <v>2257449</v>
      </c>
      <c r="O1931" s="8" t="s">
        <v>1690</v>
      </c>
      <c r="P1931" s="8" t="s">
        <v>1691</v>
      </c>
      <c r="Q1931" s="8"/>
      <c r="R1931" s="8"/>
    </row>
    <row r="1932" spans="1:18" ht="26.15" customHeight="1">
      <c r="A1932" s="7">
        <v>1926</v>
      </c>
      <c r="B1932" s="8" t="s">
        <v>644</v>
      </c>
      <c r="C1932" s="8" t="s">
        <v>3114</v>
      </c>
      <c r="D1932" s="8" t="s">
        <v>3162</v>
      </c>
      <c r="E1932" s="8" t="s">
        <v>3116</v>
      </c>
      <c r="F1932" s="9" t="s">
        <v>3117</v>
      </c>
      <c r="G1932" s="10">
        <v>41454</v>
      </c>
      <c r="H1932" s="8" t="s">
        <v>34</v>
      </c>
      <c r="I1932" s="11">
        <v>1204340</v>
      </c>
      <c r="J1932" s="8" t="s">
        <v>303</v>
      </c>
      <c r="K1932" s="8" t="s">
        <v>304</v>
      </c>
      <c r="L1932" s="7">
        <v>2011</v>
      </c>
      <c r="M1932" s="8" t="s">
        <v>79</v>
      </c>
      <c r="N1932" s="11">
        <v>19009146</v>
      </c>
      <c r="O1932" s="8" t="s">
        <v>306</v>
      </c>
      <c r="P1932" s="8" t="s">
        <v>307</v>
      </c>
      <c r="Q1932" s="8"/>
      <c r="R1932" s="8" t="s">
        <v>313</v>
      </c>
    </row>
    <row r="1933" spans="1:18" ht="26.15" customHeight="1">
      <c r="A1933" s="7">
        <v>1927</v>
      </c>
      <c r="B1933" s="8" t="s">
        <v>4847</v>
      </c>
      <c r="C1933" s="8" t="s">
        <v>3114</v>
      </c>
      <c r="D1933" s="8" t="s">
        <v>4848</v>
      </c>
      <c r="E1933" s="8" t="s">
        <v>3116</v>
      </c>
      <c r="F1933" s="9" t="s">
        <v>3123</v>
      </c>
      <c r="G1933" s="10">
        <v>41454</v>
      </c>
      <c r="H1933" s="8" t="s">
        <v>34</v>
      </c>
      <c r="I1933" s="11">
        <v>1204340</v>
      </c>
      <c r="J1933" s="8" t="s">
        <v>303</v>
      </c>
      <c r="K1933" s="8" t="s">
        <v>304</v>
      </c>
      <c r="L1933" s="7">
        <v>2011</v>
      </c>
      <c r="M1933" s="8" t="s">
        <v>79</v>
      </c>
      <c r="N1933" s="11">
        <v>19009146</v>
      </c>
      <c r="O1933" s="8" t="s">
        <v>306</v>
      </c>
      <c r="P1933" s="8" t="s">
        <v>307</v>
      </c>
      <c r="Q1933" s="8"/>
      <c r="R1933" s="8" t="s">
        <v>188</v>
      </c>
    </row>
    <row r="1934" spans="1:18" ht="26.15" customHeight="1">
      <c r="A1934" s="7">
        <v>1928</v>
      </c>
      <c r="B1934" s="8" t="s">
        <v>4849</v>
      </c>
      <c r="C1934" s="8" t="s">
        <v>3114</v>
      </c>
      <c r="D1934" s="8" t="s">
        <v>4850</v>
      </c>
      <c r="E1934" s="8" t="s">
        <v>3116</v>
      </c>
      <c r="F1934" s="9" t="s">
        <v>3123</v>
      </c>
      <c r="G1934" s="10">
        <v>41448</v>
      </c>
      <c r="H1934" s="8" t="s">
        <v>528</v>
      </c>
      <c r="I1934" s="11">
        <v>50000000</v>
      </c>
      <c r="J1934" s="8" t="s">
        <v>2951</v>
      </c>
      <c r="K1934" s="8" t="s">
        <v>2952</v>
      </c>
      <c r="L1934" s="7">
        <v>1998</v>
      </c>
      <c r="M1934" s="8" t="s">
        <v>2954</v>
      </c>
      <c r="N1934" s="11">
        <v>50000000</v>
      </c>
      <c r="O1934" s="8" t="s">
        <v>2955</v>
      </c>
      <c r="P1934" s="8" t="s">
        <v>2956</v>
      </c>
      <c r="Q1934" s="8"/>
      <c r="R1934" s="8" t="s">
        <v>3357</v>
      </c>
    </row>
    <row r="1935" spans="1:18" ht="26.15" customHeight="1">
      <c r="A1935" s="7">
        <v>1929</v>
      </c>
      <c r="B1935" s="8" t="s">
        <v>644</v>
      </c>
      <c r="C1935" s="8" t="s">
        <v>3114</v>
      </c>
      <c r="D1935" s="8" t="s">
        <v>3162</v>
      </c>
      <c r="E1935" s="8" t="s">
        <v>3116</v>
      </c>
      <c r="F1935" s="9" t="s">
        <v>3117</v>
      </c>
      <c r="G1935" s="10">
        <v>41443</v>
      </c>
      <c r="H1935" s="8" t="s">
        <v>34</v>
      </c>
      <c r="I1935" s="11">
        <v>207527</v>
      </c>
      <c r="J1935" s="8" t="s">
        <v>622</v>
      </c>
      <c r="K1935" s="8" t="s">
        <v>623</v>
      </c>
      <c r="L1935" s="7">
        <v>2011</v>
      </c>
      <c r="M1935" s="8" t="s">
        <v>79</v>
      </c>
      <c r="N1935" s="11">
        <v>3574388</v>
      </c>
      <c r="O1935" s="8" t="s">
        <v>625</v>
      </c>
      <c r="P1935" s="8" t="s">
        <v>626</v>
      </c>
      <c r="Q1935" s="8"/>
      <c r="R1935" s="8" t="s">
        <v>313</v>
      </c>
    </row>
    <row r="1936" spans="1:18" ht="26.15" customHeight="1">
      <c r="A1936" s="7">
        <v>1930</v>
      </c>
      <c r="B1936" s="8" t="s">
        <v>3991</v>
      </c>
      <c r="C1936" s="8" t="s">
        <v>3114</v>
      </c>
      <c r="D1936" s="8" t="s">
        <v>3992</v>
      </c>
      <c r="E1936" s="8" t="s">
        <v>3116</v>
      </c>
      <c r="F1936" s="9" t="s">
        <v>3123</v>
      </c>
      <c r="G1936" s="10">
        <v>41443</v>
      </c>
      <c r="H1936" s="8" t="s">
        <v>34</v>
      </c>
      <c r="I1936" s="11">
        <v>207527</v>
      </c>
      <c r="J1936" s="8" t="s">
        <v>622</v>
      </c>
      <c r="K1936" s="8" t="s">
        <v>623</v>
      </c>
      <c r="L1936" s="7">
        <v>2011</v>
      </c>
      <c r="M1936" s="8" t="s">
        <v>79</v>
      </c>
      <c r="N1936" s="11">
        <v>3574388</v>
      </c>
      <c r="O1936" s="8" t="s">
        <v>625</v>
      </c>
      <c r="P1936" s="8" t="s">
        <v>626</v>
      </c>
      <c r="Q1936" s="8"/>
      <c r="R1936" s="8" t="s">
        <v>3311</v>
      </c>
    </row>
    <row r="1937" spans="1:18" ht="26.15" customHeight="1">
      <c r="A1937" s="7">
        <v>1931</v>
      </c>
      <c r="B1937" s="8" t="s">
        <v>461</v>
      </c>
      <c r="C1937" s="8" t="s">
        <v>3114</v>
      </c>
      <c r="D1937" s="8" t="s">
        <v>3413</v>
      </c>
      <c r="E1937" s="8" t="s">
        <v>3116</v>
      </c>
      <c r="F1937" s="9" t="s">
        <v>3123</v>
      </c>
      <c r="G1937" s="10">
        <v>41426</v>
      </c>
      <c r="H1937" s="8" t="s">
        <v>109</v>
      </c>
      <c r="I1937" s="11" t="s">
        <v>50</v>
      </c>
      <c r="J1937" s="8" t="s">
        <v>1265</v>
      </c>
      <c r="K1937" s="8" t="s">
        <v>1266</v>
      </c>
      <c r="L1937" s="7">
        <v>2011</v>
      </c>
      <c r="M1937" s="8" t="s">
        <v>278</v>
      </c>
      <c r="N1937" s="11">
        <v>20000000</v>
      </c>
      <c r="O1937" s="8" t="s">
        <v>1268</v>
      </c>
      <c r="P1937" s="8" t="s">
        <v>1269</v>
      </c>
      <c r="Q1937" s="8"/>
      <c r="R1937" s="8" t="s">
        <v>3148</v>
      </c>
    </row>
    <row r="1938" spans="1:18" ht="26.15" customHeight="1">
      <c r="A1938" s="7">
        <v>1932</v>
      </c>
      <c r="B1938" s="8" t="s">
        <v>4851</v>
      </c>
      <c r="C1938" s="8" t="s">
        <v>3114</v>
      </c>
      <c r="D1938" s="8" t="s">
        <v>4852</v>
      </c>
      <c r="E1938" s="8" t="s">
        <v>3116</v>
      </c>
      <c r="F1938" s="9" t="s">
        <v>3123</v>
      </c>
      <c r="G1938" s="10">
        <v>41426</v>
      </c>
      <c r="H1938" s="8" t="s">
        <v>109</v>
      </c>
      <c r="I1938" s="11">
        <v>3650000</v>
      </c>
      <c r="J1938" s="8" t="s">
        <v>2959</v>
      </c>
      <c r="K1938" s="8" t="s">
        <v>2960</v>
      </c>
      <c r="L1938" s="7">
        <v>1999</v>
      </c>
      <c r="M1938" s="8" t="s">
        <v>181</v>
      </c>
      <c r="N1938" s="11">
        <v>3650000</v>
      </c>
      <c r="O1938" s="8" t="s">
        <v>2962</v>
      </c>
      <c r="P1938" s="8" t="s">
        <v>2236</v>
      </c>
      <c r="Q1938" s="8"/>
      <c r="R1938" s="8" t="s">
        <v>4804</v>
      </c>
    </row>
    <row r="1939" spans="1:18" ht="26.15" customHeight="1">
      <c r="A1939" s="7">
        <v>1933</v>
      </c>
      <c r="B1939" s="8" t="s">
        <v>356</v>
      </c>
      <c r="C1939" s="8" t="s">
        <v>3114</v>
      </c>
      <c r="D1939" s="8" t="s">
        <v>3341</v>
      </c>
      <c r="E1939" s="8" t="s">
        <v>3116</v>
      </c>
      <c r="F1939" s="9" t="s">
        <v>3117</v>
      </c>
      <c r="G1939" s="10">
        <v>41426</v>
      </c>
      <c r="H1939" s="8" t="s">
        <v>34</v>
      </c>
      <c r="I1939" s="11" t="s">
        <v>50</v>
      </c>
      <c r="J1939" s="8" t="s">
        <v>353</v>
      </c>
      <c r="K1939" s="8" t="s">
        <v>354</v>
      </c>
      <c r="L1939" s="7">
        <v>2013</v>
      </c>
      <c r="M1939" s="8" t="s">
        <v>357</v>
      </c>
      <c r="N1939" s="11">
        <v>9700000</v>
      </c>
      <c r="O1939" s="8" t="s">
        <v>358</v>
      </c>
      <c r="P1939" s="8" t="s">
        <v>359</v>
      </c>
      <c r="Q1939" s="8"/>
      <c r="R1939" s="8" t="s">
        <v>357</v>
      </c>
    </row>
    <row r="1940" spans="1:18" ht="26.15" customHeight="1">
      <c r="A1940" s="7">
        <v>1934</v>
      </c>
      <c r="B1940" s="8" t="s">
        <v>2964</v>
      </c>
      <c r="C1940" s="8" t="s">
        <v>3114</v>
      </c>
      <c r="D1940" s="8" t="s">
        <v>4597</v>
      </c>
      <c r="E1940" s="8" t="s">
        <v>3116</v>
      </c>
      <c r="F1940" s="9" t="s">
        <v>3117</v>
      </c>
      <c r="G1940" s="10">
        <v>41426</v>
      </c>
      <c r="H1940" s="8" t="s">
        <v>109</v>
      </c>
      <c r="I1940" s="11">
        <v>10000000</v>
      </c>
      <c r="J1940" s="8" t="s">
        <v>2309</v>
      </c>
      <c r="K1940" s="8" t="s">
        <v>2310</v>
      </c>
      <c r="L1940" s="7">
        <v>2009</v>
      </c>
      <c r="M1940" s="8" t="s">
        <v>1732</v>
      </c>
      <c r="N1940" s="11">
        <v>204990000</v>
      </c>
      <c r="O1940" s="8" t="s">
        <v>2312</v>
      </c>
      <c r="P1940" s="8" t="s">
        <v>2313</v>
      </c>
      <c r="Q1940" s="8"/>
      <c r="R1940" s="8" t="s">
        <v>1732</v>
      </c>
    </row>
    <row r="1941" spans="1:18" ht="26.15" customHeight="1">
      <c r="A1941" s="7">
        <v>1935</v>
      </c>
      <c r="B1941" s="8" t="s">
        <v>3278</v>
      </c>
      <c r="C1941" s="8" t="s">
        <v>3139</v>
      </c>
      <c r="D1941" s="8" t="s">
        <v>3279</v>
      </c>
      <c r="E1941" s="8" t="s">
        <v>3116</v>
      </c>
      <c r="F1941" s="9" t="s">
        <v>3123</v>
      </c>
      <c r="G1941" s="10">
        <v>41402</v>
      </c>
      <c r="H1941" s="8" t="s">
        <v>2753</v>
      </c>
      <c r="I1941" s="11">
        <v>10000000</v>
      </c>
      <c r="J1941" s="8" t="s">
        <v>2478</v>
      </c>
      <c r="K1941" s="8" t="s">
        <v>2479</v>
      </c>
      <c r="L1941" s="7">
        <v>1963</v>
      </c>
      <c r="M1941" s="8" t="s">
        <v>2481</v>
      </c>
      <c r="N1941" s="11"/>
      <c r="O1941" s="8" t="s">
        <v>2482</v>
      </c>
      <c r="P1941" s="8" t="s">
        <v>2483</v>
      </c>
      <c r="Q1941" s="8"/>
      <c r="R1941" s="8" t="s">
        <v>3280</v>
      </c>
    </row>
    <row r="1942" spans="1:18" ht="26.15" customHeight="1">
      <c r="A1942" s="7">
        <v>1936</v>
      </c>
      <c r="B1942" s="8" t="s">
        <v>3174</v>
      </c>
      <c r="C1942" s="8" t="s">
        <v>3114</v>
      </c>
      <c r="D1942" s="8" t="s">
        <v>3175</v>
      </c>
      <c r="E1942" s="8" t="s">
        <v>3116</v>
      </c>
      <c r="F1942" s="9" t="s">
        <v>3123</v>
      </c>
      <c r="G1942" s="10">
        <v>41402</v>
      </c>
      <c r="H1942" s="8" t="s">
        <v>2753</v>
      </c>
      <c r="I1942" s="11">
        <v>10000000</v>
      </c>
      <c r="J1942" s="8" t="s">
        <v>2478</v>
      </c>
      <c r="K1942" s="8" t="s">
        <v>2479</v>
      </c>
      <c r="L1942" s="7">
        <v>1963</v>
      </c>
      <c r="M1942" s="8" t="s">
        <v>2481</v>
      </c>
      <c r="N1942" s="11"/>
      <c r="O1942" s="8" t="s">
        <v>2482</v>
      </c>
      <c r="P1942" s="8" t="s">
        <v>2483</v>
      </c>
      <c r="Q1942" s="8"/>
      <c r="R1942" s="8" t="s">
        <v>3176</v>
      </c>
    </row>
    <row r="1943" spans="1:18" ht="26.15" customHeight="1">
      <c r="A1943" s="7">
        <v>1937</v>
      </c>
      <c r="B1943" s="8" t="s">
        <v>4853</v>
      </c>
      <c r="C1943" s="8" t="s">
        <v>3139</v>
      </c>
      <c r="D1943" s="8" t="s">
        <v>4854</v>
      </c>
      <c r="E1943" s="8" t="s">
        <v>3116</v>
      </c>
      <c r="F1943" s="9" t="s">
        <v>3123</v>
      </c>
      <c r="G1943" s="10">
        <v>41400</v>
      </c>
      <c r="H1943" s="8" t="s">
        <v>528</v>
      </c>
      <c r="I1943" s="11">
        <v>10000000</v>
      </c>
      <c r="J1943" s="8" t="s">
        <v>2966</v>
      </c>
      <c r="K1943" s="8" t="s">
        <v>2967</v>
      </c>
      <c r="L1943" s="7">
        <v>1993</v>
      </c>
      <c r="M1943" s="8" t="s">
        <v>79</v>
      </c>
      <c r="N1943" s="11">
        <v>10000000</v>
      </c>
      <c r="O1943" s="8" t="s">
        <v>2969</v>
      </c>
      <c r="P1943" s="8" t="s">
        <v>2970</v>
      </c>
      <c r="Q1943" s="8"/>
      <c r="R1943" s="8" t="s">
        <v>157</v>
      </c>
    </row>
    <row r="1944" spans="1:18" ht="26.15" customHeight="1">
      <c r="A1944" s="7">
        <v>1938</v>
      </c>
      <c r="B1944" s="8" t="s">
        <v>2972</v>
      </c>
      <c r="C1944" s="8" t="s">
        <v>3139</v>
      </c>
      <c r="D1944" s="8" t="s">
        <v>4855</v>
      </c>
      <c r="E1944" s="8" t="s">
        <v>3116</v>
      </c>
      <c r="F1944" s="9" t="s">
        <v>3117</v>
      </c>
      <c r="G1944" s="10">
        <v>41383</v>
      </c>
      <c r="H1944" s="8" t="s">
        <v>34</v>
      </c>
      <c r="I1944" s="11">
        <v>537924</v>
      </c>
      <c r="J1944" s="8" t="s">
        <v>980</v>
      </c>
      <c r="K1944" s="8" t="s">
        <v>981</v>
      </c>
      <c r="L1944" s="7">
        <v>2012</v>
      </c>
      <c r="M1944" s="8" t="s">
        <v>181</v>
      </c>
      <c r="N1944" s="11">
        <v>987327</v>
      </c>
      <c r="O1944" s="8" t="s">
        <v>984</v>
      </c>
      <c r="P1944" s="8" t="s">
        <v>435</v>
      </c>
      <c r="Q1944" s="8"/>
      <c r="R1944" s="8"/>
    </row>
    <row r="1945" spans="1:18" ht="26.15" customHeight="1">
      <c r="A1945" s="7">
        <v>1939</v>
      </c>
      <c r="B1945" s="8" t="s">
        <v>3238</v>
      </c>
      <c r="C1945" s="8" t="s">
        <v>3127</v>
      </c>
      <c r="D1945" s="8"/>
      <c r="E1945" s="8" t="s">
        <v>3128</v>
      </c>
      <c r="F1945" s="9" t="s">
        <v>3123</v>
      </c>
      <c r="G1945" s="10">
        <v>41368</v>
      </c>
      <c r="H1945" s="8" t="s">
        <v>34</v>
      </c>
      <c r="I1945" s="11">
        <v>733944</v>
      </c>
      <c r="J1945" s="8" t="s">
        <v>1171</v>
      </c>
      <c r="K1945" s="8" t="s">
        <v>1172</v>
      </c>
      <c r="L1945" s="7">
        <v>2008</v>
      </c>
      <c r="M1945" s="8" t="s">
        <v>47</v>
      </c>
      <c r="N1945" s="11">
        <v>47182672</v>
      </c>
      <c r="O1945" s="8" t="s">
        <v>1175</v>
      </c>
      <c r="P1945" s="8" t="s">
        <v>1176</v>
      </c>
      <c r="Q1945" s="8"/>
      <c r="R1945" s="8"/>
    </row>
    <row r="1946" spans="1:18" ht="26.15" customHeight="1">
      <c r="A1946" s="7">
        <v>1940</v>
      </c>
      <c r="B1946" s="8" t="s">
        <v>3241</v>
      </c>
      <c r="C1946" s="8" t="s">
        <v>3127</v>
      </c>
      <c r="D1946" s="8"/>
      <c r="E1946" s="8" t="s">
        <v>3128</v>
      </c>
      <c r="F1946" s="9" t="s">
        <v>3123</v>
      </c>
      <c r="G1946" s="10">
        <v>41368</v>
      </c>
      <c r="H1946" s="8" t="s">
        <v>34</v>
      </c>
      <c r="I1946" s="11">
        <v>733944</v>
      </c>
      <c r="J1946" s="8" t="s">
        <v>1171</v>
      </c>
      <c r="K1946" s="8" t="s">
        <v>1172</v>
      </c>
      <c r="L1946" s="7">
        <v>2008</v>
      </c>
      <c r="M1946" s="8" t="s">
        <v>47</v>
      </c>
      <c r="N1946" s="11">
        <v>47182672</v>
      </c>
      <c r="O1946" s="8" t="s">
        <v>1175</v>
      </c>
      <c r="P1946" s="8" t="s">
        <v>1176</v>
      </c>
      <c r="Q1946" s="8"/>
      <c r="R1946" s="8"/>
    </row>
    <row r="1947" spans="1:18" ht="26.15" customHeight="1">
      <c r="A1947" s="7">
        <v>1941</v>
      </c>
      <c r="B1947" s="8" t="s">
        <v>484</v>
      </c>
      <c r="C1947" s="8" t="s">
        <v>3114</v>
      </c>
      <c r="D1947" s="8" t="s">
        <v>3164</v>
      </c>
      <c r="E1947" s="8" t="s">
        <v>3116</v>
      </c>
      <c r="F1947" s="9" t="s">
        <v>3117</v>
      </c>
      <c r="G1947" s="10">
        <v>41368</v>
      </c>
      <c r="H1947" s="8" t="s">
        <v>34</v>
      </c>
      <c r="I1947" s="11">
        <v>733944</v>
      </c>
      <c r="J1947" s="8" t="s">
        <v>1171</v>
      </c>
      <c r="K1947" s="8" t="s">
        <v>1172</v>
      </c>
      <c r="L1947" s="7">
        <v>2008</v>
      </c>
      <c r="M1947" s="8" t="s">
        <v>47</v>
      </c>
      <c r="N1947" s="11">
        <v>47182672</v>
      </c>
      <c r="O1947" s="8" t="s">
        <v>1175</v>
      </c>
      <c r="P1947" s="8" t="s">
        <v>1176</v>
      </c>
      <c r="Q1947" s="8"/>
      <c r="R1947" s="8" t="s">
        <v>313</v>
      </c>
    </row>
    <row r="1948" spans="1:18" ht="26.15" customHeight="1">
      <c r="A1948" s="7">
        <v>1942</v>
      </c>
      <c r="B1948" s="8" t="s">
        <v>2223</v>
      </c>
      <c r="C1948" s="8"/>
      <c r="D1948" s="8" t="s">
        <v>4428</v>
      </c>
      <c r="E1948" s="8" t="s">
        <v>3116</v>
      </c>
      <c r="F1948" s="9" t="s">
        <v>3117</v>
      </c>
      <c r="G1948" s="10">
        <v>41327</v>
      </c>
      <c r="H1948" s="8" t="s">
        <v>34</v>
      </c>
      <c r="I1948" s="11">
        <v>2510140</v>
      </c>
      <c r="J1948" s="8" t="s">
        <v>1763</v>
      </c>
      <c r="K1948" s="8" t="s">
        <v>1764</v>
      </c>
      <c r="L1948" s="7">
        <v>2006</v>
      </c>
      <c r="M1948" s="8" t="s">
        <v>47</v>
      </c>
      <c r="N1948" s="11">
        <v>9099055</v>
      </c>
      <c r="O1948" s="8" t="s">
        <v>1767</v>
      </c>
      <c r="P1948" s="8" t="s">
        <v>1768</v>
      </c>
      <c r="Q1948" s="8"/>
      <c r="R1948" s="8" t="s">
        <v>313</v>
      </c>
    </row>
    <row r="1949" spans="1:18" ht="26.15" customHeight="1">
      <c r="A1949" s="7">
        <v>1943</v>
      </c>
      <c r="B1949" s="8" t="s">
        <v>2977</v>
      </c>
      <c r="C1949" s="8" t="s">
        <v>3114</v>
      </c>
      <c r="D1949" s="8" t="s">
        <v>4856</v>
      </c>
      <c r="E1949" s="8" t="s">
        <v>3116</v>
      </c>
      <c r="F1949" s="9" t="s">
        <v>3117</v>
      </c>
      <c r="G1949" s="10">
        <v>41306</v>
      </c>
      <c r="H1949" s="8" t="s">
        <v>109</v>
      </c>
      <c r="I1949" s="11" t="s">
        <v>50</v>
      </c>
      <c r="J1949" s="8" t="s">
        <v>2974</v>
      </c>
      <c r="K1949" s="8" t="s">
        <v>2975</v>
      </c>
      <c r="L1949" s="7">
        <v>2005</v>
      </c>
      <c r="M1949" s="8" t="s">
        <v>2978</v>
      </c>
      <c r="N1949" s="11"/>
      <c r="O1949" s="8" t="s">
        <v>2979</v>
      </c>
      <c r="P1949" s="8" t="s">
        <v>435</v>
      </c>
      <c r="Q1949" s="8"/>
      <c r="R1949" s="8" t="s">
        <v>1732</v>
      </c>
    </row>
    <row r="1950" spans="1:18" ht="26.15" customHeight="1">
      <c r="A1950" s="7">
        <v>1944</v>
      </c>
      <c r="B1950" s="8" t="s">
        <v>2212</v>
      </c>
      <c r="C1950" s="8" t="s">
        <v>3139</v>
      </c>
      <c r="D1950" s="8" t="s">
        <v>4421</v>
      </c>
      <c r="E1950" s="8" t="s">
        <v>3116</v>
      </c>
      <c r="F1950" s="9" t="s">
        <v>3117</v>
      </c>
      <c r="G1950" s="10">
        <v>41305</v>
      </c>
      <c r="H1950" s="8" t="s">
        <v>34</v>
      </c>
      <c r="I1950" s="11">
        <v>523958</v>
      </c>
      <c r="J1950" s="8" t="s">
        <v>749</v>
      </c>
      <c r="K1950" s="8" t="s">
        <v>750</v>
      </c>
      <c r="L1950" s="7">
        <v>2012</v>
      </c>
      <c r="M1950" s="8" t="s">
        <v>79</v>
      </c>
      <c r="N1950" s="11">
        <v>2740519</v>
      </c>
      <c r="O1950" s="8" t="s">
        <v>751</v>
      </c>
      <c r="P1950" s="8" t="s">
        <v>752</v>
      </c>
      <c r="Q1950" s="8"/>
      <c r="R1950" s="8" t="s">
        <v>188</v>
      </c>
    </row>
    <row r="1951" spans="1:18" ht="26.15" customHeight="1">
      <c r="A1951" s="7">
        <v>1945</v>
      </c>
      <c r="B1951" s="8" t="s">
        <v>2981</v>
      </c>
      <c r="C1951" s="8" t="s">
        <v>3127</v>
      </c>
      <c r="D1951" s="8"/>
      <c r="E1951" s="8" t="s">
        <v>3128</v>
      </c>
      <c r="F1951" s="9" t="s">
        <v>3117</v>
      </c>
      <c r="G1951" s="10">
        <v>41305</v>
      </c>
      <c r="H1951" s="8" t="s">
        <v>34</v>
      </c>
      <c r="I1951" s="11">
        <v>182637</v>
      </c>
      <c r="J1951" s="8" t="s">
        <v>303</v>
      </c>
      <c r="K1951" s="8" t="s">
        <v>304</v>
      </c>
      <c r="L1951" s="7">
        <v>2011</v>
      </c>
      <c r="M1951" s="8" t="s">
        <v>79</v>
      </c>
      <c r="N1951" s="11">
        <v>19009146</v>
      </c>
      <c r="O1951" s="8" t="s">
        <v>306</v>
      </c>
      <c r="P1951" s="8" t="s">
        <v>307</v>
      </c>
      <c r="Q1951" s="8"/>
      <c r="R1951" s="8"/>
    </row>
    <row r="1952" spans="1:18" ht="26.15" customHeight="1">
      <c r="A1952" s="7">
        <v>1946</v>
      </c>
      <c r="B1952" s="8" t="s">
        <v>4857</v>
      </c>
      <c r="C1952" s="8" t="s">
        <v>3127</v>
      </c>
      <c r="D1952" s="8"/>
      <c r="E1952" s="8" t="s">
        <v>3128</v>
      </c>
      <c r="F1952" s="9" t="s">
        <v>3123</v>
      </c>
      <c r="G1952" s="10">
        <v>41305</v>
      </c>
      <c r="H1952" s="8" t="s">
        <v>34</v>
      </c>
      <c r="I1952" s="11">
        <v>182637</v>
      </c>
      <c r="J1952" s="8" t="s">
        <v>303</v>
      </c>
      <c r="K1952" s="8" t="s">
        <v>304</v>
      </c>
      <c r="L1952" s="7">
        <v>2011</v>
      </c>
      <c r="M1952" s="8" t="s">
        <v>79</v>
      </c>
      <c r="N1952" s="11">
        <v>19009146</v>
      </c>
      <c r="O1952" s="8" t="s">
        <v>306</v>
      </c>
      <c r="P1952" s="8" t="s">
        <v>307</v>
      </c>
      <c r="Q1952" s="8"/>
      <c r="R1952" s="8"/>
    </row>
    <row r="1953" spans="1:18" ht="26.15" customHeight="1">
      <c r="A1953" s="7">
        <v>1947</v>
      </c>
      <c r="B1953" s="8" t="s">
        <v>4858</v>
      </c>
      <c r="C1953" s="8" t="s">
        <v>3127</v>
      </c>
      <c r="D1953" s="8"/>
      <c r="E1953" s="8" t="s">
        <v>3128</v>
      </c>
      <c r="F1953" s="9" t="s">
        <v>3123</v>
      </c>
      <c r="G1953" s="10">
        <v>41305</v>
      </c>
      <c r="H1953" s="8" t="s">
        <v>34</v>
      </c>
      <c r="I1953" s="11">
        <v>182637</v>
      </c>
      <c r="J1953" s="8" t="s">
        <v>303</v>
      </c>
      <c r="K1953" s="8" t="s">
        <v>304</v>
      </c>
      <c r="L1953" s="7">
        <v>2011</v>
      </c>
      <c r="M1953" s="8" t="s">
        <v>79</v>
      </c>
      <c r="N1953" s="11">
        <v>19009146</v>
      </c>
      <c r="O1953" s="8" t="s">
        <v>306</v>
      </c>
      <c r="P1953" s="8" t="s">
        <v>307</v>
      </c>
      <c r="Q1953" s="8"/>
      <c r="R1953" s="8"/>
    </row>
    <row r="1954" spans="1:18" ht="26.15" customHeight="1">
      <c r="A1954" s="7">
        <v>1948</v>
      </c>
      <c r="B1954" s="8" t="s">
        <v>4859</v>
      </c>
      <c r="C1954" s="8" t="s">
        <v>3127</v>
      </c>
      <c r="D1954" s="8"/>
      <c r="E1954" s="8" t="s">
        <v>3128</v>
      </c>
      <c r="F1954" s="9" t="s">
        <v>3123</v>
      </c>
      <c r="G1954" s="10">
        <v>41305</v>
      </c>
      <c r="H1954" s="8" t="s">
        <v>34</v>
      </c>
      <c r="I1954" s="11">
        <v>182637</v>
      </c>
      <c r="J1954" s="8" t="s">
        <v>303</v>
      </c>
      <c r="K1954" s="8" t="s">
        <v>304</v>
      </c>
      <c r="L1954" s="7">
        <v>2011</v>
      </c>
      <c r="M1954" s="8" t="s">
        <v>79</v>
      </c>
      <c r="N1954" s="11">
        <v>19009146</v>
      </c>
      <c r="O1954" s="8" t="s">
        <v>306</v>
      </c>
      <c r="P1954" s="8" t="s">
        <v>307</v>
      </c>
      <c r="Q1954" s="8"/>
      <c r="R1954" s="8"/>
    </row>
    <row r="1955" spans="1:18" ht="26.15" customHeight="1">
      <c r="A1955" s="7">
        <v>1949</v>
      </c>
      <c r="B1955" s="8" t="s">
        <v>4860</v>
      </c>
      <c r="C1955" s="8" t="s">
        <v>3127</v>
      </c>
      <c r="D1955" s="8"/>
      <c r="E1955" s="8" t="s">
        <v>3128</v>
      </c>
      <c r="F1955" s="9" t="s">
        <v>3123</v>
      </c>
      <c r="G1955" s="10">
        <v>41305</v>
      </c>
      <c r="H1955" s="8" t="s">
        <v>34</v>
      </c>
      <c r="I1955" s="11">
        <v>182637</v>
      </c>
      <c r="J1955" s="8" t="s">
        <v>303</v>
      </c>
      <c r="K1955" s="8" t="s">
        <v>304</v>
      </c>
      <c r="L1955" s="7">
        <v>2011</v>
      </c>
      <c r="M1955" s="8" t="s">
        <v>79</v>
      </c>
      <c r="N1955" s="11">
        <v>19009146</v>
      </c>
      <c r="O1955" s="8" t="s">
        <v>306</v>
      </c>
      <c r="P1955" s="8" t="s">
        <v>307</v>
      </c>
      <c r="Q1955" s="8"/>
      <c r="R1955" s="8"/>
    </row>
    <row r="1956" spans="1:18" ht="26.15" customHeight="1">
      <c r="A1956" s="7">
        <v>1950</v>
      </c>
      <c r="B1956" s="8" t="s">
        <v>4861</v>
      </c>
      <c r="C1956" s="8" t="s">
        <v>3127</v>
      </c>
      <c r="D1956" s="8"/>
      <c r="E1956" s="8" t="s">
        <v>3128</v>
      </c>
      <c r="F1956" s="9" t="s">
        <v>3123</v>
      </c>
      <c r="G1956" s="10">
        <v>41305</v>
      </c>
      <c r="H1956" s="8" t="s">
        <v>34</v>
      </c>
      <c r="I1956" s="11">
        <v>182637</v>
      </c>
      <c r="J1956" s="8" t="s">
        <v>303</v>
      </c>
      <c r="K1956" s="8" t="s">
        <v>304</v>
      </c>
      <c r="L1956" s="7">
        <v>2011</v>
      </c>
      <c r="M1956" s="8" t="s">
        <v>79</v>
      </c>
      <c r="N1956" s="11">
        <v>19009146</v>
      </c>
      <c r="O1956" s="8" t="s">
        <v>306</v>
      </c>
      <c r="P1956" s="8" t="s">
        <v>307</v>
      </c>
      <c r="Q1956" s="8"/>
      <c r="R1956" s="8"/>
    </row>
    <row r="1957" spans="1:18" ht="26.15" customHeight="1">
      <c r="A1957" s="7">
        <v>1951</v>
      </c>
      <c r="B1957" s="8" t="s">
        <v>4862</v>
      </c>
      <c r="C1957" s="8" t="s">
        <v>3127</v>
      </c>
      <c r="D1957" s="8"/>
      <c r="E1957" s="8" t="s">
        <v>3128</v>
      </c>
      <c r="F1957" s="9" t="s">
        <v>3123</v>
      </c>
      <c r="G1957" s="10">
        <v>41305</v>
      </c>
      <c r="H1957" s="8" t="s">
        <v>34</v>
      </c>
      <c r="I1957" s="11">
        <v>182637</v>
      </c>
      <c r="J1957" s="8" t="s">
        <v>303</v>
      </c>
      <c r="K1957" s="8" t="s">
        <v>304</v>
      </c>
      <c r="L1957" s="7">
        <v>2011</v>
      </c>
      <c r="M1957" s="8" t="s">
        <v>79</v>
      </c>
      <c r="N1957" s="11">
        <v>19009146</v>
      </c>
      <c r="O1957" s="8" t="s">
        <v>306</v>
      </c>
      <c r="P1957" s="8" t="s">
        <v>307</v>
      </c>
      <c r="Q1957" s="8"/>
      <c r="R1957" s="8"/>
    </row>
    <row r="1958" spans="1:18" ht="26.15" customHeight="1">
      <c r="A1958" s="7">
        <v>1952</v>
      </c>
      <c r="B1958" s="8" t="s">
        <v>4863</v>
      </c>
      <c r="C1958" s="8" t="s">
        <v>3127</v>
      </c>
      <c r="D1958" s="8"/>
      <c r="E1958" s="8" t="s">
        <v>3128</v>
      </c>
      <c r="F1958" s="9" t="s">
        <v>3123</v>
      </c>
      <c r="G1958" s="10">
        <v>41305</v>
      </c>
      <c r="H1958" s="8" t="s">
        <v>34</v>
      </c>
      <c r="I1958" s="11">
        <v>182637</v>
      </c>
      <c r="J1958" s="8" t="s">
        <v>303</v>
      </c>
      <c r="K1958" s="8" t="s">
        <v>304</v>
      </c>
      <c r="L1958" s="7">
        <v>2011</v>
      </c>
      <c r="M1958" s="8" t="s">
        <v>79</v>
      </c>
      <c r="N1958" s="11">
        <v>19009146</v>
      </c>
      <c r="O1958" s="8" t="s">
        <v>306</v>
      </c>
      <c r="P1958" s="8" t="s">
        <v>307</v>
      </c>
      <c r="Q1958" s="8"/>
      <c r="R1958" s="8"/>
    </row>
    <row r="1959" spans="1:18" ht="26.15" customHeight="1">
      <c r="A1959" s="7">
        <v>1953</v>
      </c>
      <c r="B1959" s="8" t="s">
        <v>4864</v>
      </c>
      <c r="C1959" s="8" t="s">
        <v>3127</v>
      </c>
      <c r="D1959" s="8"/>
      <c r="E1959" s="8" t="s">
        <v>3128</v>
      </c>
      <c r="F1959" s="9" t="s">
        <v>3123</v>
      </c>
      <c r="G1959" s="10">
        <v>41305</v>
      </c>
      <c r="H1959" s="8" t="s">
        <v>34</v>
      </c>
      <c r="I1959" s="11">
        <v>182637</v>
      </c>
      <c r="J1959" s="8" t="s">
        <v>303</v>
      </c>
      <c r="K1959" s="8" t="s">
        <v>304</v>
      </c>
      <c r="L1959" s="7">
        <v>2011</v>
      </c>
      <c r="M1959" s="8" t="s">
        <v>79</v>
      </c>
      <c r="N1959" s="11">
        <v>19009146</v>
      </c>
      <c r="O1959" s="8" t="s">
        <v>306</v>
      </c>
      <c r="P1959" s="8" t="s">
        <v>307</v>
      </c>
      <c r="Q1959" s="8"/>
      <c r="R1959" s="8"/>
    </row>
    <row r="1960" spans="1:18" ht="26.15" customHeight="1">
      <c r="A1960" s="7">
        <v>1954</v>
      </c>
      <c r="B1960" s="8" t="s">
        <v>4865</v>
      </c>
      <c r="C1960" s="8" t="s">
        <v>3127</v>
      </c>
      <c r="D1960" s="8"/>
      <c r="E1960" s="8" t="s">
        <v>3128</v>
      </c>
      <c r="F1960" s="9" t="s">
        <v>3123</v>
      </c>
      <c r="G1960" s="10">
        <v>41305</v>
      </c>
      <c r="H1960" s="8" t="s">
        <v>34</v>
      </c>
      <c r="I1960" s="11">
        <v>182637</v>
      </c>
      <c r="J1960" s="8" t="s">
        <v>303</v>
      </c>
      <c r="K1960" s="8" t="s">
        <v>304</v>
      </c>
      <c r="L1960" s="7">
        <v>2011</v>
      </c>
      <c r="M1960" s="8" t="s">
        <v>79</v>
      </c>
      <c r="N1960" s="11">
        <v>19009146</v>
      </c>
      <c r="O1960" s="8" t="s">
        <v>306</v>
      </c>
      <c r="P1960" s="8" t="s">
        <v>307</v>
      </c>
      <c r="Q1960" s="8"/>
      <c r="R1960" s="8"/>
    </row>
    <row r="1961" spans="1:18" ht="26.15" customHeight="1">
      <c r="A1961" s="7">
        <v>1955</v>
      </c>
      <c r="B1961" s="8" t="s">
        <v>4866</v>
      </c>
      <c r="C1961" s="8" t="s">
        <v>3127</v>
      </c>
      <c r="D1961" s="8"/>
      <c r="E1961" s="8" t="s">
        <v>3128</v>
      </c>
      <c r="F1961" s="9" t="s">
        <v>3123</v>
      </c>
      <c r="G1961" s="10">
        <v>41305</v>
      </c>
      <c r="H1961" s="8" t="s">
        <v>34</v>
      </c>
      <c r="I1961" s="11">
        <v>182637</v>
      </c>
      <c r="J1961" s="8" t="s">
        <v>303</v>
      </c>
      <c r="K1961" s="8" t="s">
        <v>304</v>
      </c>
      <c r="L1961" s="7">
        <v>2011</v>
      </c>
      <c r="M1961" s="8" t="s">
        <v>79</v>
      </c>
      <c r="N1961" s="11">
        <v>19009146</v>
      </c>
      <c r="O1961" s="8" t="s">
        <v>306</v>
      </c>
      <c r="P1961" s="8" t="s">
        <v>307</v>
      </c>
      <c r="Q1961" s="8"/>
      <c r="R1961" s="8"/>
    </row>
    <row r="1962" spans="1:18" ht="26.15" customHeight="1">
      <c r="A1962" s="7">
        <v>1956</v>
      </c>
      <c r="B1962" s="8" t="s">
        <v>4867</v>
      </c>
      <c r="C1962" s="8" t="s">
        <v>3127</v>
      </c>
      <c r="D1962" s="8"/>
      <c r="E1962" s="8" t="s">
        <v>3128</v>
      </c>
      <c r="F1962" s="9" t="s">
        <v>3123</v>
      </c>
      <c r="G1962" s="10">
        <v>41305</v>
      </c>
      <c r="H1962" s="8" t="s">
        <v>34</v>
      </c>
      <c r="I1962" s="11">
        <v>182637</v>
      </c>
      <c r="J1962" s="8" t="s">
        <v>303</v>
      </c>
      <c r="K1962" s="8" t="s">
        <v>304</v>
      </c>
      <c r="L1962" s="7">
        <v>2011</v>
      </c>
      <c r="M1962" s="8" t="s">
        <v>79</v>
      </c>
      <c r="N1962" s="11">
        <v>19009146</v>
      </c>
      <c r="O1962" s="8" t="s">
        <v>306</v>
      </c>
      <c r="P1962" s="8" t="s">
        <v>307</v>
      </c>
      <c r="Q1962" s="8"/>
      <c r="R1962" s="8"/>
    </row>
    <row r="1963" spans="1:18" ht="26.15" customHeight="1">
      <c r="A1963" s="7">
        <v>1957</v>
      </c>
      <c r="B1963" s="8" t="s">
        <v>4868</v>
      </c>
      <c r="C1963" s="8" t="s">
        <v>3127</v>
      </c>
      <c r="D1963" s="8"/>
      <c r="E1963" s="8" t="s">
        <v>3128</v>
      </c>
      <c r="F1963" s="9" t="s">
        <v>3123</v>
      </c>
      <c r="G1963" s="10">
        <v>41305</v>
      </c>
      <c r="H1963" s="8" t="s">
        <v>34</v>
      </c>
      <c r="I1963" s="11">
        <v>182637</v>
      </c>
      <c r="J1963" s="8" t="s">
        <v>303</v>
      </c>
      <c r="K1963" s="8" t="s">
        <v>304</v>
      </c>
      <c r="L1963" s="7">
        <v>2011</v>
      </c>
      <c r="M1963" s="8" t="s">
        <v>79</v>
      </c>
      <c r="N1963" s="11">
        <v>19009146</v>
      </c>
      <c r="O1963" s="8" t="s">
        <v>306</v>
      </c>
      <c r="P1963" s="8" t="s">
        <v>307</v>
      </c>
      <c r="Q1963" s="8"/>
      <c r="R1963" s="8"/>
    </row>
    <row r="1964" spans="1:18" ht="26.15" customHeight="1">
      <c r="A1964" s="7">
        <v>1958</v>
      </c>
      <c r="B1964" s="8" t="s">
        <v>4869</v>
      </c>
      <c r="C1964" s="8" t="s">
        <v>3127</v>
      </c>
      <c r="D1964" s="8"/>
      <c r="E1964" s="8" t="s">
        <v>3128</v>
      </c>
      <c r="F1964" s="9" t="s">
        <v>3123</v>
      </c>
      <c r="G1964" s="10">
        <v>41305</v>
      </c>
      <c r="H1964" s="8" t="s">
        <v>34</v>
      </c>
      <c r="I1964" s="11">
        <v>182637</v>
      </c>
      <c r="J1964" s="8" t="s">
        <v>303</v>
      </c>
      <c r="K1964" s="8" t="s">
        <v>304</v>
      </c>
      <c r="L1964" s="7">
        <v>2011</v>
      </c>
      <c r="M1964" s="8" t="s">
        <v>79</v>
      </c>
      <c r="N1964" s="11">
        <v>19009146</v>
      </c>
      <c r="O1964" s="8" t="s">
        <v>306</v>
      </c>
      <c r="P1964" s="8" t="s">
        <v>307</v>
      </c>
      <c r="Q1964" s="8"/>
      <c r="R1964" s="8"/>
    </row>
    <row r="1965" spans="1:18" ht="26.15" customHeight="1">
      <c r="A1965" s="7">
        <v>1959</v>
      </c>
      <c r="B1965" s="8" t="s">
        <v>644</v>
      </c>
      <c r="C1965" s="8" t="s">
        <v>3114</v>
      </c>
      <c r="D1965" s="8" t="s">
        <v>3162</v>
      </c>
      <c r="E1965" s="8" t="s">
        <v>3116</v>
      </c>
      <c r="F1965" s="9" t="s">
        <v>3123</v>
      </c>
      <c r="G1965" s="10">
        <v>41305</v>
      </c>
      <c r="H1965" s="8" t="s">
        <v>34</v>
      </c>
      <c r="I1965" s="11">
        <v>182637</v>
      </c>
      <c r="J1965" s="8" t="s">
        <v>303</v>
      </c>
      <c r="K1965" s="8" t="s">
        <v>304</v>
      </c>
      <c r="L1965" s="7">
        <v>2011</v>
      </c>
      <c r="M1965" s="8" t="s">
        <v>79</v>
      </c>
      <c r="N1965" s="11">
        <v>19009146</v>
      </c>
      <c r="O1965" s="8" t="s">
        <v>306</v>
      </c>
      <c r="P1965" s="8" t="s">
        <v>307</v>
      </c>
      <c r="Q1965" s="8"/>
      <c r="R1965" s="8" t="s">
        <v>313</v>
      </c>
    </row>
    <row r="1966" spans="1:18" ht="26.15" customHeight="1">
      <c r="A1966" s="7">
        <v>1960</v>
      </c>
      <c r="B1966" s="8" t="s">
        <v>2983</v>
      </c>
      <c r="C1966" s="8" t="s">
        <v>3114</v>
      </c>
      <c r="D1966" s="8" t="s">
        <v>4870</v>
      </c>
      <c r="E1966" s="8" t="s">
        <v>3116</v>
      </c>
      <c r="F1966" s="9" t="s">
        <v>3117</v>
      </c>
      <c r="G1966" s="10">
        <v>41298</v>
      </c>
      <c r="H1966" s="8" t="s">
        <v>34</v>
      </c>
      <c r="I1966" s="11" t="s">
        <v>50</v>
      </c>
      <c r="J1966" s="8" t="s">
        <v>749</v>
      </c>
      <c r="K1966" s="8" t="s">
        <v>750</v>
      </c>
      <c r="L1966" s="7">
        <v>2012</v>
      </c>
      <c r="M1966" s="8" t="s">
        <v>79</v>
      </c>
      <c r="N1966" s="11">
        <v>2740519</v>
      </c>
      <c r="O1966" s="8" t="s">
        <v>751</v>
      </c>
      <c r="P1966" s="8" t="s">
        <v>752</v>
      </c>
      <c r="Q1966" s="8"/>
      <c r="R1966" s="8" t="s">
        <v>79</v>
      </c>
    </row>
    <row r="1967" spans="1:18" ht="26.15" customHeight="1">
      <c r="A1967" s="7">
        <v>1961</v>
      </c>
      <c r="B1967" s="8" t="s">
        <v>4709</v>
      </c>
      <c r="C1967" s="8" t="s">
        <v>3114</v>
      </c>
      <c r="D1967" s="8" t="s">
        <v>4710</v>
      </c>
      <c r="E1967" s="8" t="s">
        <v>3116</v>
      </c>
      <c r="F1967" s="9" t="s">
        <v>3123</v>
      </c>
      <c r="G1967" s="10">
        <v>41254</v>
      </c>
      <c r="H1967" s="8" t="s">
        <v>25</v>
      </c>
      <c r="I1967" s="11">
        <v>8000000</v>
      </c>
      <c r="J1967" s="8" t="s">
        <v>2630</v>
      </c>
      <c r="K1967" s="8" t="s">
        <v>2631</v>
      </c>
      <c r="L1967" s="7">
        <v>2009</v>
      </c>
      <c r="M1967" s="8" t="s">
        <v>369</v>
      </c>
      <c r="N1967" s="11">
        <v>26000000</v>
      </c>
      <c r="O1967" s="8" t="s">
        <v>2634</v>
      </c>
      <c r="P1967" s="8" t="s">
        <v>2635</v>
      </c>
      <c r="Q1967" s="8"/>
      <c r="R1967" s="8" t="s">
        <v>4711</v>
      </c>
    </row>
    <row r="1968" spans="1:18" ht="26.15" customHeight="1">
      <c r="A1968" s="7">
        <v>1962</v>
      </c>
      <c r="B1968" s="8" t="s">
        <v>4871</v>
      </c>
      <c r="C1968" s="8" t="s">
        <v>3114</v>
      </c>
      <c r="D1968" s="8" t="s">
        <v>4872</v>
      </c>
      <c r="E1968" s="8" t="s">
        <v>3116</v>
      </c>
      <c r="F1968" s="9" t="s">
        <v>3123</v>
      </c>
      <c r="G1968" s="10">
        <v>41254</v>
      </c>
      <c r="H1968" s="8" t="s">
        <v>25</v>
      </c>
      <c r="I1968" s="11">
        <v>8000000</v>
      </c>
      <c r="J1968" s="8" t="s">
        <v>2630</v>
      </c>
      <c r="K1968" s="8" t="s">
        <v>2631</v>
      </c>
      <c r="L1968" s="7">
        <v>2009</v>
      </c>
      <c r="M1968" s="8" t="s">
        <v>369</v>
      </c>
      <c r="N1968" s="11">
        <v>26000000</v>
      </c>
      <c r="O1968" s="8" t="s">
        <v>2634</v>
      </c>
      <c r="P1968" s="8" t="s">
        <v>2635</v>
      </c>
      <c r="Q1968" s="8"/>
      <c r="R1968" s="8" t="s">
        <v>3138</v>
      </c>
    </row>
    <row r="1969" spans="1:18" ht="26.15" customHeight="1">
      <c r="A1969" s="7">
        <v>1963</v>
      </c>
      <c r="B1969" s="8" t="s">
        <v>4712</v>
      </c>
      <c r="C1969" s="8" t="s">
        <v>3114</v>
      </c>
      <c r="D1969" s="8" t="s">
        <v>4713</v>
      </c>
      <c r="E1969" s="8" t="s">
        <v>3116</v>
      </c>
      <c r="F1969" s="9" t="s">
        <v>3123</v>
      </c>
      <c r="G1969" s="10">
        <v>41254</v>
      </c>
      <c r="H1969" s="8" t="s">
        <v>25</v>
      </c>
      <c r="I1969" s="11">
        <v>8000000</v>
      </c>
      <c r="J1969" s="8" t="s">
        <v>2630</v>
      </c>
      <c r="K1969" s="8" t="s">
        <v>2631</v>
      </c>
      <c r="L1969" s="7">
        <v>2009</v>
      </c>
      <c r="M1969" s="8" t="s">
        <v>369</v>
      </c>
      <c r="N1969" s="11">
        <v>26000000</v>
      </c>
      <c r="O1969" s="8" t="s">
        <v>2634</v>
      </c>
      <c r="P1969" s="8" t="s">
        <v>2635</v>
      </c>
      <c r="Q1969" s="8"/>
      <c r="R1969" s="8" t="s">
        <v>3138</v>
      </c>
    </row>
    <row r="1970" spans="1:18" ht="26.15" customHeight="1">
      <c r="A1970" s="7">
        <v>1964</v>
      </c>
      <c r="B1970" s="8" t="s">
        <v>3689</v>
      </c>
      <c r="C1970" s="8" t="s">
        <v>3114</v>
      </c>
      <c r="D1970" s="8" t="s">
        <v>3690</v>
      </c>
      <c r="E1970" s="8" t="s">
        <v>3116</v>
      </c>
      <c r="F1970" s="9" t="s">
        <v>3123</v>
      </c>
      <c r="G1970" s="10">
        <v>41221</v>
      </c>
      <c r="H1970" s="8" t="s">
        <v>34</v>
      </c>
      <c r="I1970" s="11">
        <v>40000</v>
      </c>
      <c r="J1970" s="8" t="s">
        <v>2985</v>
      </c>
      <c r="K1970" s="8" t="s">
        <v>2986</v>
      </c>
      <c r="L1970" s="7">
        <v>2012</v>
      </c>
      <c r="M1970" s="8" t="s">
        <v>299</v>
      </c>
      <c r="N1970" s="11">
        <v>40000</v>
      </c>
      <c r="O1970" s="8" t="s">
        <v>2987</v>
      </c>
      <c r="P1970" s="8" t="s">
        <v>2988</v>
      </c>
      <c r="Q1970" s="8"/>
      <c r="R1970" s="8" t="s">
        <v>299</v>
      </c>
    </row>
    <row r="1971" spans="1:18" ht="26.15" customHeight="1">
      <c r="A1971" s="7">
        <v>1965</v>
      </c>
      <c r="B1971" s="8" t="s">
        <v>644</v>
      </c>
      <c r="C1971" s="8" t="s">
        <v>3114</v>
      </c>
      <c r="D1971" s="8" t="s">
        <v>3162</v>
      </c>
      <c r="E1971" s="8" t="s">
        <v>3116</v>
      </c>
      <c r="F1971" s="9" t="s">
        <v>3117</v>
      </c>
      <c r="G1971" s="10">
        <v>41185</v>
      </c>
      <c r="H1971" s="8" t="s">
        <v>34</v>
      </c>
      <c r="I1971" s="11">
        <v>955935</v>
      </c>
      <c r="J1971" s="8" t="s">
        <v>2786</v>
      </c>
      <c r="K1971" s="8" t="s">
        <v>2787</v>
      </c>
      <c r="L1971" s="7">
        <v>2010</v>
      </c>
      <c r="M1971" s="8" t="s">
        <v>79</v>
      </c>
      <c r="N1971" s="11">
        <v>1740510</v>
      </c>
      <c r="O1971" s="8" t="s">
        <v>2788</v>
      </c>
      <c r="P1971" s="8" t="s">
        <v>2789</v>
      </c>
      <c r="Q1971" s="8"/>
      <c r="R1971" s="8" t="s">
        <v>313</v>
      </c>
    </row>
    <row r="1972" spans="1:18" ht="26.15" customHeight="1">
      <c r="A1972" s="7">
        <v>1966</v>
      </c>
      <c r="B1972" s="8" t="s">
        <v>4794</v>
      </c>
      <c r="C1972" s="8" t="s">
        <v>3139</v>
      </c>
      <c r="D1972" s="8" t="s">
        <v>4795</v>
      </c>
      <c r="E1972" s="8" t="s">
        <v>3116</v>
      </c>
      <c r="F1972" s="9" t="s">
        <v>3123</v>
      </c>
      <c r="G1972" s="10">
        <v>41183</v>
      </c>
      <c r="H1972" s="8" t="s">
        <v>184</v>
      </c>
      <c r="I1972" s="11">
        <v>655500</v>
      </c>
      <c r="J1972" s="8" t="s">
        <v>2651</v>
      </c>
      <c r="K1972" s="8" t="s">
        <v>2652</v>
      </c>
      <c r="L1972" s="7">
        <v>2010</v>
      </c>
      <c r="M1972" s="8" t="s">
        <v>79</v>
      </c>
      <c r="N1972" s="11">
        <v>8883505</v>
      </c>
      <c r="O1972" s="8" t="s">
        <v>2656</v>
      </c>
      <c r="P1972" s="8" t="s">
        <v>2657</v>
      </c>
      <c r="Q1972" s="8"/>
      <c r="R1972" s="8" t="s">
        <v>56</v>
      </c>
    </row>
    <row r="1973" spans="1:18" ht="26.15" customHeight="1">
      <c r="A1973" s="7">
        <v>1967</v>
      </c>
      <c r="B1973" s="8" t="s">
        <v>773</v>
      </c>
      <c r="C1973" s="8" t="s">
        <v>3114</v>
      </c>
      <c r="D1973" s="8" t="s">
        <v>3557</v>
      </c>
      <c r="E1973" s="8" t="s">
        <v>3116</v>
      </c>
      <c r="F1973" s="9" t="s">
        <v>3123</v>
      </c>
      <c r="G1973" s="10">
        <v>41157</v>
      </c>
      <c r="H1973" s="8" t="s">
        <v>170</v>
      </c>
      <c r="I1973" s="11">
        <v>72000000</v>
      </c>
      <c r="J1973" s="8" t="s">
        <v>2478</v>
      </c>
      <c r="K1973" s="8" t="s">
        <v>2479</v>
      </c>
      <c r="L1973" s="7">
        <v>1963</v>
      </c>
      <c r="M1973" s="8" t="s">
        <v>2481</v>
      </c>
      <c r="N1973" s="11"/>
      <c r="O1973" s="8" t="s">
        <v>2482</v>
      </c>
      <c r="P1973" s="8" t="s">
        <v>2483</v>
      </c>
      <c r="Q1973" s="8"/>
      <c r="R1973" s="8" t="s">
        <v>3425</v>
      </c>
    </row>
    <row r="1974" spans="1:18" ht="26.15" customHeight="1">
      <c r="A1974" s="7">
        <v>1968</v>
      </c>
      <c r="B1974" s="8" t="s">
        <v>4873</v>
      </c>
      <c r="C1974" s="8" t="s">
        <v>3139</v>
      </c>
      <c r="D1974" s="8" t="s">
        <v>4874</v>
      </c>
      <c r="E1974" s="8" t="s">
        <v>3116</v>
      </c>
      <c r="F1974" s="9" t="s">
        <v>3123</v>
      </c>
      <c r="G1974" s="10">
        <v>41157</v>
      </c>
      <c r="H1974" s="8" t="s">
        <v>170</v>
      </c>
      <c r="I1974" s="11">
        <v>72000000</v>
      </c>
      <c r="J1974" s="8" t="s">
        <v>2478</v>
      </c>
      <c r="K1974" s="8" t="s">
        <v>2479</v>
      </c>
      <c r="L1974" s="7">
        <v>1963</v>
      </c>
      <c r="M1974" s="8" t="s">
        <v>2481</v>
      </c>
      <c r="N1974" s="11"/>
      <c r="O1974" s="8" t="s">
        <v>2482</v>
      </c>
      <c r="P1974" s="8" t="s">
        <v>2483</v>
      </c>
      <c r="Q1974" s="8"/>
      <c r="R1974" s="8" t="s">
        <v>3145</v>
      </c>
    </row>
    <row r="1975" spans="1:18" ht="26.15" customHeight="1">
      <c r="A1975" s="7">
        <v>1969</v>
      </c>
      <c r="B1975" s="8" t="s">
        <v>2992</v>
      </c>
      <c r="C1975" s="8" t="s">
        <v>3114</v>
      </c>
      <c r="D1975" s="8" t="s">
        <v>4303</v>
      </c>
      <c r="E1975" s="8" t="s">
        <v>3116</v>
      </c>
      <c r="F1975" s="9" t="s">
        <v>3117</v>
      </c>
      <c r="G1975" s="10">
        <v>41093</v>
      </c>
      <c r="H1975" s="8" t="s">
        <v>109</v>
      </c>
      <c r="I1975" s="11">
        <v>3596200</v>
      </c>
      <c r="J1975" s="8" t="s">
        <v>1115</v>
      </c>
      <c r="K1975" s="8" t="s">
        <v>1116</v>
      </c>
      <c r="L1975" s="7">
        <v>2009</v>
      </c>
      <c r="M1975" s="8" t="s">
        <v>313</v>
      </c>
      <c r="N1975" s="11">
        <v>14634837</v>
      </c>
      <c r="O1975" s="8" t="s">
        <v>1118</v>
      </c>
      <c r="P1975" s="8" t="s">
        <v>1119</v>
      </c>
      <c r="Q1975" s="8"/>
      <c r="R1975" s="8" t="s">
        <v>313</v>
      </c>
    </row>
    <row r="1976" spans="1:18" ht="26.15" customHeight="1">
      <c r="A1976" s="7">
        <v>1970</v>
      </c>
      <c r="B1976" s="8" t="s">
        <v>180</v>
      </c>
      <c r="C1976" s="8" t="s">
        <v>3114</v>
      </c>
      <c r="D1976" s="8" t="s">
        <v>3172</v>
      </c>
      <c r="E1976" s="8" t="s">
        <v>3116</v>
      </c>
      <c r="F1976" s="9" t="s">
        <v>3123</v>
      </c>
      <c r="G1976" s="10">
        <v>41065</v>
      </c>
      <c r="H1976" s="8" t="s">
        <v>109</v>
      </c>
      <c r="I1976" s="11">
        <v>1500000</v>
      </c>
      <c r="J1976" s="8" t="s">
        <v>2993</v>
      </c>
      <c r="K1976" s="8" t="s">
        <v>2994</v>
      </c>
      <c r="L1976" s="7">
        <v>1999</v>
      </c>
      <c r="M1976" s="8" t="s">
        <v>39</v>
      </c>
      <c r="N1976" s="11">
        <v>1500000</v>
      </c>
      <c r="O1976" s="8" t="s">
        <v>2995</v>
      </c>
      <c r="P1976" s="8" t="s">
        <v>2996</v>
      </c>
      <c r="Q1976" s="8"/>
      <c r="R1976" s="8" t="s">
        <v>3145</v>
      </c>
    </row>
    <row r="1977" spans="1:18" ht="26.15" customHeight="1">
      <c r="A1977" s="7">
        <v>1971</v>
      </c>
      <c r="B1977" s="8" t="s">
        <v>4794</v>
      </c>
      <c r="C1977" s="8" t="s">
        <v>3139</v>
      </c>
      <c r="D1977" s="8" t="s">
        <v>4795</v>
      </c>
      <c r="E1977" s="8" t="s">
        <v>3116</v>
      </c>
      <c r="F1977" s="9" t="s">
        <v>3123</v>
      </c>
      <c r="G1977" s="10">
        <v>41061</v>
      </c>
      <c r="H1977" s="8" t="s">
        <v>184</v>
      </c>
      <c r="I1977" s="11" t="s">
        <v>50</v>
      </c>
      <c r="J1977" s="8" t="s">
        <v>2997</v>
      </c>
      <c r="K1977" s="8" t="s">
        <v>2998</v>
      </c>
      <c r="L1977" s="7">
        <v>2000</v>
      </c>
      <c r="M1977" s="8" t="s">
        <v>79</v>
      </c>
      <c r="N1977" s="11">
        <v>8729360</v>
      </c>
      <c r="O1977" s="8" t="s">
        <v>2999</v>
      </c>
      <c r="P1977" s="8" t="s">
        <v>3000</v>
      </c>
      <c r="Q1977" s="8"/>
      <c r="R1977" s="8" t="s">
        <v>56</v>
      </c>
    </row>
    <row r="1978" spans="1:18" ht="26.15" customHeight="1">
      <c r="A1978" s="7">
        <v>1972</v>
      </c>
      <c r="B1978" s="8" t="s">
        <v>3002</v>
      </c>
      <c r="C1978" s="8" t="s">
        <v>3127</v>
      </c>
      <c r="D1978" s="8"/>
      <c r="E1978" s="8" t="s">
        <v>3128</v>
      </c>
      <c r="F1978" s="9" t="s">
        <v>3117</v>
      </c>
      <c r="G1978" s="10">
        <v>40990</v>
      </c>
      <c r="H1978" s="8" t="s">
        <v>124</v>
      </c>
      <c r="I1978" s="11">
        <v>251445</v>
      </c>
      <c r="J1978" s="8" t="s">
        <v>2651</v>
      </c>
      <c r="K1978" s="8" t="s">
        <v>2652</v>
      </c>
      <c r="L1978" s="7">
        <v>2010</v>
      </c>
      <c r="M1978" s="8" t="s">
        <v>79</v>
      </c>
      <c r="N1978" s="11">
        <v>8883505</v>
      </c>
      <c r="O1978" s="8" t="s">
        <v>2656</v>
      </c>
      <c r="P1978" s="8" t="s">
        <v>2657</v>
      </c>
      <c r="Q1978" s="8"/>
      <c r="R1978" s="8"/>
    </row>
    <row r="1979" spans="1:18" ht="26.15" customHeight="1">
      <c r="A1979" s="7">
        <v>1973</v>
      </c>
      <c r="B1979" s="8" t="s">
        <v>4875</v>
      </c>
      <c r="C1979" s="8" t="s">
        <v>3127</v>
      </c>
      <c r="D1979" s="8"/>
      <c r="E1979" s="8" t="s">
        <v>3128</v>
      </c>
      <c r="F1979" s="9" t="s">
        <v>3123</v>
      </c>
      <c r="G1979" s="10">
        <v>40990</v>
      </c>
      <c r="H1979" s="8" t="s">
        <v>124</v>
      </c>
      <c r="I1979" s="11">
        <v>251445</v>
      </c>
      <c r="J1979" s="8" t="s">
        <v>2651</v>
      </c>
      <c r="K1979" s="8" t="s">
        <v>2652</v>
      </c>
      <c r="L1979" s="7">
        <v>2010</v>
      </c>
      <c r="M1979" s="8" t="s">
        <v>79</v>
      </c>
      <c r="N1979" s="11">
        <v>8883505</v>
      </c>
      <c r="O1979" s="8" t="s">
        <v>2656</v>
      </c>
      <c r="P1979" s="8" t="s">
        <v>2657</v>
      </c>
      <c r="Q1979" s="8"/>
      <c r="R1979" s="8"/>
    </row>
    <row r="1980" spans="1:18" ht="26.15" customHeight="1">
      <c r="A1980" s="7">
        <v>1974</v>
      </c>
      <c r="B1980" s="8" t="s">
        <v>4818</v>
      </c>
      <c r="C1980" s="8" t="s">
        <v>3114</v>
      </c>
      <c r="D1980" s="8" t="s">
        <v>4819</v>
      </c>
      <c r="E1980" s="8" t="s">
        <v>3116</v>
      </c>
      <c r="F1980" s="9" t="s">
        <v>3123</v>
      </c>
      <c r="G1980" s="10">
        <v>40969</v>
      </c>
      <c r="H1980" s="8" t="s">
        <v>109</v>
      </c>
      <c r="I1980" s="11">
        <v>2000000</v>
      </c>
      <c r="J1980" s="8" t="s">
        <v>131</v>
      </c>
      <c r="K1980" s="8" t="s">
        <v>132</v>
      </c>
      <c r="L1980" s="7">
        <v>1999</v>
      </c>
      <c r="M1980" s="8" t="s">
        <v>135</v>
      </c>
      <c r="N1980" s="11">
        <v>37500000</v>
      </c>
      <c r="O1980" s="8" t="s">
        <v>136</v>
      </c>
      <c r="P1980" s="8" t="s">
        <v>137</v>
      </c>
      <c r="Q1980" s="8"/>
      <c r="R1980" s="8" t="s">
        <v>3357</v>
      </c>
    </row>
    <row r="1981" spans="1:18" ht="26.15" customHeight="1">
      <c r="A1981" s="7">
        <v>1975</v>
      </c>
      <c r="B1981" s="8" t="s">
        <v>4876</v>
      </c>
      <c r="C1981" s="8" t="s">
        <v>3139</v>
      </c>
      <c r="D1981" s="8" t="s">
        <v>4877</v>
      </c>
      <c r="E1981" s="8" t="s">
        <v>3116</v>
      </c>
      <c r="F1981" s="9" t="s">
        <v>3123</v>
      </c>
      <c r="G1981" s="10">
        <v>40940</v>
      </c>
      <c r="H1981" s="8" t="s">
        <v>34</v>
      </c>
      <c r="I1981" s="11" t="s">
        <v>50</v>
      </c>
      <c r="J1981" s="8" t="s">
        <v>3008</v>
      </c>
      <c r="K1981" s="8" t="s">
        <v>3009</v>
      </c>
      <c r="L1981" s="7">
        <v>2010</v>
      </c>
      <c r="M1981" s="8" t="s">
        <v>569</v>
      </c>
      <c r="N1981" s="11"/>
      <c r="O1981" s="8" t="s">
        <v>3011</v>
      </c>
      <c r="P1981" s="8" t="s">
        <v>3012</v>
      </c>
      <c r="Q1981" s="8"/>
      <c r="R1981" s="8" t="s">
        <v>369</v>
      </c>
    </row>
    <row r="1982" spans="1:18" ht="26.15" customHeight="1">
      <c r="A1982" s="7">
        <v>1976</v>
      </c>
      <c r="B1982" s="8" t="s">
        <v>4878</v>
      </c>
      <c r="C1982" s="8" t="s">
        <v>3114</v>
      </c>
      <c r="D1982" s="8" t="s">
        <v>4879</v>
      </c>
      <c r="E1982" s="8" t="s">
        <v>3116</v>
      </c>
      <c r="F1982" s="9" t="s">
        <v>3123</v>
      </c>
      <c r="G1982" s="10">
        <v>40919</v>
      </c>
      <c r="H1982" s="8" t="s">
        <v>109</v>
      </c>
      <c r="I1982" s="11" t="s">
        <v>50</v>
      </c>
      <c r="J1982" s="8" t="s">
        <v>2936</v>
      </c>
      <c r="K1982" s="8" t="s">
        <v>2937</v>
      </c>
      <c r="L1982" s="7">
        <v>2008</v>
      </c>
      <c r="M1982" s="8" t="s">
        <v>47</v>
      </c>
      <c r="N1982" s="11">
        <v>8723427</v>
      </c>
      <c r="O1982" s="8" t="s">
        <v>2938</v>
      </c>
      <c r="P1982" s="8" t="s">
        <v>2939</v>
      </c>
      <c r="Q1982" s="8"/>
      <c r="R1982" s="8" t="s">
        <v>3148</v>
      </c>
    </row>
    <row r="1983" spans="1:18" ht="26.15" customHeight="1">
      <c r="A1983" s="7">
        <v>1977</v>
      </c>
      <c r="B1983" s="8" t="s">
        <v>4880</v>
      </c>
      <c r="C1983" s="8" t="s">
        <v>3139</v>
      </c>
      <c r="D1983" s="8" t="s">
        <v>4881</v>
      </c>
      <c r="E1983" s="8" t="s">
        <v>3116</v>
      </c>
      <c r="F1983" s="9" t="s">
        <v>3123</v>
      </c>
      <c r="G1983" s="10">
        <v>40919</v>
      </c>
      <c r="H1983" s="8" t="s">
        <v>109</v>
      </c>
      <c r="I1983" s="11" t="s">
        <v>50</v>
      </c>
      <c r="J1983" s="8" t="s">
        <v>2936</v>
      </c>
      <c r="K1983" s="8" t="s">
        <v>2937</v>
      </c>
      <c r="L1983" s="7">
        <v>2008</v>
      </c>
      <c r="M1983" s="8" t="s">
        <v>47</v>
      </c>
      <c r="N1983" s="11">
        <v>8723427</v>
      </c>
      <c r="O1983" s="8" t="s">
        <v>2938</v>
      </c>
      <c r="P1983" s="8" t="s">
        <v>2939</v>
      </c>
      <c r="Q1983" s="8"/>
      <c r="R1983" s="8" t="s">
        <v>3408</v>
      </c>
    </row>
    <row r="1984" spans="1:18" ht="26.15" customHeight="1">
      <c r="A1984" s="7">
        <v>1978</v>
      </c>
      <c r="B1984" s="8" t="s">
        <v>4062</v>
      </c>
      <c r="C1984" s="8" t="s">
        <v>3139</v>
      </c>
      <c r="D1984" s="8" t="s">
        <v>4063</v>
      </c>
      <c r="E1984" s="8" t="s">
        <v>3116</v>
      </c>
      <c r="F1984" s="9" t="s">
        <v>3123</v>
      </c>
      <c r="G1984" s="10">
        <v>40852</v>
      </c>
      <c r="H1984" s="8" t="s">
        <v>528</v>
      </c>
      <c r="I1984" s="11" t="s">
        <v>50</v>
      </c>
      <c r="J1984" s="8" t="s">
        <v>3018</v>
      </c>
      <c r="K1984" s="8" t="s">
        <v>3019</v>
      </c>
      <c r="L1984" s="7">
        <v>1980</v>
      </c>
      <c r="M1984" s="8" t="s">
        <v>3020</v>
      </c>
      <c r="N1984" s="11"/>
      <c r="O1984" s="8" t="s">
        <v>3021</v>
      </c>
      <c r="P1984" s="8" t="s">
        <v>3022</v>
      </c>
      <c r="Q1984" s="8"/>
      <c r="R1984" s="8" t="s">
        <v>4064</v>
      </c>
    </row>
    <row r="1985" spans="1:18" ht="26.15" customHeight="1">
      <c r="A1985" s="7">
        <v>1979</v>
      </c>
      <c r="B1985" s="8" t="s">
        <v>4882</v>
      </c>
      <c r="C1985" s="8" t="s">
        <v>3127</v>
      </c>
      <c r="D1985" s="8"/>
      <c r="E1985" s="8" t="s">
        <v>3128</v>
      </c>
      <c r="F1985" s="9" t="s">
        <v>3117</v>
      </c>
      <c r="G1985" s="10">
        <v>40827</v>
      </c>
      <c r="H1985" s="8" t="s">
        <v>124</v>
      </c>
      <c r="I1985" s="11" t="s">
        <v>50</v>
      </c>
      <c r="J1985" s="8" t="s">
        <v>1330</v>
      </c>
      <c r="K1985" s="8" t="s">
        <v>1331</v>
      </c>
      <c r="L1985" s="7">
        <v>2010</v>
      </c>
      <c r="M1985" s="8" t="s">
        <v>79</v>
      </c>
      <c r="N1985" s="11">
        <v>15568800</v>
      </c>
      <c r="O1985" s="8" t="s">
        <v>1334</v>
      </c>
      <c r="P1985" s="8" t="s">
        <v>1335</v>
      </c>
      <c r="Q1985" s="8"/>
      <c r="R1985" s="8"/>
    </row>
    <row r="1986" spans="1:18" ht="26.15" customHeight="1">
      <c r="A1986" s="7">
        <v>1980</v>
      </c>
      <c r="B1986" s="8" t="s">
        <v>4883</v>
      </c>
      <c r="C1986" s="8" t="s">
        <v>3127</v>
      </c>
      <c r="D1986" s="8"/>
      <c r="E1986" s="8" t="s">
        <v>3128</v>
      </c>
      <c r="F1986" s="9" t="s">
        <v>3123</v>
      </c>
      <c r="G1986" s="10">
        <v>40827</v>
      </c>
      <c r="H1986" s="8" t="s">
        <v>124</v>
      </c>
      <c r="I1986" s="11" t="s">
        <v>50</v>
      </c>
      <c r="J1986" s="8" t="s">
        <v>1330</v>
      </c>
      <c r="K1986" s="8" t="s">
        <v>1331</v>
      </c>
      <c r="L1986" s="7">
        <v>2010</v>
      </c>
      <c r="M1986" s="8" t="s">
        <v>79</v>
      </c>
      <c r="N1986" s="11">
        <v>15568800</v>
      </c>
      <c r="O1986" s="8" t="s">
        <v>1334</v>
      </c>
      <c r="P1986" s="8" t="s">
        <v>1335</v>
      </c>
      <c r="Q1986" s="8"/>
      <c r="R1986" s="8"/>
    </row>
    <row r="1987" spans="1:18" ht="26.15" customHeight="1">
      <c r="A1987" s="7">
        <v>1981</v>
      </c>
      <c r="B1987" s="8" t="s">
        <v>4884</v>
      </c>
      <c r="C1987" s="8" t="s">
        <v>3127</v>
      </c>
      <c r="D1987" s="8"/>
      <c r="E1987" s="8" t="s">
        <v>3128</v>
      </c>
      <c r="F1987" s="9" t="s">
        <v>3123</v>
      </c>
      <c r="G1987" s="10">
        <v>40827</v>
      </c>
      <c r="H1987" s="8" t="s">
        <v>124</v>
      </c>
      <c r="I1987" s="11" t="s">
        <v>50</v>
      </c>
      <c r="J1987" s="8" t="s">
        <v>1330</v>
      </c>
      <c r="K1987" s="8" t="s">
        <v>1331</v>
      </c>
      <c r="L1987" s="7">
        <v>2010</v>
      </c>
      <c r="M1987" s="8" t="s">
        <v>79</v>
      </c>
      <c r="N1987" s="11">
        <v>15568800</v>
      </c>
      <c r="O1987" s="8" t="s">
        <v>1334</v>
      </c>
      <c r="P1987" s="8" t="s">
        <v>1335</v>
      </c>
      <c r="Q1987" s="8"/>
      <c r="R1987" s="8"/>
    </row>
    <row r="1988" spans="1:18" ht="26.15" customHeight="1">
      <c r="A1988" s="7">
        <v>1982</v>
      </c>
      <c r="B1988" s="8" t="s">
        <v>4885</v>
      </c>
      <c r="C1988" s="8" t="s">
        <v>3127</v>
      </c>
      <c r="D1988" s="8"/>
      <c r="E1988" s="8" t="s">
        <v>3128</v>
      </c>
      <c r="F1988" s="9" t="s">
        <v>3117</v>
      </c>
      <c r="G1988" s="10">
        <v>40827</v>
      </c>
      <c r="H1988" s="8" t="s">
        <v>124</v>
      </c>
      <c r="I1988" s="11" t="s">
        <v>50</v>
      </c>
      <c r="J1988" s="8" t="s">
        <v>1330</v>
      </c>
      <c r="K1988" s="8" t="s">
        <v>1331</v>
      </c>
      <c r="L1988" s="7">
        <v>2010</v>
      </c>
      <c r="M1988" s="8" t="s">
        <v>79</v>
      </c>
      <c r="N1988" s="11">
        <v>15568800</v>
      </c>
      <c r="O1988" s="8" t="s">
        <v>1334</v>
      </c>
      <c r="P1988" s="8" t="s">
        <v>1335</v>
      </c>
      <c r="Q1988" s="8"/>
      <c r="R1988" s="8"/>
    </row>
    <row r="1989" spans="1:18" ht="26.15" customHeight="1">
      <c r="A1989" s="7">
        <v>1983</v>
      </c>
      <c r="B1989" s="8" t="s">
        <v>3689</v>
      </c>
      <c r="C1989" s="8" t="s">
        <v>3114</v>
      </c>
      <c r="D1989" s="8" t="s">
        <v>3690</v>
      </c>
      <c r="E1989" s="8" t="s">
        <v>3116</v>
      </c>
      <c r="F1989" s="9" t="s">
        <v>3123</v>
      </c>
      <c r="G1989" s="10">
        <v>40810</v>
      </c>
      <c r="H1989" s="8" t="s">
        <v>34</v>
      </c>
      <c r="I1989" s="11" t="s">
        <v>50</v>
      </c>
      <c r="J1989" s="8" t="s">
        <v>3025</v>
      </c>
      <c r="K1989" s="8" t="s">
        <v>3026</v>
      </c>
      <c r="L1989" s="7">
        <v>2008</v>
      </c>
      <c r="M1989" s="8" t="s">
        <v>299</v>
      </c>
      <c r="N1989" s="11"/>
      <c r="O1989" s="8" t="s">
        <v>3027</v>
      </c>
      <c r="P1989" s="8" t="s">
        <v>3028</v>
      </c>
      <c r="Q1989" s="8"/>
      <c r="R1989" s="8" t="s">
        <v>299</v>
      </c>
    </row>
    <row r="1990" spans="1:18" ht="26.15" customHeight="1">
      <c r="A1990" s="7">
        <v>1984</v>
      </c>
      <c r="B1990" s="8" t="s">
        <v>644</v>
      </c>
      <c r="C1990" s="8" t="s">
        <v>3114</v>
      </c>
      <c r="D1990" s="8" t="s">
        <v>3162</v>
      </c>
      <c r="E1990" s="8" t="s">
        <v>3116</v>
      </c>
      <c r="F1990" s="9" t="s">
        <v>3117</v>
      </c>
      <c r="G1990" s="10">
        <v>40761</v>
      </c>
      <c r="H1990" s="8" t="s">
        <v>109</v>
      </c>
      <c r="I1990" s="11">
        <v>998195</v>
      </c>
      <c r="J1990" s="8" t="s">
        <v>1868</v>
      </c>
      <c r="K1990" s="8" t="s">
        <v>1869</v>
      </c>
      <c r="L1990" s="7">
        <v>2003</v>
      </c>
      <c r="M1990" s="8" t="s">
        <v>121</v>
      </c>
      <c r="N1990" s="11">
        <v>11768115</v>
      </c>
      <c r="O1990" s="8" t="s">
        <v>1870</v>
      </c>
      <c r="P1990" s="8" t="s">
        <v>1871</v>
      </c>
      <c r="Q1990" s="8"/>
      <c r="R1990" s="8" t="s">
        <v>313</v>
      </c>
    </row>
    <row r="1991" spans="1:18" ht="26.15" customHeight="1">
      <c r="A1991" s="7">
        <v>1985</v>
      </c>
      <c r="B1991" s="8" t="s">
        <v>4886</v>
      </c>
      <c r="C1991" s="8" t="s">
        <v>3114</v>
      </c>
      <c r="D1991" s="8" t="s">
        <v>4887</v>
      </c>
      <c r="E1991" s="8" t="s">
        <v>3116</v>
      </c>
      <c r="F1991" s="9" t="s">
        <v>3117</v>
      </c>
      <c r="G1991" s="10">
        <v>40695</v>
      </c>
      <c r="H1991" s="8" t="s">
        <v>25</v>
      </c>
      <c r="I1991" s="11">
        <v>28546109</v>
      </c>
      <c r="J1991" s="8" t="s">
        <v>2849</v>
      </c>
      <c r="K1991" s="8" t="s">
        <v>2850</v>
      </c>
      <c r="L1991" s="7">
        <v>2009</v>
      </c>
      <c r="M1991" s="8" t="s">
        <v>1732</v>
      </c>
      <c r="N1991" s="11">
        <v>30060731</v>
      </c>
      <c r="O1991" s="8" t="s">
        <v>2852</v>
      </c>
      <c r="P1991" s="8" t="s">
        <v>2853</v>
      </c>
      <c r="Q1991" s="8"/>
      <c r="R1991" s="8" t="s">
        <v>1732</v>
      </c>
    </row>
    <row r="1992" spans="1:18" ht="26.15" customHeight="1">
      <c r="A1992" s="7">
        <v>1986</v>
      </c>
      <c r="B1992" s="8" t="s">
        <v>4888</v>
      </c>
      <c r="C1992" s="8" t="s">
        <v>3139</v>
      </c>
      <c r="D1992" s="8" t="s">
        <v>4889</v>
      </c>
      <c r="E1992" s="8" t="s">
        <v>3116</v>
      </c>
      <c r="F1992" s="9" t="s">
        <v>3117</v>
      </c>
      <c r="G1992" s="10">
        <v>40695</v>
      </c>
      <c r="H1992" s="8" t="s">
        <v>25</v>
      </c>
      <c r="I1992" s="11">
        <v>28546109</v>
      </c>
      <c r="J1992" s="8" t="s">
        <v>2849</v>
      </c>
      <c r="K1992" s="8" t="s">
        <v>2850</v>
      </c>
      <c r="L1992" s="7">
        <v>2009</v>
      </c>
      <c r="M1992" s="8" t="s">
        <v>1732</v>
      </c>
      <c r="N1992" s="11">
        <v>30060731</v>
      </c>
      <c r="O1992" s="8" t="s">
        <v>2852</v>
      </c>
      <c r="P1992" s="8" t="s">
        <v>2853</v>
      </c>
      <c r="Q1992" s="8"/>
      <c r="R1992" s="8" t="s">
        <v>3148</v>
      </c>
    </row>
    <row r="1993" spans="1:18" ht="26.15" customHeight="1">
      <c r="A1993" s="7">
        <v>1987</v>
      </c>
      <c r="B1993" s="8" t="s">
        <v>4890</v>
      </c>
      <c r="C1993" s="8" t="s">
        <v>3114</v>
      </c>
      <c r="D1993" s="8" t="s">
        <v>4891</v>
      </c>
      <c r="E1993" s="8" t="s">
        <v>3116</v>
      </c>
      <c r="F1993" s="9" t="s">
        <v>3117</v>
      </c>
      <c r="G1993" s="10">
        <v>40695</v>
      </c>
      <c r="H1993" s="8" t="s">
        <v>25</v>
      </c>
      <c r="I1993" s="11">
        <v>28546109</v>
      </c>
      <c r="J1993" s="8" t="s">
        <v>2849</v>
      </c>
      <c r="K1993" s="8" t="s">
        <v>2850</v>
      </c>
      <c r="L1993" s="7">
        <v>2009</v>
      </c>
      <c r="M1993" s="8" t="s">
        <v>1732</v>
      </c>
      <c r="N1993" s="11">
        <v>30060731</v>
      </c>
      <c r="O1993" s="8" t="s">
        <v>2852</v>
      </c>
      <c r="P1993" s="8" t="s">
        <v>2853</v>
      </c>
      <c r="Q1993" s="8"/>
      <c r="R1993" s="8" t="s">
        <v>1732</v>
      </c>
    </row>
    <row r="1994" spans="1:18" ht="26.15" customHeight="1">
      <c r="A1994" s="7">
        <v>1988</v>
      </c>
      <c r="B1994" s="8" t="s">
        <v>4892</v>
      </c>
      <c r="C1994" s="8" t="s">
        <v>3114</v>
      </c>
      <c r="D1994" s="8" t="s">
        <v>4893</v>
      </c>
      <c r="E1994" s="8" t="s">
        <v>3116</v>
      </c>
      <c r="F1994" s="9" t="s">
        <v>3117</v>
      </c>
      <c r="G1994" s="10">
        <v>40695</v>
      </c>
      <c r="H1994" s="8" t="s">
        <v>25</v>
      </c>
      <c r="I1994" s="11">
        <v>28546109</v>
      </c>
      <c r="J1994" s="8" t="s">
        <v>2849</v>
      </c>
      <c r="K1994" s="8" t="s">
        <v>2850</v>
      </c>
      <c r="L1994" s="7">
        <v>2009</v>
      </c>
      <c r="M1994" s="8" t="s">
        <v>1732</v>
      </c>
      <c r="N1994" s="11">
        <v>30060731</v>
      </c>
      <c r="O1994" s="8" t="s">
        <v>2852</v>
      </c>
      <c r="P1994" s="8" t="s">
        <v>2853</v>
      </c>
      <c r="Q1994" s="8"/>
      <c r="R1994" s="8" t="s">
        <v>894</v>
      </c>
    </row>
    <row r="1995" spans="1:18" ht="26.15" customHeight="1">
      <c r="A1995" s="7">
        <v>1989</v>
      </c>
      <c r="B1995" s="8" t="s">
        <v>4794</v>
      </c>
      <c r="C1995" s="8" t="s">
        <v>3139</v>
      </c>
      <c r="D1995" s="8" t="s">
        <v>4795</v>
      </c>
      <c r="E1995" s="8" t="s">
        <v>3116</v>
      </c>
      <c r="F1995" s="9" t="s">
        <v>3123</v>
      </c>
      <c r="G1995" s="10">
        <v>40675</v>
      </c>
      <c r="H1995" s="8" t="s">
        <v>184</v>
      </c>
      <c r="I1995" s="11" t="s">
        <v>50</v>
      </c>
      <c r="J1995" s="8" t="s">
        <v>3036</v>
      </c>
      <c r="K1995" s="8" t="s">
        <v>3037</v>
      </c>
      <c r="L1995" s="7">
        <v>1994</v>
      </c>
      <c r="M1995" s="8" t="s">
        <v>181</v>
      </c>
      <c r="N1995" s="11">
        <v>9000000</v>
      </c>
      <c r="O1995" s="8" t="s">
        <v>3038</v>
      </c>
      <c r="P1995" s="8" t="s">
        <v>2970</v>
      </c>
      <c r="Q1995" s="8"/>
      <c r="R1995" s="8" t="s">
        <v>56</v>
      </c>
    </row>
    <row r="1996" spans="1:18" ht="26.15" customHeight="1">
      <c r="A1996" s="7">
        <v>1990</v>
      </c>
      <c r="B1996" s="8" t="s">
        <v>4826</v>
      </c>
      <c r="C1996" s="8" t="s">
        <v>3114</v>
      </c>
      <c r="D1996" s="8" t="s">
        <v>4827</v>
      </c>
      <c r="E1996" s="8" t="s">
        <v>3116</v>
      </c>
      <c r="F1996" s="9" t="s">
        <v>3117</v>
      </c>
      <c r="G1996" s="10">
        <v>40638</v>
      </c>
      <c r="H1996" s="8" t="s">
        <v>25</v>
      </c>
      <c r="I1996" s="11">
        <v>18000000</v>
      </c>
      <c r="J1996" s="8" t="s">
        <v>2941</v>
      </c>
      <c r="K1996" s="8" t="s">
        <v>2942</v>
      </c>
      <c r="L1996" s="7">
        <v>2007</v>
      </c>
      <c r="M1996" s="8" t="s">
        <v>2945</v>
      </c>
      <c r="N1996" s="11">
        <v>91000000</v>
      </c>
      <c r="O1996" s="8" t="s">
        <v>2946</v>
      </c>
      <c r="P1996" s="8" t="s">
        <v>2947</v>
      </c>
      <c r="Q1996" s="8"/>
      <c r="R1996" s="8" t="s">
        <v>3148</v>
      </c>
    </row>
    <row r="1997" spans="1:18" ht="26.15" customHeight="1">
      <c r="A1997" s="7">
        <v>1991</v>
      </c>
      <c r="B1997" s="8" t="s">
        <v>4894</v>
      </c>
      <c r="C1997" s="8" t="s">
        <v>3114</v>
      </c>
      <c r="D1997" s="8" t="s">
        <v>4895</v>
      </c>
      <c r="E1997" s="8" t="s">
        <v>3116</v>
      </c>
      <c r="F1997" s="9" t="s">
        <v>3117</v>
      </c>
      <c r="G1997" s="10">
        <v>40638</v>
      </c>
      <c r="H1997" s="8" t="s">
        <v>25</v>
      </c>
      <c r="I1997" s="11">
        <v>18000000</v>
      </c>
      <c r="J1997" s="8" t="s">
        <v>2941</v>
      </c>
      <c r="K1997" s="8" t="s">
        <v>2942</v>
      </c>
      <c r="L1997" s="7">
        <v>2007</v>
      </c>
      <c r="M1997" s="8" t="s">
        <v>2945</v>
      </c>
      <c r="N1997" s="11">
        <v>91000000</v>
      </c>
      <c r="O1997" s="8" t="s">
        <v>2946</v>
      </c>
      <c r="P1997" s="8" t="s">
        <v>2947</v>
      </c>
      <c r="Q1997" s="8"/>
      <c r="R1997" s="8" t="s">
        <v>369</v>
      </c>
    </row>
    <row r="1998" spans="1:18" ht="26.15" customHeight="1">
      <c r="A1998" s="7">
        <v>1992</v>
      </c>
      <c r="B1998" s="8" t="s">
        <v>4828</v>
      </c>
      <c r="C1998" s="8" t="s">
        <v>3114</v>
      </c>
      <c r="D1998" s="8" t="s">
        <v>4829</v>
      </c>
      <c r="E1998" s="8" t="s">
        <v>3116</v>
      </c>
      <c r="F1998" s="9" t="s">
        <v>3117</v>
      </c>
      <c r="G1998" s="10">
        <v>40638</v>
      </c>
      <c r="H1998" s="8" t="s">
        <v>25</v>
      </c>
      <c r="I1998" s="11">
        <v>18000000</v>
      </c>
      <c r="J1998" s="8" t="s">
        <v>2941</v>
      </c>
      <c r="K1998" s="8" t="s">
        <v>2942</v>
      </c>
      <c r="L1998" s="7">
        <v>2007</v>
      </c>
      <c r="M1998" s="8" t="s">
        <v>2945</v>
      </c>
      <c r="N1998" s="11">
        <v>91000000</v>
      </c>
      <c r="O1998" s="8" t="s">
        <v>2946</v>
      </c>
      <c r="P1998" s="8" t="s">
        <v>2947</v>
      </c>
      <c r="Q1998" s="8"/>
      <c r="R1998" s="8" t="s">
        <v>3148</v>
      </c>
    </row>
    <row r="1999" spans="1:18" ht="26.15" customHeight="1">
      <c r="A1999" s="7">
        <v>1993</v>
      </c>
      <c r="B1999" s="8" t="s">
        <v>4830</v>
      </c>
      <c r="C1999" s="8" t="s">
        <v>3114</v>
      </c>
      <c r="D1999" s="8" t="s">
        <v>4831</v>
      </c>
      <c r="E1999" s="8" t="s">
        <v>3116</v>
      </c>
      <c r="F1999" s="9" t="s">
        <v>3117</v>
      </c>
      <c r="G1999" s="10">
        <v>40638</v>
      </c>
      <c r="H1999" s="8" t="s">
        <v>25</v>
      </c>
      <c r="I1999" s="11">
        <v>18000000</v>
      </c>
      <c r="J1999" s="8" t="s">
        <v>2941</v>
      </c>
      <c r="K1999" s="8" t="s">
        <v>2942</v>
      </c>
      <c r="L1999" s="7">
        <v>2007</v>
      </c>
      <c r="M1999" s="8" t="s">
        <v>2945</v>
      </c>
      <c r="N1999" s="11">
        <v>91000000</v>
      </c>
      <c r="O1999" s="8" t="s">
        <v>2946</v>
      </c>
      <c r="P1999" s="8" t="s">
        <v>2947</v>
      </c>
      <c r="Q1999" s="8"/>
      <c r="R1999" s="8" t="s">
        <v>3145</v>
      </c>
    </row>
    <row r="2000" spans="1:18" ht="26.15" customHeight="1">
      <c r="A2000" s="7">
        <v>1994</v>
      </c>
      <c r="B2000" s="8" t="s">
        <v>285</v>
      </c>
      <c r="C2000" s="8" t="s">
        <v>3114</v>
      </c>
      <c r="D2000" s="8" t="s">
        <v>3282</v>
      </c>
      <c r="E2000" s="8" t="s">
        <v>3116</v>
      </c>
      <c r="F2000" s="9" t="s">
        <v>3123</v>
      </c>
      <c r="G2000" s="10">
        <v>40633</v>
      </c>
      <c r="H2000" s="8" t="s">
        <v>34</v>
      </c>
      <c r="I2000" s="11">
        <v>70047</v>
      </c>
      <c r="J2000" s="8" t="s">
        <v>3041</v>
      </c>
      <c r="K2000" s="8" t="s">
        <v>3042</v>
      </c>
      <c r="L2000" s="7">
        <v>2007</v>
      </c>
      <c r="M2000" s="8" t="s">
        <v>188</v>
      </c>
      <c r="N2000" s="11">
        <v>70047</v>
      </c>
      <c r="O2000" s="8" t="s">
        <v>3045</v>
      </c>
      <c r="P2000" s="8" t="s">
        <v>3046</v>
      </c>
      <c r="Q2000" s="8"/>
      <c r="R2000" s="8" t="s">
        <v>313</v>
      </c>
    </row>
    <row r="2001" spans="1:18" ht="26.15" customHeight="1">
      <c r="A2001" s="7">
        <v>1995</v>
      </c>
      <c r="B2001" s="8" t="s">
        <v>3044</v>
      </c>
      <c r="C2001" s="8" t="s">
        <v>3127</v>
      </c>
      <c r="D2001" s="8"/>
      <c r="E2001" s="8" t="s">
        <v>3128</v>
      </c>
      <c r="F2001" s="9" t="s">
        <v>3117</v>
      </c>
      <c r="G2001" s="10">
        <v>40633</v>
      </c>
      <c r="H2001" s="8" t="s">
        <v>34</v>
      </c>
      <c r="I2001" s="11">
        <v>70047</v>
      </c>
      <c r="J2001" s="8" t="s">
        <v>3041</v>
      </c>
      <c r="K2001" s="8" t="s">
        <v>3042</v>
      </c>
      <c r="L2001" s="7">
        <v>2007</v>
      </c>
      <c r="M2001" s="8" t="s">
        <v>188</v>
      </c>
      <c r="N2001" s="11">
        <v>70047</v>
      </c>
      <c r="O2001" s="8" t="s">
        <v>3045</v>
      </c>
      <c r="P2001" s="8" t="s">
        <v>3046</v>
      </c>
      <c r="Q2001" s="8"/>
      <c r="R2001" s="8"/>
    </row>
    <row r="2002" spans="1:18" ht="26.15" customHeight="1">
      <c r="A2002" s="7">
        <v>1996</v>
      </c>
      <c r="B2002" s="8" t="s">
        <v>4896</v>
      </c>
      <c r="C2002" s="8" t="s">
        <v>3127</v>
      </c>
      <c r="D2002" s="8"/>
      <c r="E2002" s="8" t="s">
        <v>3128</v>
      </c>
      <c r="F2002" s="9" t="s">
        <v>3123</v>
      </c>
      <c r="G2002" s="10">
        <v>40633</v>
      </c>
      <c r="H2002" s="8" t="s">
        <v>34</v>
      </c>
      <c r="I2002" s="11">
        <v>70047</v>
      </c>
      <c r="J2002" s="8" t="s">
        <v>3041</v>
      </c>
      <c r="K2002" s="8" t="s">
        <v>3042</v>
      </c>
      <c r="L2002" s="7">
        <v>2007</v>
      </c>
      <c r="M2002" s="8" t="s">
        <v>188</v>
      </c>
      <c r="N2002" s="11">
        <v>70047</v>
      </c>
      <c r="O2002" s="8" t="s">
        <v>3045</v>
      </c>
      <c r="P2002" s="8" t="s">
        <v>3046</v>
      </c>
      <c r="Q2002" s="8"/>
      <c r="R2002" s="8"/>
    </row>
    <row r="2003" spans="1:18" ht="26.15" customHeight="1">
      <c r="A2003" s="7">
        <v>1997</v>
      </c>
      <c r="B2003" s="8" t="s">
        <v>4897</v>
      </c>
      <c r="C2003" s="8" t="s">
        <v>3127</v>
      </c>
      <c r="D2003" s="8"/>
      <c r="E2003" s="8" t="s">
        <v>3128</v>
      </c>
      <c r="F2003" s="9" t="s">
        <v>3123</v>
      </c>
      <c r="G2003" s="10">
        <v>40633</v>
      </c>
      <c r="H2003" s="8" t="s">
        <v>34</v>
      </c>
      <c r="I2003" s="11">
        <v>70047</v>
      </c>
      <c r="J2003" s="8" t="s">
        <v>3041</v>
      </c>
      <c r="K2003" s="8" t="s">
        <v>3042</v>
      </c>
      <c r="L2003" s="7">
        <v>2007</v>
      </c>
      <c r="M2003" s="8" t="s">
        <v>188</v>
      </c>
      <c r="N2003" s="11">
        <v>70047</v>
      </c>
      <c r="O2003" s="8" t="s">
        <v>3045</v>
      </c>
      <c r="P2003" s="8" t="s">
        <v>3046</v>
      </c>
      <c r="Q2003" s="8"/>
      <c r="R2003" s="8"/>
    </row>
    <row r="2004" spans="1:18" ht="26.15" customHeight="1">
      <c r="A2004" s="7">
        <v>1998</v>
      </c>
      <c r="B2004" s="8" t="s">
        <v>4898</v>
      </c>
      <c r="C2004" s="8" t="s">
        <v>3127</v>
      </c>
      <c r="D2004" s="8"/>
      <c r="E2004" s="8" t="s">
        <v>3128</v>
      </c>
      <c r="F2004" s="9" t="s">
        <v>3123</v>
      </c>
      <c r="G2004" s="10">
        <v>40633</v>
      </c>
      <c r="H2004" s="8" t="s">
        <v>34</v>
      </c>
      <c r="I2004" s="11">
        <v>70047</v>
      </c>
      <c r="J2004" s="8" t="s">
        <v>3041</v>
      </c>
      <c r="K2004" s="8" t="s">
        <v>3042</v>
      </c>
      <c r="L2004" s="7">
        <v>2007</v>
      </c>
      <c r="M2004" s="8" t="s">
        <v>188</v>
      </c>
      <c r="N2004" s="11">
        <v>70047</v>
      </c>
      <c r="O2004" s="8" t="s">
        <v>3045</v>
      </c>
      <c r="P2004" s="8" t="s">
        <v>3046</v>
      </c>
      <c r="Q2004" s="8"/>
      <c r="R2004" s="8"/>
    </row>
    <row r="2005" spans="1:18" ht="26.15" customHeight="1">
      <c r="A2005" s="7">
        <v>1999</v>
      </c>
      <c r="B2005" s="8" t="s">
        <v>4899</v>
      </c>
      <c r="C2005" s="8" t="s">
        <v>3127</v>
      </c>
      <c r="D2005" s="8"/>
      <c r="E2005" s="8" t="s">
        <v>3128</v>
      </c>
      <c r="F2005" s="9" t="s">
        <v>3123</v>
      </c>
      <c r="G2005" s="10">
        <v>40633</v>
      </c>
      <c r="H2005" s="8" t="s">
        <v>34</v>
      </c>
      <c r="I2005" s="11">
        <v>70047</v>
      </c>
      <c r="J2005" s="8" t="s">
        <v>3041</v>
      </c>
      <c r="K2005" s="8" t="s">
        <v>3042</v>
      </c>
      <c r="L2005" s="7">
        <v>2007</v>
      </c>
      <c r="M2005" s="8" t="s">
        <v>188</v>
      </c>
      <c r="N2005" s="11">
        <v>70047</v>
      </c>
      <c r="O2005" s="8" t="s">
        <v>3045</v>
      </c>
      <c r="P2005" s="8" t="s">
        <v>3046</v>
      </c>
      <c r="Q2005" s="8"/>
      <c r="R2005" s="8"/>
    </row>
    <row r="2006" spans="1:18" ht="26.15" customHeight="1">
      <c r="A2006" s="7">
        <v>2000</v>
      </c>
      <c r="B2006" s="8" t="s">
        <v>4900</v>
      </c>
      <c r="C2006" s="8" t="s">
        <v>3127</v>
      </c>
      <c r="D2006" s="8"/>
      <c r="E2006" s="8" t="s">
        <v>3128</v>
      </c>
      <c r="F2006" s="9" t="s">
        <v>3123</v>
      </c>
      <c r="G2006" s="10">
        <v>40633</v>
      </c>
      <c r="H2006" s="8" t="s">
        <v>34</v>
      </c>
      <c r="I2006" s="11">
        <v>70047</v>
      </c>
      <c r="J2006" s="8" t="s">
        <v>3041</v>
      </c>
      <c r="K2006" s="8" t="s">
        <v>3042</v>
      </c>
      <c r="L2006" s="7">
        <v>2007</v>
      </c>
      <c r="M2006" s="8" t="s">
        <v>188</v>
      </c>
      <c r="N2006" s="11">
        <v>70047</v>
      </c>
      <c r="O2006" s="8" t="s">
        <v>3045</v>
      </c>
      <c r="P2006" s="8" t="s">
        <v>3046</v>
      </c>
      <c r="Q2006" s="8"/>
      <c r="R2006" s="8"/>
    </row>
    <row r="2007" spans="1:18" ht="26.15" customHeight="1">
      <c r="A2007" s="7">
        <v>2001</v>
      </c>
      <c r="B2007" s="8" t="s">
        <v>4901</v>
      </c>
      <c r="C2007" s="8" t="s">
        <v>3127</v>
      </c>
      <c r="D2007" s="8"/>
      <c r="E2007" s="8" t="s">
        <v>3128</v>
      </c>
      <c r="F2007" s="9" t="s">
        <v>3123</v>
      </c>
      <c r="G2007" s="10">
        <v>40633</v>
      </c>
      <c r="H2007" s="8" t="s">
        <v>34</v>
      </c>
      <c r="I2007" s="11">
        <v>70047</v>
      </c>
      <c r="J2007" s="8" t="s">
        <v>3041</v>
      </c>
      <c r="K2007" s="8" t="s">
        <v>3042</v>
      </c>
      <c r="L2007" s="7">
        <v>2007</v>
      </c>
      <c r="M2007" s="8" t="s">
        <v>188</v>
      </c>
      <c r="N2007" s="11">
        <v>70047</v>
      </c>
      <c r="O2007" s="8" t="s">
        <v>3045</v>
      </c>
      <c r="P2007" s="8" t="s">
        <v>3046</v>
      </c>
      <c r="Q2007" s="8"/>
      <c r="R2007" s="8"/>
    </row>
    <row r="2008" spans="1:18" ht="26.15" customHeight="1">
      <c r="A2008" s="7">
        <v>2002</v>
      </c>
      <c r="B2008" s="8" t="s">
        <v>3050</v>
      </c>
      <c r="C2008" s="8" t="s">
        <v>3114</v>
      </c>
      <c r="D2008" s="8" t="s">
        <v>4902</v>
      </c>
      <c r="E2008" s="8" t="s">
        <v>3116</v>
      </c>
      <c r="F2008" s="9" t="s">
        <v>3117</v>
      </c>
      <c r="G2008" s="10">
        <v>40625</v>
      </c>
      <c r="H2008" s="8" t="s">
        <v>34</v>
      </c>
      <c r="I2008" s="11">
        <v>437444</v>
      </c>
      <c r="J2008" s="8" t="s">
        <v>3047</v>
      </c>
      <c r="K2008" s="8" t="s">
        <v>3048</v>
      </c>
      <c r="L2008" s="7">
        <v>2010</v>
      </c>
      <c r="M2008" s="8" t="s">
        <v>181</v>
      </c>
      <c r="N2008" s="11">
        <v>437444</v>
      </c>
      <c r="O2008" s="8" t="s">
        <v>3051</v>
      </c>
      <c r="P2008" s="8" t="s">
        <v>3052</v>
      </c>
      <c r="Q2008" s="8"/>
      <c r="R2008" s="8" t="s">
        <v>181</v>
      </c>
    </row>
    <row r="2009" spans="1:18" ht="26.15" customHeight="1">
      <c r="A2009" s="7">
        <v>2003</v>
      </c>
      <c r="B2009" s="8" t="s">
        <v>3689</v>
      </c>
      <c r="C2009" s="8" t="s">
        <v>3114</v>
      </c>
      <c r="D2009" s="8" t="s">
        <v>3690</v>
      </c>
      <c r="E2009" s="8" t="s">
        <v>3116</v>
      </c>
      <c r="F2009" s="9" t="s">
        <v>3123</v>
      </c>
      <c r="G2009" s="10">
        <v>40590</v>
      </c>
      <c r="H2009" s="8" t="s">
        <v>34</v>
      </c>
      <c r="I2009" s="11">
        <v>40000</v>
      </c>
      <c r="J2009" s="8" t="s">
        <v>3053</v>
      </c>
      <c r="K2009" s="8" t="s">
        <v>3054</v>
      </c>
      <c r="L2009" s="7">
        <v>2011</v>
      </c>
      <c r="M2009" s="8" t="s">
        <v>299</v>
      </c>
      <c r="N2009" s="11">
        <v>40000</v>
      </c>
      <c r="O2009" s="8" t="s">
        <v>3055</v>
      </c>
      <c r="P2009" s="8" t="s">
        <v>3056</v>
      </c>
      <c r="Q2009" s="8"/>
      <c r="R2009" s="8" t="s">
        <v>299</v>
      </c>
    </row>
    <row r="2010" spans="1:18" ht="26.15" customHeight="1">
      <c r="A2010" s="7">
        <v>2004</v>
      </c>
      <c r="B2010" s="8" t="s">
        <v>4903</v>
      </c>
      <c r="C2010" s="8" t="s">
        <v>3127</v>
      </c>
      <c r="D2010" s="8"/>
      <c r="E2010" s="8" t="s">
        <v>3128</v>
      </c>
      <c r="F2010" s="9" t="s">
        <v>3123</v>
      </c>
      <c r="G2010" s="10">
        <v>40564</v>
      </c>
      <c r="H2010" s="8" t="s">
        <v>34</v>
      </c>
      <c r="I2010" s="11">
        <v>1472060</v>
      </c>
      <c r="J2010" s="8" t="s">
        <v>1115</v>
      </c>
      <c r="K2010" s="8" t="s">
        <v>1116</v>
      </c>
      <c r="L2010" s="7">
        <v>2009</v>
      </c>
      <c r="M2010" s="8" t="s">
        <v>313</v>
      </c>
      <c r="N2010" s="11">
        <v>14634837</v>
      </c>
      <c r="O2010" s="8" t="s">
        <v>1118</v>
      </c>
      <c r="P2010" s="8" t="s">
        <v>1119</v>
      </c>
      <c r="Q2010" s="8"/>
      <c r="R2010" s="8"/>
    </row>
    <row r="2011" spans="1:18" ht="26.15" customHeight="1">
      <c r="A2011" s="7">
        <v>2005</v>
      </c>
      <c r="B2011" s="8" t="s">
        <v>4535</v>
      </c>
      <c r="C2011" s="8" t="s">
        <v>3127</v>
      </c>
      <c r="D2011" s="8"/>
      <c r="E2011" s="8" t="s">
        <v>3128</v>
      </c>
      <c r="F2011" s="9" t="s">
        <v>3123</v>
      </c>
      <c r="G2011" s="10">
        <v>40564</v>
      </c>
      <c r="H2011" s="8" t="s">
        <v>34</v>
      </c>
      <c r="I2011" s="11">
        <v>1472060</v>
      </c>
      <c r="J2011" s="8" t="s">
        <v>1115</v>
      </c>
      <c r="K2011" s="8" t="s">
        <v>1116</v>
      </c>
      <c r="L2011" s="7">
        <v>2009</v>
      </c>
      <c r="M2011" s="8" t="s">
        <v>313</v>
      </c>
      <c r="N2011" s="11">
        <v>14634837</v>
      </c>
      <c r="O2011" s="8" t="s">
        <v>1118</v>
      </c>
      <c r="P2011" s="8" t="s">
        <v>1119</v>
      </c>
      <c r="Q2011" s="8"/>
      <c r="R2011" s="8"/>
    </row>
    <row r="2012" spans="1:18" ht="26.15" customHeight="1">
      <c r="A2012" s="7">
        <v>2006</v>
      </c>
      <c r="B2012" s="8" t="s">
        <v>4904</v>
      </c>
      <c r="C2012" s="8" t="s">
        <v>3127</v>
      </c>
      <c r="D2012" s="8"/>
      <c r="E2012" s="8" t="s">
        <v>3128</v>
      </c>
      <c r="F2012" s="9" t="s">
        <v>3123</v>
      </c>
      <c r="G2012" s="10">
        <v>40564</v>
      </c>
      <c r="H2012" s="8" t="s">
        <v>34</v>
      </c>
      <c r="I2012" s="11">
        <v>1472060</v>
      </c>
      <c r="J2012" s="8" t="s">
        <v>1115</v>
      </c>
      <c r="K2012" s="8" t="s">
        <v>1116</v>
      </c>
      <c r="L2012" s="7">
        <v>2009</v>
      </c>
      <c r="M2012" s="8" t="s">
        <v>313</v>
      </c>
      <c r="N2012" s="11">
        <v>14634837</v>
      </c>
      <c r="O2012" s="8" t="s">
        <v>1118</v>
      </c>
      <c r="P2012" s="8" t="s">
        <v>1119</v>
      </c>
      <c r="Q2012" s="8"/>
      <c r="R2012" s="8"/>
    </row>
    <row r="2013" spans="1:18" ht="26.15" customHeight="1">
      <c r="A2013" s="7">
        <v>2007</v>
      </c>
      <c r="B2013" s="8" t="s">
        <v>4905</v>
      </c>
      <c r="C2013" s="8" t="s">
        <v>3127</v>
      </c>
      <c r="D2013" s="8"/>
      <c r="E2013" s="8" t="s">
        <v>3128</v>
      </c>
      <c r="F2013" s="9" t="s">
        <v>3123</v>
      </c>
      <c r="G2013" s="10">
        <v>40564</v>
      </c>
      <c r="H2013" s="8" t="s">
        <v>34</v>
      </c>
      <c r="I2013" s="11">
        <v>1472060</v>
      </c>
      <c r="J2013" s="8" t="s">
        <v>1115</v>
      </c>
      <c r="K2013" s="8" t="s">
        <v>1116</v>
      </c>
      <c r="L2013" s="7">
        <v>2009</v>
      </c>
      <c r="M2013" s="8" t="s">
        <v>313</v>
      </c>
      <c r="N2013" s="11">
        <v>14634837</v>
      </c>
      <c r="O2013" s="8" t="s">
        <v>1118</v>
      </c>
      <c r="P2013" s="8" t="s">
        <v>1119</v>
      </c>
      <c r="Q2013" s="8"/>
      <c r="R2013" s="8"/>
    </row>
    <row r="2014" spans="1:18" ht="26.15" customHeight="1">
      <c r="A2014" s="7">
        <v>2008</v>
      </c>
      <c r="B2014" s="8" t="s">
        <v>4906</v>
      </c>
      <c r="C2014" s="8" t="s">
        <v>3127</v>
      </c>
      <c r="D2014" s="8"/>
      <c r="E2014" s="8" t="s">
        <v>3128</v>
      </c>
      <c r="F2014" s="9" t="s">
        <v>3123</v>
      </c>
      <c r="G2014" s="10">
        <v>40564</v>
      </c>
      <c r="H2014" s="8" t="s">
        <v>34</v>
      </c>
      <c r="I2014" s="11">
        <v>1472060</v>
      </c>
      <c r="J2014" s="8" t="s">
        <v>1115</v>
      </c>
      <c r="K2014" s="8" t="s">
        <v>1116</v>
      </c>
      <c r="L2014" s="7">
        <v>2009</v>
      </c>
      <c r="M2014" s="8" t="s">
        <v>313</v>
      </c>
      <c r="N2014" s="11">
        <v>14634837</v>
      </c>
      <c r="O2014" s="8" t="s">
        <v>1118</v>
      </c>
      <c r="P2014" s="8" t="s">
        <v>1119</v>
      </c>
      <c r="Q2014" s="8"/>
      <c r="R2014" s="8"/>
    </row>
    <row r="2015" spans="1:18" ht="26.15" customHeight="1">
      <c r="A2015" s="7">
        <v>2009</v>
      </c>
      <c r="B2015" s="8" t="s">
        <v>4907</v>
      </c>
      <c r="C2015" s="8" t="s">
        <v>3127</v>
      </c>
      <c r="D2015" s="8"/>
      <c r="E2015" s="8" t="s">
        <v>3128</v>
      </c>
      <c r="F2015" s="9" t="s">
        <v>3123</v>
      </c>
      <c r="G2015" s="10">
        <v>40564</v>
      </c>
      <c r="H2015" s="8" t="s">
        <v>34</v>
      </c>
      <c r="I2015" s="11">
        <v>1472060</v>
      </c>
      <c r="J2015" s="8" t="s">
        <v>1115</v>
      </c>
      <c r="K2015" s="8" t="s">
        <v>1116</v>
      </c>
      <c r="L2015" s="7">
        <v>2009</v>
      </c>
      <c r="M2015" s="8" t="s">
        <v>313</v>
      </c>
      <c r="N2015" s="11">
        <v>14634837</v>
      </c>
      <c r="O2015" s="8" t="s">
        <v>1118</v>
      </c>
      <c r="P2015" s="8" t="s">
        <v>1119</v>
      </c>
      <c r="Q2015" s="8"/>
      <c r="R2015" s="8"/>
    </row>
    <row r="2016" spans="1:18" ht="26.15" customHeight="1">
      <c r="A2016" s="7">
        <v>2010</v>
      </c>
      <c r="B2016" s="8" t="s">
        <v>3074</v>
      </c>
      <c r="C2016" s="8" t="s">
        <v>3127</v>
      </c>
      <c r="D2016" s="8"/>
      <c r="E2016" s="8" t="s">
        <v>3128</v>
      </c>
      <c r="F2016" s="9" t="s">
        <v>3123</v>
      </c>
      <c r="G2016" s="10">
        <v>40564</v>
      </c>
      <c r="H2016" s="8" t="s">
        <v>34</v>
      </c>
      <c r="I2016" s="11">
        <v>1472060</v>
      </c>
      <c r="J2016" s="8" t="s">
        <v>1115</v>
      </c>
      <c r="K2016" s="8" t="s">
        <v>1116</v>
      </c>
      <c r="L2016" s="7">
        <v>2009</v>
      </c>
      <c r="M2016" s="8" t="s">
        <v>313</v>
      </c>
      <c r="N2016" s="11">
        <v>14634837</v>
      </c>
      <c r="O2016" s="8" t="s">
        <v>1118</v>
      </c>
      <c r="P2016" s="8" t="s">
        <v>1119</v>
      </c>
      <c r="Q2016" s="8"/>
      <c r="R2016" s="8"/>
    </row>
    <row r="2017" spans="1:18" ht="26.15" customHeight="1">
      <c r="A2017" s="7">
        <v>2011</v>
      </c>
      <c r="B2017" s="8" t="s">
        <v>3058</v>
      </c>
      <c r="C2017" s="8" t="s">
        <v>3114</v>
      </c>
      <c r="D2017" s="8" t="s">
        <v>4821</v>
      </c>
      <c r="E2017" s="8" t="s">
        <v>3116</v>
      </c>
      <c r="F2017" s="9" t="s">
        <v>3117</v>
      </c>
      <c r="G2017" s="10">
        <v>40564</v>
      </c>
      <c r="H2017" s="8" t="s">
        <v>34</v>
      </c>
      <c r="I2017" s="11">
        <v>1472060</v>
      </c>
      <c r="J2017" s="8" t="s">
        <v>1115</v>
      </c>
      <c r="K2017" s="8" t="s">
        <v>1116</v>
      </c>
      <c r="L2017" s="7">
        <v>2009</v>
      </c>
      <c r="M2017" s="8" t="s">
        <v>313</v>
      </c>
      <c r="N2017" s="11">
        <v>14634837</v>
      </c>
      <c r="O2017" s="8" t="s">
        <v>1118</v>
      </c>
      <c r="P2017" s="8" t="s">
        <v>1119</v>
      </c>
      <c r="Q2017" s="8"/>
      <c r="R2017" s="8" t="s">
        <v>313</v>
      </c>
    </row>
    <row r="2018" spans="1:18" ht="26.15" customHeight="1">
      <c r="A2018" s="7">
        <v>2012</v>
      </c>
      <c r="B2018" s="8" t="s">
        <v>3062</v>
      </c>
      <c r="C2018" s="8" t="s">
        <v>3114</v>
      </c>
      <c r="D2018" s="8" t="s">
        <v>4908</v>
      </c>
      <c r="E2018" s="8" t="s">
        <v>3116</v>
      </c>
      <c r="F2018" s="9" t="s">
        <v>3117</v>
      </c>
      <c r="G2018" s="10">
        <v>40540</v>
      </c>
      <c r="H2018" s="8" t="s">
        <v>528</v>
      </c>
      <c r="I2018" s="11">
        <v>55791200</v>
      </c>
      <c r="J2018" s="8" t="s">
        <v>3059</v>
      </c>
      <c r="K2018" s="8" t="s">
        <v>3060</v>
      </c>
      <c r="L2018" s="7">
        <v>1973</v>
      </c>
      <c r="M2018" s="8" t="s">
        <v>181</v>
      </c>
      <c r="N2018" s="11">
        <v>104710200</v>
      </c>
      <c r="O2018" s="8" t="s">
        <v>3063</v>
      </c>
      <c r="P2018" s="8" t="s">
        <v>3064</v>
      </c>
      <c r="Q2018" s="8"/>
      <c r="R2018" s="8" t="s">
        <v>3145</v>
      </c>
    </row>
    <row r="2019" spans="1:18" ht="26.15" customHeight="1">
      <c r="A2019" s="7">
        <v>2013</v>
      </c>
      <c r="B2019" s="8" t="s">
        <v>773</v>
      </c>
      <c r="C2019" s="8" t="s">
        <v>3114</v>
      </c>
      <c r="D2019" s="8" t="s">
        <v>3557</v>
      </c>
      <c r="E2019" s="8" t="s">
        <v>3116</v>
      </c>
      <c r="F2019" s="9" t="s">
        <v>3117</v>
      </c>
      <c r="G2019" s="10">
        <v>40506</v>
      </c>
      <c r="H2019" s="8" t="s">
        <v>34</v>
      </c>
      <c r="I2019" s="11">
        <v>1250000</v>
      </c>
      <c r="J2019" s="8" t="s">
        <v>2319</v>
      </c>
      <c r="K2019" s="8" t="s">
        <v>2320</v>
      </c>
      <c r="L2019" s="7">
        <v>2007</v>
      </c>
      <c r="M2019" s="8" t="s">
        <v>1285</v>
      </c>
      <c r="N2019" s="11">
        <v>2750000</v>
      </c>
      <c r="O2019" s="8" t="s">
        <v>2322</v>
      </c>
      <c r="P2019" s="8" t="s">
        <v>2323</v>
      </c>
      <c r="Q2019" s="8"/>
      <c r="R2019" s="8" t="s">
        <v>3425</v>
      </c>
    </row>
    <row r="2020" spans="1:18" ht="26.15" customHeight="1">
      <c r="A2020" s="7">
        <v>2014</v>
      </c>
      <c r="B2020" s="8" t="s">
        <v>4909</v>
      </c>
      <c r="C2020" s="8" t="s">
        <v>3114</v>
      </c>
      <c r="D2020" s="8" t="s">
        <v>4910</v>
      </c>
      <c r="E2020" s="8" t="s">
        <v>3116</v>
      </c>
      <c r="F2020" s="9" t="s">
        <v>3123</v>
      </c>
      <c r="G2020" s="10">
        <v>40475</v>
      </c>
      <c r="H2020" s="8" t="s">
        <v>109</v>
      </c>
      <c r="I2020" s="11">
        <v>4986090</v>
      </c>
      <c r="J2020" s="8" t="s">
        <v>3065</v>
      </c>
      <c r="K2020" s="8" t="s">
        <v>3066</v>
      </c>
      <c r="L2020" s="7">
        <v>2008</v>
      </c>
      <c r="M2020" s="8" t="s">
        <v>3068</v>
      </c>
      <c r="N2020" s="11">
        <v>4990000</v>
      </c>
      <c r="O2020" s="8" t="s">
        <v>3069</v>
      </c>
      <c r="P2020" s="8" t="s">
        <v>3070</v>
      </c>
      <c r="Q2020" s="8"/>
      <c r="R2020" s="8" t="s">
        <v>4804</v>
      </c>
    </row>
    <row r="2021" spans="1:18" ht="26.15" customHeight="1">
      <c r="A2021" s="7">
        <v>2015</v>
      </c>
      <c r="B2021" s="8" t="s">
        <v>3071</v>
      </c>
      <c r="C2021" s="8" t="s">
        <v>3127</v>
      </c>
      <c r="D2021" s="8"/>
      <c r="E2021" s="8" t="s">
        <v>3128</v>
      </c>
      <c r="F2021" s="9" t="s">
        <v>3117</v>
      </c>
      <c r="G2021" s="10">
        <v>40474</v>
      </c>
      <c r="H2021" s="8" t="s">
        <v>124</v>
      </c>
      <c r="I2021" s="11">
        <v>2000000</v>
      </c>
      <c r="J2021" s="8" t="s">
        <v>2651</v>
      </c>
      <c r="K2021" s="8" t="s">
        <v>2652</v>
      </c>
      <c r="L2021" s="7">
        <v>2010</v>
      </c>
      <c r="M2021" s="8" t="s">
        <v>79</v>
      </c>
      <c r="N2021" s="11">
        <v>8883505</v>
      </c>
      <c r="O2021" s="8" t="s">
        <v>2656</v>
      </c>
      <c r="P2021" s="8" t="s">
        <v>2657</v>
      </c>
      <c r="Q2021" s="8"/>
      <c r="R2021" s="8"/>
    </row>
    <row r="2022" spans="1:18" ht="26.15" customHeight="1">
      <c r="A2022" s="7">
        <v>2016</v>
      </c>
      <c r="B2022" s="8" t="s">
        <v>4911</v>
      </c>
      <c r="C2022" s="8" t="s">
        <v>3139</v>
      </c>
      <c r="D2022" s="8" t="s">
        <v>4912</v>
      </c>
      <c r="E2022" s="8" t="s">
        <v>3116</v>
      </c>
      <c r="F2022" s="9" t="s">
        <v>3123</v>
      </c>
      <c r="G2022" s="10">
        <v>40436</v>
      </c>
      <c r="H2022" s="8" t="s">
        <v>184</v>
      </c>
      <c r="I2022" s="11">
        <v>1000000</v>
      </c>
      <c r="J2022" s="8" t="s">
        <v>2993</v>
      </c>
      <c r="K2022" s="8" t="s">
        <v>2994</v>
      </c>
      <c r="L2022" s="7">
        <v>1999</v>
      </c>
      <c r="M2022" s="8" t="s">
        <v>39</v>
      </c>
      <c r="N2022" s="11">
        <v>1500000</v>
      </c>
      <c r="O2022" s="8" t="s">
        <v>2995</v>
      </c>
      <c r="P2022" s="8" t="s">
        <v>2996</v>
      </c>
      <c r="Q2022" s="8"/>
      <c r="R2022" s="8" t="s">
        <v>4913</v>
      </c>
    </row>
    <row r="2023" spans="1:18" ht="26.15" customHeight="1">
      <c r="A2023" s="7">
        <v>2017</v>
      </c>
      <c r="B2023" s="8" t="s">
        <v>3074</v>
      </c>
      <c r="C2023" s="8" t="s">
        <v>3127</v>
      </c>
      <c r="D2023" s="8"/>
      <c r="E2023" s="8" t="s">
        <v>3128</v>
      </c>
      <c r="F2023" s="9" t="s">
        <v>3117</v>
      </c>
      <c r="G2023" s="10">
        <v>40346</v>
      </c>
      <c r="H2023" s="8" t="s">
        <v>34</v>
      </c>
      <c r="I2023" s="11">
        <v>74277</v>
      </c>
      <c r="J2023" s="8" t="s">
        <v>1115</v>
      </c>
      <c r="K2023" s="8" t="s">
        <v>1116</v>
      </c>
      <c r="L2023" s="7">
        <v>2009</v>
      </c>
      <c r="M2023" s="8" t="s">
        <v>313</v>
      </c>
      <c r="N2023" s="11">
        <v>14634837</v>
      </c>
      <c r="O2023" s="8" t="s">
        <v>1118</v>
      </c>
      <c r="P2023" s="8" t="s">
        <v>1119</v>
      </c>
      <c r="Q2023" s="8"/>
      <c r="R2023" s="8"/>
    </row>
    <row r="2024" spans="1:18" ht="26.15" customHeight="1">
      <c r="A2024" s="7">
        <v>2018</v>
      </c>
      <c r="B2024" s="8" t="s">
        <v>4914</v>
      </c>
      <c r="C2024" s="8" t="s">
        <v>3127</v>
      </c>
      <c r="D2024" s="8"/>
      <c r="E2024" s="8" t="s">
        <v>3128</v>
      </c>
      <c r="F2024" s="9" t="s">
        <v>3123</v>
      </c>
      <c r="G2024" s="10">
        <v>40346</v>
      </c>
      <c r="H2024" s="8" t="s">
        <v>34</v>
      </c>
      <c r="I2024" s="11">
        <v>74277</v>
      </c>
      <c r="J2024" s="8" t="s">
        <v>1115</v>
      </c>
      <c r="K2024" s="8" t="s">
        <v>1116</v>
      </c>
      <c r="L2024" s="7">
        <v>2009</v>
      </c>
      <c r="M2024" s="8" t="s">
        <v>313</v>
      </c>
      <c r="N2024" s="11">
        <v>14634837</v>
      </c>
      <c r="O2024" s="8" t="s">
        <v>1118</v>
      </c>
      <c r="P2024" s="8" t="s">
        <v>1119</v>
      </c>
      <c r="Q2024" s="8"/>
      <c r="R2024" s="8"/>
    </row>
    <row r="2025" spans="1:18" ht="26.15" customHeight="1">
      <c r="A2025" s="7">
        <v>2019</v>
      </c>
      <c r="B2025" s="8" t="s">
        <v>247</v>
      </c>
      <c r="C2025" s="8" t="s">
        <v>3114</v>
      </c>
      <c r="D2025" s="8" t="s">
        <v>3254</v>
      </c>
      <c r="E2025" s="8" t="s">
        <v>3116</v>
      </c>
      <c r="F2025" s="9" t="s">
        <v>3117</v>
      </c>
      <c r="G2025" s="10">
        <v>40330</v>
      </c>
      <c r="H2025" s="8" t="s">
        <v>528</v>
      </c>
      <c r="I2025" s="11">
        <v>11291283</v>
      </c>
      <c r="J2025" s="8" t="s">
        <v>3075</v>
      </c>
      <c r="K2025" s="8" t="s">
        <v>3076</v>
      </c>
      <c r="L2025" s="7">
        <v>1977</v>
      </c>
      <c r="M2025" s="8" t="s">
        <v>2945</v>
      </c>
      <c r="N2025" s="11">
        <v>11291283</v>
      </c>
      <c r="O2025" s="8" t="s">
        <v>3077</v>
      </c>
      <c r="P2025" s="8" t="s">
        <v>3078</v>
      </c>
      <c r="Q2025" s="8"/>
      <c r="R2025" s="8" t="s">
        <v>3255</v>
      </c>
    </row>
    <row r="2026" spans="1:18" ht="26.15" customHeight="1">
      <c r="A2026" s="7">
        <v>2020</v>
      </c>
      <c r="B2026" s="8" t="s">
        <v>3080</v>
      </c>
      <c r="C2026" s="8" t="s">
        <v>3114</v>
      </c>
      <c r="D2026" s="8" t="s">
        <v>4915</v>
      </c>
      <c r="E2026" s="8" t="s">
        <v>3116</v>
      </c>
      <c r="F2026" s="9" t="s">
        <v>3117</v>
      </c>
      <c r="G2026" s="10">
        <v>40330</v>
      </c>
      <c r="H2026" s="8" t="s">
        <v>109</v>
      </c>
      <c r="I2026" s="11">
        <v>1514622</v>
      </c>
      <c r="J2026" s="8" t="s">
        <v>2849</v>
      </c>
      <c r="K2026" s="8" t="s">
        <v>2850</v>
      </c>
      <c r="L2026" s="7">
        <v>2009</v>
      </c>
      <c r="M2026" s="8" t="s">
        <v>1732</v>
      </c>
      <c r="N2026" s="11">
        <v>30060731</v>
      </c>
      <c r="O2026" s="8" t="s">
        <v>2852</v>
      </c>
      <c r="P2026" s="8" t="s">
        <v>2853</v>
      </c>
      <c r="Q2026" s="8"/>
      <c r="R2026" s="8" t="s">
        <v>278</v>
      </c>
    </row>
    <row r="2027" spans="1:18" ht="26.15" customHeight="1">
      <c r="A2027" s="7">
        <v>2021</v>
      </c>
      <c r="B2027" s="8" t="s">
        <v>156</v>
      </c>
      <c r="C2027" s="8" t="s">
        <v>3139</v>
      </c>
      <c r="D2027" s="8" t="s">
        <v>3170</v>
      </c>
      <c r="E2027" s="8" t="s">
        <v>3116</v>
      </c>
      <c r="F2027" s="9" t="s">
        <v>3123</v>
      </c>
      <c r="G2027" s="10">
        <v>40330</v>
      </c>
      <c r="H2027" s="8" t="s">
        <v>184</v>
      </c>
      <c r="I2027" s="11">
        <v>640000</v>
      </c>
      <c r="J2027" s="8" t="s">
        <v>3081</v>
      </c>
      <c r="K2027" s="8" t="s">
        <v>3082</v>
      </c>
      <c r="L2027" s="7">
        <v>2008</v>
      </c>
      <c r="M2027" s="8" t="s">
        <v>691</v>
      </c>
      <c r="N2027" s="11"/>
      <c r="O2027" s="8" t="s">
        <v>3083</v>
      </c>
      <c r="P2027" s="8" t="s">
        <v>265</v>
      </c>
      <c r="Q2027" s="8"/>
      <c r="R2027" s="8"/>
    </row>
    <row r="2028" spans="1:18" ht="26.15" customHeight="1">
      <c r="A2028" s="7">
        <v>2022</v>
      </c>
      <c r="B2028" s="8" t="s">
        <v>4916</v>
      </c>
      <c r="C2028" s="8" t="s">
        <v>3114</v>
      </c>
      <c r="D2028" s="8" t="s">
        <v>4917</v>
      </c>
      <c r="E2028" s="8" t="s">
        <v>3116</v>
      </c>
      <c r="F2028" s="9" t="s">
        <v>3123</v>
      </c>
      <c r="G2028" s="10">
        <v>40330</v>
      </c>
      <c r="H2028" s="8" t="s">
        <v>34</v>
      </c>
      <c r="I2028" s="11" t="s">
        <v>50</v>
      </c>
      <c r="J2028" s="8" t="s">
        <v>2886</v>
      </c>
      <c r="K2028" s="8" t="s">
        <v>2887</v>
      </c>
      <c r="L2028" s="7">
        <v>2010</v>
      </c>
      <c r="M2028" s="8" t="s">
        <v>39</v>
      </c>
      <c r="N2028" s="11">
        <v>235000</v>
      </c>
      <c r="O2028" s="8" t="s">
        <v>2888</v>
      </c>
      <c r="P2028" s="8" t="s">
        <v>2889</v>
      </c>
      <c r="Q2028" s="8"/>
      <c r="R2028" s="8" t="s">
        <v>39</v>
      </c>
    </row>
    <row r="2029" spans="1:18" ht="26.15" customHeight="1">
      <c r="A2029" s="7">
        <v>2023</v>
      </c>
      <c r="B2029" s="8" t="s">
        <v>4918</v>
      </c>
      <c r="C2029" s="8" t="s">
        <v>3114</v>
      </c>
      <c r="D2029" s="8" t="s">
        <v>4919</v>
      </c>
      <c r="E2029" s="8" t="s">
        <v>3116</v>
      </c>
      <c r="F2029" s="9" t="s">
        <v>3123</v>
      </c>
      <c r="G2029" s="10">
        <v>40299</v>
      </c>
      <c r="H2029" s="8" t="s">
        <v>109</v>
      </c>
      <c r="I2029" s="11" t="s">
        <v>50</v>
      </c>
      <c r="J2029" s="8" t="s">
        <v>3085</v>
      </c>
      <c r="K2029" s="8" t="s">
        <v>3086</v>
      </c>
      <c r="L2029" s="7">
        <v>2001</v>
      </c>
      <c r="M2029" s="8" t="s">
        <v>894</v>
      </c>
      <c r="N2029" s="11"/>
      <c r="O2029" s="8" t="s">
        <v>3088</v>
      </c>
      <c r="P2029" s="8" t="s">
        <v>3089</v>
      </c>
      <c r="Q2029" s="8"/>
      <c r="R2029" s="8" t="s">
        <v>894</v>
      </c>
    </row>
    <row r="2030" spans="1:18" ht="26.15" customHeight="1">
      <c r="A2030" s="7">
        <v>2024</v>
      </c>
      <c r="B2030" s="8" t="s">
        <v>3098</v>
      </c>
      <c r="C2030" s="8" t="s">
        <v>3114</v>
      </c>
      <c r="D2030" s="8" t="s">
        <v>4920</v>
      </c>
      <c r="E2030" s="8" t="s">
        <v>3116</v>
      </c>
      <c r="F2030" s="9" t="s">
        <v>3117</v>
      </c>
      <c r="G2030" s="10">
        <v>40277</v>
      </c>
      <c r="H2030" s="8" t="s">
        <v>25</v>
      </c>
      <c r="I2030" s="11">
        <v>30000000</v>
      </c>
      <c r="J2030" s="8" t="s">
        <v>3095</v>
      </c>
      <c r="K2030" s="8" t="s">
        <v>3096</v>
      </c>
      <c r="L2030" s="7">
        <v>1996</v>
      </c>
      <c r="M2030" s="8" t="s">
        <v>774</v>
      </c>
      <c r="N2030" s="11">
        <v>35112790</v>
      </c>
      <c r="O2030" s="8" t="s">
        <v>2979</v>
      </c>
      <c r="P2030" s="8" t="s">
        <v>3099</v>
      </c>
      <c r="Q2030" s="8"/>
      <c r="R2030" s="8" t="s">
        <v>3166</v>
      </c>
    </row>
    <row r="2031" spans="1:18" ht="26.15" customHeight="1">
      <c r="A2031" s="7">
        <v>2025</v>
      </c>
      <c r="B2031" s="8" t="s">
        <v>4921</v>
      </c>
      <c r="C2031" s="8" t="s">
        <v>3114</v>
      </c>
      <c r="D2031" s="8" t="s">
        <v>4922</v>
      </c>
      <c r="E2031" s="8" t="s">
        <v>3116</v>
      </c>
      <c r="F2031" s="9" t="s">
        <v>3123</v>
      </c>
      <c r="G2031" s="10">
        <v>40267</v>
      </c>
      <c r="H2031" s="8" t="s">
        <v>34</v>
      </c>
      <c r="I2031" s="11">
        <v>900000</v>
      </c>
      <c r="J2031" s="8" t="s">
        <v>2936</v>
      </c>
      <c r="K2031" s="8" t="s">
        <v>2937</v>
      </c>
      <c r="L2031" s="7">
        <v>2008</v>
      </c>
      <c r="M2031" s="8" t="s">
        <v>47</v>
      </c>
      <c r="N2031" s="11">
        <v>8723427</v>
      </c>
      <c r="O2031" s="8" t="s">
        <v>2938</v>
      </c>
      <c r="P2031" s="8" t="s">
        <v>2939</v>
      </c>
      <c r="Q2031" s="8"/>
      <c r="R2031" s="8" t="s">
        <v>3269</v>
      </c>
    </row>
    <row r="2032" spans="1:18" ht="26.15" customHeight="1">
      <c r="A2032" s="7">
        <v>2026</v>
      </c>
      <c r="B2032" s="8" t="s">
        <v>4923</v>
      </c>
      <c r="C2032" s="8" t="s">
        <v>3114</v>
      </c>
      <c r="D2032" s="8" t="s">
        <v>4924</v>
      </c>
      <c r="E2032" s="8" t="s">
        <v>3116</v>
      </c>
      <c r="F2032" s="9" t="s">
        <v>3123</v>
      </c>
      <c r="G2032" s="10">
        <v>40258</v>
      </c>
      <c r="H2032" s="8" t="s">
        <v>109</v>
      </c>
      <c r="I2032" s="11" t="s">
        <v>50</v>
      </c>
      <c r="J2032" s="8" t="s">
        <v>2591</v>
      </c>
      <c r="K2032" s="8" t="s">
        <v>2592</v>
      </c>
      <c r="L2032" s="7">
        <v>2004</v>
      </c>
      <c r="M2032" s="8" t="s">
        <v>2593</v>
      </c>
      <c r="N2032" s="11"/>
      <c r="O2032" s="8" t="s">
        <v>2594</v>
      </c>
      <c r="P2032" s="8" t="s">
        <v>2595</v>
      </c>
      <c r="Q2032" s="8"/>
      <c r="R2032" s="8" t="s">
        <v>1578</v>
      </c>
    </row>
    <row r="2033" spans="1:18" ht="26.15" customHeight="1">
      <c r="A2033" s="7">
        <v>2027</v>
      </c>
      <c r="B2033" s="8" t="s">
        <v>4062</v>
      </c>
      <c r="C2033" s="8" t="s">
        <v>3139</v>
      </c>
      <c r="D2033" s="8" t="s">
        <v>4063</v>
      </c>
      <c r="E2033" s="8" t="s">
        <v>3116</v>
      </c>
      <c r="F2033" s="9" t="s">
        <v>3123</v>
      </c>
      <c r="G2033" s="10">
        <v>40184</v>
      </c>
      <c r="H2033" s="8" t="s">
        <v>109</v>
      </c>
      <c r="I2033" s="11" t="s">
        <v>50</v>
      </c>
      <c r="J2033" s="8" t="s">
        <v>3102</v>
      </c>
      <c r="K2033" s="8" t="s">
        <v>3103</v>
      </c>
      <c r="L2033" s="7">
        <v>1999</v>
      </c>
      <c r="M2033" s="8" t="s">
        <v>3104</v>
      </c>
      <c r="N2033" s="11"/>
      <c r="O2033" s="8" t="s">
        <v>3105</v>
      </c>
      <c r="P2033" s="8" t="s">
        <v>549</v>
      </c>
      <c r="Q2033" s="8"/>
      <c r="R2033" s="8" t="s">
        <v>4064</v>
      </c>
    </row>
  </sheetData>
  <autoFilter ref="A6:R2033" xr:uid="{EFFFFA5A-9EAC-4F4B-954F-911D39E8BD32}"/>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Cover</vt:lpstr>
      <vt:lpstr>Intro</vt:lpstr>
      <vt:lpstr>Dashboard</vt:lpstr>
      <vt:lpstr>Top-Down estimates</vt:lpstr>
      <vt:lpstr>Bottom-up tagging</vt:lpstr>
      <vt:lpstr>Analysis of bottom-up tags</vt:lpstr>
      <vt:lpstr>Sheet1</vt:lpstr>
      <vt:lpstr>Top-Down Assumptions</vt:lpstr>
      <vt:lpstr>1.2</vt:lpstr>
      <vt:lpstr>Bottom-up Tagging Assumptions</vt:lpstr>
      <vt:lpstr>Investments 1.1</vt:lpstr>
      <vt:lpstr>Companies covered restructured</vt:lpstr>
      <vt:lpstr>Sheet6</vt:lpstr>
      <vt:lpstr>Companies Covered 2.1</vt:lpstr>
      <vt:lpstr>Split Formula</vt:lpstr>
      <vt:lpstr>Formulae</vt:lpstr>
      <vt:lpstr>Lists</vt:lpstr>
      <vt:lpstr>Framework</vt:lpstr>
      <vt:lpstr>GDP deflators</vt:lpstr>
      <vt:lpstr>exch rate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Admin</cp:lastModifiedBy>
  <cp:lastPrinted>2020-11-06T08:31:47Z</cp:lastPrinted>
  <dcterms:created xsi:type="dcterms:W3CDTF">2020-11-04T08:59:33Z</dcterms:created>
  <dcterms:modified xsi:type="dcterms:W3CDTF">2021-08-02T05:30:55Z</dcterms:modified>
</cp:coreProperties>
</file>